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Z:\zv-podklady\Nemocnice\pausal-nemocnice\2022\VYUCTOVANI_2022\89301000\data pro PZS\"/>
    </mc:Choice>
  </mc:AlternateContent>
  <bookViews>
    <workbookView xWindow="0" yWindow="0" windowWidth="28800" windowHeight="13080"/>
  </bookViews>
  <sheets>
    <sheet name="vypdet_89301000_IND_SLE_UV_2023" sheetId="1" r:id="rId1"/>
  </sheets>
  <calcPr calcId="0"/>
</workbook>
</file>

<file path=xl/calcChain.xml><?xml version="1.0" encoding="utf-8"?>
<calcChain xmlns="http://schemas.openxmlformats.org/spreadsheetml/2006/main">
  <c r="A2" i="1" l="1"/>
  <c r="B2" i="1"/>
  <c r="C2" i="1"/>
  <c r="D2" i="1"/>
  <c r="E2" i="1"/>
  <c r="F2" i="1"/>
  <c r="H2" i="1"/>
  <c r="A3" i="1"/>
  <c r="B3" i="1"/>
  <c r="C3" i="1"/>
  <c r="D3" i="1"/>
  <c r="E3" i="1"/>
  <c r="F3" i="1"/>
  <c r="H3" i="1"/>
  <c r="A4" i="1"/>
  <c r="B4" i="1"/>
  <c r="C4" i="1"/>
  <c r="D4" i="1"/>
  <c r="E4" i="1"/>
  <c r="F4" i="1"/>
  <c r="H4" i="1"/>
  <c r="A5" i="1"/>
  <c r="B5" i="1"/>
  <c r="C5" i="1"/>
  <c r="D5" i="1"/>
  <c r="E5" i="1"/>
  <c r="F5" i="1"/>
  <c r="H5" i="1"/>
  <c r="A6" i="1"/>
  <c r="B6" i="1"/>
  <c r="C6" i="1"/>
  <c r="D6" i="1"/>
  <c r="E6" i="1"/>
  <c r="F6" i="1"/>
  <c r="H6" i="1"/>
  <c r="A7" i="1"/>
  <c r="B7" i="1"/>
  <c r="C7" i="1"/>
  <c r="D7" i="1"/>
  <c r="E7" i="1"/>
  <c r="F7" i="1"/>
  <c r="H7" i="1"/>
  <c r="A8" i="1"/>
  <c r="B8" i="1"/>
  <c r="C8" i="1"/>
  <c r="D8" i="1"/>
  <c r="E8" i="1"/>
  <c r="F8" i="1"/>
  <c r="H8" i="1"/>
  <c r="A9" i="1"/>
  <c r="B9" i="1"/>
  <c r="C9" i="1"/>
  <c r="D9" i="1"/>
  <c r="E9" i="1"/>
  <c r="F9" i="1"/>
  <c r="H9" i="1"/>
  <c r="A10" i="1"/>
  <c r="B10" i="1"/>
  <c r="C10" i="1"/>
  <c r="D10" i="1"/>
  <c r="E10" i="1"/>
  <c r="F10" i="1"/>
  <c r="H10" i="1"/>
  <c r="A11" i="1"/>
  <c r="B11" i="1"/>
  <c r="C11" i="1"/>
  <c r="D11" i="1"/>
  <c r="E11" i="1"/>
  <c r="F11" i="1"/>
  <c r="H11" i="1"/>
  <c r="A12" i="1"/>
  <c r="B12" i="1"/>
  <c r="C12" i="1"/>
  <c r="D12" i="1"/>
  <c r="E12" i="1"/>
  <c r="F12" i="1"/>
  <c r="H12" i="1"/>
  <c r="A13" i="1"/>
  <c r="B13" i="1"/>
  <c r="C13" i="1"/>
  <c r="D13" i="1"/>
  <c r="E13" i="1"/>
  <c r="F13" i="1"/>
  <c r="H13" i="1"/>
  <c r="A14" i="1"/>
  <c r="B14" i="1"/>
  <c r="C14" i="1"/>
  <c r="D14" i="1"/>
  <c r="E14" i="1"/>
  <c r="F14" i="1"/>
  <c r="H14" i="1"/>
  <c r="A15" i="1"/>
  <c r="B15" i="1"/>
  <c r="C15" i="1"/>
  <c r="D15" i="1"/>
  <c r="E15" i="1"/>
  <c r="F15" i="1"/>
  <c r="H15" i="1"/>
  <c r="A16" i="1"/>
  <c r="B16" i="1"/>
  <c r="C16" i="1"/>
  <c r="D16" i="1"/>
  <c r="E16" i="1"/>
  <c r="F16" i="1"/>
  <c r="H16" i="1"/>
  <c r="A17" i="1"/>
  <c r="B17" i="1"/>
  <c r="C17" i="1"/>
  <c r="D17" i="1"/>
  <c r="E17" i="1"/>
  <c r="F17" i="1"/>
  <c r="H17" i="1"/>
  <c r="A18" i="1"/>
  <c r="B18" i="1"/>
  <c r="C18" i="1"/>
  <c r="D18" i="1"/>
  <c r="E18" i="1"/>
  <c r="F18" i="1"/>
  <c r="H18" i="1"/>
  <c r="A19" i="1"/>
  <c r="B19" i="1"/>
  <c r="C19" i="1"/>
  <c r="D19" i="1"/>
  <c r="E19" i="1"/>
  <c r="F19" i="1"/>
  <c r="H19" i="1"/>
  <c r="A20" i="1"/>
  <c r="B20" i="1"/>
  <c r="C20" i="1"/>
  <c r="D20" i="1"/>
  <c r="E20" i="1"/>
  <c r="F20" i="1"/>
  <c r="H20" i="1"/>
  <c r="A21" i="1"/>
  <c r="B21" i="1"/>
  <c r="C21" i="1"/>
  <c r="D21" i="1"/>
  <c r="E21" i="1"/>
  <c r="F21" i="1"/>
  <c r="H21" i="1"/>
  <c r="A22" i="1"/>
  <c r="B22" i="1"/>
  <c r="C22" i="1"/>
  <c r="D22" i="1"/>
  <c r="E22" i="1"/>
  <c r="F22" i="1"/>
  <c r="H22" i="1"/>
  <c r="A23" i="1"/>
  <c r="B23" i="1"/>
  <c r="C23" i="1"/>
  <c r="D23" i="1"/>
  <c r="E23" i="1"/>
  <c r="F23" i="1"/>
  <c r="H23" i="1"/>
  <c r="A24" i="1"/>
  <c r="B24" i="1"/>
  <c r="C24" i="1"/>
  <c r="D24" i="1"/>
  <c r="E24" i="1"/>
  <c r="F24" i="1"/>
  <c r="H24" i="1"/>
  <c r="A25" i="1"/>
  <c r="B25" i="1"/>
  <c r="C25" i="1"/>
  <c r="D25" i="1"/>
  <c r="E25" i="1"/>
  <c r="F25" i="1"/>
  <c r="H25" i="1"/>
  <c r="A26" i="1"/>
  <c r="B26" i="1"/>
  <c r="C26" i="1"/>
  <c r="D26" i="1"/>
  <c r="E26" i="1"/>
  <c r="F26" i="1"/>
  <c r="H26" i="1"/>
  <c r="A27" i="1"/>
  <c r="B27" i="1"/>
  <c r="C27" i="1"/>
  <c r="D27" i="1"/>
  <c r="E27" i="1"/>
  <c r="F27" i="1"/>
  <c r="H27" i="1"/>
  <c r="A28" i="1"/>
  <c r="B28" i="1"/>
  <c r="C28" i="1"/>
  <c r="D28" i="1"/>
  <c r="E28" i="1"/>
  <c r="F28" i="1"/>
  <c r="H28" i="1"/>
  <c r="A29" i="1"/>
  <c r="B29" i="1"/>
  <c r="C29" i="1"/>
  <c r="D29" i="1"/>
  <c r="E29" i="1"/>
  <c r="F29" i="1"/>
  <c r="H29" i="1"/>
  <c r="A30" i="1"/>
  <c r="B30" i="1"/>
  <c r="C30" i="1"/>
  <c r="D30" i="1"/>
  <c r="E30" i="1"/>
  <c r="F30" i="1"/>
  <c r="H30" i="1"/>
  <c r="A31" i="1"/>
  <c r="B31" i="1"/>
  <c r="C31" i="1"/>
  <c r="D31" i="1"/>
  <c r="E31" i="1"/>
  <c r="F31" i="1"/>
  <c r="H31" i="1"/>
  <c r="A32" i="1"/>
  <c r="B32" i="1"/>
  <c r="C32" i="1"/>
  <c r="D32" i="1"/>
  <c r="E32" i="1"/>
  <c r="F32" i="1"/>
  <c r="H32" i="1"/>
  <c r="A33" i="1"/>
  <c r="B33" i="1"/>
  <c r="C33" i="1"/>
  <c r="D33" i="1"/>
  <c r="E33" i="1"/>
  <c r="F33" i="1"/>
  <c r="H33" i="1"/>
  <c r="A34" i="1"/>
  <c r="B34" i="1"/>
  <c r="C34" i="1"/>
  <c r="D34" i="1"/>
  <c r="E34" i="1"/>
  <c r="F34" i="1"/>
  <c r="H34" i="1"/>
  <c r="A35" i="1"/>
  <c r="B35" i="1"/>
  <c r="C35" i="1"/>
  <c r="D35" i="1"/>
  <c r="E35" i="1"/>
  <c r="F35" i="1"/>
  <c r="H35" i="1"/>
  <c r="A36" i="1"/>
  <c r="B36" i="1"/>
  <c r="C36" i="1"/>
  <c r="D36" i="1"/>
  <c r="E36" i="1"/>
  <c r="F36" i="1"/>
  <c r="H36" i="1"/>
  <c r="A37" i="1"/>
  <c r="B37" i="1"/>
  <c r="C37" i="1"/>
  <c r="D37" i="1"/>
  <c r="E37" i="1"/>
  <c r="F37" i="1"/>
  <c r="H37" i="1"/>
  <c r="A38" i="1"/>
  <c r="B38" i="1"/>
  <c r="C38" i="1"/>
  <c r="D38" i="1"/>
  <c r="E38" i="1"/>
  <c r="F38" i="1"/>
  <c r="H38" i="1"/>
  <c r="A39" i="1"/>
  <c r="B39" i="1"/>
  <c r="C39" i="1"/>
  <c r="D39" i="1"/>
  <c r="E39" i="1"/>
  <c r="F39" i="1"/>
  <c r="H39" i="1"/>
  <c r="A40" i="1"/>
  <c r="B40" i="1"/>
  <c r="C40" i="1"/>
  <c r="D40" i="1"/>
  <c r="E40" i="1"/>
  <c r="F40" i="1"/>
  <c r="H40" i="1"/>
  <c r="A41" i="1"/>
  <c r="B41" i="1"/>
  <c r="C41" i="1"/>
  <c r="D41" i="1"/>
  <c r="E41" i="1"/>
  <c r="F41" i="1"/>
  <c r="H41" i="1"/>
  <c r="A42" i="1"/>
  <c r="B42" i="1"/>
  <c r="C42" i="1"/>
  <c r="D42" i="1"/>
  <c r="E42" i="1"/>
  <c r="F42" i="1"/>
  <c r="H42" i="1"/>
  <c r="A43" i="1"/>
  <c r="B43" i="1"/>
  <c r="C43" i="1"/>
  <c r="D43" i="1"/>
  <c r="E43" i="1"/>
  <c r="F43" i="1"/>
  <c r="H43" i="1"/>
  <c r="A44" i="1"/>
  <c r="B44" i="1"/>
  <c r="C44" i="1"/>
  <c r="D44" i="1"/>
  <c r="E44" i="1"/>
  <c r="F44" i="1"/>
  <c r="H44" i="1"/>
  <c r="A45" i="1"/>
  <c r="B45" i="1"/>
  <c r="C45" i="1"/>
  <c r="D45" i="1"/>
  <c r="E45" i="1"/>
  <c r="F45" i="1"/>
  <c r="H45" i="1"/>
  <c r="A46" i="1"/>
  <c r="B46" i="1"/>
  <c r="C46" i="1"/>
  <c r="D46" i="1"/>
  <c r="E46" i="1"/>
  <c r="F46" i="1"/>
  <c r="H46" i="1"/>
  <c r="A47" i="1"/>
  <c r="B47" i="1"/>
  <c r="C47" i="1"/>
  <c r="D47" i="1"/>
  <c r="E47" i="1"/>
  <c r="F47" i="1"/>
  <c r="H47" i="1"/>
  <c r="A48" i="1"/>
  <c r="B48" i="1"/>
  <c r="C48" i="1"/>
  <c r="D48" i="1"/>
  <c r="E48" i="1"/>
  <c r="F48" i="1"/>
  <c r="H48" i="1"/>
  <c r="A49" i="1"/>
  <c r="B49" i="1"/>
  <c r="C49" i="1"/>
  <c r="D49" i="1"/>
  <c r="E49" i="1"/>
  <c r="F49" i="1"/>
  <c r="H49" i="1"/>
  <c r="A50" i="1"/>
  <c r="B50" i="1"/>
  <c r="C50" i="1"/>
  <c r="D50" i="1"/>
  <c r="E50" i="1"/>
  <c r="F50" i="1"/>
  <c r="H50" i="1"/>
  <c r="A51" i="1"/>
  <c r="B51" i="1"/>
  <c r="C51" i="1"/>
  <c r="D51" i="1"/>
  <c r="E51" i="1"/>
  <c r="F51" i="1"/>
  <c r="H51" i="1"/>
  <c r="A52" i="1"/>
  <c r="B52" i="1"/>
  <c r="C52" i="1"/>
  <c r="D52" i="1"/>
  <c r="E52" i="1"/>
  <c r="F52" i="1"/>
  <c r="H52" i="1"/>
  <c r="A53" i="1"/>
  <c r="B53" i="1"/>
  <c r="C53" i="1"/>
  <c r="D53" i="1"/>
  <c r="E53" i="1"/>
  <c r="F53" i="1"/>
  <c r="H53" i="1"/>
  <c r="A54" i="1"/>
  <c r="B54" i="1"/>
  <c r="C54" i="1"/>
  <c r="D54" i="1"/>
  <c r="E54" i="1"/>
  <c r="F54" i="1"/>
  <c r="H54" i="1"/>
  <c r="A55" i="1"/>
  <c r="B55" i="1"/>
  <c r="C55" i="1"/>
  <c r="D55" i="1"/>
  <c r="E55" i="1"/>
  <c r="F55" i="1"/>
  <c r="H55" i="1"/>
  <c r="A56" i="1"/>
  <c r="B56" i="1"/>
  <c r="C56" i="1"/>
  <c r="D56" i="1"/>
  <c r="E56" i="1"/>
  <c r="F56" i="1"/>
  <c r="H56" i="1"/>
  <c r="A57" i="1"/>
  <c r="B57" i="1"/>
  <c r="C57" i="1"/>
  <c r="D57" i="1"/>
  <c r="E57" i="1"/>
  <c r="F57" i="1"/>
  <c r="H57" i="1"/>
  <c r="A58" i="1"/>
  <c r="B58" i="1"/>
  <c r="C58" i="1"/>
  <c r="D58" i="1"/>
  <c r="E58" i="1"/>
  <c r="F58" i="1"/>
  <c r="H58" i="1"/>
  <c r="A59" i="1"/>
  <c r="B59" i="1"/>
  <c r="C59" i="1"/>
  <c r="D59" i="1"/>
  <c r="E59" i="1"/>
  <c r="F59" i="1"/>
  <c r="H59" i="1"/>
  <c r="A60" i="1"/>
  <c r="B60" i="1"/>
  <c r="C60" i="1"/>
  <c r="D60" i="1"/>
  <c r="E60" i="1"/>
  <c r="F60" i="1"/>
  <c r="H60" i="1"/>
  <c r="A61" i="1"/>
  <c r="B61" i="1"/>
  <c r="C61" i="1"/>
  <c r="D61" i="1"/>
  <c r="E61" i="1"/>
  <c r="F61" i="1"/>
  <c r="H61" i="1"/>
  <c r="A62" i="1"/>
  <c r="B62" i="1"/>
  <c r="C62" i="1"/>
  <c r="D62" i="1"/>
  <c r="E62" i="1"/>
  <c r="F62" i="1"/>
  <c r="H62" i="1"/>
  <c r="A63" i="1"/>
  <c r="B63" i="1"/>
  <c r="C63" i="1"/>
  <c r="D63" i="1"/>
  <c r="E63" i="1"/>
  <c r="F63" i="1"/>
  <c r="H63" i="1"/>
  <c r="A64" i="1"/>
  <c r="B64" i="1"/>
  <c r="C64" i="1"/>
  <c r="D64" i="1"/>
  <c r="E64" i="1"/>
  <c r="F64" i="1"/>
  <c r="H64" i="1"/>
  <c r="A65" i="1"/>
  <c r="B65" i="1"/>
  <c r="C65" i="1"/>
  <c r="D65" i="1"/>
  <c r="E65" i="1"/>
  <c r="F65" i="1"/>
  <c r="H65" i="1"/>
  <c r="A66" i="1"/>
  <c r="B66" i="1"/>
  <c r="C66" i="1"/>
  <c r="D66" i="1"/>
  <c r="E66" i="1"/>
  <c r="F66" i="1"/>
  <c r="H66" i="1"/>
  <c r="A67" i="1"/>
  <c r="B67" i="1"/>
  <c r="C67" i="1"/>
  <c r="D67" i="1"/>
  <c r="E67" i="1"/>
  <c r="F67" i="1"/>
  <c r="H67" i="1"/>
  <c r="A68" i="1"/>
  <c r="B68" i="1"/>
  <c r="C68" i="1"/>
  <c r="D68" i="1"/>
  <c r="E68" i="1"/>
  <c r="F68" i="1"/>
  <c r="H68" i="1"/>
  <c r="A69" i="1"/>
  <c r="B69" i="1"/>
  <c r="C69" i="1"/>
  <c r="D69" i="1"/>
  <c r="E69" i="1"/>
  <c r="F69" i="1"/>
  <c r="H69" i="1"/>
  <c r="A70" i="1"/>
  <c r="B70" i="1"/>
  <c r="C70" i="1"/>
  <c r="D70" i="1"/>
  <c r="E70" i="1"/>
  <c r="F70" i="1"/>
  <c r="H70" i="1"/>
  <c r="A71" i="1"/>
  <c r="B71" i="1"/>
  <c r="C71" i="1"/>
  <c r="D71" i="1"/>
  <c r="E71" i="1"/>
  <c r="F71" i="1"/>
  <c r="H71" i="1"/>
  <c r="A72" i="1"/>
  <c r="B72" i="1"/>
  <c r="C72" i="1"/>
  <c r="D72" i="1"/>
  <c r="E72" i="1"/>
  <c r="F72" i="1"/>
  <c r="H72" i="1"/>
  <c r="A73" i="1"/>
  <c r="B73" i="1"/>
  <c r="C73" i="1"/>
  <c r="D73" i="1"/>
  <c r="E73" i="1"/>
  <c r="F73" i="1"/>
  <c r="H73" i="1"/>
  <c r="A74" i="1"/>
  <c r="B74" i="1"/>
  <c r="C74" i="1"/>
  <c r="D74" i="1"/>
  <c r="E74" i="1"/>
  <c r="F74" i="1"/>
  <c r="H74" i="1"/>
  <c r="A75" i="1"/>
  <c r="B75" i="1"/>
  <c r="C75" i="1"/>
  <c r="D75" i="1"/>
  <c r="E75" i="1"/>
  <c r="F75" i="1"/>
  <c r="H75" i="1"/>
  <c r="A76" i="1"/>
  <c r="B76" i="1"/>
  <c r="C76" i="1"/>
  <c r="D76" i="1"/>
  <c r="E76" i="1"/>
  <c r="F76" i="1"/>
  <c r="H76" i="1"/>
  <c r="A77" i="1"/>
  <c r="B77" i="1"/>
  <c r="C77" i="1"/>
  <c r="D77" i="1"/>
  <c r="E77" i="1"/>
  <c r="F77" i="1"/>
  <c r="H77" i="1"/>
  <c r="A78" i="1"/>
  <c r="B78" i="1"/>
  <c r="C78" i="1"/>
  <c r="D78" i="1"/>
  <c r="E78" i="1"/>
  <c r="F78" i="1"/>
  <c r="H78" i="1"/>
  <c r="A79" i="1"/>
  <c r="B79" i="1"/>
  <c r="C79" i="1"/>
  <c r="D79" i="1"/>
  <c r="E79" i="1"/>
  <c r="F79" i="1"/>
  <c r="H79" i="1"/>
  <c r="A80" i="1"/>
  <c r="B80" i="1"/>
  <c r="C80" i="1"/>
  <c r="D80" i="1"/>
  <c r="E80" i="1"/>
  <c r="F80" i="1"/>
  <c r="H80" i="1"/>
  <c r="A81" i="1"/>
  <c r="B81" i="1"/>
  <c r="C81" i="1"/>
  <c r="D81" i="1"/>
  <c r="E81" i="1"/>
  <c r="F81" i="1"/>
  <c r="H81" i="1"/>
  <c r="A82" i="1"/>
  <c r="B82" i="1"/>
  <c r="C82" i="1"/>
  <c r="D82" i="1"/>
  <c r="E82" i="1"/>
  <c r="F82" i="1"/>
  <c r="H82" i="1"/>
  <c r="A83" i="1"/>
  <c r="B83" i="1"/>
  <c r="C83" i="1"/>
  <c r="D83" i="1"/>
  <c r="E83" i="1"/>
  <c r="F83" i="1"/>
  <c r="H83" i="1"/>
  <c r="A84" i="1"/>
  <c r="B84" i="1"/>
  <c r="C84" i="1"/>
  <c r="D84" i="1"/>
  <c r="E84" i="1"/>
  <c r="F84" i="1"/>
  <c r="H84" i="1"/>
  <c r="A85" i="1"/>
  <c r="B85" i="1"/>
  <c r="C85" i="1"/>
  <c r="D85" i="1"/>
  <c r="E85" i="1"/>
  <c r="F85" i="1"/>
  <c r="H85" i="1"/>
  <c r="A86" i="1"/>
  <c r="B86" i="1"/>
  <c r="C86" i="1"/>
  <c r="D86" i="1"/>
  <c r="E86" i="1"/>
  <c r="F86" i="1"/>
  <c r="H86" i="1"/>
  <c r="A87" i="1"/>
  <c r="B87" i="1"/>
  <c r="C87" i="1"/>
  <c r="D87" i="1"/>
  <c r="E87" i="1"/>
  <c r="F87" i="1"/>
  <c r="H87" i="1"/>
  <c r="A88" i="1"/>
  <c r="B88" i="1"/>
  <c r="C88" i="1"/>
  <c r="D88" i="1"/>
  <c r="E88" i="1"/>
  <c r="F88" i="1"/>
  <c r="H88" i="1"/>
  <c r="A89" i="1"/>
  <c r="B89" i="1"/>
  <c r="C89" i="1"/>
  <c r="D89" i="1"/>
  <c r="E89" i="1"/>
  <c r="F89" i="1"/>
  <c r="H89" i="1"/>
  <c r="A90" i="1"/>
  <c r="B90" i="1"/>
  <c r="C90" i="1"/>
  <c r="D90" i="1"/>
  <c r="E90" i="1"/>
  <c r="F90" i="1"/>
  <c r="H90" i="1"/>
  <c r="A91" i="1"/>
  <c r="B91" i="1"/>
  <c r="C91" i="1"/>
  <c r="D91" i="1"/>
  <c r="E91" i="1"/>
  <c r="F91" i="1"/>
  <c r="H91" i="1"/>
  <c r="A92" i="1"/>
  <c r="B92" i="1"/>
  <c r="C92" i="1"/>
  <c r="D92" i="1"/>
  <c r="E92" i="1"/>
  <c r="F92" i="1"/>
  <c r="H92" i="1"/>
  <c r="A93" i="1"/>
  <c r="B93" i="1"/>
  <c r="C93" i="1"/>
  <c r="D93" i="1"/>
  <c r="E93" i="1"/>
  <c r="F93" i="1"/>
  <c r="H93" i="1"/>
  <c r="A94" i="1"/>
  <c r="B94" i="1"/>
  <c r="C94" i="1"/>
  <c r="D94" i="1"/>
  <c r="E94" i="1"/>
  <c r="F94" i="1"/>
  <c r="H94" i="1"/>
  <c r="A95" i="1"/>
  <c r="B95" i="1"/>
  <c r="C95" i="1"/>
  <c r="D95" i="1"/>
  <c r="E95" i="1"/>
  <c r="F95" i="1"/>
  <c r="H95" i="1"/>
  <c r="A96" i="1"/>
  <c r="B96" i="1"/>
  <c r="C96" i="1"/>
  <c r="D96" i="1"/>
  <c r="E96" i="1"/>
  <c r="F96" i="1"/>
  <c r="H96" i="1"/>
  <c r="A97" i="1"/>
  <c r="B97" i="1"/>
  <c r="C97" i="1"/>
  <c r="D97" i="1"/>
  <c r="E97" i="1"/>
  <c r="F97" i="1"/>
  <c r="H97" i="1"/>
  <c r="A98" i="1"/>
  <c r="B98" i="1"/>
  <c r="C98" i="1"/>
  <c r="D98" i="1"/>
  <c r="E98" i="1"/>
  <c r="F98" i="1"/>
  <c r="H98" i="1"/>
  <c r="A99" i="1"/>
  <c r="B99" i="1"/>
  <c r="C99" i="1"/>
  <c r="D99" i="1"/>
  <c r="E99" i="1"/>
  <c r="F99" i="1"/>
  <c r="H99" i="1"/>
  <c r="A100" i="1"/>
  <c r="B100" i="1"/>
  <c r="C100" i="1"/>
  <c r="D100" i="1"/>
  <c r="E100" i="1"/>
  <c r="F100" i="1"/>
  <c r="H100" i="1"/>
  <c r="A101" i="1"/>
  <c r="B101" i="1"/>
  <c r="C101" i="1"/>
  <c r="D101" i="1"/>
  <c r="E101" i="1"/>
  <c r="F101" i="1"/>
  <c r="H101" i="1"/>
  <c r="A102" i="1"/>
  <c r="B102" i="1"/>
  <c r="C102" i="1"/>
  <c r="D102" i="1"/>
  <c r="E102" i="1"/>
  <c r="F102" i="1"/>
  <c r="H102" i="1"/>
  <c r="A103" i="1"/>
  <c r="B103" i="1"/>
  <c r="C103" i="1"/>
  <c r="D103" i="1"/>
  <c r="E103" i="1"/>
  <c r="F103" i="1"/>
  <c r="H103" i="1"/>
  <c r="A104" i="1"/>
  <c r="B104" i="1"/>
  <c r="C104" i="1"/>
  <c r="D104" i="1"/>
  <c r="E104" i="1"/>
  <c r="F104" i="1"/>
  <c r="H104" i="1"/>
  <c r="A105" i="1"/>
  <c r="B105" i="1"/>
  <c r="C105" i="1"/>
  <c r="D105" i="1"/>
  <c r="E105" i="1"/>
  <c r="F105" i="1"/>
  <c r="H105" i="1"/>
  <c r="A106" i="1"/>
  <c r="B106" i="1"/>
  <c r="C106" i="1"/>
  <c r="D106" i="1"/>
  <c r="E106" i="1"/>
  <c r="F106" i="1"/>
  <c r="H106" i="1"/>
  <c r="A107" i="1"/>
  <c r="B107" i="1"/>
  <c r="C107" i="1"/>
  <c r="D107" i="1"/>
  <c r="E107" i="1"/>
  <c r="F107" i="1"/>
  <c r="H107" i="1"/>
  <c r="A108" i="1"/>
  <c r="B108" i="1"/>
  <c r="C108" i="1"/>
  <c r="D108" i="1"/>
  <c r="E108" i="1"/>
  <c r="F108" i="1"/>
  <c r="H108" i="1"/>
  <c r="A109" i="1"/>
  <c r="B109" i="1"/>
  <c r="C109" i="1"/>
  <c r="D109" i="1"/>
  <c r="E109" i="1"/>
  <c r="F109" i="1"/>
  <c r="H109" i="1"/>
  <c r="A110" i="1"/>
  <c r="B110" i="1"/>
  <c r="C110" i="1"/>
  <c r="D110" i="1"/>
  <c r="E110" i="1"/>
  <c r="F110" i="1"/>
  <c r="H110" i="1"/>
  <c r="A111" i="1"/>
  <c r="B111" i="1"/>
  <c r="C111" i="1"/>
  <c r="D111" i="1"/>
  <c r="E111" i="1"/>
  <c r="F111" i="1"/>
  <c r="H111" i="1"/>
  <c r="A112" i="1"/>
  <c r="B112" i="1"/>
  <c r="C112" i="1"/>
  <c r="D112" i="1"/>
  <c r="E112" i="1"/>
  <c r="F112" i="1"/>
  <c r="H112" i="1"/>
  <c r="A113" i="1"/>
  <c r="B113" i="1"/>
  <c r="C113" i="1"/>
  <c r="D113" i="1"/>
  <c r="E113" i="1"/>
  <c r="F113" i="1"/>
  <c r="H113" i="1"/>
  <c r="A114" i="1"/>
  <c r="B114" i="1"/>
  <c r="C114" i="1"/>
  <c r="D114" i="1"/>
  <c r="E114" i="1"/>
  <c r="F114" i="1"/>
  <c r="H114" i="1"/>
  <c r="A115" i="1"/>
  <c r="B115" i="1"/>
  <c r="C115" i="1"/>
  <c r="D115" i="1"/>
  <c r="E115" i="1"/>
  <c r="F115" i="1"/>
  <c r="H115" i="1"/>
  <c r="A116" i="1"/>
  <c r="B116" i="1"/>
  <c r="C116" i="1"/>
  <c r="D116" i="1"/>
  <c r="E116" i="1"/>
  <c r="F116" i="1"/>
  <c r="H116" i="1"/>
  <c r="A117" i="1"/>
  <c r="B117" i="1"/>
  <c r="C117" i="1"/>
  <c r="D117" i="1"/>
  <c r="E117" i="1"/>
  <c r="F117" i="1"/>
  <c r="H117" i="1"/>
  <c r="A118" i="1"/>
  <c r="B118" i="1"/>
  <c r="C118" i="1"/>
  <c r="D118" i="1"/>
  <c r="E118" i="1"/>
  <c r="F118" i="1"/>
  <c r="H118" i="1"/>
  <c r="A119" i="1"/>
  <c r="B119" i="1"/>
  <c r="C119" i="1"/>
  <c r="D119" i="1"/>
  <c r="E119" i="1"/>
  <c r="F119" i="1"/>
  <c r="H119" i="1"/>
  <c r="A120" i="1"/>
  <c r="B120" i="1"/>
  <c r="C120" i="1"/>
  <c r="D120" i="1"/>
  <c r="E120" i="1"/>
  <c r="F120" i="1"/>
  <c r="H120" i="1"/>
  <c r="A121" i="1"/>
  <c r="B121" i="1"/>
  <c r="C121" i="1"/>
  <c r="D121" i="1"/>
  <c r="E121" i="1"/>
  <c r="F121" i="1"/>
  <c r="H121" i="1"/>
  <c r="A122" i="1"/>
  <c r="B122" i="1"/>
  <c r="C122" i="1"/>
  <c r="D122" i="1"/>
  <c r="E122" i="1"/>
  <c r="F122" i="1"/>
  <c r="H122" i="1"/>
  <c r="A123" i="1"/>
  <c r="B123" i="1"/>
  <c r="C123" i="1"/>
  <c r="D123" i="1"/>
  <c r="E123" i="1"/>
  <c r="F123" i="1"/>
  <c r="H123" i="1"/>
  <c r="A124" i="1"/>
  <c r="B124" i="1"/>
  <c r="C124" i="1"/>
  <c r="D124" i="1"/>
  <c r="E124" i="1"/>
  <c r="F124" i="1"/>
  <c r="H124" i="1"/>
  <c r="A125" i="1"/>
  <c r="B125" i="1"/>
  <c r="C125" i="1"/>
  <c r="D125" i="1"/>
  <c r="E125" i="1"/>
  <c r="F125" i="1"/>
  <c r="H125" i="1"/>
  <c r="A126" i="1"/>
  <c r="B126" i="1"/>
  <c r="C126" i="1"/>
  <c r="D126" i="1"/>
  <c r="E126" i="1"/>
  <c r="F126" i="1"/>
  <c r="H126" i="1"/>
  <c r="A127" i="1"/>
  <c r="B127" i="1"/>
  <c r="C127" i="1"/>
  <c r="D127" i="1"/>
  <c r="E127" i="1"/>
  <c r="F127" i="1"/>
  <c r="H127" i="1"/>
  <c r="A128" i="1"/>
  <c r="B128" i="1"/>
  <c r="C128" i="1"/>
  <c r="D128" i="1"/>
  <c r="E128" i="1"/>
  <c r="F128" i="1"/>
  <c r="H128" i="1"/>
  <c r="A129" i="1"/>
  <c r="B129" i="1"/>
  <c r="C129" i="1"/>
  <c r="D129" i="1"/>
  <c r="E129" i="1"/>
  <c r="F129" i="1"/>
  <c r="H129" i="1"/>
  <c r="A130" i="1"/>
  <c r="B130" i="1"/>
  <c r="C130" i="1"/>
  <c r="D130" i="1"/>
  <c r="E130" i="1"/>
  <c r="F130" i="1"/>
  <c r="H130" i="1"/>
  <c r="A131" i="1"/>
  <c r="B131" i="1"/>
  <c r="C131" i="1"/>
  <c r="D131" i="1"/>
  <c r="E131" i="1"/>
  <c r="F131" i="1"/>
  <c r="H131" i="1"/>
  <c r="A132" i="1"/>
  <c r="B132" i="1"/>
  <c r="C132" i="1"/>
  <c r="D132" i="1"/>
  <c r="E132" i="1"/>
  <c r="F132" i="1"/>
  <c r="H132" i="1"/>
  <c r="A133" i="1"/>
  <c r="B133" i="1"/>
  <c r="C133" i="1"/>
  <c r="D133" i="1"/>
  <c r="E133" i="1"/>
  <c r="F133" i="1"/>
  <c r="H133" i="1"/>
  <c r="A134" i="1"/>
  <c r="B134" i="1"/>
  <c r="C134" i="1"/>
  <c r="D134" i="1"/>
  <c r="E134" i="1"/>
  <c r="F134" i="1"/>
  <c r="H134" i="1"/>
  <c r="A135" i="1"/>
  <c r="B135" i="1"/>
  <c r="C135" i="1"/>
  <c r="D135" i="1"/>
  <c r="E135" i="1"/>
  <c r="F135" i="1"/>
  <c r="H135" i="1"/>
  <c r="A136" i="1"/>
  <c r="B136" i="1"/>
  <c r="C136" i="1"/>
  <c r="D136" i="1"/>
  <c r="E136" i="1"/>
  <c r="F136" i="1"/>
  <c r="H136" i="1"/>
  <c r="A137" i="1"/>
  <c r="B137" i="1"/>
  <c r="C137" i="1"/>
  <c r="D137" i="1"/>
  <c r="E137" i="1"/>
  <c r="F137" i="1"/>
  <c r="H137" i="1"/>
  <c r="A138" i="1"/>
  <c r="B138" i="1"/>
  <c r="C138" i="1"/>
  <c r="D138" i="1"/>
  <c r="E138" i="1"/>
  <c r="F138" i="1"/>
  <c r="H138" i="1"/>
  <c r="A139" i="1"/>
  <c r="B139" i="1"/>
  <c r="C139" i="1"/>
  <c r="D139" i="1"/>
  <c r="E139" i="1"/>
  <c r="F139" i="1"/>
  <c r="H139" i="1"/>
  <c r="A140" i="1"/>
  <c r="B140" i="1"/>
  <c r="C140" i="1"/>
  <c r="D140" i="1"/>
  <c r="E140" i="1"/>
  <c r="F140" i="1"/>
  <c r="H140" i="1"/>
  <c r="A141" i="1"/>
  <c r="B141" i="1"/>
  <c r="C141" i="1"/>
  <c r="D141" i="1"/>
  <c r="E141" i="1"/>
  <c r="F141" i="1"/>
  <c r="H141" i="1"/>
  <c r="A142" i="1"/>
  <c r="B142" i="1"/>
  <c r="C142" i="1"/>
  <c r="D142" i="1"/>
  <c r="E142" i="1"/>
  <c r="F142" i="1"/>
  <c r="H142" i="1"/>
  <c r="A143" i="1"/>
  <c r="B143" i="1"/>
  <c r="C143" i="1"/>
  <c r="D143" i="1"/>
  <c r="E143" i="1"/>
  <c r="F143" i="1"/>
  <c r="H143" i="1"/>
  <c r="A144" i="1"/>
  <c r="B144" i="1"/>
  <c r="C144" i="1"/>
  <c r="D144" i="1"/>
  <c r="E144" i="1"/>
  <c r="F144" i="1"/>
  <c r="H144" i="1"/>
  <c r="A145" i="1"/>
  <c r="B145" i="1"/>
  <c r="C145" i="1"/>
  <c r="D145" i="1"/>
  <c r="E145" i="1"/>
  <c r="F145" i="1"/>
  <c r="H145" i="1"/>
  <c r="A146" i="1"/>
  <c r="B146" i="1"/>
  <c r="C146" i="1"/>
  <c r="D146" i="1"/>
  <c r="E146" i="1"/>
  <c r="F146" i="1"/>
  <c r="H146" i="1"/>
  <c r="A147" i="1"/>
  <c r="B147" i="1"/>
  <c r="C147" i="1"/>
  <c r="D147" i="1"/>
  <c r="E147" i="1"/>
  <c r="F147" i="1"/>
  <c r="H147" i="1"/>
  <c r="A148" i="1"/>
  <c r="B148" i="1"/>
  <c r="C148" i="1"/>
  <c r="D148" i="1"/>
  <c r="E148" i="1"/>
  <c r="F148" i="1"/>
  <c r="H148" i="1"/>
  <c r="A149" i="1"/>
  <c r="B149" i="1"/>
  <c r="C149" i="1"/>
  <c r="D149" i="1"/>
  <c r="E149" i="1"/>
  <c r="F149" i="1"/>
  <c r="H149" i="1"/>
  <c r="A150" i="1"/>
  <c r="B150" i="1"/>
  <c r="C150" i="1"/>
  <c r="D150" i="1"/>
  <c r="E150" i="1"/>
  <c r="F150" i="1"/>
  <c r="H150" i="1"/>
  <c r="A151" i="1"/>
  <c r="B151" i="1"/>
  <c r="C151" i="1"/>
  <c r="D151" i="1"/>
  <c r="E151" i="1"/>
  <c r="F151" i="1"/>
  <c r="H151" i="1"/>
  <c r="A152" i="1"/>
  <c r="B152" i="1"/>
  <c r="C152" i="1"/>
  <c r="D152" i="1"/>
  <c r="E152" i="1"/>
  <c r="F152" i="1"/>
  <c r="H152" i="1"/>
  <c r="A153" i="1"/>
  <c r="B153" i="1"/>
  <c r="C153" i="1"/>
  <c r="D153" i="1"/>
  <c r="E153" i="1"/>
  <c r="F153" i="1"/>
  <c r="H153" i="1"/>
  <c r="A154" i="1"/>
  <c r="B154" i="1"/>
  <c r="C154" i="1"/>
  <c r="D154" i="1"/>
  <c r="E154" i="1"/>
  <c r="F154" i="1"/>
  <c r="H154" i="1"/>
  <c r="A155" i="1"/>
  <c r="B155" i="1"/>
  <c r="C155" i="1"/>
  <c r="D155" i="1"/>
  <c r="E155" i="1"/>
  <c r="F155" i="1"/>
  <c r="H155" i="1"/>
  <c r="A156" i="1"/>
  <c r="B156" i="1"/>
  <c r="C156" i="1"/>
  <c r="D156" i="1"/>
  <c r="E156" i="1"/>
  <c r="F156" i="1"/>
  <c r="H156" i="1"/>
  <c r="A157" i="1"/>
  <c r="B157" i="1"/>
  <c r="C157" i="1"/>
  <c r="D157" i="1"/>
  <c r="E157" i="1"/>
  <c r="F157" i="1"/>
  <c r="H157" i="1"/>
  <c r="A158" i="1"/>
  <c r="B158" i="1"/>
  <c r="C158" i="1"/>
  <c r="D158" i="1"/>
  <c r="E158" i="1"/>
  <c r="F158" i="1"/>
  <c r="H158" i="1"/>
  <c r="A159" i="1"/>
  <c r="B159" i="1"/>
  <c r="C159" i="1"/>
  <c r="D159" i="1"/>
  <c r="E159" i="1"/>
  <c r="F159" i="1"/>
  <c r="H159" i="1"/>
  <c r="A160" i="1"/>
  <c r="B160" i="1"/>
  <c r="C160" i="1"/>
  <c r="D160" i="1"/>
  <c r="E160" i="1"/>
  <c r="F160" i="1"/>
  <c r="H160" i="1"/>
  <c r="A161" i="1"/>
  <c r="B161" i="1"/>
  <c r="C161" i="1"/>
  <c r="D161" i="1"/>
  <c r="E161" i="1"/>
  <c r="F161" i="1"/>
  <c r="H161" i="1"/>
  <c r="A162" i="1"/>
  <c r="B162" i="1"/>
  <c r="C162" i="1"/>
  <c r="D162" i="1"/>
  <c r="E162" i="1"/>
  <c r="F162" i="1"/>
  <c r="H162" i="1"/>
  <c r="A163" i="1"/>
  <c r="B163" i="1"/>
  <c r="C163" i="1"/>
  <c r="D163" i="1"/>
  <c r="E163" i="1"/>
  <c r="F163" i="1"/>
  <c r="H163" i="1"/>
  <c r="A164" i="1"/>
  <c r="B164" i="1"/>
  <c r="C164" i="1"/>
  <c r="D164" i="1"/>
  <c r="E164" i="1"/>
  <c r="F164" i="1"/>
  <c r="H164" i="1"/>
  <c r="A165" i="1"/>
  <c r="B165" i="1"/>
  <c r="C165" i="1"/>
  <c r="D165" i="1"/>
  <c r="E165" i="1"/>
  <c r="F165" i="1"/>
  <c r="H165" i="1"/>
  <c r="A166" i="1"/>
  <c r="B166" i="1"/>
  <c r="C166" i="1"/>
  <c r="D166" i="1"/>
  <c r="E166" i="1"/>
  <c r="F166" i="1"/>
  <c r="H166" i="1"/>
  <c r="A167" i="1"/>
  <c r="B167" i="1"/>
  <c r="C167" i="1"/>
  <c r="D167" i="1"/>
  <c r="E167" i="1"/>
  <c r="F167" i="1"/>
  <c r="H167" i="1"/>
  <c r="A168" i="1"/>
  <c r="B168" i="1"/>
  <c r="C168" i="1"/>
  <c r="D168" i="1"/>
  <c r="E168" i="1"/>
  <c r="F168" i="1"/>
  <c r="H168" i="1"/>
  <c r="A169" i="1"/>
  <c r="B169" i="1"/>
  <c r="C169" i="1"/>
  <c r="D169" i="1"/>
  <c r="E169" i="1"/>
  <c r="F169" i="1"/>
  <c r="H169" i="1"/>
  <c r="A170" i="1"/>
  <c r="B170" i="1"/>
  <c r="C170" i="1"/>
  <c r="D170" i="1"/>
  <c r="E170" i="1"/>
  <c r="F170" i="1"/>
  <c r="H170" i="1"/>
  <c r="A171" i="1"/>
  <c r="B171" i="1"/>
  <c r="C171" i="1"/>
  <c r="D171" i="1"/>
  <c r="E171" i="1"/>
  <c r="F171" i="1"/>
  <c r="H171" i="1"/>
  <c r="A172" i="1"/>
  <c r="B172" i="1"/>
  <c r="C172" i="1"/>
  <c r="D172" i="1"/>
  <c r="E172" i="1"/>
  <c r="F172" i="1"/>
  <c r="H172" i="1"/>
  <c r="A173" i="1"/>
  <c r="B173" i="1"/>
  <c r="C173" i="1"/>
  <c r="D173" i="1"/>
  <c r="E173" i="1"/>
  <c r="F173" i="1"/>
  <c r="H173" i="1"/>
  <c r="A174" i="1"/>
  <c r="B174" i="1"/>
  <c r="C174" i="1"/>
  <c r="D174" i="1"/>
  <c r="E174" i="1"/>
  <c r="F174" i="1"/>
  <c r="H174" i="1"/>
  <c r="A175" i="1"/>
  <c r="B175" i="1"/>
  <c r="C175" i="1"/>
  <c r="D175" i="1"/>
  <c r="E175" i="1"/>
  <c r="F175" i="1"/>
  <c r="H175" i="1"/>
  <c r="A176" i="1"/>
  <c r="B176" i="1"/>
  <c r="C176" i="1"/>
  <c r="D176" i="1"/>
  <c r="E176" i="1"/>
  <c r="F176" i="1"/>
  <c r="H176" i="1"/>
  <c r="A177" i="1"/>
  <c r="B177" i="1"/>
  <c r="C177" i="1"/>
  <c r="D177" i="1"/>
  <c r="E177" i="1"/>
  <c r="F177" i="1"/>
  <c r="H177" i="1"/>
  <c r="A178" i="1"/>
  <c r="B178" i="1"/>
  <c r="C178" i="1"/>
  <c r="D178" i="1"/>
  <c r="E178" i="1"/>
  <c r="F178" i="1"/>
  <c r="H178" i="1"/>
  <c r="A179" i="1"/>
  <c r="B179" i="1"/>
  <c r="C179" i="1"/>
  <c r="D179" i="1"/>
  <c r="E179" i="1"/>
  <c r="F179" i="1"/>
  <c r="H179" i="1"/>
  <c r="A180" i="1"/>
  <c r="B180" i="1"/>
  <c r="C180" i="1"/>
  <c r="D180" i="1"/>
  <c r="E180" i="1"/>
  <c r="F180" i="1"/>
  <c r="H180" i="1"/>
  <c r="A181" i="1"/>
  <c r="B181" i="1"/>
  <c r="C181" i="1"/>
  <c r="D181" i="1"/>
  <c r="E181" i="1"/>
  <c r="F181" i="1"/>
  <c r="H181" i="1"/>
  <c r="A182" i="1"/>
  <c r="B182" i="1"/>
  <c r="C182" i="1"/>
  <c r="D182" i="1"/>
  <c r="E182" i="1"/>
  <c r="F182" i="1"/>
  <c r="H182" i="1"/>
  <c r="A183" i="1"/>
  <c r="B183" i="1"/>
  <c r="C183" i="1"/>
  <c r="D183" i="1"/>
  <c r="E183" i="1"/>
  <c r="F183" i="1"/>
  <c r="H183" i="1"/>
  <c r="A184" i="1"/>
  <c r="B184" i="1"/>
  <c r="C184" i="1"/>
  <c r="D184" i="1"/>
  <c r="E184" i="1"/>
  <c r="F184" i="1"/>
  <c r="H184" i="1"/>
  <c r="A185" i="1"/>
  <c r="B185" i="1"/>
  <c r="C185" i="1"/>
  <c r="D185" i="1"/>
  <c r="E185" i="1"/>
  <c r="F185" i="1"/>
  <c r="H185" i="1"/>
  <c r="A186" i="1"/>
  <c r="B186" i="1"/>
  <c r="C186" i="1"/>
  <c r="D186" i="1"/>
  <c r="E186" i="1"/>
  <c r="F186" i="1"/>
  <c r="H186" i="1"/>
  <c r="A187" i="1"/>
  <c r="B187" i="1"/>
  <c r="C187" i="1"/>
  <c r="D187" i="1"/>
  <c r="E187" i="1"/>
  <c r="F187" i="1"/>
  <c r="H187" i="1"/>
  <c r="A188" i="1"/>
  <c r="B188" i="1"/>
  <c r="C188" i="1"/>
  <c r="D188" i="1"/>
  <c r="E188" i="1"/>
  <c r="F188" i="1"/>
  <c r="H188" i="1"/>
  <c r="A189" i="1"/>
  <c r="B189" i="1"/>
  <c r="C189" i="1"/>
  <c r="D189" i="1"/>
  <c r="E189" i="1"/>
  <c r="F189" i="1"/>
  <c r="H189" i="1"/>
  <c r="A190" i="1"/>
  <c r="B190" i="1"/>
  <c r="C190" i="1"/>
  <c r="D190" i="1"/>
  <c r="E190" i="1"/>
  <c r="F190" i="1"/>
  <c r="H190" i="1"/>
  <c r="A191" i="1"/>
  <c r="B191" i="1"/>
  <c r="C191" i="1"/>
  <c r="D191" i="1"/>
  <c r="E191" i="1"/>
  <c r="F191" i="1"/>
  <c r="H191" i="1"/>
  <c r="A192" i="1"/>
  <c r="B192" i="1"/>
  <c r="C192" i="1"/>
  <c r="D192" i="1"/>
  <c r="E192" i="1"/>
  <c r="F192" i="1"/>
  <c r="H192" i="1"/>
  <c r="A193" i="1"/>
  <c r="B193" i="1"/>
  <c r="C193" i="1"/>
  <c r="D193" i="1"/>
  <c r="E193" i="1"/>
  <c r="F193" i="1"/>
  <c r="H193" i="1"/>
  <c r="A194" i="1"/>
  <c r="B194" i="1"/>
  <c r="C194" i="1"/>
  <c r="D194" i="1"/>
  <c r="E194" i="1"/>
  <c r="F194" i="1"/>
  <c r="H194" i="1"/>
  <c r="A195" i="1"/>
  <c r="B195" i="1"/>
  <c r="C195" i="1"/>
  <c r="D195" i="1"/>
  <c r="E195" i="1"/>
  <c r="F195" i="1"/>
  <c r="H195" i="1"/>
  <c r="A196" i="1"/>
  <c r="B196" i="1"/>
  <c r="C196" i="1"/>
  <c r="D196" i="1"/>
  <c r="E196" i="1"/>
  <c r="F196" i="1"/>
  <c r="H196" i="1"/>
  <c r="A197" i="1"/>
  <c r="B197" i="1"/>
  <c r="C197" i="1"/>
  <c r="D197" i="1"/>
  <c r="E197" i="1"/>
  <c r="F197" i="1"/>
  <c r="H197" i="1"/>
  <c r="A198" i="1"/>
  <c r="B198" i="1"/>
  <c r="C198" i="1"/>
  <c r="D198" i="1"/>
  <c r="E198" i="1"/>
  <c r="F198" i="1"/>
  <c r="H198" i="1"/>
  <c r="A199" i="1"/>
  <c r="B199" i="1"/>
  <c r="C199" i="1"/>
  <c r="D199" i="1"/>
  <c r="E199" i="1"/>
  <c r="F199" i="1"/>
  <c r="H199" i="1"/>
  <c r="A200" i="1"/>
  <c r="B200" i="1"/>
  <c r="C200" i="1"/>
  <c r="D200" i="1"/>
  <c r="E200" i="1"/>
  <c r="F200" i="1"/>
  <c r="H200" i="1"/>
  <c r="A201" i="1"/>
  <c r="B201" i="1"/>
  <c r="C201" i="1"/>
  <c r="D201" i="1"/>
  <c r="E201" i="1"/>
  <c r="F201" i="1"/>
  <c r="H201" i="1"/>
  <c r="A202" i="1"/>
  <c r="B202" i="1"/>
  <c r="C202" i="1"/>
  <c r="D202" i="1"/>
  <c r="E202" i="1"/>
  <c r="F202" i="1"/>
  <c r="H202" i="1"/>
  <c r="A203" i="1"/>
  <c r="B203" i="1"/>
  <c r="C203" i="1"/>
  <c r="D203" i="1"/>
  <c r="E203" i="1"/>
  <c r="F203" i="1"/>
  <c r="H203" i="1"/>
  <c r="A204" i="1"/>
  <c r="B204" i="1"/>
  <c r="C204" i="1"/>
  <c r="D204" i="1"/>
  <c r="E204" i="1"/>
  <c r="F204" i="1"/>
  <c r="H204" i="1"/>
  <c r="A205" i="1"/>
  <c r="B205" i="1"/>
  <c r="C205" i="1"/>
  <c r="D205" i="1"/>
  <c r="E205" i="1"/>
  <c r="F205" i="1"/>
  <c r="H205" i="1"/>
  <c r="A206" i="1"/>
  <c r="B206" i="1"/>
  <c r="C206" i="1"/>
  <c r="D206" i="1"/>
  <c r="E206" i="1"/>
  <c r="F206" i="1"/>
  <c r="H206" i="1"/>
  <c r="A207" i="1"/>
  <c r="B207" i="1"/>
  <c r="C207" i="1"/>
  <c r="D207" i="1"/>
  <c r="E207" i="1"/>
  <c r="F207" i="1"/>
  <c r="H207" i="1"/>
  <c r="A208" i="1"/>
  <c r="B208" i="1"/>
  <c r="C208" i="1"/>
  <c r="D208" i="1"/>
  <c r="E208" i="1"/>
  <c r="F208" i="1"/>
  <c r="H208" i="1"/>
  <c r="A209" i="1"/>
  <c r="B209" i="1"/>
  <c r="C209" i="1"/>
  <c r="D209" i="1"/>
  <c r="E209" i="1"/>
  <c r="F209" i="1"/>
  <c r="H209" i="1"/>
  <c r="A210" i="1"/>
  <c r="B210" i="1"/>
  <c r="C210" i="1"/>
  <c r="D210" i="1"/>
  <c r="E210" i="1"/>
  <c r="F210" i="1"/>
  <c r="H210" i="1"/>
  <c r="A211" i="1"/>
  <c r="B211" i="1"/>
  <c r="C211" i="1"/>
  <c r="D211" i="1"/>
  <c r="E211" i="1"/>
  <c r="F211" i="1"/>
  <c r="H211" i="1"/>
  <c r="A212" i="1"/>
  <c r="B212" i="1"/>
  <c r="C212" i="1"/>
  <c r="D212" i="1"/>
  <c r="E212" i="1"/>
  <c r="F212" i="1"/>
  <c r="H212" i="1"/>
  <c r="A213" i="1"/>
  <c r="B213" i="1"/>
  <c r="C213" i="1"/>
  <c r="D213" i="1"/>
  <c r="E213" i="1"/>
  <c r="F213" i="1"/>
  <c r="H213" i="1"/>
  <c r="A214" i="1"/>
  <c r="B214" i="1"/>
  <c r="C214" i="1"/>
  <c r="D214" i="1"/>
  <c r="E214" i="1"/>
  <c r="F214" i="1"/>
  <c r="H214" i="1"/>
  <c r="A215" i="1"/>
  <c r="B215" i="1"/>
  <c r="C215" i="1"/>
  <c r="D215" i="1"/>
  <c r="E215" i="1"/>
  <c r="F215" i="1"/>
  <c r="H215" i="1"/>
  <c r="A216" i="1"/>
  <c r="B216" i="1"/>
  <c r="C216" i="1"/>
  <c r="D216" i="1"/>
  <c r="E216" i="1"/>
  <c r="F216" i="1"/>
  <c r="H216" i="1"/>
  <c r="A217" i="1"/>
  <c r="B217" i="1"/>
  <c r="C217" i="1"/>
  <c r="D217" i="1"/>
  <c r="E217" i="1"/>
  <c r="F217" i="1"/>
  <c r="H217" i="1"/>
  <c r="A218" i="1"/>
  <c r="B218" i="1"/>
  <c r="C218" i="1"/>
  <c r="D218" i="1"/>
  <c r="E218" i="1"/>
  <c r="F218" i="1"/>
  <c r="H218" i="1"/>
  <c r="A219" i="1"/>
  <c r="B219" i="1"/>
  <c r="C219" i="1"/>
  <c r="D219" i="1"/>
  <c r="E219" i="1"/>
  <c r="F219" i="1"/>
  <c r="H219" i="1"/>
  <c r="A220" i="1"/>
  <c r="B220" i="1"/>
  <c r="C220" i="1"/>
  <c r="D220" i="1"/>
  <c r="E220" i="1"/>
  <c r="F220" i="1"/>
  <c r="H220" i="1"/>
  <c r="A221" i="1"/>
  <c r="B221" i="1"/>
  <c r="C221" i="1"/>
  <c r="D221" i="1"/>
  <c r="E221" i="1"/>
  <c r="F221" i="1"/>
  <c r="H221" i="1"/>
  <c r="A222" i="1"/>
  <c r="B222" i="1"/>
  <c r="C222" i="1"/>
  <c r="D222" i="1"/>
  <c r="E222" i="1"/>
  <c r="F222" i="1"/>
  <c r="H222" i="1"/>
  <c r="A223" i="1"/>
  <c r="B223" i="1"/>
  <c r="C223" i="1"/>
  <c r="D223" i="1"/>
  <c r="E223" i="1"/>
  <c r="F223" i="1"/>
  <c r="H223" i="1"/>
  <c r="A224" i="1"/>
  <c r="B224" i="1"/>
  <c r="C224" i="1"/>
  <c r="D224" i="1"/>
  <c r="E224" i="1"/>
  <c r="F224" i="1"/>
  <c r="H224" i="1"/>
  <c r="A225" i="1"/>
  <c r="B225" i="1"/>
  <c r="C225" i="1"/>
  <c r="D225" i="1"/>
  <c r="E225" i="1"/>
  <c r="F225" i="1"/>
  <c r="H225" i="1"/>
  <c r="A226" i="1"/>
  <c r="B226" i="1"/>
  <c r="C226" i="1"/>
  <c r="D226" i="1"/>
  <c r="E226" i="1"/>
  <c r="F226" i="1"/>
  <c r="H226" i="1"/>
  <c r="A227" i="1"/>
  <c r="B227" i="1"/>
  <c r="C227" i="1"/>
  <c r="D227" i="1"/>
  <c r="E227" i="1"/>
  <c r="F227" i="1"/>
  <c r="H227" i="1"/>
  <c r="A228" i="1"/>
  <c r="B228" i="1"/>
  <c r="C228" i="1"/>
  <c r="D228" i="1"/>
  <c r="E228" i="1"/>
  <c r="F228" i="1"/>
  <c r="H228" i="1"/>
  <c r="A229" i="1"/>
  <c r="B229" i="1"/>
  <c r="C229" i="1"/>
  <c r="D229" i="1"/>
  <c r="E229" i="1"/>
  <c r="F229" i="1"/>
  <c r="H229" i="1"/>
  <c r="A230" i="1"/>
  <c r="B230" i="1"/>
  <c r="C230" i="1"/>
  <c r="D230" i="1"/>
  <c r="E230" i="1"/>
  <c r="F230" i="1"/>
  <c r="H230" i="1"/>
  <c r="A231" i="1"/>
  <c r="B231" i="1"/>
  <c r="C231" i="1"/>
  <c r="D231" i="1"/>
  <c r="E231" i="1"/>
  <c r="F231" i="1"/>
  <c r="H231" i="1"/>
  <c r="A232" i="1"/>
  <c r="B232" i="1"/>
  <c r="C232" i="1"/>
  <c r="D232" i="1"/>
  <c r="E232" i="1"/>
  <c r="F232" i="1"/>
  <c r="H232" i="1"/>
  <c r="A233" i="1"/>
  <c r="B233" i="1"/>
  <c r="C233" i="1"/>
  <c r="D233" i="1"/>
  <c r="E233" i="1"/>
  <c r="F233" i="1"/>
  <c r="H233" i="1"/>
  <c r="A234" i="1"/>
  <c r="B234" i="1"/>
  <c r="C234" i="1"/>
  <c r="D234" i="1"/>
  <c r="E234" i="1"/>
  <c r="F234" i="1"/>
  <c r="H234" i="1"/>
  <c r="A235" i="1"/>
  <c r="B235" i="1"/>
  <c r="C235" i="1"/>
  <c r="D235" i="1"/>
  <c r="E235" i="1"/>
  <c r="F235" i="1"/>
  <c r="H235" i="1"/>
  <c r="A236" i="1"/>
  <c r="B236" i="1"/>
  <c r="C236" i="1"/>
  <c r="D236" i="1"/>
  <c r="E236" i="1"/>
  <c r="F236" i="1"/>
  <c r="H236" i="1"/>
  <c r="A237" i="1"/>
  <c r="B237" i="1"/>
  <c r="C237" i="1"/>
  <c r="D237" i="1"/>
  <c r="E237" i="1"/>
  <c r="F237" i="1"/>
  <c r="H237" i="1"/>
  <c r="A238" i="1"/>
  <c r="B238" i="1"/>
  <c r="C238" i="1"/>
  <c r="D238" i="1"/>
  <c r="E238" i="1"/>
  <c r="F238" i="1"/>
  <c r="H238" i="1"/>
  <c r="A239" i="1"/>
  <c r="B239" i="1"/>
  <c r="C239" i="1"/>
  <c r="D239" i="1"/>
  <c r="E239" i="1"/>
  <c r="F239" i="1"/>
  <c r="H239" i="1"/>
  <c r="A240" i="1"/>
  <c r="B240" i="1"/>
  <c r="C240" i="1"/>
  <c r="D240" i="1"/>
  <c r="E240" i="1"/>
  <c r="F240" i="1"/>
  <c r="H240" i="1"/>
  <c r="A241" i="1"/>
  <c r="B241" i="1"/>
  <c r="C241" i="1"/>
  <c r="D241" i="1"/>
  <c r="E241" i="1"/>
  <c r="F241" i="1"/>
  <c r="H241" i="1"/>
  <c r="A242" i="1"/>
  <c r="B242" i="1"/>
  <c r="C242" i="1"/>
  <c r="D242" i="1"/>
  <c r="E242" i="1"/>
  <c r="F242" i="1"/>
  <c r="H242" i="1"/>
  <c r="A243" i="1"/>
  <c r="B243" i="1"/>
  <c r="C243" i="1"/>
  <c r="D243" i="1"/>
  <c r="E243" i="1"/>
  <c r="F243" i="1"/>
  <c r="H243" i="1"/>
  <c r="A244" i="1"/>
  <c r="B244" i="1"/>
  <c r="C244" i="1"/>
  <c r="D244" i="1"/>
  <c r="E244" i="1"/>
  <c r="F244" i="1"/>
  <c r="H244" i="1"/>
  <c r="A245" i="1"/>
  <c r="B245" i="1"/>
  <c r="C245" i="1"/>
  <c r="D245" i="1"/>
  <c r="E245" i="1"/>
  <c r="F245" i="1"/>
  <c r="H245" i="1"/>
  <c r="A246" i="1"/>
  <c r="B246" i="1"/>
  <c r="C246" i="1"/>
  <c r="D246" i="1"/>
  <c r="E246" i="1"/>
  <c r="F246" i="1"/>
  <c r="H246" i="1"/>
  <c r="A247" i="1"/>
  <c r="B247" i="1"/>
  <c r="C247" i="1"/>
  <c r="D247" i="1"/>
  <c r="E247" i="1"/>
  <c r="F247" i="1"/>
  <c r="H247" i="1"/>
  <c r="A248" i="1"/>
  <c r="B248" i="1"/>
  <c r="C248" i="1"/>
  <c r="D248" i="1"/>
  <c r="E248" i="1"/>
  <c r="F248" i="1"/>
  <c r="H248" i="1"/>
  <c r="A249" i="1"/>
  <c r="B249" i="1"/>
  <c r="C249" i="1"/>
  <c r="D249" i="1"/>
  <c r="E249" i="1"/>
  <c r="F249" i="1"/>
  <c r="H249" i="1"/>
  <c r="A250" i="1"/>
  <c r="B250" i="1"/>
  <c r="C250" i="1"/>
  <c r="D250" i="1"/>
  <c r="E250" i="1"/>
  <c r="F250" i="1"/>
  <c r="H250" i="1"/>
  <c r="A251" i="1"/>
  <c r="B251" i="1"/>
  <c r="C251" i="1"/>
  <c r="D251" i="1"/>
  <c r="E251" i="1"/>
  <c r="F251" i="1"/>
  <c r="H251" i="1"/>
  <c r="A252" i="1"/>
  <c r="B252" i="1"/>
  <c r="C252" i="1"/>
  <c r="D252" i="1"/>
  <c r="E252" i="1"/>
  <c r="F252" i="1"/>
  <c r="H252" i="1"/>
  <c r="A253" i="1"/>
  <c r="B253" i="1"/>
  <c r="C253" i="1"/>
  <c r="D253" i="1"/>
  <c r="E253" i="1"/>
  <c r="F253" i="1"/>
  <c r="H253" i="1"/>
  <c r="A254" i="1"/>
  <c r="B254" i="1"/>
  <c r="C254" i="1"/>
  <c r="D254" i="1"/>
  <c r="E254" i="1"/>
  <c r="F254" i="1"/>
  <c r="H254" i="1"/>
  <c r="A255" i="1"/>
  <c r="B255" i="1"/>
  <c r="C255" i="1"/>
  <c r="D255" i="1"/>
  <c r="E255" i="1"/>
  <c r="F255" i="1"/>
  <c r="H255" i="1"/>
  <c r="A256" i="1"/>
  <c r="B256" i="1"/>
  <c r="C256" i="1"/>
  <c r="D256" i="1"/>
  <c r="E256" i="1"/>
  <c r="F256" i="1"/>
  <c r="H256" i="1"/>
  <c r="A257" i="1"/>
  <c r="B257" i="1"/>
  <c r="C257" i="1"/>
  <c r="D257" i="1"/>
  <c r="E257" i="1"/>
  <c r="F257" i="1"/>
  <c r="H257" i="1"/>
  <c r="A258" i="1"/>
  <c r="B258" i="1"/>
  <c r="C258" i="1"/>
  <c r="D258" i="1"/>
  <c r="E258" i="1"/>
  <c r="F258" i="1"/>
  <c r="H258" i="1"/>
  <c r="A259" i="1"/>
  <c r="B259" i="1"/>
  <c r="C259" i="1"/>
  <c r="D259" i="1"/>
  <c r="E259" i="1"/>
  <c r="F259" i="1"/>
  <c r="H259" i="1"/>
  <c r="A260" i="1"/>
  <c r="B260" i="1"/>
  <c r="C260" i="1"/>
  <c r="D260" i="1"/>
  <c r="E260" i="1"/>
  <c r="F260" i="1"/>
  <c r="H260" i="1"/>
  <c r="A261" i="1"/>
  <c r="B261" i="1"/>
  <c r="C261" i="1"/>
  <c r="D261" i="1"/>
  <c r="E261" i="1"/>
  <c r="F261" i="1"/>
  <c r="H261" i="1"/>
  <c r="A262" i="1"/>
  <c r="B262" i="1"/>
  <c r="C262" i="1"/>
  <c r="D262" i="1"/>
  <c r="E262" i="1"/>
  <c r="F262" i="1"/>
  <c r="H262" i="1"/>
  <c r="A263" i="1"/>
  <c r="B263" i="1"/>
  <c r="C263" i="1"/>
  <c r="D263" i="1"/>
  <c r="E263" i="1"/>
  <c r="F263" i="1"/>
  <c r="H263" i="1"/>
  <c r="A264" i="1"/>
  <c r="B264" i="1"/>
  <c r="C264" i="1"/>
  <c r="D264" i="1"/>
  <c r="E264" i="1"/>
  <c r="F264" i="1"/>
  <c r="H264" i="1"/>
  <c r="A265" i="1"/>
  <c r="B265" i="1"/>
  <c r="C265" i="1"/>
  <c r="D265" i="1"/>
  <c r="E265" i="1"/>
  <c r="F265" i="1"/>
  <c r="H265" i="1"/>
  <c r="A266" i="1"/>
  <c r="B266" i="1"/>
  <c r="C266" i="1"/>
  <c r="D266" i="1"/>
  <c r="E266" i="1"/>
  <c r="F266" i="1"/>
  <c r="H266" i="1"/>
  <c r="A267" i="1"/>
  <c r="B267" i="1"/>
  <c r="C267" i="1"/>
  <c r="D267" i="1"/>
  <c r="E267" i="1"/>
  <c r="F267" i="1"/>
  <c r="H267" i="1"/>
  <c r="A268" i="1"/>
  <c r="B268" i="1"/>
  <c r="C268" i="1"/>
  <c r="D268" i="1"/>
  <c r="E268" i="1"/>
  <c r="F268" i="1"/>
  <c r="H268" i="1"/>
  <c r="A269" i="1"/>
  <c r="B269" i="1"/>
  <c r="C269" i="1"/>
  <c r="D269" i="1"/>
  <c r="E269" i="1"/>
  <c r="F269" i="1"/>
  <c r="H269" i="1"/>
  <c r="A270" i="1"/>
  <c r="B270" i="1"/>
  <c r="C270" i="1"/>
  <c r="D270" i="1"/>
  <c r="E270" i="1"/>
  <c r="F270" i="1"/>
  <c r="H270" i="1"/>
  <c r="A271" i="1"/>
  <c r="B271" i="1"/>
  <c r="C271" i="1"/>
  <c r="D271" i="1"/>
  <c r="E271" i="1"/>
  <c r="F271" i="1"/>
  <c r="H271" i="1"/>
  <c r="A272" i="1"/>
  <c r="B272" i="1"/>
  <c r="C272" i="1"/>
  <c r="D272" i="1"/>
  <c r="E272" i="1"/>
  <c r="F272" i="1"/>
  <c r="H272" i="1"/>
  <c r="A273" i="1"/>
  <c r="B273" i="1"/>
  <c r="C273" i="1"/>
  <c r="D273" i="1"/>
  <c r="E273" i="1"/>
  <c r="F273" i="1"/>
  <c r="H273" i="1"/>
  <c r="A274" i="1"/>
  <c r="B274" i="1"/>
  <c r="C274" i="1"/>
  <c r="D274" i="1"/>
  <c r="E274" i="1"/>
  <c r="F274" i="1"/>
  <c r="H274" i="1"/>
  <c r="A275" i="1"/>
  <c r="B275" i="1"/>
  <c r="C275" i="1"/>
  <c r="D275" i="1"/>
  <c r="E275" i="1"/>
  <c r="F275" i="1"/>
  <c r="H275" i="1"/>
  <c r="A276" i="1"/>
  <c r="B276" i="1"/>
  <c r="C276" i="1"/>
  <c r="D276" i="1"/>
  <c r="E276" i="1"/>
  <c r="F276" i="1"/>
  <c r="H276" i="1"/>
  <c r="A277" i="1"/>
  <c r="B277" i="1"/>
  <c r="C277" i="1"/>
  <c r="D277" i="1"/>
  <c r="E277" i="1"/>
  <c r="F277" i="1"/>
  <c r="H277" i="1"/>
  <c r="A278" i="1"/>
  <c r="B278" i="1"/>
  <c r="C278" i="1"/>
  <c r="D278" i="1"/>
  <c r="E278" i="1"/>
  <c r="F278" i="1"/>
  <c r="H278" i="1"/>
  <c r="A279" i="1"/>
  <c r="B279" i="1"/>
  <c r="C279" i="1"/>
  <c r="D279" i="1"/>
  <c r="E279" i="1"/>
  <c r="F279" i="1"/>
  <c r="H279" i="1"/>
  <c r="A280" i="1"/>
  <c r="B280" i="1"/>
  <c r="C280" i="1"/>
  <c r="D280" i="1"/>
  <c r="E280" i="1"/>
  <c r="F280" i="1"/>
  <c r="H280" i="1"/>
  <c r="A281" i="1"/>
  <c r="B281" i="1"/>
  <c r="C281" i="1"/>
  <c r="D281" i="1"/>
  <c r="E281" i="1"/>
  <c r="F281" i="1"/>
  <c r="H281" i="1"/>
  <c r="A282" i="1"/>
  <c r="B282" i="1"/>
  <c r="C282" i="1"/>
  <c r="D282" i="1"/>
  <c r="E282" i="1"/>
  <c r="F282" i="1"/>
  <c r="H282" i="1"/>
  <c r="A283" i="1"/>
  <c r="B283" i="1"/>
  <c r="C283" i="1"/>
  <c r="D283" i="1"/>
  <c r="E283" i="1"/>
  <c r="F283" i="1"/>
  <c r="H283" i="1"/>
  <c r="A284" i="1"/>
  <c r="B284" i="1"/>
  <c r="C284" i="1"/>
  <c r="D284" i="1"/>
  <c r="E284" i="1"/>
  <c r="F284" i="1"/>
  <c r="H284" i="1"/>
  <c r="A285" i="1"/>
  <c r="B285" i="1"/>
  <c r="C285" i="1"/>
  <c r="D285" i="1"/>
  <c r="E285" i="1"/>
  <c r="F285" i="1"/>
  <c r="H285" i="1"/>
  <c r="A286" i="1"/>
  <c r="B286" i="1"/>
  <c r="C286" i="1"/>
  <c r="D286" i="1"/>
  <c r="E286" i="1"/>
  <c r="F286" i="1"/>
  <c r="H286" i="1"/>
  <c r="A287" i="1"/>
  <c r="B287" i="1"/>
  <c r="C287" i="1"/>
  <c r="D287" i="1"/>
  <c r="E287" i="1"/>
  <c r="F287" i="1"/>
  <c r="H287" i="1"/>
  <c r="A288" i="1"/>
  <c r="B288" i="1"/>
  <c r="C288" i="1"/>
  <c r="D288" i="1"/>
  <c r="E288" i="1"/>
  <c r="F288" i="1"/>
  <c r="H288" i="1"/>
  <c r="A289" i="1"/>
  <c r="B289" i="1"/>
  <c r="C289" i="1"/>
  <c r="D289" i="1"/>
  <c r="E289" i="1"/>
  <c r="F289" i="1"/>
  <c r="H289" i="1"/>
  <c r="A290" i="1"/>
  <c r="B290" i="1"/>
  <c r="C290" i="1"/>
  <c r="D290" i="1"/>
  <c r="E290" i="1"/>
  <c r="F290" i="1"/>
  <c r="H290" i="1"/>
  <c r="A291" i="1"/>
  <c r="B291" i="1"/>
  <c r="C291" i="1"/>
  <c r="D291" i="1"/>
  <c r="E291" i="1"/>
  <c r="F291" i="1"/>
  <c r="H291" i="1"/>
  <c r="A292" i="1"/>
  <c r="B292" i="1"/>
  <c r="C292" i="1"/>
  <c r="D292" i="1"/>
  <c r="E292" i="1"/>
  <c r="F292" i="1"/>
  <c r="H292" i="1"/>
  <c r="A293" i="1"/>
  <c r="B293" i="1"/>
  <c r="C293" i="1"/>
  <c r="D293" i="1"/>
  <c r="E293" i="1"/>
  <c r="F293" i="1"/>
  <c r="H293" i="1"/>
  <c r="A294" i="1"/>
  <c r="B294" i="1"/>
  <c r="C294" i="1"/>
  <c r="D294" i="1"/>
  <c r="E294" i="1"/>
  <c r="F294" i="1"/>
  <c r="H294" i="1"/>
  <c r="A295" i="1"/>
  <c r="B295" i="1"/>
  <c r="C295" i="1"/>
  <c r="D295" i="1"/>
  <c r="E295" i="1"/>
  <c r="F295" i="1"/>
  <c r="H295" i="1"/>
  <c r="A296" i="1"/>
  <c r="B296" i="1"/>
  <c r="C296" i="1"/>
  <c r="D296" i="1"/>
  <c r="E296" i="1"/>
  <c r="F296" i="1"/>
  <c r="H296" i="1"/>
  <c r="A297" i="1"/>
  <c r="B297" i="1"/>
  <c r="C297" i="1"/>
  <c r="D297" i="1"/>
  <c r="E297" i="1"/>
  <c r="F297" i="1"/>
  <c r="H297" i="1"/>
  <c r="A298" i="1"/>
  <c r="B298" i="1"/>
  <c r="C298" i="1"/>
  <c r="D298" i="1"/>
  <c r="E298" i="1"/>
  <c r="F298" i="1"/>
  <c r="H298" i="1"/>
  <c r="A299" i="1"/>
  <c r="B299" i="1"/>
  <c r="C299" i="1"/>
  <c r="D299" i="1"/>
  <c r="E299" i="1"/>
  <c r="F299" i="1"/>
  <c r="H299" i="1"/>
  <c r="A300" i="1"/>
  <c r="B300" i="1"/>
  <c r="C300" i="1"/>
  <c r="D300" i="1"/>
  <c r="E300" i="1"/>
  <c r="F300" i="1"/>
  <c r="H300" i="1"/>
  <c r="A301" i="1"/>
  <c r="B301" i="1"/>
  <c r="C301" i="1"/>
  <c r="D301" i="1"/>
  <c r="E301" i="1"/>
  <c r="F301" i="1"/>
  <c r="H301" i="1"/>
  <c r="A302" i="1"/>
  <c r="B302" i="1"/>
  <c r="C302" i="1"/>
  <c r="D302" i="1"/>
  <c r="E302" i="1"/>
  <c r="F302" i="1"/>
  <c r="H302" i="1"/>
  <c r="A303" i="1"/>
  <c r="B303" i="1"/>
  <c r="C303" i="1"/>
  <c r="D303" i="1"/>
  <c r="E303" i="1"/>
  <c r="F303" i="1"/>
  <c r="H303" i="1"/>
  <c r="A304" i="1"/>
  <c r="B304" i="1"/>
  <c r="C304" i="1"/>
  <c r="D304" i="1"/>
  <c r="E304" i="1"/>
  <c r="F304" i="1"/>
  <c r="H304" i="1"/>
  <c r="A305" i="1"/>
  <c r="B305" i="1"/>
  <c r="C305" i="1"/>
  <c r="D305" i="1"/>
  <c r="E305" i="1"/>
  <c r="F305" i="1"/>
  <c r="H305" i="1"/>
  <c r="A306" i="1"/>
  <c r="B306" i="1"/>
  <c r="C306" i="1"/>
  <c r="D306" i="1"/>
  <c r="E306" i="1"/>
  <c r="F306" i="1"/>
  <c r="H306" i="1"/>
  <c r="A307" i="1"/>
  <c r="B307" i="1"/>
  <c r="C307" i="1"/>
  <c r="D307" i="1"/>
  <c r="E307" i="1"/>
  <c r="F307" i="1"/>
  <c r="H307" i="1"/>
  <c r="A308" i="1"/>
  <c r="B308" i="1"/>
  <c r="C308" i="1"/>
  <c r="D308" i="1"/>
  <c r="E308" i="1"/>
  <c r="F308" i="1"/>
  <c r="H308" i="1"/>
  <c r="A309" i="1"/>
  <c r="B309" i="1"/>
  <c r="C309" i="1"/>
  <c r="D309" i="1"/>
  <c r="E309" i="1"/>
  <c r="F309" i="1"/>
  <c r="H309" i="1"/>
  <c r="A310" i="1"/>
  <c r="B310" i="1"/>
  <c r="C310" i="1"/>
  <c r="D310" i="1"/>
  <c r="E310" i="1"/>
  <c r="F310" i="1"/>
  <c r="H310" i="1"/>
  <c r="A311" i="1"/>
  <c r="B311" i="1"/>
  <c r="C311" i="1"/>
  <c r="D311" i="1"/>
  <c r="E311" i="1"/>
  <c r="F311" i="1"/>
  <c r="H311" i="1"/>
  <c r="A312" i="1"/>
  <c r="B312" i="1"/>
  <c r="C312" i="1"/>
  <c r="D312" i="1"/>
  <c r="E312" i="1"/>
  <c r="F312" i="1"/>
  <c r="H312" i="1"/>
  <c r="A313" i="1"/>
  <c r="B313" i="1"/>
  <c r="C313" i="1"/>
  <c r="D313" i="1"/>
  <c r="E313" i="1"/>
  <c r="F313" i="1"/>
  <c r="H313" i="1"/>
  <c r="A314" i="1"/>
  <c r="B314" i="1"/>
  <c r="C314" i="1"/>
  <c r="D314" i="1"/>
  <c r="E314" i="1"/>
  <c r="F314" i="1"/>
  <c r="H314" i="1"/>
  <c r="A315" i="1"/>
  <c r="B315" i="1"/>
  <c r="C315" i="1"/>
  <c r="D315" i="1"/>
  <c r="E315" i="1"/>
  <c r="F315" i="1"/>
  <c r="H315" i="1"/>
  <c r="A316" i="1"/>
  <c r="B316" i="1"/>
  <c r="C316" i="1"/>
  <c r="D316" i="1"/>
  <c r="E316" i="1"/>
  <c r="F316" i="1"/>
  <c r="H316" i="1"/>
  <c r="A317" i="1"/>
  <c r="B317" i="1"/>
  <c r="C317" i="1"/>
  <c r="D317" i="1"/>
  <c r="E317" i="1"/>
  <c r="F317" i="1"/>
  <c r="H317" i="1"/>
  <c r="A318" i="1"/>
  <c r="B318" i="1"/>
  <c r="C318" i="1"/>
  <c r="D318" i="1"/>
  <c r="E318" i="1"/>
  <c r="F318" i="1"/>
  <c r="H318" i="1"/>
  <c r="A319" i="1"/>
  <c r="B319" i="1"/>
  <c r="C319" i="1"/>
  <c r="D319" i="1"/>
  <c r="E319" i="1"/>
  <c r="F319" i="1"/>
  <c r="H319" i="1"/>
  <c r="A320" i="1"/>
  <c r="B320" i="1"/>
  <c r="C320" i="1"/>
  <c r="D320" i="1"/>
  <c r="E320" i="1"/>
  <c r="F320" i="1"/>
  <c r="H320" i="1"/>
  <c r="A321" i="1"/>
  <c r="B321" i="1"/>
  <c r="C321" i="1"/>
  <c r="D321" i="1"/>
  <c r="E321" i="1"/>
  <c r="F321" i="1"/>
  <c r="H321" i="1"/>
  <c r="A322" i="1"/>
  <c r="B322" i="1"/>
  <c r="C322" i="1"/>
  <c r="D322" i="1"/>
  <c r="E322" i="1"/>
  <c r="F322" i="1"/>
  <c r="H322" i="1"/>
  <c r="A323" i="1"/>
  <c r="B323" i="1"/>
  <c r="C323" i="1"/>
  <c r="D323" i="1"/>
  <c r="E323" i="1"/>
  <c r="F323" i="1"/>
  <c r="H323" i="1"/>
  <c r="A324" i="1"/>
  <c r="B324" i="1"/>
  <c r="C324" i="1"/>
  <c r="D324" i="1"/>
  <c r="E324" i="1"/>
  <c r="F324" i="1"/>
  <c r="H324" i="1"/>
  <c r="A325" i="1"/>
  <c r="B325" i="1"/>
  <c r="C325" i="1"/>
  <c r="D325" i="1"/>
  <c r="E325" i="1"/>
  <c r="F325" i="1"/>
  <c r="H325" i="1"/>
  <c r="A326" i="1"/>
  <c r="B326" i="1"/>
  <c r="C326" i="1"/>
  <c r="D326" i="1"/>
  <c r="E326" i="1"/>
  <c r="F326" i="1"/>
  <c r="H326" i="1"/>
  <c r="A327" i="1"/>
  <c r="B327" i="1"/>
  <c r="C327" i="1"/>
  <c r="D327" i="1"/>
  <c r="E327" i="1"/>
  <c r="F327" i="1"/>
  <c r="H327" i="1"/>
  <c r="A328" i="1"/>
  <c r="B328" i="1"/>
  <c r="C328" i="1"/>
  <c r="D328" i="1"/>
  <c r="E328" i="1"/>
  <c r="F328" i="1"/>
  <c r="H328" i="1"/>
  <c r="A329" i="1"/>
  <c r="B329" i="1"/>
  <c r="C329" i="1"/>
  <c r="D329" i="1"/>
  <c r="E329" i="1"/>
  <c r="F329" i="1"/>
  <c r="H329" i="1"/>
  <c r="A330" i="1"/>
  <c r="B330" i="1"/>
  <c r="C330" i="1"/>
  <c r="D330" i="1"/>
  <c r="E330" i="1"/>
  <c r="F330" i="1"/>
  <c r="H330" i="1"/>
  <c r="A331" i="1"/>
  <c r="B331" i="1"/>
  <c r="C331" i="1"/>
  <c r="D331" i="1"/>
  <c r="E331" i="1"/>
  <c r="F331" i="1"/>
  <c r="H331" i="1"/>
  <c r="A332" i="1"/>
  <c r="B332" i="1"/>
  <c r="C332" i="1"/>
  <c r="D332" i="1"/>
  <c r="E332" i="1"/>
  <c r="F332" i="1"/>
  <c r="H332" i="1"/>
  <c r="A333" i="1"/>
  <c r="B333" i="1"/>
  <c r="C333" i="1"/>
  <c r="D333" i="1"/>
  <c r="E333" i="1"/>
  <c r="F333" i="1"/>
  <c r="H333" i="1"/>
  <c r="A334" i="1"/>
  <c r="B334" i="1"/>
  <c r="C334" i="1"/>
  <c r="D334" i="1"/>
  <c r="E334" i="1"/>
  <c r="F334" i="1"/>
  <c r="H334" i="1"/>
  <c r="A335" i="1"/>
  <c r="B335" i="1"/>
  <c r="C335" i="1"/>
  <c r="D335" i="1"/>
  <c r="E335" i="1"/>
  <c r="F335" i="1"/>
  <c r="H335" i="1"/>
  <c r="A336" i="1"/>
  <c r="B336" i="1"/>
  <c r="C336" i="1"/>
  <c r="D336" i="1"/>
  <c r="E336" i="1"/>
  <c r="F336" i="1"/>
  <c r="H336" i="1"/>
  <c r="A337" i="1"/>
  <c r="B337" i="1"/>
  <c r="C337" i="1"/>
  <c r="D337" i="1"/>
  <c r="E337" i="1"/>
  <c r="F337" i="1"/>
  <c r="H337" i="1"/>
  <c r="A338" i="1"/>
  <c r="B338" i="1"/>
  <c r="C338" i="1"/>
  <c r="D338" i="1"/>
  <c r="E338" i="1"/>
  <c r="F338" i="1"/>
  <c r="H338" i="1"/>
  <c r="A339" i="1"/>
  <c r="B339" i="1"/>
  <c r="C339" i="1"/>
  <c r="D339" i="1"/>
  <c r="E339" i="1"/>
  <c r="F339" i="1"/>
  <c r="H339" i="1"/>
  <c r="A340" i="1"/>
  <c r="B340" i="1"/>
  <c r="C340" i="1"/>
  <c r="D340" i="1"/>
  <c r="E340" i="1"/>
  <c r="F340" i="1"/>
  <c r="H340" i="1"/>
  <c r="A341" i="1"/>
  <c r="B341" i="1"/>
  <c r="C341" i="1"/>
  <c r="D341" i="1"/>
  <c r="E341" i="1"/>
  <c r="F341" i="1"/>
  <c r="H341" i="1"/>
  <c r="A342" i="1"/>
  <c r="B342" i="1"/>
  <c r="C342" i="1"/>
  <c r="D342" i="1"/>
  <c r="E342" i="1"/>
  <c r="F342" i="1"/>
  <c r="H342" i="1"/>
  <c r="A343" i="1"/>
  <c r="B343" i="1"/>
  <c r="C343" i="1"/>
  <c r="D343" i="1"/>
  <c r="E343" i="1"/>
  <c r="F343" i="1"/>
  <c r="H343" i="1"/>
  <c r="A344" i="1"/>
  <c r="B344" i="1"/>
  <c r="C344" i="1"/>
  <c r="D344" i="1"/>
  <c r="E344" i="1"/>
  <c r="F344" i="1"/>
  <c r="H344" i="1"/>
  <c r="A345" i="1"/>
  <c r="B345" i="1"/>
  <c r="C345" i="1"/>
  <c r="D345" i="1"/>
  <c r="E345" i="1"/>
  <c r="F345" i="1"/>
  <c r="H345" i="1"/>
  <c r="A346" i="1"/>
  <c r="B346" i="1"/>
  <c r="C346" i="1"/>
  <c r="D346" i="1"/>
  <c r="E346" i="1"/>
  <c r="F346" i="1"/>
  <c r="H346" i="1"/>
  <c r="A347" i="1"/>
  <c r="B347" i="1"/>
  <c r="C347" i="1"/>
  <c r="D347" i="1"/>
  <c r="E347" i="1"/>
  <c r="F347" i="1"/>
  <c r="H347" i="1"/>
  <c r="A348" i="1"/>
  <c r="B348" i="1"/>
  <c r="C348" i="1"/>
  <c r="D348" i="1"/>
  <c r="E348" i="1"/>
  <c r="F348" i="1"/>
  <c r="H348" i="1"/>
  <c r="A349" i="1"/>
  <c r="B349" i="1"/>
  <c r="C349" i="1"/>
  <c r="D349" i="1"/>
  <c r="E349" i="1"/>
  <c r="F349" i="1"/>
  <c r="H349" i="1"/>
  <c r="A350" i="1"/>
  <c r="B350" i="1"/>
  <c r="C350" i="1"/>
  <c r="D350" i="1"/>
  <c r="E350" i="1"/>
  <c r="F350" i="1"/>
  <c r="H350" i="1"/>
  <c r="A351" i="1"/>
  <c r="B351" i="1"/>
  <c r="C351" i="1"/>
  <c r="D351" i="1"/>
  <c r="E351" i="1"/>
  <c r="F351" i="1"/>
  <c r="H351" i="1"/>
  <c r="A352" i="1"/>
  <c r="B352" i="1"/>
  <c r="C352" i="1"/>
  <c r="D352" i="1"/>
  <c r="E352" i="1"/>
  <c r="F352" i="1"/>
  <c r="H352" i="1"/>
  <c r="A353" i="1"/>
  <c r="B353" i="1"/>
  <c r="C353" i="1"/>
  <c r="D353" i="1"/>
  <c r="E353" i="1"/>
  <c r="F353" i="1"/>
  <c r="H353" i="1"/>
  <c r="A354" i="1"/>
  <c r="B354" i="1"/>
  <c r="C354" i="1"/>
  <c r="D354" i="1"/>
  <c r="E354" i="1"/>
  <c r="F354" i="1"/>
  <c r="H354" i="1"/>
  <c r="A355" i="1"/>
  <c r="B355" i="1"/>
  <c r="C355" i="1"/>
  <c r="D355" i="1"/>
  <c r="E355" i="1"/>
  <c r="F355" i="1"/>
  <c r="H355" i="1"/>
  <c r="A356" i="1"/>
  <c r="B356" i="1"/>
  <c r="C356" i="1"/>
  <c r="D356" i="1"/>
  <c r="E356" i="1"/>
  <c r="F356" i="1"/>
  <c r="H356" i="1"/>
  <c r="A357" i="1"/>
  <c r="B357" i="1"/>
  <c r="C357" i="1"/>
  <c r="D357" i="1"/>
  <c r="E357" i="1"/>
  <c r="F357" i="1"/>
  <c r="H357" i="1"/>
  <c r="A358" i="1"/>
  <c r="B358" i="1"/>
  <c r="C358" i="1"/>
  <c r="D358" i="1"/>
  <c r="E358" i="1"/>
  <c r="F358" i="1"/>
  <c r="H358" i="1"/>
  <c r="A359" i="1"/>
  <c r="B359" i="1"/>
  <c r="C359" i="1"/>
  <c r="D359" i="1"/>
  <c r="E359" i="1"/>
  <c r="F359" i="1"/>
  <c r="H359" i="1"/>
  <c r="A360" i="1"/>
  <c r="B360" i="1"/>
  <c r="C360" i="1"/>
  <c r="D360" i="1"/>
  <c r="E360" i="1"/>
  <c r="F360" i="1"/>
  <c r="H360" i="1"/>
  <c r="A361" i="1"/>
  <c r="B361" i="1"/>
  <c r="C361" i="1"/>
  <c r="D361" i="1"/>
  <c r="E361" i="1"/>
  <c r="F361" i="1"/>
  <c r="H361" i="1"/>
  <c r="A362" i="1"/>
  <c r="B362" i="1"/>
  <c r="C362" i="1"/>
  <c r="D362" i="1"/>
  <c r="E362" i="1"/>
  <c r="F362" i="1"/>
  <c r="H362" i="1"/>
  <c r="A363" i="1"/>
  <c r="B363" i="1"/>
  <c r="C363" i="1"/>
  <c r="D363" i="1"/>
  <c r="E363" i="1"/>
  <c r="F363" i="1"/>
  <c r="H363" i="1"/>
  <c r="A364" i="1"/>
  <c r="B364" i="1"/>
  <c r="C364" i="1"/>
  <c r="D364" i="1"/>
  <c r="E364" i="1"/>
  <c r="F364" i="1"/>
  <c r="H364" i="1"/>
  <c r="A365" i="1"/>
  <c r="B365" i="1"/>
  <c r="C365" i="1"/>
  <c r="D365" i="1"/>
  <c r="E365" i="1"/>
  <c r="F365" i="1"/>
  <c r="H365" i="1"/>
  <c r="A366" i="1"/>
  <c r="B366" i="1"/>
  <c r="C366" i="1"/>
  <c r="D366" i="1"/>
  <c r="E366" i="1"/>
  <c r="F366" i="1"/>
  <c r="H366" i="1"/>
  <c r="A367" i="1"/>
  <c r="B367" i="1"/>
  <c r="C367" i="1"/>
  <c r="D367" i="1"/>
  <c r="E367" i="1"/>
  <c r="F367" i="1"/>
  <c r="H367" i="1"/>
  <c r="A368" i="1"/>
  <c r="B368" i="1"/>
  <c r="C368" i="1"/>
  <c r="D368" i="1"/>
  <c r="E368" i="1"/>
  <c r="F368" i="1"/>
  <c r="H368" i="1"/>
  <c r="A369" i="1"/>
  <c r="B369" i="1"/>
  <c r="C369" i="1"/>
  <c r="D369" i="1"/>
  <c r="E369" i="1"/>
  <c r="F369" i="1"/>
  <c r="H369" i="1"/>
  <c r="A370" i="1"/>
  <c r="B370" i="1"/>
  <c r="C370" i="1"/>
  <c r="D370" i="1"/>
  <c r="E370" i="1"/>
  <c r="F370" i="1"/>
  <c r="H370" i="1"/>
  <c r="A371" i="1"/>
  <c r="B371" i="1"/>
  <c r="C371" i="1"/>
  <c r="D371" i="1"/>
  <c r="E371" i="1"/>
  <c r="F371" i="1"/>
  <c r="H371" i="1"/>
  <c r="A372" i="1"/>
  <c r="B372" i="1"/>
  <c r="C372" i="1"/>
  <c r="D372" i="1"/>
  <c r="E372" i="1"/>
  <c r="F372" i="1"/>
  <c r="H372" i="1"/>
  <c r="A373" i="1"/>
  <c r="B373" i="1"/>
  <c r="C373" i="1"/>
  <c r="D373" i="1"/>
  <c r="E373" i="1"/>
  <c r="F373" i="1"/>
  <c r="H373" i="1"/>
  <c r="A374" i="1"/>
  <c r="B374" i="1"/>
  <c r="C374" i="1"/>
  <c r="D374" i="1"/>
  <c r="E374" i="1"/>
  <c r="F374" i="1"/>
  <c r="H374" i="1"/>
  <c r="A375" i="1"/>
  <c r="B375" i="1"/>
  <c r="C375" i="1"/>
  <c r="D375" i="1"/>
  <c r="E375" i="1"/>
  <c r="F375" i="1"/>
  <c r="H375" i="1"/>
  <c r="A376" i="1"/>
  <c r="B376" i="1"/>
  <c r="C376" i="1"/>
  <c r="D376" i="1"/>
  <c r="E376" i="1"/>
  <c r="F376" i="1"/>
  <c r="H376" i="1"/>
  <c r="A377" i="1"/>
  <c r="B377" i="1"/>
  <c r="C377" i="1"/>
  <c r="D377" i="1"/>
  <c r="E377" i="1"/>
  <c r="F377" i="1"/>
  <c r="H377" i="1"/>
  <c r="A378" i="1"/>
  <c r="B378" i="1"/>
  <c r="C378" i="1"/>
  <c r="D378" i="1"/>
  <c r="E378" i="1"/>
  <c r="F378" i="1"/>
  <c r="H378" i="1"/>
  <c r="A379" i="1"/>
  <c r="B379" i="1"/>
  <c r="C379" i="1"/>
  <c r="D379" i="1"/>
  <c r="E379" i="1"/>
  <c r="F379" i="1"/>
  <c r="H379" i="1"/>
  <c r="A380" i="1"/>
  <c r="B380" i="1"/>
  <c r="C380" i="1"/>
  <c r="D380" i="1"/>
  <c r="E380" i="1"/>
  <c r="F380" i="1"/>
  <c r="H380" i="1"/>
  <c r="A381" i="1"/>
  <c r="B381" i="1"/>
  <c r="C381" i="1"/>
  <c r="D381" i="1"/>
  <c r="E381" i="1"/>
  <c r="F381" i="1"/>
  <c r="H381" i="1"/>
  <c r="A382" i="1"/>
  <c r="B382" i="1"/>
  <c r="C382" i="1"/>
  <c r="D382" i="1"/>
  <c r="E382" i="1"/>
  <c r="F382" i="1"/>
  <c r="H382" i="1"/>
  <c r="A383" i="1"/>
  <c r="B383" i="1"/>
  <c r="C383" i="1"/>
  <c r="D383" i="1"/>
  <c r="E383" i="1"/>
  <c r="F383" i="1"/>
  <c r="H383" i="1"/>
  <c r="A384" i="1"/>
  <c r="B384" i="1"/>
  <c r="C384" i="1"/>
  <c r="D384" i="1"/>
  <c r="E384" i="1"/>
  <c r="F384" i="1"/>
  <c r="H384" i="1"/>
  <c r="A385" i="1"/>
  <c r="B385" i="1"/>
  <c r="C385" i="1"/>
  <c r="D385" i="1"/>
  <c r="E385" i="1"/>
  <c r="F385" i="1"/>
  <c r="H385" i="1"/>
  <c r="A386" i="1"/>
  <c r="B386" i="1"/>
  <c r="C386" i="1"/>
  <c r="D386" i="1"/>
  <c r="E386" i="1"/>
  <c r="F386" i="1"/>
  <c r="H386" i="1"/>
  <c r="A387" i="1"/>
  <c r="B387" i="1"/>
  <c r="C387" i="1"/>
  <c r="D387" i="1"/>
  <c r="E387" i="1"/>
  <c r="F387" i="1"/>
  <c r="H387" i="1"/>
  <c r="A388" i="1"/>
  <c r="B388" i="1"/>
  <c r="C388" i="1"/>
  <c r="D388" i="1"/>
  <c r="E388" i="1"/>
  <c r="F388" i="1"/>
  <c r="H388" i="1"/>
  <c r="A389" i="1"/>
  <c r="B389" i="1"/>
  <c r="C389" i="1"/>
  <c r="D389" i="1"/>
  <c r="E389" i="1"/>
  <c r="F389" i="1"/>
  <c r="H389" i="1"/>
  <c r="A390" i="1"/>
  <c r="B390" i="1"/>
  <c r="C390" i="1"/>
  <c r="D390" i="1"/>
  <c r="E390" i="1"/>
  <c r="F390" i="1"/>
  <c r="H390" i="1"/>
  <c r="A391" i="1"/>
  <c r="B391" i="1"/>
  <c r="C391" i="1"/>
  <c r="D391" i="1"/>
  <c r="E391" i="1"/>
  <c r="F391" i="1"/>
  <c r="H391" i="1"/>
  <c r="A392" i="1"/>
  <c r="B392" i="1"/>
  <c r="C392" i="1"/>
  <c r="D392" i="1"/>
  <c r="E392" i="1"/>
  <c r="F392" i="1"/>
  <c r="H392" i="1"/>
  <c r="A393" i="1"/>
  <c r="B393" i="1"/>
  <c r="C393" i="1"/>
  <c r="D393" i="1"/>
  <c r="E393" i="1"/>
  <c r="F393" i="1"/>
  <c r="H393" i="1"/>
  <c r="A394" i="1"/>
  <c r="B394" i="1"/>
  <c r="C394" i="1"/>
  <c r="D394" i="1"/>
  <c r="E394" i="1"/>
  <c r="F394" i="1"/>
  <c r="H394" i="1"/>
  <c r="A395" i="1"/>
  <c r="B395" i="1"/>
  <c r="C395" i="1"/>
  <c r="D395" i="1"/>
  <c r="E395" i="1"/>
  <c r="F395" i="1"/>
  <c r="H395" i="1"/>
  <c r="A396" i="1"/>
  <c r="B396" i="1"/>
  <c r="C396" i="1"/>
  <c r="D396" i="1"/>
  <c r="E396" i="1"/>
  <c r="F396" i="1"/>
  <c r="H396" i="1"/>
  <c r="A397" i="1"/>
  <c r="B397" i="1"/>
  <c r="C397" i="1"/>
  <c r="D397" i="1"/>
  <c r="E397" i="1"/>
  <c r="F397" i="1"/>
  <c r="H397" i="1"/>
  <c r="A398" i="1"/>
  <c r="B398" i="1"/>
  <c r="C398" i="1"/>
  <c r="D398" i="1"/>
  <c r="E398" i="1"/>
  <c r="F398" i="1"/>
  <c r="H398" i="1"/>
  <c r="A399" i="1"/>
  <c r="B399" i="1"/>
  <c r="C399" i="1"/>
  <c r="D399" i="1"/>
  <c r="E399" i="1"/>
  <c r="F399" i="1"/>
  <c r="H399" i="1"/>
  <c r="A400" i="1"/>
  <c r="B400" i="1"/>
  <c r="C400" i="1"/>
  <c r="D400" i="1"/>
  <c r="E400" i="1"/>
  <c r="F400" i="1"/>
  <c r="H400" i="1"/>
  <c r="A401" i="1"/>
  <c r="B401" i="1"/>
  <c r="C401" i="1"/>
  <c r="D401" i="1"/>
  <c r="E401" i="1"/>
  <c r="F401" i="1"/>
  <c r="H401" i="1"/>
  <c r="A402" i="1"/>
  <c r="B402" i="1"/>
  <c r="C402" i="1"/>
  <c r="D402" i="1"/>
  <c r="E402" i="1"/>
  <c r="F402" i="1"/>
  <c r="H402" i="1"/>
  <c r="A403" i="1"/>
  <c r="B403" i="1"/>
  <c r="C403" i="1"/>
  <c r="D403" i="1"/>
  <c r="E403" i="1"/>
  <c r="F403" i="1"/>
  <c r="H403" i="1"/>
  <c r="A404" i="1"/>
  <c r="B404" i="1"/>
  <c r="C404" i="1"/>
  <c r="D404" i="1"/>
  <c r="E404" i="1"/>
  <c r="F404" i="1"/>
  <c r="H404" i="1"/>
  <c r="A405" i="1"/>
  <c r="B405" i="1"/>
  <c r="C405" i="1"/>
  <c r="D405" i="1"/>
  <c r="E405" i="1"/>
  <c r="F405" i="1"/>
  <c r="H405" i="1"/>
  <c r="A406" i="1"/>
  <c r="B406" i="1"/>
  <c r="C406" i="1"/>
  <c r="D406" i="1"/>
  <c r="E406" i="1"/>
  <c r="F406" i="1"/>
  <c r="H406" i="1"/>
  <c r="A407" i="1"/>
  <c r="B407" i="1"/>
  <c r="C407" i="1"/>
  <c r="D407" i="1"/>
  <c r="E407" i="1"/>
  <c r="F407" i="1"/>
  <c r="H407" i="1"/>
  <c r="A408" i="1"/>
  <c r="B408" i="1"/>
  <c r="C408" i="1"/>
  <c r="D408" i="1"/>
  <c r="E408" i="1"/>
  <c r="F408" i="1"/>
  <c r="H408" i="1"/>
  <c r="A409" i="1"/>
  <c r="B409" i="1"/>
  <c r="C409" i="1"/>
  <c r="D409" i="1"/>
  <c r="E409" i="1"/>
  <c r="F409" i="1"/>
  <c r="H409" i="1"/>
  <c r="A410" i="1"/>
  <c r="B410" i="1"/>
  <c r="C410" i="1"/>
  <c r="D410" i="1"/>
  <c r="E410" i="1"/>
  <c r="F410" i="1"/>
  <c r="H410" i="1"/>
  <c r="A411" i="1"/>
  <c r="B411" i="1"/>
  <c r="C411" i="1"/>
  <c r="D411" i="1"/>
  <c r="E411" i="1"/>
  <c r="F411" i="1"/>
  <c r="H411" i="1"/>
  <c r="A412" i="1"/>
  <c r="B412" i="1"/>
  <c r="C412" i="1"/>
  <c r="D412" i="1"/>
  <c r="E412" i="1"/>
  <c r="F412" i="1"/>
  <c r="H412" i="1"/>
  <c r="A413" i="1"/>
  <c r="B413" i="1"/>
  <c r="C413" i="1"/>
  <c r="D413" i="1"/>
  <c r="E413" i="1"/>
  <c r="F413" i="1"/>
  <c r="H413" i="1"/>
  <c r="A414" i="1"/>
  <c r="B414" i="1"/>
  <c r="C414" i="1"/>
  <c r="D414" i="1"/>
  <c r="E414" i="1"/>
  <c r="F414" i="1"/>
  <c r="H414" i="1"/>
  <c r="A415" i="1"/>
  <c r="B415" i="1"/>
  <c r="C415" i="1"/>
  <c r="D415" i="1"/>
  <c r="E415" i="1"/>
  <c r="F415" i="1"/>
  <c r="H415" i="1"/>
  <c r="A416" i="1"/>
  <c r="B416" i="1"/>
  <c r="C416" i="1"/>
  <c r="D416" i="1"/>
  <c r="E416" i="1"/>
  <c r="F416" i="1"/>
  <c r="H416" i="1"/>
  <c r="A417" i="1"/>
  <c r="B417" i="1"/>
  <c r="C417" i="1"/>
  <c r="D417" i="1"/>
  <c r="E417" i="1"/>
  <c r="F417" i="1"/>
  <c r="H417" i="1"/>
  <c r="A418" i="1"/>
  <c r="B418" i="1"/>
  <c r="C418" i="1"/>
  <c r="D418" i="1"/>
  <c r="E418" i="1"/>
  <c r="F418" i="1"/>
  <c r="H418" i="1"/>
  <c r="A419" i="1"/>
  <c r="B419" i="1"/>
  <c r="C419" i="1"/>
  <c r="D419" i="1"/>
  <c r="E419" i="1"/>
  <c r="F419" i="1"/>
  <c r="H419" i="1"/>
  <c r="A420" i="1"/>
  <c r="B420" i="1"/>
  <c r="C420" i="1"/>
  <c r="D420" i="1"/>
  <c r="E420" i="1"/>
  <c r="F420" i="1"/>
  <c r="H420" i="1"/>
  <c r="A421" i="1"/>
  <c r="B421" i="1"/>
  <c r="C421" i="1"/>
  <c r="D421" i="1"/>
  <c r="E421" i="1"/>
  <c r="F421" i="1"/>
  <c r="H421" i="1"/>
  <c r="A422" i="1"/>
  <c r="B422" i="1"/>
  <c r="C422" i="1"/>
  <c r="D422" i="1"/>
  <c r="E422" i="1"/>
  <c r="F422" i="1"/>
  <c r="H422" i="1"/>
  <c r="A423" i="1"/>
  <c r="B423" i="1"/>
  <c r="C423" i="1"/>
  <c r="D423" i="1"/>
  <c r="E423" i="1"/>
  <c r="F423" i="1"/>
  <c r="H423" i="1"/>
  <c r="A424" i="1"/>
  <c r="B424" i="1"/>
  <c r="C424" i="1"/>
  <c r="D424" i="1"/>
  <c r="E424" i="1"/>
  <c r="F424" i="1"/>
  <c r="H424" i="1"/>
  <c r="A425" i="1"/>
  <c r="B425" i="1"/>
  <c r="C425" i="1"/>
  <c r="D425" i="1"/>
  <c r="E425" i="1"/>
  <c r="F425" i="1"/>
  <c r="H425" i="1"/>
  <c r="A426" i="1"/>
  <c r="B426" i="1"/>
  <c r="C426" i="1"/>
  <c r="D426" i="1"/>
  <c r="E426" i="1"/>
  <c r="F426" i="1"/>
  <c r="H426" i="1"/>
  <c r="A427" i="1"/>
  <c r="B427" i="1"/>
  <c r="C427" i="1"/>
  <c r="D427" i="1"/>
  <c r="E427" i="1"/>
  <c r="F427" i="1"/>
  <c r="H427" i="1"/>
  <c r="A428" i="1"/>
  <c r="B428" i="1"/>
  <c r="C428" i="1"/>
  <c r="D428" i="1"/>
  <c r="E428" i="1"/>
  <c r="F428" i="1"/>
  <c r="H428" i="1"/>
  <c r="A429" i="1"/>
  <c r="B429" i="1"/>
  <c r="C429" i="1"/>
  <c r="D429" i="1"/>
  <c r="E429" i="1"/>
  <c r="F429" i="1"/>
  <c r="H429" i="1"/>
  <c r="A430" i="1"/>
  <c r="B430" i="1"/>
  <c r="C430" i="1"/>
  <c r="D430" i="1"/>
  <c r="E430" i="1"/>
  <c r="F430" i="1"/>
  <c r="H430" i="1"/>
  <c r="A431" i="1"/>
  <c r="B431" i="1"/>
  <c r="C431" i="1"/>
  <c r="D431" i="1"/>
  <c r="E431" i="1"/>
  <c r="F431" i="1"/>
  <c r="H431" i="1"/>
  <c r="A432" i="1"/>
  <c r="B432" i="1"/>
  <c r="C432" i="1"/>
  <c r="D432" i="1"/>
  <c r="E432" i="1"/>
  <c r="F432" i="1"/>
  <c r="H432" i="1"/>
  <c r="A433" i="1"/>
  <c r="B433" i="1"/>
  <c r="C433" i="1"/>
  <c r="D433" i="1"/>
  <c r="E433" i="1"/>
  <c r="F433" i="1"/>
  <c r="H433" i="1"/>
  <c r="A434" i="1"/>
  <c r="B434" i="1"/>
  <c r="C434" i="1"/>
  <c r="D434" i="1"/>
  <c r="E434" i="1"/>
  <c r="F434" i="1"/>
  <c r="H434" i="1"/>
  <c r="A435" i="1"/>
  <c r="B435" i="1"/>
  <c r="C435" i="1"/>
  <c r="D435" i="1"/>
  <c r="E435" i="1"/>
  <c r="F435" i="1"/>
  <c r="H435" i="1"/>
  <c r="A436" i="1"/>
  <c r="B436" i="1"/>
  <c r="C436" i="1"/>
  <c r="D436" i="1"/>
  <c r="E436" i="1"/>
  <c r="F436" i="1"/>
  <c r="H436" i="1"/>
  <c r="A437" i="1"/>
  <c r="B437" i="1"/>
  <c r="C437" i="1"/>
  <c r="D437" i="1"/>
  <c r="E437" i="1"/>
  <c r="F437" i="1"/>
  <c r="H437" i="1"/>
  <c r="A438" i="1"/>
  <c r="B438" i="1"/>
  <c r="C438" i="1"/>
  <c r="D438" i="1"/>
  <c r="E438" i="1"/>
  <c r="F438" i="1"/>
  <c r="H438" i="1"/>
  <c r="A439" i="1"/>
  <c r="B439" i="1"/>
  <c r="C439" i="1"/>
  <c r="D439" i="1"/>
  <c r="E439" i="1"/>
  <c r="F439" i="1"/>
  <c r="H439" i="1"/>
  <c r="A440" i="1"/>
  <c r="B440" i="1"/>
  <c r="C440" i="1"/>
  <c r="D440" i="1"/>
  <c r="E440" i="1"/>
  <c r="F440" i="1"/>
  <c r="H440" i="1"/>
  <c r="A441" i="1"/>
  <c r="B441" i="1"/>
  <c r="C441" i="1"/>
  <c r="D441" i="1"/>
  <c r="E441" i="1"/>
  <c r="F441" i="1"/>
  <c r="H441" i="1"/>
  <c r="A442" i="1"/>
  <c r="B442" i="1"/>
  <c r="C442" i="1"/>
  <c r="D442" i="1"/>
  <c r="E442" i="1"/>
  <c r="F442" i="1"/>
  <c r="H442" i="1"/>
  <c r="A443" i="1"/>
  <c r="B443" i="1"/>
  <c r="C443" i="1"/>
  <c r="D443" i="1"/>
  <c r="E443" i="1"/>
  <c r="F443" i="1"/>
  <c r="H443" i="1"/>
  <c r="A444" i="1"/>
  <c r="B444" i="1"/>
  <c r="C444" i="1"/>
  <c r="D444" i="1"/>
  <c r="E444" i="1"/>
  <c r="F444" i="1"/>
  <c r="H444" i="1"/>
  <c r="A445" i="1"/>
  <c r="B445" i="1"/>
  <c r="C445" i="1"/>
  <c r="D445" i="1"/>
  <c r="E445" i="1"/>
  <c r="F445" i="1"/>
  <c r="H445" i="1"/>
  <c r="A446" i="1"/>
  <c r="B446" i="1"/>
  <c r="C446" i="1"/>
  <c r="D446" i="1"/>
  <c r="E446" i="1"/>
  <c r="F446" i="1"/>
  <c r="H446" i="1"/>
  <c r="A447" i="1"/>
  <c r="B447" i="1"/>
  <c r="C447" i="1"/>
  <c r="D447" i="1"/>
  <c r="E447" i="1"/>
  <c r="F447" i="1"/>
  <c r="H447" i="1"/>
  <c r="A448" i="1"/>
  <c r="B448" i="1"/>
  <c r="C448" i="1"/>
  <c r="D448" i="1"/>
  <c r="E448" i="1"/>
  <c r="F448" i="1"/>
  <c r="H448" i="1"/>
  <c r="A449" i="1"/>
  <c r="B449" i="1"/>
  <c r="C449" i="1"/>
  <c r="D449" i="1"/>
  <c r="E449" i="1"/>
  <c r="F449" i="1"/>
  <c r="H449" i="1"/>
  <c r="A450" i="1"/>
  <c r="B450" i="1"/>
  <c r="C450" i="1"/>
  <c r="D450" i="1"/>
  <c r="E450" i="1"/>
  <c r="F450" i="1"/>
  <c r="H450" i="1"/>
  <c r="A451" i="1"/>
  <c r="B451" i="1"/>
  <c r="C451" i="1"/>
  <c r="D451" i="1"/>
  <c r="E451" i="1"/>
  <c r="F451" i="1"/>
  <c r="H451" i="1"/>
  <c r="A452" i="1"/>
  <c r="B452" i="1"/>
  <c r="C452" i="1"/>
  <c r="D452" i="1"/>
  <c r="E452" i="1"/>
  <c r="F452" i="1"/>
  <c r="H452" i="1"/>
  <c r="A453" i="1"/>
  <c r="B453" i="1"/>
  <c r="C453" i="1"/>
  <c r="D453" i="1"/>
  <c r="E453" i="1"/>
  <c r="F453" i="1"/>
  <c r="H453" i="1"/>
  <c r="A454" i="1"/>
  <c r="B454" i="1"/>
  <c r="C454" i="1"/>
  <c r="D454" i="1"/>
  <c r="E454" i="1"/>
  <c r="F454" i="1"/>
  <c r="H454" i="1"/>
  <c r="A455" i="1"/>
  <c r="B455" i="1"/>
  <c r="C455" i="1"/>
  <c r="D455" i="1"/>
  <c r="E455" i="1"/>
  <c r="F455" i="1"/>
  <c r="H455" i="1"/>
  <c r="A456" i="1"/>
  <c r="B456" i="1"/>
  <c r="C456" i="1"/>
  <c r="D456" i="1"/>
  <c r="E456" i="1"/>
  <c r="F456" i="1"/>
  <c r="H456" i="1"/>
  <c r="A457" i="1"/>
  <c r="B457" i="1"/>
  <c r="C457" i="1"/>
  <c r="D457" i="1"/>
  <c r="E457" i="1"/>
  <c r="F457" i="1"/>
  <c r="H457" i="1"/>
  <c r="A458" i="1"/>
  <c r="B458" i="1"/>
  <c r="C458" i="1"/>
  <c r="D458" i="1"/>
  <c r="E458" i="1"/>
  <c r="F458" i="1"/>
  <c r="H458" i="1"/>
  <c r="A459" i="1"/>
  <c r="B459" i="1"/>
  <c r="C459" i="1"/>
  <c r="D459" i="1"/>
  <c r="E459" i="1"/>
  <c r="F459" i="1"/>
  <c r="H459" i="1"/>
  <c r="A460" i="1"/>
  <c r="B460" i="1"/>
  <c r="C460" i="1"/>
  <c r="D460" i="1"/>
  <c r="E460" i="1"/>
  <c r="F460" i="1"/>
  <c r="H460" i="1"/>
  <c r="A461" i="1"/>
  <c r="B461" i="1"/>
  <c r="C461" i="1"/>
  <c r="D461" i="1"/>
  <c r="E461" i="1"/>
  <c r="F461" i="1"/>
  <c r="H461" i="1"/>
  <c r="A462" i="1"/>
  <c r="B462" i="1"/>
  <c r="C462" i="1"/>
  <c r="D462" i="1"/>
  <c r="E462" i="1"/>
  <c r="F462" i="1"/>
  <c r="H462" i="1"/>
  <c r="A463" i="1"/>
  <c r="B463" i="1"/>
  <c r="C463" i="1"/>
  <c r="D463" i="1"/>
  <c r="E463" i="1"/>
  <c r="F463" i="1"/>
  <c r="H463" i="1"/>
  <c r="A464" i="1"/>
  <c r="B464" i="1"/>
  <c r="C464" i="1"/>
  <c r="D464" i="1"/>
  <c r="E464" i="1"/>
  <c r="F464" i="1"/>
  <c r="H464" i="1"/>
  <c r="A465" i="1"/>
  <c r="B465" i="1"/>
  <c r="C465" i="1"/>
  <c r="D465" i="1"/>
  <c r="E465" i="1"/>
  <c r="F465" i="1"/>
  <c r="H465" i="1"/>
  <c r="A466" i="1"/>
  <c r="B466" i="1"/>
  <c r="C466" i="1"/>
  <c r="D466" i="1"/>
  <c r="E466" i="1"/>
  <c r="F466" i="1"/>
  <c r="H466" i="1"/>
  <c r="A467" i="1"/>
  <c r="B467" i="1"/>
  <c r="C467" i="1"/>
  <c r="D467" i="1"/>
  <c r="E467" i="1"/>
  <c r="F467" i="1"/>
  <c r="H467" i="1"/>
  <c r="A468" i="1"/>
  <c r="B468" i="1"/>
  <c r="C468" i="1"/>
  <c r="D468" i="1"/>
  <c r="E468" i="1"/>
  <c r="F468" i="1"/>
  <c r="H468" i="1"/>
  <c r="A469" i="1"/>
  <c r="B469" i="1"/>
  <c r="C469" i="1"/>
  <c r="D469" i="1"/>
  <c r="E469" i="1"/>
  <c r="F469" i="1"/>
  <c r="H469" i="1"/>
  <c r="A470" i="1"/>
  <c r="B470" i="1"/>
  <c r="C470" i="1"/>
  <c r="D470" i="1"/>
  <c r="E470" i="1"/>
  <c r="F470" i="1"/>
  <c r="H470" i="1"/>
  <c r="A471" i="1"/>
  <c r="B471" i="1"/>
  <c r="C471" i="1"/>
  <c r="D471" i="1"/>
  <c r="E471" i="1"/>
  <c r="F471" i="1"/>
  <c r="H471" i="1"/>
  <c r="A472" i="1"/>
  <c r="B472" i="1"/>
  <c r="C472" i="1"/>
  <c r="D472" i="1"/>
  <c r="E472" i="1"/>
  <c r="F472" i="1"/>
  <c r="H472" i="1"/>
  <c r="A473" i="1"/>
  <c r="B473" i="1"/>
  <c r="C473" i="1"/>
  <c r="D473" i="1"/>
  <c r="E473" i="1"/>
  <c r="F473" i="1"/>
  <c r="H473" i="1"/>
  <c r="A474" i="1"/>
  <c r="B474" i="1"/>
  <c r="C474" i="1"/>
  <c r="D474" i="1"/>
  <c r="E474" i="1"/>
  <c r="F474" i="1"/>
  <c r="H474" i="1"/>
  <c r="A475" i="1"/>
  <c r="B475" i="1"/>
  <c r="C475" i="1"/>
  <c r="D475" i="1"/>
  <c r="E475" i="1"/>
  <c r="F475" i="1"/>
  <c r="H475" i="1"/>
  <c r="A476" i="1"/>
  <c r="B476" i="1"/>
  <c r="C476" i="1"/>
  <c r="D476" i="1"/>
  <c r="E476" i="1"/>
  <c r="F476" i="1"/>
  <c r="H476" i="1"/>
  <c r="A477" i="1"/>
  <c r="B477" i="1"/>
  <c r="C477" i="1"/>
  <c r="D477" i="1"/>
  <c r="E477" i="1"/>
  <c r="F477" i="1"/>
  <c r="H477" i="1"/>
  <c r="A478" i="1"/>
  <c r="B478" i="1"/>
  <c r="C478" i="1"/>
  <c r="D478" i="1"/>
  <c r="E478" i="1"/>
  <c r="F478" i="1"/>
  <c r="H478" i="1"/>
  <c r="A479" i="1"/>
  <c r="B479" i="1"/>
  <c r="C479" i="1"/>
  <c r="D479" i="1"/>
  <c r="E479" i="1"/>
  <c r="F479" i="1"/>
  <c r="H479" i="1"/>
  <c r="A480" i="1"/>
  <c r="B480" i="1"/>
  <c r="C480" i="1"/>
  <c r="D480" i="1"/>
  <c r="E480" i="1"/>
  <c r="F480" i="1"/>
  <c r="H480" i="1"/>
  <c r="A481" i="1"/>
  <c r="B481" i="1"/>
  <c r="C481" i="1"/>
  <c r="D481" i="1"/>
  <c r="E481" i="1"/>
  <c r="F481" i="1"/>
  <c r="H481" i="1"/>
  <c r="A482" i="1"/>
  <c r="B482" i="1"/>
  <c r="C482" i="1"/>
  <c r="D482" i="1"/>
  <c r="E482" i="1"/>
  <c r="F482" i="1"/>
  <c r="H482" i="1"/>
  <c r="A483" i="1"/>
  <c r="B483" i="1"/>
  <c r="C483" i="1"/>
  <c r="D483" i="1"/>
  <c r="E483" i="1"/>
  <c r="F483" i="1"/>
  <c r="H483" i="1"/>
  <c r="A484" i="1"/>
  <c r="B484" i="1"/>
  <c r="C484" i="1"/>
  <c r="D484" i="1"/>
  <c r="E484" i="1"/>
  <c r="F484" i="1"/>
  <c r="H484" i="1"/>
  <c r="A485" i="1"/>
  <c r="B485" i="1"/>
  <c r="C485" i="1"/>
  <c r="D485" i="1"/>
  <c r="E485" i="1"/>
  <c r="F485" i="1"/>
  <c r="H485" i="1"/>
  <c r="A486" i="1"/>
  <c r="B486" i="1"/>
  <c r="C486" i="1"/>
  <c r="D486" i="1"/>
  <c r="E486" i="1"/>
  <c r="F486" i="1"/>
  <c r="H486" i="1"/>
  <c r="A487" i="1"/>
  <c r="B487" i="1"/>
  <c r="C487" i="1"/>
  <c r="D487" i="1"/>
  <c r="E487" i="1"/>
  <c r="F487" i="1"/>
  <c r="H487" i="1"/>
  <c r="A488" i="1"/>
  <c r="B488" i="1"/>
  <c r="C488" i="1"/>
  <c r="D488" i="1"/>
  <c r="E488" i="1"/>
  <c r="F488" i="1"/>
  <c r="H488" i="1"/>
  <c r="A489" i="1"/>
  <c r="B489" i="1"/>
  <c r="C489" i="1"/>
  <c r="D489" i="1"/>
  <c r="E489" i="1"/>
  <c r="F489" i="1"/>
  <c r="H489" i="1"/>
  <c r="A490" i="1"/>
  <c r="B490" i="1"/>
  <c r="C490" i="1"/>
  <c r="D490" i="1"/>
  <c r="E490" i="1"/>
  <c r="F490" i="1"/>
  <c r="H490" i="1"/>
  <c r="A491" i="1"/>
  <c r="B491" i="1"/>
  <c r="C491" i="1"/>
  <c r="D491" i="1"/>
  <c r="E491" i="1"/>
  <c r="F491" i="1"/>
  <c r="H491" i="1"/>
  <c r="A492" i="1"/>
  <c r="B492" i="1"/>
  <c r="C492" i="1"/>
  <c r="D492" i="1"/>
  <c r="E492" i="1"/>
  <c r="F492" i="1"/>
  <c r="H492" i="1"/>
  <c r="A493" i="1"/>
  <c r="B493" i="1"/>
  <c r="C493" i="1"/>
  <c r="D493" i="1"/>
  <c r="E493" i="1"/>
  <c r="F493" i="1"/>
  <c r="H493" i="1"/>
  <c r="A494" i="1"/>
  <c r="B494" i="1"/>
  <c r="C494" i="1"/>
  <c r="D494" i="1"/>
  <c r="E494" i="1"/>
  <c r="F494" i="1"/>
  <c r="H494" i="1"/>
  <c r="A495" i="1"/>
  <c r="B495" i="1"/>
  <c r="C495" i="1"/>
  <c r="D495" i="1"/>
  <c r="E495" i="1"/>
  <c r="F495" i="1"/>
  <c r="H495" i="1"/>
  <c r="A496" i="1"/>
  <c r="B496" i="1"/>
  <c r="C496" i="1"/>
  <c r="D496" i="1"/>
  <c r="E496" i="1"/>
  <c r="F496" i="1"/>
  <c r="H496" i="1"/>
  <c r="A497" i="1"/>
  <c r="B497" i="1"/>
  <c r="C497" i="1"/>
  <c r="D497" i="1"/>
  <c r="E497" i="1"/>
  <c r="F497" i="1"/>
  <c r="H497" i="1"/>
  <c r="A498" i="1"/>
  <c r="B498" i="1"/>
  <c r="C498" i="1"/>
  <c r="D498" i="1"/>
  <c r="E498" i="1"/>
  <c r="F498" i="1"/>
  <c r="H498" i="1"/>
  <c r="A499" i="1"/>
  <c r="B499" i="1"/>
  <c r="C499" i="1"/>
  <c r="D499" i="1"/>
  <c r="E499" i="1"/>
  <c r="F499" i="1"/>
  <c r="H499" i="1"/>
  <c r="A500" i="1"/>
  <c r="B500" i="1"/>
  <c r="C500" i="1"/>
  <c r="D500" i="1"/>
  <c r="E500" i="1"/>
  <c r="F500" i="1"/>
  <c r="H500" i="1"/>
  <c r="A501" i="1"/>
  <c r="B501" i="1"/>
  <c r="C501" i="1"/>
  <c r="D501" i="1"/>
  <c r="E501" i="1"/>
  <c r="F501" i="1"/>
  <c r="H501" i="1"/>
  <c r="A502" i="1"/>
  <c r="B502" i="1"/>
  <c r="C502" i="1"/>
  <c r="D502" i="1"/>
  <c r="E502" i="1"/>
  <c r="F502" i="1"/>
  <c r="H502" i="1"/>
  <c r="A503" i="1"/>
  <c r="B503" i="1"/>
  <c r="C503" i="1"/>
  <c r="D503" i="1"/>
  <c r="E503" i="1"/>
  <c r="F503" i="1"/>
  <c r="H503" i="1"/>
  <c r="A504" i="1"/>
  <c r="B504" i="1"/>
  <c r="C504" i="1"/>
  <c r="D504" i="1"/>
  <c r="E504" i="1"/>
  <c r="F504" i="1"/>
  <c r="H504" i="1"/>
  <c r="A505" i="1"/>
  <c r="B505" i="1"/>
  <c r="C505" i="1"/>
  <c r="D505" i="1"/>
  <c r="E505" i="1"/>
  <c r="F505" i="1"/>
  <c r="H505" i="1"/>
  <c r="A506" i="1"/>
  <c r="B506" i="1"/>
  <c r="C506" i="1"/>
  <c r="D506" i="1"/>
  <c r="E506" i="1"/>
  <c r="F506" i="1"/>
  <c r="H506" i="1"/>
  <c r="A507" i="1"/>
  <c r="B507" i="1"/>
  <c r="C507" i="1"/>
  <c r="D507" i="1"/>
  <c r="E507" i="1"/>
  <c r="F507" i="1"/>
  <c r="H507" i="1"/>
  <c r="A508" i="1"/>
  <c r="B508" i="1"/>
  <c r="C508" i="1"/>
  <c r="D508" i="1"/>
  <c r="E508" i="1"/>
  <c r="F508" i="1"/>
  <c r="H508" i="1"/>
  <c r="A509" i="1"/>
  <c r="B509" i="1"/>
  <c r="C509" i="1"/>
  <c r="D509" i="1"/>
  <c r="E509" i="1"/>
  <c r="F509" i="1"/>
  <c r="H509" i="1"/>
  <c r="A510" i="1"/>
  <c r="B510" i="1"/>
  <c r="C510" i="1"/>
  <c r="D510" i="1"/>
  <c r="E510" i="1"/>
  <c r="F510" i="1"/>
  <c r="H510" i="1"/>
  <c r="A511" i="1"/>
  <c r="B511" i="1"/>
  <c r="C511" i="1"/>
  <c r="D511" i="1"/>
  <c r="E511" i="1"/>
  <c r="F511" i="1"/>
  <c r="H511" i="1"/>
  <c r="A512" i="1"/>
  <c r="B512" i="1"/>
  <c r="C512" i="1"/>
  <c r="D512" i="1"/>
  <c r="E512" i="1"/>
  <c r="F512" i="1"/>
  <c r="H512" i="1"/>
  <c r="A513" i="1"/>
  <c r="B513" i="1"/>
  <c r="C513" i="1"/>
  <c r="D513" i="1"/>
  <c r="E513" i="1"/>
  <c r="F513" i="1"/>
  <c r="H513" i="1"/>
  <c r="A514" i="1"/>
  <c r="B514" i="1"/>
  <c r="C514" i="1"/>
  <c r="D514" i="1"/>
  <c r="E514" i="1"/>
  <c r="F514" i="1"/>
  <c r="H514" i="1"/>
  <c r="A515" i="1"/>
  <c r="B515" i="1"/>
  <c r="C515" i="1"/>
  <c r="D515" i="1"/>
  <c r="E515" i="1"/>
  <c r="F515" i="1"/>
  <c r="H515" i="1"/>
  <c r="A516" i="1"/>
  <c r="B516" i="1"/>
  <c r="C516" i="1"/>
  <c r="D516" i="1"/>
  <c r="E516" i="1"/>
  <c r="F516" i="1"/>
  <c r="H516" i="1"/>
  <c r="A517" i="1"/>
  <c r="B517" i="1"/>
  <c r="C517" i="1"/>
  <c r="D517" i="1"/>
  <c r="E517" i="1"/>
  <c r="F517" i="1"/>
  <c r="H517" i="1"/>
  <c r="A518" i="1"/>
  <c r="B518" i="1"/>
  <c r="C518" i="1"/>
  <c r="D518" i="1"/>
  <c r="E518" i="1"/>
  <c r="F518" i="1"/>
  <c r="H518" i="1"/>
  <c r="A519" i="1"/>
  <c r="B519" i="1"/>
  <c r="C519" i="1"/>
  <c r="D519" i="1"/>
  <c r="E519" i="1"/>
  <c r="F519" i="1"/>
  <c r="H519" i="1"/>
  <c r="A520" i="1"/>
  <c r="B520" i="1"/>
  <c r="C520" i="1"/>
  <c r="D520" i="1"/>
  <c r="E520" i="1"/>
  <c r="F520" i="1"/>
  <c r="H520" i="1"/>
  <c r="A521" i="1"/>
  <c r="B521" i="1"/>
  <c r="C521" i="1"/>
  <c r="D521" i="1"/>
  <c r="E521" i="1"/>
  <c r="F521" i="1"/>
  <c r="H521" i="1"/>
  <c r="A522" i="1"/>
  <c r="B522" i="1"/>
  <c r="C522" i="1"/>
  <c r="D522" i="1"/>
  <c r="E522" i="1"/>
  <c r="F522" i="1"/>
  <c r="H522" i="1"/>
  <c r="A523" i="1"/>
  <c r="B523" i="1"/>
  <c r="C523" i="1"/>
  <c r="D523" i="1"/>
  <c r="E523" i="1"/>
  <c r="F523" i="1"/>
  <c r="H523" i="1"/>
  <c r="A524" i="1"/>
  <c r="B524" i="1"/>
  <c r="C524" i="1"/>
  <c r="D524" i="1"/>
  <c r="E524" i="1"/>
  <c r="F524" i="1"/>
  <c r="H524" i="1"/>
  <c r="A525" i="1"/>
  <c r="B525" i="1"/>
  <c r="C525" i="1"/>
  <c r="D525" i="1"/>
  <c r="E525" i="1"/>
  <c r="F525" i="1"/>
  <c r="H525" i="1"/>
  <c r="A526" i="1"/>
  <c r="B526" i="1"/>
  <c r="C526" i="1"/>
  <c r="D526" i="1"/>
  <c r="E526" i="1"/>
  <c r="F526" i="1"/>
  <c r="H526" i="1"/>
  <c r="A527" i="1"/>
  <c r="B527" i="1"/>
  <c r="C527" i="1"/>
  <c r="D527" i="1"/>
  <c r="E527" i="1"/>
  <c r="F527" i="1"/>
  <c r="H527" i="1"/>
  <c r="A528" i="1"/>
  <c r="B528" i="1"/>
  <c r="C528" i="1"/>
  <c r="D528" i="1"/>
  <c r="E528" i="1"/>
  <c r="F528" i="1"/>
  <c r="H528" i="1"/>
  <c r="A529" i="1"/>
  <c r="B529" i="1"/>
  <c r="C529" i="1"/>
  <c r="D529" i="1"/>
  <c r="E529" i="1"/>
  <c r="F529" i="1"/>
  <c r="H529" i="1"/>
  <c r="A530" i="1"/>
  <c r="B530" i="1"/>
  <c r="C530" i="1"/>
  <c r="D530" i="1"/>
  <c r="E530" i="1"/>
  <c r="F530" i="1"/>
  <c r="H530" i="1"/>
  <c r="A531" i="1"/>
  <c r="B531" i="1"/>
  <c r="C531" i="1"/>
  <c r="D531" i="1"/>
  <c r="E531" i="1"/>
  <c r="F531" i="1"/>
  <c r="H531" i="1"/>
  <c r="A532" i="1"/>
  <c r="B532" i="1"/>
  <c r="C532" i="1"/>
  <c r="D532" i="1"/>
  <c r="E532" i="1"/>
  <c r="F532" i="1"/>
  <c r="H532" i="1"/>
  <c r="A533" i="1"/>
  <c r="B533" i="1"/>
  <c r="C533" i="1"/>
  <c r="D533" i="1"/>
  <c r="E533" i="1"/>
  <c r="F533" i="1"/>
  <c r="H533" i="1"/>
  <c r="A534" i="1"/>
  <c r="B534" i="1"/>
  <c r="C534" i="1"/>
  <c r="D534" i="1"/>
  <c r="E534" i="1"/>
  <c r="F534" i="1"/>
  <c r="H534" i="1"/>
  <c r="A535" i="1"/>
  <c r="B535" i="1"/>
  <c r="C535" i="1"/>
  <c r="D535" i="1"/>
  <c r="E535" i="1"/>
  <c r="F535" i="1"/>
  <c r="H535" i="1"/>
  <c r="A536" i="1"/>
  <c r="B536" i="1"/>
  <c r="C536" i="1"/>
  <c r="D536" i="1"/>
  <c r="E536" i="1"/>
  <c r="F536" i="1"/>
  <c r="H536" i="1"/>
  <c r="A537" i="1"/>
  <c r="B537" i="1"/>
  <c r="C537" i="1"/>
  <c r="D537" i="1"/>
  <c r="E537" i="1"/>
  <c r="F537" i="1"/>
  <c r="H537" i="1"/>
  <c r="A538" i="1"/>
  <c r="B538" i="1"/>
  <c r="C538" i="1"/>
  <c r="D538" i="1"/>
  <c r="E538" i="1"/>
  <c r="F538" i="1"/>
  <c r="H538" i="1"/>
  <c r="A539" i="1"/>
  <c r="B539" i="1"/>
  <c r="C539" i="1"/>
  <c r="D539" i="1"/>
  <c r="E539" i="1"/>
  <c r="F539" i="1"/>
  <c r="H539" i="1"/>
  <c r="A540" i="1"/>
  <c r="B540" i="1"/>
  <c r="C540" i="1"/>
  <c r="D540" i="1"/>
  <c r="E540" i="1"/>
  <c r="F540" i="1"/>
  <c r="H540" i="1"/>
  <c r="A541" i="1"/>
  <c r="B541" i="1"/>
  <c r="C541" i="1"/>
  <c r="D541" i="1"/>
  <c r="E541" i="1"/>
  <c r="F541" i="1"/>
  <c r="H541" i="1"/>
  <c r="A542" i="1"/>
  <c r="B542" i="1"/>
  <c r="C542" i="1"/>
  <c r="D542" i="1"/>
  <c r="E542" i="1"/>
  <c r="F542" i="1"/>
  <c r="H542" i="1"/>
  <c r="A543" i="1"/>
  <c r="B543" i="1"/>
  <c r="C543" i="1"/>
  <c r="D543" i="1"/>
  <c r="E543" i="1"/>
  <c r="F543" i="1"/>
  <c r="H543" i="1"/>
  <c r="A544" i="1"/>
  <c r="B544" i="1"/>
  <c r="C544" i="1"/>
  <c r="D544" i="1"/>
  <c r="E544" i="1"/>
  <c r="F544" i="1"/>
  <c r="H544" i="1"/>
  <c r="A545" i="1"/>
  <c r="B545" i="1"/>
  <c r="C545" i="1"/>
  <c r="D545" i="1"/>
  <c r="E545" i="1"/>
  <c r="F545" i="1"/>
  <c r="H545" i="1"/>
  <c r="A546" i="1"/>
  <c r="B546" i="1"/>
  <c r="C546" i="1"/>
  <c r="D546" i="1"/>
  <c r="E546" i="1"/>
  <c r="F546" i="1"/>
  <c r="H546" i="1"/>
  <c r="A547" i="1"/>
  <c r="B547" i="1"/>
  <c r="C547" i="1"/>
  <c r="D547" i="1"/>
  <c r="E547" i="1"/>
  <c r="F547" i="1"/>
  <c r="H547" i="1"/>
  <c r="A548" i="1"/>
  <c r="B548" i="1"/>
  <c r="C548" i="1"/>
  <c r="D548" i="1"/>
  <c r="E548" i="1"/>
  <c r="F548" i="1"/>
  <c r="H548" i="1"/>
  <c r="A549" i="1"/>
  <c r="B549" i="1"/>
  <c r="C549" i="1"/>
  <c r="D549" i="1"/>
  <c r="E549" i="1"/>
  <c r="F549" i="1"/>
  <c r="H549" i="1"/>
  <c r="A550" i="1"/>
  <c r="B550" i="1"/>
  <c r="C550" i="1"/>
  <c r="D550" i="1"/>
  <c r="E550" i="1"/>
  <c r="F550" i="1"/>
  <c r="H550" i="1"/>
  <c r="A551" i="1"/>
  <c r="B551" i="1"/>
  <c r="C551" i="1"/>
  <c r="D551" i="1"/>
  <c r="E551" i="1"/>
  <c r="F551" i="1"/>
  <c r="H551" i="1"/>
  <c r="A552" i="1"/>
  <c r="B552" i="1"/>
  <c r="C552" i="1"/>
  <c r="D552" i="1"/>
  <c r="E552" i="1"/>
  <c r="F552" i="1"/>
  <c r="H552" i="1"/>
  <c r="A553" i="1"/>
  <c r="B553" i="1"/>
  <c r="C553" i="1"/>
  <c r="D553" i="1"/>
  <c r="E553" i="1"/>
  <c r="F553" i="1"/>
  <c r="H553" i="1"/>
  <c r="A554" i="1"/>
  <c r="B554" i="1"/>
  <c r="C554" i="1"/>
  <c r="D554" i="1"/>
  <c r="E554" i="1"/>
  <c r="F554" i="1"/>
  <c r="H554" i="1"/>
  <c r="A555" i="1"/>
  <c r="B555" i="1"/>
  <c r="C555" i="1"/>
  <c r="D555" i="1"/>
  <c r="E555" i="1"/>
  <c r="F555" i="1"/>
  <c r="H555" i="1"/>
  <c r="A556" i="1"/>
  <c r="B556" i="1"/>
  <c r="C556" i="1"/>
  <c r="D556" i="1"/>
  <c r="E556" i="1"/>
  <c r="F556" i="1"/>
  <c r="H556" i="1"/>
  <c r="A557" i="1"/>
  <c r="B557" i="1"/>
  <c r="C557" i="1"/>
  <c r="D557" i="1"/>
  <c r="E557" i="1"/>
  <c r="F557" i="1"/>
  <c r="H557" i="1"/>
  <c r="A558" i="1"/>
  <c r="B558" i="1"/>
  <c r="C558" i="1"/>
  <c r="D558" i="1"/>
  <c r="E558" i="1"/>
  <c r="F558" i="1"/>
  <c r="H558" i="1"/>
  <c r="A559" i="1"/>
  <c r="B559" i="1"/>
  <c r="C559" i="1"/>
  <c r="D559" i="1"/>
  <c r="E559" i="1"/>
  <c r="F559" i="1"/>
  <c r="H559" i="1"/>
  <c r="A560" i="1"/>
  <c r="B560" i="1"/>
  <c r="C560" i="1"/>
  <c r="D560" i="1"/>
  <c r="E560" i="1"/>
  <c r="F560" i="1"/>
  <c r="H560" i="1"/>
  <c r="A561" i="1"/>
  <c r="B561" i="1"/>
  <c r="C561" i="1"/>
  <c r="D561" i="1"/>
  <c r="E561" i="1"/>
  <c r="F561" i="1"/>
  <c r="H561" i="1"/>
  <c r="A562" i="1"/>
  <c r="B562" i="1"/>
  <c r="C562" i="1"/>
  <c r="D562" i="1"/>
  <c r="E562" i="1"/>
  <c r="F562" i="1"/>
  <c r="H562" i="1"/>
  <c r="A563" i="1"/>
  <c r="B563" i="1"/>
  <c r="C563" i="1"/>
  <c r="D563" i="1"/>
  <c r="E563" i="1"/>
  <c r="F563" i="1"/>
  <c r="H563" i="1"/>
  <c r="A564" i="1"/>
  <c r="B564" i="1"/>
  <c r="C564" i="1"/>
  <c r="D564" i="1"/>
  <c r="E564" i="1"/>
  <c r="F564" i="1"/>
  <c r="H564" i="1"/>
  <c r="A565" i="1"/>
  <c r="B565" i="1"/>
  <c r="C565" i="1"/>
  <c r="D565" i="1"/>
  <c r="E565" i="1"/>
  <c r="F565" i="1"/>
  <c r="H565" i="1"/>
  <c r="A566" i="1"/>
  <c r="B566" i="1"/>
  <c r="C566" i="1"/>
  <c r="D566" i="1"/>
  <c r="E566" i="1"/>
  <c r="F566" i="1"/>
  <c r="H566" i="1"/>
  <c r="A567" i="1"/>
  <c r="B567" i="1"/>
  <c r="C567" i="1"/>
  <c r="D567" i="1"/>
  <c r="E567" i="1"/>
  <c r="F567" i="1"/>
  <c r="H567" i="1"/>
  <c r="A568" i="1"/>
  <c r="B568" i="1"/>
  <c r="C568" i="1"/>
  <c r="D568" i="1"/>
  <c r="E568" i="1"/>
  <c r="F568" i="1"/>
  <c r="H568" i="1"/>
  <c r="A569" i="1"/>
  <c r="B569" i="1"/>
  <c r="C569" i="1"/>
  <c r="D569" i="1"/>
  <c r="E569" i="1"/>
  <c r="F569" i="1"/>
  <c r="H569" i="1"/>
  <c r="A570" i="1"/>
  <c r="B570" i="1"/>
  <c r="C570" i="1"/>
  <c r="D570" i="1"/>
  <c r="E570" i="1"/>
  <c r="F570" i="1"/>
  <c r="H570" i="1"/>
  <c r="A571" i="1"/>
  <c r="B571" i="1"/>
  <c r="C571" i="1"/>
  <c r="D571" i="1"/>
  <c r="E571" i="1"/>
  <c r="F571" i="1"/>
  <c r="H571" i="1"/>
  <c r="A572" i="1"/>
  <c r="B572" i="1"/>
  <c r="C572" i="1"/>
  <c r="D572" i="1"/>
  <c r="E572" i="1"/>
  <c r="F572" i="1"/>
  <c r="H572" i="1"/>
  <c r="A573" i="1"/>
  <c r="B573" i="1"/>
  <c r="C573" i="1"/>
  <c r="D573" i="1"/>
  <c r="E573" i="1"/>
  <c r="F573" i="1"/>
  <c r="H573" i="1"/>
  <c r="A574" i="1"/>
  <c r="B574" i="1"/>
  <c r="C574" i="1"/>
  <c r="D574" i="1"/>
  <c r="E574" i="1"/>
  <c r="F574" i="1"/>
  <c r="H574" i="1"/>
  <c r="A575" i="1"/>
  <c r="B575" i="1"/>
  <c r="C575" i="1"/>
  <c r="D575" i="1"/>
  <c r="E575" i="1"/>
  <c r="F575" i="1"/>
  <c r="H575" i="1"/>
  <c r="A576" i="1"/>
  <c r="B576" i="1"/>
  <c r="C576" i="1"/>
  <c r="D576" i="1"/>
  <c r="E576" i="1"/>
  <c r="F576" i="1"/>
  <c r="H576" i="1"/>
  <c r="A577" i="1"/>
  <c r="B577" i="1"/>
  <c r="C577" i="1"/>
  <c r="D577" i="1"/>
  <c r="E577" i="1"/>
  <c r="F577" i="1"/>
  <c r="H577" i="1"/>
  <c r="A578" i="1"/>
  <c r="B578" i="1"/>
  <c r="C578" i="1"/>
  <c r="D578" i="1"/>
  <c r="E578" i="1"/>
  <c r="F578" i="1"/>
  <c r="H578" i="1"/>
  <c r="A579" i="1"/>
  <c r="B579" i="1"/>
  <c r="C579" i="1"/>
  <c r="D579" i="1"/>
  <c r="E579" i="1"/>
  <c r="F579" i="1"/>
  <c r="H579" i="1"/>
  <c r="A580" i="1"/>
  <c r="B580" i="1"/>
  <c r="C580" i="1"/>
  <c r="D580" i="1"/>
  <c r="E580" i="1"/>
  <c r="F580" i="1"/>
  <c r="H580" i="1"/>
  <c r="A581" i="1"/>
  <c r="B581" i="1"/>
  <c r="C581" i="1"/>
  <c r="D581" i="1"/>
  <c r="E581" i="1"/>
  <c r="F581" i="1"/>
  <c r="H581" i="1"/>
  <c r="A582" i="1"/>
  <c r="B582" i="1"/>
  <c r="C582" i="1"/>
  <c r="D582" i="1"/>
  <c r="E582" i="1"/>
  <c r="F582" i="1"/>
  <c r="H582" i="1"/>
  <c r="A583" i="1"/>
  <c r="B583" i="1"/>
  <c r="C583" i="1"/>
  <c r="D583" i="1"/>
  <c r="E583" i="1"/>
  <c r="F583" i="1"/>
  <c r="H583" i="1"/>
  <c r="A584" i="1"/>
  <c r="B584" i="1"/>
  <c r="C584" i="1"/>
  <c r="D584" i="1"/>
  <c r="E584" i="1"/>
  <c r="F584" i="1"/>
  <c r="H584" i="1"/>
  <c r="A585" i="1"/>
  <c r="B585" i="1"/>
  <c r="C585" i="1"/>
  <c r="D585" i="1"/>
  <c r="E585" i="1"/>
  <c r="F585" i="1"/>
  <c r="H585" i="1"/>
  <c r="A586" i="1"/>
  <c r="B586" i="1"/>
  <c r="C586" i="1"/>
  <c r="D586" i="1"/>
  <c r="E586" i="1"/>
  <c r="F586" i="1"/>
  <c r="H586" i="1"/>
  <c r="A587" i="1"/>
  <c r="B587" i="1"/>
  <c r="C587" i="1"/>
  <c r="D587" i="1"/>
  <c r="E587" i="1"/>
  <c r="F587" i="1"/>
  <c r="H587" i="1"/>
  <c r="A588" i="1"/>
  <c r="B588" i="1"/>
  <c r="C588" i="1"/>
  <c r="D588" i="1"/>
  <c r="E588" i="1"/>
  <c r="F588" i="1"/>
  <c r="H588" i="1"/>
  <c r="A589" i="1"/>
  <c r="B589" i="1"/>
  <c r="C589" i="1"/>
  <c r="D589" i="1"/>
  <c r="E589" i="1"/>
  <c r="F589" i="1"/>
  <c r="H589" i="1"/>
  <c r="A590" i="1"/>
  <c r="B590" i="1"/>
  <c r="C590" i="1"/>
  <c r="D590" i="1"/>
  <c r="E590" i="1"/>
  <c r="F590" i="1"/>
  <c r="H590" i="1"/>
  <c r="A591" i="1"/>
  <c r="B591" i="1"/>
  <c r="C591" i="1"/>
  <c r="D591" i="1"/>
  <c r="E591" i="1"/>
  <c r="F591" i="1"/>
  <c r="H591" i="1"/>
  <c r="A592" i="1"/>
  <c r="B592" i="1"/>
  <c r="C592" i="1"/>
  <c r="D592" i="1"/>
  <c r="E592" i="1"/>
  <c r="F592" i="1"/>
  <c r="H592" i="1"/>
  <c r="A593" i="1"/>
  <c r="B593" i="1"/>
  <c r="C593" i="1"/>
  <c r="D593" i="1"/>
  <c r="E593" i="1"/>
  <c r="F593" i="1"/>
  <c r="H593" i="1"/>
  <c r="A594" i="1"/>
  <c r="B594" i="1"/>
  <c r="C594" i="1"/>
  <c r="D594" i="1"/>
  <c r="E594" i="1"/>
  <c r="F594" i="1"/>
  <c r="H594" i="1"/>
  <c r="A595" i="1"/>
  <c r="B595" i="1"/>
  <c r="C595" i="1"/>
  <c r="D595" i="1"/>
  <c r="E595" i="1"/>
  <c r="F595" i="1"/>
  <c r="H595" i="1"/>
  <c r="A596" i="1"/>
  <c r="B596" i="1"/>
  <c r="C596" i="1"/>
  <c r="D596" i="1"/>
  <c r="E596" i="1"/>
  <c r="F596" i="1"/>
  <c r="H596" i="1"/>
  <c r="A597" i="1"/>
  <c r="B597" i="1"/>
  <c r="C597" i="1"/>
  <c r="D597" i="1"/>
  <c r="E597" i="1"/>
  <c r="F597" i="1"/>
  <c r="H597" i="1"/>
  <c r="A598" i="1"/>
  <c r="B598" i="1"/>
  <c r="C598" i="1"/>
  <c r="D598" i="1"/>
  <c r="E598" i="1"/>
  <c r="F598" i="1"/>
  <c r="H598" i="1"/>
  <c r="A599" i="1"/>
  <c r="B599" i="1"/>
  <c r="C599" i="1"/>
  <c r="D599" i="1"/>
  <c r="E599" i="1"/>
  <c r="F599" i="1"/>
  <c r="H599" i="1"/>
  <c r="A600" i="1"/>
  <c r="B600" i="1"/>
  <c r="C600" i="1"/>
  <c r="D600" i="1"/>
  <c r="E600" i="1"/>
  <c r="F600" i="1"/>
  <c r="H600" i="1"/>
  <c r="A601" i="1"/>
  <c r="B601" i="1"/>
  <c r="C601" i="1"/>
  <c r="D601" i="1"/>
  <c r="E601" i="1"/>
  <c r="F601" i="1"/>
  <c r="H601" i="1"/>
  <c r="A602" i="1"/>
  <c r="B602" i="1"/>
  <c r="C602" i="1"/>
  <c r="D602" i="1"/>
  <c r="E602" i="1"/>
  <c r="F602" i="1"/>
  <c r="H602" i="1"/>
  <c r="A603" i="1"/>
  <c r="B603" i="1"/>
  <c r="C603" i="1"/>
  <c r="D603" i="1"/>
  <c r="E603" i="1"/>
  <c r="F603" i="1"/>
  <c r="H603" i="1"/>
  <c r="A604" i="1"/>
  <c r="B604" i="1"/>
  <c r="C604" i="1"/>
  <c r="D604" i="1"/>
  <c r="E604" i="1"/>
  <c r="F604" i="1"/>
  <c r="H604" i="1"/>
  <c r="A605" i="1"/>
  <c r="B605" i="1"/>
  <c r="C605" i="1"/>
  <c r="D605" i="1"/>
  <c r="E605" i="1"/>
  <c r="F605" i="1"/>
  <c r="H605" i="1"/>
  <c r="A606" i="1"/>
  <c r="B606" i="1"/>
  <c r="C606" i="1"/>
  <c r="D606" i="1"/>
  <c r="E606" i="1"/>
  <c r="F606" i="1"/>
  <c r="H606" i="1"/>
  <c r="A607" i="1"/>
  <c r="B607" i="1"/>
  <c r="C607" i="1"/>
  <c r="D607" i="1"/>
  <c r="E607" i="1"/>
  <c r="F607" i="1"/>
  <c r="H607" i="1"/>
  <c r="A608" i="1"/>
  <c r="B608" i="1"/>
  <c r="C608" i="1"/>
  <c r="D608" i="1"/>
  <c r="E608" i="1"/>
  <c r="F608" i="1"/>
  <c r="H608" i="1"/>
  <c r="A609" i="1"/>
  <c r="B609" i="1"/>
  <c r="C609" i="1"/>
  <c r="D609" i="1"/>
  <c r="E609" i="1"/>
  <c r="F609" i="1"/>
  <c r="H609" i="1"/>
  <c r="A610" i="1"/>
  <c r="B610" i="1"/>
  <c r="C610" i="1"/>
  <c r="D610" i="1"/>
  <c r="E610" i="1"/>
  <c r="F610" i="1"/>
  <c r="H610" i="1"/>
  <c r="A611" i="1"/>
  <c r="B611" i="1"/>
  <c r="C611" i="1"/>
  <c r="D611" i="1"/>
  <c r="E611" i="1"/>
  <c r="F611" i="1"/>
  <c r="H611" i="1"/>
  <c r="A612" i="1"/>
  <c r="B612" i="1"/>
  <c r="C612" i="1"/>
  <c r="D612" i="1"/>
  <c r="E612" i="1"/>
  <c r="F612" i="1"/>
  <c r="H612" i="1"/>
  <c r="A613" i="1"/>
  <c r="B613" i="1"/>
  <c r="C613" i="1"/>
  <c r="D613" i="1"/>
  <c r="E613" i="1"/>
  <c r="F613" i="1"/>
  <c r="H613" i="1"/>
  <c r="A614" i="1"/>
  <c r="B614" i="1"/>
  <c r="C614" i="1"/>
  <c r="D614" i="1"/>
  <c r="E614" i="1"/>
  <c r="F614" i="1"/>
  <c r="H614" i="1"/>
  <c r="A615" i="1"/>
  <c r="B615" i="1"/>
  <c r="C615" i="1"/>
  <c r="D615" i="1"/>
  <c r="E615" i="1"/>
  <c r="F615" i="1"/>
  <c r="H615" i="1"/>
  <c r="A616" i="1"/>
  <c r="B616" i="1"/>
  <c r="C616" i="1"/>
  <c r="D616" i="1"/>
  <c r="E616" i="1"/>
  <c r="F616" i="1"/>
  <c r="H616" i="1"/>
  <c r="A617" i="1"/>
  <c r="B617" i="1"/>
  <c r="C617" i="1"/>
  <c r="D617" i="1"/>
  <c r="E617" i="1"/>
  <c r="F617" i="1"/>
  <c r="H617" i="1"/>
  <c r="A618" i="1"/>
  <c r="B618" i="1"/>
  <c r="C618" i="1"/>
  <c r="D618" i="1"/>
  <c r="E618" i="1"/>
  <c r="F618" i="1"/>
  <c r="H618" i="1"/>
  <c r="A619" i="1"/>
  <c r="B619" i="1"/>
  <c r="C619" i="1"/>
  <c r="D619" i="1"/>
  <c r="E619" i="1"/>
  <c r="F619" i="1"/>
  <c r="H619" i="1"/>
  <c r="A620" i="1"/>
  <c r="B620" i="1"/>
  <c r="C620" i="1"/>
  <c r="D620" i="1"/>
  <c r="E620" i="1"/>
  <c r="F620" i="1"/>
  <c r="H620" i="1"/>
  <c r="A621" i="1"/>
  <c r="B621" i="1"/>
  <c r="C621" i="1"/>
  <c r="D621" i="1"/>
  <c r="E621" i="1"/>
  <c r="F621" i="1"/>
  <c r="H621" i="1"/>
  <c r="A622" i="1"/>
  <c r="B622" i="1"/>
  <c r="C622" i="1"/>
  <c r="D622" i="1"/>
  <c r="E622" i="1"/>
  <c r="F622" i="1"/>
  <c r="H622" i="1"/>
  <c r="A623" i="1"/>
  <c r="B623" i="1"/>
  <c r="C623" i="1"/>
  <c r="D623" i="1"/>
  <c r="E623" i="1"/>
  <c r="F623" i="1"/>
  <c r="H623" i="1"/>
  <c r="A624" i="1"/>
  <c r="B624" i="1"/>
  <c r="C624" i="1"/>
  <c r="D624" i="1"/>
  <c r="E624" i="1"/>
  <c r="F624" i="1"/>
  <c r="H624" i="1"/>
  <c r="A625" i="1"/>
  <c r="B625" i="1"/>
  <c r="C625" i="1"/>
  <c r="D625" i="1"/>
  <c r="E625" i="1"/>
  <c r="F625" i="1"/>
  <c r="H625" i="1"/>
  <c r="A626" i="1"/>
  <c r="B626" i="1"/>
  <c r="C626" i="1"/>
  <c r="D626" i="1"/>
  <c r="E626" i="1"/>
  <c r="F626" i="1"/>
  <c r="H626" i="1"/>
  <c r="A627" i="1"/>
  <c r="B627" i="1"/>
  <c r="C627" i="1"/>
  <c r="D627" i="1"/>
  <c r="E627" i="1"/>
  <c r="F627" i="1"/>
  <c r="H627" i="1"/>
  <c r="A628" i="1"/>
  <c r="B628" i="1"/>
  <c r="C628" i="1"/>
  <c r="D628" i="1"/>
  <c r="E628" i="1"/>
  <c r="F628" i="1"/>
  <c r="H628" i="1"/>
  <c r="A629" i="1"/>
  <c r="B629" i="1"/>
  <c r="C629" i="1"/>
  <c r="D629" i="1"/>
  <c r="E629" i="1"/>
  <c r="F629" i="1"/>
  <c r="H629" i="1"/>
  <c r="A630" i="1"/>
  <c r="B630" i="1"/>
  <c r="C630" i="1"/>
  <c r="D630" i="1"/>
  <c r="E630" i="1"/>
  <c r="F630" i="1"/>
  <c r="H630" i="1"/>
  <c r="A631" i="1"/>
  <c r="B631" i="1"/>
  <c r="C631" i="1"/>
  <c r="D631" i="1"/>
  <c r="E631" i="1"/>
  <c r="F631" i="1"/>
  <c r="H631" i="1"/>
  <c r="A632" i="1"/>
  <c r="B632" i="1"/>
  <c r="C632" i="1"/>
  <c r="D632" i="1"/>
  <c r="E632" i="1"/>
  <c r="F632" i="1"/>
  <c r="H632" i="1"/>
  <c r="A633" i="1"/>
  <c r="B633" i="1"/>
  <c r="C633" i="1"/>
  <c r="D633" i="1"/>
  <c r="E633" i="1"/>
  <c r="F633" i="1"/>
  <c r="H633" i="1"/>
  <c r="A634" i="1"/>
  <c r="B634" i="1"/>
  <c r="C634" i="1"/>
  <c r="D634" i="1"/>
  <c r="E634" i="1"/>
  <c r="F634" i="1"/>
  <c r="H634" i="1"/>
  <c r="A635" i="1"/>
  <c r="B635" i="1"/>
  <c r="C635" i="1"/>
  <c r="D635" i="1"/>
  <c r="E635" i="1"/>
  <c r="F635" i="1"/>
  <c r="H635" i="1"/>
  <c r="A636" i="1"/>
  <c r="B636" i="1"/>
  <c r="C636" i="1"/>
  <c r="D636" i="1"/>
  <c r="E636" i="1"/>
  <c r="F636" i="1"/>
  <c r="H636" i="1"/>
  <c r="A637" i="1"/>
  <c r="B637" i="1"/>
  <c r="C637" i="1"/>
  <c r="D637" i="1"/>
  <c r="E637" i="1"/>
  <c r="F637" i="1"/>
  <c r="H637" i="1"/>
  <c r="A638" i="1"/>
  <c r="B638" i="1"/>
  <c r="C638" i="1"/>
  <c r="D638" i="1"/>
  <c r="E638" i="1"/>
  <c r="F638" i="1"/>
  <c r="H638" i="1"/>
  <c r="A639" i="1"/>
  <c r="B639" i="1"/>
  <c r="C639" i="1"/>
  <c r="D639" i="1"/>
  <c r="E639" i="1"/>
  <c r="F639" i="1"/>
  <c r="H639" i="1"/>
  <c r="A640" i="1"/>
  <c r="B640" i="1"/>
  <c r="C640" i="1"/>
  <c r="D640" i="1"/>
  <c r="E640" i="1"/>
  <c r="F640" i="1"/>
  <c r="H640" i="1"/>
  <c r="A641" i="1"/>
  <c r="B641" i="1"/>
  <c r="C641" i="1"/>
  <c r="D641" i="1"/>
  <c r="E641" i="1"/>
  <c r="F641" i="1"/>
  <c r="H641" i="1"/>
  <c r="A642" i="1"/>
  <c r="B642" i="1"/>
  <c r="C642" i="1"/>
  <c r="D642" i="1"/>
  <c r="E642" i="1"/>
  <c r="F642" i="1"/>
  <c r="H642" i="1"/>
  <c r="A643" i="1"/>
  <c r="B643" i="1"/>
  <c r="C643" i="1"/>
  <c r="D643" i="1"/>
  <c r="E643" i="1"/>
  <c r="F643" i="1"/>
  <c r="H643" i="1"/>
  <c r="A644" i="1"/>
  <c r="B644" i="1"/>
  <c r="C644" i="1"/>
  <c r="D644" i="1"/>
  <c r="E644" i="1"/>
  <c r="F644" i="1"/>
  <c r="H644" i="1"/>
  <c r="A645" i="1"/>
  <c r="B645" i="1"/>
  <c r="C645" i="1"/>
  <c r="D645" i="1"/>
  <c r="E645" i="1"/>
  <c r="F645" i="1"/>
  <c r="H645" i="1"/>
  <c r="A646" i="1"/>
  <c r="B646" i="1"/>
  <c r="C646" i="1"/>
  <c r="D646" i="1"/>
  <c r="E646" i="1"/>
  <c r="F646" i="1"/>
  <c r="H646" i="1"/>
  <c r="A647" i="1"/>
  <c r="B647" i="1"/>
  <c r="C647" i="1"/>
  <c r="D647" i="1"/>
  <c r="E647" i="1"/>
  <c r="F647" i="1"/>
  <c r="H647" i="1"/>
  <c r="A648" i="1"/>
  <c r="B648" i="1"/>
  <c r="C648" i="1"/>
  <c r="D648" i="1"/>
  <c r="E648" i="1"/>
  <c r="F648" i="1"/>
  <c r="H648" i="1"/>
  <c r="A649" i="1"/>
  <c r="B649" i="1"/>
  <c r="C649" i="1"/>
  <c r="D649" i="1"/>
  <c r="E649" i="1"/>
  <c r="F649" i="1"/>
  <c r="H649" i="1"/>
  <c r="A650" i="1"/>
  <c r="B650" i="1"/>
  <c r="C650" i="1"/>
  <c r="D650" i="1"/>
  <c r="E650" i="1"/>
  <c r="F650" i="1"/>
  <c r="H650" i="1"/>
  <c r="A651" i="1"/>
  <c r="B651" i="1"/>
  <c r="C651" i="1"/>
  <c r="D651" i="1"/>
  <c r="E651" i="1"/>
  <c r="F651" i="1"/>
  <c r="H651" i="1"/>
  <c r="A652" i="1"/>
  <c r="B652" i="1"/>
  <c r="C652" i="1"/>
  <c r="D652" i="1"/>
  <c r="E652" i="1"/>
  <c r="F652" i="1"/>
  <c r="H652" i="1"/>
  <c r="A653" i="1"/>
  <c r="B653" i="1"/>
  <c r="C653" i="1"/>
  <c r="D653" i="1"/>
  <c r="E653" i="1"/>
  <c r="F653" i="1"/>
  <c r="H653" i="1"/>
  <c r="A654" i="1"/>
  <c r="B654" i="1"/>
  <c r="C654" i="1"/>
  <c r="D654" i="1"/>
  <c r="E654" i="1"/>
  <c r="F654" i="1"/>
  <c r="H654" i="1"/>
  <c r="A655" i="1"/>
  <c r="B655" i="1"/>
  <c r="C655" i="1"/>
  <c r="D655" i="1"/>
  <c r="E655" i="1"/>
  <c r="F655" i="1"/>
  <c r="H655" i="1"/>
  <c r="A656" i="1"/>
  <c r="B656" i="1"/>
  <c r="C656" i="1"/>
  <c r="D656" i="1"/>
  <c r="E656" i="1"/>
  <c r="F656" i="1"/>
  <c r="H656" i="1"/>
  <c r="A657" i="1"/>
  <c r="B657" i="1"/>
  <c r="C657" i="1"/>
  <c r="D657" i="1"/>
  <c r="E657" i="1"/>
  <c r="F657" i="1"/>
  <c r="H657" i="1"/>
  <c r="A658" i="1"/>
  <c r="B658" i="1"/>
  <c r="C658" i="1"/>
  <c r="D658" i="1"/>
  <c r="E658" i="1"/>
  <c r="F658" i="1"/>
  <c r="H658" i="1"/>
  <c r="A659" i="1"/>
  <c r="B659" i="1"/>
  <c r="C659" i="1"/>
  <c r="D659" i="1"/>
  <c r="E659" i="1"/>
  <c r="F659" i="1"/>
  <c r="H659" i="1"/>
  <c r="A660" i="1"/>
  <c r="B660" i="1"/>
  <c r="C660" i="1"/>
  <c r="D660" i="1"/>
  <c r="E660" i="1"/>
  <c r="F660" i="1"/>
  <c r="H660" i="1"/>
  <c r="A661" i="1"/>
  <c r="B661" i="1"/>
  <c r="C661" i="1"/>
  <c r="D661" i="1"/>
  <c r="E661" i="1"/>
  <c r="F661" i="1"/>
  <c r="H661" i="1"/>
  <c r="A662" i="1"/>
  <c r="B662" i="1"/>
  <c r="C662" i="1"/>
  <c r="D662" i="1"/>
  <c r="E662" i="1"/>
  <c r="F662" i="1"/>
  <c r="H662" i="1"/>
  <c r="A663" i="1"/>
  <c r="B663" i="1"/>
  <c r="C663" i="1"/>
  <c r="D663" i="1"/>
  <c r="E663" i="1"/>
  <c r="F663" i="1"/>
  <c r="H663" i="1"/>
  <c r="A664" i="1"/>
  <c r="B664" i="1"/>
  <c r="C664" i="1"/>
  <c r="D664" i="1"/>
  <c r="E664" i="1"/>
  <c r="F664" i="1"/>
  <c r="H664" i="1"/>
  <c r="A665" i="1"/>
  <c r="B665" i="1"/>
  <c r="C665" i="1"/>
  <c r="D665" i="1"/>
  <c r="E665" i="1"/>
  <c r="F665" i="1"/>
  <c r="H665" i="1"/>
  <c r="A666" i="1"/>
  <c r="B666" i="1"/>
  <c r="C666" i="1"/>
  <c r="D666" i="1"/>
  <c r="E666" i="1"/>
  <c r="F666" i="1"/>
  <c r="H666" i="1"/>
  <c r="A667" i="1"/>
  <c r="B667" i="1"/>
  <c r="C667" i="1"/>
  <c r="D667" i="1"/>
  <c r="E667" i="1"/>
  <c r="F667" i="1"/>
  <c r="H667" i="1"/>
  <c r="A668" i="1"/>
  <c r="B668" i="1"/>
  <c r="C668" i="1"/>
  <c r="D668" i="1"/>
  <c r="E668" i="1"/>
  <c r="F668" i="1"/>
  <c r="H668" i="1"/>
  <c r="A669" i="1"/>
  <c r="B669" i="1"/>
  <c r="C669" i="1"/>
  <c r="D669" i="1"/>
  <c r="E669" i="1"/>
  <c r="F669" i="1"/>
  <c r="H669" i="1"/>
  <c r="A670" i="1"/>
  <c r="B670" i="1"/>
  <c r="C670" i="1"/>
  <c r="D670" i="1"/>
  <c r="E670" i="1"/>
  <c r="F670" i="1"/>
  <c r="H670" i="1"/>
  <c r="A671" i="1"/>
  <c r="B671" i="1"/>
  <c r="C671" i="1"/>
  <c r="D671" i="1"/>
  <c r="E671" i="1"/>
  <c r="F671" i="1"/>
  <c r="H671" i="1"/>
  <c r="A672" i="1"/>
  <c r="B672" i="1"/>
  <c r="C672" i="1"/>
  <c r="D672" i="1"/>
  <c r="E672" i="1"/>
  <c r="F672" i="1"/>
  <c r="H672" i="1"/>
  <c r="A673" i="1"/>
  <c r="B673" i="1"/>
  <c r="C673" i="1"/>
  <c r="D673" i="1"/>
  <c r="E673" i="1"/>
  <c r="F673" i="1"/>
  <c r="H673" i="1"/>
  <c r="A674" i="1"/>
  <c r="B674" i="1"/>
  <c r="C674" i="1"/>
  <c r="D674" i="1"/>
  <c r="E674" i="1"/>
  <c r="F674" i="1"/>
  <c r="H674" i="1"/>
  <c r="A675" i="1"/>
  <c r="B675" i="1"/>
  <c r="C675" i="1"/>
  <c r="D675" i="1"/>
  <c r="E675" i="1"/>
  <c r="F675" i="1"/>
  <c r="H675" i="1"/>
  <c r="A676" i="1"/>
  <c r="B676" i="1"/>
  <c r="C676" i="1"/>
  <c r="D676" i="1"/>
  <c r="E676" i="1"/>
  <c r="F676" i="1"/>
  <c r="H676" i="1"/>
  <c r="A677" i="1"/>
  <c r="B677" i="1"/>
  <c r="C677" i="1"/>
  <c r="D677" i="1"/>
  <c r="E677" i="1"/>
  <c r="F677" i="1"/>
  <c r="H677" i="1"/>
  <c r="A678" i="1"/>
  <c r="B678" i="1"/>
  <c r="C678" i="1"/>
  <c r="D678" i="1"/>
  <c r="E678" i="1"/>
  <c r="F678" i="1"/>
  <c r="H678" i="1"/>
  <c r="A679" i="1"/>
  <c r="B679" i="1"/>
  <c r="C679" i="1"/>
  <c r="D679" i="1"/>
  <c r="E679" i="1"/>
  <c r="F679" i="1"/>
  <c r="H679" i="1"/>
  <c r="A680" i="1"/>
  <c r="B680" i="1"/>
  <c r="C680" i="1"/>
  <c r="D680" i="1"/>
  <c r="E680" i="1"/>
  <c r="F680" i="1"/>
  <c r="H680" i="1"/>
  <c r="A681" i="1"/>
  <c r="B681" i="1"/>
  <c r="C681" i="1"/>
  <c r="D681" i="1"/>
  <c r="E681" i="1"/>
  <c r="F681" i="1"/>
  <c r="H681" i="1"/>
  <c r="A682" i="1"/>
  <c r="B682" i="1"/>
  <c r="C682" i="1"/>
  <c r="D682" i="1"/>
  <c r="E682" i="1"/>
  <c r="F682" i="1"/>
  <c r="H682" i="1"/>
  <c r="A683" i="1"/>
  <c r="B683" i="1"/>
  <c r="C683" i="1"/>
  <c r="D683" i="1"/>
  <c r="E683" i="1"/>
  <c r="F683" i="1"/>
  <c r="H683" i="1"/>
  <c r="A684" i="1"/>
  <c r="B684" i="1"/>
  <c r="C684" i="1"/>
  <c r="D684" i="1"/>
  <c r="E684" i="1"/>
  <c r="F684" i="1"/>
  <c r="H684" i="1"/>
  <c r="A685" i="1"/>
  <c r="B685" i="1"/>
  <c r="C685" i="1"/>
  <c r="D685" i="1"/>
  <c r="E685" i="1"/>
  <c r="F685" i="1"/>
  <c r="H685" i="1"/>
  <c r="A686" i="1"/>
  <c r="B686" i="1"/>
  <c r="C686" i="1"/>
  <c r="D686" i="1"/>
  <c r="E686" i="1"/>
  <c r="F686" i="1"/>
  <c r="H686" i="1"/>
  <c r="A687" i="1"/>
  <c r="B687" i="1"/>
  <c r="C687" i="1"/>
  <c r="D687" i="1"/>
  <c r="E687" i="1"/>
  <c r="F687" i="1"/>
  <c r="H687" i="1"/>
  <c r="A688" i="1"/>
  <c r="B688" i="1"/>
  <c r="C688" i="1"/>
  <c r="D688" i="1"/>
  <c r="E688" i="1"/>
  <c r="F688" i="1"/>
  <c r="H688" i="1"/>
  <c r="A689" i="1"/>
  <c r="B689" i="1"/>
  <c r="C689" i="1"/>
  <c r="D689" i="1"/>
  <c r="E689" i="1"/>
  <c r="F689" i="1"/>
  <c r="H689" i="1"/>
  <c r="A690" i="1"/>
  <c r="B690" i="1"/>
  <c r="C690" i="1"/>
  <c r="D690" i="1"/>
  <c r="E690" i="1"/>
  <c r="F690" i="1"/>
  <c r="H690" i="1"/>
  <c r="A691" i="1"/>
  <c r="B691" i="1"/>
  <c r="C691" i="1"/>
  <c r="D691" i="1"/>
  <c r="E691" i="1"/>
  <c r="F691" i="1"/>
  <c r="H691" i="1"/>
  <c r="A692" i="1"/>
  <c r="B692" i="1"/>
  <c r="C692" i="1"/>
  <c r="D692" i="1"/>
  <c r="E692" i="1"/>
  <c r="F692" i="1"/>
  <c r="H692" i="1"/>
  <c r="A693" i="1"/>
  <c r="B693" i="1"/>
  <c r="C693" i="1"/>
  <c r="D693" i="1"/>
  <c r="E693" i="1"/>
  <c r="F693" i="1"/>
  <c r="H693" i="1"/>
  <c r="A694" i="1"/>
  <c r="B694" i="1"/>
  <c r="C694" i="1"/>
  <c r="D694" i="1"/>
  <c r="E694" i="1"/>
  <c r="F694" i="1"/>
  <c r="H694" i="1"/>
  <c r="A695" i="1"/>
  <c r="B695" i="1"/>
  <c r="C695" i="1"/>
  <c r="D695" i="1"/>
  <c r="E695" i="1"/>
  <c r="F695" i="1"/>
  <c r="H695" i="1"/>
  <c r="A696" i="1"/>
  <c r="B696" i="1"/>
  <c r="C696" i="1"/>
  <c r="D696" i="1"/>
  <c r="E696" i="1"/>
  <c r="F696" i="1"/>
  <c r="H696" i="1"/>
  <c r="A697" i="1"/>
  <c r="B697" i="1"/>
  <c r="C697" i="1"/>
  <c r="D697" i="1"/>
  <c r="E697" i="1"/>
  <c r="F697" i="1"/>
  <c r="H697" i="1"/>
  <c r="A698" i="1"/>
  <c r="B698" i="1"/>
  <c r="C698" i="1"/>
  <c r="D698" i="1"/>
  <c r="E698" i="1"/>
  <c r="F698" i="1"/>
  <c r="H698" i="1"/>
  <c r="A699" i="1"/>
  <c r="B699" i="1"/>
  <c r="C699" i="1"/>
  <c r="D699" i="1"/>
  <c r="E699" i="1"/>
  <c r="F699" i="1"/>
  <c r="H699" i="1"/>
  <c r="A700" i="1"/>
  <c r="B700" i="1"/>
  <c r="C700" i="1"/>
  <c r="D700" i="1"/>
  <c r="E700" i="1"/>
  <c r="F700" i="1"/>
  <c r="H700" i="1"/>
  <c r="A701" i="1"/>
  <c r="B701" i="1"/>
  <c r="C701" i="1"/>
  <c r="D701" i="1"/>
  <c r="E701" i="1"/>
  <c r="F701" i="1"/>
  <c r="H701" i="1"/>
  <c r="A702" i="1"/>
  <c r="B702" i="1"/>
  <c r="C702" i="1"/>
  <c r="D702" i="1"/>
  <c r="E702" i="1"/>
  <c r="F702" i="1"/>
  <c r="H702" i="1"/>
  <c r="A703" i="1"/>
  <c r="B703" i="1"/>
  <c r="C703" i="1"/>
  <c r="D703" i="1"/>
  <c r="E703" i="1"/>
  <c r="F703" i="1"/>
  <c r="H703" i="1"/>
  <c r="A704" i="1"/>
  <c r="B704" i="1"/>
  <c r="C704" i="1"/>
  <c r="D704" i="1"/>
  <c r="E704" i="1"/>
  <c r="F704" i="1"/>
  <c r="H704" i="1"/>
  <c r="A705" i="1"/>
  <c r="B705" i="1"/>
  <c r="C705" i="1"/>
  <c r="D705" i="1"/>
  <c r="E705" i="1"/>
  <c r="F705" i="1"/>
  <c r="H705" i="1"/>
  <c r="A706" i="1"/>
  <c r="B706" i="1"/>
  <c r="C706" i="1"/>
  <c r="D706" i="1"/>
  <c r="E706" i="1"/>
  <c r="F706" i="1"/>
  <c r="H706" i="1"/>
  <c r="A707" i="1"/>
  <c r="B707" i="1"/>
  <c r="C707" i="1"/>
  <c r="D707" i="1"/>
  <c r="E707" i="1"/>
  <c r="F707" i="1"/>
  <c r="H707" i="1"/>
  <c r="A708" i="1"/>
  <c r="B708" i="1"/>
  <c r="C708" i="1"/>
  <c r="D708" i="1"/>
  <c r="E708" i="1"/>
  <c r="F708" i="1"/>
  <c r="H708" i="1"/>
  <c r="A709" i="1"/>
  <c r="B709" i="1"/>
  <c r="C709" i="1"/>
  <c r="D709" i="1"/>
  <c r="E709" i="1"/>
  <c r="F709" i="1"/>
  <c r="H709" i="1"/>
  <c r="A710" i="1"/>
  <c r="B710" i="1"/>
  <c r="C710" i="1"/>
  <c r="D710" i="1"/>
  <c r="E710" i="1"/>
  <c r="F710" i="1"/>
  <c r="H710" i="1"/>
  <c r="A711" i="1"/>
  <c r="B711" i="1"/>
  <c r="C711" i="1"/>
  <c r="D711" i="1"/>
  <c r="E711" i="1"/>
  <c r="F711" i="1"/>
  <c r="H711" i="1"/>
  <c r="A712" i="1"/>
  <c r="B712" i="1"/>
  <c r="C712" i="1"/>
  <c r="D712" i="1"/>
  <c r="E712" i="1"/>
  <c r="F712" i="1"/>
  <c r="H712" i="1"/>
  <c r="A713" i="1"/>
  <c r="B713" i="1"/>
  <c r="C713" i="1"/>
  <c r="D713" i="1"/>
  <c r="E713" i="1"/>
  <c r="F713" i="1"/>
  <c r="H713" i="1"/>
  <c r="A714" i="1"/>
  <c r="B714" i="1"/>
  <c r="C714" i="1"/>
  <c r="D714" i="1"/>
  <c r="E714" i="1"/>
  <c r="F714" i="1"/>
  <c r="H714" i="1"/>
  <c r="A715" i="1"/>
  <c r="B715" i="1"/>
  <c r="C715" i="1"/>
  <c r="D715" i="1"/>
  <c r="E715" i="1"/>
  <c r="F715" i="1"/>
  <c r="H715" i="1"/>
  <c r="A716" i="1"/>
  <c r="B716" i="1"/>
  <c r="C716" i="1"/>
  <c r="D716" i="1"/>
  <c r="E716" i="1"/>
  <c r="F716" i="1"/>
  <c r="H716" i="1"/>
  <c r="A717" i="1"/>
  <c r="B717" i="1"/>
  <c r="C717" i="1"/>
  <c r="D717" i="1"/>
  <c r="E717" i="1"/>
  <c r="F717" i="1"/>
  <c r="H717" i="1"/>
  <c r="A718" i="1"/>
  <c r="B718" i="1"/>
  <c r="C718" i="1"/>
  <c r="D718" i="1"/>
  <c r="E718" i="1"/>
  <c r="F718" i="1"/>
  <c r="H718" i="1"/>
  <c r="A719" i="1"/>
  <c r="B719" i="1"/>
  <c r="C719" i="1"/>
  <c r="D719" i="1"/>
  <c r="E719" i="1"/>
  <c r="F719" i="1"/>
  <c r="H719" i="1"/>
  <c r="A720" i="1"/>
  <c r="B720" i="1"/>
  <c r="C720" i="1"/>
  <c r="D720" i="1"/>
  <c r="E720" i="1"/>
  <c r="F720" i="1"/>
  <c r="H720" i="1"/>
  <c r="A721" i="1"/>
  <c r="B721" i="1"/>
  <c r="C721" i="1"/>
  <c r="D721" i="1"/>
  <c r="E721" i="1"/>
  <c r="F721" i="1"/>
  <c r="H721" i="1"/>
  <c r="A722" i="1"/>
  <c r="B722" i="1"/>
  <c r="C722" i="1"/>
  <c r="D722" i="1"/>
  <c r="E722" i="1"/>
  <c r="F722" i="1"/>
  <c r="H722" i="1"/>
  <c r="A723" i="1"/>
  <c r="B723" i="1"/>
  <c r="C723" i="1"/>
  <c r="D723" i="1"/>
  <c r="E723" i="1"/>
  <c r="F723" i="1"/>
  <c r="H723" i="1"/>
  <c r="A724" i="1"/>
  <c r="B724" i="1"/>
  <c r="C724" i="1"/>
  <c r="D724" i="1"/>
  <c r="E724" i="1"/>
  <c r="F724" i="1"/>
  <c r="H724" i="1"/>
  <c r="A725" i="1"/>
  <c r="B725" i="1"/>
  <c r="C725" i="1"/>
  <c r="D725" i="1"/>
  <c r="E725" i="1"/>
  <c r="F725" i="1"/>
  <c r="H725" i="1"/>
  <c r="A726" i="1"/>
  <c r="B726" i="1"/>
  <c r="C726" i="1"/>
  <c r="D726" i="1"/>
  <c r="E726" i="1"/>
  <c r="F726" i="1"/>
  <c r="H726" i="1"/>
  <c r="A727" i="1"/>
  <c r="B727" i="1"/>
  <c r="C727" i="1"/>
  <c r="D727" i="1"/>
  <c r="E727" i="1"/>
  <c r="F727" i="1"/>
  <c r="H727" i="1"/>
  <c r="A728" i="1"/>
  <c r="B728" i="1"/>
  <c r="C728" i="1"/>
  <c r="D728" i="1"/>
  <c r="E728" i="1"/>
  <c r="F728" i="1"/>
  <c r="H728" i="1"/>
  <c r="A729" i="1"/>
  <c r="B729" i="1"/>
  <c r="C729" i="1"/>
  <c r="D729" i="1"/>
  <c r="E729" i="1"/>
  <c r="F729" i="1"/>
  <c r="H729" i="1"/>
  <c r="A730" i="1"/>
  <c r="B730" i="1"/>
  <c r="C730" i="1"/>
  <c r="D730" i="1"/>
  <c r="E730" i="1"/>
  <c r="F730" i="1"/>
  <c r="H730" i="1"/>
  <c r="A731" i="1"/>
  <c r="B731" i="1"/>
  <c r="C731" i="1"/>
  <c r="D731" i="1"/>
  <c r="E731" i="1"/>
  <c r="F731" i="1"/>
  <c r="H731" i="1"/>
  <c r="A732" i="1"/>
  <c r="B732" i="1"/>
  <c r="C732" i="1"/>
  <c r="D732" i="1"/>
  <c r="E732" i="1"/>
  <c r="F732" i="1"/>
  <c r="H732" i="1"/>
  <c r="A733" i="1"/>
  <c r="B733" i="1"/>
  <c r="C733" i="1"/>
  <c r="D733" i="1"/>
  <c r="E733" i="1"/>
  <c r="F733" i="1"/>
  <c r="H733" i="1"/>
  <c r="A734" i="1"/>
  <c r="B734" i="1"/>
  <c r="C734" i="1"/>
  <c r="D734" i="1"/>
  <c r="E734" i="1"/>
  <c r="F734" i="1"/>
  <c r="H734" i="1"/>
  <c r="A735" i="1"/>
  <c r="B735" i="1"/>
  <c r="C735" i="1"/>
  <c r="D735" i="1"/>
  <c r="E735" i="1"/>
  <c r="F735" i="1"/>
  <c r="H735" i="1"/>
  <c r="A736" i="1"/>
  <c r="B736" i="1"/>
  <c r="C736" i="1"/>
  <c r="D736" i="1"/>
  <c r="E736" i="1"/>
  <c r="F736" i="1"/>
  <c r="H736" i="1"/>
  <c r="A737" i="1"/>
  <c r="B737" i="1"/>
  <c r="C737" i="1"/>
  <c r="D737" i="1"/>
  <c r="E737" i="1"/>
  <c r="F737" i="1"/>
  <c r="H737" i="1"/>
  <c r="A738" i="1"/>
  <c r="B738" i="1"/>
  <c r="C738" i="1"/>
  <c r="D738" i="1"/>
  <c r="E738" i="1"/>
  <c r="F738" i="1"/>
  <c r="H738" i="1"/>
  <c r="A739" i="1"/>
  <c r="B739" i="1"/>
  <c r="C739" i="1"/>
  <c r="D739" i="1"/>
  <c r="E739" i="1"/>
  <c r="F739" i="1"/>
  <c r="H739" i="1"/>
  <c r="A740" i="1"/>
  <c r="B740" i="1"/>
  <c r="C740" i="1"/>
  <c r="D740" i="1"/>
  <c r="E740" i="1"/>
  <c r="F740" i="1"/>
  <c r="H740" i="1"/>
  <c r="A741" i="1"/>
  <c r="B741" i="1"/>
  <c r="C741" i="1"/>
  <c r="D741" i="1"/>
  <c r="E741" i="1"/>
  <c r="F741" i="1"/>
  <c r="H741" i="1"/>
  <c r="A742" i="1"/>
  <c r="B742" i="1"/>
  <c r="C742" i="1"/>
  <c r="D742" i="1"/>
  <c r="E742" i="1"/>
  <c r="F742" i="1"/>
  <c r="H742" i="1"/>
  <c r="A743" i="1"/>
  <c r="B743" i="1"/>
  <c r="C743" i="1"/>
  <c r="D743" i="1"/>
  <c r="E743" i="1"/>
  <c r="F743" i="1"/>
  <c r="H743" i="1"/>
  <c r="A744" i="1"/>
  <c r="B744" i="1"/>
  <c r="C744" i="1"/>
  <c r="D744" i="1"/>
  <c r="E744" i="1"/>
  <c r="F744" i="1"/>
  <c r="H744" i="1"/>
  <c r="A745" i="1"/>
  <c r="B745" i="1"/>
  <c r="C745" i="1"/>
  <c r="D745" i="1"/>
  <c r="E745" i="1"/>
  <c r="F745" i="1"/>
  <c r="H745" i="1"/>
  <c r="A746" i="1"/>
  <c r="B746" i="1"/>
  <c r="C746" i="1"/>
  <c r="D746" i="1"/>
  <c r="E746" i="1"/>
  <c r="F746" i="1"/>
  <c r="H746" i="1"/>
  <c r="A747" i="1"/>
  <c r="B747" i="1"/>
  <c r="C747" i="1"/>
  <c r="D747" i="1"/>
  <c r="E747" i="1"/>
  <c r="F747" i="1"/>
  <c r="H747" i="1"/>
  <c r="A748" i="1"/>
  <c r="B748" i="1"/>
  <c r="C748" i="1"/>
  <c r="D748" i="1"/>
  <c r="E748" i="1"/>
  <c r="F748" i="1"/>
  <c r="H748" i="1"/>
  <c r="A749" i="1"/>
  <c r="B749" i="1"/>
  <c r="C749" i="1"/>
  <c r="D749" i="1"/>
  <c r="E749" i="1"/>
  <c r="F749" i="1"/>
  <c r="H749" i="1"/>
  <c r="A750" i="1"/>
  <c r="B750" i="1"/>
  <c r="C750" i="1"/>
  <c r="D750" i="1"/>
  <c r="E750" i="1"/>
  <c r="F750" i="1"/>
  <c r="H750" i="1"/>
  <c r="A751" i="1"/>
  <c r="B751" i="1"/>
  <c r="C751" i="1"/>
  <c r="D751" i="1"/>
  <c r="E751" i="1"/>
  <c r="F751" i="1"/>
  <c r="H751" i="1"/>
  <c r="A752" i="1"/>
  <c r="B752" i="1"/>
  <c r="C752" i="1"/>
  <c r="D752" i="1"/>
  <c r="E752" i="1"/>
  <c r="F752" i="1"/>
  <c r="H752" i="1"/>
  <c r="A753" i="1"/>
  <c r="B753" i="1"/>
  <c r="C753" i="1"/>
  <c r="D753" i="1"/>
  <c r="E753" i="1"/>
  <c r="F753" i="1"/>
  <c r="H753" i="1"/>
  <c r="A754" i="1"/>
  <c r="B754" i="1"/>
  <c r="C754" i="1"/>
  <c r="D754" i="1"/>
  <c r="E754" i="1"/>
  <c r="F754" i="1"/>
  <c r="H754" i="1"/>
  <c r="A755" i="1"/>
  <c r="B755" i="1"/>
  <c r="C755" i="1"/>
  <c r="D755" i="1"/>
  <c r="E755" i="1"/>
  <c r="F755" i="1"/>
  <c r="H755" i="1"/>
  <c r="A756" i="1"/>
  <c r="B756" i="1"/>
  <c r="C756" i="1"/>
  <c r="D756" i="1"/>
  <c r="E756" i="1"/>
  <c r="F756" i="1"/>
  <c r="H756" i="1"/>
  <c r="A757" i="1"/>
  <c r="B757" i="1"/>
  <c r="C757" i="1"/>
  <c r="D757" i="1"/>
  <c r="E757" i="1"/>
  <c r="F757" i="1"/>
  <c r="H757" i="1"/>
  <c r="A758" i="1"/>
  <c r="B758" i="1"/>
  <c r="C758" i="1"/>
  <c r="D758" i="1"/>
  <c r="E758" i="1"/>
  <c r="F758" i="1"/>
  <c r="H758" i="1"/>
  <c r="A759" i="1"/>
  <c r="B759" i="1"/>
  <c r="C759" i="1"/>
  <c r="D759" i="1"/>
  <c r="E759" i="1"/>
  <c r="F759" i="1"/>
  <c r="H759" i="1"/>
  <c r="A760" i="1"/>
  <c r="B760" i="1"/>
  <c r="C760" i="1"/>
  <c r="D760" i="1"/>
  <c r="E760" i="1"/>
  <c r="F760" i="1"/>
  <c r="H760" i="1"/>
  <c r="A761" i="1"/>
  <c r="B761" i="1"/>
  <c r="C761" i="1"/>
  <c r="D761" i="1"/>
  <c r="E761" i="1"/>
  <c r="F761" i="1"/>
  <c r="H761" i="1"/>
  <c r="A762" i="1"/>
  <c r="B762" i="1"/>
  <c r="C762" i="1"/>
  <c r="D762" i="1"/>
  <c r="E762" i="1"/>
  <c r="F762" i="1"/>
  <c r="H762" i="1"/>
  <c r="A763" i="1"/>
  <c r="B763" i="1"/>
  <c r="C763" i="1"/>
  <c r="D763" i="1"/>
  <c r="E763" i="1"/>
  <c r="F763" i="1"/>
  <c r="H763" i="1"/>
  <c r="A764" i="1"/>
  <c r="B764" i="1"/>
  <c r="C764" i="1"/>
  <c r="D764" i="1"/>
  <c r="E764" i="1"/>
  <c r="F764" i="1"/>
  <c r="H764" i="1"/>
  <c r="A765" i="1"/>
  <c r="B765" i="1"/>
  <c r="C765" i="1"/>
  <c r="D765" i="1"/>
  <c r="E765" i="1"/>
  <c r="F765" i="1"/>
  <c r="H765" i="1"/>
  <c r="A766" i="1"/>
  <c r="B766" i="1"/>
  <c r="C766" i="1"/>
  <c r="D766" i="1"/>
  <c r="E766" i="1"/>
  <c r="F766" i="1"/>
  <c r="H766" i="1"/>
  <c r="A767" i="1"/>
  <c r="B767" i="1"/>
  <c r="C767" i="1"/>
  <c r="D767" i="1"/>
  <c r="E767" i="1"/>
  <c r="F767" i="1"/>
  <c r="H767" i="1"/>
  <c r="A768" i="1"/>
  <c r="B768" i="1"/>
  <c r="C768" i="1"/>
  <c r="D768" i="1"/>
  <c r="E768" i="1"/>
  <c r="F768" i="1"/>
  <c r="H768" i="1"/>
  <c r="A769" i="1"/>
  <c r="B769" i="1"/>
  <c r="C769" i="1"/>
  <c r="D769" i="1"/>
  <c r="E769" i="1"/>
  <c r="F769" i="1"/>
  <c r="H769" i="1"/>
  <c r="A770" i="1"/>
  <c r="B770" i="1"/>
  <c r="C770" i="1"/>
  <c r="D770" i="1"/>
  <c r="E770" i="1"/>
  <c r="F770" i="1"/>
  <c r="H770" i="1"/>
  <c r="A771" i="1"/>
  <c r="B771" i="1"/>
  <c r="C771" i="1"/>
  <c r="D771" i="1"/>
  <c r="E771" i="1"/>
  <c r="F771" i="1"/>
  <c r="H771" i="1"/>
  <c r="A772" i="1"/>
  <c r="B772" i="1"/>
  <c r="C772" i="1"/>
  <c r="D772" i="1"/>
  <c r="E772" i="1"/>
  <c r="F772" i="1"/>
  <c r="H772" i="1"/>
  <c r="A773" i="1"/>
  <c r="B773" i="1"/>
  <c r="C773" i="1"/>
  <c r="D773" i="1"/>
  <c r="E773" i="1"/>
  <c r="F773" i="1"/>
  <c r="H773" i="1"/>
  <c r="A774" i="1"/>
  <c r="B774" i="1"/>
  <c r="C774" i="1"/>
  <c r="D774" i="1"/>
  <c r="E774" i="1"/>
  <c r="F774" i="1"/>
  <c r="H774" i="1"/>
  <c r="A775" i="1"/>
  <c r="B775" i="1"/>
  <c r="C775" i="1"/>
  <c r="D775" i="1"/>
  <c r="E775" i="1"/>
  <c r="F775" i="1"/>
  <c r="H775" i="1"/>
  <c r="A776" i="1"/>
  <c r="B776" i="1"/>
  <c r="C776" i="1"/>
  <c r="D776" i="1"/>
  <c r="E776" i="1"/>
  <c r="F776" i="1"/>
  <c r="H776" i="1"/>
  <c r="A777" i="1"/>
  <c r="B777" i="1"/>
  <c r="C777" i="1"/>
  <c r="D777" i="1"/>
  <c r="E777" i="1"/>
  <c r="F777" i="1"/>
  <c r="H777" i="1"/>
  <c r="A778" i="1"/>
  <c r="B778" i="1"/>
  <c r="C778" i="1"/>
  <c r="D778" i="1"/>
  <c r="E778" i="1"/>
  <c r="F778" i="1"/>
  <c r="H778" i="1"/>
  <c r="A779" i="1"/>
  <c r="B779" i="1"/>
  <c r="C779" i="1"/>
  <c r="D779" i="1"/>
  <c r="E779" i="1"/>
  <c r="F779" i="1"/>
  <c r="H779" i="1"/>
  <c r="A780" i="1"/>
  <c r="B780" i="1"/>
  <c r="C780" i="1"/>
  <c r="D780" i="1"/>
  <c r="E780" i="1"/>
  <c r="F780" i="1"/>
  <c r="H780" i="1"/>
  <c r="A781" i="1"/>
  <c r="B781" i="1"/>
  <c r="C781" i="1"/>
  <c r="D781" i="1"/>
  <c r="E781" i="1"/>
  <c r="F781" i="1"/>
  <c r="H781" i="1"/>
  <c r="A782" i="1"/>
  <c r="B782" i="1"/>
  <c r="C782" i="1"/>
  <c r="D782" i="1"/>
  <c r="E782" i="1"/>
  <c r="F782" i="1"/>
  <c r="H782" i="1"/>
  <c r="A783" i="1"/>
  <c r="B783" i="1"/>
  <c r="C783" i="1"/>
  <c r="D783" i="1"/>
  <c r="E783" i="1"/>
  <c r="F783" i="1"/>
  <c r="H783" i="1"/>
  <c r="A784" i="1"/>
  <c r="B784" i="1"/>
  <c r="C784" i="1"/>
  <c r="D784" i="1"/>
  <c r="E784" i="1"/>
  <c r="F784" i="1"/>
  <c r="H784" i="1"/>
  <c r="A785" i="1"/>
  <c r="B785" i="1"/>
  <c r="C785" i="1"/>
  <c r="D785" i="1"/>
  <c r="E785" i="1"/>
  <c r="F785" i="1"/>
  <c r="H785" i="1"/>
  <c r="A786" i="1"/>
  <c r="B786" i="1"/>
  <c r="C786" i="1"/>
  <c r="D786" i="1"/>
  <c r="E786" i="1"/>
  <c r="F786" i="1"/>
  <c r="H786" i="1"/>
  <c r="A787" i="1"/>
  <c r="B787" i="1"/>
  <c r="C787" i="1"/>
  <c r="D787" i="1"/>
  <c r="E787" i="1"/>
  <c r="F787" i="1"/>
  <c r="H787" i="1"/>
  <c r="A788" i="1"/>
  <c r="B788" i="1"/>
  <c r="C788" i="1"/>
  <c r="D788" i="1"/>
  <c r="E788" i="1"/>
  <c r="F788" i="1"/>
  <c r="H788" i="1"/>
  <c r="A789" i="1"/>
  <c r="B789" i="1"/>
  <c r="C789" i="1"/>
  <c r="D789" i="1"/>
  <c r="E789" i="1"/>
  <c r="F789" i="1"/>
  <c r="H789" i="1"/>
  <c r="A790" i="1"/>
  <c r="B790" i="1"/>
  <c r="C790" i="1"/>
  <c r="D790" i="1"/>
  <c r="E790" i="1"/>
  <c r="F790" i="1"/>
  <c r="H790" i="1"/>
  <c r="A791" i="1"/>
  <c r="B791" i="1"/>
  <c r="C791" i="1"/>
  <c r="D791" i="1"/>
  <c r="E791" i="1"/>
  <c r="F791" i="1"/>
  <c r="H791" i="1"/>
  <c r="A792" i="1"/>
  <c r="B792" i="1"/>
  <c r="C792" i="1"/>
  <c r="D792" i="1"/>
  <c r="E792" i="1"/>
  <c r="F792" i="1"/>
  <c r="H792" i="1"/>
  <c r="A793" i="1"/>
  <c r="B793" i="1"/>
  <c r="C793" i="1"/>
  <c r="D793" i="1"/>
  <c r="E793" i="1"/>
  <c r="F793" i="1"/>
  <c r="H793" i="1"/>
  <c r="A794" i="1"/>
  <c r="B794" i="1"/>
  <c r="C794" i="1"/>
  <c r="D794" i="1"/>
  <c r="E794" i="1"/>
  <c r="F794" i="1"/>
  <c r="H794" i="1"/>
  <c r="A795" i="1"/>
  <c r="B795" i="1"/>
  <c r="C795" i="1"/>
  <c r="D795" i="1"/>
  <c r="E795" i="1"/>
  <c r="F795" i="1"/>
  <c r="H795" i="1"/>
  <c r="A796" i="1"/>
  <c r="B796" i="1"/>
  <c r="C796" i="1"/>
  <c r="D796" i="1"/>
  <c r="E796" i="1"/>
  <c r="F796" i="1"/>
  <c r="H796" i="1"/>
  <c r="A797" i="1"/>
  <c r="B797" i="1"/>
  <c r="C797" i="1"/>
  <c r="D797" i="1"/>
  <c r="E797" i="1"/>
  <c r="F797" i="1"/>
  <c r="H797" i="1"/>
  <c r="A798" i="1"/>
  <c r="B798" i="1"/>
  <c r="C798" i="1"/>
  <c r="D798" i="1"/>
  <c r="E798" i="1"/>
  <c r="F798" i="1"/>
  <c r="H798" i="1"/>
  <c r="A799" i="1"/>
  <c r="B799" i="1"/>
  <c r="C799" i="1"/>
  <c r="D799" i="1"/>
  <c r="E799" i="1"/>
  <c r="F799" i="1"/>
  <c r="H799" i="1"/>
  <c r="A800" i="1"/>
  <c r="B800" i="1"/>
  <c r="C800" i="1"/>
  <c r="D800" i="1"/>
  <c r="E800" i="1"/>
  <c r="F800" i="1"/>
  <c r="H800" i="1"/>
  <c r="A801" i="1"/>
  <c r="B801" i="1"/>
  <c r="C801" i="1"/>
  <c r="D801" i="1"/>
  <c r="E801" i="1"/>
  <c r="F801" i="1"/>
  <c r="H801" i="1"/>
  <c r="A802" i="1"/>
  <c r="B802" i="1"/>
  <c r="C802" i="1"/>
  <c r="D802" i="1"/>
  <c r="E802" i="1"/>
  <c r="F802" i="1"/>
  <c r="H802" i="1"/>
  <c r="A803" i="1"/>
  <c r="B803" i="1"/>
  <c r="C803" i="1"/>
  <c r="D803" i="1"/>
  <c r="E803" i="1"/>
  <c r="F803" i="1"/>
  <c r="H803" i="1"/>
  <c r="A804" i="1"/>
  <c r="B804" i="1"/>
  <c r="C804" i="1"/>
  <c r="D804" i="1"/>
  <c r="E804" i="1"/>
  <c r="F804" i="1"/>
  <c r="H804" i="1"/>
  <c r="A805" i="1"/>
  <c r="B805" i="1"/>
  <c r="C805" i="1"/>
  <c r="D805" i="1"/>
  <c r="E805" i="1"/>
  <c r="F805" i="1"/>
  <c r="H805" i="1"/>
  <c r="A806" i="1"/>
  <c r="B806" i="1"/>
  <c r="C806" i="1"/>
  <c r="D806" i="1"/>
  <c r="E806" i="1"/>
  <c r="F806" i="1"/>
  <c r="H806" i="1"/>
  <c r="A807" i="1"/>
  <c r="B807" i="1"/>
  <c r="C807" i="1"/>
  <c r="D807" i="1"/>
  <c r="E807" i="1"/>
  <c r="F807" i="1"/>
  <c r="H807" i="1"/>
  <c r="A808" i="1"/>
  <c r="B808" i="1"/>
  <c r="C808" i="1"/>
  <c r="D808" i="1"/>
  <c r="E808" i="1"/>
  <c r="F808" i="1"/>
  <c r="H808" i="1"/>
  <c r="A809" i="1"/>
  <c r="B809" i="1"/>
  <c r="C809" i="1"/>
  <c r="D809" i="1"/>
  <c r="E809" i="1"/>
  <c r="F809" i="1"/>
  <c r="H809" i="1"/>
  <c r="A810" i="1"/>
  <c r="B810" i="1"/>
  <c r="C810" i="1"/>
  <c r="D810" i="1"/>
  <c r="E810" i="1"/>
  <c r="F810" i="1"/>
  <c r="H810" i="1"/>
  <c r="A811" i="1"/>
  <c r="B811" i="1"/>
  <c r="C811" i="1"/>
  <c r="D811" i="1"/>
  <c r="E811" i="1"/>
  <c r="F811" i="1"/>
  <c r="H811" i="1"/>
  <c r="A812" i="1"/>
  <c r="B812" i="1"/>
  <c r="C812" i="1"/>
  <c r="D812" i="1"/>
  <c r="E812" i="1"/>
  <c r="F812" i="1"/>
  <c r="H812" i="1"/>
  <c r="A813" i="1"/>
  <c r="B813" i="1"/>
  <c r="C813" i="1"/>
  <c r="D813" i="1"/>
  <c r="E813" i="1"/>
  <c r="F813" i="1"/>
  <c r="H813" i="1"/>
  <c r="A814" i="1"/>
  <c r="B814" i="1"/>
  <c r="C814" i="1"/>
  <c r="D814" i="1"/>
  <c r="E814" i="1"/>
  <c r="F814" i="1"/>
  <c r="H814" i="1"/>
  <c r="A815" i="1"/>
  <c r="B815" i="1"/>
  <c r="C815" i="1"/>
  <c r="D815" i="1"/>
  <c r="E815" i="1"/>
  <c r="F815" i="1"/>
  <c r="H815" i="1"/>
  <c r="A816" i="1"/>
  <c r="B816" i="1"/>
  <c r="C816" i="1"/>
  <c r="D816" i="1"/>
  <c r="E816" i="1"/>
  <c r="F816" i="1"/>
  <c r="H816" i="1"/>
  <c r="A817" i="1"/>
  <c r="B817" i="1"/>
  <c r="C817" i="1"/>
  <c r="D817" i="1"/>
  <c r="E817" i="1"/>
  <c r="F817" i="1"/>
  <c r="H817" i="1"/>
  <c r="A818" i="1"/>
  <c r="B818" i="1"/>
  <c r="C818" i="1"/>
  <c r="D818" i="1"/>
  <c r="E818" i="1"/>
  <c r="F818" i="1"/>
  <c r="H818" i="1"/>
  <c r="A819" i="1"/>
  <c r="B819" i="1"/>
  <c r="C819" i="1"/>
  <c r="D819" i="1"/>
  <c r="E819" i="1"/>
  <c r="F819" i="1"/>
  <c r="H819" i="1"/>
  <c r="A820" i="1"/>
  <c r="B820" i="1"/>
  <c r="C820" i="1"/>
  <c r="D820" i="1"/>
  <c r="E820" i="1"/>
  <c r="F820" i="1"/>
  <c r="H820" i="1"/>
  <c r="A821" i="1"/>
  <c r="B821" i="1"/>
  <c r="C821" i="1"/>
  <c r="D821" i="1"/>
  <c r="E821" i="1"/>
  <c r="F821" i="1"/>
  <c r="H821" i="1"/>
  <c r="A822" i="1"/>
  <c r="B822" i="1"/>
  <c r="C822" i="1"/>
  <c r="D822" i="1"/>
  <c r="E822" i="1"/>
  <c r="F822" i="1"/>
  <c r="H822" i="1"/>
  <c r="A823" i="1"/>
  <c r="B823" i="1"/>
  <c r="C823" i="1"/>
  <c r="D823" i="1"/>
  <c r="E823" i="1"/>
  <c r="F823" i="1"/>
  <c r="H823" i="1"/>
  <c r="A824" i="1"/>
  <c r="B824" i="1"/>
  <c r="C824" i="1"/>
  <c r="D824" i="1"/>
  <c r="E824" i="1"/>
  <c r="F824" i="1"/>
  <c r="H824" i="1"/>
  <c r="A825" i="1"/>
  <c r="B825" i="1"/>
  <c r="C825" i="1"/>
  <c r="D825" i="1"/>
  <c r="E825" i="1"/>
  <c r="F825" i="1"/>
  <c r="H825" i="1"/>
  <c r="A826" i="1"/>
  <c r="B826" i="1"/>
  <c r="C826" i="1"/>
  <c r="D826" i="1"/>
  <c r="E826" i="1"/>
  <c r="F826" i="1"/>
  <c r="H826" i="1"/>
  <c r="A827" i="1"/>
  <c r="B827" i="1"/>
  <c r="C827" i="1"/>
  <c r="D827" i="1"/>
  <c r="E827" i="1"/>
  <c r="F827" i="1"/>
  <c r="H827" i="1"/>
  <c r="A828" i="1"/>
  <c r="B828" i="1"/>
  <c r="C828" i="1"/>
  <c r="D828" i="1"/>
  <c r="E828" i="1"/>
  <c r="F828" i="1"/>
  <c r="H828" i="1"/>
  <c r="A829" i="1"/>
  <c r="B829" i="1"/>
  <c r="C829" i="1"/>
  <c r="D829" i="1"/>
  <c r="E829" i="1"/>
  <c r="F829" i="1"/>
  <c r="H829" i="1"/>
  <c r="A830" i="1"/>
  <c r="B830" i="1"/>
  <c r="C830" i="1"/>
  <c r="D830" i="1"/>
  <c r="E830" i="1"/>
  <c r="F830" i="1"/>
  <c r="H830" i="1"/>
  <c r="A831" i="1"/>
  <c r="B831" i="1"/>
  <c r="C831" i="1"/>
  <c r="D831" i="1"/>
  <c r="E831" i="1"/>
  <c r="F831" i="1"/>
  <c r="H831" i="1"/>
  <c r="A832" i="1"/>
  <c r="B832" i="1"/>
  <c r="C832" i="1"/>
  <c r="D832" i="1"/>
  <c r="E832" i="1"/>
  <c r="F832" i="1"/>
  <c r="H832" i="1"/>
  <c r="A833" i="1"/>
  <c r="B833" i="1"/>
  <c r="C833" i="1"/>
  <c r="D833" i="1"/>
  <c r="E833" i="1"/>
  <c r="F833" i="1"/>
  <c r="H833" i="1"/>
  <c r="A834" i="1"/>
  <c r="B834" i="1"/>
  <c r="C834" i="1"/>
  <c r="D834" i="1"/>
  <c r="E834" i="1"/>
  <c r="F834" i="1"/>
  <c r="H834" i="1"/>
  <c r="A835" i="1"/>
  <c r="B835" i="1"/>
  <c r="C835" i="1"/>
  <c r="D835" i="1"/>
  <c r="E835" i="1"/>
  <c r="F835" i="1"/>
  <c r="H835" i="1"/>
  <c r="A836" i="1"/>
  <c r="B836" i="1"/>
  <c r="C836" i="1"/>
  <c r="D836" i="1"/>
  <c r="E836" i="1"/>
  <c r="F836" i="1"/>
  <c r="H836" i="1"/>
  <c r="A837" i="1"/>
  <c r="B837" i="1"/>
  <c r="C837" i="1"/>
  <c r="D837" i="1"/>
  <c r="E837" i="1"/>
  <c r="F837" i="1"/>
  <c r="H837" i="1"/>
  <c r="A838" i="1"/>
  <c r="B838" i="1"/>
  <c r="C838" i="1"/>
  <c r="D838" i="1"/>
  <c r="E838" i="1"/>
  <c r="F838" i="1"/>
  <c r="H838" i="1"/>
  <c r="A839" i="1"/>
  <c r="B839" i="1"/>
  <c r="C839" i="1"/>
  <c r="D839" i="1"/>
  <c r="E839" i="1"/>
  <c r="F839" i="1"/>
  <c r="H839" i="1"/>
  <c r="A840" i="1"/>
  <c r="B840" i="1"/>
  <c r="C840" i="1"/>
  <c r="D840" i="1"/>
  <c r="E840" i="1"/>
  <c r="F840" i="1"/>
  <c r="H840" i="1"/>
  <c r="A841" i="1"/>
  <c r="B841" i="1"/>
  <c r="C841" i="1"/>
  <c r="D841" i="1"/>
  <c r="E841" i="1"/>
  <c r="F841" i="1"/>
  <c r="H841" i="1"/>
  <c r="A842" i="1"/>
  <c r="B842" i="1"/>
  <c r="C842" i="1"/>
  <c r="D842" i="1"/>
  <c r="E842" i="1"/>
  <c r="F842" i="1"/>
  <c r="H842" i="1"/>
  <c r="A843" i="1"/>
  <c r="B843" i="1"/>
  <c r="C843" i="1"/>
  <c r="D843" i="1"/>
  <c r="E843" i="1"/>
  <c r="F843" i="1"/>
  <c r="H843" i="1"/>
  <c r="A844" i="1"/>
  <c r="B844" i="1"/>
  <c r="C844" i="1"/>
  <c r="D844" i="1"/>
  <c r="E844" i="1"/>
  <c r="F844" i="1"/>
  <c r="H844" i="1"/>
  <c r="A845" i="1"/>
  <c r="B845" i="1"/>
  <c r="C845" i="1"/>
  <c r="D845" i="1"/>
  <c r="E845" i="1"/>
  <c r="F845" i="1"/>
  <c r="H845" i="1"/>
  <c r="A846" i="1"/>
  <c r="B846" i="1"/>
  <c r="C846" i="1"/>
  <c r="D846" i="1"/>
  <c r="E846" i="1"/>
  <c r="F846" i="1"/>
  <c r="H846" i="1"/>
  <c r="A847" i="1"/>
  <c r="B847" i="1"/>
  <c r="C847" i="1"/>
  <c r="D847" i="1"/>
  <c r="E847" i="1"/>
  <c r="F847" i="1"/>
  <c r="H847" i="1"/>
  <c r="A848" i="1"/>
  <c r="B848" i="1"/>
  <c r="C848" i="1"/>
  <c r="D848" i="1"/>
  <c r="E848" i="1"/>
  <c r="F848" i="1"/>
  <c r="H848" i="1"/>
  <c r="A849" i="1"/>
  <c r="B849" i="1"/>
  <c r="C849" i="1"/>
  <c r="D849" i="1"/>
  <c r="E849" i="1"/>
  <c r="F849" i="1"/>
  <c r="H849" i="1"/>
  <c r="A850" i="1"/>
  <c r="B850" i="1"/>
  <c r="C850" i="1"/>
  <c r="D850" i="1"/>
  <c r="E850" i="1"/>
  <c r="F850" i="1"/>
  <c r="H850" i="1"/>
  <c r="A851" i="1"/>
  <c r="B851" i="1"/>
  <c r="C851" i="1"/>
  <c r="D851" i="1"/>
  <c r="E851" i="1"/>
  <c r="F851" i="1"/>
  <c r="H851" i="1"/>
  <c r="A852" i="1"/>
  <c r="B852" i="1"/>
  <c r="C852" i="1"/>
  <c r="D852" i="1"/>
  <c r="E852" i="1"/>
  <c r="F852" i="1"/>
  <c r="H852" i="1"/>
  <c r="A853" i="1"/>
  <c r="B853" i="1"/>
  <c r="C853" i="1"/>
  <c r="D853" i="1"/>
  <c r="E853" i="1"/>
  <c r="F853" i="1"/>
  <c r="H853" i="1"/>
  <c r="A854" i="1"/>
  <c r="B854" i="1"/>
  <c r="C854" i="1"/>
  <c r="D854" i="1"/>
  <c r="E854" i="1"/>
  <c r="F854" i="1"/>
  <c r="H854" i="1"/>
  <c r="A855" i="1"/>
  <c r="B855" i="1"/>
  <c r="C855" i="1"/>
  <c r="D855" i="1"/>
  <c r="E855" i="1"/>
  <c r="F855" i="1"/>
  <c r="H855" i="1"/>
  <c r="A856" i="1"/>
  <c r="B856" i="1"/>
  <c r="C856" i="1"/>
  <c r="D856" i="1"/>
  <c r="E856" i="1"/>
  <c r="F856" i="1"/>
  <c r="H856" i="1"/>
  <c r="A857" i="1"/>
  <c r="B857" i="1"/>
  <c r="C857" i="1"/>
  <c r="D857" i="1"/>
  <c r="E857" i="1"/>
  <c r="F857" i="1"/>
  <c r="H857" i="1"/>
  <c r="A858" i="1"/>
  <c r="B858" i="1"/>
  <c r="C858" i="1"/>
  <c r="D858" i="1"/>
  <c r="E858" i="1"/>
  <c r="F858" i="1"/>
  <c r="H858" i="1"/>
  <c r="A859" i="1"/>
  <c r="B859" i="1"/>
  <c r="C859" i="1"/>
  <c r="D859" i="1"/>
  <c r="E859" i="1"/>
  <c r="F859" i="1"/>
  <c r="H859" i="1"/>
  <c r="A860" i="1"/>
  <c r="B860" i="1"/>
  <c r="C860" i="1"/>
  <c r="D860" i="1"/>
  <c r="E860" i="1"/>
  <c r="F860" i="1"/>
  <c r="H860" i="1"/>
  <c r="A861" i="1"/>
  <c r="B861" i="1"/>
  <c r="C861" i="1"/>
  <c r="D861" i="1"/>
  <c r="E861" i="1"/>
  <c r="F861" i="1"/>
  <c r="H861" i="1"/>
  <c r="A862" i="1"/>
  <c r="B862" i="1"/>
  <c r="C862" i="1"/>
  <c r="D862" i="1"/>
  <c r="E862" i="1"/>
  <c r="F862" i="1"/>
  <c r="H862" i="1"/>
  <c r="A863" i="1"/>
  <c r="B863" i="1"/>
  <c r="C863" i="1"/>
  <c r="D863" i="1"/>
  <c r="E863" i="1"/>
  <c r="F863" i="1"/>
  <c r="H863" i="1"/>
  <c r="A864" i="1"/>
  <c r="B864" i="1"/>
  <c r="C864" i="1"/>
  <c r="D864" i="1"/>
  <c r="E864" i="1"/>
  <c r="F864" i="1"/>
  <c r="H864" i="1"/>
  <c r="A865" i="1"/>
  <c r="B865" i="1"/>
  <c r="C865" i="1"/>
  <c r="D865" i="1"/>
  <c r="E865" i="1"/>
  <c r="F865" i="1"/>
  <c r="H865" i="1"/>
  <c r="A866" i="1"/>
  <c r="B866" i="1"/>
  <c r="C866" i="1"/>
  <c r="D866" i="1"/>
  <c r="E866" i="1"/>
  <c r="F866" i="1"/>
  <c r="H866" i="1"/>
  <c r="A867" i="1"/>
  <c r="B867" i="1"/>
  <c r="C867" i="1"/>
  <c r="D867" i="1"/>
  <c r="E867" i="1"/>
  <c r="F867" i="1"/>
  <c r="H867" i="1"/>
  <c r="A868" i="1"/>
  <c r="B868" i="1"/>
  <c r="C868" i="1"/>
  <c r="D868" i="1"/>
  <c r="E868" i="1"/>
  <c r="F868" i="1"/>
  <c r="H868" i="1"/>
  <c r="A869" i="1"/>
  <c r="B869" i="1"/>
  <c r="C869" i="1"/>
  <c r="D869" i="1"/>
  <c r="E869" i="1"/>
  <c r="F869" i="1"/>
  <c r="H869" i="1"/>
  <c r="A870" i="1"/>
  <c r="B870" i="1"/>
  <c r="C870" i="1"/>
  <c r="D870" i="1"/>
  <c r="E870" i="1"/>
  <c r="F870" i="1"/>
  <c r="H870" i="1"/>
  <c r="A871" i="1"/>
  <c r="B871" i="1"/>
  <c r="C871" i="1"/>
  <c r="D871" i="1"/>
  <c r="E871" i="1"/>
  <c r="F871" i="1"/>
  <c r="H871" i="1"/>
  <c r="A872" i="1"/>
  <c r="B872" i="1"/>
  <c r="C872" i="1"/>
  <c r="D872" i="1"/>
  <c r="E872" i="1"/>
  <c r="F872" i="1"/>
  <c r="H872" i="1"/>
  <c r="A873" i="1"/>
  <c r="B873" i="1"/>
  <c r="C873" i="1"/>
  <c r="D873" i="1"/>
  <c r="E873" i="1"/>
  <c r="F873" i="1"/>
  <c r="H873" i="1"/>
  <c r="A874" i="1"/>
  <c r="B874" i="1"/>
  <c r="C874" i="1"/>
  <c r="D874" i="1"/>
  <c r="E874" i="1"/>
  <c r="F874" i="1"/>
  <c r="H874" i="1"/>
  <c r="A875" i="1"/>
  <c r="B875" i="1"/>
  <c r="C875" i="1"/>
  <c r="D875" i="1"/>
  <c r="E875" i="1"/>
  <c r="F875" i="1"/>
  <c r="H875" i="1"/>
  <c r="A876" i="1"/>
  <c r="B876" i="1"/>
  <c r="C876" i="1"/>
  <c r="D876" i="1"/>
  <c r="E876" i="1"/>
  <c r="F876" i="1"/>
  <c r="H876" i="1"/>
  <c r="A877" i="1"/>
  <c r="B877" i="1"/>
  <c r="C877" i="1"/>
  <c r="D877" i="1"/>
  <c r="E877" i="1"/>
  <c r="F877" i="1"/>
  <c r="H877" i="1"/>
  <c r="A878" i="1"/>
  <c r="B878" i="1"/>
  <c r="C878" i="1"/>
  <c r="D878" i="1"/>
  <c r="E878" i="1"/>
  <c r="F878" i="1"/>
  <c r="H878" i="1"/>
  <c r="A879" i="1"/>
  <c r="B879" i="1"/>
  <c r="C879" i="1"/>
  <c r="D879" i="1"/>
  <c r="E879" i="1"/>
  <c r="F879" i="1"/>
  <c r="H879" i="1"/>
  <c r="A880" i="1"/>
  <c r="B880" i="1"/>
  <c r="C880" i="1"/>
  <c r="D880" i="1"/>
  <c r="E880" i="1"/>
  <c r="F880" i="1"/>
  <c r="H880" i="1"/>
  <c r="A881" i="1"/>
  <c r="B881" i="1"/>
  <c r="C881" i="1"/>
  <c r="D881" i="1"/>
  <c r="E881" i="1"/>
  <c r="F881" i="1"/>
  <c r="H881" i="1"/>
  <c r="A882" i="1"/>
  <c r="B882" i="1"/>
  <c r="C882" i="1"/>
  <c r="D882" i="1"/>
  <c r="E882" i="1"/>
  <c r="F882" i="1"/>
  <c r="H882" i="1"/>
  <c r="A883" i="1"/>
  <c r="B883" i="1"/>
  <c r="C883" i="1"/>
  <c r="D883" i="1"/>
  <c r="E883" i="1"/>
  <c r="F883" i="1"/>
  <c r="H883" i="1"/>
  <c r="A884" i="1"/>
  <c r="B884" i="1"/>
  <c r="C884" i="1"/>
  <c r="D884" i="1"/>
  <c r="E884" i="1"/>
  <c r="F884" i="1"/>
  <c r="H884" i="1"/>
  <c r="A885" i="1"/>
  <c r="B885" i="1"/>
  <c r="C885" i="1"/>
  <c r="D885" i="1"/>
  <c r="E885" i="1"/>
  <c r="F885" i="1"/>
  <c r="H885" i="1"/>
  <c r="A886" i="1"/>
  <c r="B886" i="1"/>
  <c r="C886" i="1"/>
  <c r="D886" i="1"/>
  <c r="E886" i="1"/>
  <c r="F886" i="1"/>
  <c r="H886" i="1"/>
  <c r="A887" i="1"/>
  <c r="B887" i="1"/>
  <c r="C887" i="1"/>
  <c r="D887" i="1"/>
  <c r="E887" i="1"/>
  <c r="F887" i="1"/>
  <c r="H887" i="1"/>
  <c r="A888" i="1"/>
  <c r="B888" i="1"/>
  <c r="C888" i="1"/>
  <c r="D888" i="1"/>
  <c r="E888" i="1"/>
  <c r="F888" i="1"/>
  <c r="H888" i="1"/>
  <c r="A889" i="1"/>
  <c r="B889" i="1"/>
  <c r="C889" i="1"/>
  <c r="D889" i="1"/>
  <c r="E889" i="1"/>
  <c r="F889" i="1"/>
  <c r="H889" i="1"/>
  <c r="A890" i="1"/>
  <c r="B890" i="1"/>
  <c r="C890" i="1"/>
  <c r="D890" i="1"/>
  <c r="E890" i="1"/>
  <c r="F890" i="1"/>
  <c r="H890" i="1"/>
  <c r="A891" i="1"/>
  <c r="B891" i="1"/>
  <c r="C891" i="1"/>
  <c r="D891" i="1"/>
  <c r="E891" i="1"/>
  <c r="F891" i="1"/>
  <c r="H891" i="1"/>
  <c r="A892" i="1"/>
  <c r="B892" i="1"/>
  <c r="C892" i="1"/>
  <c r="D892" i="1"/>
  <c r="E892" i="1"/>
  <c r="F892" i="1"/>
  <c r="H892" i="1"/>
  <c r="A893" i="1"/>
  <c r="B893" i="1"/>
  <c r="C893" i="1"/>
  <c r="D893" i="1"/>
  <c r="E893" i="1"/>
  <c r="F893" i="1"/>
  <c r="H893" i="1"/>
  <c r="A894" i="1"/>
  <c r="B894" i="1"/>
  <c r="C894" i="1"/>
  <c r="D894" i="1"/>
  <c r="E894" i="1"/>
  <c r="F894" i="1"/>
  <c r="H894" i="1"/>
  <c r="A895" i="1"/>
  <c r="B895" i="1"/>
  <c r="C895" i="1"/>
  <c r="D895" i="1"/>
  <c r="E895" i="1"/>
  <c r="F895" i="1"/>
  <c r="H895" i="1"/>
  <c r="A896" i="1"/>
  <c r="B896" i="1"/>
  <c r="C896" i="1"/>
  <c r="D896" i="1"/>
  <c r="E896" i="1"/>
  <c r="F896" i="1"/>
  <c r="H896" i="1"/>
  <c r="A897" i="1"/>
  <c r="B897" i="1"/>
  <c r="C897" i="1"/>
  <c r="D897" i="1"/>
  <c r="E897" i="1"/>
  <c r="F897" i="1"/>
  <c r="H897" i="1"/>
  <c r="A898" i="1"/>
  <c r="B898" i="1"/>
  <c r="C898" i="1"/>
  <c r="D898" i="1"/>
  <c r="E898" i="1"/>
  <c r="F898" i="1"/>
  <c r="H898" i="1"/>
  <c r="A899" i="1"/>
  <c r="B899" i="1"/>
  <c r="C899" i="1"/>
  <c r="D899" i="1"/>
  <c r="E899" i="1"/>
  <c r="F899" i="1"/>
  <c r="H899" i="1"/>
  <c r="A900" i="1"/>
  <c r="B900" i="1"/>
  <c r="C900" i="1"/>
  <c r="D900" i="1"/>
  <c r="E900" i="1"/>
  <c r="F900" i="1"/>
  <c r="H900" i="1"/>
  <c r="A901" i="1"/>
  <c r="B901" i="1"/>
  <c r="C901" i="1"/>
  <c r="D901" i="1"/>
  <c r="E901" i="1"/>
  <c r="F901" i="1"/>
  <c r="H901" i="1"/>
  <c r="A902" i="1"/>
  <c r="B902" i="1"/>
  <c r="C902" i="1"/>
  <c r="D902" i="1"/>
  <c r="E902" i="1"/>
  <c r="F902" i="1"/>
  <c r="H902" i="1"/>
  <c r="A903" i="1"/>
  <c r="B903" i="1"/>
  <c r="C903" i="1"/>
  <c r="D903" i="1"/>
  <c r="E903" i="1"/>
  <c r="F903" i="1"/>
  <c r="H903" i="1"/>
  <c r="A904" i="1"/>
  <c r="B904" i="1"/>
  <c r="C904" i="1"/>
  <c r="D904" i="1"/>
  <c r="E904" i="1"/>
  <c r="F904" i="1"/>
  <c r="H904" i="1"/>
  <c r="A905" i="1"/>
  <c r="B905" i="1"/>
  <c r="C905" i="1"/>
  <c r="D905" i="1"/>
  <c r="E905" i="1"/>
  <c r="F905" i="1"/>
  <c r="H905" i="1"/>
  <c r="A906" i="1"/>
  <c r="B906" i="1"/>
  <c r="C906" i="1"/>
  <c r="D906" i="1"/>
  <c r="E906" i="1"/>
  <c r="F906" i="1"/>
  <c r="H906" i="1"/>
  <c r="A907" i="1"/>
  <c r="B907" i="1"/>
  <c r="C907" i="1"/>
  <c r="D907" i="1"/>
  <c r="E907" i="1"/>
  <c r="F907" i="1"/>
  <c r="H907" i="1"/>
  <c r="A908" i="1"/>
  <c r="B908" i="1"/>
  <c r="C908" i="1"/>
  <c r="D908" i="1"/>
  <c r="E908" i="1"/>
  <c r="F908" i="1"/>
  <c r="H908" i="1"/>
  <c r="A909" i="1"/>
  <c r="B909" i="1"/>
  <c r="C909" i="1"/>
  <c r="D909" i="1"/>
  <c r="E909" i="1"/>
  <c r="F909" i="1"/>
  <c r="H909" i="1"/>
  <c r="A910" i="1"/>
  <c r="B910" i="1"/>
  <c r="C910" i="1"/>
  <c r="D910" i="1"/>
  <c r="E910" i="1"/>
  <c r="F910" i="1"/>
  <c r="H910" i="1"/>
  <c r="A911" i="1"/>
  <c r="B911" i="1"/>
  <c r="C911" i="1"/>
  <c r="D911" i="1"/>
  <c r="E911" i="1"/>
  <c r="F911" i="1"/>
  <c r="H911" i="1"/>
  <c r="A912" i="1"/>
  <c r="B912" i="1"/>
  <c r="C912" i="1"/>
  <c r="D912" i="1"/>
  <c r="E912" i="1"/>
  <c r="F912" i="1"/>
  <c r="H912" i="1"/>
  <c r="A913" i="1"/>
  <c r="B913" i="1"/>
  <c r="C913" i="1"/>
  <c r="D913" i="1"/>
  <c r="E913" i="1"/>
  <c r="F913" i="1"/>
  <c r="H913" i="1"/>
  <c r="A914" i="1"/>
  <c r="B914" i="1"/>
  <c r="C914" i="1"/>
  <c r="D914" i="1"/>
  <c r="E914" i="1"/>
  <c r="F914" i="1"/>
  <c r="H914" i="1"/>
  <c r="A915" i="1"/>
  <c r="B915" i="1"/>
  <c r="C915" i="1"/>
  <c r="D915" i="1"/>
  <c r="E915" i="1"/>
  <c r="F915" i="1"/>
  <c r="H915" i="1"/>
  <c r="A916" i="1"/>
  <c r="B916" i="1"/>
  <c r="C916" i="1"/>
  <c r="D916" i="1"/>
  <c r="E916" i="1"/>
  <c r="F916" i="1"/>
  <c r="H916" i="1"/>
  <c r="A917" i="1"/>
  <c r="B917" i="1"/>
  <c r="C917" i="1"/>
  <c r="D917" i="1"/>
  <c r="E917" i="1"/>
  <c r="F917" i="1"/>
  <c r="H917" i="1"/>
  <c r="A918" i="1"/>
  <c r="B918" i="1"/>
  <c r="C918" i="1"/>
  <c r="D918" i="1"/>
  <c r="E918" i="1"/>
  <c r="F918" i="1"/>
  <c r="H918" i="1"/>
  <c r="A919" i="1"/>
  <c r="B919" i="1"/>
  <c r="C919" i="1"/>
  <c r="D919" i="1"/>
  <c r="E919" i="1"/>
  <c r="F919" i="1"/>
  <c r="H919" i="1"/>
  <c r="A920" i="1"/>
  <c r="B920" i="1"/>
  <c r="C920" i="1"/>
  <c r="D920" i="1"/>
  <c r="E920" i="1"/>
  <c r="F920" i="1"/>
  <c r="H920" i="1"/>
  <c r="A921" i="1"/>
  <c r="B921" i="1"/>
  <c r="C921" i="1"/>
  <c r="D921" i="1"/>
  <c r="E921" i="1"/>
  <c r="F921" i="1"/>
  <c r="H921" i="1"/>
  <c r="A922" i="1"/>
  <c r="B922" i="1"/>
  <c r="C922" i="1"/>
  <c r="D922" i="1"/>
  <c r="E922" i="1"/>
  <c r="F922" i="1"/>
  <c r="H922" i="1"/>
  <c r="A923" i="1"/>
  <c r="B923" i="1"/>
  <c r="C923" i="1"/>
  <c r="D923" i="1"/>
  <c r="E923" i="1"/>
  <c r="F923" i="1"/>
  <c r="H923" i="1"/>
  <c r="A924" i="1"/>
  <c r="B924" i="1"/>
  <c r="C924" i="1"/>
  <c r="D924" i="1"/>
  <c r="E924" i="1"/>
  <c r="F924" i="1"/>
  <c r="H924" i="1"/>
  <c r="A925" i="1"/>
  <c r="B925" i="1"/>
  <c r="C925" i="1"/>
  <c r="D925" i="1"/>
  <c r="E925" i="1"/>
  <c r="F925" i="1"/>
  <c r="H925" i="1"/>
  <c r="A926" i="1"/>
  <c r="B926" i="1"/>
  <c r="C926" i="1"/>
  <c r="D926" i="1"/>
  <c r="E926" i="1"/>
  <c r="F926" i="1"/>
  <c r="H926" i="1"/>
  <c r="A927" i="1"/>
  <c r="B927" i="1"/>
  <c r="C927" i="1"/>
  <c r="D927" i="1"/>
  <c r="E927" i="1"/>
  <c r="F927" i="1"/>
  <c r="H927" i="1"/>
  <c r="A928" i="1"/>
  <c r="B928" i="1"/>
  <c r="C928" i="1"/>
  <c r="D928" i="1"/>
  <c r="E928" i="1"/>
  <c r="F928" i="1"/>
  <c r="H928" i="1"/>
  <c r="A929" i="1"/>
  <c r="B929" i="1"/>
  <c r="C929" i="1"/>
  <c r="D929" i="1"/>
  <c r="E929" i="1"/>
  <c r="F929" i="1"/>
  <c r="H929" i="1"/>
  <c r="A930" i="1"/>
  <c r="B930" i="1"/>
  <c r="C930" i="1"/>
  <c r="D930" i="1"/>
  <c r="E930" i="1"/>
  <c r="F930" i="1"/>
  <c r="H930" i="1"/>
  <c r="A931" i="1"/>
  <c r="B931" i="1"/>
  <c r="C931" i="1"/>
  <c r="D931" i="1"/>
  <c r="E931" i="1"/>
  <c r="F931" i="1"/>
  <c r="H931" i="1"/>
  <c r="A932" i="1"/>
  <c r="B932" i="1"/>
  <c r="C932" i="1"/>
  <c r="D932" i="1"/>
  <c r="E932" i="1"/>
  <c r="F932" i="1"/>
  <c r="H932" i="1"/>
  <c r="A933" i="1"/>
  <c r="B933" i="1"/>
  <c r="C933" i="1"/>
  <c r="D933" i="1"/>
  <c r="E933" i="1"/>
  <c r="F933" i="1"/>
  <c r="H933" i="1"/>
  <c r="A934" i="1"/>
  <c r="B934" i="1"/>
  <c r="C934" i="1"/>
  <c r="D934" i="1"/>
  <c r="E934" i="1"/>
  <c r="F934" i="1"/>
  <c r="H934" i="1"/>
  <c r="A935" i="1"/>
  <c r="B935" i="1"/>
  <c r="C935" i="1"/>
  <c r="D935" i="1"/>
  <c r="E935" i="1"/>
  <c r="F935" i="1"/>
  <c r="H935" i="1"/>
  <c r="A936" i="1"/>
  <c r="B936" i="1"/>
  <c r="C936" i="1"/>
  <c r="D936" i="1"/>
  <c r="E936" i="1"/>
  <c r="F936" i="1"/>
  <c r="H936" i="1"/>
  <c r="A937" i="1"/>
  <c r="B937" i="1"/>
  <c r="C937" i="1"/>
  <c r="D937" i="1"/>
  <c r="E937" i="1"/>
  <c r="F937" i="1"/>
  <c r="H937" i="1"/>
  <c r="A938" i="1"/>
  <c r="B938" i="1"/>
  <c r="C938" i="1"/>
  <c r="D938" i="1"/>
  <c r="E938" i="1"/>
  <c r="F938" i="1"/>
  <c r="H938" i="1"/>
  <c r="A939" i="1"/>
  <c r="B939" i="1"/>
  <c r="C939" i="1"/>
  <c r="D939" i="1"/>
  <c r="E939" i="1"/>
  <c r="F939" i="1"/>
  <c r="H939" i="1"/>
  <c r="A940" i="1"/>
  <c r="B940" i="1"/>
  <c r="C940" i="1"/>
  <c r="D940" i="1"/>
  <c r="E940" i="1"/>
  <c r="F940" i="1"/>
  <c r="H940" i="1"/>
  <c r="A941" i="1"/>
  <c r="B941" i="1"/>
  <c r="C941" i="1"/>
  <c r="D941" i="1"/>
  <c r="E941" i="1"/>
  <c r="F941" i="1"/>
  <c r="H941" i="1"/>
  <c r="A942" i="1"/>
  <c r="B942" i="1"/>
  <c r="C942" i="1"/>
  <c r="D942" i="1"/>
  <c r="E942" i="1"/>
  <c r="F942" i="1"/>
  <c r="H942" i="1"/>
  <c r="A943" i="1"/>
  <c r="B943" i="1"/>
  <c r="C943" i="1"/>
  <c r="D943" i="1"/>
  <c r="E943" i="1"/>
  <c r="F943" i="1"/>
  <c r="H943" i="1"/>
  <c r="A944" i="1"/>
  <c r="B944" i="1"/>
  <c r="C944" i="1"/>
  <c r="D944" i="1"/>
  <c r="E944" i="1"/>
  <c r="F944" i="1"/>
  <c r="H944" i="1"/>
  <c r="A945" i="1"/>
  <c r="B945" i="1"/>
  <c r="C945" i="1"/>
  <c r="D945" i="1"/>
  <c r="E945" i="1"/>
  <c r="F945" i="1"/>
  <c r="H945" i="1"/>
  <c r="A946" i="1"/>
  <c r="B946" i="1"/>
  <c r="C946" i="1"/>
  <c r="D946" i="1"/>
  <c r="E946" i="1"/>
  <c r="F946" i="1"/>
  <c r="H946" i="1"/>
  <c r="A947" i="1"/>
  <c r="B947" i="1"/>
  <c r="C947" i="1"/>
  <c r="D947" i="1"/>
  <c r="E947" i="1"/>
  <c r="F947" i="1"/>
  <c r="H947" i="1"/>
  <c r="A948" i="1"/>
  <c r="B948" i="1"/>
  <c r="C948" i="1"/>
  <c r="D948" i="1"/>
  <c r="E948" i="1"/>
  <c r="F948" i="1"/>
  <c r="H948" i="1"/>
  <c r="A949" i="1"/>
  <c r="B949" i="1"/>
  <c r="C949" i="1"/>
  <c r="D949" i="1"/>
  <c r="E949" i="1"/>
  <c r="F949" i="1"/>
  <c r="H949" i="1"/>
  <c r="A950" i="1"/>
  <c r="B950" i="1"/>
  <c r="C950" i="1"/>
  <c r="D950" i="1"/>
  <c r="E950" i="1"/>
  <c r="F950" i="1"/>
  <c r="H950" i="1"/>
  <c r="A951" i="1"/>
  <c r="B951" i="1"/>
  <c r="C951" i="1"/>
  <c r="D951" i="1"/>
  <c r="E951" i="1"/>
  <c r="F951" i="1"/>
  <c r="H951" i="1"/>
  <c r="A952" i="1"/>
  <c r="B952" i="1"/>
  <c r="C952" i="1"/>
  <c r="D952" i="1"/>
  <c r="E952" i="1"/>
  <c r="F952" i="1"/>
  <c r="H952" i="1"/>
  <c r="A953" i="1"/>
  <c r="B953" i="1"/>
  <c r="C953" i="1"/>
  <c r="D953" i="1"/>
  <c r="E953" i="1"/>
  <c r="F953" i="1"/>
  <c r="H953" i="1"/>
  <c r="A954" i="1"/>
  <c r="B954" i="1"/>
  <c r="C954" i="1"/>
  <c r="D954" i="1"/>
  <c r="E954" i="1"/>
  <c r="F954" i="1"/>
  <c r="H954" i="1"/>
  <c r="A955" i="1"/>
  <c r="B955" i="1"/>
  <c r="C955" i="1"/>
  <c r="D955" i="1"/>
  <c r="E955" i="1"/>
  <c r="F955" i="1"/>
  <c r="H955" i="1"/>
  <c r="A956" i="1"/>
  <c r="B956" i="1"/>
  <c r="C956" i="1"/>
  <c r="D956" i="1"/>
  <c r="E956" i="1"/>
  <c r="F956" i="1"/>
  <c r="H956" i="1"/>
  <c r="A957" i="1"/>
  <c r="B957" i="1"/>
  <c r="C957" i="1"/>
  <c r="D957" i="1"/>
  <c r="E957" i="1"/>
  <c r="F957" i="1"/>
  <c r="H957" i="1"/>
  <c r="A958" i="1"/>
  <c r="B958" i="1"/>
  <c r="C958" i="1"/>
  <c r="D958" i="1"/>
  <c r="E958" i="1"/>
  <c r="F958" i="1"/>
  <c r="H958" i="1"/>
  <c r="A959" i="1"/>
  <c r="B959" i="1"/>
  <c r="C959" i="1"/>
  <c r="D959" i="1"/>
  <c r="E959" i="1"/>
  <c r="F959" i="1"/>
  <c r="H959" i="1"/>
  <c r="A960" i="1"/>
  <c r="B960" i="1"/>
  <c r="C960" i="1"/>
  <c r="D960" i="1"/>
  <c r="E960" i="1"/>
  <c r="F960" i="1"/>
  <c r="H960" i="1"/>
  <c r="A961" i="1"/>
  <c r="B961" i="1"/>
  <c r="C961" i="1"/>
  <c r="D961" i="1"/>
  <c r="E961" i="1"/>
  <c r="F961" i="1"/>
  <c r="H961" i="1"/>
  <c r="A962" i="1"/>
  <c r="B962" i="1"/>
  <c r="C962" i="1"/>
  <c r="D962" i="1"/>
  <c r="E962" i="1"/>
  <c r="F962" i="1"/>
  <c r="H962" i="1"/>
  <c r="A963" i="1"/>
  <c r="B963" i="1"/>
  <c r="C963" i="1"/>
  <c r="D963" i="1"/>
  <c r="E963" i="1"/>
  <c r="F963" i="1"/>
  <c r="H963" i="1"/>
  <c r="A964" i="1"/>
  <c r="B964" i="1"/>
  <c r="C964" i="1"/>
  <c r="D964" i="1"/>
  <c r="E964" i="1"/>
  <c r="F964" i="1"/>
  <c r="H964" i="1"/>
  <c r="A965" i="1"/>
  <c r="B965" i="1"/>
  <c r="C965" i="1"/>
  <c r="D965" i="1"/>
  <c r="E965" i="1"/>
  <c r="F965" i="1"/>
  <c r="H965" i="1"/>
  <c r="A966" i="1"/>
  <c r="B966" i="1"/>
  <c r="C966" i="1"/>
  <c r="D966" i="1"/>
  <c r="E966" i="1"/>
  <c r="F966" i="1"/>
  <c r="H966" i="1"/>
  <c r="A967" i="1"/>
  <c r="B967" i="1"/>
  <c r="C967" i="1"/>
  <c r="D967" i="1"/>
  <c r="E967" i="1"/>
  <c r="F967" i="1"/>
  <c r="H967" i="1"/>
  <c r="A968" i="1"/>
  <c r="B968" i="1"/>
  <c r="C968" i="1"/>
  <c r="D968" i="1"/>
  <c r="E968" i="1"/>
  <c r="F968" i="1"/>
  <c r="H968" i="1"/>
  <c r="A969" i="1"/>
  <c r="B969" i="1"/>
  <c r="C969" i="1"/>
  <c r="D969" i="1"/>
  <c r="E969" i="1"/>
  <c r="F969" i="1"/>
  <c r="H969" i="1"/>
  <c r="A970" i="1"/>
  <c r="B970" i="1"/>
  <c r="C970" i="1"/>
  <c r="D970" i="1"/>
  <c r="E970" i="1"/>
  <c r="F970" i="1"/>
  <c r="H970" i="1"/>
  <c r="A971" i="1"/>
  <c r="B971" i="1"/>
  <c r="C971" i="1"/>
  <c r="D971" i="1"/>
  <c r="E971" i="1"/>
  <c r="F971" i="1"/>
  <c r="H971" i="1"/>
  <c r="A972" i="1"/>
  <c r="B972" i="1"/>
  <c r="C972" i="1"/>
  <c r="D972" i="1"/>
  <c r="E972" i="1"/>
  <c r="F972" i="1"/>
  <c r="H972" i="1"/>
  <c r="A973" i="1"/>
  <c r="B973" i="1"/>
  <c r="C973" i="1"/>
  <c r="D973" i="1"/>
  <c r="E973" i="1"/>
  <c r="F973" i="1"/>
  <c r="H973" i="1"/>
  <c r="A974" i="1"/>
  <c r="B974" i="1"/>
  <c r="C974" i="1"/>
  <c r="D974" i="1"/>
  <c r="E974" i="1"/>
  <c r="F974" i="1"/>
  <c r="H974" i="1"/>
  <c r="A975" i="1"/>
  <c r="B975" i="1"/>
  <c r="C975" i="1"/>
  <c r="D975" i="1"/>
  <c r="E975" i="1"/>
  <c r="F975" i="1"/>
  <c r="H975" i="1"/>
  <c r="A976" i="1"/>
  <c r="B976" i="1"/>
  <c r="C976" i="1"/>
  <c r="D976" i="1"/>
  <c r="E976" i="1"/>
  <c r="F976" i="1"/>
  <c r="H976" i="1"/>
  <c r="A977" i="1"/>
  <c r="B977" i="1"/>
  <c r="C977" i="1"/>
  <c r="D977" i="1"/>
  <c r="E977" i="1"/>
  <c r="F977" i="1"/>
  <c r="H977" i="1"/>
  <c r="A978" i="1"/>
  <c r="B978" i="1"/>
  <c r="C978" i="1"/>
  <c r="D978" i="1"/>
  <c r="E978" i="1"/>
  <c r="F978" i="1"/>
  <c r="H978" i="1"/>
  <c r="A979" i="1"/>
  <c r="B979" i="1"/>
  <c r="C979" i="1"/>
  <c r="D979" i="1"/>
  <c r="E979" i="1"/>
  <c r="F979" i="1"/>
  <c r="H979" i="1"/>
  <c r="A980" i="1"/>
  <c r="B980" i="1"/>
  <c r="C980" i="1"/>
  <c r="D980" i="1"/>
  <c r="E980" i="1"/>
  <c r="F980" i="1"/>
  <c r="H980" i="1"/>
  <c r="A981" i="1"/>
  <c r="B981" i="1"/>
  <c r="C981" i="1"/>
  <c r="D981" i="1"/>
  <c r="E981" i="1"/>
  <c r="F981" i="1"/>
  <c r="H981" i="1"/>
  <c r="A982" i="1"/>
  <c r="B982" i="1"/>
  <c r="C982" i="1"/>
  <c r="D982" i="1"/>
  <c r="E982" i="1"/>
  <c r="F982" i="1"/>
  <c r="H982" i="1"/>
  <c r="A983" i="1"/>
  <c r="B983" i="1"/>
  <c r="C983" i="1"/>
  <c r="D983" i="1"/>
  <c r="E983" i="1"/>
  <c r="F983" i="1"/>
  <c r="H983" i="1"/>
  <c r="A984" i="1"/>
  <c r="B984" i="1"/>
  <c r="C984" i="1"/>
  <c r="D984" i="1"/>
  <c r="E984" i="1"/>
  <c r="F984" i="1"/>
  <c r="H984" i="1"/>
  <c r="A985" i="1"/>
  <c r="B985" i="1"/>
  <c r="C985" i="1"/>
  <c r="D985" i="1"/>
  <c r="E985" i="1"/>
  <c r="F985" i="1"/>
  <c r="H985" i="1"/>
  <c r="A986" i="1"/>
  <c r="B986" i="1"/>
  <c r="C986" i="1"/>
  <c r="D986" i="1"/>
  <c r="E986" i="1"/>
  <c r="F986" i="1"/>
  <c r="H986" i="1"/>
  <c r="A987" i="1"/>
  <c r="B987" i="1"/>
  <c r="C987" i="1"/>
  <c r="D987" i="1"/>
  <c r="E987" i="1"/>
  <c r="F987" i="1"/>
  <c r="H987" i="1"/>
  <c r="A988" i="1"/>
  <c r="B988" i="1"/>
  <c r="C988" i="1"/>
  <c r="D988" i="1"/>
  <c r="E988" i="1"/>
  <c r="F988" i="1"/>
  <c r="H988" i="1"/>
  <c r="A989" i="1"/>
  <c r="B989" i="1"/>
  <c r="C989" i="1"/>
  <c r="D989" i="1"/>
  <c r="E989" i="1"/>
  <c r="F989" i="1"/>
  <c r="H989" i="1"/>
  <c r="A990" i="1"/>
  <c r="B990" i="1"/>
  <c r="C990" i="1"/>
  <c r="D990" i="1"/>
  <c r="E990" i="1"/>
  <c r="F990" i="1"/>
  <c r="H990" i="1"/>
  <c r="A991" i="1"/>
  <c r="B991" i="1"/>
  <c r="C991" i="1"/>
  <c r="D991" i="1"/>
  <c r="E991" i="1"/>
  <c r="F991" i="1"/>
  <c r="H991" i="1"/>
  <c r="A992" i="1"/>
  <c r="B992" i="1"/>
  <c r="C992" i="1"/>
  <c r="D992" i="1"/>
  <c r="E992" i="1"/>
  <c r="F992" i="1"/>
  <c r="H992" i="1"/>
  <c r="A993" i="1"/>
  <c r="B993" i="1"/>
  <c r="C993" i="1"/>
  <c r="D993" i="1"/>
  <c r="E993" i="1"/>
  <c r="F993" i="1"/>
  <c r="H993" i="1"/>
  <c r="A994" i="1"/>
  <c r="B994" i="1"/>
  <c r="C994" i="1"/>
  <c r="D994" i="1"/>
  <c r="E994" i="1"/>
  <c r="F994" i="1"/>
  <c r="H994" i="1"/>
  <c r="A995" i="1"/>
  <c r="B995" i="1"/>
  <c r="C995" i="1"/>
  <c r="D995" i="1"/>
  <c r="E995" i="1"/>
  <c r="F995" i="1"/>
  <c r="H995" i="1"/>
  <c r="A996" i="1"/>
  <c r="B996" i="1"/>
  <c r="C996" i="1"/>
  <c r="D996" i="1"/>
  <c r="E996" i="1"/>
  <c r="F996" i="1"/>
  <c r="H996" i="1"/>
  <c r="A997" i="1"/>
  <c r="B997" i="1"/>
  <c r="C997" i="1"/>
  <c r="D997" i="1"/>
  <c r="E997" i="1"/>
  <c r="F997" i="1"/>
  <c r="H997" i="1"/>
  <c r="A998" i="1"/>
  <c r="B998" i="1"/>
  <c r="C998" i="1"/>
  <c r="D998" i="1"/>
  <c r="E998" i="1"/>
  <c r="F998" i="1"/>
  <c r="H998" i="1"/>
  <c r="A999" i="1"/>
  <c r="B999" i="1"/>
  <c r="C999" i="1"/>
  <c r="D999" i="1"/>
  <c r="E999" i="1"/>
  <c r="F999" i="1"/>
  <c r="H999" i="1"/>
  <c r="A1000" i="1"/>
  <c r="B1000" i="1"/>
  <c r="C1000" i="1"/>
  <c r="D1000" i="1"/>
  <c r="E1000" i="1"/>
  <c r="F1000" i="1"/>
  <c r="H1000" i="1"/>
  <c r="A1001" i="1"/>
  <c r="B1001" i="1"/>
  <c r="C1001" i="1"/>
  <c r="D1001" i="1"/>
  <c r="E1001" i="1"/>
  <c r="F1001" i="1"/>
  <c r="H1001" i="1"/>
  <c r="A1002" i="1"/>
  <c r="B1002" i="1"/>
  <c r="C1002" i="1"/>
  <c r="D1002" i="1"/>
  <c r="E1002" i="1"/>
  <c r="F1002" i="1"/>
  <c r="H1002" i="1"/>
  <c r="A1003" i="1"/>
  <c r="B1003" i="1"/>
  <c r="C1003" i="1"/>
  <c r="D1003" i="1"/>
  <c r="E1003" i="1"/>
  <c r="F1003" i="1"/>
  <c r="H1003" i="1"/>
  <c r="A1004" i="1"/>
  <c r="B1004" i="1"/>
  <c r="C1004" i="1"/>
  <c r="D1004" i="1"/>
  <c r="E1004" i="1"/>
  <c r="F1004" i="1"/>
  <c r="H1004" i="1"/>
  <c r="A1005" i="1"/>
  <c r="B1005" i="1"/>
  <c r="C1005" i="1"/>
  <c r="D1005" i="1"/>
  <c r="E1005" i="1"/>
  <c r="F1005" i="1"/>
  <c r="H1005" i="1"/>
  <c r="A1006" i="1"/>
  <c r="B1006" i="1"/>
  <c r="C1006" i="1"/>
  <c r="D1006" i="1"/>
  <c r="E1006" i="1"/>
  <c r="F1006" i="1"/>
  <c r="H1006" i="1"/>
  <c r="A1007" i="1"/>
  <c r="B1007" i="1"/>
  <c r="C1007" i="1"/>
  <c r="D1007" i="1"/>
  <c r="E1007" i="1"/>
  <c r="F1007" i="1"/>
  <c r="H1007" i="1"/>
  <c r="A1008" i="1"/>
  <c r="B1008" i="1"/>
  <c r="C1008" i="1"/>
  <c r="D1008" i="1"/>
  <c r="E1008" i="1"/>
  <c r="F1008" i="1"/>
  <c r="H1008" i="1"/>
  <c r="A1009" i="1"/>
  <c r="B1009" i="1"/>
  <c r="C1009" i="1"/>
  <c r="D1009" i="1"/>
  <c r="E1009" i="1"/>
  <c r="F1009" i="1"/>
  <c r="H1009" i="1"/>
  <c r="A1010" i="1"/>
  <c r="B1010" i="1"/>
  <c r="C1010" i="1"/>
  <c r="D1010" i="1"/>
  <c r="E1010" i="1"/>
  <c r="F1010" i="1"/>
  <c r="H1010" i="1"/>
  <c r="A1011" i="1"/>
  <c r="B1011" i="1"/>
  <c r="C1011" i="1"/>
  <c r="D1011" i="1"/>
  <c r="E1011" i="1"/>
  <c r="F1011" i="1"/>
  <c r="H1011" i="1"/>
  <c r="A1012" i="1"/>
  <c r="B1012" i="1"/>
  <c r="C1012" i="1"/>
  <c r="D1012" i="1"/>
  <c r="E1012" i="1"/>
  <c r="F1012" i="1"/>
  <c r="H1012" i="1"/>
  <c r="A1013" i="1"/>
  <c r="B1013" i="1"/>
  <c r="C1013" i="1"/>
  <c r="D1013" i="1"/>
  <c r="E1013" i="1"/>
  <c r="F1013" i="1"/>
  <c r="H1013" i="1"/>
  <c r="A1014" i="1"/>
  <c r="B1014" i="1"/>
  <c r="C1014" i="1"/>
  <c r="D1014" i="1"/>
  <c r="E1014" i="1"/>
  <c r="F1014" i="1"/>
  <c r="H1014" i="1"/>
  <c r="A1015" i="1"/>
  <c r="B1015" i="1"/>
  <c r="C1015" i="1"/>
  <c r="D1015" i="1"/>
  <c r="E1015" i="1"/>
  <c r="F1015" i="1"/>
  <c r="H1015" i="1"/>
  <c r="A1016" i="1"/>
  <c r="B1016" i="1"/>
  <c r="C1016" i="1"/>
  <c r="D1016" i="1"/>
  <c r="E1016" i="1"/>
  <c r="F1016" i="1"/>
  <c r="H1016" i="1"/>
  <c r="A1017" i="1"/>
  <c r="B1017" i="1"/>
  <c r="C1017" i="1"/>
  <c r="D1017" i="1"/>
  <c r="E1017" i="1"/>
  <c r="F1017" i="1"/>
  <c r="H1017" i="1"/>
  <c r="A1018" i="1"/>
  <c r="B1018" i="1"/>
  <c r="C1018" i="1"/>
  <c r="D1018" i="1"/>
  <c r="E1018" i="1"/>
  <c r="F1018" i="1"/>
  <c r="H1018" i="1"/>
  <c r="A1019" i="1"/>
  <c r="B1019" i="1"/>
  <c r="C1019" i="1"/>
  <c r="D1019" i="1"/>
  <c r="E1019" i="1"/>
  <c r="F1019" i="1"/>
  <c r="H1019" i="1"/>
  <c r="A1020" i="1"/>
  <c r="B1020" i="1"/>
  <c r="C1020" i="1"/>
  <c r="D1020" i="1"/>
  <c r="E1020" i="1"/>
  <c r="F1020" i="1"/>
  <c r="H1020" i="1"/>
  <c r="A1021" i="1"/>
  <c r="B1021" i="1"/>
  <c r="C1021" i="1"/>
  <c r="D1021" i="1"/>
  <c r="E1021" i="1"/>
  <c r="F1021" i="1"/>
  <c r="H1021" i="1"/>
  <c r="A1022" i="1"/>
  <c r="B1022" i="1"/>
  <c r="C1022" i="1"/>
  <c r="D1022" i="1"/>
  <c r="E1022" i="1"/>
  <c r="F1022" i="1"/>
  <c r="H1022" i="1"/>
  <c r="A1023" i="1"/>
  <c r="B1023" i="1"/>
  <c r="C1023" i="1"/>
  <c r="D1023" i="1"/>
  <c r="E1023" i="1"/>
  <c r="F1023" i="1"/>
  <c r="H1023" i="1"/>
  <c r="A1024" i="1"/>
  <c r="B1024" i="1"/>
  <c r="C1024" i="1"/>
  <c r="D1024" i="1"/>
  <c r="E1024" i="1"/>
  <c r="F1024" i="1"/>
  <c r="H1024" i="1"/>
  <c r="A1025" i="1"/>
  <c r="B1025" i="1"/>
  <c r="C1025" i="1"/>
  <c r="D1025" i="1"/>
  <c r="E1025" i="1"/>
  <c r="F1025" i="1"/>
  <c r="H1025" i="1"/>
  <c r="A1026" i="1"/>
  <c r="B1026" i="1"/>
  <c r="C1026" i="1"/>
  <c r="D1026" i="1"/>
  <c r="E1026" i="1"/>
  <c r="F1026" i="1"/>
  <c r="H1026" i="1"/>
  <c r="A1027" i="1"/>
  <c r="B1027" i="1"/>
  <c r="C1027" i="1"/>
  <c r="D1027" i="1"/>
  <c r="E1027" i="1"/>
  <c r="F1027" i="1"/>
  <c r="H1027" i="1"/>
  <c r="A1028" i="1"/>
  <c r="B1028" i="1"/>
  <c r="C1028" i="1"/>
  <c r="D1028" i="1"/>
  <c r="E1028" i="1"/>
  <c r="F1028" i="1"/>
  <c r="H1028" i="1"/>
  <c r="A1029" i="1"/>
  <c r="B1029" i="1"/>
  <c r="C1029" i="1"/>
  <c r="D1029" i="1"/>
  <c r="E1029" i="1"/>
  <c r="F1029" i="1"/>
  <c r="H1029" i="1"/>
  <c r="A1030" i="1"/>
  <c r="B1030" i="1"/>
  <c r="C1030" i="1"/>
  <c r="D1030" i="1"/>
  <c r="E1030" i="1"/>
  <c r="F1030" i="1"/>
  <c r="H1030" i="1"/>
  <c r="A1031" i="1"/>
  <c r="B1031" i="1"/>
  <c r="C1031" i="1"/>
  <c r="D1031" i="1"/>
  <c r="E1031" i="1"/>
  <c r="F1031" i="1"/>
  <c r="H1031" i="1"/>
  <c r="A1032" i="1"/>
  <c r="B1032" i="1"/>
  <c r="C1032" i="1"/>
  <c r="D1032" i="1"/>
  <c r="E1032" i="1"/>
  <c r="F1032" i="1"/>
  <c r="H1032" i="1"/>
  <c r="A1033" i="1"/>
  <c r="B1033" i="1"/>
  <c r="C1033" i="1"/>
  <c r="D1033" i="1"/>
  <c r="E1033" i="1"/>
  <c r="F1033" i="1"/>
  <c r="H1033" i="1"/>
  <c r="A1034" i="1"/>
  <c r="B1034" i="1"/>
  <c r="C1034" i="1"/>
  <c r="D1034" i="1"/>
  <c r="E1034" i="1"/>
  <c r="F1034" i="1"/>
  <c r="H1034" i="1"/>
  <c r="A1035" i="1"/>
  <c r="B1035" i="1"/>
  <c r="C1035" i="1"/>
  <c r="D1035" i="1"/>
  <c r="E1035" i="1"/>
  <c r="F1035" i="1"/>
  <c r="H1035" i="1"/>
  <c r="A1036" i="1"/>
  <c r="B1036" i="1"/>
  <c r="C1036" i="1"/>
  <c r="D1036" i="1"/>
  <c r="E1036" i="1"/>
  <c r="F1036" i="1"/>
  <c r="H1036" i="1"/>
  <c r="A1037" i="1"/>
  <c r="B1037" i="1"/>
  <c r="C1037" i="1"/>
  <c r="D1037" i="1"/>
  <c r="E1037" i="1"/>
  <c r="F1037" i="1"/>
  <c r="H1037" i="1"/>
  <c r="A1038" i="1"/>
  <c r="B1038" i="1"/>
  <c r="C1038" i="1"/>
  <c r="D1038" i="1"/>
  <c r="E1038" i="1"/>
  <c r="F1038" i="1"/>
  <c r="H1038" i="1"/>
  <c r="A1039" i="1"/>
  <c r="B1039" i="1"/>
  <c r="C1039" i="1"/>
  <c r="D1039" i="1"/>
  <c r="E1039" i="1"/>
  <c r="F1039" i="1"/>
  <c r="H1039" i="1"/>
  <c r="A1040" i="1"/>
  <c r="B1040" i="1"/>
  <c r="C1040" i="1"/>
  <c r="D1040" i="1"/>
  <c r="E1040" i="1"/>
  <c r="F1040" i="1"/>
  <c r="H1040" i="1"/>
  <c r="A1041" i="1"/>
  <c r="B1041" i="1"/>
  <c r="C1041" i="1"/>
  <c r="D1041" i="1"/>
  <c r="E1041" i="1"/>
  <c r="F1041" i="1"/>
  <c r="H1041" i="1"/>
  <c r="A1042" i="1"/>
  <c r="B1042" i="1"/>
  <c r="C1042" i="1"/>
  <c r="D1042" i="1"/>
  <c r="E1042" i="1"/>
  <c r="F1042" i="1"/>
  <c r="H1042" i="1"/>
  <c r="A1043" i="1"/>
  <c r="B1043" i="1"/>
  <c r="C1043" i="1"/>
  <c r="D1043" i="1"/>
  <c r="E1043" i="1"/>
  <c r="F1043" i="1"/>
  <c r="H1043" i="1"/>
  <c r="A1044" i="1"/>
  <c r="B1044" i="1"/>
  <c r="C1044" i="1"/>
  <c r="D1044" i="1"/>
  <c r="E1044" i="1"/>
  <c r="F1044" i="1"/>
  <c r="H1044" i="1"/>
  <c r="A1045" i="1"/>
  <c r="B1045" i="1"/>
  <c r="C1045" i="1"/>
  <c r="D1045" i="1"/>
  <c r="E1045" i="1"/>
  <c r="F1045" i="1"/>
  <c r="H1045" i="1"/>
  <c r="A1046" i="1"/>
  <c r="B1046" i="1"/>
  <c r="C1046" i="1"/>
  <c r="D1046" i="1"/>
  <c r="E1046" i="1"/>
  <c r="F1046" i="1"/>
  <c r="H1046" i="1"/>
  <c r="A1047" i="1"/>
  <c r="B1047" i="1"/>
  <c r="C1047" i="1"/>
  <c r="D1047" i="1"/>
  <c r="E1047" i="1"/>
  <c r="F1047" i="1"/>
  <c r="H1047" i="1"/>
  <c r="A1048" i="1"/>
  <c r="B1048" i="1"/>
  <c r="C1048" i="1"/>
  <c r="D1048" i="1"/>
  <c r="E1048" i="1"/>
  <c r="F1048" i="1"/>
  <c r="H1048" i="1"/>
  <c r="A1049" i="1"/>
  <c r="B1049" i="1"/>
  <c r="C1049" i="1"/>
  <c r="D1049" i="1"/>
  <c r="E1049" i="1"/>
  <c r="F1049" i="1"/>
  <c r="H1049" i="1"/>
  <c r="A1050" i="1"/>
  <c r="B1050" i="1"/>
  <c r="C1050" i="1"/>
  <c r="D1050" i="1"/>
  <c r="E1050" i="1"/>
  <c r="F1050" i="1"/>
  <c r="H1050" i="1"/>
  <c r="A1051" i="1"/>
  <c r="B1051" i="1"/>
  <c r="C1051" i="1"/>
  <c r="D1051" i="1"/>
  <c r="E1051" i="1"/>
  <c r="F1051" i="1"/>
  <c r="H1051" i="1"/>
  <c r="A1052" i="1"/>
  <c r="B1052" i="1"/>
  <c r="C1052" i="1"/>
  <c r="D1052" i="1"/>
  <c r="E1052" i="1"/>
  <c r="F1052" i="1"/>
  <c r="H1052" i="1"/>
  <c r="A1053" i="1"/>
  <c r="B1053" i="1"/>
  <c r="C1053" i="1"/>
  <c r="D1053" i="1"/>
  <c r="E1053" i="1"/>
  <c r="F1053" i="1"/>
  <c r="H1053" i="1"/>
  <c r="A1054" i="1"/>
  <c r="B1054" i="1"/>
  <c r="C1054" i="1"/>
  <c r="D1054" i="1"/>
  <c r="E1054" i="1"/>
  <c r="F1054" i="1"/>
  <c r="H1054" i="1"/>
  <c r="A1055" i="1"/>
  <c r="B1055" i="1"/>
  <c r="C1055" i="1"/>
  <c r="D1055" i="1"/>
  <c r="E1055" i="1"/>
  <c r="F1055" i="1"/>
  <c r="H1055" i="1"/>
  <c r="A1056" i="1"/>
  <c r="B1056" i="1"/>
  <c r="C1056" i="1"/>
  <c r="D1056" i="1"/>
  <c r="E1056" i="1"/>
  <c r="F1056" i="1"/>
  <c r="H1056" i="1"/>
  <c r="A1057" i="1"/>
  <c r="B1057" i="1"/>
  <c r="C1057" i="1"/>
  <c r="D1057" i="1"/>
  <c r="E1057" i="1"/>
  <c r="F1057" i="1"/>
  <c r="H1057" i="1"/>
  <c r="A1058" i="1"/>
  <c r="B1058" i="1"/>
  <c r="C1058" i="1"/>
  <c r="D1058" i="1"/>
  <c r="E1058" i="1"/>
  <c r="F1058" i="1"/>
  <c r="H1058" i="1"/>
  <c r="A1059" i="1"/>
  <c r="B1059" i="1"/>
  <c r="C1059" i="1"/>
  <c r="D1059" i="1"/>
  <c r="E1059" i="1"/>
  <c r="F1059" i="1"/>
  <c r="H1059" i="1"/>
  <c r="A1060" i="1"/>
  <c r="B1060" i="1"/>
  <c r="C1060" i="1"/>
  <c r="D1060" i="1"/>
  <c r="E1060" i="1"/>
  <c r="F1060" i="1"/>
  <c r="H1060" i="1"/>
  <c r="A1061" i="1"/>
  <c r="B1061" i="1"/>
  <c r="C1061" i="1"/>
  <c r="D1061" i="1"/>
  <c r="E1061" i="1"/>
  <c r="F1061" i="1"/>
  <c r="H1061" i="1"/>
  <c r="A1062" i="1"/>
  <c r="B1062" i="1"/>
  <c r="C1062" i="1"/>
  <c r="D1062" i="1"/>
  <c r="E1062" i="1"/>
  <c r="F1062" i="1"/>
  <c r="H1062" i="1"/>
  <c r="A1063" i="1"/>
  <c r="B1063" i="1"/>
  <c r="C1063" i="1"/>
  <c r="D1063" i="1"/>
  <c r="E1063" i="1"/>
  <c r="F1063" i="1"/>
  <c r="H1063" i="1"/>
  <c r="A1064" i="1"/>
  <c r="B1064" i="1"/>
  <c r="C1064" i="1"/>
  <c r="D1064" i="1"/>
  <c r="E1064" i="1"/>
  <c r="F1064" i="1"/>
  <c r="H1064" i="1"/>
  <c r="A1065" i="1"/>
  <c r="B1065" i="1"/>
  <c r="C1065" i="1"/>
  <c r="D1065" i="1"/>
  <c r="E1065" i="1"/>
  <c r="F1065" i="1"/>
  <c r="H1065" i="1"/>
  <c r="A1066" i="1"/>
  <c r="B1066" i="1"/>
  <c r="C1066" i="1"/>
  <c r="D1066" i="1"/>
  <c r="E1066" i="1"/>
  <c r="F1066" i="1"/>
  <c r="H1066" i="1"/>
  <c r="A1067" i="1"/>
  <c r="B1067" i="1"/>
  <c r="C1067" i="1"/>
  <c r="D1067" i="1"/>
  <c r="E1067" i="1"/>
  <c r="F1067" i="1"/>
  <c r="H1067" i="1"/>
  <c r="A1068" i="1"/>
  <c r="B1068" i="1"/>
  <c r="C1068" i="1"/>
  <c r="D1068" i="1"/>
  <c r="E1068" i="1"/>
  <c r="F1068" i="1"/>
  <c r="H1068" i="1"/>
  <c r="A1069" i="1"/>
  <c r="B1069" i="1"/>
  <c r="C1069" i="1"/>
  <c r="D1069" i="1"/>
  <c r="E1069" i="1"/>
  <c r="F1069" i="1"/>
  <c r="H1069" i="1"/>
  <c r="A1070" i="1"/>
  <c r="B1070" i="1"/>
  <c r="C1070" i="1"/>
  <c r="D1070" i="1"/>
  <c r="E1070" i="1"/>
  <c r="F1070" i="1"/>
  <c r="H1070" i="1"/>
  <c r="A1071" i="1"/>
  <c r="B1071" i="1"/>
  <c r="C1071" i="1"/>
  <c r="D1071" i="1"/>
  <c r="E1071" i="1"/>
  <c r="F1071" i="1"/>
  <c r="H1071" i="1"/>
  <c r="A1072" i="1"/>
  <c r="B1072" i="1"/>
  <c r="C1072" i="1"/>
  <c r="D1072" i="1"/>
  <c r="E1072" i="1"/>
  <c r="F1072" i="1"/>
  <c r="H1072" i="1"/>
  <c r="A1073" i="1"/>
  <c r="B1073" i="1"/>
  <c r="C1073" i="1"/>
  <c r="D1073" i="1"/>
  <c r="E1073" i="1"/>
  <c r="F1073" i="1"/>
  <c r="H1073" i="1"/>
  <c r="A1074" i="1"/>
  <c r="B1074" i="1"/>
  <c r="C1074" i="1"/>
  <c r="D1074" i="1"/>
  <c r="E1074" i="1"/>
  <c r="F1074" i="1"/>
  <c r="H1074" i="1"/>
  <c r="A1075" i="1"/>
  <c r="B1075" i="1"/>
  <c r="C1075" i="1"/>
  <c r="D1075" i="1"/>
  <c r="E1075" i="1"/>
  <c r="F1075" i="1"/>
  <c r="H1075" i="1"/>
  <c r="A1076" i="1"/>
  <c r="B1076" i="1"/>
  <c r="C1076" i="1"/>
  <c r="D1076" i="1"/>
  <c r="E1076" i="1"/>
  <c r="F1076" i="1"/>
  <c r="H1076" i="1"/>
  <c r="A1077" i="1"/>
  <c r="B1077" i="1"/>
  <c r="C1077" i="1"/>
  <c r="D1077" i="1"/>
  <c r="E1077" i="1"/>
  <c r="F1077" i="1"/>
  <c r="H1077" i="1"/>
  <c r="A1078" i="1"/>
  <c r="B1078" i="1"/>
  <c r="C1078" i="1"/>
  <c r="D1078" i="1"/>
  <c r="E1078" i="1"/>
  <c r="F1078" i="1"/>
  <c r="H1078" i="1"/>
  <c r="A1079" i="1"/>
  <c r="B1079" i="1"/>
  <c r="C1079" i="1"/>
  <c r="D1079" i="1"/>
  <c r="E1079" i="1"/>
  <c r="F1079" i="1"/>
  <c r="H1079" i="1"/>
  <c r="A1080" i="1"/>
  <c r="B1080" i="1"/>
  <c r="C1080" i="1"/>
  <c r="D1080" i="1"/>
  <c r="E1080" i="1"/>
  <c r="F1080" i="1"/>
  <c r="H1080" i="1"/>
  <c r="A1081" i="1"/>
  <c r="B1081" i="1"/>
  <c r="C1081" i="1"/>
  <c r="D1081" i="1"/>
  <c r="E1081" i="1"/>
  <c r="F1081" i="1"/>
  <c r="H1081" i="1"/>
  <c r="A1082" i="1"/>
  <c r="B1082" i="1"/>
  <c r="C1082" i="1"/>
  <c r="D1082" i="1"/>
  <c r="E1082" i="1"/>
  <c r="F1082" i="1"/>
  <c r="H1082" i="1"/>
  <c r="A1083" i="1"/>
  <c r="B1083" i="1"/>
  <c r="C1083" i="1"/>
  <c r="D1083" i="1"/>
  <c r="E1083" i="1"/>
  <c r="F1083" i="1"/>
  <c r="H1083" i="1"/>
  <c r="A1084" i="1"/>
  <c r="B1084" i="1"/>
  <c r="C1084" i="1"/>
  <c r="D1084" i="1"/>
  <c r="E1084" i="1"/>
  <c r="F1084" i="1"/>
  <c r="H1084" i="1"/>
  <c r="A1085" i="1"/>
  <c r="B1085" i="1"/>
  <c r="C1085" i="1"/>
  <c r="D1085" i="1"/>
  <c r="E1085" i="1"/>
  <c r="F1085" i="1"/>
  <c r="H1085" i="1"/>
  <c r="A1086" i="1"/>
  <c r="B1086" i="1"/>
  <c r="C1086" i="1"/>
  <c r="D1086" i="1"/>
  <c r="E1086" i="1"/>
  <c r="F1086" i="1"/>
  <c r="H1086" i="1"/>
  <c r="A1087" i="1"/>
  <c r="B1087" i="1"/>
  <c r="C1087" i="1"/>
  <c r="D1087" i="1"/>
  <c r="E1087" i="1"/>
  <c r="F1087" i="1"/>
  <c r="H1087" i="1"/>
  <c r="A1088" i="1"/>
  <c r="B1088" i="1"/>
  <c r="C1088" i="1"/>
  <c r="D1088" i="1"/>
  <c r="E1088" i="1"/>
  <c r="F1088" i="1"/>
  <c r="H1088" i="1"/>
  <c r="A1089" i="1"/>
  <c r="B1089" i="1"/>
  <c r="C1089" i="1"/>
  <c r="D1089" i="1"/>
  <c r="E1089" i="1"/>
  <c r="F1089" i="1"/>
  <c r="H1089" i="1"/>
  <c r="A1090" i="1"/>
  <c r="B1090" i="1"/>
  <c r="C1090" i="1"/>
  <c r="D1090" i="1"/>
  <c r="E1090" i="1"/>
  <c r="F1090" i="1"/>
  <c r="H1090" i="1"/>
  <c r="A1091" i="1"/>
  <c r="B1091" i="1"/>
  <c r="C1091" i="1"/>
  <c r="D1091" i="1"/>
  <c r="E1091" i="1"/>
  <c r="F1091" i="1"/>
  <c r="H1091" i="1"/>
  <c r="A1092" i="1"/>
  <c r="B1092" i="1"/>
  <c r="C1092" i="1"/>
  <c r="D1092" i="1"/>
  <c r="E1092" i="1"/>
  <c r="F1092" i="1"/>
  <c r="H1092" i="1"/>
  <c r="A1093" i="1"/>
  <c r="B1093" i="1"/>
  <c r="C1093" i="1"/>
  <c r="D1093" i="1"/>
  <c r="E1093" i="1"/>
  <c r="F1093" i="1"/>
  <c r="H1093" i="1"/>
  <c r="A1094" i="1"/>
  <c r="B1094" i="1"/>
  <c r="C1094" i="1"/>
  <c r="D1094" i="1"/>
  <c r="E1094" i="1"/>
  <c r="F1094" i="1"/>
  <c r="H1094" i="1"/>
  <c r="A1095" i="1"/>
  <c r="B1095" i="1"/>
  <c r="C1095" i="1"/>
  <c r="D1095" i="1"/>
  <c r="E1095" i="1"/>
  <c r="F1095" i="1"/>
  <c r="H1095" i="1"/>
  <c r="A1096" i="1"/>
  <c r="B1096" i="1"/>
  <c r="C1096" i="1"/>
  <c r="D1096" i="1"/>
  <c r="E1096" i="1"/>
  <c r="F1096" i="1"/>
  <c r="H1096" i="1"/>
  <c r="A1097" i="1"/>
  <c r="B1097" i="1"/>
  <c r="C1097" i="1"/>
  <c r="D1097" i="1"/>
  <c r="E1097" i="1"/>
  <c r="F1097" i="1"/>
  <c r="H1097" i="1"/>
  <c r="A1098" i="1"/>
  <c r="B1098" i="1"/>
  <c r="C1098" i="1"/>
  <c r="D1098" i="1"/>
  <c r="E1098" i="1"/>
  <c r="F1098" i="1"/>
  <c r="H1098" i="1"/>
  <c r="A1099" i="1"/>
  <c r="B1099" i="1"/>
  <c r="C1099" i="1"/>
  <c r="D1099" i="1"/>
  <c r="E1099" i="1"/>
  <c r="F1099" i="1"/>
  <c r="H1099" i="1"/>
  <c r="A1100" i="1"/>
  <c r="B1100" i="1"/>
  <c r="C1100" i="1"/>
  <c r="D1100" i="1"/>
  <c r="E1100" i="1"/>
  <c r="F1100" i="1"/>
  <c r="H1100" i="1"/>
  <c r="A1101" i="1"/>
  <c r="B1101" i="1"/>
  <c r="C1101" i="1"/>
  <c r="D1101" i="1"/>
  <c r="E1101" i="1"/>
  <c r="F1101" i="1"/>
  <c r="H1101" i="1"/>
  <c r="A1102" i="1"/>
  <c r="B1102" i="1"/>
  <c r="C1102" i="1"/>
  <c r="D1102" i="1"/>
  <c r="E1102" i="1"/>
  <c r="F1102" i="1"/>
  <c r="H1102" i="1"/>
  <c r="A1103" i="1"/>
  <c r="B1103" i="1"/>
  <c r="C1103" i="1"/>
  <c r="D1103" i="1"/>
  <c r="E1103" i="1"/>
  <c r="F1103" i="1"/>
  <c r="H1103" i="1"/>
  <c r="A1104" i="1"/>
  <c r="B1104" i="1"/>
  <c r="C1104" i="1"/>
  <c r="D1104" i="1"/>
  <c r="E1104" i="1"/>
  <c r="F1104" i="1"/>
  <c r="H1104" i="1"/>
  <c r="A1105" i="1"/>
  <c r="B1105" i="1"/>
  <c r="C1105" i="1"/>
  <c r="D1105" i="1"/>
  <c r="E1105" i="1"/>
  <c r="F1105" i="1"/>
  <c r="H1105" i="1"/>
  <c r="A1106" i="1"/>
  <c r="B1106" i="1"/>
  <c r="C1106" i="1"/>
  <c r="D1106" i="1"/>
  <c r="E1106" i="1"/>
  <c r="F1106" i="1"/>
  <c r="H1106" i="1"/>
  <c r="A1107" i="1"/>
  <c r="B1107" i="1"/>
  <c r="C1107" i="1"/>
  <c r="D1107" i="1"/>
  <c r="E1107" i="1"/>
  <c r="F1107" i="1"/>
  <c r="H1107" i="1"/>
  <c r="A1108" i="1"/>
  <c r="B1108" i="1"/>
  <c r="C1108" i="1"/>
  <c r="D1108" i="1"/>
  <c r="E1108" i="1"/>
  <c r="F1108" i="1"/>
  <c r="H1108" i="1"/>
  <c r="A1109" i="1"/>
  <c r="B1109" i="1"/>
  <c r="C1109" i="1"/>
  <c r="D1109" i="1"/>
  <c r="E1109" i="1"/>
  <c r="F1109" i="1"/>
  <c r="H1109" i="1"/>
  <c r="A1110" i="1"/>
  <c r="B1110" i="1"/>
  <c r="C1110" i="1"/>
  <c r="D1110" i="1"/>
  <c r="E1110" i="1"/>
  <c r="F1110" i="1"/>
  <c r="H1110" i="1"/>
  <c r="A1111" i="1"/>
  <c r="B1111" i="1"/>
  <c r="C1111" i="1"/>
  <c r="D1111" i="1"/>
  <c r="E1111" i="1"/>
  <c r="F1111" i="1"/>
  <c r="H1111" i="1"/>
  <c r="A1112" i="1"/>
  <c r="B1112" i="1"/>
  <c r="C1112" i="1"/>
  <c r="D1112" i="1"/>
  <c r="E1112" i="1"/>
  <c r="F1112" i="1"/>
  <c r="H1112" i="1"/>
  <c r="A1113" i="1"/>
  <c r="B1113" i="1"/>
  <c r="C1113" i="1"/>
  <c r="D1113" i="1"/>
  <c r="E1113" i="1"/>
  <c r="F1113" i="1"/>
  <c r="H1113" i="1"/>
  <c r="A1114" i="1"/>
  <c r="B1114" i="1"/>
  <c r="C1114" i="1"/>
  <c r="D1114" i="1"/>
  <c r="E1114" i="1"/>
  <c r="F1114" i="1"/>
  <c r="H1114" i="1"/>
  <c r="A1115" i="1"/>
  <c r="B1115" i="1"/>
  <c r="C1115" i="1"/>
  <c r="D1115" i="1"/>
  <c r="E1115" i="1"/>
  <c r="F1115" i="1"/>
  <c r="H1115" i="1"/>
  <c r="A1116" i="1"/>
  <c r="B1116" i="1"/>
  <c r="C1116" i="1"/>
  <c r="D1116" i="1"/>
  <c r="E1116" i="1"/>
  <c r="F1116" i="1"/>
  <c r="H1116" i="1"/>
  <c r="A1117" i="1"/>
  <c r="B1117" i="1"/>
  <c r="C1117" i="1"/>
  <c r="D1117" i="1"/>
  <c r="E1117" i="1"/>
  <c r="F1117" i="1"/>
  <c r="H1117" i="1"/>
  <c r="A1118" i="1"/>
  <c r="B1118" i="1"/>
  <c r="C1118" i="1"/>
  <c r="D1118" i="1"/>
  <c r="E1118" i="1"/>
  <c r="F1118" i="1"/>
  <c r="H1118" i="1"/>
  <c r="A1119" i="1"/>
  <c r="B1119" i="1"/>
  <c r="C1119" i="1"/>
  <c r="D1119" i="1"/>
  <c r="E1119" i="1"/>
  <c r="F1119" i="1"/>
  <c r="H1119" i="1"/>
  <c r="A1120" i="1"/>
  <c r="B1120" i="1"/>
  <c r="C1120" i="1"/>
  <c r="D1120" i="1"/>
  <c r="E1120" i="1"/>
  <c r="F1120" i="1"/>
  <c r="H1120" i="1"/>
  <c r="A1121" i="1"/>
  <c r="B1121" i="1"/>
  <c r="C1121" i="1"/>
  <c r="D1121" i="1"/>
  <c r="E1121" i="1"/>
  <c r="F1121" i="1"/>
  <c r="H1121" i="1"/>
  <c r="A1122" i="1"/>
  <c r="B1122" i="1"/>
  <c r="C1122" i="1"/>
  <c r="D1122" i="1"/>
  <c r="E1122" i="1"/>
  <c r="F1122" i="1"/>
  <c r="H1122" i="1"/>
  <c r="A1123" i="1"/>
  <c r="B1123" i="1"/>
  <c r="C1123" i="1"/>
  <c r="D1123" i="1"/>
  <c r="E1123" i="1"/>
  <c r="F1123" i="1"/>
  <c r="H1123" i="1"/>
  <c r="A1124" i="1"/>
  <c r="B1124" i="1"/>
  <c r="C1124" i="1"/>
  <c r="D1124" i="1"/>
  <c r="E1124" i="1"/>
  <c r="F1124" i="1"/>
  <c r="H1124" i="1"/>
  <c r="A1125" i="1"/>
  <c r="B1125" i="1"/>
  <c r="C1125" i="1"/>
  <c r="D1125" i="1"/>
  <c r="E1125" i="1"/>
  <c r="F1125" i="1"/>
  <c r="H1125" i="1"/>
  <c r="A1126" i="1"/>
  <c r="B1126" i="1"/>
  <c r="C1126" i="1"/>
  <c r="D1126" i="1"/>
  <c r="E1126" i="1"/>
  <c r="F1126" i="1"/>
  <c r="H1126" i="1"/>
  <c r="A1127" i="1"/>
  <c r="B1127" i="1"/>
  <c r="C1127" i="1"/>
  <c r="D1127" i="1"/>
  <c r="E1127" i="1"/>
  <c r="F1127" i="1"/>
  <c r="H1127" i="1"/>
  <c r="A1128" i="1"/>
  <c r="B1128" i="1"/>
  <c r="C1128" i="1"/>
  <c r="D1128" i="1"/>
  <c r="E1128" i="1"/>
  <c r="F1128" i="1"/>
  <c r="H1128" i="1"/>
  <c r="A1129" i="1"/>
  <c r="B1129" i="1"/>
  <c r="C1129" i="1"/>
  <c r="D1129" i="1"/>
  <c r="E1129" i="1"/>
  <c r="F1129" i="1"/>
  <c r="H1129" i="1"/>
  <c r="A1130" i="1"/>
  <c r="B1130" i="1"/>
  <c r="C1130" i="1"/>
  <c r="D1130" i="1"/>
  <c r="E1130" i="1"/>
  <c r="F1130" i="1"/>
  <c r="H1130" i="1"/>
  <c r="A1131" i="1"/>
  <c r="B1131" i="1"/>
  <c r="C1131" i="1"/>
  <c r="D1131" i="1"/>
  <c r="E1131" i="1"/>
  <c r="F1131" i="1"/>
  <c r="H1131" i="1"/>
  <c r="A1132" i="1"/>
  <c r="B1132" i="1"/>
  <c r="C1132" i="1"/>
  <c r="D1132" i="1"/>
  <c r="E1132" i="1"/>
  <c r="F1132" i="1"/>
  <c r="H1132" i="1"/>
  <c r="A1133" i="1"/>
  <c r="B1133" i="1"/>
  <c r="C1133" i="1"/>
  <c r="D1133" i="1"/>
  <c r="E1133" i="1"/>
  <c r="F1133" i="1"/>
  <c r="H1133" i="1"/>
  <c r="A1134" i="1"/>
  <c r="B1134" i="1"/>
  <c r="C1134" i="1"/>
  <c r="D1134" i="1"/>
  <c r="E1134" i="1"/>
  <c r="F1134" i="1"/>
  <c r="H1134" i="1"/>
  <c r="A1135" i="1"/>
  <c r="B1135" i="1"/>
  <c r="C1135" i="1"/>
  <c r="D1135" i="1"/>
  <c r="E1135" i="1"/>
  <c r="F1135" i="1"/>
  <c r="H1135" i="1"/>
  <c r="A1136" i="1"/>
  <c r="B1136" i="1"/>
  <c r="C1136" i="1"/>
  <c r="D1136" i="1"/>
  <c r="E1136" i="1"/>
  <c r="F1136" i="1"/>
  <c r="H1136" i="1"/>
  <c r="A1137" i="1"/>
  <c r="B1137" i="1"/>
  <c r="C1137" i="1"/>
  <c r="D1137" i="1"/>
  <c r="E1137" i="1"/>
  <c r="F1137" i="1"/>
  <c r="H1137" i="1"/>
  <c r="A1138" i="1"/>
  <c r="B1138" i="1"/>
  <c r="C1138" i="1"/>
  <c r="D1138" i="1"/>
  <c r="E1138" i="1"/>
  <c r="F1138" i="1"/>
  <c r="H1138" i="1"/>
  <c r="A1139" i="1"/>
  <c r="B1139" i="1"/>
  <c r="C1139" i="1"/>
  <c r="D1139" i="1"/>
  <c r="E1139" i="1"/>
  <c r="F1139" i="1"/>
  <c r="H1139" i="1"/>
  <c r="A1140" i="1"/>
  <c r="B1140" i="1"/>
  <c r="C1140" i="1"/>
  <c r="D1140" i="1"/>
  <c r="E1140" i="1"/>
  <c r="F1140" i="1"/>
  <c r="H1140" i="1"/>
  <c r="A1141" i="1"/>
  <c r="B1141" i="1"/>
  <c r="C1141" i="1"/>
  <c r="D1141" i="1"/>
  <c r="E1141" i="1"/>
  <c r="F1141" i="1"/>
  <c r="H1141" i="1"/>
  <c r="A1142" i="1"/>
  <c r="B1142" i="1"/>
  <c r="C1142" i="1"/>
  <c r="D1142" i="1"/>
  <c r="E1142" i="1"/>
  <c r="F1142" i="1"/>
  <c r="H1142" i="1"/>
  <c r="A1143" i="1"/>
  <c r="B1143" i="1"/>
  <c r="C1143" i="1"/>
  <c r="D1143" i="1"/>
  <c r="E1143" i="1"/>
  <c r="F1143" i="1"/>
  <c r="H1143" i="1"/>
  <c r="A1144" i="1"/>
  <c r="B1144" i="1"/>
  <c r="C1144" i="1"/>
  <c r="D1144" i="1"/>
  <c r="E1144" i="1"/>
  <c r="F1144" i="1"/>
  <c r="H1144" i="1"/>
  <c r="A1145" i="1"/>
  <c r="B1145" i="1"/>
  <c r="C1145" i="1"/>
  <c r="D1145" i="1"/>
  <c r="E1145" i="1"/>
  <c r="F1145" i="1"/>
  <c r="H1145" i="1"/>
  <c r="A1146" i="1"/>
  <c r="B1146" i="1"/>
  <c r="C1146" i="1"/>
  <c r="D1146" i="1"/>
  <c r="E1146" i="1"/>
  <c r="F1146" i="1"/>
  <c r="H1146" i="1"/>
  <c r="A1147" i="1"/>
  <c r="B1147" i="1"/>
  <c r="C1147" i="1"/>
  <c r="D1147" i="1"/>
  <c r="E1147" i="1"/>
  <c r="F1147" i="1"/>
  <c r="H1147" i="1"/>
  <c r="A1148" i="1"/>
  <c r="B1148" i="1"/>
  <c r="C1148" i="1"/>
  <c r="D1148" i="1"/>
  <c r="E1148" i="1"/>
  <c r="F1148" i="1"/>
  <c r="H1148" i="1"/>
  <c r="A1149" i="1"/>
  <c r="B1149" i="1"/>
  <c r="C1149" i="1"/>
  <c r="D1149" i="1"/>
  <c r="E1149" i="1"/>
  <c r="F1149" i="1"/>
  <c r="H1149" i="1"/>
  <c r="A1150" i="1"/>
  <c r="B1150" i="1"/>
  <c r="C1150" i="1"/>
  <c r="D1150" i="1"/>
  <c r="E1150" i="1"/>
  <c r="F1150" i="1"/>
  <c r="H1150" i="1"/>
  <c r="A1151" i="1"/>
  <c r="B1151" i="1"/>
  <c r="C1151" i="1"/>
  <c r="D1151" i="1"/>
  <c r="E1151" i="1"/>
  <c r="F1151" i="1"/>
  <c r="H1151" i="1"/>
  <c r="A1152" i="1"/>
  <c r="B1152" i="1"/>
  <c r="C1152" i="1"/>
  <c r="D1152" i="1"/>
  <c r="E1152" i="1"/>
  <c r="F1152" i="1"/>
  <c r="H1152" i="1"/>
  <c r="A1153" i="1"/>
  <c r="B1153" i="1"/>
  <c r="C1153" i="1"/>
  <c r="D1153" i="1"/>
  <c r="E1153" i="1"/>
  <c r="F1153" i="1"/>
  <c r="H1153" i="1"/>
  <c r="A1154" i="1"/>
  <c r="B1154" i="1"/>
  <c r="C1154" i="1"/>
  <c r="D1154" i="1"/>
  <c r="E1154" i="1"/>
  <c r="F1154" i="1"/>
  <c r="H1154" i="1"/>
  <c r="A1155" i="1"/>
  <c r="B1155" i="1"/>
  <c r="C1155" i="1"/>
  <c r="D1155" i="1"/>
  <c r="E1155" i="1"/>
  <c r="F1155" i="1"/>
  <c r="H1155" i="1"/>
  <c r="A1156" i="1"/>
  <c r="B1156" i="1"/>
  <c r="C1156" i="1"/>
  <c r="D1156" i="1"/>
  <c r="E1156" i="1"/>
  <c r="F1156" i="1"/>
  <c r="H1156" i="1"/>
  <c r="A1157" i="1"/>
  <c r="B1157" i="1"/>
  <c r="C1157" i="1"/>
  <c r="D1157" i="1"/>
  <c r="E1157" i="1"/>
  <c r="F1157" i="1"/>
  <c r="H1157" i="1"/>
  <c r="A1158" i="1"/>
  <c r="B1158" i="1"/>
  <c r="C1158" i="1"/>
  <c r="D1158" i="1"/>
  <c r="E1158" i="1"/>
  <c r="F1158" i="1"/>
  <c r="H1158" i="1"/>
  <c r="A1159" i="1"/>
  <c r="B1159" i="1"/>
  <c r="C1159" i="1"/>
  <c r="D1159" i="1"/>
  <c r="E1159" i="1"/>
  <c r="F1159" i="1"/>
  <c r="H1159" i="1"/>
  <c r="A1160" i="1"/>
  <c r="B1160" i="1"/>
  <c r="C1160" i="1"/>
  <c r="D1160" i="1"/>
  <c r="E1160" i="1"/>
  <c r="F1160" i="1"/>
  <c r="H1160" i="1"/>
  <c r="A1161" i="1"/>
  <c r="B1161" i="1"/>
  <c r="C1161" i="1"/>
  <c r="D1161" i="1"/>
  <c r="E1161" i="1"/>
  <c r="F1161" i="1"/>
  <c r="H1161" i="1"/>
  <c r="A1162" i="1"/>
  <c r="B1162" i="1"/>
  <c r="C1162" i="1"/>
  <c r="D1162" i="1"/>
  <c r="E1162" i="1"/>
  <c r="F1162" i="1"/>
  <c r="H1162" i="1"/>
  <c r="A1163" i="1"/>
  <c r="B1163" i="1"/>
  <c r="C1163" i="1"/>
  <c r="D1163" i="1"/>
  <c r="E1163" i="1"/>
  <c r="F1163" i="1"/>
  <c r="H1163" i="1"/>
  <c r="A1164" i="1"/>
  <c r="B1164" i="1"/>
  <c r="C1164" i="1"/>
  <c r="D1164" i="1"/>
  <c r="E1164" i="1"/>
  <c r="F1164" i="1"/>
  <c r="H1164" i="1"/>
  <c r="A1165" i="1"/>
  <c r="B1165" i="1"/>
  <c r="C1165" i="1"/>
  <c r="D1165" i="1"/>
  <c r="E1165" i="1"/>
  <c r="F1165" i="1"/>
  <c r="H1165" i="1"/>
  <c r="A1166" i="1"/>
  <c r="B1166" i="1"/>
  <c r="C1166" i="1"/>
  <c r="D1166" i="1"/>
  <c r="E1166" i="1"/>
  <c r="F1166" i="1"/>
  <c r="H1166" i="1"/>
  <c r="A1167" i="1"/>
  <c r="B1167" i="1"/>
  <c r="C1167" i="1"/>
  <c r="D1167" i="1"/>
  <c r="E1167" i="1"/>
  <c r="F1167" i="1"/>
  <c r="H1167" i="1"/>
  <c r="A1168" i="1"/>
  <c r="B1168" i="1"/>
  <c r="C1168" i="1"/>
  <c r="D1168" i="1"/>
  <c r="E1168" i="1"/>
  <c r="F1168" i="1"/>
  <c r="H1168" i="1"/>
  <c r="A1169" i="1"/>
  <c r="B1169" i="1"/>
  <c r="C1169" i="1"/>
  <c r="D1169" i="1"/>
  <c r="E1169" i="1"/>
  <c r="F1169" i="1"/>
  <c r="H1169" i="1"/>
  <c r="A1170" i="1"/>
  <c r="B1170" i="1"/>
  <c r="C1170" i="1"/>
  <c r="D1170" i="1"/>
  <c r="E1170" i="1"/>
  <c r="F1170" i="1"/>
  <c r="H1170" i="1"/>
  <c r="A1171" i="1"/>
  <c r="B1171" i="1"/>
  <c r="C1171" i="1"/>
  <c r="D1171" i="1"/>
  <c r="E1171" i="1"/>
  <c r="F1171" i="1"/>
  <c r="H1171" i="1"/>
  <c r="A1172" i="1"/>
  <c r="B1172" i="1"/>
  <c r="C1172" i="1"/>
  <c r="D1172" i="1"/>
  <c r="E1172" i="1"/>
  <c r="F1172" i="1"/>
  <c r="H1172" i="1"/>
  <c r="A1173" i="1"/>
  <c r="B1173" i="1"/>
  <c r="C1173" i="1"/>
  <c r="D1173" i="1"/>
  <c r="E1173" i="1"/>
  <c r="F1173" i="1"/>
  <c r="H1173" i="1"/>
  <c r="A1174" i="1"/>
  <c r="B1174" i="1"/>
  <c r="C1174" i="1"/>
  <c r="D1174" i="1"/>
  <c r="E1174" i="1"/>
  <c r="F1174" i="1"/>
  <c r="H1174" i="1"/>
  <c r="A1175" i="1"/>
  <c r="B1175" i="1"/>
  <c r="C1175" i="1"/>
  <c r="D1175" i="1"/>
  <c r="E1175" i="1"/>
  <c r="F1175" i="1"/>
  <c r="H1175" i="1"/>
  <c r="A1176" i="1"/>
  <c r="B1176" i="1"/>
  <c r="C1176" i="1"/>
  <c r="D1176" i="1"/>
  <c r="E1176" i="1"/>
  <c r="F1176" i="1"/>
  <c r="H1176" i="1"/>
  <c r="A1177" i="1"/>
  <c r="B1177" i="1"/>
  <c r="C1177" i="1"/>
  <c r="D1177" i="1"/>
  <c r="E1177" i="1"/>
  <c r="F1177" i="1"/>
  <c r="H1177" i="1"/>
  <c r="A1178" i="1"/>
  <c r="B1178" i="1"/>
  <c r="C1178" i="1"/>
  <c r="D1178" i="1"/>
  <c r="E1178" i="1"/>
  <c r="F1178" i="1"/>
  <c r="H1178" i="1"/>
  <c r="A1179" i="1"/>
  <c r="B1179" i="1"/>
  <c r="C1179" i="1"/>
  <c r="D1179" i="1"/>
  <c r="E1179" i="1"/>
  <c r="F1179" i="1"/>
  <c r="H1179" i="1"/>
  <c r="A1180" i="1"/>
  <c r="B1180" i="1"/>
  <c r="C1180" i="1"/>
  <c r="D1180" i="1"/>
  <c r="E1180" i="1"/>
  <c r="F1180" i="1"/>
  <c r="H1180" i="1"/>
  <c r="A1181" i="1"/>
  <c r="B1181" i="1"/>
  <c r="C1181" i="1"/>
  <c r="D1181" i="1"/>
  <c r="E1181" i="1"/>
  <c r="F1181" i="1"/>
  <c r="H1181" i="1"/>
  <c r="A1182" i="1"/>
  <c r="B1182" i="1"/>
  <c r="C1182" i="1"/>
  <c r="D1182" i="1"/>
  <c r="E1182" i="1"/>
  <c r="F1182" i="1"/>
  <c r="H1182" i="1"/>
  <c r="A1183" i="1"/>
  <c r="B1183" i="1"/>
  <c r="C1183" i="1"/>
  <c r="D1183" i="1"/>
  <c r="E1183" i="1"/>
  <c r="F1183" i="1"/>
  <c r="H1183" i="1"/>
  <c r="A1184" i="1"/>
  <c r="B1184" i="1"/>
  <c r="C1184" i="1"/>
  <c r="D1184" i="1"/>
  <c r="E1184" i="1"/>
  <c r="F1184" i="1"/>
  <c r="H1184" i="1"/>
  <c r="A1185" i="1"/>
  <c r="B1185" i="1"/>
  <c r="C1185" i="1"/>
  <c r="D1185" i="1"/>
  <c r="E1185" i="1"/>
  <c r="F1185" i="1"/>
  <c r="H1185" i="1"/>
  <c r="A1186" i="1"/>
  <c r="B1186" i="1"/>
  <c r="C1186" i="1"/>
  <c r="D1186" i="1"/>
  <c r="E1186" i="1"/>
  <c r="F1186" i="1"/>
  <c r="H1186" i="1"/>
  <c r="A1187" i="1"/>
  <c r="B1187" i="1"/>
  <c r="C1187" i="1"/>
  <c r="D1187" i="1"/>
  <c r="E1187" i="1"/>
  <c r="F1187" i="1"/>
  <c r="H1187" i="1"/>
  <c r="A1188" i="1"/>
  <c r="B1188" i="1"/>
  <c r="C1188" i="1"/>
  <c r="D1188" i="1"/>
  <c r="E1188" i="1"/>
  <c r="F1188" i="1"/>
  <c r="H1188" i="1"/>
  <c r="A1189" i="1"/>
  <c r="B1189" i="1"/>
  <c r="C1189" i="1"/>
  <c r="D1189" i="1"/>
  <c r="E1189" i="1"/>
  <c r="F1189" i="1"/>
  <c r="H1189" i="1"/>
  <c r="A1190" i="1"/>
  <c r="B1190" i="1"/>
  <c r="C1190" i="1"/>
  <c r="D1190" i="1"/>
  <c r="E1190" i="1"/>
  <c r="F1190" i="1"/>
  <c r="H1190" i="1"/>
  <c r="A1191" i="1"/>
  <c r="B1191" i="1"/>
  <c r="C1191" i="1"/>
  <c r="D1191" i="1"/>
  <c r="E1191" i="1"/>
  <c r="F1191" i="1"/>
  <c r="H1191" i="1"/>
  <c r="A1192" i="1"/>
  <c r="B1192" i="1"/>
  <c r="C1192" i="1"/>
  <c r="D1192" i="1"/>
  <c r="E1192" i="1"/>
  <c r="F1192" i="1"/>
  <c r="H1192" i="1"/>
  <c r="A1193" i="1"/>
  <c r="B1193" i="1"/>
  <c r="C1193" i="1"/>
  <c r="D1193" i="1"/>
  <c r="E1193" i="1"/>
  <c r="F1193" i="1"/>
  <c r="H1193" i="1"/>
  <c r="A1194" i="1"/>
  <c r="B1194" i="1"/>
  <c r="C1194" i="1"/>
  <c r="D1194" i="1"/>
  <c r="E1194" i="1"/>
  <c r="F1194" i="1"/>
  <c r="H1194" i="1"/>
  <c r="A1195" i="1"/>
  <c r="B1195" i="1"/>
  <c r="C1195" i="1"/>
  <c r="D1195" i="1"/>
  <c r="E1195" i="1"/>
  <c r="F1195" i="1"/>
  <c r="H1195" i="1"/>
  <c r="A1196" i="1"/>
  <c r="B1196" i="1"/>
  <c r="C1196" i="1"/>
  <c r="D1196" i="1"/>
  <c r="E1196" i="1"/>
  <c r="F1196" i="1"/>
  <c r="H1196" i="1"/>
  <c r="A1197" i="1"/>
  <c r="B1197" i="1"/>
  <c r="C1197" i="1"/>
  <c r="D1197" i="1"/>
  <c r="E1197" i="1"/>
  <c r="F1197" i="1"/>
  <c r="H1197" i="1"/>
  <c r="A1198" i="1"/>
  <c r="B1198" i="1"/>
  <c r="C1198" i="1"/>
  <c r="D1198" i="1"/>
  <c r="E1198" i="1"/>
  <c r="F1198" i="1"/>
  <c r="H1198" i="1"/>
  <c r="A1199" i="1"/>
  <c r="B1199" i="1"/>
  <c r="C1199" i="1"/>
  <c r="D1199" i="1"/>
  <c r="E1199" i="1"/>
  <c r="F1199" i="1"/>
  <c r="H1199" i="1"/>
  <c r="A1200" i="1"/>
  <c r="B1200" i="1"/>
  <c r="C1200" i="1"/>
  <c r="D1200" i="1"/>
  <c r="E1200" i="1"/>
  <c r="F1200" i="1"/>
  <c r="H1200" i="1"/>
  <c r="A1201" i="1"/>
  <c r="B1201" i="1"/>
  <c r="C1201" i="1"/>
  <c r="D1201" i="1"/>
  <c r="E1201" i="1"/>
  <c r="F1201" i="1"/>
  <c r="H1201" i="1"/>
  <c r="A1202" i="1"/>
  <c r="B1202" i="1"/>
  <c r="C1202" i="1"/>
  <c r="D1202" i="1"/>
  <c r="E1202" i="1"/>
  <c r="F1202" i="1"/>
  <c r="H1202" i="1"/>
  <c r="A1203" i="1"/>
  <c r="B1203" i="1"/>
  <c r="C1203" i="1"/>
  <c r="D1203" i="1"/>
  <c r="E1203" i="1"/>
  <c r="F1203" i="1"/>
  <c r="H1203" i="1"/>
  <c r="A1204" i="1"/>
  <c r="B1204" i="1"/>
  <c r="C1204" i="1"/>
  <c r="D1204" i="1"/>
  <c r="E1204" i="1"/>
  <c r="F1204" i="1"/>
  <c r="H1204" i="1"/>
  <c r="A1205" i="1"/>
  <c r="B1205" i="1"/>
  <c r="C1205" i="1"/>
  <c r="D1205" i="1"/>
  <c r="E1205" i="1"/>
  <c r="F1205" i="1"/>
  <c r="H1205" i="1"/>
  <c r="A1206" i="1"/>
  <c r="B1206" i="1"/>
  <c r="C1206" i="1"/>
  <c r="D1206" i="1"/>
  <c r="E1206" i="1"/>
  <c r="F1206" i="1"/>
  <c r="H1206" i="1"/>
  <c r="A1207" i="1"/>
  <c r="B1207" i="1"/>
  <c r="C1207" i="1"/>
  <c r="D1207" i="1"/>
  <c r="E1207" i="1"/>
  <c r="F1207" i="1"/>
  <c r="H1207" i="1"/>
  <c r="A1208" i="1"/>
  <c r="B1208" i="1"/>
  <c r="C1208" i="1"/>
  <c r="D1208" i="1"/>
  <c r="E1208" i="1"/>
  <c r="F1208" i="1"/>
  <c r="H1208" i="1"/>
  <c r="A1209" i="1"/>
  <c r="B1209" i="1"/>
  <c r="C1209" i="1"/>
  <c r="D1209" i="1"/>
  <c r="E1209" i="1"/>
  <c r="F1209" i="1"/>
  <c r="H1209" i="1"/>
  <c r="A1210" i="1"/>
  <c r="B1210" i="1"/>
  <c r="C1210" i="1"/>
  <c r="D1210" i="1"/>
  <c r="E1210" i="1"/>
  <c r="F1210" i="1"/>
  <c r="H1210" i="1"/>
  <c r="A1211" i="1"/>
  <c r="B1211" i="1"/>
  <c r="C1211" i="1"/>
  <c r="D1211" i="1"/>
  <c r="E1211" i="1"/>
  <c r="F1211" i="1"/>
  <c r="H1211" i="1"/>
  <c r="A1212" i="1"/>
  <c r="B1212" i="1"/>
  <c r="C1212" i="1"/>
  <c r="D1212" i="1"/>
  <c r="E1212" i="1"/>
  <c r="F1212" i="1"/>
  <c r="H1212" i="1"/>
  <c r="A1213" i="1"/>
  <c r="B1213" i="1"/>
  <c r="C1213" i="1"/>
  <c r="D1213" i="1"/>
  <c r="E1213" i="1"/>
  <c r="F1213" i="1"/>
  <c r="H1213" i="1"/>
  <c r="A1214" i="1"/>
  <c r="B1214" i="1"/>
  <c r="C1214" i="1"/>
  <c r="D1214" i="1"/>
  <c r="E1214" i="1"/>
  <c r="F1214" i="1"/>
  <c r="H1214" i="1"/>
  <c r="A1215" i="1"/>
  <c r="B1215" i="1"/>
  <c r="C1215" i="1"/>
  <c r="D1215" i="1"/>
  <c r="E1215" i="1"/>
  <c r="F1215" i="1"/>
  <c r="H1215" i="1"/>
  <c r="A1216" i="1"/>
  <c r="B1216" i="1"/>
  <c r="C1216" i="1"/>
  <c r="D1216" i="1"/>
  <c r="E1216" i="1"/>
  <c r="F1216" i="1"/>
  <c r="H1216" i="1"/>
  <c r="A1217" i="1"/>
  <c r="B1217" i="1"/>
  <c r="C1217" i="1"/>
  <c r="D1217" i="1"/>
  <c r="E1217" i="1"/>
  <c r="F1217" i="1"/>
  <c r="H1217" i="1"/>
  <c r="A1218" i="1"/>
  <c r="B1218" i="1"/>
  <c r="C1218" i="1"/>
  <c r="D1218" i="1"/>
  <c r="E1218" i="1"/>
  <c r="F1218" i="1"/>
  <c r="H1218" i="1"/>
  <c r="A1219" i="1"/>
  <c r="B1219" i="1"/>
  <c r="C1219" i="1"/>
  <c r="D1219" i="1"/>
  <c r="E1219" i="1"/>
  <c r="F1219" i="1"/>
  <c r="H1219" i="1"/>
  <c r="A1220" i="1"/>
  <c r="B1220" i="1"/>
  <c r="C1220" i="1"/>
  <c r="D1220" i="1"/>
  <c r="E1220" i="1"/>
  <c r="F1220" i="1"/>
  <c r="H1220" i="1"/>
  <c r="A1221" i="1"/>
  <c r="B1221" i="1"/>
  <c r="C1221" i="1"/>
  <c r="D1221" i="1"/>
  <c r="E1221" i="1"/>
  <c r="F1221" i="1"/>
  <c r="H1221" i="1"/>
  <c r="A1222" i="1"/>
  <c r="B1222" i="1"/>
  <c r="C1222" i="1"/>
  <c r="D1222" i="1"/>
  <c r="E1222" i="1"/>
  <c r="F1222" i="1"/>
  <c r="H1222" i="1"/>
  <c r="A1223" i="1"/>
  <c r="B1223" i="1"/>
  <c r="C1223" i="1"/>
  <c r="D1223" i="1"/>
  <c r="E1223" i="1"/>
  <c r="F1223" i="1"/>
  <c r="H1223" i="1"/>
  <c r="A1224" i="1"/>
  <c r="B1224" i="1"/>
  <c r="C1224" i="1"/>
  <c r="D1224" i="1"/>
  <c r="E1224" i="1"/>
  <c r="F1224" i="1"/>
  <c r="H1224" i="1"/>
  <c r="A1225" i="1"/>
  <c r="B1225" i="1"/>
  <c r="C1225" i="1"/>
  <c r="D1225" i="1"/>
  <c r="E1225" i="1"/>
  <c r="F1225" i="1"/>
  <c r="H1225" i="1"/>
  <c r="A1226" i="1"/>
  <c r="B1226" i="1"/>
  <c r="C1226" i="1"/>
  <c r="D1226" i="1"/>
  <c r="E1226" i="1"/>
  <c r="F1226" i="1"/>
  <c r="H1226" i="1"/>
  <c r="A1227" i="1"/>
  <c r="B1227" i="1"/>
  <c r="C1227" i="1"/>
  <c r="D1227" i="1"/>
  <c r="E1227" i="1"/>
  <c r="F1227" i="1"/>
  <c r="H1227" i="1"/>
  <c r="A1228" i="1"/>
  <c r="B1228" i="1"/>
  <c r="C1228" i="1"/>
  <c r="D1228" i="1"/>
  <c r="E1228" i="1"/>
  <c r="F1228" i="1"/>
  <c r="H1228" i="1"/>
  <c r="A1229" i="1"/>
  <c r="B1229" i="1"/>
  <c r="C1229" i="1"/>
  <c r="D1229" i="1"/>
  <c r="E1229" i="1"/>
  <c r="F1229" i="1"/>
  <c r="H1229" i="1"/>
  <c r="A1230" i="1"/>
  <c r="B1230" i="1"/>
  <c r="C1230" i="1"/>
  <c r="D1230" i="1"/>
  <c r="E1230" i="1"/>
  <c r="F1230" i="1"/>
  <c r="H1230" i="1"/>
  <c r="A1231" i="1"/>
  <c r="B1231" i="1"/>
  <c r="C1231" i="1"/>
  <c r="D1231" i="1"/>
  <c r="E1231" i="1"/>
  <c r="F1231" i="1"/>
  <c r="H1231" i="1"/>
  <c r="A1232" i="1"/>
  <c r="B1232" i="1"/>
  <c r="C1232" i="1"/>
  <c r="D1232" i="1"/>
  <c r="E1232" i="1"/>
  <c r="F1232" i="1"/>
  <c r="H1232" i="1"/>
  <c r="A1233" i="1"/>
  <c r="B1233" i="1"/>
  <c r="C1233" i="1"/>
  <c r="D1233" i="1"/>
  <c r="E1233" i="1"/>
  <c r="F1233" i="1"/>
  <c r="H1233" i="1"/>
  <c r="A1234" i="1"/>
  <c r="B1234" i="1"/>
  <c r="C1234" i="1"/>
  <c r="D1234" i="1"/>
  <c r="E1234" i="1"/>
  <c r="F1234" i="1"/>
  <c r="H1234" i="1"/>
  <c r="A1235" i="1"/>
  <c r="B1235" i="1"/>
  <c r="C1235" i="1"/>
  <c r="D1235" i="1"/>
  <c r="E1235" i="1"/>
  <c r="F1235" i="1"/>
  <c r="H1235" i="1"/>
  <c r="A1236" i="1"/>
  <c r="B1236" i="1"/>
  <c r="C1236" i="1"/>
  <c r="D1236" i="1"/>
  <c r="E1236" i="1"/>
  <c r="F1236" i="1"/>
  <c r="H1236" i="1"/>
  <c r="A1237" i="1"/>
  <c r="B1237" i="1"/>
  <c r="C1237" i="1"/>
  <c r="D1237" i="1"/>
  <c r="E1237" i="1"/>
  <c r="F1237" i="1"/>
  <c r="H1237" i="1"/>
  <c r="A1238" i="1"/>
  <c r="B1238" i="1"/>
  <c r="C1238" i="1"/>
  <c r="D1238" i="1"/>
  <c r="E1238" i="1"/>
  <c r="F1238" i="1"/>
  <c r="H1238" i="1"/>
  <c r="A1239" i="1"/>
  <c r="B1239" i="1"/>
  <c r="C1239" i="1"/>
  <c r="D1239" i="1"/>
  <c r="E1239" i="1"/>
  <c r="F1239" i="1"/>
  <c r="H1239" i="1"/>
  <c r="A1240" i="1"/>
  <c r="B1240" i="1"/>
  <c r="C1240" i="1"/>
  <c r="D1240" i="1"/>
  <c r="E1240" i="1"/>
  <c r="F1240" i="1"/>
  <c r="H1240" i="1"/>
  <c r="A1241" i="1"/>
  <c r="B1241" i="1"/>
  <c r="C1241" i="1"/>
  <c r="D1241" i="1"/>
  <c r="E1241" i="1"/>
  <c r="F1241" i="1"/>
  <c r="H1241" i="1"/>
  <c r="A1242" i="1"/>
  <c r="B1242" i="1"/>
  <c r="C1242" i="1"/>
  <c r="D1242" i="1"/>
  <c r="E1242" i="1"/>
  <c r="F1242" i="1"/>
  <c r="H1242" i="1"/>
  <c r="A1243" i="1"/>
  <c r="B1243" i="1"/>
  <c r="C1243" i="1"/>
  <c r="D1243" i="1"/>
  <c r="E1243" i="1"/>
  <c r="F1243" i="1"/>
  <c r="H1243" i="1"/>
  <c r="A1244" i="1"/>
  <c r="B1244" i="1"/>
  <c r="C1244" i="1"/>
  <c r="D1244" i="1"/>
  <c r="E1244" i="1"/>
  <c r="F1244" i="1"/>
  <c r="H1244" i="1"/>
  <c r="A1245" i="1"/>
  <c r="B1245" i="1"/>
  <c r="C1245" i="1"/>
  <c r="D1245" i="1"/>
  <c r="E1245" i="1"/>
  <c r="F1245" i="1"/>
  <c r="H1245" i="1"/>
  <c r="A1246" i="1"/>
  <c r="B1246" i="1"/>
  <c r="C1246" i="1"/>
  <c r="D1246" i="1"/>
  <c r="E1246" i="1"/>
  <c r="F1246" i="1"/>
  <c r="H1246" i="1"/>
  <c r="A1247" i="1"/>
  <c r="B1247" i="1"/>
  <c r="C1247" i="1"/>
  <c r="D1247" i="1"/>
  <c r="E1247" i="1"/>
  <c r="F1247" i="1"/>
  <c r="H1247" i="1"/>
  <c r="A1248" i="1"/>
  <c r="B1248" i="1"/>
  <c r="C1248" i="1"/>
  <c r="D1248" i="1"/>
  <c r="E1248" i="1"/>
  <c r="F1248" i="1"/>
  <c r="H1248" i="1"/>
  <c r="A1249" i="1"/>
  <c r="B1249" i="1"/>
  <c r="C1249" i="1"/>
  <c r="D1249" i="1"/>
  <c r="E1249" i="1"/>
  <c r="F1249" i="1"/>
  <c r="H1249" i="1"/>
  <c r="A1250" i="1"/>
  <c r="B1250" i="1"/>
  <c r="C1250" i="1"/>
  <c r="D1250" i="1"/>
  <c r="E1250" i="1"/>
  <c r="F1250" i="1"/>
  <c r="H1250" i="1"/>
  <c r="A1251" i="1"/>
  <c r="B1251" i="1"/>
  <c r="C1251" i="1"/>
  <c r="D1251" i="1"/>
  <c r="E1251" i="1"/>
  <c r="F1251" i="1"/>
  <c r="H1251" i="1"/>
  <c r="A1252" i="1"/>
  <c r="B1252" i="1"/>
  <c r="C1252" i="1"/>
  <c r="D1252" i="1"/>
  <c r="E1252" i="1"/>
  <c r="F1252" i="1"/>
  <c r="H1252" i="1"/>
  <c r="A1253" i="1"/>
  <c r="B1253" i="1"/>
  <c r="C1253" i="1"/>
  <c r="D1253" i="1"/>
  <c r="E1253" i="1"/>
  <c r="F1253" i="1"/>
  <c r="H1253" i="1"/>
  <c r="A1254" i="1"/>
  <c r="B1254" i="1"/>
  <c r="C1254" i="1"/>
  <c r="D1254" i="1"/>
  <c r="E1254" i="1"/>
  <c r="F1254" i="1"/>
  <c r="H1254" i="1"/>
  <c r="A1255" i="1"/>
  <c r="B1255" i="1"/>
  <c r="C1255" i="1"/>
  <c r="D1255" i="1"/>
  <c r="E1255" i="1"/>
  <c r="F1255" i="1"/>
  <c r="H1255" i="1"/>
  <c r="A1256" i="1"/>
  <c r="B1256" i="1"/>
  <c r="C1256" i="1"/>
  <c r="D1256" i="1"/>
  <c r="E1256" i="1"/>
  <c r="F1256" i="1"/>
  <c r="H1256" i="1"/>
  <c r="A1257" i="1"/>
  <c r="B1257" i="1"/>
  <c r="C1257" i="1"/>
  <c r="D1257" i="1"/>
  <c r="E1257" i="1"/>
  <c r="F1257" i="1"/>
  <c r="H1257" i="1"/>
  <c r="A1258" i="1"/>
  <c r="B1258" i="1"/>
  <c r="C1258" i="1"/>
  <c r="D1258" i="1"/>
  <c r="E1258" i="1"/>
  <c r="F1258" i="1"/>
  <c r="H1258" i="1"/>
  <c r="A1259" i="1"/>
  <c r="B1259" i="1"/>
  <c r="C1259" i="1"/>
  <c r="D1259" i="1"/>
  <c r="E1259" i="1"/>
  <c r="F1259" i="1"/>
  <c r="H1259" i="1"/>
  <c r="A1260" i="1"/>
  <c r="B1260" i="1"/>
  <c r="C1260" i="1"/>
  <c r="D1260" i="1"/>
  <c r="E1260" i="1"/>
  <c r="F1260" i="1"/>
  <c r="H1260" i="1"/>
  <c r="A1261" i="1"/>
  <c r="B1261" i="1"/>
  <c r="C1261" i="1"/>
  <c r="D1261" i="1"/>
  <c r="E1261" i="1"/>
  <c r="F1261" i="1"/>
  <c r="H1261" i="1"/>
  <c r="A1262" i="1"/>
  <c r="B1262" i="1"/>
  <c r="C1262" i="1"/>
  <c r="D1262" i="1"/>
  <c r="E1262" i="1"/>
  <c r="F1262" i="1"/>
  <c r="H1262" i="1"/>
  <c r="A1263" i="1"/>
  <c r="B1263" i="1"/>
  <c r="C1263" i="1"/>
  <c r="D1263" i="1"/>
  <c r="E1263" i="1"/>
  <c r="F1263" i="1"/>
  <c r="H1263" i="1"/>
  <c r="A1264" i="1"/>
  <c r="B1264" i="1"/>
  <c r="C1264" i="1"/>
  <c r="D1264" i="1"/>
  <c r="E1264" i="1"/>
  <c r="F1264" i="1"/>
  <c r="H1264" i="1"/>
  <c r="A1265" i="1"/>
  <c r="B1265" i="1"/>
  <c r="C1265" i="1"/>
  <c r="D1265" i="1"/>
  <c r="E1265" i="1"/>
  <c r="F1265" i="1"/>
  <c r="H1265" i="1"/>
  <c r="A1266" i="1"/>
  <c r="B1266" i="1"/>
  <c r="C1266" i="1"/>
  <c r="D1266" i="1"/>
  <c r="E1266" i="1"/>
  <c r="F1266" i="1"/>
  <c r="H1266" i="1"/>
  <c r="A1267" i="1"/>
  <c r="B1267" i="1"/>
  <c r="C1267" i="1"/>
  <c r="D1267" i="1"/>
  <c r="E1267" i="1"/>
  <c r="F1267" i="1"/>
  <c r="H1267" i="1"/>
  <c r="A1268" i="1"/>
  <c r="B1268" i="1"/>
  <c r="C1268" i="1"/>
  <c r="D1268" i="1"/>
  <c r="E1268" i="1"/>
  <c r="F1268" i="1"/>
  <c r="H1268" i="1"/>
  <c r="A1269" i="1"/>
  <c r="B1269" i="1"/>
  <c r="C1269" i="1"/>
  <c r="D1269" i="1"/>
  <c r="E1269" i="1"/>
  <c r="F1269" i="1"/>
  <c r="H1269" i="1"/>
  <c r="A1270" i="1"/>
  <c r="B1270" i="1"/>
  <c r="C1270" i="1"/>
  <c r="D1270" i="1"/>
  <c r="E1270" i="1"/>
  <c r="F1270" i="1"/>
  <c r="H1270" i="1"/>
  <c r="A1271" i="1"/>
  <c r="B1271" i="1"/>
  <c r="C1271" i="1"/>
  <c r="D1271" i="1"/>
  <c r="E1271" i="1"/>
  <c r="F1271" i="1"/>
  <c r="H1271" i="1"/>
  <c r="A1272" i="1"/>
  <c r="B1272" i="1"/>
  <c r="C1272" i="1"/>
  <c r="D1272" i="1"/>
  <c r="E1272" i="1"/>
  <c r="F1272" i="1"/>
  <c r="H1272" i="1"/>
  <c r="A1273" i="1"/>
  <c r="B1273" i="1"/>
  <c r="C1273" i="1"/>
  <c r="D1273" i="1"/>
  <c r="E1273" i="1"/>
  <c r="F1273" i="1"/>
  <c r="H1273" i="1"/>
  <c r="A1274" i="1"/>
  <c r="B1274" i="1"/>
  <c r="C1274" i="1"/>
  <c r="D1274" i="1"/>
  <c r="E1274" i="1"/>
  <c r="F1274" i="1"/>
  <c r="H1274" i="1"/>
  <c r="A1275" i="1"/>
  <c r="B1275" i="1"/>
  <c r="C1275" i="1"/>
  <c r="D1275" i="1"/>
  <c r="E1275" i="1"/>
  <c r="F1275" i="1"/>
  <c r="H1275" i="1"/>
  <c r="A1276" i="1"/>
  <c r="B1276" i="1"/>
  <c r="C1276" i="1"/>
  <c r="D1276" i="1"/>
  <c r="E1276" i="1"/>
  <c r="F1276" i="1"/>
  <c r="H1276" i="1"/>
  <c r="A1277" i="1"/>
  <c r="B1277" i="1"/>
  <c r="C1277" i="1"/>
  <c r="D1277" i="1"/>
  <c r="E1277" i="1"/>
  <c r="F1277" i="1"/>
  <c r="H1277" i="1"/>
  <c r="A1278" i="1"/>
  <c r="B1278" i="1"/>
  <c r="C1278" i="1"/>
  <c r="D1278" i="1"/>
  <c r="E1278" i="1"/>
  <c r="F1278" i="1"/>
  <c r="H1278" i="1"/>
  <c r="A1279" i="1"/>
  <c r="B1279" i="1"/>
  <c r="C1279" i="1"/>
  <c r="D1279" i="1"/>
  <c r="E1279" i="1"/>
  <c r="F1279" i="1"/>
  <c r="H1279" i="1"/>
  <c r="A1280" i="1"/>
  <c r="B1280" i="1"/>
  <c r="C1280" i="1"/>
  <c r="D1280" i="1"/>
  <c r="E1280" i="1"/>
  <c r="F1280" i="1"/>
  <c r="H1280" i="1"/>
  <c r="A1281" i="1"/>
  <c r="B1281" i="1"/>
  <c r="C1281" i="1"/>
  <c r="D1281" i="1"/>
  <c r="E1281" i="1"/>
  <c r="F1281" i="1"/>
  <c r="H1281" i="1"/>
  <c r="A1282" i="1"/>
  <c r="B1282" i="1"/>
  <c r="C1282" i="1"/>
  <c r="D1282" i="1"/>
  <c r="E1282" i="1"/>
  <c r="F1282" i="1"/>
  <c r="H1282" i="1"/>
  <c r="A1283" i="1"/>
  <c r="B1283" i="1"/>
  <c r="C1283" i="1"/>
  <c r="D1283" i="1"/>
  <c r="E1283" i="1"/>
  <c r="F1283" i="1"/>
  <c r="H1283" i="1"/>
  <c r="A1284" i="1"/>
  <c r="B1284" i="1"/>
  <c r="C1284" i="1"/>
  <c r="D1284" i="1"/>
  <c r="E1284" i="1"/>
  <c r="F1284" i="1"/>
  <c r="H1284" i="1"/>
  <c r="A1285" i="1"/>
  <c r="B1285" i="1"/>
  <c r="C1285" i="1"/>
  <c r="D1285" i="1"/>
  <c r="E1285" i="1"/>
  <c r="F1285" i="1"/>
  <c r="H1285" i="1"/>
  <c r="A1286" i="1"/>
  <c r="B1286" i="1"/>
  <c r="C1286" i="1"/>
  <c r="D1286" i="1"/>
  <c r="E1286" i="1"/>
  <c r="F1286" i="1"/>
  <c r="H1286" i="1"/>
  <c r="A1287" i="1"/>
  <c r="B1287" i="1"/>
  <c r="C1287" i="1"/>
  <c r="D1287" i="1"/>
  <c r="E1287" i="1"/>
  <c r="F1287" i="1"/>
  <c r="H1287" i="1"/>
  <c r="A1288" i="1"/>
  <c r="B1288" i="1"/>
  <c r="C1288" i="1"/>
  <c r="D1288" i="1"/>
  <c r="E1288" i="1"/>
  <c r="F1288" i="1"/>
  <c r="H1288" i="1"/>
  <c r="A1289" i="1"/>
  <c r="B1289" i="1"/>
  <c r="C1289" i="1"/>
  <c r="D1289" i="1"/>
  <c r="E1289" i="1"/>
  <c r="F1289" i="1"/>
  <c r="H1289" i="1"/>
  <c r="A1290" i="1"/>
  <c r="B1290" i="1"/>
  <c r="C1290" i="1"/>
  <c r="D1290" i="1"/>
  <c r="E1290" i="1"/>
  <c r="F1290" i="1"/>
  <c r="H1290" i="1"/>
  <c r="A1291" i="1"/>
  <c r="B1291" i="1"/>
  <c r="C1291" i="1"/>
  <c r="D1291" i="1"/>
  <c r="E1291" i="1"/>
  <c r="F1291" i="1"/>
  <c r="H1291" i="1"/>
  <c r="A1292" i="1"/>
  <c r="B1292" i="1"/>
  <c r="C1292" i="1"/>
  <c r="D1292" i="1"/>
  <c r="E1292" i="1"/>
  <c r="F1292" i="1"/>
  <c r="H1292" i="1"/>
  <c r="A1293" i="1"/>
  <c r="B1293" i="1"/>
  <c r="C1293" i="1"/>
  <c r="D1293" i="1"/>
  <c r="E1293" i="1"/>
  <c r="F1293" i="1"/>
  <c r="H1293" i="1"/>
  <c r="A1294" i="1"/>
  <c r="B1294" i="1"/>
  <c r="C1294" i="1"/>
  <c r="D1294" i="1"/>
  <c r="E1294" i="1"/>
  <c r="F1294" i="1"/>
  <c r="H1294" i="1"/>
  <c r="A1295" i="1"/>
  <c r="B1295" i="1"/>
  <c r="C1295" i="1"/>
  <c r="D1295" i="1"/>
  <c r="E1295" i="1"/>
  <c r="F1295" i="1"/>
  <c r="H1295" i="1"/>
  <c r="A1296" i="1"/>
  <c r="B1296" i="1"/>
  <c r="C1296" i="1"/>
  <c r="D1296" i="1"/>
  <c r="E1296" i="1"/>
  <c r="F1296" i="1"/>
  <c r="H1296" i="1"/>
  <c r="A1297" i="1"/>
  <c r="B1297" i="1"/>
  <c r="C1297" i="1"/>
  <c r="D1297" i="1"/>
  <c r="E1297" i="1"/>
  <c r="F1297" i="1"/>
  <c r="H1297" i="1"/>
  <c r="A1298" i="1"/>
  <c r="B1298" i="1"/>
  <c r="C1298" i="1"/>
  <c r="D1298" i="1"/>
  <c r="E1298" i="1"/>
  <c r="F1298" i="1"/>
  <c r="H1298" i="1"/>
  <c r="A1299" i="1"/>
  <c r="B1299" i="1"/>
  <c r="C1299" i="1"/>
  <c r="D1299" i="1"/>
  <c r="E1299" i="1"/>
  <c r="F1299" i="1"/>
  <c r="H1299" i="1"/>
  <c r="A1300" i="1"/>
  <c r="B1300" i="1"/>
  <c r="C1300" i="1"/>
  <c r="D1300" i="1"/>
  <c r="E1300" i="1"/>
  <c r="F1300" i="1"/>
  <c r="H1300" i="1"/>
  <c r="A1301" i="1"/>
  <c r="B1301" i="1"/>
  <c r="C1301" i="1"/>
  <c r="D1301" i="1"/>
  <c r="E1301" i="1"/>
  <c r="F1301" i="1"/>
  <c r="H1301" i="1"/>
  <c r="A1302" i="1"/>
  <c r="B1302" i="1"/>
  <c r="C1302" i="1"/>
  <c r="D1302" i="1"/>
  <c r="E1302" i="1"/>
  <c r="F1302" i="1"/>
  <c r="H1302" i="1"/>
  <c r="A1303" i="1"/>
  <c r="B1303" i="1"/>
  <c r="C1303" i="1"/>
  <c r="D1303" i="1"/>
  <c r="E1303" i="1"/>
  <c r="F1303" i="1"/>
  <c r="H1303" i="1"/>
  <c r="A1304" i="1"/>
  <c r="B1304" i="1"/>
  <c r="C1304" i="1"/>
  <c r="D1304" i="1"/>
  <c r="E1304" i="1"/>
  <c r="F1304" i="1"/>
  <c r="H1304" i="1"/>
  <c r="A1305" i="1"/>
  <c r="B1305" i="1"/>
  <c r="C1305" i="1"/>
  <c r="D1305" i="1"/>
  <c r="E1305" i="1"/>
  <c r="F1305" i="1"/>
  <c r="H1305" i="1"/>
  <c r="A1306" i="1"/>
  <c r="B1306" i="1"/>
  <c r="C1306" i="1"/>
  <c r="D1306" i="1"/>
  <c r="E1306" i="1"/>
  <c r="F1306" i="1"/>
  <c r="H1306" i="1"/>
  <c r="A1307" i="1"/>
  <c r="B1307" i="1"/>
  <c r="C1307" i="1"/>
  <c r="D1307" i="1"/>
  <c r="E1307" i="1"/>
  <c r="F1307" i="1"/>
  <c r="H1307" i="1"/>
  <c r="A1308" i="1"/>
  <c r="B1308" i="1"/>
  <c r="C1308" i="1"/>
  <c r="D1308" i="1"/>
  <c r="E1308" i="1"/>
  <c r="F1308" i="1"/>
  <c r="H1308" i="1"/>
  <c r="A1309" i="1"/>
  <c r="B1309" i="1"/>
  <c r="C1309" i="1"/>
  <c r="D1309" i="1"/>
  <c r="E1309" i="1"/>
  <c r="F1309" i="1"/>
  <c r="H1309" i="1"/>
  <c r="A1310" i="1"/>
  <c r="B1310" i="1"/>
  <c r="C1310" i="1"/>
  <c r="D1310" i="1"/>
  <c r="E1310" i="1"/>
  <c r="F1310" i="1"/>
  <c r="H1310" i="1"/>
  <c r="A1311" i="1"/>
  <c r="B1311" i="1"/>
  <c r="C1311" i="1"/>
  <c r="D1311" i="1"/>
  <c r="E1311" i="1"/>
  <c r="F1311" i="1"/>
  <c r="H1311" i="1"/>
  <c r="A1312" i="1"/>
  <c r="B1312" i="1"/>
  <c r="C1312" i="1"/>
  <c r="D1312" i="1"/>
  <c r="E1312" i="1"/>
  <c r="F1312" i="1"/>
  <c r="H1312" i="1"/>
  <c r="A1313" i="1"/>
  <c r="B1313" i="1"/>
  <c r="C1313" i="1"/>
  <c r="D1313" i="1"/>
  <c r="E1313" i="1"/>
  <c r="F1313" i="1"/>
  <c r="H1313" i="1"/>
  <c r="A1314" i="1"/>
  <c r="B1314" i="1"/>
  <c r="C1314" i="1"/>
  <c r="D1314" i="1"/>
  <c r="E1314" i="1"/>
  <c r="F1314" i="1"/>
  <c r="H1314" i="1"/>
  <c r="A1315" i="1"/>
  <c r="B1315" i="1"/>
  <c r="C1315" i="1"/>
  <c r="D1315" i="1"/>
  <c r="E1315" i="1"/>
  <c r="F1315" i="1"/>
  <c r="H1315" i="1"/>
  <c r="A1316" i="1"/>
  <c r="B1316" i="1"/>
  <c r="C1316" i="1"/>
  <c r="D1316" i="1"/>
  <c r="E1316" i="1"/>
  <c r="F1316" i="1"/>
  <c r="H1316" i="1"/>
  <c r="A1317" i="1"/>
  <c r="B1317" i="1"/>
  <c r="C1317" i="1"/>
  <c r="D1317" i="1"/>
  <c r="E1317" i="1"/>
  <c r="F1317" i="1"/>
  <c r="H1317" i="1"/>
  <c r="A1318" i="1"/>
  <c r="B1318" i="1"/>
  <c r="C1318" i="1"/>
  <c r="D1318" i="1"/>
  <c r="E1318" i="1"/>
  <c r="F1318" i="1"/>
  <c r="H1318" i="1"/>
  <c r="A1319" i="1"/>
  <c r="B1319" i="1"/>
  <c r="C1319" i="1"/>
  <c r="D1319" i="1"/>
  <c r="E1319" i="1"/>
  <c r="F1319" i="1"/>
  <c r="H1319" i="1"/>
  <c r="A1320" i="1"/>
  <c r="B1320" i="1"/>
  <c r="C1320" i="1"/>
  <c r="D1320" i="1"/>
  <c r="E1320" i="1"/>
  <c r="F1320" i="1"/>
  <c r="H1320" i="1"/>
  <c r="A1321" i="1"/>
  <c r="B1321" i="1"/>
  <c r="C1321" i="1"/>
  <c r="D1321" i="1"/>
  <c r="E1321" i="1"/>
  <c r="F1321" i="1"/>
  <c r="H1321" i="1"/>
  <c r="A1322" i="1"/>
  <c r="B1322" i="1"/>
  <c r="C1322" i="1"/>
  <c r="D1322" i="1"/>
  <c r="E1322" i="1"/>
  <c r="F1322" i="1"/>
  <c r="H1322" i="1"/>
  <c r="A1323" i="1"/>
  <c r="B1323" i="1"/>
  <c r="C1323" i="1"/>
  <c r="D1323" i="1"/>
  <c r="E1323" i="1"/>
  <c r="F1323" i="1"/>
  <c r="H1323" i="1"/>
  <c r="A1324" i="1"/>
  <c r="B1324" i="1"/>
  <c r="C1324" i="1"/>
  <c r="D1324" i="1"/>
  <c r="E1324" i="1"/>
  <c r="F1324" i="1"/>
  <c r="H1324" i="1"/>
  <c r="A1325" i="1"/>
  <c r="B1325" i="1"/>
  <c r="C1325" i="1"/>
  <c r="D1325" i="1"/>
  <c r="E1325" i="1"/>
  <c r="F1325" i="1"/>
  <c r="H1325" i="1"/>
  <c r="A1326" i="1"/>
  <c r="B1326" i="1"/>
  <c r="C1326" i="1"/>
  <c r="D1326" i="1"/>
  <c r="E1326" i="1"/>
  <c r="F1326" i="1"/>
  <c r="H1326" i="1"/>
  <c r="A1327" i="1"/>
  <c r="B1327" i="1"/>
  <c r="C1327" i="1"/>
  <c r="D1327" i="1"/>
  <c r="E1327" i="1"/>
  <c r="F1327" i="1"/>
  <c r="H1327" i="1"/>
  <c r="A1328" i="1"/>
  <c r="B1328" i="1"/>
  <c r="C1328" i="1"/>
  <c r="D1328" i="1"/>
  <c r="E1328" i="1"/>
  <c r="F1328" i="1"/>
  <c r="H1328" i="1"/>
  <c r="A1329" i="1"/>
  <c r="B1329" i="1"/>
  <c r="C1329" i="1"/>
  <c r="D1329" i="1"/>
  <c r="E1329" i="1"/>
  <c r="F1329" i="1"/>
  <c r="H1329" i="1"/>
  <c r="A1330" i="1"/>
  <c r="B1330" i="1"/>
  <c r="C1330" i="1"/>
  <c r="D1330" i="1"/>
  <c r="E1330" i="1"/>
  <c r="F1330" i="1"/>
  <c r="H1330" i="1"/>
  <c r="A1331" i="1"/>
  <c r="B1331" i="1"/>
  <c r="C1331" i="1"/>
  <c r="D1331" i="1"/>
  <c r="E1331" i="1"/>
  <c r="F1331" i="1"/>
  <c r="H1331" i="1"/>
  <c r="A1332" i="1"/>
  <c r="B1332" i="1"/>
  <c r="C1332" i="1"/>
  <c r="D1332" i="1"/>
  <c r="E1332" i="1"/>
  <c r="F1332" i="1"/>
  <c r="H1332" i="1"/>
  <c r="A1333" i="1"/>
  <c r="B1333" i="1"/>
  <c r="C1333" i="1"/>
  <c r="D1333" i="1"/>
  <c r="E1333" i="1"/>
  <c r="F1333" i="1"/>
  <c r="H1333" i="1"/>
  <c r="A1334" i="1"/>
  <c r="B1334" i="1"/>
  <c r="C1334" i="1"/>
  <c r="D1334" i="1"/>
  <c r="E1334" i="1"/>
  <c r="F1334" i="1"/>
  <c r="H1334" i="1"/>
  <c r="A1335" i="1"/>
  <c r="B1335" i="1"/>
  <c r="C1335" i="1"/>
  <c r="D1335" i="1"/>
  <c r="E1335" i="1"/>
  <c r="F1335" i="1"/>
  <c r="H1335" i="1"/>
  <c r="A1336" i="1"/>
  <c r="B1336" i="1"/>
  <c r="C1336" i="1"/>
  <c r="D1336" i="1"/>
  <c r="E1336" i="1"/>
  <c r="F1336" i="1"/>
  <c r="H1336" i="1"/>
  <c r="A1337" i="1"/>
  <c r="B1337" i="1"/>
  <c r="C1337" i="1"/>
  <c r="D1337" i="1"/>
  <c r="E1337" i="1"/>
  <c r="F1337" i="1"/>
  <c r="H1337" i="1"/>
  <c r="A1338" i="1"/>
  <c r="B1338" i="1"/>
  <c r="C1338" i="1"/>
  <c r="D1338" i="1"/>
  <c r="E1338" i="1"/>
  <c r="F1338" i="1"/>
  <c r="H1338" i="1"/>
  <c r="A1339" i="1"/>
  <c r="B1339" i="1"/>
  <c r="C1339" i="1"/>
  <c r="D1339" i="1"/>
  <c r="E1339" i="1"/>
  <c r="F1339" i="1"/>
  <c r="H1339" i="1"/>
  <c r="A1340" i="1"/>
  <c r="B1340" i="1"/>
  <c r="C1340" i="1"/>
  <c r="D1340" i="1"/>
  <c r="E1340" i="1"/>
  <c r="F1340" i="1"/>
  <c r="H1340" i="1"/>
  <c r="A1341" i="1"/>
  <c r="B1341" i="1"/>
  <c r="C1341" i="1"/>
  <c r="D1341" i="1"/>
  <c r="E1341" i="1"/>
  <c r="F1341" i="1"/>
  <c r="H1341" i="1"/>
  <c r="A1342" i="1"/>
  <c r="B1342" i="1"/>
  <c r="C1342" i="1"/>
  <c r="D1342" i="1"/>
  <c r="E1342" i="1"/>
  <c r="F1342" i="1"/>
  <c r="H1342" i="1"/>
  <c r="A1343" i="1"/>
  <c r="B1343" i="1"/>
  <c r="C1343" i="1"/>
  <c r="D1343" i="1"/>
  <c r="E1343" i="1"/>
  <c r="F1343" i="1"/>
  <c r="H1343" i="1"/>
  <c r="A1344" i="1"/>
  <c r="B1344" i="1"/>
  <c r="C1344" i="1"/>
  <c r="D1344" i="1"/>
  <c r="E1344" i="1"/>
  <c r="F1344" i="1"/>
  <c r="H1344" i="1"/>
  <c r="A1345" i="1"/>
  <c r="B1345" i="1"/>
  <c r="C1345" i="1"/>
  <c r="D1345" i="1"/>
  <c r="E1345" i="1"/>
  <c r="F1345" i="1"/>
  <c r="H1345" i="1"/>
  <c r="A1346" i="1"/>
  <c r="B1346" i="1"/>
  <c r="C1346" i="1"/>
  <c r="D1346" i="1"/>
  <c r="E1346" i="1"/>
  <c r="F1346" i="1"/>
  <c r="H1346" i="1"/>
  <c r="A1347" i="1"/>
  <c r="B1347" i="1"/>
  <c r="C1347" i="1"/>
  <c r="D1347" i="1"/>
  <c r="E1347" i="1"/>
  <c r="F1347" i="1"/>
  <c r="H1347" i="1"/>
  <c r="A1348" i="1"/>
  <c r="B1348" i="1"/>
  <c r="C1348" i="1"/>
  <c r="D1348" i="1"/>
  <c r="E1348" i="1"/>
  <c r="F1348" i="1"/>
  <c r="H1348" i="1"/>
  <c r="A1349" i="1"/>
  <c r="B1349" i="1"/>
  <c r="C1349" i="1"/>
  <c r="D1349" i="1"/>
  <c r="E1349" i="1"/>
  <c r="F1349" i="1"/>
  <c r="H1349" i="1"/>
  <c r="A1350" i="1"/>
  <c r="B1350" i="1"/>
  <c r="C1350" i="1"/>
  <c r="D1350" i="1"/>
  <c r="E1350" i="1"/>
  <c r="F1350" i="1"/>
  <c r="H1350" i="1"/>
  <c r="A1351" i="1"/>
  <c r="B1351" i="1"/>
  <c r="C1351" i="1"/>
  <c r="D1351" i="1"/>
  <c r="E1351" i="1"/>
  <c r="F1351" i="1"/>
  <c r="H1351" i="1"/>
  <c r="A1352" i="1"/>
  <c r="B1352" i="1"/>
  <c r="C1352" i="1"/>
  <c r="D1352" i="1"/>
  <c r="E1352" i="1"/>
  <c r="F1352" i="1"/>
  <c r="H1352" i="1"/>
  <c r="A1353" i="1"/>
  <c r="B1353" i="1"/>
  <c r="C1353" i="1"/>
  <c r="D1353" i="1"/>
  <c r="E1353" i="1"/>
  <c r="F1353" i="1"/>
  <c r="H1353" i="1"/>
  <c r="A1354" i="1"/>
  <c r="B1354" i="1"/>
  <c r="C1354" i="1"/>
  <c r="D1354" i="1"/>
  <c r="E1354" i="1"/>
  <c r="F1354" i="1"/>
  <c r="H1354" i="1"/>
  <c r="A1355" i="1"/>
  <c r="B1355" i="1"/>
  <c r="C1355" i="1"/>
  <c r="D1355" i="1"/>
  <c r="E1355" i="1"/>
  <c r="F1355" i="1"/>
  <c r="H1355" i="1"/>
  <c r="A1356" i="1"/>
  <c r="B1356" i="1"/>
  <c r="C1356" i="1"/>
  <c r="D1356" i="1"/>
  <c r="E1356" i="1"/>
  <c r="F1356" i="1"/>
  <c r="H1356" i="1"/>
  <c r="A1357" i="1"/>
  <c r="B1357" i="1"/>
  <c r="C1357" i="1"/>
  <c r="D1357" i="1"/>
  <c r="E1357" i="1"/>
  <c r="F1357" i="1"/>
  <c r="H1357" i="1"/>
  <c r="A1358" i="1"/>
  <c r="B1358" i="1"/>
  <c r="C1358" i="1"/>
  <c r="D1358" i="1"/>
  <c r="E1358" i="1"/>
  <c r="F1358" i="1"/>
  <c r="H1358" i="1"/>
  <c r="A1359" i="1"/>
  <c r="B1359" i="1"/>
  <c r="C1359" i="1"/>
  <c r="D1359" i="1"/>
  <c r="E1359" i="1"/>
  <c r="F1359" i="1"/>
  <c r="H1359" i="1"/>
  <c r="A1360" i="1"/>
  <c r="B1360" i="1"/>
  <c r="C1360" i="1"/>
  <c r="D1360" i="1"/>
  <c r="E1360" i="1"/>
  <c r="F1360" i="1"/>
  <c r="H1360" i="1"/>
  <c r="A1361" i="1"/>
  <c r="B1361" i="1"/>
  <c r="C1361" i="1"/>
  <c r="D1361" i="1"/>
  <c r="E1361" i="1"/>
  <c r="F1361" i="1"/>
  <c r="H1361" i="1"/>
  <c r="A1362" i="1"/>
  <c r="B1362" i="1"/>
  <c r="C1362" i="1"/>
  <c r="D1362" i="1"/>
  <c r="E1362" i="1"/>
  <c r="F1362" i="1"/>
  <c r="H1362" i="1"/>
  <c r="A1363" i="1"/>
  <c r="B1363" i="1"/>
  <c r="C1363" i="1"/>
  <c r="D1363" i="1"/>
  <c r="E1363" i="1"/>
  <c r="F1363" i="1"/>
  <c r="H1363" i="1"/>
  <c r="A1364" i="1"/>
  <c r="B1364" i="1"/>
  <c r="C1364" i="1"/>
  <c r="D1364" i="1"/>
  <c r="E1364" i="1"/>
  <c r="F1364" i="1"/>
  <c r="H1364" i="1"/>
  <c r="A1365" i="1"/>
  <c r="B1365" i="1"/>
  <c r="C1365" i="1"/>
  <c r="D1365" i="1"/>
  <c r="E1365" i="1"/>
  <c r="F1365" i="1"/>
  <c r="H1365" i="1"/>
  <c r="A1366" i="1"/>
  <c r="B1366" i="1"/>
  <c r="C1366" i="1"/>
  <c r="D1366" i="1"/>
  <c r="E1366" i="1"/>
  <c r="F1366" i="1"/>
  <c r="H1366" i="1"/>
  <c r="A1367" i="1"/>
  <c r="B1367" i="1"/>
  <c r="C1367" i="1"/>
  <c r="D1367" i="1"/>
  <c r="E1367" i="1"/>
  <c r="F1367" i="1"/>
  <c r="H1367" i="1"/>
  <c r="A1368" i="1"/>
  <c r="B1368" i="1"/>
  <c r="C1368" i="1"/>
  <c r="D1368" i="1"/>
  <c r="E1368" i="1"/>
  <c r="F1368" i="1"/>
  <c r="H1368" i="1"/>
  <c r="A1369" i="1"/>
  <c r="B1369" i="1"/>
  <c r="C1369" i="1"/>
  <c r="D1369" i="1"/>
  <c r="E1369" i="1"/>
  <c r="F1369" i="1"/>
  <c r="H1369" i="1"/>
  <c r="A1370" i="1"/>
  <c r="B1370" i="1"/>
  <c r="C1370" i="1"/>
  <c r="D1370" i="1"/>
  <c r="E1370" i="1"/>
  <c r="F1370" i="1"/>
  <c r="H1370" i="1"/>
  <c r="A1371" i="1"/>
  <c r="B1371" i="1"/>
  <c r="C1371" i="1"/>
  <c r="D1371" i="1"/>
  <c r="E1371" i="1"/>
  <c r="F1371" i="1"/>
  <c r="H1371" i="1"/>
  <c r="A1372" i="1"/>
  <c r="B1372" i="1"/>
  <c r="C1372" i="1"/>
  <c r="D1372" i="1"/>
  <c r="E1372" i="1"/>
  <c r="F1372" i="1"/>
  <c r="H1372" i="1"/>
  <c r="A1373" i="1"/>
  <c r="B1373" i="1"/>
  <c r="C1373" i="1"/>
  <c r="D1373" i="1"/>
  <c r="E1373" i="1"/>
  <c r="F1373" i="1"/>
  <c r="H1373" i="1"/>
  <c r="A1374" i="1"/>
  <c r="B1374" i="1"/>
  <c r="C1374" i="1"/>
  <c r="D1374" i="1"/>
  <c r="E1374" i="1"/>
  <c r="F1374" i="1"/>
  <c r="H1374" i="1"/>
  <c r="A1375" i="1"/>
  <c r="B1375" i="1"/>
  <c r="C1375" i="1"/>
  <c r="D1375" i="1"/>
  <c r="E1375" i="1"/>
  <c r="F1375" i="1"/>
  <c r="H1375" i="1"/>
  <c r="A1376" i="1"/>
  <c r="B1376" i="1"/>
  <c r="C1376" i="1"/>
  <c r="D1376" i="1"/>
  <c r="E1376" i="1"/>
  <c r="F1376" i="1"/>
  <c r="H1376" i="1"/>
  <c r="A1377" i="1"/>
  <c r="B1377" i="1"/>
  <c r="C1377" i="1"/>
  <c r="D1377" i="1"/>
  <c r="E1377" i="1"/>
  <c r="F1377" i="1"/>
  <c r="H1377" i="1"/>
  <c r="A1378" i="1"/>
  <c r="B1378" i="1"/>
  <c r="C1378" i="1"/>
  <c r="D1378" i="1"/>
  <c r="E1378" i="1"/>
  <c r="F1378" i="1"/>
  <c r="H1378" i="1"/>
  <c r="A1379" i="1"/>
  <c r="B1379" i="1"/>
  <c r="C1379" i="1"/>
  <c r="D1379" i="1"/>
  <c r="E1379" i="1"/>
  <c r="F1379" i="1"/>
  <c r="H1379" i="1"/>
  <c r="A1380" i="1"/>
  <c r="B1380" i="1"/>
  <c r="C1380" i="1"/>
  <c r="D1380" i="1"/>
  <c r="E1380" i="1"/>
  <c r="F1380" i="1"/>
  <c r="H1380" i="1"/>
  <c r="A1381" i="1"/>
  <c r="B1381" i="1"/>
  <c r="C1381" i="1"/>
  <c r="D1381" i="1"/>
  <c r="E1381" i="1"/>
  <c r="F1381" i="1"/>
  <c r="H1381" i="1"/>
  <c r="A1382" i="1"/>
  <c r="B1382" i="1"/>
  <c r="C1382" i="1"/>
  <c r="D1382" i="1"/>
  <c r="E1382" i="1"/>
  <c r="F1382" i="1"/>
  <c r="H1382" i="1"/>
  <c r="A1383" i="1"/>
  <c r="B1383" i="1"/>
  <c r="C1383" i="1"/>
  <c r="D1383" i="1"/>
  <c r="E1383" i="1"/>
  <c r="F1383" i="1"/>
  <c r="H1383" i="1"/>
  <c r="A1384" i="1"/>
  <c r="B1384" i="1"/>
  <c r="C1384" i="1"/>
  <c r="D1384" i="1"/>
  <c r="E1384" i="1"/>
  <c r="F1384" i="1"/>
  <c r="H1384" i="1"/>
  <c r="A1385" i="1"/>
  <c r="B1385" i="1"/>
  <c r="C1385" i="1"/>
  <c r="D1385" i="1"/>
  <c r="E1385" i="1"/>
  <c r="F1385" i="1"/>
  <c r="H1385" i="1"/>
  <c r="A1386" i="1"/>
  <c r="B1386" i="1"/>
  <c r="C1386" i="1"/>
  <c r="D1386" i="1"/>
  <c r="E1386" i="1"/>
  <c r="F1386" i="1"/>
  <c r="H1386" i="1"/>
  <c r="A1387" i="1"/>
  <c r="B1387" i="1"/>
  <c r="C1387" i="1"/>
  <c r="D1387" i="1"/>
  <c r="E1387" i="1"/>
  <c r="F1387" i="1"/>
  <c r="H1387" i="1"/>
  <c r="A1388" i="1"/>
  <c r="B1388" i="1"/>
  <c r="C1388" i="1"/>
  <c r="D1388" i="1"/>
  <c r="E1388" i="1"/>
  <c r="F1388" i="1"/>
  <c r="H1388" i="1"/>
  <c r="A1389" i="1"/>
  <c r="B1389" i="1"/>
  <c r="C1389" i="1"/>
  <c r="D1389" i="1"/>
  <c r="E1389" i="1"/>
  <c r="F1389" i="1"/>
  <c r="H1389" i="1"/>
  <c r="A1390" i="1"/>
  <c r="B1390" i="1"/>
  <c r="C1390" i="1"/>
  <c r="D1390" i="1"/>
  <c r="E1390" i="1"/>
  <c r="F1390" i="1"/>
  <c r="H1390" i="1"/>
  <c r="A1391" i="1"/>
  <c r="B1391" i="1"/>
  <c r="C1391" i="1"/>
  <c r="D1391" i="1"/>
  <c r="E1391" i="1"/>
  <c r="F1391" i="1"/>
  <c r="H1391" i="1"/>
  <c r="A1392" i="1"/>
  <c r="B1392" i="1"/>
  <c r="C1392" i="1"/>
  <c r="D1392" i="1"/>
  <c r="E1392" i="1"/>
  <c r="F1392" i="1"/>
  <c r="H1392" i="1"/>
  <c r="A1393" i="1"/>
  <c r="B1393" i="1"/>
  <c r="C1393" i="1"/>
  <c r="D1393" i="1"/>
  <c r="E1393" i="1"/>
  <c r="F1393" i="1"/>
  <c r="H1393" i="1"/>
  <c r="A1394" i="1"/>
  <c r="B1394" i="1"/>
  <c r="C1394" i="1"/>
  <c r="D1394" i="1"/>
  <c r="E1394" i="1"/>
  <c r="F1394" i="1"/>
  <c r="H1394" i="1"/>
  <c r="A1395" i="1"/>
  <c r="B1395" i="1"/>
  <c r="C1395" i="1"/>
  <c r="D1395" i="1"/>
  <c r="E1395" i="1"/>
  <c r="F1395" i="1"/>
  <c r="H1395" i="1"/>
  <c r="A1396" i="1"/>
  <c r="B1396" i="1"/>
  <c r="C1396" i="1"/>
  <c r="D1396" i="1"/>
  <c r="E1396" i="1"/>
  <c r="F1396" i="1"/>
  <c r="H1396" i="1"/>
  <c r="A1397" i="1"/>
  <c r="B1397" i="1"/>
  <c r="C1397" i="1"/>
  <c r="D1397" i="1"/>
  <c r="E1397" i="1"/>
  <c r="F1397" i="1"/>
  <c r="H1397" i="1"/>
  <c r="A1398" i="1"/>
  <c r="B1398" i="1"/>
  <c r="C1398" i="1"/>
  <c r="D1398" i="1"/>
  <c r="E1398" i="1"/>
  <c r="F1398" i="1"/>
  <c r="H1398" i="1"/>
  <c r="A1399" i="1"/>
  <c r="B1399" i="1"/>
  <c r="C1399" i="1"/>
  <c r="D1399" i="1"/>
  <c r="E1399" i="1"/>
  <c r="F1399" i="1"/>
  <c r="H1399" i="1"/>
  <c r="A1400" i="1"/>
  <c r="B1400" i="1"/>
  <c r="C1400" i="1"/>
  <c r="D1400" i="1"/>
  <c r="E1400" i="1"/>
  <c r="F1400" i="1"/>
  <c r="H1400" i="1"/>
  <c r="A1401" i="1"/>
  <c r="B1401" i="1"/>
  <c r="C1401" i="1"/>
  <c r="D1401" i="1"/>
  <c r="E1401" i="1"/>
  <c r="F1401" i="1"/>
  <c r="H1401" i="1"/>
  <c r="A1402" i="1"/>
  <c r="B1402" i="1"/>
  <c r="C1402" i="1"/>
  <c r="D1402" i="1"/>
  <c r="E1402" i="1"/>
  <c r="F1402" i="1"/>
  <c r="H1402" i="1"/>
  <c r="A1403" i="1"/>
  <c r="B1403" i="1"/>
  <c r="C1403" i="1"/>
  <c r="D1403" i="1"/>
  <c r="E1403" i="1"/>
  <c r="F1403" i="1"/>
  <c r="H1403" i="1"/>
  <c r="A1404" i="1"/>
  <c r="B1404" i="1"/>
  <c r="C1404" i="1"/>
  <c r="D1404" i="1"/>
  <c r="E1404" i="1"/>
  <c r="F1404" i="1"/>
  <c r="H1404" i="1"/>
  <c r="A1405" i="1"/>
  <c r="B1405" i="1"/>
  <c r="C1405" i="1"/>
  <c r="D1405" i="1"/>
  <c r="E1405" i="1"/>
  <c r="F1405" i="1"/>
  <c r="H1405" i="1"/>
  <c r="A1406" i="1"/>
  <c r="B1406" i="1"/>
  <c r="C1406" i="1"/>
  <c r="D1406" i="1"/>
  <c r="E1406" i="1"/>
  <c r="F1406" i="1"/>
  <c r="H1406" i="1"/>
  <c r="A1407" i="1"/>
  <c r="B1407" i="1"/>
  <c r="C1407" i="1"/>
  <c r="D1407" i="1"/>
  <c r="E1407" i="1"/>
  <c r="F1407" i="1"/>
  <c r="H1407" i="1"/>
  <c r="A1408" i="1"/>
  <c r="B1408" i="1"/>
  <c r="C1408" i="1"/>
  <c r="D1408" i="1"/>
  <c r="E1408" i="1"/>
  <c r="F1408" i="1"/>
  <c r="H1408" i="1"/>
  <c r="A1409" i="1"/>
  <c r="B1409" i="1"/>
  <c r="C1409" i="1"/>
  <c r="D1409" i="1"/>
  <c r="E1409" i="1"/>
  <c r="F1409" i="1"/>
  <c r="H1409" i="1"/>
  <c r="A1410" i="1"/>
  <c r="B1410" i="1"/>
  <c r="C1410" i="1"/>
  <c r="D1410" i="1"/>
  <c r="E1410" i="1"/>
  <c r="F1410" i="1"/>
  <c r="H1410" i="1"/>
  <c r="A1411" i="1"/>
  <c r="B1411" i="1"/>
  <c r="C1411" i="1"/>
  <c r="D1411" i="1"/>
  <c r="E1411" i="1"/>
  <c r="F1411" i="1"/>
  <c r="H1411" i="1"/>
  <c r="A1412" i="1"/>
  <c r="B1412" i="1"/>
  <c r="C1412" i="1"/>
  <c r="D1412" i="1"/>
  <c r="E1412" i="1"/>
  <c r="F1412" i="1"/>
  <c r="H1412" i="1"/>
  <c r="A1413" i="1"/>
  <c r="B1413" i="1"/>
  <c r="C1413" i="1"/>
  <c r="D1413" i="1"/>
  <c r="E1413" i="1"/>
  <c r="F1413" i="1"/>
  <c r="H1413" i="1"/>
  <c r="A1414" i="1"/>
  <c r="B1414" i="1"/>
  <c r="C1414" i="1"/>
  <c r="D1414" i="1"/>
  <c r="E1414" i="1"/>
  <c r="F1414" i="1"/>
  <c r="H1414" i="1"/>
  <c r="A1415" i="1"/>
  <c r="B1415" i="1"/>
  <c r="C1415" i="1"/>
  <c r="D1415" i="1"/>
  <c r="E1415" i="1"/>
  <c r="F1415" i="1"/>
  <c r="H1415" i="1"/>
  <c r="A1416" i="1"/>
  <c r="B1416" i="1"/>
  <c r="C1416" i="1"/>
  <c r="D1416" i="1"/>
  <c r="E1416" i="1"/>
  <c r="F1416" i="1"/>
  <c r="H1416" i="1"/>
  <c r="A1417" i="1"/>
  <c r="B1417" i="1"/>
  <c r="C1417" i="1"/>
  <c r="D1417" i="1"/>
  <c r="E1417" i="1"/>
  <c r="F1417" i="1"/>
  <c r="H1417" i="1"/>
  <c r="A1418" i="1"/>
  <c r="B1418" i="1"/>
  <c r="C1418" i="1"/>
  <c r="D1418" i="1"/>
  <c r="E1418" i="1"/>
  <c r="F1418" i="1"/>
  <c r="H1418" i="1"/>
  <c r="A1419" i="1"/>
  <c r="B1419" i="1"/>
  <c r="C1419" i="1"/>
  <c r="D1419" i="1"/>
  <c r="E1419" i="1"/>
  <c r="F1419" i="1"/>
  <c r="H1419" i="1"/>
  <c r="A1420" i="1"/>
  <c r="B1420" i="1"/>
  <c r="C1420" i="1"/>
  <c r="D1420" i="1"/>
  <c r="E1420" i="1"/>
  <c r="F1420" i="1"/>
  <c r="H1420" i="1"/>
  <c r="A1421" i="1"/>
  <c r="B1421" i="1"/>
  <c r="C1421" i="1"/>
  <c r="D1421" i="1"/>
  <c r="E1421" i="1"/>
  <c r="F1421" i="1"/>
  <c r="H1421" i="1"/>
  <c r="A1422" i="1"/>
  <c r="B1422" i="1"/>
  <c r="C1422" i="1"/>
  <c r="D1422" i="1"/>
  <c r="E1422" i="1"/>
  <c r="F1422" i="1"/>
  <c r="H1422" i="1"/>
  <c r="A1423" i="1"/>
  <c r="B1423" i="1"/>
  <c r="C1423" i="1"/>
  <c r="D1423" i="1"/>
  <c r="E1423" i="1"/>
  <c r="F1423" i="1"/>
  <c r="H1423" i="1"/>
  <c r="A1424" i="1"/>
  <c r="B1424" i="1"/>
  <c r="C1424" i="1"/>
  <c r="D1424" i="1"/>
  <c r="E1424" i="1"/>
  <c r="F1424" i="1"/>
  <c r="H1424" i="1"/>
  <c r="A1425" i="1"/>
  <c r="B1425" i="1"/>
  <c r="C1425" i="1"/>
  <c r="D1425" i="1"/>
  <c r="E1425" i="1"/>
  <c r="F1425" i="1"/>
  <c r="H1425" i="1"/>
  <c r="A1426" i="1"/>
  <c r="B1426" i="1"/>
  <c r="C1426" i="1"/>
  <c r="D1426" i="1"/>
  <c r="E1426" i="1"/>
  <c r="F1426" i="1"/>
  <c r="H1426" i="1"/>
  <c r="A1427" i="1"/>
  <c r="B1427" i="1"/>
  <c r="C1427" i="1"/>
  <c r="D1427" i="1"/>
  <c r="E1427" i="1"/>
  <c r="F1427" i="1"/>
  <c r="H1427" i="1"/>
  <c r="A1428" i="1"/>
  <c r="B1428" i="1"/>
  <c r="C1428" i="1"/>
  <c r="D1428" i="1"/>
  <c r="E1428" i="1"/>
  <c r="F1428" i="1"/>
  <c r="H1428" i="1"/>
  <c r="A1429" i="1"/>
  <c r="B1429" i="1"/>
  <c r="C1429" i="1"/>
  <c r="D1429" i="1"/>
  <c r="E1429" i="1"/>
  <c r="F1429" i="1"/>
  <c r="H1429" i="1"/>
  <c r="A1430" i="1"/>
  <c r="B1430" i="1"/>
  <c r="C1430" i="1"/>
  <c r="D1430" i="1"/>
  <c r="E1430" i="1"/>
  <c r="F1430" i="1"/>
  <c r="H1430" i="1"/>
  <c r="A1431" i="1"/>
  <c r="B1431" i="1"/>
  <c r="C1431" i="1"/>
  <c r="D1431" i="1"/>
  <c r="E1431" i="1"/>
  <c r="F1431" i="1"/>
  <c r="H1431" i="1"/>
  <c r="A1432" i="1"/>
  <c r="B1432" i="1"/>
  <c r="C1432" i="1"/>
  <c r="D1432" i="1"/>
  <c r="E1432" i="1"/>
  <c r="F1432" i="1"/>
  <c r="H1432" i="1"/>
  <c r="A1433" i="1"/>
  <c r="B1433" i="1"/>
  <c r="C1433" i="1"/>
  <c r="D1433" i="1"/>
  <c r="E1433" i="1"/>
  <c r="F1433" i="1"/>
  <c r="H1433" i="1"/>
  <c r="A1434" i="1"/>
  <c r="B1434" i="1"/>
  <c r="C1434" i="1"/>
  <c r="D1434" i="1"/>
  <c r="E1434" i="1"/>
  <c r="F1434" i="1"/>
  <c r="H1434" i="1"/>
  <c r="A1435" i="1"/>
  <c r="B1435" i="1"/>
  <c r="C1435" i="1"/>
  <c r="D1435" i="1"/>
  <c r="E1435" i="1"/>
  <c r="F1435" i="1"/>
  <c r="H1435" i="1"/>
  <c r="A1436" i="1"/>
  <c r="B1436" i="1"/>
  <c r="C1436" i="1"/>
  <c r="D1436" i="1"/>
  <c r="E1436" i="1"/>
  <c r="F1436" i="1"/>
  <c r="H1436" i="1"/>
  <c r="A1437" i="1"/>
  <c r="B1437" i="1"/>
  <c r="C1437" i="1"/>
  <c r="D1437" i="1"/>
  <c r="E1437" i="1"/>
  <c r="F1437" i="1"/>
  <c r="H1437" i="1"/>
  <c r="A1438" i="1"/>
  <c r="B1438" i="1"/>
  <c r="C1438" i="1"/>
  <c r="D1438" i="1"/>
  <c r="E1438" i="1"/>
  <c r="F1438" i="1"/>
  <c r="H1438" i="1"/>
  <c r="A1439" i="1"/>
  <c r="B1439" i="1"/>
  <c r="C1439" i="1"/>
  <c r="D1439" i="1"/>
  <c r="E1439" i="1"/>
  <c r="F1439" i="1"/>
  <c r="H1439" i="1"/>
  <c r="A1440" i="1"/>
  <c r="B1440" i="1"/>
  <c r="C1440" i="1"/>
  <c r="D1440" i="1"/>
  <c r="E1440" i="1"/>
  <c r="F1440" i="1"/>
  <c r="H1440" i="1"/>
  <c r="A1441" i="1"/>
  <c r="B1441" i="1"/>
  <c r="C1441" i="1"/>
  <c r="D1441" i="1"/>
  <c r="E1441" i="1"/>
  <c r="F1441" i="1"/>
  <c r="H1441" i="1"/>
  <c r="A1442" i="1"/>
  <c r="B1442" i="1"/>
  <c r="C1442" i="1"/>
  <c r="D1442" i="1"/>
  <c r="E1442" i="1"/>
  <c r="F1442" i="1"/>
  <c r="H1442" i="1"/>
  <c r="A1443" i="1"/>
  <c r="B1443" i="1"/>
  <c r="C1443" i="1"/>
  <c r="D1443" i="1"/>
  <c r="E1443" i="1"/>
  <c r="F1443" i="1"/>
  <c r="H1443" i="1"/>
  <c r="A1444" i="1"/>
  <c r="B1444" i="1"/>
  <c r="C1444" i="1"/>
  <c r="D1444" i="1"/>
  <c r="E1444" i="1"/>
  <c r="F1444" i="1"/>
  <c r="H1444" i="1"/>
  <c r="A1445" i="1"/>
  <c r="B1445" i="1"/>
  <c r="C1445" i="1"/>
  <c r="D1445" i="1"/>
  <c r="E1445" i="1"/>
  <c r="F1445" i="1"/>
  <c r="H1445" i="1"/>
  <c r="A1446" i="1"/>
  <c r="B1446" i="1"/>
  <c r="C1446" i="1"/>
  <c r="D1446" i="1"/>
  <c r="E1446" i="1"/>
  <c r="F1446" i="1"/>
  <c r="H1446" i="1"/>
  <c r="A1447" i="1"/>
  <c r="B1447" i="1"/>
  <c r="C1447" i="1"/>
  <c r="D1447" i="1"/>
  <c r="E1447" i="1"/>
  <c r="F1447" i="1"/>
  <c r="H1447" i="1"/>
  <c r="A1448" i="1"/>
  <c r="B1448" i="1"/>
  <c r="C1448" i="1"/>
  <c r="D1448" i="1"/>
  <c r="E1448" i="1"/>
  <c r="F1448" i="1"/>
  <c r="H1448" i="1"/>
  <c r="A1449" i="1"/>
  <c r="B1449" i="1"/>
  <c r="C1449" i="1"/>
  <c r="D1449" i="1"/>
  <c r="E1449" i="1"/>
  <c r="F1449" i="1"/>
  <c r="H1449" i="1"/>
  <c r="A1450" i="1"/>
  <c r="B1450" i="1"/>
  <c r="C1450" i="1"/>
  <c r="D1450" i="1"/>
  <c r="E1450" i="1"/>
  <c r="F1450" i="1"/>
  <c r="H1450" i="1"/>
  <c r="A1451" i="1"/>
  <c r="B1451" i="1"/>
  <c r="C1451" i="1"/>
  <c r="D1451" i="1"/>
  <c r="E1451" i="1"/>
  <c r="F1451" i="1"/>
  <c r="H1451" i="1"/>
  <c r="A1452" i="1"/>
  <c r="B1452" i="1"/>
  <c r="C1452" i="1"/>
  <c r="D1452" i="1"/>
  <c r="E1452" i="1"/>
  <c r="F1452" i="1"/>
  <c r="H1452" i="1"/>
  <c r="A1453" i="1"/>
  <c r="B1453" i="1"/>
  <c r="C1453" i="1"/>
  <c r="D1453" i="1"/>
  <c r="E1453" i="1"/>
  <c r="F1453" i="1"/>
  <c r="H1453" i="1"/>
  <c r="A1454" i="1"/>
  <c r="B1454" i="1"/>
  <c r="C1454" i="1"/>
  <c r="D1454" i="1"/>
  <c r="E1454" i="1"/>
  <c r="F1454" i="1"/>
  <c r="H1454" i="1"/>
  <c r="A1455" i="1"/>
  <c r="B1455" i="1"/>
  <c r="C1455" i="1"/>
  <c r="D1455" i="1"/>
  <c r="E1455" i="1"/>
  <c r="F1455" i="1"/>
  <c r="H1455" i="1"/>
  <c r="A1456" i="1"/>
  <c r="B1456" i="1"/>
  <c r="C1456" i="1"/>
  <c r="D1456" i="1"/>
  <c r="E1456" i="1"/>
  <c r="F1456" i="1"/>
  <c r="H1456" i="1"/>
  <c r="A1457" i="1"/>
  <c r="B1457" i="1"/>
  <c r="C1457" i="1"/>
  <c r="D1457" i="1"/>
  <c r="E1457" i="1"/>
  <c r="F1457" i="1"/>
  <c r="H1457" i="1"/>
  <c r="A1458" i="1"/>
  <c r="B1458" i="1"/>
  <c r="C1458" i="1"/>
  <c r="D1458" i="1"/>
  <c r="E1458" i="1"/>
  <c r="F1458" i="1"/>
  <c r="H1458" i="1"/>
  <c r="A1459" i="1"/>
  <c r="B1459" i="1"/>
  <c r="C1459" i="1"/>
  <c r="D1459" i="1"/>
  <c r="E1459" i="1"/>
  <c r="F1459" i="1"/>
  <c r="H1459" i="1"/>
  <c r="A1460" i="1"/>
  <c r="B1460" i="1"/>
  <c r="C1460" i="1"/>
  <c r="D1460" i="1"/>
  <c r="E1460" i="1"/>
  <c r="F1460" i="1"/>
  <c r="H1460" i="1"/>
  <c r="A1461" i="1"/>
  <c r="B1461" i="1"/>
  <c r="C1461" i="1"/>
  <c r="D1461" i="1"/>
  <c r="E1461" i="1"/>
  <c r="F1461" i="1"/>
  <c r="H1461" i="1"/>
  <c r="A1462" i="1"/>
  <c r="B1462" i="1"/>
  <c r="C1462" i="1"/>
  <c r="D1462" i="1"/>
  <c r="E1462" i="1"/>
  <c r="F1462" i="1"/>
  <c r="H1462" i="1"/>
  <c r="A1463" i="1"/>
  <c r="B1463" i="1"/>
  <c r="C1463" i="1"/>
  <c r="D1463" i="1"/>
  <c r="E1463" i="1"/>
  <c r="F1463" i="1"/>
  <c r="H1463" i="1"/>
  <c r="A1464" i="1"/>
  <c r="B1464" i="1"/>
  <c r="C1464" i="1"/>
  <c r="D1464" i="1"/>
  <c r="E1464" i="1"/>
  <c r="F1464" i="1"/>
  <c r="H1464" i="1"/>
  <c r="A1465" i="1"/>
  <c r="B1465" i="1"/>
  <c r="C1465" i="1"/>
  <c r="D1465" i="1"/>
  <c r="E1465" i="1"/>
  <c r="F1465" i="1"/>
  <c r="H1465" i="1"/>
  <c r="A1466" i="1"/>
  <c r="B1466" i="1"/>
  <c r="C1466" i="1"/>
  <c r="D1466" i="1"/>
  <c r="E1466" i="1"/>
  <c r="F1466" i="1"/>
  <c r="H1466" i="1"/>
  <c r="A1467" i="1"/>
  <c r="B1467" i="1"/>
  <c r="C1467" i="1"/>
  <c r="D1467" i="1"/>
  <c r="E1467" i="1"/>
  <c r="F1467" i="1"/>
  <c r="H1467" i="1"/>
  <c r="A1468" i="1"/>
  <c r="B1468" i="1"/>
  <c r="C1468" i="1"/>
  <c r="D1468" i="1"/>
  <c r="E1468" i="1"/>
  <c r="F1468" i="1"/>
  <c r="H1468" i="1"/>
  <c r="A1469" i="1"/>
  <c r="B1469" i="1"/>
  <c r="C1469" i="1"/>
  <c r="D1469" i="1"/>
  <c r="E1469" i="1"/>
  <c r="F1469" i="1"/>
  <c r="H1469" i="1"/>
  <c r="A1470" i="1"/>
  <c r="B1470" i="1"/>
  <c r="C1470" i="1"/>
  <c r="D1470" i="1"/>
  <c r="E1470" i="1"/>
  <c r="F1470" i="1"/>
  <c r="H1470" i="1"/>
  <c r="A1471" i="1"/>
  <c r="B1471" i="1"/>
  <c r="C1471" i="1"/>
  <c r="D1471" i="1"/>
  <c r="E1471" i="1"/>
  <c r="F1471" i="1"/>
  <c r="H1471" i="1"/>
  <c r="A1472" i="1"/>
  <c r="B1472" i="1"/>
  <c r="C1472" i="1"/>
  <c r="D1472" i="1"/>
  <c r="E1472" i="1"/>
  <c r="F1472" i="1"/>
  <c r="H1472" i="1"/>
  <c r="A1473" i="1"/>
  <c r="B1473" i="1"/>
  <c r="C1473" i="1"/>
  <c r="D1473" i="1"/>
  <c r="E1473" i="1"/>
  <c r="F1473" i="1"/>
  <c r="H1473" i="1"/>
  <c r="A1474" i="1"/>
  <c r="B1474" i="1"/>
  <c r="C1474" i="1"/>
  <c r="D1474" i="1"/>
  <c r="E1474" i="1"/>
  <c r="F1474" i="1"/>
  <c r="H1474" i="1"/>
  <c r="A1475" i="1"/>
  <c r="B1475" i="1"/>
  <c r="C1475" i="1"/>
  <c r="D1475" i="1"/>
  <c r="E1475" i="1"/>
  <c r="F1475" i="1"/>
  <c r="H1475" i="1"/>
  <c r="A1476" i="1"/>
  <c r="B1476" i="1"/>
  <c r="C1476" i="1"/>
  <c r="D1476" i="1"/>
  <c r="E1476" i="1"/>
  <c r="F1476" i="1"/>
  <c r="H1476" i="1"/>
  <c r="A1477" i="1"/>
  <c r="B1477" i="1"/>
  <c r="C1477" i="1"/>
  <c r="D1477" i="1"/>
  <c r="E1477" i="1"/>
  <c r="F1477" i="1"/>
  <c r="H1477" i="1"/>
  <c r="A1478" i="1"/>
  <c r="B1478" i="1"/>
  <c r="C1478" i="1"/>
  <c r="D1478" i="1"/>
  <c r="E1478" i="1"/>
  <c r="F1478" i="1"/>
  <c r="H1478" i="1"/>
  <c r="A1479" i="1"/>
  <c r="B1479" i="1"/>
  <c r="C1479" i="1"/>
  <c r="D1479" i="1"/>
  <c r="E1479" i="1"/>
  <c r="F1479" i="1"/>
  <c r="H1479" i="1"/>
  <c r="A1480" i="1"/>
  <c r="B1480" i="1"/>
  <c r="C1480" i="1"/>
  <c r="D1480" i="1"/>
  <c r="E1480" i="1"/>
  <c r="F1480" i="1"/>
  <c r="H1480" i="1"/>
  <c r="A1481" i="1"/>
  <c r="B1481" i="1"/>
  <c r="C1481" i="1"/>
  <c r="D1481" i="1"/>
  <c r="E1481" i="1"/>
  <c r="F1481" i="1"/>
  <c r="H1481" i="1"/>
  <c r="A1482" i="1"/>
  <c r="B1482" i="1"/>
  <c r="C1482" i="1"/>
  <c r="D1482" i="1"/>
  <c r="E1482" i="1"/>
  <c r="F1482" i="1"/>
  <c r="H1482" i="1"/>
  <c r="A1483" i="1"/>
  <c r="B1483" i="1"/>
  <c r="C1483" i="1"/>
  <c r="D1483" i="1"/>
  <c r="E1483" i="1"/>
  <c r="F1483" i="1"/>
  <c r="H1483" i="1"/>
  <c r="A1484" i="1"/>
  <c r="B1484" i="1"/>
  <c r="C1484" i="1"/>
  <c r="D1484" i="1"/>
  <c r="E1484" i="1"/>
  <c r="F1484" i="1"/>
  <c r="H1484" i="1"/>
  <c r="A1485" i="1"/>
  <c r="B1485" i="1"/>
  <c r="C1485" i="1"/>
  <c r="D1485" i="1"/>
  <c r="E1485" i="1"/>
  <c r="F1485" i="1"/>
  <c r="H1485" i="1"/>
  <c r="A1486" i="1"/>
  <c r="B1486" i="1"/>
  <c r="C1486" i="1"/>
  <c r="D1486" i="1"/>
  <c r="E1486" i="1"/>
  <c r="F1486" i="1"/>
  <c r="H1486" i="1"/>
  <c r="A1487" i="1"/>
  <c r="B1487" i="1"/>
  <c r="C1487" i="1"/>
  <c r="D1487" i="1"/>
  <c r="E1487" i="1"/>
  <c r="F1487" i="1"/>
  <c r="H1487" i="1"/>
  <c r="A1488" i="1"/>
  <c r="B1488" i="1"/>
  <c r="C1488" i="1"/>
  <c r="D1488" i="1"/>
  <c r="E1488" i="1"/>
  <c r="F1488" i="1"/>
  <c r="H1488" i="1"/>
  <c r="A1489" i="1"/>
  <c r="B1489" i="1"/>
  <c r="C1489" i="1"/>
  <c r="D1489" i="1"/>
  <c r="E1489" i="1"/>
  <c r="F1489" i="1"/>
  <c r="H1489" i="1"/>
  <c r="A1490" i="1"/>
  <c r="B1490" i="1"/>
  <c r="C1490" i="1"/>
  <c r="D1490" i="1"/>
  <c r="E1490" i="1"/>
  <c r="F1490" i="1"/>
  <c r="H1490" i="1"/>
  <c r="A1491" i="1"/>
  <c r="B1491" i="1"/>
  <c r="C1491" i="1"/>
  <c r="D1491" i="1"/>
  <c r="E1491" i="1"/>
  <c r="F1491" i="1"/>
  <c r="H1491" i="1"/>
  <c r="A1492" i="1"/>
  <c r="B1492" i="1"/>
  <c r="C1492" i="1"/>
  <c r="D1492" i="1"/>
  <c r="E1492" i="1"/>
  <c r="F1492" i="1"/>
  <c r="H1492" i="1"/>
  <c r="A1493" i="1"/>
  <c r="B1493" i="1"/>
  <c r="C1493" i="1"/>
  <c r="D1493" i="1"/>
  <c r="E1493" i="1"/>
  <c r="F1493" i="1"/>
  <c r="H1493" i="1"/>
  <c r="A1494" i="1"/>
  <c r="B1494" i="1"/>
  <c r="C1494" i="1"/>
  <c r="D1494" i="1"/>
  <c r="E1494" i="1"/>
  <c r="F1494" i="1"/>
  <c r="H1494" i="1"/>
  <c r="A1495" i="1"/>
  <c r="B1495" i="1"/>
  <c r="C1495" i="1"/>
  <c r="D1495" i="1"/>
  <c r="E1495" i="1"/>
  <c r="F1495" i="1"/>
  <c r="H1495" i="1"/>
  <c r="A1496" i="1"/>
  <c r="B1496" i="1"/>
  <c r="C1496" i="1"/>
  <c r="D1496" i="1"/>
  <c r="E1496" i="1"/>
  <c r="F1496" i="1"/>
  <c r="H1496" i="1"/>
  <c r="A1497" i="1"/>
  <c r="B1497" i="1"/>
  <c r="C1497" i="1"/>
  <c r="D1497" i="1"/>
  <c r="E1497" i="1"/>
  <c r="F1497" i="1"/>
  <c r="H1497" i="1"/>
  <c r="A1498" i="1"/>
  <c r="B1498" i="1"/>
  <c r="C1498" i="1"/>
  <c r="D1498" i="1"/>
  <c r="E1498" i="1"/>
  <c r="F1498" i="1"/>
  <c r="H1498" i="1"/>
  <c r="A1499" i="1"/>
  <c r="B1499" i="1"/>
  <c r="C1499" i="1"/>
  <c r="D1499" i="1"/>
  <c r="E1499" i="1"/>
  <c r="F1499" i="1"/>
  <c r="H1499" i="1"/>
  <c r="A1500" i="1"/>
  <c r="B1500" i="1"/>
  <c r="C1500" i="1"/>
  <c r="D1500" i="1"/>
  <c r="E1500" i="1"/>
  <c r="F1500" i="1"/>
  <c r="H1500" i="1"/>
  <c r="A1501" i="1"/>
  <c r="B1501" i="1"/>
  <c r="C1501" i="1"/>
  <c r="D1501" i="1"/>
  <c r="E1501" i="1"/>
  <c r="F1501" i="1"/>
  <c r="H1501" i="1"/>
  <c r="A1502" i="1"/>
  <c r="B1502" i="1"/>
  <c r="C1502" i="1"/>
  <c r="D1502" i="1"/>
  <c r="E1502" i="1"/>
  <c r="F1502" i="1"/>
  <c r="H1502" i="1"/>
  <c r="A1503" i="1"/>
  <c r="B1503" i="1"/>
  <c r="C1503" i="1"/>
  <c r="D1503" i="1"/>
  <c r="E1503" i="1"/>
  <c r="F1503" i="1"/>
  <c r="H1503" i="1"/>
  <c r="A1504" i="1"/>
  <c r="B1504" i="1"/>
  <c r="C1504" i="1"/>
  <c r="D1504" i="1"/>
  <c r="E1504" i="1"/>
  <c r="F1504" i="1"/>
  <c r="H1504" i="1"/>
  <c r="A1505" i="1"/>
  <c r="B1505" i="1"/>
  <c r="C1505" i="1"/>
  <c r="D1505" i="1"/>
  <c r="E1505" i="1"/>
  <c r="F1505" i="1"/>
  <c r="H1505" i="1"/>
  <c r="A1506" i="1"/>
  <c r="B1506" i="1"/>
  <c r="C1506" i="1"/>
  <c r="D1506" i="1"/>
  <c r="E1506" i="1"/>
  <c r="F1506" i="1"/>
  <c r="H1506" i="1"/>
  <c r="A1507" i="1"/>
  <c r="B1507" i="1"/>
  <c r="C1507" i="1"/>
  <c r="D1507" i="1"/>
  <c r="E1507" i="1"/>
  <c r="F1507" i="1"/>
  <c r="H1507" i="1"/>
  <c r="A1508" i="1"/>
  <c r="B1508" i="1"/>
  <c r="C1508" i="1"/>
  <c r="D1508" i="1"/>
  <c r="E1508" i="1"/>
  <c r="F1508" i="1"/>
  <c r="H1508" i="1"/>
  <c r="A1509" i="1"/>
  <c r="B1509" i="1"/>
  <c r="C1509" i="1"/>
  <c r="D1509" i="1"/>
  <c r="E1509" i="1"/>
  <c r="F1509" i="1"/>
  <c r="H1509" i="1"/>
  <c r="A1510" i="1"/>
  <c r="B1510" i="1"/>
  <c r="C1510" i="1"/>
  <c r="D1510" i="1"/>
  <c r="E1510" i="1"/>
  <c r="F1510" i="1"/>
  <c r="H1510" i="1"/>
  <c r="A1511" i="1"/>
  <c r="B1511" i="1"/>
  <c r="C1511" i="1"/>
  <c r="D1511" i="1"/>
  <c r="E1511" i="1"/>
  <c r="F1511" i="1"/>
  <c r="H1511" i="1"/>
  <c r="A1512" i="1"/>
  <c r="B1512" i="1"/>
  <c r="C1512" i="1"/>
  <c r="D1512" i="1"/>
  <c r="E1512" i="1"/>
  <c r="F1512" i="1"/>
  <c r="H1512" i="1"/>
  <c r="A1513" i="1"/>
  <c r="B1513" i="1"/>
  <c r="C1513" i="1"/>
  <c r="D1513" i="1"/>
  <c r="E1513" i="1"/>
  <c r="F1513" i="1"/>
  <c r="H1513" i="1"/>
  <c r="A1514" i="1"/>
  <c r="B1514" i="1"/>
  <c r="C1514" i="1"/>
  <c r="D1514" i="1"/>
  <c r="E1514" i="1"/>
  <c r="F1514" i="1"/>
  <c r="H1514" i="1"/>
  <c r="A1515" i="1"/>
  <c r="B1515" i="1"/>
  <c r="C1515" i="1"/>
  <c r="D1515" i="1"/>
  <c r="E1515" i="1"/>
  <c r="F1515" i="1"/>
  <c r="H1515" i="1"/>
  <c r="A1516" i="1"/>
  <c r="B1516" i="1"/>
  <c r="C1516" i="1"/>
  <c r="D1516" i="1"/>
  <c r="E1516" i="1"/>
  <c r="F1516" i="1"/>
  <c r="H1516" i="1"/>
  <c r="A1517" i="1"/>
  <c r="B1517" i="1"/>
  <c r="C1517" i="1"/>
  <c r="D1517" i="1"/>
  <c r="E1517" i="1"/>
  <c r="F1517" i="1"/>
  <c r="H1517" i="1"/>
  <c r="A1518" i="1"/>
  <c r="B1518" i="1"/>
  <c r="C1518" i="1"/>
  <c r="D1518" i="1"/>
  <c r="E1518" i="1"/>
  <c r="F1518" i="1"/>
  <c r="H1518" i="1"/>
  <c r="A1519" i="1"/>
  <c r="B1519" i="1"/>
  <c r="C1519" i="1"/>
  <c r="D1519" i="1"/>
  <c r="E1519" i="1"/>
  <c r="F1519" i="1"/>
  <c r="H1519" i="1"/>
  <c r="A1520" i="1"/>
  <c r="B1520" i="1"/>
  <c r="C1520" i="1"/>
  <c r="D1520" i="1"/>
  <c r="E1520" i="1"/>
  <c r="F1520" i="1"/>
  <c r="H1520" i="1"/>
  <c r="A1521" i="1"/>
  <c r="B1521" i="1"/>
  <c r="C1521" i="1"/>
  <c r="D1521" i="1"/>
  <c r="E1521" i="1"/>
  <c r="F1521" i="1"/>
  <c r="H1521" i="1"/>
  <c r="A1522" i="1"/>
  <c r="B1522" i="1"/>
  <c r="C1522" i="1"/>
  <c r="D1522" i="1"/>
  <c r="E1522" i="1"/>
  <c r="F1522" i="1"/>
  <c r="H1522" i="1"/>
  <c r="A1523" i="1"/>
  <c r="B1523" i="1"/>
  <c r="C1523" i="1"/>
  <c r="D1523" i="1"/>
  <c r="E1523" i="1"/>
  <c r="F1523" i="1"/>
  <c r="H1523" i="1"/>
  <c r="A1524" i="1"/>
  <c r="B1524" i="1"/>
  <c r="C1524" i="1"/>
  <c r="D1524" i="1"/>
  <c r="E1524" i="1"/>
  <c r="F1524" i="1"/>
  <c r="H1524" i="1"/>
  <c r="A1525" i="1"/>
  <c r="B1525" i="1"/>
  <c r="C1525" i="1"/>
  <c r="D1525" i="1"/>
  <c r="E1525" i="1"/>
  <c r="F1525" i="1"/>
  <c r="H1525" i="1"/>
  <c r="A1526" i="1"/>
  <c r="B1526" i="1"/>
  <c r="C1526" i="1"/>
  <c r="D1526" i="1"/>
  <c r="E1526" i="1"/>
  <c r="F1526" i="1"/>
  <c r="H1526" i="1"/>
  <c r="A1527" i="1"/>
  <c r="B1527" i="1"/>
  <c r="C1527" i="1"/>
  <c r="D1527" i="1"/>
  <c r="E1527" i="1"/>
  <c r="F1527" i="1"/>
  <c r="H1527" i="1"/>
  <c r="A1528" i="1"/>
  <c r="B1528" i="1"/>
  <c r="C1528" i="1"/>
  <c r="D1528" i="1"/>
  <c r="E1528" i="1"/>
  <c r="F1528" i="1"/>
  <c r="H1528" i="1"/>
  <c r="A1529" i="1"/>
  <c r="B1529" i="1"/>
  <c r="C1529" i="1"/>
  <c r="D1529" i="1"/>
  <c r="E1529" i="1"/>
  <c r="F1529" i="1"/>
  <c r="H1529" i="1"/>
  <c r="A1530" i="1"/>
  <c r="B1530" i="1"/>
  <c r="C1530" i="1"/>
  <c r="D1530" i="1"/>
  <c r="E1530" i="1"/>
  <c r="F1530" i="1"/>
  <c r="H1530" i="1"/>
  <c r="A1531" i="1"/>
  <c r="B1531" i="1"/>
  <c r="C1531" i="1"/>
  <c r="D1531" i="1"/>
  <c r="E1531" i="1"/>
  <c r="F1531" i="1"/>
  <c r="H1531" i="1"/>
  <c r="A1532" i="1"/>
  <c r="B1532" i="1"/>
  <c r="C1532" i="1"/>
  <c r="D1532" i="1"/>
  <c r="E1532" i="1"/>
  <c r="F1532" i="1"/>
  <c r="H1532" i="1"/>
  <c r="A1533" i="1"/>
  <c r="B1533" i="1"/>
  <c r="C1533" i="1"/>
  <c r="D1533" i="1"/>
  <c r="E1533" i="1"/>
  <c r="F1533" i="1"/>
  <c r="H1533" i="1"/>
  <c r="A1534" i="1"/>
  <c r="B1534" i="1"/>
  <c r="C1534" i="1"/>
  <c r="D1534" i="1"/>
  <c r="E1534" i="1"/>
  <c r="F1534" i="1"/>
  <c r="H1534" i="1"/>
  <c r="A1535" i="1"/>
  <c r="B1535" i="1"/>
  <c r="C1535" i="1"/>
  <c r="D1535" i="1"/>
  <c r="E1535" i="1"/>
  <c r="F1535" i="1"/>
  <c r="H1535" i="1"/>
  <c r="A1536" i="1"/>
  <c r="B1536" i="1"/>
  <c r="C1536" i="1"/>
  <c r="D1536" i="1"/>
  <c r="E1536" i="1"/>
  <c r="F1536" i="1"/>
  <c r="H1536" i="1"/>
  <c r="A1537" i="1"/>
  <c r="B1537" i="1"/>
  <c r="C1537" i="1"/>
  <c r="D1537" i="1"/>
  <c r="E1537" i="1"/>
  <c r="F1537" i="1"/>
  <c r="H1537" i="1"/>
  <c r="A1538" i="1"/>
  <c r="B1538" i="1"/>
  <c r="C1538" i="1"/>
  <c r="D1538" i="1"/>
  <c r="E1538" i="1"/>
  <c r="F1538" i="1"/>
  <c r="H1538" i="1"/>
  <c r="A1539" i="1"/>
  <c r="B1539" i="1"/>
  <c r="C1539" i="1"/>
  <c r="D1539" i="1"/>
  <c r="E1539" i="1"/>
  <c r="F1539" i="1"/>
  <c r="H1539" i="1"/>
  <c r="A1540" i="1"/>
  <c r="B1540" i="1"/>
  <c r="C1540" i="1"/>
  <c r="D1540" i="1"/>
  <c r="E1540" i="1"/>
  <c r="F1540" i="1"/>
  <c r="H1540" i="1"/>
  <c r="A1541" i="1"/>
  <c r="B1541" i="1"/>
  <c r="C1541" i="1"/>
  <c r="D1541" i="1"/>
  <c r="E1541" i="1"/>
  <c r="F1541" i="1"/>
  <c r="H1541" i="1"/>
  <c r="A1542" i="1"/>
  <c r="B1542" i="1"/>
  <c r="C1542" i="1"/>
  <c r="D1542" i="1"/>
  <c r="E1542" i="1"/>
  <c r="F1542" i="1"/>
  <c r="H1542" i="1"/>
  <c r="A1543" i="1"/>
  <c r="B1543" i="1"/>
  <c r="C1543" i="1"/>
  <c r="D1543" i="1"/>
  <c r="E1543" i="1"/>
  <c r="F1543" i="1"/>
  <c r="H1543" i="1"/>
  <c r="A1544" i="1"/>
  <c r="B1544" i="1"/>
  <c r="C1544" i="1"/>
  <c r="D1544" i="1"/>
  <c r="E1544" i="1"/>
  <c r="F1544" i="1"/>
  <c r="H1544" i="1"/>
  <c r="A1545" i="1"/>
  <c r="B1545" i="1"/>
  <c r="C1545" i="1"/>
  <c r="D1545" i="1"/>
  <c r="E1545" i="1"/>
  <c r="F1545" i="1"/>
  <c r="H1545" i="1"/>
  <c r="A1546" i="1"/>
  <c r="B1546" i="1"/>
  <c r="C1546" i="1"/>
  <c r="D1546" i="1"/>
  <c r="E1546" i="1"/>
  <c r="F1546" i="1"/>
  <c r="H1546" i="1"/>
  <c r="A1547" i="1"/>
  <c r="B1547" i="1"/>
  <c r="C1547" i="1"/>
  <c r="D1547" i="1"/>
  <c r="E1547" i="1"/>
  <c r="F1547" i="1"/>
  <c r="H1547" i="1"/>
  <c r="A1548" i="1"/>
  <c r="B1548" i="1"/>
  <c r="C1548" i="1"/>
  <c r="D1548" i="1"/>
  <c r="E1548" i="1"/>
  <c r="F1548" i="1"/>
  <c r="H1548" i="1"/>
  <c r="A1549" i="1"/>
  <c r="B1549" i="1"/>
  <c r="C1549" i="1"/>
  <c r="D1549" i="1"/>
  <c r="E1549" i="1"/>
  <c r="F1549" i="1"/>
  <c r="H1549" i="1"/>
  <c r="A1550" i="1"/>
  <c r="B1550" i="1"/>
  <c r="C1550" i="1"/>
  <c r="D1550" i="1"/>
  <c r="E1550" i="1"/>
  <c r="F1550" i="1"/>
  <c r="H1550" i="1"/>
  <c r="A1551" i="1"/>
  <c r="B1551" i="1"/>
  <c r="C1551" i="1"/>
  <c r="D1551" i="1"/>
  <c r="E1551" i="1"/>
  <c r="F1551" i="1"/>
  <c r="H1551" i="1"/>
  <c r="A1552" i="1"/>
  <c r="B1552" i="1"/>
  <c r="C1552" i="1"/>
  <c r="D1552" i="1"/>
  <c r="E1552" i="1"/>
  <c r="F1552" i="1"/>
  <c r="H1552" i="1"/>
  <c r="A1553" i="1"/>
  <c r="B1553" i="1"/>
  <c r="C1553" i="1"/>
  <c r="D1553" i="1"/>
  <c r="E1553" i="1"/>
  <c r="F1553" i="1"/>
  <c r="H1553" i="1"/>
  <c r="A1554" i="1"/>
  <c r="B1554" i="1"/>
  <c r="C1554" i="1"/>
  <c r="D1554" i="1"/>
  <c r="E1554" i="1"/>
  <c r="F1554" i="1"/>
  <c r="H1554" i="1"/>
  <c r="A1555" i="1"/>
  <c r="B1555" i="1"/>
  <c r="C1555" i="1"/>
  <c r="D1555" i="1"/>
  <c r="E1555" i="1"/>
  <c r="F1555" i="1"/>
  <c r="H1555" i="1"/>
  <c r="A1556" i="1"/>
  <c r="B1556" i="1"/>
  <c r="C1556" i="1"/>
  <c r="D1556" i="1"/>
  <c r="E1556" i="1"/>
  <c r="F1556" i="1"/>
  <c r="H1556" i="1"/>
  <c r="A1557" i="1"/>
  <c r="B1557" i="1"/>
  <c r="C1557" i="1"/>
  <c r="D1557" i="1"/>
  <c r="E1557" i="1"/>
  <c r="F1557" i="1"/>
  <c r="H1557" i="1"/>
  <c r="A1558" i="1"/>
  <c r="B1558" i="1"/>
  <c r="C1558" i="1"/>
  <c r="D1558" i="1"/>
  <c r="E1558" i="1"/>
  <c r="F1558" i="1"/>
  <c r="H1558" i="1"/>
  <c r="A1559" i="1"/>
  <c r="B1559" i="1"/>
  <c r="C1559" i="1"/>
  <c r="D1559" i="1"/>
  <c r="E1559" i="1"/>
  <c r="F1559" i="1"/>
  <c r="H1559" i="1"/>
  <c r="A1560" i="1"/>
  <c r="B1560" i="1"/>
  <c r="C1560" i="1"/>
  <c r="D1560" i="1"/>
  <c r="E1560" i="1"/>
  <c r="F1560" i="1"/>
  <c r="H1560" i="1"/>
  <c r="A1561" i="1"/>
  <c r="B1561" i="1"/>
  <c r="C1561" i="1"/>
  <c r="D1561" i="1"/>
  <c r="E1561" i="1"/>
  <c r="F1561" i="1"/>
  <c r="H1561" i="1"/>
  <c r="A1562" i="1"/>
  <c r="B1562" i="1"/>
  <c r="C1562" i="1"/>
  <c r="D1562" i="1"/>
  <c r="E1562" i="1"/>
  <c r="F1562" i="1"/>
  <c r="H1562" i="1"/>
  <c r="A1563" i="1"/>
  <c r="B1563" i="1"/>
  <c r="C1563" i="1"/>
  <c r="D1563" i="1"/>
  <c r="E1563" i="1"/>
  <c r="F1563" i="1"/>
  <c r="H1563" i="1"/>
  <c r="A1564" i="1"/>
  <c r="B1564" i="1"/>
  <c r="C1564" i="1"/>
  <c r="D1564" i="1"/>
  <c r="E1564" i="1"/>
  <c r="F1564" i="1"/>
  <c r="H1564" i="1"/>
  <c r="A1565" i="1"/>
  <c r="B1565" i="1"/>
  <c r="C1565" i="1"/>
  <c r="D1565" i="1"/>
  <c r="E1565" i="1"/>
  <c r="F1565" i="1"/>
  <c r="H1565" i="1"/>
  <c r="A1566" i="1"/>
  <c r="B1566" i="1"/>
  <c r="C1566" i="1"/>
  <c r="D1566" i="1"/>
  <c r="E1566" i="1"/>
  <c r="F1566" i="1"/>
  <c r="H1566" i="1"/>
  <c r="A1567" i="1"/>
  <c r="B1567" i="1"/>
  <c r="C1567" i="1"/>
  <c r="D1567" i="1"/>
  <c r="E1567" i="1"/>
  <c r="F1567" i="1"/>
  <c r="H1567" i="1"/>
  <c r="A1568" i="1"/>
  <c r="B1568" i="1"/>
  <c r="C1568" i="1"/>
  <c r="D1568" i="1"/>
  <c r="E1568" i="1"/>
  <c r="F1568" i="1"/>
  <c r="H1568" i="1"/>
  <c r="A1569" i="1"/>
  <c r="B1569" i="1"/>
  <c r="C1569" i="1"/>
  <c r="D1569" i="1"/>
  <c r="E1569" i="1"/>
  <c r="F1569" i="1"/>
  <c r="H1569" i="1"/>
  <c r="A1570" i="1"/>
  <c r="B1570" i="1"/>
  <c r="C1570" i="1"/>
  <c r="D1570" i="1"/>
  <c r="E1570" i="1"/>
  <c r="F1570" i="1"/>
  <c r="H1570" i="1"/>
  <c r="A1571" i="1"/>
  <c r="B1571" i="1"/>
  <c r="C1571" i="1"/>
  <c r="D1571" i="1"/>
  <c r="E1571" i="1"/>
  <c r="F1571" i="1"/>
  <c r="H1571" i="1"/>
  <c r="A1572" i="1"/>
  <c r="B1572" i="1"/>
  <c r="C1572" i="1"/>
  <c r="D1572" i="1"/>
  <c r="E1572" i="1"/>
  <c r="F1572" i="1"/>
  <c r="H1572" i="1"/>
  <c r="A1573" i="1"/>
  <c r="B1573" i="1"/>
  <c r="C1573" i="1"/>
  <c r="D1573" i="1"/>
  <c r="E1573" i="1"/>
  <c r="F1573" i="1"/>
  <c r="H1573" i="1"/>
  <c r="A1574" i="1"/>
  <c r="B1574" i="1"/>
  <c r="C1574" i="1"/>
  <c r="D1574" i="1"/>
  <c r="E1574" i="1"/>
  <c r="F1574" i="1"/>
  <c r="H1574" i="1"/>
  <c r="A1575" i="1"/>
  <c r="B1575" i="1"/>
  <c r="C1575" i="1"/>
  <c r="D1575" i="1"/>
  <c r="E1575" i="1"/>
  <c r="F1575" i="1"/>
  <c r="H1575" i="1"/>
  <c r="A1576" i="1"/>
  <c r="B1576" i="1"/>
  <c r="C1576" i="1"/>
  <c r="D1576" i="1"/>
  <c r="E1576" i="1"/>
  <c r="F1576" i="1"/>
  <c r="H1576" i="1"/>
  <c r="A1577" i="1"/>
  <c r="B1577" i="1"/>
  <c r="C1577" i="1"/>
  <c r="D1577" i="1"/>
  <c r="E1577" i="1"/>
  <c r="F1577" i="1"/>
  <c r="H1577" i="1"/>
  <c r="A1578" i="1"/>
  <c r="B1578" i="1"/>
  <c r="C1578" i="1"/>
  <c r="D1578" i="1"/>
  <c r="E1578" i="1"/>
  <c r="F1578" i="1"/>
  <c r="H1578" i="1"/>
  <c r="A1579" i="1"/>
  <c r="B1579" i="1"/>
  <c r="C1579" i="1"/>
  <c r="D1579" i="1"/>
  <c r="E1579" i="1"/>
  <c r="F1579" i="1"/>
  <c r="H1579" i="1"/>
  <c r="A1580" i="1"/>
  <c r="B1580" i="1"/>
  <c r="C1580" i="1"/>
  <c r="D1580" i="1"/>
  <c r="E1580" i="1"/>
  <c r="F1580" i="1"/>
  <c r="H1580" i="1"/>
  <c r="A1581" i="1"/>
  <c r="B1581" i="1"/>
  <c r="C1581" i="1"/>
  <c r="D1581" i="1"/>
  <c r="E1581" i="1"/>
  <c r="F1581" i="1"/>
  <c r="H1581" i="1"/>
  <c r="A1582" i="1"/>
  <c r="B1582" i="1"/>
  <c r="C1582" i="1"/>
  <c r="D1582" i="1"/>
  <c r="E1582" i="1"/>
  <c r="F1582" i="1"/>
  <c r="H1582" i="1"/>
  <c r="A1583" i="1"/>
  <c r="B1583" i="1"/>
  <c r="C1583" i="1"/>
  <c r="D1583" i="1"/>
  <c r="E1583" i="1"/>
  <c r="F1583" i="1"/>
  <c r="H1583" i="1"/>
  <c r="A1584" i="1"/>
  <c r="B1584" i="1"/>
  <c r="C1584" i="1"/>
  <c r="D1584" i="1"/>
  <c r="E1584" i="1"/>
  <c r="F1584" i="1"/>
  <c r="H1584" i="1"/>
  <c r="A1585" i="1"/>
  <c r="B1585" i="1"/>
  <c r="C1585" i="1"/>
  <c r="D1585" i="1"/>
  <c r="E1585" i="1"/>
  <c r="F1585" i="1"/>
  <c r="H1585" i="1"/>
  <c r="A1586" i="1"/>
  <c r="B1586" i="1"/>
  <c r="C1586" i="1"/>
  <c r="D1586" i="1"/>
  <c r="E1586" i="1"/>
  <c r="F1586" i="1"/>
  <c r="H1586" i="1"/>
  <c r="A1587" i="1"/>
  <c r="B1587" i="1"/>
  <c r="C1587" i="1"/>
  <c r="D1587" i="1"/>
  <c r="E1587" i="1"/>
  <c r="F1587" i="1"/>
  <c r="H1587" i="1"/>
  <c r="A1588" i="1"/>
  <c r="B1588" i="1"/>
  <c r="C1588" i="1"/>
  <c r="D1588" i="1"/>
  <c r="E1588" i="1"/>
  <c r="F1588" i="1"/>
  <c r="H1588" i="1"/>
  <c r="A1589" i="1"/>
  <c r="B1589" i="1"/>
  <c r="C1589" i="1"/>
  <c r="D1589" i="1"/>
  <c r="E1589" i="1"/>
  <c r="F1589" i="1"/>
  <c r="H1589" i="1"/>
  <c r="A1590" i="1"/>
  <c r="B1590" i="1"/>
  <c r="C1590" i="1"/>
  <c r="D1590" i="1"/>
  <c r="E1590" i="1"/>
  <c r="F1590" i="1"/>
  <c r="H1590" i="1"/>
  <c r="A1591" i="1"/>
  <c r="B1591" i="1"/>
  <c r="C1591" i="1"/>
  <c r="D1591" i="1"/>
  <c r="E1591" i="1"/>
  <c r="F1591" i="1"/>
  <c r="H1591" i="1"/>
  <c r="A1592" i="1"/>
  <c r="B1592" i="1"/>
  <c r="C1592" i="1"/>
  <c r="D1592" i="1"/>
  <c r="E1592" i="1"/>
  <c r="F1592" i="1"/>
  <c r="H1592" i="1"/>
  <c r="A1593" i="1"/>
  <c r="B1593" i="1"/>
  <c r="C1593" i="1"/>
  <c r="D1593" i="1"/>
  <c r="E1593" i="1"/>
  <c r="F1593" i="1"/>
  <c r="H1593" i="1"/>
  <c r="A1594" i="1"/>
  <c r="B1594" i="1"/>
  <c r="C1594" i="1"/>
  <c r="D1594" i="1"/>
  <c r="E1594" i="1"/>
  <c r="F1594" i="1"/>
  <c r="H1594" i="1"/>
  <c r="A1595" i="1"/>
  <c r="B1595" i="1"/>
  <c r="C1595" i="1"/>
  <c r="D1595" i="1"/>
  <c r="E1595" i="1"/>
  <c r="F1595" i="1"/>
  <c r="H1595" i="1"/>
  <c r="A1596" i="1"/>
  <c r="B1596" i="1"/>
  <c r="C1596" i="1"/>
  <c r="D1596" i="1"/>
  <c r="E1596" i="1"/>
  <c r="F1596" i="1"/>
  <c r="H1596" i="1"/>
  <c r="A1597" i="1"/>
  <c r="B1597" i="1"/>
  <c r="C1597" i="1"/>
  <c r="D1597" i="1"/>
  <c r="E1597" i="1"/>
  <c r="F1597" i="1"/>
  <c r="H1597" i="1"/>
  <c r="A1598" i="1"/>
  <c r="B1598" i="1"/>
  <c r="C1598" i="1"/>
  <c r="D1598" i="1"/>
  <c r="E1598" i="1"/>
  <c r="F1598" i="1"/>
  <c r="H1598" i="1"/>
  <c r="A1599" i="1"/>
  <c r="B1599" i="1"/>
  <c r="C1599" i="1"/>
  <c r="D1599" i="1"/>
  <c r="E1599" i="1"/>
  <c r="F1599" i="1"/>
  <c r="H1599" i="1"/>
  <c r="A1600" i="1"/>
  <c r="B1600" i="1"/>
  <c r="C1600" i="1"/>
  <c r="D1600" i="1"/>
  <c r="E1600" i="1"/>
  <c r="F1600" i="1"/>
  <c r="H1600" i="1"/>
  <c r="A1601" i="1"/>
  <c r="B1601" i="1"/>
  <c r="C1601" i="1"/>
  <c r="D1601" i="1"/>
  <c r="E1601" i="1"/>
  <c r="F1601" i="1"/>
  <c r="H1601" i="1"/>
  <c r="A1602" i="1"/>
  <c r="B1602" i="1"/>
  <c r="C1602" i="1"/>
  <c r="D1602" i="1"/>
  <c r="E1602" i="1"/>
  <c r="F1602" i="1"/>
  <c r="H1602" i="1"/>
  <c r="A1603" i="1"/>
  <c r="B1603" i="1"/>
  <c r="C1603" i="1"/>
  <c r="D1603" i="1"/>
  <c r="E1603" i="1"/>
  <c r="F1603" i="1"/>
  <c r="H1603" i="1"/>
  <c r="A1604" i="1"/>
  <c r="B1604" i="1"/>
  <c r="C1604" i="1"/>
  <c r="D1604" i="1"/>
  <c r="E1604" i="1"/>
  <c r="F1604" i="1"/>
  <c r="H1604" i="1"/>
  <c r="A1605" i="1"/>
  <c r="B1605" i="1"/>
  <c r="C1605" i="1"/>
  <c r="D1605" i="1"/>
  <c r="E1605" i="1"/>
  <c r="F1605" i="1"/>
  <c r="H1605" i="1"/>
  <c r="A1606" i="1"/>
  <c r="B1606" i="1"/>
  <c r="C1606" i="1"/>
  <c r="D1606" i="1"/>
  <c r="E1606" i="1"/>
  <c r="F1606" i="1"/>
  <c r="H1606" i="1"/>
  <c r="A1607" i="1"/>
  <c r="B1607" i="1"/>
  <c r="C1607" i="1"/>
  <c r="D1607" i="1"/>
  <c r="E1607" i="1"/>
  <c r="F1607" i="1"/>
  <c r="H1607" i="1"/>
  <c r="A1608" i="1"/>
  <c r="B1608" i="1"/>
  <c r="C1608" i="1"/>
  <c r="D1608" i="1"/>
  <c r="E1608" i="1"/>
  <c r="F1608" i="1"/>
  <c r="H1608" i="1"/>
  <c r="A1609" i="1"/>
  <c r="B1609" i="1"/>
  <c r="C1609" i="1"/>
  <c r="D1609" i="1"/>
  <c r="E1609" i="1"/>
  <c r="F1609" i="1"/>
  <c r="H1609" i="1"/>
  <c r="A1610" i="1"/>
  <c r="B1610" i="1"/>
  <c r="C1610" i="1"/>
  <c r="D1610" i="1"/>
  <c r="E1610" i="1"/>
  <c r="F1610" i="1"/>
  <c r="H1610" i="1"/>
  <c r="A1611" i="1"/>
  <c r="B1611" i="1"/>
  <c r="C1611" i="1"/>
  <c r="D1611" i="1"/>
  <c r="E1611" i="1"/>
  <c r="F1611" i="1"/>
  <c r="H1611" i="1"/>
  <c r="A1612" i="1"/>
  <c r="B1612" i="1"/>
  <c r="C1612" i="1"/>
  <c r="D1612" i="1"/>
  <c r="E1612" i="1"/>
  <c r="F1612" i="1"/>
  <c r="H1612" i="1"/>
  <c r="A1613" i="1"/>
  <c r="B1613" i="1"/>
  <c r="C1613" i="1"/>
  <c r="D1613" i="1"/>
  <c r="E1613" i="1"/>
  <c r="F1613" i="1"/>
  <c r="H1613" i="1"/>
  <c r="A1614" i="1"/>
  <c r="B1614" i="1"/>
  <c r="C1614" i="1"/>
  <c r="D1614" i="1"/>
  <c r="E1614" i="1"/>
  <c r="F1614" i="1"/>
  <c r="H1614" i="1"/>
  <c r="A1615" i="1"/>
  <c r="B1615" i="1"/>
  <c r="C1615" i="1"/>
  <c r="D1615" i="1"/>
  <c r="E1615" i="1"/>
  <c r="F1615" i="1"/>
  <c r="H1615" i="1"/>
  <c r="A1616" i="1"/>
  <c r="B1616" i="1"/>
  <c r="C1616" i="1"/>
  <c r="D1616" i="1"/>
  <c r="E1616" i="1"/>
  <c r="F1616" i="1"/>
  <c r="H1616" i="1"/>
  <c r="A1617" i="1"/>
  <c r="B1617" i="1"/>
  <c r="C1617" i="1"/>
  <c r="D1617" i="1"/>
  <c r="E1617" i="1"/>
  <c r="F1617" i="1"/>
  <c r="H1617" i="1"/>
  <c r="A1618" i="1"/>
  <c r="B1618" i="1"/>
  <c r="C1618" i="1"/>
  <c r="D1618" i="1"/>
  <c r="E1618" i="1"/>
  <c r="F1618" i="1"/>
  <c r="H1618" i="1"/>
  <c r="A1619" i="1"/>
  <c r="B1619" i="1"/>
  <c r="C1619" i="1"/>
  <c r="D1619" i="1"/>
  <c r="E1619" i="1"/>
  <c r="F1619" i="1"/>
  <c r="H1619" i="1"/>
  <c r="A1620" i="1"/>
  <c r="B1620" i="1"/>
  <c r="C1620" i="1"/>
  <c r="D1620" i="1"/>
  <c r="E1620" i="1"/>
  <c r="F1620" i="1"/>
  <c r="H1620" i="1"/>
  <c r="A1621" i="1"/>
  <c r="B1621" i="1"/>
  <c r="C1621" i="1"/>
  <c r="D1621" i="1"/>
  <c r="E1621" i="1"/>
  <c r="F1621" i="1"/>
  <c r="H1621" i="1"/>
  <c r="A1622" i="1"/>
  <c r="B1622" i="1"/>
  <c r="C1622" i="1"/>
  <c r="D1622" i="1"/>
  <c r="E1622" i="1"/>
  <c r="F1622" i="1"/>
  <c r="H1622" i="1"/>
  <c r="A1623" i="1"/>
  <c r="B1623" i="1"/>
  <c r="C1623" i="1"/>
  <c r="D1623" i="1"/>
  <c r="E1623" i="1"/>
  <c r="F1623" i="1"/>
  <c r="H1623" i="1"/>
  <c r="A1624" i="1"/>
  <c r="B1624" i="1"/>
  <c r="C1624" i="1"/>
  <c r="D1624" i="1"/>
  <c r="E1624" i="1"/>
  <c r="F1624" i="1"/>
  <c r="H1624" i="1"/>
  <c r="A1625" i="1"/>
  <c r="B1625" i="1"/>
  <c r="C1625" i="1"/>
  <c r="D1625" i="1"/>
  <c r="E1625" i="1"/>
  <c r="F1625" i="1"/>
  <c r="H1625" i="1"/>
  <c r="A1626" i="1"/>
  <c r="B1626" i="1"/>
  <c r="C1626" i="1"/>
  <c r="D1626" i="1"/>
  <c r="E1626" i="1"/>
  <c r="F1626" i="1"/>
  <c r="H1626" i="1"/>
  <c r="A1627" i="1"/>
  <c r="B1627" i="1"/>
  <c r="C1627" i="1"/>
  <c r="D1627" i="1"/>
  <c r="E1627" i="1"/>
  <c r="F1627" i="1"/>
  <c r="H1627" i="1"/>
  <c r="A1628" i="1"/>
  <c r="B1628" i="1"/>
  <c r="C1628" i="1"/>
  <c r="D1628" i="1"/>
  <c r="E1628" i="1"/>
  <c r="F1628" i="1"/>
  <c r="H1628" i="1"/>
  <c r="A1629" i="1"/>
  <c r="B1629" i="1"/>
  <c r="C1629" i="1"/>
  <c r="D1629" i="1"/>
  <c r="E1629" i="1"/>
  <c r="F1629" i="1"/>
  <c r="H1629" i="1"/>
  <c r="A1630" i="1"/>
  <c r="B1630" i="1"/>
  <c r="C1630" i="1"/>
  <c r="D1630" i="1"/>
  <c r="E1630" i="1"/>
  <c r="F1630" i="1"/>
  <c r="H1630" i="1"/>
  <c r="A1631" i="1"/>
  <c r="B1631" i="1"/>
  <c r="C1631" i="1"/>
  <c r="D1631" i="1"/>
  <c r="E1631" i="1"/>
  <c r="F1631" i="1"/>
  <c r="H1631" i="1"/>
  <c r="A1632" i="1"/>
  <c r="B1632" i="1"/>
  <c r="C1632" i="1"/>
  <c r="D1632" i="1"/>
  <c r="E1632" i="1"/>
  <c r="F1632" i="1"/>
  <c r="H1632" i="1"/>
  <c r="A1633" i="1"/>
  <c r="B1633" i="1"/>
  <c r="C1633" i="1"/>
  <c r="D1633" i="1"/>
  <c r="E1633" i="1"/>
  <c r="F1633" i="1"/>
  <c r="H1633" i="1"/>
  <c r="A1634" i="1"/>
  <c r="B1634" i="1"/>
  <c r="C1634" i="1"/>
  <c r="D1634" i="1"/>
  <c r="E1634" i="1"/>
  <c r="F1634" i="1"/>
  <c r="H1634" i="1"/>
  <c r="A1635" i="1"/>
  <c r="B1635" i="1"/>
  <c r="C1635" i="1"/>
  <c r="D1635" i="1"/>
  <c r="E1635" i="1"/>
  <c r="F1635" i="1"/>
  <c r="H1635" i="1"/>
  <c r="A1636" i="1"/>
  <c r="B1636" i="1"/>
  <c r="C1636" i="1"/>
  <c r="D1636" i="1"/>
  <c r="E1636" i="1"/>
  <c r="F1636" i="1"/>
  <c r="H1636" i="1"/>
  <c r="A1637" i="1"/>
  <c r="B1637" i="1"/>
  <c r="C1637" i="1"/>
  <c r="D1637" i="1"/>
  <c r="E1637" i="1"/>
  <c r="F1637" i="1"/>
  <c r="H1637" i="1"/>
  <c r="A1638" i="1"/>
  <c r="B1638" i="1"/>
  <c r="C1638" i="1"/>
  <c r="D1638" i="1"/>
  <c r="E1638" i="1"/>
  <c r="F1638" i="1"/>
  <c r="H1638" i="1"/>
  <c r="A1639" i="1"/>
  <c r="B1639" i="1"/>
  <c r="C1639" i="1"/>
  <c r="D1639" i="1"/>
  <c r="E1639" i="1"/>
  <c r="F1639" i="1"/>
  <c r="H1639" i="1"/>
  <c r="A1640" i="1"/>
  <c r="B1640" i="1"/>
  <c r="C1640" i="1"/>
  <c r="D1640" i="1"/>
  <c r="E1640" i="1"/>
  <c r="F1640" i="1"/>
  <c r="H1640" i="1"/>
  <c r="A1641" i="1"/>
  <c r="B1641" i="1"/>
  <c r="C1641" i="1"/>
  <c r="D1641" i="1"/>
  <c r="E1641" i="1"/>
  <c r="F1641" i="1"/>
  <c r="H1641" i="1"/>
  <c r="A1642" i="1"/>
  <c r="B1642" i="1"/>
  <c r="C1642" i="1"/>
  <c r="D1642" i="1"/>
  <c r="E1642" i="1"/>
  <c r="F1642" i="1"/>
  <c r="H1642" i="1"/>
  <c r="A1643" i="1"/>
  <c r="B1643" i="1"/>
  <c r="C1643" i="1"/>
  <c r="D1643" i="1"/>
  <c r="E1643" i="1"/>
  <c r="F1643" i="1"/>
  <c r="H1643" i="1"/>
  <c r="A1644" i="1"/>
  <c r="B1644" i="1"/>
  <c r="C1644" i="1"/>
  <c r="D1644" i="1"/>
  <c r="E1644" i="1"/>
  <c r="F1644" i="1"/>
  <c r="H1644" i="1"/>
  <c r="A1645" i="1"/>
  <c r="B1645" i="1"/>
  <c r="C1645" i="1"/>
  <c r="D1645" i="1"/>
  <c r="E1645" i="1"/>
  <c r="F1645" i="1"/>
  <c r="H1645" i="1"/>
  <c r="A1646" i="1"/>
  <c r="B1646" i="1"/>
  <c r="C1646" i="1"/>
  <c r="D1646" i="1"/>
  <c r="E1646" i="1"/>
  <c r="F1646" i="1"/>
  <c r="H1646" i="1"/>
  <c r="A1647" i="1"/>
  <c r="B1647" i="1"/>
  <c r="C1647" i="1"/>
  <c r="D1647" i="1"/>
  <c r="E1647" i="1"/>
  <c r="F1647" i="1"/>
  <c r="H1647" i="1"/>
  <c r="A1648" i="1"/>
  <c r="B1648" i="1"/>
  <c r="C1648" i="1"/>
  <c r="D1648" i="1"/>
  <c r="E1648" i="1"/>
  <c r="F1648" i="1"/>
  <c r="H1648" i="1"/>
  <c r="A1649" i="1"/>
  <c r="B1649" i="1"/>
  <c r="C1649" i="1"/>
  <c r="D1649" i="1"/>
  <c r="E1649" i="1"/>
  <c r="F1649" i="1"/>
  <c r="H1649" i="1"/>
  <c r="A1650" i="1"/>
  <c r="B1650" i="1"/>
  <c r="C1650" i="1"/>
  <c r="D1650" i="1"/>
  <c r="E1650" i="1"/>
  <c r="F1650" i="1"/>
  <c r="H1650" i="1"/>
  <c r="A1651" i="1"/>
  <c r="B1651" i="1"/>
  <c r="C1651" i="1"/>
  <c r="D1651" i="1"/>
  <c r="E1651" i="1"/>
  <c r="F1651" i="1"/>
  <c r="H1651" i="1"/>
  <c r="A1652" i="1"/>
  <c r="B1652" i="1"/>
  <c r="C1652" i="1"/>
  <c r="D1652" i="1"/>
  <c r="E1652" i="1"/>
  <c r="F1652" i="1"/>
  <c r="H1652" i="1"/>
  <c r="A1653" i="1"/>
  <c r="B1653" i="1"/>
  <c r="C1653" i="1"/>
  <c r="D1653" i="1"/>
  <c r="E1653" i="1"/>
  <c r="F1653" i="1"/>
  <c r="H1653" i="1"/>
  <c r="A1654" i="1"/>
  <c r="B1654" i="1"/>
  <c r="C1654" i="1"/>
  <c r="D1654" i="1"/>
  <c r="E1654" i="1"/>
  <c r="F1654" i="1"/>
  <c r="H1654" i="1"/>
  <c r="A1655" i="1"/>
  <c r="B1655" i="1"/>
  <c r="C1655" i="1"/>
  <c r="D1655" i="1"/>
  <c r="E1655" i="1"/>
  <c r="F1655" i="1"/>
  <c r="H1655" i="1"/>
  <c r="A1656" i="1"/>
  <c r="B1656" i="1"/>
  <c r="C1656" i="1"/>
  <c r="D1656" i="1"/>
  <c r="E1656" i="1"/>
  <c r="F1656" i="1"/>
  <c r="H1656" i="1"/>
  <c r="A1657" i="1"/>
  <c r="B1657" i="1"/>
  <c r="C1657" i="1"/>
  <c r="D1657" i="1"/>
  <c r="E1657" i="1"/>
  <c r="F1657" i="1"/>
  <c r="H1657" i="1"/>
  <c r="A1658" i="1"/>
  <c r="B1658" i="1"/>
  <c r="C1658" i="1"/>
  <c r="D1658" i="1"/>
  <c r="E1658" i="1"/>
  <c r="F1658" i="1"/>
  <c r="H1658" i="1"/>
  <c r="A1659" i="1"/>
  <c r="B1659" i="1"/>
  <c r="C1659" i="1"/>
  <c r="D1659" i="1"/>
  <c r="E1659" i="1"/>
  <c r="F1659" i="1"/>
  <c r="H1659" i="1"/>
  <c r="A1660" i="1"/>
  <c r="B1660" i="1"/>
  <c r="C1660" i="1"/>
  <c r="D1660" i="1"/>
  <c r="E1660" i="1"/>
  <c r="F1660" i="1"/>
  <c r="H1660" i="1"/>
  <c r="A1661" i="1"/>
  <c r="B1661" i="1"/>
  <c r="C1661" i="1"/>
  <c r="D1661" i="1"/>
  <c r="E1661" i="1"/>
  <c r="F1661" i="1"/>
  <c r="H1661" i="1"/>
  <c r="A1662" i="1"/>
  <c r="B1662" i="1"/>
  <c r="C1662" i="1"/>
  <c r="D1662" i="1"/>
  <c r="E1662" i="1"/>
  <c r="F1662" i="1"/>
  <c r="H1662" i="1"/>
  <c r="A1663" i="1"/>
  <c r="B1663" i="1"/>
  <c r="C1663" i="1"/>
  <c r="D1663" i="1"/>
  <c r="E1663" i="1"/>
  <c r="F1663" i="1"/>
  <c r="H1663" i="1"/>
  <c r="A1664" i="1"/>
  <c r="B1664" i="1"/>
  <c r="C1664" i="1"/>
  <c r="D1664" i="1"/>
  <c r="E1664" i="1"/>
  <c r="F1664" i="1"/>
  <c r="H1664" i="1"/>
  <c r="A1665" i="1"/>
  <c r="B1665" i="1"/>
  <c r="C1665" i="1"/>
  <c r="D1665" i="1"/>
  <c r="E1665" i="1"/>
  <c r="F1665" i="1"/>
  <c r="H1665" i="1"/>
  <c r="A1666" i="1"/>
  <c r="B1666" i="1"/>
  <c r="C1666" i="1"/>
  <c r="D1666" i="1"/>
  <c r="E1666" i="1"/>
  <c r="F1666" i="1"/>
  <c r="H1666" i="1"/>
  <c r="A1667" i="1"/>
  <c r="B1667" i="1"/>
  <c r="C1667" i="1"/>
  <c r="D1667" i="1"/>
  <c r="E1667" i="1"/>
  <c r="F1667" i="1"/>
  <c r="H1667" i="1"/>
  <c r="A1668" i="1"/>
  <c r="B1668" i="1"/>
  <c r="C1668" i="1"/>
  <c r="D1668" i="1"/>
  <c r="E1668" i="1"/>
  <c r="F1668" i="1"/>
  <c r="H1668" i="1"/>
  <c r="A1669" i="1"/>
  <c r="B1669" i="1"/>
  <c r="C1669" i="1"/>
  <c r="D1669" i="1"/>
  <c r="E1669" i="1"/>
  <c r="F1669" i="1"/>
  <c r="H1669" i="1"/>
  <c r="A1670" i="1"/>
  <c r="B1670" i="1"/>
  <c r="C1670" i="1"/>
  <c r="D1670" i="1"/>
  <c r="E1670" i="1"/>
  <c r="F1670" i="1"/>
  <c r="H1670" i="1"/>
  <c r="A1671" i="1"/>
  <c r="B1671" i="1"/>
  <c r="C1671" i="1"/>
  <c r="D1671" i="1"/>
  <c r="E1671" i="1"/>
  <c r="F1671" i="1"/>
  <c r="H1671" i="1"/>
  <c r="A1672" i="1"/>
  <c r="B1672" i="1"/>
  <c r="C1672" i="1"/>
  <c r="D1672" i="1"/>
  <c r="E1672" i="1"/>
  <c r="F1672" i="1"/>
  <c r="H1672" i="1"/>
  <c r="A1673" i="1"/>
  <c r="B1673" i="1"/>
  <c r="C1673" i="1"/>
  <c r="D1673" i="1"/>
  <c r="E1673" i="1"/>
  <c r="F1673" i="1"/>
  <c r="H1673" i="1"/>
  <c r="A1674" i="1"/>
  <c r="B1674" i="1"/>
  <c r="C1674" i="1"/>
  <c r="D1674" i="1"/>
  <c r="E1674" i="1"/>
  <c r="F1674" i="1"/>
  <c r="H1674" i="1"/>
  <c r="A1675" i="1"/>
  <c r="B1675" i="1"/>
  <c r="C1675" i="1"/>
  <c r="D1675" i="1"/>
  <c r="E1675" i="1"/>
  <c r="F1675" i="1"/>
  <c r="H1675" i="1"/>
  <c r="A1676" i="1"/>
  <c r="B1676" i="1"/>
  <c r="C1676" i="1"/>
  <c r="D1676" i="1"/>
  <c r="E1676" i="1"/>
  <c r="F1676" i="1"/>
  <c r="H1676" i="1"/>
  <c r="A1677" i="1"/>
  <c r="B1677" i="1"/>
  <c r="C1677" i="1"/>
  <c r="D1677" i="1"/>
  <c r="E1677" i="1"/>
  <c r="F1677" i="1"/>
  <c r="H1677" i="1"/>
  <c r="A1678" i="1"/>
  <c r="B1678" i="1"/>
  <c r="C1678" i="1"/>
  <c r="D1678" i="1"/>
  <c r="E1678" i="1"/>
  <c r="F1678" i="1"/>
  <c r="H1678" i="1"/>
  <c r="A1679" i="1"/>
  <c r="B1679" i="1"/>
  <c r="C1679" i="1"/>
  <c r="D1679" i="1"/>
  <c r="E1679" i="1"/>
  <c r="F1679" i="1"/>
  <c r="H1679" i="1"/>
  <c r="A1680" i="1"/>
  <c r="B1680" i="1"/>
  <c r="C1680" i="1"/>
  <c r="D1680" i="1"/>
  <c r="E1680" i="1"/>
  <c r="F1680" i="1"/>
  <c r="H1680" i="1"/>
  <c r="A1681" i="1"/>
  <c r="B1681" i="1"/>
  <c r="C1681" i="1"/>
  <c r="D1681" i="1"/>
  <c r="E1681" i="1"/>
  <c r="F1681" i="1"/>
  <c r="H1681" i="1"/>
  <c r="A1682" i="1"/>
  <c r="B1682" i="1"/>
  <c r="C1682" i="1"/>
  <c r="D1682" i="1"/>
  <c r="E1682" i="1"/>
  <c r="F1682" i="1"/>
  <c r="H1682" i="1"/>
  <c r="A1683" i="1"/>
  <c r="B1683" i="1"/>
  <c r="C1683" i="1"/>
  <c r="D1683" i="1"/>
  <c r="E1683" i="1"/>
  <c r="F1683" i="1"/>
  <c r="H1683" i="1"/>
  <c r="A1684" i="1"/>
  <c r="B1684" i="1"/>
  <c r="C1684" i="1"/>
  <c r="D1684" i="1"/>
  <c r="E1684" i="1"/>
  <c r="F1684" i="1"/>
  <c r="H1684" i="1"/>
  <c r="A1685" i="1"/>
  <c r="B1685" i="1"/>
  <c r="C1685" i="1"/>
  <c r="D1685" i="1"/>
  <c r="E1685" i="1"/>
  <c r="F1685" i="1"/>
  <c r="H1685" i="1"/>
  <c r="A1686" i="1"/>
  <c r="B1686" i="1"/>
  <c r="C1686" i="1"/>
  <c r="D1686" i="1"/>
  <c r="E1686" i="1"/>
  <c r="F1686" i="1"/>
  <c r="H1686" i="1"/>
  <c r="A1687" i="1"/>
  <c r="B1687" i="1"/>
  <c r="C1687" i="1"/>
  <c r="D1687" i="1"/>
  <c r="E1687" i="1"/>
  <c r="F1687" i="1"/>
  <c r="H1687" i="1"/>
  <c r="A1688" i="1"/>
  <c r="B1688" i="1"/>
  <c r="C1688" i="1"/>
  <c r="D1688" i="1"/>
  <c r="E1688" i="1"/>
  <c r="F1688" i="1"/>
  <c r="H1688" i="1"/>
  <c r="A1689" i="1"/>
  <c r="B1689" i="1"/>
  <c r="C1689" i="1"/>
  <c r="D1689" i="1"/>
  <c r="E1689" i="1"/>
  <c r="F1689" i="1"/>
  <c r="H1689" i="1"/>
  <c r="A1690" i="1"/>
  <c r="B1690" i="1"/>
  <c r="C1690" i="1"/>
  <c r="D1690" i="1"/>
  <c r="E1690" i="1"/>
  <c r="F1690" i="1"/>
  <c r="H1690" i="1"/>
  <c r="A1691" i="1"/>
  <c r="B1691" i="1"/>
  <c r="C1691" i="1"/>
  <c r="D1691" i="1"/>
  <c r="E1691" i="1"/>
  <c r="F1691" i="1"/>
  <c r="H1691" i="1"/>
  <c r="A1692" i="1"/>
  <c r="B1692" i="1"/>
  <c r="C1692" i="1"/>
  <c r="D1692" i="1"/>
  <c r="E1692" i="1"/>
  <c r="F1692" i="1"/>
  <c r="H1692" i="1"/>
  <c r="A1693" i="1"/>
  <c r="B1693" i="1"/>
  <c r="C1693" i="1"/>
  <c r="D1693" i="1"/>
  <c r="E1693" i="1"/>
  <c r="F1693" i="1"/>
  <c r="H1693" i="1"/>
  <c r="A1694" i="1"/>
  <c r="B1694" i="1"/>
  <c r="C1694" i="1"/>
  <c r="D1694" i="1"/>
  <c r="E1694" i="1"/>
  <c r="F1694" i="1"/>
  <c r="H1694" i="1"/>
  <c r="A1695" i="1"/>
  <c r="B1695" i="1"/>
  <c r="C1695" i="1"/>
  <c r="D1695" i="1"/>
  <c r="E1695" i="1"/>
  <c r="F1695" i="1"/>
  <c r="H1695" i="1"/>
  <c r="A1696" i="1"/>
  <c r="B1696" i="1"/>
  <c r="C1696" i="1"/>
  <c r="D1696" i="1"/>
  <c r="E1696" i="1"/>
  <c r="F1696" i="1"/>
  <c r="H1696" i="1"/>
  <c r="A1697" i="1"/>
  <c r="B1697" i="1"/>
  <c r="C1697" i="1"/>
  <c r="D1697" i="1"/>
  <c r="E1697" i="1"/>
  <c r="F1697" i="1"/>
  <c r="H1697" i="1"/>
  <c r="A1698" i="1"/>
  <c r="B1698" i="1"/>
  <c r="C1698" i="1"/>
  <c r="D1698" i="1"/>
  <c r="E1698" i="1"/>
  <c r="F1698" i="1"/>
  <c r="H1698" i="1"/>
  <c r="A1699" i="1"/>
  <c r="B1699" i="1"/>
  <c r="C1699" i="1"/>
  <c r="D1699" i="1"/>
  <c r="E1699" i="1"/>
  <c r="F1699" i="1"/>
  <c r="H1699" i="1"/>
  <c r="A1700" i="1"/>
  <c r="B1700" i="1"/>
  <c r="C1700" i="1"/>
  <c r="D1700" i="1"/>
  <c r="E1700" i="1"/>
  <c r="F1700" i="1"/>
  <c r="H1700" i="1"/>
  <c r="A1701" i="1"/>
  <c r="B1701" i="1"/>
  <c r="C1701" i="1"/>
  <c r="D1701" i="1"/>
  <c r="E1701" i="1"/>
  <c r="F1701" i="1"/>
  <c r="H1701" i="1"/>
  <c r="A1702" i="1"/>
  <c r="B1702" i="1"/>
  <c r="C1702" i="1"/>
  <c r="D1702" i="1"/>
  <c r="E1702" i="1"/>
  <c r="F1702" i="1"/>
  <c r="H1702" i="1"/>
  <c r="A1703" i="1"/>
  <c r="B1703" i="1"/>
  <c r="C1703" i="1"/>
  <c r="D1703" i="1"/>
  <c r="E1703" i="1"/>
  <c r="F1703" i="1"/>
  <c r="H1703" i="1"/>
  <c r="A1704" i="1"/>
  <c r="B1704" i="1"/>
  <c r="C1704" i="1"/>
  <c r="D1704" i="1"/>
  <c r="E1704" i="1"/>
  <c r="F1704" i="1"/>
  <c r="H1704" i="1"/>
  <c r="A1705" i="1"/>
  <c r="B1705" i="1"/>
  <c r="C1705" i="1"/>
  <c r="D1705" i="1"/>
  <c r="E1705" i="1"/>
  <c r="F1705" i="1"/>
  <c r="H1705" i="1"/>
  <c r="A1706" i="1"/>
  <c r="B1706" i="1"/>
  <c r="C1706" i="1"/>
  <c r="D1706" i="1"/>
  <c r="E1706" i="1"/>
  <c r="F1706" i="1"/>
  <c r="H1706" i="1"/>
  <c r="A1707" i="1"/>
  <c r="B1707" i="1"/>
  <c r="C1707" i="1"/>
  <c r="D1707" i="1"/>
  <c r="E1707" i="1"/>
  <c r="F1707" i="1"/>
  <c r="H1707" i="1"/>
  <c r="A1708" i="1"/>
  <c r="B1708" i="1"/>
  <c r="C1708" i="1"/>
  <c r="D1708" i="1"/>
  <c r="E1708" i="1"/>
  <c r="F1708" i="1"/>
  <c r="H1708" i="1"/>
  <c r="A1709" i="1"/>
  <c r="B1709" i="1"/>
  <c r="C1709" i="1"/>
  <c r="D1709" i="1"/>
  <c r="E1709" i="1"/>
  <c r="F1709" i="1"/>
  <c r="H1709" i="1"/>
  <c r="A1710" i="1"/>
  <c r="B1710" i="1"/>
  <c r="C1710" i="1"/>
  <c r="D1710" i="1"/>
  <c r="E1710" i="1"/>
  <c r="F1710" i="1"/>
  <c r="H1710" i="1"/>
  <c r="A1711" i="1"/>
  <c r="B1711" i="1"/>
  <c r="C1711" i="1"/>
  <c r="D1711" i="1"/>
  <c r="E1711" i="1"/>
  <c r="F1711" i="1"/>
  <c r="H1711" i="1"/>
  <c r="A1712" i="1"/>
  <c r="B1712" i="1"/>
  <c r="C1712" i="1"/>
  <c r="D1712" i="1"/>
  <c r="E1712" i="1"/>
  <c r="F1712" i="1"/>
  <c r="H1712" i="1"/>
  <c r="A1713" i="1"/>
  <c r="B1713" i="1"/>
  <c r="C1713" i="1"/>
  <c r="D1713" i="1"/>
  <c r="E1713" i="1"/>
  <c r="F1713" i="1"/>
  <c r="H1713" i="1"/>
  <c r="A1714" i="1"/>
  <c r="B1714" i="1"/>
  <c r="C1714" i="1"/>
  <c r="D1714" i="1"/>
  <c r="E1714" i="1"/>
  <c r="F1714" i="1"/>
  <c r="H1714" i="1"/>
  <c r="A1715" i="1"/>
  <c r="B1715" i="1"/>
  <c r="C1715" i="1"/>
  <c r="D1715" i="1"/>
  <c r="E1715" i="1"/>
  <c r="F1715" i="1"/>
  <c r="H1715" i="1"/>
  <c r="A1716" i="1"/>
  <c r="B1716" i="1"/>
  <c r="C1716" i="1"/>
  <c r="D1716" i="1"/>
  <c r="E1716" i="1"/>
  <c r="F1716" i="1"/>
  <c r="H1716" i="1"/>
  <c r="A1717" i="1"/>
  <c r="B1717" i="1"/>
  <c r="C1717" i="1"/>
  <c r="D1717" i="1"/>
  <c r="E1717" i="1"/>
  <c r="F1717" i="1"/>
  <c r="H1717" i="1"/>
  <c r="A1718" i="1"/>
  <c r="B1718" i="1"/>
  <c r="C1718" i="1"/>
  <c r="D1718" i="1"/>
  <c r="E1718" i="1"/>
  <c r="F1718" i="1"/>
  <c r="H1718" i="1"/>
  <c r="A1719" i="1"/>
  <c r="B1719" i="1"/>
  <c r="C1719" i="1"/>
  <c r="D1719" i="1"/>
  <c r="E1719" i="1"/>
  <c r="F1719" i="1"/>
  <c r="H1719" i="1"/>
  <c r="A1720" i="1"/>
  <c r="B1720" i="1"/>
  <c r="C1720" i="1"/>
  <c r="D1720" i="1"/>
  <c r="E1720" i="1"/>
  <c r="F1720" i="1"/>
  <c r="H1720" i="1"/>
  <c r="A1721" i="1"/>
  <c r="B1721" i="1"/>
  <c r="C1721" i="1"/>
  <c r="D1721" i="1"/>
  <c r="E1721" i="1"/>
  <c r="F1721" i="1"/>
  <c r="H1721" i="1"/>
  <c r="A1722" i="1"/>
  <c r="B1722" i="1"/>
  <c r="C1722" i="1"/>
  <c r="D1722" i="1"/>
  <c r="E1722" i="1"/>
  <c r="F1722" i="1"/>
  <c r="H1722" i="1"/>
  <c r="A1723" i="1"/>
  <c r="B1723" i="1"/>
  <c r="C1723" i="1"/>
  <c r="D1723" i="1"/>
  <c r="E1723" i="1"/>
  <c r="F1723" i="1"/>
  <c r="H1723" i="1"/>
  <c r="A1724" i="1"/>
  <c r="B1724" i="1"/>
  <c r="C1724" i="1"/>
  <c r="D1724" i="1"/>
  <c r="E1724" i="1"/>
  <c r="F1724" i="1"/>
  <c r="H1724" i="1"/>
  <c r="A1725" i="1"/>
  <c r="B1725" i="1"/>
  <c r="C1725" i="1"/>
  <c r="D1725" i="1"/>
  <c r="E1725" i="1"/>
  <c r="F1725" i="1"/>
  <c r="H1725" i="1"/>
  <c r="A1726" i="1"/>
  <c r="B1726" i="1"/>
  <c r="C1726" i="1"/>
  <c r="D1726" i="1"/>
  <c r="E1726" i="1"/>
  <c r="F1726" i="1"/>
  <c r="H1726" i="1"/>
  <c r="A1727" i="1"/>
  <c r="B1727" i="1"/>
  <c r="C1727" i="1"/>
  <c r="D1727" i="1"/>
  <c r="E1727" i="1"/>
  <c r="F1727" i="1"/>
  <c r="H1727" i="1"/>
  <c r="A1728" i="1"/>
  <c r="B1728" i="1"/>
  <c r="C1728" i="1"/>
  <c r="D1728" i="1"/>
  <c r="E1728" i="1"/>
  <c r="F1728" i="1"/>
  <c r="H1728" i="1"/>
  <c r="A1729" i="1"/>
  <c r="B1729" i="1"/>
  <c r="C1729" i="1"/>
  <c r="D1729" i="1"/>
  <c r="E1729" i="1"/>
  <c r="F1729" i="1"/>
  <c r="H1729" i="1"/>
  <c r="A1730" i="1"/>
  <c r="B1730" i="1"/>
  <c r="C1730" i="1"/>
  <c r="D1730" i="1"/>
  <c r="E1730" i="1"/>
  <c r="F1730" i="1"/>
  <c r="H1730" i="1"/>
  <c r="A1731" i="1"/>
  <c r="B1731" i="1"/>
  <c r="C1731" i="1"/>
  <c r="D1731" i="1"/>
  <c r="E1731" i="1"/>
  <c r="F1731" i="1"/>
  <c r="H1731" i="1"/>
  <c r="A1732" i="1"/>
  <c r="B1732" i="1"/>
  <c r="C1732" i="1"/>
  <c r="D1732" i="1"/>
  <c r="E1732" i="1"/>
  <c r="F1732" i="1"/>
  <c r="H1732" i="1"/>
  <c r="A1733" i="1"/>
  <c r="B1733" i="1"/>
  <c r="C1733" i="1"/>
  <c r="D1733" i="1"/>
  <c r="E1733" i="1"/>
  <c r="F1733" i="1"/>
  <c r="H1733" i="1"/>
  <c r="A1734" i="1"/>
  <c r="B1734" i="1"/>
  <c r="C1734" i="1"/>
  <c r="D1734" i="1"/>
  <c r="E1734" i="1"/>
  <c r="F1734" i="1"/>
  <c r="H1734" i="1"/>
  <c r="A1735" i="1"/>
  <c r="B1735" i="1"/>
  <c r="C1735" i="1"/>
  <c r="D1735" i="1"/>
  <c r="E1735" i="1"/>
  <c r="F1735" i="1"/>
  <c r="H1735" i="1"/>
  <c r="A1736" i="1"/>
  <c r="B1736" i="1"/>
  <c r="C1736" i="1"/>
  <c r="D1736" i="1"/>
  <c r="E1736" i="1"/>
  <c r="F1736" i="1"/>
  <c r="H1736" i="1"/>
  <c r="A1737" i="1"/>
  <c r="B1737" i="1"/>
  <c r="C1737" i="1"/>
  <c r="D1737" i="1"/>
  <c r="E1737" i="1"/>
  <c r="F1737" i="1"/>
  <c r="H1737" i="1"/>
  <c r="A1738" i="1"/>
  <c r="B1738" i="1"/>
  <c r="C1738" i="1"/>
  <c r="D1738" i="1"/>
  <c r="E1738" i="1"/>
  <c r="F1738" i="1"/>
  <c r="H1738" i="1"/>
  <c r="A1739" i="1"/>
  <c r="B1739" i="1"/>
  <c r="C1739" i="1"/>
  <c r="D1739" i="1"/>
  <c r="E1739" i="1"/>
  <c r="F1739" i="1"/>
  <c r="H1739" i="1"/>
  <c r="A1740" i="1"/>
  <c r="B1740" i="1"/>
  <c r="C1740" i="1"/>
  <c r="D1740" i="1"/>
  <c r="E1740" i="1"/>
  <c r="F1740" i="1"/>
  <c r="H1740" i="1"/>
  <c r="A1741" i="1"/>
  <c r="B1741" i="1"/>
  <c r="C1741" i="1"/>
  <c r="D1741" i="1"/>
  <c r="E1741" i="1"/>
  <c r="F1741" i="1"/>
  <c r="H1741" i="1"/>
  <c r="A1742" i="1"/>
  <c r="B1742" i="1"/>
  <c r="C1742" i="1"/>
  <c r="D1742" i="1"/>
  <c r="E1742" i="1"/>
  <c r="F1742" i="1"/>
  <c r="H1742" i="1"/>
  <c r="A1743" i="1"/>
  <c r="B1743" i="1"/>
  <c r="C1743" i="1"/>
  <c r="D1743" i="1"/>
  <c r="E1743" i="1"/>
  <c r="F1743" i="1"/>
  <c r="H1743" i="1"/>
  <c r="A1744" i="1"/>
  <c r="B1744" i="1"/>
  <c r="C1744" i="1"/>
  <c r="D1744" i="1"/>
  <c r="E1744" i="1"/>
  <c r="F1744" i="1"/>
  <c r="H1744" i="1"/>
  <c r="A1745" i="1"/>
  <c r="B1745" i="1"/>
  <c r="C1745" i="1"/>
  <c r="D1745" i="1"/>
  <c r="E1745" i="1"/>
  <c r="F1745" i="1"/>
  <c r="H1745" i="1"/>
  <c r="A1746" i="1"/>
  <c r="B1746" i="1"/>
  <c r="C1746" i="1"/>
  <c r="D1746" i="1"/>
  <c r="E1746" i="1"/>
  <c r="F1746" i="1"/>
  <c r="H1746" i="1"/>
  <c r="A1747" i="1"/>
  <c r="B1747" i="1"/>
  <c r="C1747" i="1"/>
  <c r="D1747" i="1"/>
  <c r="E1747" i="1"/>
  <c r="F1747" i="1"/>
  <c r="H1747" i="1"/>
  <c r="A1748" i="1"/>
  <c r="B1748" i="1"/>
  <c r="C1748" i="1"/>
  <c r="D1748" i="1"/>
  <c r="E1748" i="1"/>
  <c r="F1748" i="1"/>
  <c r="H1748" i="1"/>
  <c r="A1749" i="1"/>
  <c r="B1749" i="1"/>
  <c r="C1749" i="1"/>
  <c r="D1749" i="1"/>
  <c r="E1749" i="1"/>
  <c r="F1749" i="1"/>
  <c r="H1749" i="1"/>
  <c r="A1750" i="1"/>
  <c r="B1750" i="1"/>
  <c r="C1750" i="1"/>
  <c r="D1750" i="1"/>
  <c r="E1750" i="1"/>
  <c r="F1750" i="1"/>
  <c r="H1750" i="1"/>
  <c r="A1751" i="1"/>
  <c r="B1751" i="1"/>
  <c r="C1751" i="1"/>
  <c r="D1751" i="1"/>
  <c r="E1751" i="1"/>
  <c r="F1751" i="1"/>
  <c r="H1751" i="1"/>
  <c r="A1752" i="1"/>
  <c r="B1752" i="1"/>
  <c r="C1752" i="1"/>
  <c r="D1752" i="1"/>
  <c r="E1752" i="1"/>
  <c r="F1752" i="1"/>
  <c r="H1752" i="1"/>
  <c r="A1753" i="1"/>
  <c r="B1753" i="1"/>
  <c r="C1753" i="1"/>
  <c r="D1753" i="1"/>
  <c r="E1753" i="1"/>
  <c r="F1753" i="1"/>
  <c r="H1753" i="1"/>
  <c r="A1754" i="1"/>
  <c r="B1754" i="1"/>
  <c r="C1754" i="1"/>
  <c r="D1754" i="1"/>
  <c r="E1754" i="1"/>
  <c r="F1754" i="1"/>
  <c r="H1754" i="1"/>
  <c r="A1755" i="1"/>
  <c r="B1755" i="1"/>
  <c r="C1755" i="1"/>
  <c r="D1755" i="1"/>
  <c r="E1755" i="1"/>
  <c r="F1755" i="1"/>
  <c r="H1755" i="1"/>
  <c r="A1756" i="1"/>
  <c r="B1756" i="1"/>
  <c r="C1756" i="1"/>
  <c r="D1756" i="1"/>
  <c r="E1756" i="1"/>
  <c r="F1756" i="1"/>
  <c r="H1756" i="1"/>
  <c r="A1757" i="1"/>
  <c r="B1757" i="1"/>
  <c r="C1757" i="1"/>
  <c r="D1757" i="1"/>
  <c r="E1757" i="1"/>
  <c r="F1757" i="1"/>
  <c r="H1757" i="1"/>
  <c r="A1758" i="1"/>
  <c r="B1758" i="1"/>
  <c r="C1758" i="1"/>
  <c r="D1758" i="1"/>
  <c r="E1758" i="1"/>
  <c r="F1758" i="1"/>
  <c r="H1758" i="1"/>
  <c r="A1759" i="1"/>
  <c r="B1759" i="1"/>
  <c r="C1759" i="1"/>
  <c r="D1759" i="1"/>
  <c r="E1759" i="1"/>
  <c r="F1759" i="1"/>
  <c r="H1759" i="1"/>
  <c r="A1760" i="1"/>
  <c r="B1760" i="1"/>
  <c r="C1760" i="1"/>
  <c r="D1760" i="1"/>
  <c r="E1760" i="1"/>
  <c r="F1760" i="1"/>
  <c r="H1760" i="1"/>
  <c r="A1761" i="1"/>
  <c r="B1761" i="1"/>
  <c r="C1761" i="1"/>
  <c r="D1761" i="1"/>
  <c r="E1761" i="1"/>
  <c r="F1761" i="1"/>
  <c r="H1761" i="1"/>
  <c r="A1762" i="1"/>
  <c r="B1762" i="1"/>
  <c r="C1762" i="1"/>
  <c r="D1762" i="1"/>
  <c r="E1762" i="1"/>
  <c r="F1762" i="1"/>
  <c r="H1762" i="1"/>
  <c r="A1763" i="1"/>
  <c r="B1763" i="1"/>
  <c r="C1763" i="1"/>
  <c r="D1763" i="1"/>
  <c r="E1763" i="1"/>
  <c r="F1763" i="1"/>
  <c r="H1763" i="1"/>
  <c r="A1764" i="1"/>
  <c r="B1764" i="1"/>
  <c r="C1764" i="1"/>
  <c r="D1764" i="1"/>
  <c r="E1764" i="1"/>
  <c r="F1764" i="1"/>
  <c r="H1764" i="1"/>
  <c r="A1765" i="1"/>
  <c r="B1765" i="1"/>
  <c r="C1765" i="1"/>
  <c r="D1765" i="1"/>
  <c r="E1765" i="1"/>
  <c r="F1765" i="1"/>
  <c r="H1765" i="1"/>
  <c r="A1766" i="1"/>
  <c r="B1766" i="1"/>
  <c r="C1766" i="1"/>
  <c r="D1766" i="1"/>
  <c r="E1766" i="1"/>
  <c r="F1766" i="1"/>
  <c r="H1766" i="1"/>
  <c r="A1767" i="1"/>
  <c r="B1767" i="1"/>
  <c r="C1767" i="1"/>
  <c r="D1767" i="1"/>
  <c r="E1767" i="1"/>
  <c r="F1767" i="1"/>
  <c r="H1767" i="1"/>
  <c r="A1768" i="1"/>
  <c r="B1768" i="1"/>
  <c r="C1768" i="1"/>
  <c r="D1768" i="1"/>
  <c r="E1768" i="1"/>
  <c r="F1768" i="1"/>
  <c r="H1768" i="1"/>
  <c r="A1769" i="1"/>
  <c r="B1769" i="1"/>
  <c r="C1769" i="1"/>
  <c r="D1769" i="1"/>
  <c r="E1769" i="1"/>
  <c r="F1769" i="1"/>
  <c r="H1769" i="1"/>
  <c r="A1770" i="1"/>
  <c r="B1770" i="1"/>
  <c r="C1770" i="1"/>
  <c r="D1770" i="1"/>
  <c r="E1770" i="1"/>
  <c r="F1770" i="1"/>
  <c r="H1770" i="1"/>
  <c r="A1771" i="1"/>
  <c r="B1771" i="1"/>
  <c r="C1771" i="1"/>
  <c r="D1771" i="1"/>
  <c r="E1771" i="1"/>
  <c r="F1771" i="1"/>
  <c r="H1771" i="1"/>
  <c r="A1772" i="1"/>
  <c r="B1772" i="1"/>
  <c r="C1772" i="1"/>
  <c r="D1772" i="1"/>
  <c r="E1772" i="1"/>
  <c r="F1772" i="1"/>
  <c r="H1772" i="1"/>
  <c r="A1773" i="1"/>
  <c r="B1773" i="1"/>
  <c r="C1773" i="1"/>
  <c r="D1773" i="1"/>
  <c r="E1773" i="1"/>
  <c r="F1773" i="1"/>
  <c r="H1773" i="1"/>
  <c r="A1774" i="1"/>
  <c r="B1774" i="1"/>
  <c r="C1774" i="1"/>
  <c r="D1774" i="1"/>
  <c r="E1774" i="1"/>
  <c r="F1774" i="1"/>
  <c r="H1774" i="1"/>
  <c r="A1775" i="1"/>
  <c r="B1775" i="1"/>
  <c r="C1775" i="1"/>
  <c r="D1775" i="1"/>
  <c r="E1775" i="1"/>
  <c r="F1775" i="1"/>
  <c r="H1775" i="1"/>
  <c r="A1776" i="1"/>
  <c r="B1776" i="1"/>
  <c r="C1776" i="1"/>
  <c r="D1776" i="1"/>
  <c r="E1776" i="1"/>
  <c r="F1776" i="1"/>
  <c r="H1776" i="1"/>
  <c r="A1777" i="1"/>
  <c r="B1777" i="1"/>
  <c r="C1777" i="1"/>
  <c r="D1777" i="1"/>
  <c r="E1777" i="1"/>
  <c r="F1777" i="1"/>
  <c r="H1777" i="1"/>
  <c r="A1778" i="1"/>
  <c r="B1778" i="1"/>
  <c r="C1778" i="1"/>
  <c r="D1778" i="1"/>
  <c r="E1778" i="1"/>
  <c r="F1778" i="1"/>
  <c r="H1778" i="1"/>
  <c r="A1779" i="1"/>
  <c r="B1779" i="1"/>
  <c r="C1779" i="1"/>
  <c r="D1779" i="1"/>
  <c r="E1779" i="1"/>
  <c r="F1779" i="1"/>
  <c r="H1779" i="1"/>
  <c r="A1780" i="1"/>
  <c r="B1780" i="1"/>
  <c r="C1780" i="1"/>
  <c r="D1780" i="1"/>
  <c r="E1780" i="1"/>
  <c r="F1780" i="1"/>
  <c r="H1780" i="1"/>
  <c r="A1781" i="1"/>
  <c r="B1781" i="1"/>
  <c r="C1781" i="1"/>
  <c r="D1781" i="1"/>
  <c r="E1781" i="1"/>
  <c r="F1781" i="1"/>
  <c r="H1781" i="1"/>
  <c r="A1782" i="1"/>
  <c r="B1782" i="1"/>
  <c r="C1782" i="1"/>
  <c r="D1782" i="1"/>
  <c r="E1782" i="1"/>
  <c r="F1782" i="1"/>
  <c r="H1782" i="1"/>
  <c r="A1783" i="1"/>
  <c r="B1783" i="1"/>
  <c r="C1783" i="1"/>
  <c r="D1783" i="1"/>
  <c r="E1783" i="1"/>
  <c r="F1783" i="1"/>
  <c r="H1783" i="1"/>
  <c r="A1784" i="1"/>
  <c r="B1784" i="1"/>
  <c r="C1784" i="1"/>
  <c r="D1784" i="1"/>
  <c r="E1784" i="1"/>
  <c r="F1784" i="1"/>
  <c r="H1784" i="1"/>
  <c r="A1785" i="1"/>
  <c r="B1785" i="1"/>
  <c r="C1785" i="1"/>
  <c r="D1785" i="1"/>
  <c r="E1785" i="1"/>
  <c r="F1785" i="1"/>
  <c r="H1785" i="1"/>
  <c r="A1786" i="1"/>
  <c r="B1786" i="1"/>
  <c r="C1786" i="1"/>
  <c r="D1786" i="1"/>
  <c r="E1786" i="1"/>
  <c r="F1786" i="1"/>
  <c r="H1786" i="1"/>
  <c r="A1787" i="1"/>
  <c r="B1787" i="1"/>
  <c r="C1787" i="1"/>
  <c r="D1787" i="1"/>
  <c r="E1787" i="1"/>
  <c r="F1787" i="1"/>
  <c r="H1787" i="1"/>
  <c r="A1788" i="1"/>
  <c r="B1788" i="1"/>
  <c r="C1788" i="1"/>
  <c r="D1788" i="1"/>
  <c r="E1788" i="1"/>
  <c r="F1788" i="1"/>
  <c r="H1788" i="1"/>
  <c r="A1789" i="1"/>
  <c r="B1789" i="1"/>
  <c r="C1789" i="1"/>
  <c r="D1789" i="1"/>
  <c r="E1789" i="1"/>
  <c r="F1789" i="1"/>
  <c r="H1789" i="1"/>
  <c r="A1790" i="1"/>
  <c r="B1790" i="1"/>
  <c r="C1790" i="1"/>
  <c r="D1790" i="1"/>
  <c r="E1790" i="1"/>
  <c r="F1790" i="1"/>
  <c r="H1790" i="1"/>
  <c r="A1791" i="1"/>
  <c r="B1791" i="1"/>
  <c r="C1791" i="1"/>
  <c r="D1791" i="1"/>
  <c r="E1791" i="1"/>
  <c r="F1791" i="1"/>
  <c r="H1791" i="1"/>
  <c r="A1792" i="1"/>
  <c r="B1792" i="1"/>
  <c r="C1792" i="1"/>
  <c r="D1792" i="1"/>
  <c r="E1792" i="1"/>
  <c r="F1792" i="1"/>
  <c r="H1792" i="1"/>
  <c r="A1793" i="1"/>
  <c r="B1793" i="1"/>
  <c r="C1793" i="1"/>
  <c r="D1793" i="1"/>
  <c r="E1793" i="1"/>
  <c r="F1793" i="1"/>
  <c r="H1793" i="1"/>
  <c r="A1794" i="1"/>
  <c r="B1794" i="1"/>
  <c r="C1794" i="1"/>
  <c r="D1794" i="1"/>
  <c r="E1794" i="1"/>
  <c r="F1794" i="1"/>
  <c r="H1794" i="1"/>
  <c r="A1795" i="1"/>
  <c r="B1795" i="1"/>
  <c r="C1795" i="1"/>
  <c r="D1795" i="1"/>
  <c r="E1795" i="1"/>
  <c r="F1795" i="1"/>
  <c r="H1795" i="1"/>
  <c r="A1796" i="1"/>
  <c r="B1796" i="1"/>
  <c r="C1796" i="1"/>
  <c r="D1796" i="1"/>
  <c r="E1796" i="1"/>
  <c r="F1796" i="1"/>
  <c r="H1796" i="1"/>
  <c r="A1797" i="1"/>
  <c r="B1797" i="1"/>
  <c r="C1797" i="1"/>
  <c r="D1797" i="1"/>
  <c r="E1797" i="1"/>
  <c r="F1797" i="1"/>
  <c r="H1797" i="1"/>
  <c r="A1798" i="1"/>
  <c r="B1798" i="1"/>
  <c r="C1798" i="1"/>
  <c r="D1798" i="1"/>
  <c r="E1798" i="1"/>
  <c r="F1798" i="1"/>
  <c r="H1798" i="1"/>
  <c r="A1799" i="1"/>
  <c r="B1799" i="1"/>
  <c r="C1799" i="1"/>
  <c r="D1799" i="1"/>
  <c r="E1799" i="1"/>
  <c r="F1799" i="1"/>
  <c r="H1799" i="1"/>
  <c r="A1800" i="1"/>
  <c r="B1800" i="1"/>
  <c r="C1800" i="1"/>
  <c r="D1800" i="1"/>
  <c r="E1800" i="1"/>
  <c r="F1800" i="1"/>
  <c r="H1800" i="1"/>
  <c r="A1801" i="1"/>
  <c r="B1801" i="1"/>
  <c r="C1801" i="1"/>
  <c r="D1801" i="1"/>
  <c r="E1801" i="1"/>
  <c r="F1801" i="1"/>
  <c r="H1801" i="1"/>
  <c r="A1802" i="1"/>
  <c r="B1802" i="1"/>
  <c r="C1802" i="1"/>
  <c r="D1802" i="1"/>
  <c r="E1802" i="1"/>
  <c r="F1802" i="1"/>
  <c r="H1802" i="1"/>
  <c r="A1803" i="1"/>
  <c r="B1803" i="1"/>
  <c r="C1803" i="1"/>
  <c r="D1803" i="1"/>
  <c r="E1803" i="1"/>
  <c r="F1803" i="1"/>
  <c r="H1803" i="1"/>
  <c r="A1804" i="1"/>
  <c r="B1804" i="1"/>
  <c r="C1804" i="1"/>
  <c r="D1804" i="1"/>
  <c r="E1804" i="1"/>
  <c r="F1804" i="1"/>
  <c r="H1804" i="1"/>
  <c r="A1805" i="1"/>
  <c r="B1805" i="1"/>
  <c r="C1805" i="1"/>
  <c r="D1805" i="1"/>
  <c r="E1805" i="1"/>
  <c r="F1805" i="1"/>
  <c r="H1805" i="1"/>
  <c r="A1806" i="1"/>
  <c r="B1806" i="1"/>
  <c r="C1806" i="1"/>
  <c r="D1806" i="1"/>
  <c r="E1806" i="1"/>
  <c r="F1806" i="1"/>
  <c r="H1806" i="1"/>
  <c r="A1807" i="1"/>
  <c r="B1807" i="1"/>
  <c r="C1807" i="1"/>
  <c r="D1807" i="1"/>
  <c r="E1807" i="1"/>
  <c r="F1807" i="1"/>
  <c r="H1807" i="1"/>
  <c r="A1808" i="1"/>
  <c r="B1808" i="1"/>
  <c r="C1808" i="1"/>
  <c r="D1808" i="1"/>
  <c r="E1808" i="1"/>
  <c r="F1808" i="1"/>
  <c r="H1808" i="1"/>
  <c r="A1809" i="1"/>
  <c r="B1809" i="1"/>
  <c r="C1809" i="1"/>
  <c r="D1809" i="1"/>
  <c r="E1809" i="1"/>
  <c r="F1809" i="1"/>
  <c r="H1809" i="1"/>
  <c r="A1810" i="1"/>
  <c r="B1810" i="1"/>
  <c r="C1810" i="1"/>
  <c r="D1810" i="1"/>
  <c r="E1810" i="1"/>
  <c r="F1810" i="1"/>
  <c r="H1810" i="1"/>
  <c r="A1811" i="1"/>
  <c r="B1811" i="1"/>
  <c r="C1811" i="1"/>
  <c r="D1811" i="1"/>
  <c r="E1811" i="1"/>
  <c r="F1811" i="1"/>
  <c r="H1811" i="1"/>
  <c r="A1812" i="1"/>
  <c r="B1812" i="1"/>
  <c r="C1812" i="1"/>
  <c r="D1812" i="1"/>
  <c r="E1812" i="1"/>
  <c r="F1812" i="1"/>
  <c r="H1812" i="1"/>
  <c r="A1813" i="1"/>
  <c r="B1813" i="1"/>
  <c r="C1813" i="1"/>
  <c r="D1813" i="1"/>
  <c r="E1813" i="1"/>
  <c r="F1813" i="1"/>
  <c r="H1813" i="1"/>
  <c r="A1814" i="1"/>
  <c r="B1814" i="1"/>
  <c r="C1814" i="1"/>
  <c r="D1814" i="1"/>
  <c r="E1814" i="1"/>
  <c r="F1814" i="1"/>
  <c r="H1814" i="1"/>
  <c r="A1815" i="1"/>
  <c r="B1815" i="1"/>
  <c r="C1815" i="1"/>
  <c r="D1815" i="1"/>
  <c r="E1815" i="1"/>
  <c r="F1815" i="1"/>
  <c r="H1815" i="1"/>
  <c r="A1816" i="1"/>
  <c r="B1816" i="1"/>
  <c r="C1816" i="1"/>
  <c r="D1816" i="1"/>
  <c r="E1816" i="1"/>
  <c r="F1816" i="1"/>
  <c r="H1816" i="1"/>
  <c r="A1817" i="1"/>
  <c r="B1817" i="1"/>
  <c r="C1817" i="1"/>
  <c r="D1817" i="1"/>
  <c r="E1817" i="1"/>
  <c r="F1817" i="1"/>
  <c r="H1817" i="1"/>
  <c r="A1818" i="1"/>
  <c r="B1818" i="1"/>
  <c r="C1818" i="1"/>
  <c r="D1818" i="1"/>
  <c r="E1818" i="1"/>
  <c r="F1818" i="1"/>
  <c r="H1818" i="1"/>
  <c r="A1819" i="1"/>
  <c r="B1819" i="1"/>
  <c r="C1819" i="1"/>
  <c r="D1819" i="1"/>
  <c r="E1819" i="1"/>
  <c r="F1819" i="1"/>
  <c r="H1819" i="1"/>
  <c r="A1820" i="1"/>
  <c r="B1820" i="1"/>
  <c r="C1820" i="1"/>
  <c r="D1820" i="1"/>
  <c r="E1820" i="1"/>
  <c r="F1820" i="1"/>
  <c r="H1820" i="1"/>
  <c r="A1821" i="1"/>
  <c r="B1821" i="1"/>
  <c r="C1821" i="1"/>
  <c r="D1821" i="1"/>
  <c r="E1821" i="1"/>
  <c r="F1821" i="1"/>
  <c r="H1821" i="1"/>
  <c r="A1822" i="1"/>
  <c r="B1822" i="1"/>
  <c r="C1822" i="1"/>
  <c r="D1822" i="1"/>
  <c r="E1822" i="1"/>
  <c r="F1822" i="1"/>
  <c r="H1822" i="1"/>
  <c r="A1823" i="1"/>
  <c r="B1823" i="1"/>
  <c r="C1823" i="1"/>
  <c r="D1823" i="1"/>
  <c r="E1823" i="1"/>
  <c r="F1823" i="1"/>
  <c r="H1823" i="1"/>
  <c r="A1824" i="1"/>
  <c r="B1824" i="1"/>
  <c r="C1824" i="1"/>
  <c r="D1824" i="1"/>
  <c r="E1824" i="1"/>
  <c r="F1824" i="1"/>
  <c r="H1824" i="1"/>
  <c r="A1825" i="1"/>
  <c r="B1825" i="1"/>
  <c r="C1825" i="1"/>
  <c r="D1825" i="1"/>
  <c r="E1825" i="1"/>
  <c r="F1825" i="1"/>
  <c r="H1825" i="1"/>
  <c r="A1826" i="1"/>
  <c r="B1826" i="1"/>
  <c r="C1826" i="1"/>
  <c r="D1826" i="1"/>
  <c r="E1826" i="1"/>
  <c r="F1826" i="1"/>
  <c r="H1826" i="1"/>
  <c r="A1827" i="1"/>
  <c r="B1827" i="1"/>
  <c r="C1827" i="1"/>
  <c r="D1827" i="1"/>
  <c r="E1827" i="1"/>
  <c r="F1827" i="1"/>
  <c r="H1827" i="1"/>
  <c r="A1828" i="1"/>
  <c r="B1828" i="1"/>
  <c r="C1828" i="1"/>
  <c r="D1828" i="1"/>
  <c r="E1828" i="1"/>
  <c r="F1828" i="1"/>
  <c r="H1828" i="1"/>
  <c r="A1829" i="1"/>
  <c r="B1829" i="1"/>
  <c r="C1829" i="1"/>
  <c r="D1829" i="1"/>
  <c r="E1829" i="1"/>
  <c r="F1829" i="1"/>
  <c r="H1829" i="1"/>
  <c r="A1830" i="1"/>
  <c r="B1830" i="1"/>
  <c r="C1830" i="1"/>
  <c r="D1830" i="1"/>
  <c r="E1830" i="1"/>
  <c r="F1830" i="1"/>
  <c r="H1830" i="1"/>
  <c r="A1831" i="1"/>
  <c r="B1831" i="1"/>
  <c r="C1831" i="1"/>
  <c r="D1831" i="1"/>
  <c r="E1831" i="1"/>
  <c r="F1831" i="1"/>
  <c r="H1831" i="1"/>
  <c r="A1832" i="1"/>
  <c r="B1832" i="1"/>
  <c r="C1832" i="1"/>
  <c r="D1832" i="1"/>
  <c r="E1832" i="1"/>
  <c r="F1832" i="1"/>
  <c r="H1832" i="1"/>
  <c r="A1833" i="1"/>
  <c r="B1833" i="1"/>
  <c r="C1833" i="1"/>
  <c r="D1833" i="1"/>
  <c r="E1833" i="1"/>
  <c r="F1833" i="1"/>
  <c r="H1833" i="1"/>
  <c r="A1834" i="1"/>
  <c r="B1834" i="1"/>
  <c r="C1834" i="1"/>
  <c r="D1834" i="1"/>
  <c r="E1834" i="1"/>
  <c r="F1834" i="1"/>
  <c r="H1834" i="1"/>
  <c r="A1835" i="1"/>
  <c r="B1835" i="1"/>
  <c r="C1835" i="1"/>
  <c r="D1835" i="1"/>
  <c r="E1835" i="1"/>
  <c r="F1835" i="1"/>
  <c r="H1835" i="1"/>
  <c r="A1836" i="1"/>
  <c r="B1836" i="1"/>
  <c r="C1836" i="1"/>
  <c r="D1836" i="1"/>
  <c r="E1836" i="1"/>
  <c r="F1836" i="1"/>
  <c r="H1836" i="1"/>
  <c r="A1837" i="1"/>
  <c r="B1837" i="1"/>
  <c r="C1837" i="1"/>
  <c r="D1837" i="1"/>
  <c r="E1837" i="1"/>
  <c r="F1837" i="1"/>
  <c r="H1837" i="1"/>
  <c r="A1838" i="1"/>
  <c r="B1838" i="1"/>
  <c r="C1838" i="1"/>
  <c r="D1838" i="1"/>
  <c r="E1838" i="1"/>
  <c r="F1838" i="1"/>
  <c r="H1838" i="1"/>
  <c r="A1839" i="1"/>
  <c r="B1839" i="1"/>
  <c r="C1839" i="1"/>
  <c r="D1839" i="1"/>
  <c r="E1839" i="1"/>
  <c r="F1839" i="1"/>
  <c r="H1839" i="1"/>
  <c r="A1840" i="1"/>
  <c r="B1840" i="1"/>
  <c r="C1840" i="1"/>
  <c r="D1840" i="1"/>
  <c r="E1840" i="1"/>
  <c r="F1840" i="1"/>
  <c r="H1840" i="1"/>
  <c r="A1841" i="1"/>
  <c r="B1841" i="1"/>
  <c r="C1841" i="1"/>
  <c r="D1841" i="1"/>
  <c r="E1841" i="1"/>
  <c r="F1841" i="1"/>
  <c r="H1841" i="1"/>
  <c r="A1842" i="1"/>
  <c r="B1842" i="1"/>
  <c r="C1842" i="1"/>
  <c r="D1842" i="1"/>
  <c r="E1842" i="1"/>
  <c r="F1842" i="1"/>
  <c r="H1842" i="1"/>
  <c r="A1843" i="1"/>
  <c r="B1843" i="1"/>
  <c r="C1843" i="1"/>
  <c r="D1843" i="1"/>
  <c r="E1843" i="1"/>
  <c r="F1843" i="1"/>
  <c r="H1843" i="1"/>
  <c r="A1844" i="1"/>
  <c r="B1844" i="1"/>
  <c r="C1844" i="1"/>
  <c r="D1844" i="1"/>
  <c r="E1844" i="1"/>
  <c r="F1844" i="1"/>
  <c r="H1844" i="1"/>
  <c r="A1845" i="1"/>
  <c r="B1845" i="1"/>
  <c r="C1845" i="1"/>
  <c r="D1845" i="1"/>
  <c r="E1845" i="1"/>
  <c r="F1845" i="1"/>
  <c r="H1845" i="1"/>
  <c r="A1846" i="1"/>
  <c r="B1846" i="1"/>
  <c r="C1846" i="1"/>
  <c r="D1846" i="1"/>
  <c r="E1846" i="1"/>
  <c r="F1846" i="1"/>
  <c r="H1846" i="1"/>
  <c r="A1847" i="1"/>
  <c r="B1847" i="1"/>
  <c r="C1847" i="1"/>
  <c r="D1847" i="1"/>
  <c r="E1847" i="1"/>
  <c r="F1847" i="1"/>
  <c r="H1847" i="1"/>
  <c r="A1848" i="1"/>
  <c r="B1848" i="1"/>
  <c r="C1848" i="1"/>
  <c r="D1848" i="1"/>
  <c r="E1848" i="1"/>
  <c r="F1848" i="1"/>
  <c r="H1848" i="1"/>
  <c r="A1849" i="1"/>
  <c r="B1849" i="1"/>
  <c r="C1849" i="1"/>
  <c r="D1849" i="1"/>
  <c r="E1849" i="1"/>
  <c r="F1849" i="1"/>
  <c r="H1849" i="1"/>
  <c r="A1850" i="1"/>
  <c r="B1850" i="1"/>
  <c r="C1850" i="1"/>
  <c r="D1850" i="1"/>
  <c r="E1850" i="1"/>
  <c r="F1850" i="1"/>
  <c r="H1850" i="1"/>
  <c r="A1851" i="1"/>
  <c r="B1851" i="1"/>
  <c r="C1851" i="1"/>
  <c r="D1851" i="1"/>
  <c r="E1851" i="1"/>
  <c r="F1851" i="1"/>
  <c r="H1851" i="1"/>
  <c r="A1852" i="1"/>
  <c r="B1852" i="1"/>
  <c r="C1852" i="1"/>
  <c r="D1852" i="1"/>
  <c r="E1852" i="1"/>
  <c r="F1852" i="1"/>
  <c r="H1852" i="1"/>
  <c r="A1853" i="1"/>
  <c r="B1853" i="1"/>
  <c r="C1853" i="1"/>
  <c r="D1853" i="1"/>
  <c r="E1853" i="1"/>
  <c r="F1853" i="1"/>
  <c r="H1853" i="1"/>
  <c r="A1854" i="1"/>
  <c r="B1854" i="1"/>
  <c r="C1854" i="1"/>
  <c r="D1854" i="1"/>
  <c r="E1854" i="1"/>
  <c r="F1854" i="1"/>
  <c r="H1854" i="1"/>
  <c r="A1855" i="1"/>
  <c r="B1855" i="1"/>
  <c r="C1855" i="1"/>
  <c r="D1855" i="1"/>
  <c r="E1855" i="1"/>
  <c r="F1855" i="1"/>
  <c r="H1855" i="1"/>
  <c r="A1856" i="1"/>
  <c r="B1856" i="1"/>
  <c r="C1856" i="1"/>
  <c r="D1856" i="1"/>
  <c r="E1856" i="1"/>
  <c r="F1856" i="1"/>
  <c r="H1856" i="1"/>
  <c r="A1857" i="1"/>
  <c r="B1857" i="1"/>
  <c r="C1857" i="1"/>
  <c r="D1857" i="1"/>
  <c r="E1857" i="1"/>
  <c r="F1857" i="1"/>
  <c r="H1857" i="1"/>
  <c r="A1858" i="1"/>
  <c r="B1858" i="1"/>
  <c r="C1858" i="1"/>
  <c r="D1858" i="1"/>
  <c r="E1858" i="1"/>
  <c r="F1858" i="1"/>
  <c r="H1858" i="1"/>
  <c r="A1859" i="1"/>
  <c r="B1859" i="1"/>
  <c r="C1859" i="1"/>
  <c r="D1859" i="1"/>
  <c r="E1859" i="1"/>
  <c r="F1859" i="1"/>
  <c r="H1859" i="1"/>
  <c r="A1860" i="1"/>
  <c r="B1860" i="1"/>
  <c r="C1860" i="1"/>
  <c r="D1860" i="1"/>
  <c r="E1860" i="1"/>
  <c r="F1860" i="1"/>
  <c r="H1860" i="1"/>
  <c r="A1861" i="1"/>
  <c r="B1861" i="1"/>
  <c r="C1861" i="1"/>
  <c r="D1861" i="1"/>
  <c r="E1861" i="1"/>
  <c r="F1861" i="1"/>
  <c r="H1861" i="1"/>
  <c r="A1862" i="1"/>
  <c r="B1862" i="1"/>
  <c r="C1862" i="1"/>
  <c r="D1862" i="1"/>
  <c r="E1862" i="1"/>
  <c r="F1862" i="1"/>
  <c r="H1862" i="1"/>
  <c r="A1863" i="1"/>
  <c r="B1863" i="1"/>
  <c r="C1863" i="1"/>
  <c r="D1863" i="1"/>
  <c r="E1863" i="1"/>
  <c r="F1863" i="1"/>
  <c r="H1863" i="1"/>
  <c r="A1864" i="1"/>
  <c r="B1864" i="1"/>
  <c r="C1864" i="1"/>
  <c r="D1864" i="1"/>
  <c r="E1864" i="1"/>
  <c r="F1864" i="1"/>
  <c r="H1864" i="1"/>
  <c r="A1865" i="1"/>
  <c r="B1865" i="1"/>
  <c r="C1865" i="1"/>
  <c r="D1865" i="1"/>
  <c r="E1865" i="1"/>
  <c r="F1865" i="1"/>
  <c r="H1865" i="1"/>
  <c r="A1866" i="1"/>
  <c r="B1866" i="1"/>
  <c r="C1866" i="1"/>
  <c r="D1866" i="1"/>
  <c r="E1866" i="1"/>
  <c r="F1866" i="1"/>
  <c r="H1866" i="1"/>
  <c r="A1867" i="1"/>
  <c r="B1867" i="1"/>
  <c r="C1867" i="1"/>
  <c r="D1867" i="1"/>
  <c r="E1867" i="1"/>
  <c r="F1867" i="1"/>
  <c r="H1867" i="1"/>
  <c r="A1868" i="1"/>
  <c r="B1868" i="1"/>
  <c r="C1868" i="1"/>
  <c r="D1868" i="1"/>
  <c r="E1868" i="1"/>
  <c r="F1868" i="1"/>
  <c r="H1868" i="1"/>
  <c r="A1869" i="1"/>
  <c r="B1869" i="1"/>
  <c r="C1869" i="1"/>
  <c r="D1869" i="1"/>
  <c r="E1869" i="1"/>
  <c r="F1869" i="1"/>
  <c r="H1869" i="1"/>
  <c r="A1870" i="1"/>
  <c r="B1870" i="1"/>
  <c r="C1870" i="1"/>
  <c r="D1870" i="1"/>
  <c r="E1870" i="1"/>
  <c r="F1870" i="1"/>
  <c r="H1870" i="1"/>
  <c r="A1871" i="1"/>
  <c r="B1871" i="1"/>
  <c r="C1871" i="1"/>
  <c r="D1871" i="1"/>
  <c r="E1871" i="1"/>
  <c r="F1871" i="1"/>
  <c r="H1871" i="1"/>
  <c r="A1872" i="1"/>
  <c r="B1872" i="1"/>
  <c r="C1872" i="1"/>
  <c r="D1872" i="1"/>
  <c r="E1872" i="1"/>
  <c r="F1872" i="1"/>
  <c r="H1872" i="1"/>
  <c r="A1873" i="1"/>
  <c r="B1873" i="1"/>
  <c r="C1873" i="1"/>
  <c r="D1873" i="1"/>
  <c r="E1873" i="1"/>
  <c r="F1873" i="1"/>
  <c r="H1873" i="1"/>
  <c r="A1874" i="1"/>
  <c r="B1874" i="1"/>
  <c r="C1874" i="1"/>
  <c r="D1874" i="1"/>
  <c r="E1874" i="1"/>
  <c r="F1874" i="1"/>
  <c r="H1874" i="1"/>
  <c r="A1875" i="1"/>
  <c r="B1875" i="1"/>
  <c r="C1875" i="1"/>
  <c r="D1875" i="1"/>
  <c r="E1875" i="1"/>
  <c r="F1875" i="1"/>
  <c r="H1875" i="1"/>
  <c r="A1876" i="1"/>
  <c r="B1876" i="1"/>
  <c r="C1876" i="1"/>
  <c r="D1876" i="1"/>
  <c r="E1876" i="1"/>
  <c r="F1876" i="1"/>
  <c r="H1876" i="1"/>
  <c r="A1877" i="1"/>
  <c r="B1877" i="1"/>
  <c r="C1877" i="1"/>
  <c r="D1877" i="1"/>
  <c r="E1877" i="1"/>
  <c r="F1877" i="1"/>
  <c r="H1877" i="1"/>
  <c r="A1878" i="1"/>
  <c r="B1878" i="1"/>
  <c r="C1878" i="1"/>
  <c r="D1878" i="1"/>
  <c r="E1878" i="1"/>
  <c r="F1878" i="1"/>
  <c r="H1878" i="1"/>
  <c r="A1879" i="1"/>
  <c r="B1879" i="1"/>
  <c r="C1879" i="1"/>
  <c r="D1879" i="1"/>
  <c r="E1879" i="1"/>
  <c r="F1879" i="1"/>
  <c r="H1879" i="1"/>
  <c r="A1880" i="1"/>
  <c r="B1880" i="1"/>
  <c r="C1880" i="1"/>
  <c r="D1880" i="1"/>
  <c r="E1880" i="1"/>
  <c r="F1880" i="1"/>
  <c r="H1880" i="1"/>
  <c r="A1881" i="1"/>
  <c r="B1881" i="1"/>
  <c r="C1881" i="1"/>
  <c r="D1881" i="1"/>
  <c r="E1881" i="1"/>
  <c r="F1881" i="1"/>
  <c r="H1881" i="1"/>
  <c r="A1882" i="1"/>
  <c r="B1882" i="1"/>
  <c r="C1882" i="1"/>
  <c r="D1882" i="1"/>
  <c r="E1882" i="1"/>
  <c r="F1882" i="1"/>
  <c r="H1882" i="1"/>
  <c r="A1883" i="1"/>
  <c r="B1883" i="1"/>
  <c r="C1883" i="1"/>
  <c r="D1883" i="1"/>
  <c r="E1883" i="1"/>
  <c r="F1883" i="1"/>
  <c r="H1883" i="1"/>
  <c r="A1884" i="1"/>
  <c r="B1884" i="1"/>
  <c r="C1884" i="1"/>
  <c r="D1884" i="1"/>
  <c r="E1884" i="1"/>
  <c r="F1884" i="1"/>
  <c r="H1884" i="1"/>
  <c r="A1885" i="1"/>
  <c r="B1885" i="1"/>
  <c r="C1885" i="1"/>
  <c r="D1885" i="1"/>
  <c r="E1885" i="1"/>
  <c r="F1885" i="1"/>
  <c r="H1885" i="1"/>
  <c r="A1886" i="1"/>
  <c r="B1886" i="1"/>
  <c r="C1886" i="1"/>
  <c r="D1886" i="1"/>
  <c r="E1886" i="1"/>
  <c r="F1886" i="1"/>
  <c r="H1886" i="1"/>
  <c r="A1887" i="1"/>
  <c r="B1887" i="1"/>
  <c r="C1887" i="1"/>
  <c r="D1887" i="1"/>
  <c r="E1887" i="1"/>
  <c r="F1887" i="1"/>
  <c r="H1887" i="1"/>
  <c r="A1888" i="1"/>
  <c r="B1888" i="1"/>
  <c r="C1888" i="1"/>
  <c r="D1888" i="1"/>
  <c r="E1888" i="1"/>
  <c r="F1888" i="1"/>
  <c r="H1888" i="1"/>
  <c r="A1889" i="1"/>
  <c r="B1889" i="1"/>
  <c r="C1889" i="1"/>
  <c r="D1889" i="1"/>
  <c r="E1889" i="1"/>
  <c r="F1889" i="1"/>
  <c r="H1889" i="1"/>
  <c r="A1890" i="1"/>
  <c r="B1890" i="1"/>
  <c r="C1890" i="1"/>
  <c r="D1890" i="1"/>
  <c r="E1890" i="1"/>
  <c r="F1890" i="1"/>
  <c r="H1890" i="1"/>
  <c r="A1891" i="1"/>
  <c r="B1891" i="1"/>
  <c r="C1891" i="1"/>
  <c r="D1891" i="1"/>
  <c r="E1891" i="1"/>
  <c r="F1891" i="1"/>
  <c r="H1891" i="1"/>
  <c r="A1892" i="1"/>
  <c r="B1892" i="1"/>
  <c r="C1892" i="1"/>
  <c r="D1892" i="1"/>
  <c r="E1892" i="1"/>
  <c r="F1892" i="1"/>
  <c r="H1892" i="1"/>
  <c r="A1893" i="1"/>
  <c r="B1893" i="1"/>
  <c r="C1893" i="1"/>
  <c r="D1893" i="1"/>
  <c r="E1893" i="1"/>
  <c r="F1893" i="1"/>
  <c r="H1893" i="1"/>
  <c r="A1894" i="1"/>
  <c r="B1894" i="1"/>
  <c r="C1894" i="1"/>
  <c r="D1894" i="1"/>
  <c r="E1894" i="1"/>
  <c r="F1894" i="1"/>
  <c r="H1894" i="1"/>
  <c r="A1895" i="1"/>
  <c r="B1895" i="1"/>
  <c r="C1895" i="1"/>
  <c r="D1895" i="1"/>
  <c r="E1895" i="1"/>
  <c r="F1895" i="1"/>
  <c r="H1895" i="1"/>
  <c r="A1896" i="1"/>
  <c r="B1896" i="1"/>
  <c r="C1896" i="1"/>
  <c r="D1896" i="1"/>
  <c r="E1896" i="1"/>
  <c r="F1896" i="1"/>
  <c r="H1896" i="1"/>
  <c r="A1897" i="1"/>
  <c r="B1897" i="1"/>
  <c r="C1897" i="1"/>
  <c r="D1897" i="1"/>
  <c r="E1897" i="1"/>
  <c r="F1897" i="1"/>
  <c r="H1897" i="1"/>
  <c r="A1898" i="1"/>
  <c r="B1898" i="1"/>
  <c r="C1898" i="1"/>
  <c r="D1898" i="1"/>
  <c r="E1898" i="1"/>
  <c r="F1898" i="1"/>
  <c r="H1898" i="1"/>
  <c r="A1899" i="1"/>
  <c r="B1899" i="1"/>
  <c r="C1899" i="1"/>
  <c r="D1899" i="1"/>
  <c r="E1899" i="1"/>
  <c r="F1899" i="1"/>
  <c r="H1899" i="1"/>
  <c r="A1900" i="1"/>
  <c r="B1900" i="1"/>
  <c r="C1900" i="1"/>
  <c r="D1900" i="1"/>
  <c r="E1900" i="1"/>
  <c r="F1900" i="1"/>
  <c r="H1900" i="1"/>
  <c r="A1901" i="1"/>
  <c r="B1901" i="1"/>
  <c r="C1901" i="1"/>
  <c r="D1901" i="1"/>
  <c r="E1901" i="1"/>
  <c r="F1901" i="1"/>
  <c r="H1901" i="1"/>
  <c r="A1902" i="1"/>
  <c r="B1902" i="1"/>
  <c r="C1902" i="1"/>
  <c r="D1902" i="1"/>
  <c r="E1902" i="1"/>
  <c r="F1902" i="1"/>
  <c r="H1902" i="1"/>
  <c r="A1903" i="1"/>
  <c r="B1903" i="1"/>
  <c r="C1903" i="1"/>
  <c r="D1903" i="1"/>
  <c r="E1903" i="1"/>
  <c r="F1903" i="1"/>
  <c r="H1903" i="1"/>
  <c r="A1904" i="1"/>
  <c r="B1904" i="1"/>
  <c r="C1904" i="1"/>
  <c r="D1904" i="1"/>
  <c r="E1904" i="1"/>
  <c r="F1904" i="1"/>
  <c r="H1904" i="1"/>
  <c r="A1905" i="1"/>
  <c r="B1905" i="1"/>
  <c r="C1905" i="1"/>
  <c r="D1905" i="1"/>
  <c r="E1905" i="1"/>
  <c r="F1905" i="1"/>
  <c r="H1905" i="1"/>
  <c r="A1906" i="1"/>
  <c r="B1906" i="1"/>
  <c r="C1906" i="1"/>
  <c r="D1906" i="1"/>
  <c r="E1906" i="1"/>
  <c r="F1906" i="1"/>
  <c r="H1906" i="1"/>
  <c r="A1907" i="1"/>
  <c r="B1907" i="1"/>
  <c r="C1907" i="1"/>
  <c r="D1907" i="1"/>
  <c r="E1907" i="1"/>
  <c r="F1907" i="1"/>
  <c r="H1907" i="1"/>
  <c r="A1908" i="1"/>
  <c r="B1908" i="1"/>
  <c r="C1908" i="1"/>
  <c r="D1908" i="1"/>
  <c r="E1908" i="1"/>
  <c r="F1908" i="1"/>
  <c r="H1908" i="1"/>
  <c r="A1909" i="1"/>
  <c r="B1909" i="1"/>
  <c r="C1909" i="1"/>
  <c r="D1909" i="1"/>
  <c r="E1909" i="1"/>
  <c r="F1909" i="1"/>
  <c r="H1909" i="1"/>
  <c r="A1910" i="1"/>
  <c r="B1910" i="1"/>
  <c r="C1910" i="1"/>
  <c r="D1910" i="1"/>
  <c r="E1910" i="1"/>
  <c r="F1910" i="1"/>
  <c r="H1910" i="1"/>
  <c r="A1911" i="1"/>
  <c r="B1911" i="1"/>
  <c r="C1911" i="1"/>
  <c r="D1911" i="1"/>
  <c r="E1911" i="1"/>
  <c r="F1911" i="1"/>
  <c r="H1911" i="1"/>
  <c r="A1912" i="1"/>
  <c r="B1912" i="1"/>
  <c r="C1912" i="1"/>
  <c r="D1912" i="1"/>
  <c r="E1912" i="1"/>
  <c r="F1912" i="1"/>
  <c r="H1912" i="1"/>
  <c r="A1913" i="1"/>
  <c r="B1913" i="1"/>
  <c r="C1913" i="1"/>
  <c r="D1913" i="1"/>
  <c r="E1913" i="1"/>
  <c r="F1913" i="1"/>
  <c r="H1913" i="1"/>
  <c r="A1914" i="1"/>
  <c r="B1914" i="1"/>
  <c r="C1914" i="1"/>
  <c r="D1914" i="1"/>
  <c r="E1914" i="1"/>
  <c r="F1914" i="1"/>
  <c r="H1914" i="1"/>
  <c r="A1915" i="1"/>
  <c r="B1915" i="1"/>
  <c r="C1915" i="1"/>
  <c r="D1915" i="1"/>
  <c r="E1915" i="1"/>
  <c r="F1915" i="1"/>
  <c r="H1915" i="1"/>
  <c r="A1916" i="1"/>
  <c r="B1916" i="1"/>
  <c r="C1916" i="1"/>
  <c r="D1916" i="1"/>
  <c r="E1916" i="1"/>
  <c r="F1916" i="1"/>
  <c r="H1916" i="1"/>
  <c r="A1917" i="1"/>
  <c r="B1917" i="1"/>
  <c r="C1917" i="1"/>
  <c r="D1917" i="1"/>
  <c r="E1917" i="1"/>
  <c r="F1917" i="1"/>
  <c r="H1917" i="1"/>
  <c r="A1918" i="1"/>
  <c r="B1918" i="1"/>
  <c r="C1918" i="1"/>
  <c r="D1918" i="1"/>
  <c r="E1918" i="1"/>
  <c r="F1918" i="1"/>
  <c r="H1918" i="1"/>
  <c r="A1919" i="1"/>
  <c r="B1919" i="1"/>
  <c r="C1919" i="1"/>
  <c r="D1919" i="1"/>
  <c r="E1919" i="1"/>
  <c r="F1919" i="1"/>
  <c r="H1919" i="1"/>
  <c r="A1920" i="1"/>
  <c r="B1920" i="1"/>
  <c r="C1920" i="1"/>
  <c r="D1920" i="1"/>
  <c r="E1920" i="1"/>
  <c r="F1920" i="1"/>
  <c r="H1920" i="1"/>
  <c r="A1921" i="1"/>
  <c r="B1921" i="1"/>
  <c r="C1921" i="1"/>
  <c r="D1921" i="1"/>
  <c r="E1921" i="1"/>
  <c r="F1921" i="1"/>
  <c r="H1921" i="1"/>
  <c r="A1922" i="1"/>
  <c r="B1922" i="1"/>
  <c r="C1922" i="1"/>
  <c r="D1922" i="1"/>
  <c r="E1922" i="1"/>
  <c r="F1922" i="1"/>
  <c r="H1922" i="1"/>
  <c r="A1923" i="1"/>
  <c r="B1923" i="1"/>
  <c r="C1923" i="1"/>
  <c r="D1923" i="1"/>
  <c r="E1923" i="1"/>
  <c r="F1923" i="1"/>
  <c r="H1923" i="1"/>
  <c r="A1924" i="1"/>
  <c r="B1924" i="1"/>
  <c r="C1924" i="1"/>
  <c r="D1924" i="1"/>
  <c r="E1924" i="1"/>
  <c r="F1924" i="1"/>
  <c r="H1924" i="1"/>
  <c r="A1925" i="1"/>
  <c r="B1925" i="1"/>
  <c r="C1925" i="1"/>
  <c r="D1925" i="1"/>
  <c r="E1925" i="1"/>
  <c r="F1925" i="1"/>
  <c r="H1925" i="1"/>
  <c r="A1926" i="1"/>
  <c r="B1926" i="1"/>
  <c r="C1926" i="1"/>
  <c r="D1926" i="1"/>
  <c r="E1926" i="1"/>
  <c r="F1926" i="1"/>
  <c r="H1926" i="1"/>
  <c r="A1927" i="1"/>
  <c r="B1927" i="1"/>
  <c r="C1927" i="1"/>
  <c r="D1927" i="1"/>
  <c r="E1927" i="1"/>
  <c r="F1927" i="1"/>
  <c r="H1927" i="1"/>
  <c r="A1928" i="1"/>
  <c r="B1928" i="1"/>
  <c r="C1928" i="1"/>
  <c r="D1928" i="1"/>
  <c r="E1928" i="1"/>
  <c r="F1928" i="1"/>
  <c r="H1928" i="1"/>
  <c r="A1929" i="1"/>
  <c r="B1929" i="1"/>
  <c r="C1929" i="1"/>
  <c r="D1929" i="1"/>
  <c r="E1929" i="1"/>
  <c r="F1929" i="1"/>
  <c r="H1929" i="1"/>
  <c r="A1930" i="1"/>
  <c r="B1930" i="1"/>
  <c r="C1930" i="1"/>
  <c r="D1930" i="1"/>
  <c r="E1930" i="1"/>
  <c r="F1930" i="1"/>
  <c r="H1930" i="1"/>
  <c r="A1931" i="1"/>
  <c r="B1931" i="1"/>
  <c r="C1931" i="1"/>
  <c r="D1931" i="1"/>
  <c r="E1931" i="1"/>
  <c r="F1931" i="1"/>
  <c r="H1931" i="1"/>
  <c r="A1932" i="1"/>
  <c r="B1932" i="1"/>
  <c r="C1932" i="1"/>
  <c r="D1932" i="1"/>
  <c r="E1932" i="1"/>
  <c r="F1932" i="1"/>
  <c r="H1932" i="1"/>
  <c r="A1933" i="1"/>
  <c r="B1933" i="1"/>
  <c r="C1933" i="1"/>
  <c r="D1933" i="1"/>
  <c r="E1933" i="1"/>
  <c r="F1933" i="1"/>
  <c r="H1933" i="1"/>
  <c r="A1934" i="1"/>
  <c r="B1934" i="1"/>
  <c r="C1934" i="1"/>
  <c r="D1934" i="1"/>
  <c r="E1934" i="1"/>
  <c r="F1934" i="1"/>
  <c r="H1934" i="1"/>
  <c r="A1935" i="1"/>
  <c r="B1935" i="1"/>
  <c r="C1935" i="1"/>
  <c r="D1935" i="1"/>
  <c r="E1935" i="1"/>
  <c r="F1935" i="1"/>
  <c r="H1935" i="1"/>
  <c r="A1936" i="1"/>
  <c r="B1936" i="1"/>
  <c r="C1936" i="1"/>
  <c r="D1936" i="1"/>
  <c r="E1936" i="1"/>
  <c r="F1936" i="1"/>
  <c r="H1936" i="1"/>
  <c r="A1937" i="1"/>
  <c r="B1937" i="1"/>
  <c r="C1937" i="1"/>
  <c r="D1937" i="1"/>
  <c r="E1937" i="1"/>
  <c r="F1937" i="1"/>
  <c r="H1937" i="1"/>
  <c r="A1938" i="1"/>
  <c r="B1938" i="1"/>
  <c r="C1938" i="1"/>
  <c r="D1938" i="1"/>
  <c r="E1938" i="1"/>
  <c r="F1938" i="1"/>
  <c r="H1938" i="1"/>
  <c r="A1939" i="1"/>
  <c r="B1939" i="1"/>
  <c r="C1939" i="1"/>
  <c r="D1939" i="1"/>
  <c r="E1939" i="1"/>
  <c r="F1939" i="1"/>
  <c r="H1939" i="1"/>
  <c r="A1940" i="1"/>
  <c r="B1940" i="1"/>
  <c r="C1940" i="1"/>
  <c r="D1940" i="1"/>
  <c r="E1940" i="1"/>
  <c r="F1940" i="1"/>
  <c r="H1940" i="1"/>
  <c r="A1941" i="1"/>
  <c r="B1941" i="1"/>
  <c r="C1941" i="1"/>
  <c r="D1941" i="1"/>
  <c r="E1941" i="1"/>
  <c r="F1941" i="1"/>
  <c r="H1941" i="1"/>
  <c r="A1942" i="1"/>
  <c r="B1942" i="1"/>
  <c r="C1942" i="1"/>
  <c r="D1942" i="1"/>
  <c r="E1942" i="1"/>
  <c r="F1942" i="1"/>
  <c r="H1942" i="1"/>
  <c r="A1943" i="1"/>
  <c r="B1943" i="1"/>
  <c r="C1943" i="1"/>
  <c r="D1943" i="1"/>
  <c r="E1943" i="1"/>
  <c r="F1943" i="1"/>
  <c r="H1943" i="1"/>
  <c r="A1944" i="1"/>
  <c r="B1944" i="1"/>
  <c r="C1944" i="1"/>
  <c r="D1944" i="1"/>
  <c r="E1944" i="1"/>
  <c r="F1944" i="1"/>
  <c r="H1944" i="1"/>
  <c r="A1945" i="1"/>
  <c r="B1945" i="1"/>
  <c r="C1945" i="1"/>
  <c r="D1945" i="1"/>
  <c r="E1945" i="1"/>
  <c r="F1945" i="1"/>
  <c r="H1945" i="1"/>
  <c r="A1946" i="1"/>
  <c r="B1946" i="1"/>
  <c r="C1946" i="1"/>
  <c r="D1946" i="1"/>
  <c r="E1946" i="1"/>
  <c r="F1946" i="1"/>
  <c r="H1946" i="1"/>
  <c r="A1947" i="1"/>
  <c r="B1947" i="1"/>
  <c r="C1947" i="1"/>
  <c r="D1947" i="1"/>
  <c r="E1947" i="1"/>
  <c r="F1947" i="1"/>
  <c r="H1947" i="1"/>
  <c r="A1948" i="1"/>
  <c r="B1948" i="1"/>
  <c r="C1948" i="1"/>
  <c r="D1948" i="1"/>
  <c r="E1948" i="1"/>
  <c r="F1948" i="1"/>
  <c r="H1948" i="1"/>
  <c r="A1949" i="1"/>
  <c r="B1949" i="1"/>
  <c r="C1949" i="1"/>
  <c r="D1949" i="1"/>
  <c r="E1949" i="1"/>
  <c r="F1949" i="1"/>
  <c r="H1949" i="1"/>
  <c r="A1950" i="1"/>
  <c r="B1950" i="1"/>
  <c r="C1950" i="1"/>
  <c r="D1950" i="1"/>
  <c r="E1950" i="1"/>
  <c r="F1950" i="1"/>
  <c r="H1950" i="1"/>
  <c r="A1951" i="1"/>
  <c r="B1951" i="1"/>
  <c r="C1951" i="1"/>
  <c r="D1951" i="1"/>
  <c r="E1951" i="1"/>
  <c r="F1951" i="1"/>
  <c r="H1951" i="1"/>
  <c r="A1952" i="1"/>
  <c r="B1952" i="1"/>
  <c r="C1952" i="1"/>
  <c r="D1952" i="1"/>
  <c r="E1952" i="1"/>
  <c r="F1952" i="1"/>
  <c r="H1952" i="1"/>
  <c r="A1953" i="1"/>
  <c r="B1953" i="1"/>
  <c r="C1953" i="1"/>
  <c r="D1953" i="1"/>
  <c r="E1953" i="1"/>
  <c r="F1953" i="1"/>
  <c r="H1953" i="1"/>
  <c r="A1954" i="1"/>
  <c r="B1954" i="1"/>
  <c r="C1954" i="1"/>
  <c r="D1954" i="1"/>
  <c r="E1954" i="1"/>
  <c r="F1954" i="1"/>
  <c r="H1954" i="1"/>
  <c r="A1955" i="1"/>
  <c r="B1955" i="1"/>
  <c r="C1955" i="1"/>
  <c r="D1955" i="1"/>
  <c r="E1955" i="1"/>
  <c r="F1955" i="1"/>
  <c r="H1955" i="1"/>
  <c r="A1956" i="1"/>
  <c r="B1956" i="1"/>
  <c r="C1956" i="1"/>
  <c r="D1956" i="1"/>
  <c r="E1956" i="1"/>
  <c r="F1956" i="1"/>
  <c r="H1956" i="1"/>
  <c r="A1957" i="1"/>
  <c r="B1957" i="1"/>
  <c r="C1957" i="1"/>
  <c r="D1957" i="1"/>
  <c r="E1957" i="1"/>
  <c r="F1957" i="1"/>
  <c r="H1957" i="1"/>
  <c r="A1958" i="1"/>
  <c r="B1958" i="1"/>
  <c r="C1958" i="1"/>
  <c r="D1958" i="1"/>
  <c r="E1958" i="1"/>
  <c r="F1958" i="1"/>
  <c r="H1958" i="1"/>
  <c r="A1959" i="1"/>
  <c r="B1959" i="1"/>
  <c r="C1959" i="1"/>
  <c r="D1959" i="1"/>
  <c r="E1959" i="1"/>
  <c r="F1959" i="1"/>
  <c r="H1959" i="1"/>
  <c r="A1960" i="1"/>
  <c r="B1960" i="1"/>
  <c r="C1960" i="1"/>
  <c r="D1960" i="1"/>
  <c r="E1960" i="1"/>
  <c r="F1960" i="1"/>
  <c r="H1960" i="1"/>
  <c r="A1961" i="1"/>
  <c r="B1961" i="1"/>
  <c r="C1961" i="1"/>
  <c r="D1961" i="1"/>
  <c r="E1961" i="1"/>
  <c r="F1961" i="1"/>
  <c r="H1961" i="1"/>
  <c r="A1962" i="1"/>
  <c r="B1962" i="1"/>
  <c r="C1962" i="1"/>
  <c r="D1962" i="1"/>
  <c r="E1962" i="1"/>
  <c r="F1962" i="1"/>
  <c r="H1962" i="1"/>
  <c r="A1963" i="1"/>
  <c r="B1963" i="1"/>
  <c r="C1963" i="1"/>
  <c r="D1963" i="1"/>
  <c r="E1963" i="1"/>
  <c r="F1963" i="1"/>
  <c r="H1963" i="1"/>
  <c r="A1964" i="1"/>
  <c r="B1964" i="1"/>
  <c r="C1964" i="1"/>
  <c r="D1964" i="1"/>
  <c r="E1964" i="1"/>
  <c r="F1964" i="1"/>
  <c r="H1964" i="1"/>
  <c r="A1965" i="1"/>
  <c r="B1965" i="1"/>
  <c r="C1965" i="1"/>
  <c r="D1965" i="1"/>
  <c r="E1965" i="1"/>
  <c r="F1965" i="1"/>
  <c r="H1965" i="1"/>
  <c r="A1966" i="1"/>
  <c r="B1966" i="1"/>
  <c r="C1966" i="1"/>
  <c r="D1966" i="1"/>
  <c r="E1966" i="1"/>
  <c r="F1966" i="1"/>
  <c r="H1966" i="1"/>
  <c r="A1967" i="1"/>
  <c r="B1967" i="1"/>
  <c r="C1967" i="1"/>
  <c r="D1967" i="1"/>
  <c r="E1967" i="1"/>
  <c r="F1967" i="1"/>
  <c r="H1967" i="1"/>
  <c r="A1968" i="1"/>
  <c r="B1968" i="1"/>
  <c r="C1968" i="1"/>
  <c r="D1968" i="1"/>
  <c r="E1968" i="1"/>
  <c r="F1968" i="1"/>
  <c r="H1968" i="1"/>
  <c r="A1969" i="1"/>
  <c r="B1969" i="1"/>
  <c r="C1969" i="1"/>
  <c r="D1969" i="1"/>
  <c r="E1969" i="1"/>
  <c r="F1969" i="1"/>
  <c r="H1969" i="1"/>
  <c r="A1970" i="1"/>
  <c r="B1970" i="1"/>
  <c r="C1970" i="1"/>
  <c r="D1970" i="1"/>
  <c r="E1970" i="1"/>
  <c r="F1970" i="1"/>
  <c r="H1970" i="1"/>
  <c r="A1971" i="1"/>
  <c r="B1971" i="1"/>
  <c r="C1971" i="1"/>
  <c r="D1971" i="1"/>
  <c r="E1971" i="1"/>
  <c r="F1971" i="1"/>
  <c r="H1971" i="1"/>
  <c r="A1972" i="1"/>
  <c r="B1972" i="1"/>
  <c r="C1972" i="1"/>
  <c r="D1972" i="1"/>
  <c r="E1972" i="1"/>
  <c r="F1972" i="1"/>
  <c r="H1972" i="1"/>
  <c r="A1973" i="1"/>
  <c r="B1973" i="1"/>
  <c r="C1973" i="1"/>
  <c r="D1973" i="1"/>
  <c r="E1973" i="1"/>
  <c r="F1973" i="1"/>
  <c r="H1973" i="1"/>
  <c r="A1974" i="1"/>
  <c r="B1974" i="1"/>
  <c r="C1974" i="1"/>
  <c r="D1974" i="1"/>
  <c r="E1974" i="1"/>
  <c r="F1974" i="1"/>
  <c r="H1974" i="1"/>
  <c r="A1975" i="1"/>
  <c r="B1975" i="1"/>
  <c r="C1975" i="1"/>
  <c r="D1975" i="1"/>
  <c r="E1975" i="1"/>
  <c r="F1975" i="1"/>
  <c r="H1975" i="1"/>
  <c r="A1976" i="1"/>
  <c r="B1976" i="1"/>
  <c r="C1976" i="1"/>
  <c r="D1976" i="1"/>
  <c r="E1976" i="1"/>
  <c r="F1976" i="1"/>
  <c r="H1976" i="1"/>
  <c r="A1977" i="1"/>
  <c r="B1977" i="1"/>
  <c r="C1977" i="1"/>
  <c r="D1977" i="1"/>
  <c r="E1977" i="1"/>
  <c r="F1977" i="1"/>
  <c r="H1977" i="1"/>
  <c r="A1978" i="1"/>
  <c r="B1978" i="1"/>
  <c r="C1978" i="1"/>
  <c r="D1978" i="1"/>
  <c r="E1978" i="1"/>
  <c r="F1978" i="1"/>
  <c r="H1978" i="1"/>
  <c r="A1979" i="1"/>
  <c r="B1979" i="1"/>
  <c r="C1979" i="1"/>
  <c r="D1979" i="1"/>
  <c r="E1979" i="1"/>
  <c r="F1979" i="1"/>
  <c r="H1979" i="1"/>
  <c r="A1980" i="1"/>
  <c r="B1980" i="1"/>
  <c r="C1980" i="1"/>
  <c r="D1980" i="1"/>
  <c r="E1980" i="1"/>
  <c r="F1980" i="1"/>
  <c r="H1980" i="1"/>
  <c r="A1981" i="1"/>
  <c r="B1981" i="1"/>
  <c r="C1981" i="1"/>
  <c r="D1981" i="1"/>
  <c r="E1981" i="1"/>
  <c r="F1981" i="1"/>
  <c r="H1981" i="1"/>
  <c r="A1982" i="1"/>
  <c r="B1982" i="1"/>
  <c r="C1982" i="1"/>
  <c r="D1982" i="1"/>
  <c r="E1982" i="1"/>
  <c r="F1982" i="1"/>
  <c r="H1982" i="1"/>
  <c r="A1983" i="1"/>
  <c r="B1983" i="1"/>
  <c r="C1983" i="1"/>
  <c r="D1983" i="1"/>
  <c r="E1983" i="1"/>
  <c r="F1983" i="1"/>
  <c r="H1983" i="1"/>
  <c r="A1984" i="1"/>
  <c r="B1984" i="1"/>
  <c r="C1984" i="1"/>
  <c r="D1984" i="1"/>
  <c r="E1984" i="1"/>
  <c r="F1984" i="1"/>
  <c r="H1984" i="1"/>
  <c r="A1985" i="1"/>
  <c r="B1985" i="1"/>
  <c r="C1985" i="1"/>
  <c r="D1985" i="1"/>
  <c r="E1985" i="1"/>
  <c r="F1985" i="1"/>
  <c r="H1985" i="1"/>
  <c r="A1986" i="1"/>
  <c r="B1986" i="1"/>
  <c r="C1986" i="1"/>
  <c r="D1986" i="1"/>
  <c r="E1986" i="1"/>
  <c r="F1986" i="1"/>
  <c r="H1986" i="1"/>
  <c r="A1987" i="1"/>
  <c r="B1987" i="1"/>
  <c r="C1987" i="1"/>
  <c r="D1987" i="1"/>
  <c r="E1987" i="1"/>
  <c r="F1987" i="1"/>
  <c r="H1987" i="1"/>
  <c r="A1988" i="1"/>
  <c r="B1988" i="1"/>
  <c r="C1988" i="1"/>
  <c r="D1988" i="1"/>
  <c r="E1988" i="1"/>
  <c r="F1988" i="1"/>
  <c r="H1988" i="1"/>
  <c r="A1989" i="1"/>
  <c r="B1989" i="1"/>
  <c r="C1989" i="1"/>
  <c r="D1989" i="1"/>
  <c r="E1989" i="1"/>
  <c r="F1989" i="1"/>
  <c r="H1989" i="1"/>
  <c r="A1990" i="1"/>
  <c r="B1990" i="1"/>
  <c r="C1990" i="1"/>
  <c r="D1990" i="1"/>
  <c r="E1990" i="1"/>
  <c r="F1990" i="1"/>
  <c r="H1990" i="1"/>
  <c r="A1991" i="1"/>
  <c r="B1991" i="1"/>
  <c r="C1991" i="1"/>
  <c r="D1991" i="1"/>
  <c r="E1991" i="1"/>
  <c r="F1991" i="1"/>
  <c r="H1991" i="1"/>
  <c r="A1992" i="1"/>
  <c r="B1992" i="1"/>
  <c r="C1992" i="1"/>
  <c r="D1992" i="1"/>
  <c r="E1992" i="1"/>
  <c r="F1992" i="1"/>
  <c r="H1992" i="1"/>
  <c r="A1993" i="1"/>
  <c r="B1993" i="1"/>
  <c r="C1993" i="1"/>
  <c r="D1993" i="1"/>
  <c r="E1993" i="1"/>
  <c r="F1993" i="1"/>
  <c r="H1993" i="1"/>
  <c r="A1994" i="1"/>
  <c r="B1994" i="1"/>
  <c r="C1994" i="1"/>
  <c r="D1994" i="1"/>
  <c r="E1994" i="1"/>
  <c r="F1994" i="1"/>
  <c r="H1994" i="1"/>
  <c r="A1995" i="1"/>
  <c r="B1995" i="1"/>
  <c r="C1995" i="1"/>
  <c r="D1995" i="1"/>
  <c r="E1995" i="1"/>
  <c r="F1995" i="1"/>
  <c r="H1995" i="1"/>
  <c r="A1996" i="1"/>
  <c r="B1996" i="1"/>
  <c r="C1996" i="1"/>
  <c r="D1996" i="1"/>
  <c r="E1996" i="1"/>
  <c r="F1996" i="1"/>
  <c r="H1996" i="1"/>
  <c r="A1997" i="1"/>
  <c r="B1997" i="1"/>
  <c r="C1997" i="1"/>
  <c r="D1997" i="1"/>
  <c r="E1997" i="1"/>
  <c r="F1997" i="1"/>
  <c r="H1997" i="1"/>
  <c r="A1998" i="1"/>
  <c r="B1998" i="1"/>
  <c r="C1998" i="1"/>
  <c r="D1998" i="1"/>
  <c r="E1998" i="1"/>
  <c r="F1998" i="1"/>
  <c r="H1998" i="1"/>
  <c r="A1999" i="1"/>
  <c r="B1999" i="1"/>
  <c r="C1999" i="1"/>
  <c r="D1999" i="1"/>
  <c r="E1999" i="1"/>
  <c r="F1999" i="1"/>
  <c r="H1999" i="1"/>
  <c r="A2000" i="1"/>
  <c r="B2000" i="1"/>
  <c r="C2000" i="1"/>
  <c r="D2000" i="1"/>
  <c r="E2000" i="1"/>
  <c r="F2000" i="1"/>
  <c r="H2000" i="1"/>
  <c r="A2001" i="1"/>
  <c r="B2001" i="1"/>
  <c r="C2001" i="1"/>
  <c r="D2001" i="1"/>
  <c r="E2001" i="1"/>
  <c r="F2001" i="1"/>
  <c r="H2001" i="1"/>
  <c r="A2002" i="1"/>
  <c r="B2002" i="1"/>
  <c r="C2002" i="1"/>
  <c r="D2002" i="1"/>
  <c r="E2002" i="1"/>
  <c r="F2002" i="1"/>
  <c r="H2002" i="1"/>
  <c r="A2003" i="1"/>
  <c r="B2003" i="1"/>
  <c r="C2003" i="1"/>
  <c r="D2003" i="1"/>
  <c r="E2003" i="1"/>
  <c r="F2003" i="1"/>
  <c r="H2003" i="1"/>
  <c r="A2004" i="1"/>
  <c r="B2004" i="1"/>
  <c r="C2004" i="1"/>
  <c r="D2004" i="1"/>
  <c r="E2004" i="1"/>
  <c r="F2004" i="1"/>
  <c r="H2004" i="1"/>
  <c r="A2005" i="1"/>
  <c r="B2005" i="1"/>
  <c r="C2005" i="1"/>
  <c r="D2005" i="1"/>
  <c r="E2005" i="1"/>
  <c r="F2005" i="1"/>
  <c r="H2005" i="1"/>
  <c r="A2006" i="1"/>
  <c r="B2006" i="1"/>
  <c r="C2006" i="1"/>
  <c r="D2006" i="1"/>
  <c r="E2006" i="1"/>
  <c r="F2006" i="1"/>
  <c r="H2006" i="1"/>
  <c r="A2007" i="1"/>
  <c r="B2007" i="1"/>
  <c r="C2007" i="1"/>
  <c r="D2007" i="1"/>
  <c r="E2007" i="1"/>
  <c r="F2007" i="1"/>
  <c r="H2007" i="1"/>
  <c r="A2008" i="1"/>
  <c r="B2008" i="1"/>
  <c r="C2008" i="1"/>
  <c r="D2008" i="1"/>
  <c r="E2008" i="1"/>
  <c r="F2008" i="1"/>
  <c r="H2008" i="1"/>
  <c r="A2009" i="1"/>
  <c r="B2009" i="1"/>
  <c r="C2009" i="1"/>
  <c r="D2009" i="1"/>
  <c r="E2009" i="1"/>
  <c r="F2009" i="1"/>
  <c r="H2009" i="1"/>
  <c r="A2010" i="1"/>
  <c r="B2010" i="1"/>
  <c r="C2010" i="1"/>
  <c r="D2010" i="1"/>
  <c r="E2010" i="1"/>
  <c r="F2010" i="1"/>
  <c r="H2010" i="1"/>
  <c r="A2011" i="1"/>
  <c r="B2011" i="1"/>
  <c r="C2011" i="1"/>
  <c r="D2011" i="1"/>
  <c r="E2011" i="1"/>
  <c r="F2011" i="1"/>
  <c r="H2011" i="1"/>
  <c r="A2012" i="1"/>
  <c r="B2012" i="1"/>
  <c r="C2012" i="1"/>
  <c r="D2012" i="1"/>
  <c r="E2012" i="1"/>
  <c r="F2012" i="1"/>
  <c r="H2012" i="1"/>
  <c r="A2013" i="1"/>
  <c r="B2013" i="1"/>
  <c r="C2013" i="1"/>
  <c r="D2013" i="1"/>
  <c r="E2013" i="1"/>
  <c r="F2013" i="1"/>
  <c r="H2013" i="1"/>
  <c r="A2014" i="1"/>
  <c r="B2014" i="1"/>
  <c r="C2014" i="1"/>
  <c r="D2014" i="1"/>
  <c r="E2014" i="1"/>
  <c r="F2014" i="1"/>
  <c r="H2014" i="1"/>
  <c r="A2015" i="1"/>
  <c r="B2015" i="1"/>
  <c r="C2015" i="1"/>
  <c r="D2015" i="1"/>
  <c r="E2015" i="1"/>
  <c r="F2015" i="1"/>
  <c r="H2015" i="1"/>
  <c r="A2016" i="1"/>
  <c r="B2016" i="1"/>
  <c r="C2016" i="1"/>
  <c r="D2016" i="1"/>
  <c r="E2016" i="1"/>
  <c r="F2016" i="1"/>
  <c r="H2016" i="1"/>
  <c r="A2017" i="1"/>
  <c r="B2017" i="1"/>
  <c r="C2017" i="1"/>
  <c r="D2017" i="1"/>
  <c r="E2017" i="1"/>
  <c r="F2017" i="1"/>
  <c r="H2017" i="1"/>
  <c r="A2018" i="1"/>
  <c r="B2018" i="1"/>
  <c r="C2018" i="1"/>
  <c r="D2018" i="1"/>
  <c r="E2018" i="1"/>
  <c r="F2018" i="1"/>
  <c r="H2018" i="1"/>
  <c r="A2019" i="1"/>
  <c r="B2019" i="1"/>
  <c r="C2019" i="1"/>
  <c r="D2019" i="1"/>
  <c r="E2019" i="1"/>
  <c r="F2019" i="1"/>
  <c r="H2019" i="1"/>
  <c r="A2020" i="1"/>
  <c r="B2020" i="1"/>
  <c r="C2020" i="1"/>
  <c r="D2020" i="1"/>
  <c r="E2020" i="1"/>
  <c r="F2020" i="1"/>
  <c r="H2020" i="1"/>
  <c r="A2021" i="1"/>
  <c r="B2021" i="1"/>
  <c r="C2021" i="1"/>
  <c r="D2021" i="1"/>
  <c r="E2021" i="1"/>
  <c r="F2021" i="1"/>
  <c r="H2021" i="1"/>
  <c r="A2022" i="1"/>
  <c r="B2022" i="1"/>
  <c r="C2022" i="1"/>
  <c r="D2022" i="1"/>
  <c r="E2022" i="1"/>
  <c r="F2022" i="1"/>
  <c r="H2022" i="1"/>
  <c r="A2023" i="1"/>
  <c r="B2023" i="1"/>
  <c r="C2023" i="1"/>
  <c r="D2023" i="1"/>
  <c r="E2023" i="1"/>
  <c r="F2023" i="1"/>
  <c r="H2023" i="1"/>
  <c r="A2024" i="1"/>
  <c r="B2024" i="1"/>
  <c r="C2024" i="1"/>
  <c r="D2024" i="1"/>
  <c r="E2024" i="1"/>
  <c r="F2024" i="1"/>
  <c r="H2024" i="1"/>
  <c r="A2025" i="1"/>
  <c r="B2025" i="1"/>
  <c r="C2025" i="1"/>
  <c r="D2025" i="1"/>
  <c r="E2025" i="1"/>
  <c r="F2025" i="1"/>
  <c r="H2025" i="1"/>
  <c r="A2026" i="1"/>
  <c r="B2026" i="1"/>
  <c r="C2026" i="1"/>
  <c r="D2026" i="1"/>
  <c r="E2026" i="1"/>
  <c r="F2026" i="1"/>
  <c r="H2026" i="1"/>
  <c r="A2027" i="1"/>
  <c r="B2027" i="1"/>
  <c r="C2027" i="1"/>
  <c r="D2027" i="1"/>
  <c r="E2027" i="1"/>
  <c r="F2027" i="1"/>
  <c r="H2027" i="1"/>
  <c r="A2028" i="1"/>
  <c r="B2028" i="1"/>
  <c r="C2028" i="1"/>
  <c r="D2028" i="1"/>
  <c r="E2028" i="1"/>
  <c r="F2028" i="1"/>
  <c r="H2028" i="1"/>
  <c r="A2029" i="1"/>
  <c r="B2029" i="1"/>
  <c r="C2029" i="1"/>
  <c r="D2029" i="1"/>
  <c r="E2029" i="1"/>
  <c r="F2029" i="1"/>
  <c r="H2029" i="1"/>
  <c r="A2030" i="1"/>
  <c r="B2030" i="1"/>
  <c r="C2030" i="1"/>
  <c r="D2030" i="1"/>
  <c r="E2030" i="1"/>
  <c r="F2030" i="1"/>
  <c r="H2030" i="1"/>
  <c r="A2031" i="1"/>
  <c r="B2031" i="1"/>
  <c r="C2031" i="1"/>
  <c r="D2031" i="1"/>
  <c r="E2031" i="1"/>
  <c r="F2031" i="1"/>
  <c r="H2031" i="1"/>
  <c r="A2032" i="1"/>
  <c r="B2032" i="1"/>
  <c r="C2032" i="1"/>
  <c r="D2032" i="1"/>
  <c r="E2032" i="1"/>
  <c r="F2032" i="1"/>
  <c r="H2032" i="1"/>
  <c r="A2033" i="1"/>
  <c r="B2033" i="1"/>
  <c r="C2033" i="1"/>
  <c r="D2033" i="1"/>
  <c r="E2033" i="1"/>
  <c r="F2033" i="1"/>
  <c r="H2033" i="1"/>
  <c r="A2034" i="1"/>
  <c r="B2034" i="1"/>
  <c r="C2034" i="1"/>
  <c r="D2034" i="1"/>
  <c r="E2034" i="1"/>
  <c r="F2034" i="1"/>
  <c r="H2034" i="1"/>
  <c r="A2035" i="1"/>
  <c r="B2035" i="1"/>
  <c r="C2035" i="1"/>
  <c r="D2035" i="1"/>
  <c r="E2035" i="1"/>
  <c r="F2035" i="1"/>
  <c r="H2035" i="1"/>
  <c r="A2036" i="1"/>
  <c r="B2036" i="1"/>
  <c r="C2036" i="1"/>
  <c r="D2036" i="1"/>
  <c r="E2036" i="1"/>
  <c r="F2036" i="1"/>
  <c r="H2036" i="1"/>
  <c r="A2037" i="1"/>
  <c r="B2037" i="1"/>
  <c r="C2037" i="1"/>
  <c r="D2037" i="1"/>
  <c r="E2037" i="1"/>
  <c r="F2037" i="1"/>
  <c r="H2037" i="1"/>
  <c r="A2038" i="1"/>
  <c r="B2038" i="1"/>
  <c r="C2038" i="1"/>
  <c r="D2038" i="1"/>
  <c r="E2038" i="1"/>
  <c r="F2038" i="1"/>
  <c r="H2038" i="1"/>
  <c r="A2039" i="1"/>
  <c r="B2039" i="1"/>
  <c r="C2039" i="1"/>
  <c r="D2039" i="1"/>
  <c r="E2039" i="1"/>
  <c r="F2039" i="1"/>
  <c r="H2039" i="1"/>
  <c r="A2040" i="1"/>
  <c r="B2040" i="1"/>
  <c r="C2040" i="1"/>
  <c r="D2040" i="1"/>
  <c r="E2040" i="1"/>
  <c r="F2040" i="1"/>
  <c r="H2040" i="1"/>
  <c r="A2041" i="1"/>
  <c r="B2041" i="1"/>
  <c r="C2041" i="1"/>
  <c r="D2041" i="1"/>
  <c r="E2041" i="1"/>
  <c r="F2041" i="1"/>
  <c r="H2041" i="1"/>
  <c r="A2042" i="1"/>
  <c r="B2042" i="1"/>
  <c r="C2042" i="1"/>
  <c r="D2042" i="1"/>
  <c r="E2042" i="1"/>
  <c r="F2042" i="1"/>
  <c r="H2042" i="1"/>
  <c r="A2043" i="1"/>
  <c r="B2043" i="1"/>
  <c r="C2043" i="1"/>
  <c r="D2043" i="1"/>
  <c r="E2043" i="1"/>
  <c r="F2043" i="1"/>
  <c r="H2043" i="1"/>
  <c r="A2044" i="1"/>
  <c r="B2044" i="1"/>
  <c r="C2044" i="1"/>
  <c r="D2044" i="1"/>
  <c r="E2044" i="1"/>
  <c r="F2044" i="1"/>
  <c r="H2044" i="1"/>
  <c r="A2045" i="1"/>
  <c r="B2045" i="1"/>
  <c r="C2045" i="1"/>
  <c r="D2045" i="1"/>
  <c r="E2045" i="1"/>
  <c r="F2045" i="1"/>
  <c r="H2045" i="1"/>
  <c r="A2046" i="1"/>
  <c r="B2046" i="1"/>
  <c r="C2046" i="1"/>
  <c r="D2046" i="1"/>
  <c r="E2046" i="1"/>
  <c r="F2046" i="1"/>
  <c r="H2046" i="1"/>
  <c r="A2047" i="1"/>
  <c r="B2047" i="1"/>
  <c r="C2047" i="1"/>
  <c r="D2047" i="1"/>
  <c r="E2047" i="1"/>
  <c r="F2047" i="1"/>
  <c r="H2047" i="1"/>
  <c r="A2048" i="1"/>
  <c r="B2048" i="1"/>
  <c r="C2048" i="1"/>
  <c r="D2048" i="1"/>
  <c r="E2048" i="1"/>
  <c r="F2048" i="1"/>
  <c r="H2048" i="1"/>
  <c r="A2049" i="1"/>
  <c r="B2049" i="1"/>
  <c r="C2049" i="1"/>
  <c r="D2049" i="1"/>
  <c r="E2049" i="1"/>
  <c r="F2049" i="1"/>
  <c r="H2049" i="1"/>
  <c r="A2050" i="1"/>
  <c r="B2050" i="1"/>
  <c r="C2050" i="1"/>
  <c r="D2050" i="1"/>
  <c r="E2050" i="1"/>
  <c r="F2050" i="1"/>
  <c r="H2050" i="1"/>
  <c r="A2051" i="1"/>
  <c r="B2051" i="1"/>
  <c r="C2051" i="1"/>
  <c r="D2051" i="1"/>
  <c r="E2051" i="1"/>
  <c r="F2051" i="1"/>
  <c r="H2051" i="1"/>
  <c r="A2052" i="1"/>
  <c r="B2052" i="1"/>
  <c r="C2052" i="1"/>
  <c r="D2052" i="1"/>
  <c r="E2052" i="1"/>
  <c r="F2052" i="1"/>
  <c r="H2052" i="1"/>
  <c r="A2053" i="1"/>
  <c r="B2053" i="1"/>
  <c r="C2053" i="1"/>
  <c r="D2053" i="1"/>
  <c r="E2053" i="1"/>
  <c r="F2053" i="1"/>
  <c r="H2053" i="1"/>
  <c r="A2054" i="1"/>
  <c r="B2054" i="1"/>
  <c r="C2054" i="1"/>
  <c r="D2054" i="1"/>
  <c r="E2054" i="1"/>
  <c r="F2054" i="1"/>
  <c r="H2054" i="1"/>
  <c r="A2055" i="1"/>
  <c r="B2055" i="1"/>
  <c r="C2055" i="1"/>
  <c r="D2055" i="1"/>
  <c r="E2055" i="1"/>
  <c r="F2055" i="1"/>
  <c r="H2055" i="1"/>
  <c r="A2056" i="1"/>
  <c r="B2056" i="1"/>
  <c r="C2056" i="1"/>
  <c r="D2056" i="1"/>
  <c r="E2056" i="1"/>
  <c r="F2056" i="1"/>
  <c r="H2056" i="1"/>
  <c r="A2057" i="1"/>
  <c r="B2057" i="1"/>
  <c r="C2057" i="1"/>
  <c r="D2057" i="1"/>
  <c r="E2057" i="1"/>
  <c r="F2057" i="1"/>
  <c r="H2057" i="1"/>
  <c r="A2058" i="1"/>
  <c r="B2058" i="1"/>
  <c r="C2058" i="1"/>
  <c r="D2058" i="1"/>
  <c r="E2058" i="1"/>
  <c r="F2058" i="1"/>
  <c r="H2058" i="1"/>
  <c r="A2059" i="1"/>
  <c r="B2059" i="1"/>
  <c r="C2059" i="1"/>
  <c r="D2059" i="1"/>
  <c r="E2059" i="1"/>
  <c r="F2059" i="1"/>
  <c r="H2059" i="1"/>
  <c r="A2060" i="1"/>
  <c r="B2060" i="1"/>
  <c r="C2060" i="1"/>
  <c r="D2060" i="1"/>
  <c r="E2060" i="1"/>
  <c r="F2060" i="1"/>
  <c r="H2060" i="1"/>
  <c r="A2061" i="1"/>
  <c r="B2061" i="1"/>
  <c r="C2061" i="1"/>
  <c r="D2061" i="1"/>
  <c r="E2061" i="1"/>
  <c r="F2061" i="1"/>
  <c r="H2061" i="1"/>
  <c r="A2062" i="1"/>
  <c r="B2062" i="1"/>
  <c r="C2062" i="1"/>
  <c r="D2062" i="1"/>
  <c r="E2062" i="1"/>
  <c r="F2062" i="1"/>
  <c r="H2062" i="1"/>
  <c r="A2063" i="1"/>
  <c r="B2063" i="1"/>
  <c r="C2063" i="1"/>
  <c r="D2063" i="1"/>
  <c r="E2063" i="1"/>
  <c r="F2063" i="1"/>
  <c r="H2063" i="1"/>
  <c r="A2064" i="1"/>
  <c r="B2064" i="1"/>
  <c r="C2064" i="1"/>
  <c r="D2064" i="1"/>
  <c r="E2064" i="1"/>
  <c r="F2064" i="1"/>
  <c r="H2064" i="1"/>
  <c r="A2065" i="1"/>
  <c r="B2065" i="1"/>
  <c r="C2065" i="1"/>
  <c r="D2065" i="1"/>
  <c r="E2065" i="1"/>
  <c r="F2065" i="1"/>
  <c r="H2065" i="1"/>
  <c r="A2066" i="1"/>
  <c r="B2066" i="1"/>
  <c r="C2066" i="1"/>
  <c r="D2066" i="1"/>
  <c r="E2066" i="1"/>
  <c r="F2066" i="1"/>
  <c r="H2066" i="1"/>
  <c r="A2067" i="1"/>
  <c r="B2067" i="1"/>
  <c r="C2067" i="1"/>
  <c r="D2067" i="1"/>
  <c r="E2067" i="1"/>
  <c r="F2067" i="1"/>
  <c r="H2067" i="1"/>
  <c r="A2068" i="1"/>
  <c r="B2068" i="1"/>
  <c r="C2068" i="1"/>
  <c r="D2068" i="1"/>
  <c r="E2068" i="1"/>
  <c r="F2068" i="1"/>
  <c r="H2068" i="1"/>
  <c r="A2069" i="1"/>
  <c r="B2069" i="1"/>
  <c r="C2069" i="1"/>
  <c r="D2069" i="1"/>
  <c r="E2069" i="1"/>
  <c r="F2069" i="1"/>
  <c r="H2069" i="1"/>
  <c r="A2070" i="1"/>
  <c r="B2070" i="1"/>
  <c r="C2070" i="1"/>
  <c r="D2070" i="1"/>
  <c r="E2070" i="1"/>
  <c r="F2070" i="1"/>
  <c r="H2070" i="1"/>
  <c r="A2071" i="1"/>
  <c r="B2071" i="1"/>
  <c r="C2071" i="1"/>
  <c r="D2071" i="1"/>
  <c r="E2071" i="1"/>
  <c r="F2071" i="1"/>
  <c r="H2071" i="1"/>
  <c r="A2072" i="1"/>
  <c r="B2072" i="1"/>
  <c r="C2072" i="1"/>
  <c r="D2072" i="1"/>
  <c r="E2072" i="1"/>
  <c r="F2072" i="1"/>
  <c r="H2072" i="1"/>
  <c r="A2073" i="1"/>
  <c r="B2073" i="1"/>
  <c r="C2073" i="1"/>
  <c r="D2073" i="1"/>
  <c r="E2073" i="1"/>
  <c r="F2073" i="1"/>
  <c r="H2073" i="1"/>
  <c r="A2074" i="1"/>
  <c r="B2074" i="1"/>
  <c r="C2074" i="1"/>
  <c r="D2074" i="1"/>
  <c r="E2074" i="1"/>
  <c r="F2074" i="1"/>
  <c r="H2074" i="1"/>
  <c r="A2075" i="1"/>
  <c r="B2075" i="1"/>
  <c r="C2075" i="1"/>
  <c r="D2075" i="1"/>
  <c r="E2075" i="1"/>
  <c r="F2075" i="1"/>
  <c r="H2075" i="1"/>
  <c r="A2076" i="1"/>
  <c r="B2076" i="1"/>
  <c r="C2076" i="1"/>
  <c r="D2076" i="1"/>
  <c r="E2076" i="1"/>
  <c r="F2076" i="1"/>
  <c r="H2076" i="1"/>
  <c r="A2077" i="1"/>
  <c r="B2077" i="1"/>
  <c r="C2077" i="1"/>
  <c r="D2077" i="1"/>
  <c r="E2077" i="1"/>
  <c r="F2077" i="1"/>
  <c r="H2077" i="1"/>
  <c r="A2078" i="1"/>
  <c r="B2078" i="1"/>
  <c r="C2078" i="1"/>
  <c r="D2078" i="1"/>
  <c r="E2078" i="1"/>
  <c r="F2078" i="1"/>
  <c r="H2078" i="1"/>
  <c r="A2079" i="1"/>
  <c r="B2079" i="1"/>
  <c r="C2079" i="1"/>
  <c r="D2079" i="1"/>
  <c r="E2079" i="1"/>
  <c r="F2079" i="1"/>
  <c r="H2079" i="1"/>
  <c r="A2080" i="1"/>
  <c r="B2080" i="1"/>
  <c r="C2080" i="1"/>
  <c r="D2080" i="1"/>
  <c r="E2080" i="1"/>
  <c r="F2080" i="1"/>
  <c r="H2080" i="1"/>
  <c r="A2081" i="1"/>
  <c r="B2081" i="1"/>
  <c r="C2081" i="1"/>
  <c r="D2081" i="1"/>
  <c r="E2081" i="1"/>
  <c r="F2081" i="1"/>
  <c r="H2081" i="1"/>
  <c r="A2082" i="1"/>
  <c r="B2082" i="1"/>
  <c r="C2082" i="1"/>
  <c r="D2082" i="1"/>
  <c r="E2082" i="1"/>
  <c r="F2082" i="1"/>
  <c r="H2082" i="1"/>
  <c r="A2083" i="1"/>
  <c r="B2083" i="1"/>
  <c r="C2083" i="1"/>
  <c r="D2083" i="1"/>
  <c r="E2083" i="1"/>
  <c r="F2083" i="1"/>
  <c r="H2083" i="1"/>
  <c r="A2084" i="1"/>
  <c r="B2084" i="1"/>
  <c r="C2084" i="1"/>
  <c r="D2084" i="1"/>
  <c r="E2084" i="1"/>
  <c r="F2084" i="1"/>
  <c r="H2084" i="1"/>
  <c r="A2085" i="1"/>
  <c r="B2085" i="1"/>
  <c r="C2085" i="1"/>
  <c r="D2085" i="1"/>
  <c r="E2085" i="1"/>
  <c r="F2085" i="1"/>
  <c r="H2085" i="1"/>
  <c r="A2086" i="1"/>
  <c r="B2086" i="1"/>
  <c r="C2086" i="1"/>
  <c r="D2086" i="1"/>
  <c r="E2086" i="1"/>
  <c r="F2086" i="1"/>
  <c r="H2086" i="1"/>
  <c r="A2087" i="1"/>
  <c r="B2087" i="1"/>
  <c r="C2087" i="1"/>
  <c r="D2087" i="1"/>
  <c r="E2087" i="1"/>
  <c r="F2087" i="1"/>
  <c r="H2087" i="1"/>
  <c r="A2088" i="1"/>
  <c r="B2088" i="1"/>
  <c r="C2088" i="1"/>
  <c r="D2088" i="1"/>
  <c r="E2088" i="1"/>
  <c r="F2088" i="1"/>
  <c r="H2088" i="1"/>
  <c r="A2089" i="1"/>
  <c r="B2089" i="1"/>
  <c r="C2089" i="1"/>
  <c r="D2089" i="1"/>
  <c r="E2089" i="1"/>
  <c r="F2089" i="1"/>
  <c r="H2089" i="1"/>
  <c r="A2090" i="1"/>
  <c r="B2090" i="1"/>
  <c r="C2090" i="1"/>
  <c r="D2090" i="1"/>
  <c r="E2090" i="1"/>
  <c r="F2090" i="1"/>
  <c r="H2090" i="1"/>
  <c r="A2091" i="1"/>
  <c r="B2091" i="1"/>
  <c r="C2091" i="1"/>
  <c r="D2091" i="1"/>
  <c r="E2091" i="1"/>
  <c r="F2091" i="1"/>
  <c r="H2091" i="1"/>
  <c r="A2092" i="1"/>
  <c r="B2092" i="1"/>
  <c r="C2092" i="1"/>
  <c r="D2092" i="1"/>
  <c r="E2092" i="1"/>
  <c r="F2092" i="1"/>
  <c r="H2092" i="1"/>
  <c r="A2093" i="1"/>
  <c r="B2093" i="1"/>
  <c r="C2093" i="1"/>
  <c r="D2093" i="1"/>
  <c r="E2093" i="1"/>
  <c r="F2093" i="1"/>
  <c r="H2093" i="1"/>
  <c r="A2094" i="1"/>
  <c r="B2094" i="1"/>
  <c r="C2094" i="1"/>
  <c r="D2094" i="1"/>
  <c r="E2094" i="1"/>
  <c r="F2094" i="1"/>
  <c r="H2094" i="1"/>
  <c r="A2095" i="1"/>
  <c r="B2095" i="1"/>
  <c r="C2095" i="1"/>
  <c r="D2095" i="1"/>
  <c r="E2095" i="1"/>
  <c r="F2095" i="1"/>
  <c r="H2095" i="1"/>
  <c r="A2096" i="1"/>
  <c r="B2096" i="1"/>
  <c r="C2096" i="1"/>
  <c r="D2096" i="1"/>
  <c r="E2096" i="1"/>
  <c r="F2096" i="1"/>
  <c r="H2096" i="1"/>
  <c r="A2097" i="1"/>
  <c r="B2097" i="1"/>
  <c r="C2097" i="1"/>
  <c r="D2097" i="1"/>
  <c r="E2097" i="1"/>
  <c r="F2097" i="1"/>
  <c r="H2097" i="1"/>
  <c r="A2098" i="1"/>
  <c r="B2098" i="1"/>
  <c r="C2098" i="1"/>
  <c r="D2098" i="1"/>
  <c r="E2098" i="1"/>
  <c r="F2098" i="1"/>
  <c r="H2098" i="1"/>
  <c r="A2099" i="1"/>
  <c r="B2099" i="1"/>
  <c r="C2099" i="1"/>
  <c r="D2099" i="1"/>
  <c r="E2099" i="1"/>
  <c r="F2099" i="1"/>
  <c r="H2099" i="1"/>
  <c r="A2100" i="1"/>
  <c r="B2100" i="1"/>
  <c r="C2100" i="1"/>
  <c r="D2100" i="1"/>
  <c r="E2100" i="1"/>
  <c r="F2100" i="1"/>
  <c r="H2100" i="1"/>
  <c r="A2101" i="1"/>
  <c r="B2101" i="1"/>
  <c r="C2101" i="1"/>
  <c r="D2101" i="1"/>
  <c r="E2101" i="1"/>
  <c r="F2101" i="1"/>
  <c r="H2101" i="1"/>
  <c r="A2102" i="1"/>
  <c r="B2102" i="1"/>
  <c r="C2102" i="1"/>
  <c r="D2102" i="1"/>
  <c r="E2102" i="1"/>
  <c r="F2102" i="1"/>
  <c r="H2102" i="1"/>
  <c r="A2103" i="1"/>
  <c r="B2103" i="1"/>
  <c r="C2103" i="1"/>
  <c r="D2103" i="1"/>
  <c r="E2103" i="1"/>
  <c r="F2103" i="1"/>
  <c r="H2103" i="1"/>
  <c r="A2104" i="1"/>
  <c r="B2104" i="1"/>
  <c r="C2104" i="1"/>
  <c r="D2104" i="1"/>
  <c r="E2104" i="1"/>
  <c r="F2104" i="1"/>
  <c r="H2104" i="1"/>
  <c r="A2105" i="1"/>
  <c r="B2105" i="1"/>
  <c r="C2105" i="1"/>
  <c r="D2105" i="1"/>
  <c r="E2105" i="1"/>
  <c r="F2105" i="1"/>
  <c r="H2105" i="1"/>
  <c r="A2106" i="1"/>
  <c r="B2106" i="1"/>
  <c r="C2106" i="1"/>
  <c r="D2106" i="1"/>
  <c r="E2106" i="1"/>
  <c r="F2106" i="1"/>
  <c r="H2106" i="1"/>
  <c r="A2107" i="1"/>
  <c r="B2107" i="1"/>
  <c r="C2107" i="1"/>
  <c r="D2107" i="1"/>
  <c r="E2107" i="1"/>
  <c r="F2107" i="1"/>
  <c r="H2107" i="1"/>
  <c r="A2108" i="1"/>
  <c r="B2108" i="1"/>
  <c r="C2108" i="1"/>
  <c r="D2108" i="1"/>
  <c r="E2108" i="1"/>
  <c r="F2108" i="1"/>
  <c r="H2108" i="1"/>
  <c r="A2109" i="1"/>
  <c r="B2109" i="1"/>
  <c r="C2109" i="1"/>
  <c r="D2109" i="1"/>
  <c r="E2109" i="1"/>
  <c r="F2109" i="1"/>
  <c r="H2109" i="1"/>
  <c r="A2110" i="1"/>
  <c r="B2110" i="1"/>
  <c r="C2110" i="1"/>
  <c r="D2110" i="1"/>
  <c r="E2110" i="1"/>
  <c r="F2110" i="1"/>
  <c r="H2110" i="1"/>
  <c r="A2111" i="1"/>
  <c r="B2111" i="1"/>
  <c r="C2111" i="1"/>
  <c r="D2111" i="1"/>
  <c r="E2111" i="1"/>
  <c r="F2111" i="1"/>
  <c r="H2111" i="1"/>
  <c r="A2112" i="1"/>
  <c r="B2112" i="1"/>
  <c r="C2112" i="1"/>
  <c r="D2112" i="1"/>
  <c r="E2112" i="1"/>
  <c r="F2112" i="1"/>
  <c r="H2112" i="1"/>
  <c r="A2113" i="1"/>
  <c r="B2113" i="1"/>
  <c r="C2113" i="1"/>
  <c r="D2113" i="1"/>
  <c r="E2113" i="1"/>
  <c r="F2113" i="1"/>
  <c r="H2113" i="1"/>
  <c r="A2114" i="1"/>
  <c r="B2114" i="1"/>
  <c r="C2114" i="1"/>
  <c r="D2114" i="1"/>
  <c r="E2114" i="1"/>
  <c r="F2114" i="1"/>
  <c r="H2114" i="1"/>
  <c r="A2115" i="1"/>
  <c r="B2115" i="1"/>
  <c r="C2115" i="1"/>
  <c r="D2115" i="1"/>
  <c r="E2115" i="1"/>
  <c r="F2115" i="1"/>
  <c r="H2115" i="1"/>
  <c r="A2116" i="1"/>
  <c r="B2116" i="1"/>
  <c r="C2116" i="1"/>
  <c r="D2116" i="1"/>
  <c r="E2116" i="1"/>
  <c r="F2116" i="1"/>
  <c r="H2116" i="1"/>
  <c r="A2117" i="1"/>
  <c r="B2117" i="1"/>
  <c r="C2117" i="1"/>
  <c r="D2117" i="1"/>
  <c r="E2117" i="1"/>
  <c r="F2117" i="1"/>
  <c r="H2117" i="1"/>
  <c r="A2118" i="1"/>
  <c r="B2118" i="1"/>
  <c r="C2118" i="1"/>
  <c r="D2118" i="1"/>
  <c r="E2118" i="1"/>
  <c r="F2118" i="1"/>
  <c r="H2118" i="1"/>
  <c r="A2119" i="1"/>
  <c r="B2119" i="1"/>
  <c r="C2119" i="1"/>
  <c r="D2119" i="1"/>
  <c r="E2119" i="1"/>
  <c r="F2119" i="1"/>
  <c r="H2119" i="1"/>
  <c r="A2120" i="1"/>
  <c r="B2120" i="1"/>
  <c r="C2120" i="1"/>
  <c r="D2120" i="1"/>
  <c r="E2120" i="1"/>
  <c r="F2120" i="1"/>
  <c r="H2120" i="1"/>
  <c r="A2121" i="1"/>
  <c r="B2121" i="1"/>
  <c r="C2121" i="1"/>
  <c r="D2121" i="1"/>
  <c r="E2121" i="1"/>
  <c r="F2121" i="1"/>
  <c r="H2121" i="1"/>
  <c r="A2122" i="1"/>
  <c r="B2122" i="1"/>
  <c r="C2122" i="1"/>
  <c r="D2122" i="1"/>
  <c r="E2122" i="1"/>
  <c r="F2122" i="1"/>
  <c r="H2122" i="1"/>
  <c r="A2123" i="1"/>
  <c r="B2123" i="1"/>
  <c r="C2123" i="1"/>
  <c r="D2123" i="1"/>
  <c r="E2123" i="1"/>
  <c r="F2123" i="1"/>
  <c r="H2123" i="1"/>
  <c r="A2124" i="1"/>
  <c r="B2124" i="1"/>
  <c r="C2124" i="1"/>
  <c r="D2124" i="1"/>
  <c r="E2124" i="1"/>
  <c r="F2124" i="1"/>
  <c r="H2124" i="1"/>
  <c r="A2125" i="1"/>
  <c r="B2125" i="1"/>
  <c r="C2125" i="1"/>
  <c r="D2125" i="1"/>
  <c r="E2125" i="1"/>
  <c r="F2125" i="1"/>
  <c r="H2125" i="1"/>
  <c r="A2126" i="1"/>
  <c r="B2126" i="1"/>
  <c r="C2126" i="1"/>
  <c r="D2126" i="1"/>
  <c r="E2126" i="1"/>
  <c r="F2126" i="1"/>
  <c r="H2126" i="1"/>
  <c r="A2127" i="1"/>
  <c r="B2127" i="1"/>
  <c r="C2127" i="1"/>
  <c r="D2127" i="1"/>
  <c r="E2127" i="1"/>
  <c r="F2127" i="1"/>
  <c r="H2127" i="1"/>
  <c r="A2128" i="1"/>
  <c r="B2128" i="1"/>
  <c r="C2128" i="1"/>
  <c r="D2128" i="1"/>
  <c r="E2128" i="1"/>
  <c r="F2128" i="1"/>
  <c r="H2128" i="1"/>
  <c r="A2129" i="1"/>
  <c r="B2129" i="1"/>
  <c r="C2129" i="1"/>
  <c r="D2129" i="1"/>
  <c r="E2129" i="1"/>
  <c r="F2129" i="1"/>
  <c r="H2129" i="1"/>
  <c r="A2130" i="1"/>
  <c r="B2130" i="1"/>
  <c r="C2130" i="1"/>
  <c r="D2130" i="1"/>
  <c r="E2130" i="1"/>
  <c r="F2130" i="1"/>
  <c r="H2130" i="1"/>
  <c r="A2131" i="1"/>
  <c r="B2131" i="1"/>
  <c r="C2131" i="1"/>
  <c r="D2131" i="1"/>
  <c r="E2131" i="1"/>
  <c r="F2131" i="1"/>
  <c r="H2131" i="1"/>
  <c r="A2132" i="1"/>
  <c r="B2132" i="1"/>
  <c r="C2132" i="1"/>
  <c r="D2132" i="1"/>
  <c r="E2132" i="1"/>
  <c r="F2132" i="1"/>
  <c r="H2132" i="1"/>
  <c r="A2133" i="1"/>
  <c r="B2133" i="1"/>
  <c r="C2133" i="1"/>
  <c r="D2133" i="1"/>
  <c r="E2133" i="1"/>
  <c r="F2133" i="1"/>
  <c r="H2133" i="1"/>
  <c r="A2134" i="1"/>
  <c r="B2134" i="1"/>
  <c r="C2134" i="1"/>
  <c r="D2134" i="1"/>
  <c r="E2134" i="1"/>
  <c r="F2134" i="1"/>
  <c r="H2134" i="1"/>
  <c r="A2135" i="1"/>
  <c r="B2135" i="1"/>
  <c r="C2135" i="1"/>
  <c r="D2135" i="1"/>
  <c r="E2135" i="1"/>
  <c r="F2135" i="1"/>
  <c r="H2135" i="1"/>
  <c r="A2136" i="1"/>
  <c r="B2136" i="1"/>
  <c r="C2136" i="1"/>
  <c r="D2136" i="1"/>
  <c r="E2136" i="1"/>
  <c r="F2136" i="1"/>
  <c r="H2136" i="1"/>
  <c r="A2137" i="1"/>
  <c r="B2137" i="1"/>
  <c r="C2137" i="1"/>
  <c r="D2137" i="1"/>
  <c r="E2137" i="1"/>
  <c r="F2137" i="1"/>
  <c r="H2137" i="1"/>
  <c r="A2138" i="1"/>
  <c r="B2138" i="1"/>
  <c r="C2138" i="1"/>
  <c r="D2138" i="1"/>
  <c r="E2138" i="1"/>
  <c r="F2138" i="1"/>
  <c r="H2138" i="1"/>
  <c r="A2139" i="1"/>
  <c r="B2139" i="1"/>
  <c r="C2139" i="1"/>
  <c r="D2139" i="1"/>
  <c r="E2139" i="1"/>
  <c r="F2139" i="1"/>
  <c r="H2139" i="1"/>
  <c r="A2140" i="1"/>
  <c r="B2140" i="1"/>
  <c r="C2140" i="1"/>
  <c r="D2140" i="1"/>
  <c r="E2140" i="1"/>
  <c r="F2140" i="1"/>
  <c r="H2140" i="1"/>
  <c r="A2141" i="1"/>
  <c r="B2141" i="1"/>
  <c r="C2141" i="1"/>
  <c r="D2141" i="1"/>
  <c r="E2141" i="1"/>
  <c r="F2141" i="1"/>
  <c r="H2141" i="1"/>
  <c r="A2142" i="1"/>
  <c r="B2142" i="1"/>
  <c r="C2142" i="1"/>
  <c r="D2142" i="1"/>
  <c r="E2142" i="1"/>
  <c r="F2142" i="1"/>
  <c r="H2142" i="1"/>
  <c r="A2143" i="1"/>
  <c r="B2143" i="1"/>
  <c r="C2143" i="1"/>
  <c r="D2143" i="1"/>
  <c r="E2143" i="1"/>
  <c r="F2143" i="1"/>
  <c r="H2143" i="1"/>
  <c r="A2144" i="1"/>
  <c r="B2144" i="1"/>
  <c r="C2144" i="1"/>
  <c r="D2144" i="1"/>
  <c r="E2144" i="1"/>
  <c r="F2144" i="1"/>
  <c r="H2144" i="1"/>
  <c r="A2145" i="1"/>
  <c r="B2145" i="1"/>
  <c r="C2145" i="1"/>
  <c r="D2145" i="1"/>
  <c r="E2145" i="1"/>
  <c r="F2145" i="1"/>
  <c r="H2145" i="1"/>
  <c r="A2146" i="1"/>
  <c r="B2146" i="1"/>
  <c r="C2146" i="1"/>
  <c r="D2146" i="1"/>
  <c r="E2146" i="1"/>
  <c r="F2146" i="1"/>
  <c r="H2146" i="1"/>
  <c r="A2147" i="1"/>
  <c r="B2147" i="1"/>
  <c r="C2147" i="1"/>
  <c r="D2147" i="1"/>
  <c r="E2147" i="1"/>
  <c r="F2147" i="1"/>
  <c r="H2147" i="1"/>
  <c r="A2148" i="1"/>
  <c r="B2148" i="1"/>
  <c r="C2148" i="1"/>
  <c r="D2148" i="1"/>
  <c r="E2148" i="1"/>
  <c r="F2148" i="1"/>
  <c r="H2148" i="1"/>
  <c r="A2149" i="1"/>
  <c r="B2149" i="1"/>
  <c r="C2149" i="1"/>
  <c r="D2149" i="1"/>
  <c r="E2149" i="1"/>
  <c r="F2149" i="1"/>
  <c r="H2149" i="1"/>
  <c r="A2150" i="1"/>
  <c r="B2150" i="1"/>
  <c r="C2150" i="1"/>
  <c r="D2150" i="1"/>
  <c r="E2150" i="1"/>
  <c r="F2150" i="1"/>
  <c r="H2150" i="1"/>
  <c r="A2151" i="1"/>
  <c r="B2151" i="1"/>
  <c r="C2151" i="1"/>
  <c r="D2151" i="1"/>
  <c r="E2151" i="1"/>
  <c r="F2151" i="1"/>
  <c r="H2151" i="1"/>
  <c r="A2152" i="1"/>
  <c r="B2152" i="1"/>
  <c r="C2152" i="1"/>
  <c r="D2152" i="1"/>
  <c r="E2152" i="1"/>
  <c r="F2152" i="1"/>
  <c r="H2152" i="1"/>
  <c r="A2153" i="1"/>
  <c r="B2153" i="1"/>
  <c r="C2153" i="1"/>
  <c r="D2153" i="1"/>
  <c r="E2153" i="1"/>
  <c r="F2153" i="1"/>
  <c r="H2153" i="1"/>
  <c r="A2154" i="1"/>
  <c r="B2154" i="1"/>
  <c r="C2154" i="1"/>
  <c r="D2154" i="1"/>
  <c r="E2154" i="1"/>
  <c r="F2154" i="1"/>
  <c r="H2154" i="1"/>
  <c r="A2155" i="1"/>
  <c r="B2155" i="1"/>
  <c r="C2155" i="1"/>
  <c r="D2155" i="1"/>
  <c r="E2155" i="1"/>
  <c r="F2155" i="1"/>
  <c r="H2155" i="1"/>
  <c r="A2156" i="1"/>
  <c r="B2156" i="1"/>
  <c r="C2156" i="1"/>
  <c r="D2156" i="1"/>
  <c r="E2156" i="1"/>
  <c r="F2156" i="1"/>
  <c r="H2156" i="1"/>
  <c r="A2157" i="1"/>
  <c r="B2157" i="1"/>
  <c r="C2157" i="1"/>
  <c r="D2157" i="1"/>
  <c r="E2157" i="1"/>
  <c r="F2157" i="1"/>
  <c r="H2157" i="1"/>
  <c r="A2158" i="1"/>
  <c r="B2158" i="1"/>
  <c r="C2158" i="1"/>
  <c r="D2158" i="1"/>
  <c r="E2158" i="1"/>
  <c r="F2158" i="1"/>
  <c r="H2158" i="1"/>
  <c r="A2159" i="1"/>
  <c r="B2159" i="1"/>
  <c r="C2159" i="1"/>
  <c r="D2159" i="1"/>
  <c r="E2159" i="1"/>
  <c r="F2159" i="1"/>
  <c r="H2159" i="1"/>
  <c r="A2160" i="1"/>
  <c r="B2160" i="1"/>
  <c r="C2160" i="1"/>
  <c r="D2160" i="1"/>
  <c r="E2160" i="1"/>
  <c r="F2160" i="1"/>
  <c r="H2160" i="1"/>
  <c r="A2161" i="1"/>
  <c r="B2161" i="1"/>
  <c r="C2161" i="1"/>
  <c r="D2161" i="1"/>
  <c r="E2161" i="1"/>
  <c r="F2161" i="1"/>
  <c r="H2161" i="1"/>
  <c r="A2162" i="1"/>
  <c r="B2162" i="1"/>
  <c r="C2162" i="1"/>
  <c r="D2162" i="1"/>
  <c r="E2162" i="1"/>
  <c r="F2162" i="1"/>
  <c r="H2162" i="1"/>
  <c r="A2163" i="1"/>
  <c r="B2163" i="1"/>
  <c r="C2163" i="1"/>
  <c r="D2163" i="1"/>
  <c r="E2163" i="1"/>
  <c r="F2163" i="1"/>
  <c r="H2163" i="1"/>
  <c r="A2164" i="1"/>
  <c r="B2164" i="1"/>
  <c r="C2164" i="1"/>
  <c r="D2164" i="1"/>
  <c r="E2164" i="1"/>
  <c r="F2164" i="1"/>
  <c r="H2164" i="1"/>
  <c r="A2165" i="1"/>
  <c r="B2165" i="1"/>
  <c r="C2165" i="1"/>
  <c r="D2165" i="1"/>
  <c r="E2165" i="1"/>
  <c r="F2165" i="1"/>
  <c r="H2165" i="1"/>
  <c r="A2166" i="1"/>
  <c r="B2166" i="1"/>
  <c r="C2166" i="1"/>
  <c r="D2166" i="1"/>
  <c r="E2166" i="1"/>
  <c r="F2166" i="1"/>
  <c r="H2166" i="1"/>
  <c r="A2167" i="1"/>
  <c r="B2167" i="1"/>
  <c r="C2167" i="1"/>
  <c r="D2167" i="1"/>
  <c r="E2167" i="1"/>
  <c r="F2167" i="1"/>
  <c r="H2167" i="1"/>
  <c r="A2168" i="1"/>
  <c r="B2168" i="1"/>
  <c r="C2168" i="1"/>
  <c r="D2168" i="1"/>
  <c r="E2168" i="1"/>
  <c r="F2168" i="1"/>
  <c r="H2168" i="1"/>
  <c r="A2169" i="1"/>
  <c r="B2169" i="1"/>
  <c r="C2169" i="1"/>
  <c r="D2169" i="1"/>
  <c r="E2169" i="1"/>
  <c r="F2169" i="1"/>
  <c r="H2169" i="1"/>
  <c r="A2170" i="1"/>
  <c r="B2170" i="1"/>
  <c r="C2170" i="1"/>
  <c r="D2170" i="1"/>
  <c r="E2170" i="1"/>
  <c r="F2170" i="1"/>
  <c r="H2170" i="1"/>
  <c r="A2171" i="1"/>
  <c r="B2171" i="1"/>
  <c r="C2171" i="1"/>
  <c r="D2171" i="1"/>
  <c r="E2171" i="1"/>
  <c r="F2171" i="1"/>
  <c r="H2171" i="1"/>
  <c r="A2172" i="1"/>
  <c r="B2172" i="1"/>
  <c r="C2172" i="1"/>
  <c r="D2172" i="1"/>
  <c r="E2172" i="1"/>
  <c r="F2172" i="1"/>
  <c r="H2172" i="1"/>
  <c r="A2173" i="1"/>
  <c r="B2173" i="1"/>
  <c r="C2173" i="1"/>
  <c r="D2173" i="1"/>
  <c r="E2173" i="1"/>
  <c r="F2173" i="1"/>
  <c r="H2173" i="1"/>
  <c r="A2174" i="1"/>
  <c r="B2174" i="1"/>
  <c r="C2174" i="1"/>
  <c r="D2174" i="1"/>
  <c r="E2174" i="1"/>
  <c r="F2174" i="1"/>
  <c r="H2174" i="1"/>
  <c r="A2175" i="1"/>
  <c r="B2175" i="1"/>
  <c r="C2175" i="1"/>
  <c r="D2175" i="1"/>
  <c r="E2175" i="1"/>
  <c r="F2175" i="1"/>
  <c r="H2175" i="1"/>
  <c r="A2176" i="1"/>
  <c r="B2176" i="1"/>
  <c r="C2176" i="1"/>
  <c r="D2176" i="1"/>
  <c r="E2176" i="1"/>
  <c r="F2176" i="1"/>
  <c r="H2176" i="1"/>
  <c r="A2177" i="1"/>
  <c r="B2177" i="1"/>
  <c r="C2177" i="1"/>
  <c r="D2177" i="1"/>
  <c r="E2177" i="1"/>
  <c r="F2177" i="1"/>
  <c r="H2177" i="1"/>
  <c r="A2178" i="1"/>
  <c r="B2178" i="1"/>
  <c r="C2178" i="1"/>
  <c r="D2178" i="1"/>
  <c r="E2178" i="1"/>
  <c r="F2178" i="1"/>
  <c r="H2178" i="1"/>
  <c r="A2179" i="1"/>
  <c r="B2179" i="1"/>
  <c r="C2179" i="1"/>
  <c r="D2179" i="1"/>
  <c r="E2179" i="1"/>
  <c r="F2179" i="1"/>
  <c r="H2179" i="1"/>
  <c r="A2180" i="1"/>
  <c r="B2180" i="1"/>
  <c r="C2180" i="1"/>
  <c r="D2180" i="1"/>
  <c r="E2180" i="1"/>
  <c r="F2180" i="1"/>
  <c r="H2180" i="1"/>
  <c r="A2181" i="1"/>
  <c r="B2181" i="1"/>
  <c r="C2181" i="1"/>
  <c r="D2181" i="1"/>
  <c r="E2181" i="1"/>
  <c r="F2181" i="1"/>
  <c r="H2181" i="1"/>
  <c r="A2182" i="1"/>
  <c r="B2182" i="1"/>
  <c r="C2182" i="1"/>
  <c r="D2182" i="1"/>
  <c r="E2182" i="1"/>
  <c r="F2182" i="1"/>
  <c r="H2182" i="1"/>
  <c r="A2183" i="1"/>
  <c r="B2183" i="1"/>
  <c r="C2183" i="1"/>
  <c r="D2183" i="1"/>
  <c r="E2183" i="1"/>
  <c r="F2183" i="1"/>
  <c r="H2183" i="1"/>
  <c r="A2184" i="1"/>
  <c r="B2184" i="1"/>
  <c r="C2184" i="1"/>
  <c r="D2184" i="1"/>
  <c r="E2184" i="1"/>
  <c r="F2184" i="1"/>
  <c r="H2184" i="1"/>
  <c r="A2185" i="1"/>
  <c r="B2185" i="1"/>
  <c r="C2185" i="1"/>
  <c r="D2185" i="1"/>
  <c r="E2185" i="1"/>
  <c r="F2185" i="1"/>
  <c r="H2185" i="1"/>
  <c r="A2186" i="1"/>
  <c r="B2186" i="1"/>
  <c r="C2186" i="1"/>
  <c r="D2186" i="1"/>
  <c r="E2186" i="1"/>
  <c r="F2186" i="1"/>
  <c r="H2186" i="1"/>
  <c r="A2187" i="1"/>
  <c r="B2187" i="1"/>
  <c r="C2187" i="1"/>
  <c r="D2187" i="1"/>
  <c r="E2187" i="1"/>
  <c r="F2187" i="1"/>
  <c r="H2187" i="1"/>
  <c r="A2188" i="1"/>
  <c r="B2188" i="1"/>
  <c r="C2188" i="1"/>
  <c r="D2188" i="1"/>
  <c r="E2188" i="1"/>
  <c r="F2188" i="1"/>
  <c r="H2188" i="1"/>
  <c r="A2189" i="1"/>
  <c r="B2189" i="1"/>
  <c r="C2189" i="1"/>
  <c r="D2189" i="1"/>
  <c r="E2189" i="1"/>
  <c r="F2189" i="1"/>
  <c r="H2189" i="1"/>
  <c r="A2190" i="1"/>
  <c r="B2190" i="1"/>
  <c r="C2190" i="1"/>
  <c r="D2190" i="1"/>
  <c r="E2190" i="1"/>
  <c r="F2190" i="1"/>
  <c r="H2190" i="1"/>
  <c r="A2191" i="1"/>
  <c r="B2191" i="1"/>
  <c r="C2191" i="1"/>
  <c r="D2191" i="1"/>
  <c r="E2191" i="1"/>
  <c r="F2191" i="1"/>
  <c r="H2191" i="1"/>
  <c r="A2192" i="1"/>
  <c r="B2192" i="1"/>
  <c r="C2192" i="1"/>
  <c r="D2192" i="1"/>
  <c r="E2192" i="1"/>
  <c r="F2192" i="1"/>
  <c r="H2192" i="1"/>
  <c r="A2193" i="1"/>
  <c r="B2193" i="1"/>
  <c r="C2193" i="1"/>
  <c r="D2193" i="1"/>
  <c r="E2193" i="1"/>
  <c r="F2193" i="1"/>
  <c r="H2193" i="1"/>
  <c r="A2194" i="1"/>
  <c r="B2194" i="1"/>
  <c r="C2194" i="1"/>
  <c r="D2194" i="1"/>
  <c r="E2194" i="1"/>
  <c r="F2194" i="1"/>
  <c r="H2194" i="1"/>
  <c r="A2195" i="1"/>
  <c r="B2195" i="1"/>
  <c r="C2195" i="1"/>
  <c r="D2195" i="1"/>
  <c r="E2195" i="1"/>
  <c r="F2195" i="1"/>
  <c r="H2195" i="1"/>
  <c r="A2196" i="1"/>
  <c r="B2196" i="1"/>
  <c r="C2196" i="1"/>
  <c r="D2196" i="1"/>
  <c r="E2196" i="1"/>
  <c r="F2196" i="1"/>
  <c r="H2196" i="1"/>
  <c r="A2197" i="1"/>
  <c r="B2197" i="1"/>
  <c r="C2197" i="1"/>
  <c r="D2197" i="1"/>
  <c r="E2197" i="1"/>
  <c r="F2197" i="1"/>
  <c r="H2197" i="1"/>
  <c r="A2198" i="1"/>
  <c r="B2198" i="1"/>
  <c r="C2198" i="1"/>
  <c r="D2198" i="1"/>
  <c r="E2198" i="1"/>
  <c r="F2198" i="1"/>
  <c r="H2198" i="1"/>
  <c r="A2199" i="1"/>
  <c r="B2199" i="1"/>
  <c r="C2199" i="1"/>
  <c r="D2199" i="1"/>
  <c r="E2199" i="1"/>
  <c r="F2199" i="1"/>
  <c r="H2199" i="1"/>
  <c r="A2200" i="1"/>
  <c r="B2200" i="1"/>
  <c r="C2200" i="1"/>
  <c r="D2200" i="1"/>
  <c r="E2200" i="1"/>
  <c r="F2200" i="1"/>
  <c r="H2200" i="1"/>
  <c r="A2201" i="1"/>
  <c r="B2201" i="1"/>
  <c r="C2201" i="1"/>
  <c r="D2201" i="1"/>
  <c r="E2201" i="1"/>
  <c r="F2201" i="1"/>
  <c r="H2201" i="1"/>
  <c r="A2202" i="1"/>
  <c r="B2202" i="1"/>
  <c r="C2202" i="1"/>
  <c r="D2202" i="1"/>
  <c r="E2202" i="1"/>
  <c r="F2202" i="1"/>
  <c r="H2202" i="1"/>
  <c r="A2203" i="1"/>
  <c r="B2203" i="1"/>
  <c r="C2203" i="1"/>
  <c r="D2203" i="1"/>
  <c r="E2203" i="1"/>
  <c r="F2203" i="1"/>
  <c r="H2203" i="1"/>
  <c r="A2204" i="1"/>
  <c r="B2204" i="1"/>
  <c r="C2204" i="1"/>
  <c r="D2204" i="1"/>
  <c r="E2204" i="1"/>
  <c r="F2204" i="1"/>
  <c r="H2204" i="1"/>
  <c r="A2205" i="1"/>
  <c r="B2205" i="1"/>
  <c r="C2205" i="1"/>
  <c r="D2205" i="1"/>
  <c r="E2205" i="1"/>
  <c r="F2205" i="1"/>
  <c r="H2205" i="1"/>
  <c r="A2206" i="1"/>
  <c r="B2206" i="1"/>
  <c r="C2206" i="1"/>
  <c r="D2206" i="1"/>
  <c r="E2206" i="1"/>
  <c r="F2206" i="1"/>
  <c r="H2206" i="1"/>
  <c r="A2207" i="1"/>
  <c r="B2207" i="1"/>
  <c r="C2207" i="1"/>
  <c r="D2207" i="1"/>
  <c r="E2207" i="1"/>
  <c r="F2207" i="1"/>
  <c r="H2207" i="1"/>
  <c r="A2208" i="1"/>
  <c r="B2208" i="1"/>
  <c r="C2208" i="1"/>
  <c r="D2208" i="1"/>
  <c r="E2208" i="1"/>
  <c r="F2208" i="1"/>
  <c r="H2208" i="1"/>
  <c r="A2209" i="1"/>
  <c r="B2209" i="1"/>
  <c r="C2209" i="1"/>
  <c r="D2209" i="1"/>
  <c r="E2209" i="1"/>
  <c r="F2209" i="1"/>
  <c r="H2209" i="1"/>
  <c r="A2210" i="1"/>
  <c r="B2210" i="1"/>
  <c r="C2210" i="1"/>
  <c r="D2210" i="1"/>
  <c r="E2210" i="1"/>
  <c r="F2210" i="1"/>
  <c r="H2210" i="1"/>
  <c r="A2211" i="1"/>
  <c r="B2211" i="1"/>
  <c r="C2211" i="1"/>
  <c r="D2211" i="1"/>
  <c r="E2211" i="1"/>
  <c r="F2211" i="1"/>
  <c r="H2211" i="1"/>
  <c r="A2212" i="1"/>
  <c r="B2212" i="1"/>
  <c r="C2212" i="1"/>
  <c r="D2212" i="1"/>
  <c r="E2212" i="1"/>
  <c r="F2212" i="1"/>
  <c r="H2212" i="1"/>
  <c r="A2213" i="1"/>
  <c r="B2213" i="1"/>
  <c r="C2213" i="1"/>
  <c r="D2213" i="1"/>
  <c r="E2213" i="1"/>
  <c r="F2213" i="1"/>
  <c r="H2213" i="1"/>
  <c r="A2214" i="1"/>
  <c r="B2214" i="1"/>
  <c r="C2214" i="1"/>
  <c r="D2214" i="1"/>
  <c r="E2214" i="1"/>
  <c r="F2214" i="1"/>
  <c r="H2214" i="1"/>
  <c r="A2215" i="1"/>
  <c r="B2215" i="1"/>
  <c r="C2215" i="1"/>
  <c r="D2215" i="1"/>
  <c r="E2215" i="1"/>
  <c r="F2215" i="1"/>
  <c r="H2215" i="1"/>
  <c r="A2216" i="1"/>
  <c r="B2216" i="1"/>
  <c r="C2216" i="1"/>
  <c r="D2216" i="1"/>
  <c r="E2216" i="1"/>
  <c r="F2216" i="1"/>
  <c r="H2216" i="1"/>
  <c r="A2217" i="1"/>
  <c r="B2217" i="1"/>
  <c r="C2217" i="1"/>
  <c r="D2217" i="1"/>
  <c r="E2217" i="1"/>
  <c r="F2217" i="1"/>
  <c r="H2217" i="1"/>
  <c r="A2218" i="1"/>
  <c r="B2218" i="1"/>
  <c r="C2218" i="1"/>
  <c r="D2218" i="1"/>
  <c r="E2218" i="1"/>
  <c r="F2218" i="1"/>
  <c r="H2218" i="1"/>
  <c r="A2219" i="1"/>
  <c r="B2219" i="1"/>
  <c r="C2219" i="1"/>
  <c r="D2219" i="1"/>
  <c r="E2219" i="1"/>
  <c r="F2219" i="1"/>
  <c r="H2219" i="1"/>
  <c r="A2220" i="1"/>
  <c r="B2220" i="1"/>
  <c r="C2220" i="1"/>
  <c r="D2220" i="1"/>
  <c r="E2220" i="1"/>
  <c r="F2220" i="1"/>
  <c r="H2220" i="1"/>
  <c r="A2221" i="1"/>
  <c r="B2221" i="1"/>
  <c r="C2221" i="1"/>
  <c r="D2221" i="1"/>
  <c r="E2221" i="1"/>
  <c r="F2221" i="1"/>
  <c r="H2221" i="1"/>
  <c r="A2222" i="1"/>
  <c r="B2222" i="1"/>
  <c r="C2222" i="1"/>
  <c r="D2222" i="1"/>
  <c r="E2222" i="1"/>
  <c r="F2222" i="1"/>
  <c r="H2222" i="1"/>
  <c r="A2223" i="1"/>
  <c r="B2223" i="1"/>
  <c r="C2223" i="1"/>
  <c r="D2223" i="1"/>
  <c r="E2223" i="1"/>
  <c r="F2223" i="1"/>
  <c r="H2223" i="1"/>
  <c r="A2224" i="1"/>
  <c r="B2224" i="1"/>
  <c r="C2224" i="1"/>
  <c r="D2224" i="1"/>
  <c r="E2224" i="1"/>
  <c r="F2224" i="1"/>
  <c r="H2224" i="1"/>
  <c r="A2225" i="1"/>
  <c r="B2225" i="1"/>
  <c r="C2225" i="1"/>
  <c r="D2225" i="1"/>
  <c r="E2225" i="1"/>
  <c r="F2225" i="1"/>
  <c r="H2225" i="1"/>
  <c r="A2226" i="1"/>
  <c r="B2226" i="1"/>
  <c r="C2226" i="1"/>
  <c r="D2226" i="1"/>
  <c r="E2226" i="1"/>
  <c r="F2226" i="1"/>
  <c r="H2226" i="1"/>
  <c r="A2227" i="1"/>
  <c r="B2227" i="1"/>
  <c r="C2227" i="1"/>
  <c r="D2227" i="1"/>
  <c r="E2227" i="1"/>
  <c r="F2227" i="1"/>
  <c r="H2227" i="1"/>
  <c r="A2228" i="1"/>
  <c r="B2228" i="1"/>
  <c r="C2228" i="1"/>
  <c r="D2228" i="1"/>
  <c r="E2228" i="1"/>
  <c r="F2228" i="1"/>
  <c r="H2228" i="1"/>
  <c r="A2229" i="1"/>
  <c r="B2229" i="1"/>
  <c r="C2229" i="1"/>
  <c r="D2229" i="1"/>
  <c r="E2229" i="1"/>
  <c r="F2229" i="1"/>
  <c r="H2229" i="1"/>
  <c r="A2230" i="1"/>
  <c r="B2230" i="1"/>
  <c r="C2230" i="1"/>
  <c r="D2230" i="1"/>
  <c r="E2230" i="1"/>
  <c r="F2230" i="1"/>
  <c r="H2230" i="1"/>
  <c r="A2231" i="1"/>
  <c r="B2231" i="1"/>
  <c r="C2231" i="1"/>
  <c r="D2231" i="1"/>
  <c r="E2231" i="1"/>
  <c r="F2231" i="1"/>
  <c r="H2231" i="1"/>
  <c r="A2232" i="1"/>
  <c r="B2232" i="1"/>
  <c r="C2232" i="1"/>
  <c r="D2232" i="1"/>
  <c r="E2232" i="1"/>
  <c r="F2232" i="1"/>
  <c r="H2232" i="1"/>
  <c r="A2233" i="1"/>
  <c r="B2233" i="1"/>
  <c r="C2233" i="1"/>
  <c r="D2233" i="1"/>
  <c r="E2233" i="1"/>
  <c r="F2233" i="1"/>
  <c r="H2233" i="1"/>
  <c r="A2234" i="1"/>
  <c r="B2234" i="1"/>
  <c r="C2234" i="1"/>
  <c r="D2234" i="1"/>
  <c r="E2234" i="1"/>
  <c r="F2234" i="1"/>
  <c r="H2234" i="1"/>
  <c r="A2235" i="1"/>
  <c r="B2235" i="1"/>
  <c r="C2235" i="1"/>
  <c r="D2235" i="1"/>
  <c r="E2235" i="1"/>
  <c r="F2235" i="1"/>
  <c r="H2235" i="1"/>
  <c r="A2236" i="1"/>
  <c r="B2236" i="1"/>
  <c r="C2236" i="1"/>
  <c r="D2236" i="1"/>
  <c r="E2236" i="1"/>
  <c r="F2236" i="1"/>
  <c r="H2236" i="1"/>
  <c r="A2237" i="1"/>
  <c r="B2237" i="1"/>
  <c r="C2237" i="1"/>
  <c r="D2237" i="1"/>
  <c r="E2237" i="1"/>
  <c r="F2237" i="1"/>
  <c r="H2237" i="1"/>
  <c r="A2238" i="1"/>
  <c r="B2238" i="1"/>
  <c r="C2238" i="1"/>
  <c r="D2238" i="1"/>
  <c r="E2238" i="1"/>
  <c r="F2238" i="1"/>
  <c r="H2238" i="1"/>
  <c r="A2239" i="1"/>
  <c r="B2239" i="1"/>
  <c r="C2239" i="1"/>
  <c r="D2239" i="1"/>
  <c r="E2239" i="1"/>
  <c r="F2239" i="1"/>
  <c r="H2239" i="1"/>
  <c r="A2240" i="1"/>
  <c r="B2240" i="1"/>
  <c r="C2240" i="1"/>
  <c r="D2240" i="1"/>
  <c r="E2240" i="1"/>
  <c r="F2240" i="1"/>
  <c r="H2240" i="1"/>
  <c r="A2241" i="1"/>
  <c r="B2241" i="1"/>
  <c r="C2241" i="1"/>
  <c r="D2241" i="1"/>
  <c r="E2241" i="1"/>
  <c r="F2241" i="1"/>
  <c r="H2241" i="1"/>
  <c r="A2242" i="1"/>
  <c r="B2242" i="1"/>
  <c r="C2242" i="1"/>
  <c r="D2242" i="1"/>
  <c r="E2242" i="1"/>
  <c r="F2242" i="1"/>
  <c r="H2242" i="1"/>
  <c r="A2243" i="1"/>
  <c r="B2243" i="1"/>
  <c r="C2243" i="1"/>
  <c r="D2243" i="1"/>
  <c r="E2243" i="1"/>
  <c r="F2243" i="1"/>
  <c r="H2243" i="1"/>
  <c r="A2244" i="1"/>
  <c r="B2244" i="1"/>
  <c r="C2244" i="1"/>
  <c r="D2244" i="1"/>
  <c r="E2244" i="1"/>
  <c r="F2244" i="1"/>
  <c r="H2244" i="1"/>
  <c r="A2245" i="1"/>
  <c r="B2245" i="1"/>
  <c r="C2245" i="1"/>
  <c r="D2245" i="1"/>
  <c r="E2245" i="1"/>
  <c r="F2245" i="1"/>
  <c r="H2245" i="1"/>
  <c r="A2246" i="1"/>
  <c r="B2246" i="1"/>
  <c r="C2246" i="1"/>
  <c r="D2246" i="1"/>
  <c r="E2246" i="1"/>
  <c r="F2246" i="1"/>
  <c r="H2246" i="1"/>
  <c r="A2247" i="1"/>
  <c r="B2247" i="1"/>
  <c r="C2247" i="1"/>
  <c r="D2247" i="1"/>
  <c r="E2247" i="1"/>
  <c r="F2247" i="1"/>
  <c r="H2247" i="1"/>
  <c r="A2248" i="1"/>
  <c r="B2248" i="1"/>
  <c r="C2248" i="1"/>
  <c r="D2248" i="1"/>
  <c r="E2248" i="1"/>
  <c r="F2248" i="1"/>
  <c r="H2248" i="1"/>
  <c r="A2249" i="1"/>
  <c r="B2249" i="1"/>
  <c r="C2249" i="1"/>
  <c r="D2249" i="1"/>
  <c r="E2249" i="1"/>
  <c r="F2249" i="1"/>
  <c r="H2249" i="1"/>
  <c r="A2250" i="1"/>
  <c r="B2250" i="1"/>
  <c r="C2250" i="1"/>
  <c r="D2250" i="1"/>
  <c r="E2250" i="1"/>
  <c r="F2250" i="1"/>
  <c r="H2250" i="1"/>
  <c r="A2251" i="1"/>
  <c r="B2251" i="1"/>
  <c r="C2251" i="1"/>
  <c r="D2251" i="1"/>
  <c r="E2251" i="1"/>
  <c r="F2251" i="1"/>
  <c r="H2251" i="1"/>
  <c r="A2252" i="1"/>
  <c r="B2252" i="1"/>
  <c r="C2252" i="1"/>
  <c r="D2252" i="1"/>
  <c r="E2252" i="1"/>
  <c r="F2252" i="1"/>
  <c r="H2252" i="1"/>
  <c r="A2253" i="1"/>
  <c r="B2253" i="1"/>
  <c r="C2253" i="1"/>
  <c r="D2253" i="1"/>
  <c r="E2253" i="1"/>
  <c r="F2253" i="1"/>
  <c r="H2253" i="1"/>
  <c r="A2254" i="1"/>
  <c r="B2254" i="1"/>
  <c r="C2254" i="1"/>
  <c r="D2254" i="1"/>
  <c r="E2254" i="1"/>
  <c r="F2254" i="1"/>
  <c r="H2254" i="1"/>
  <c r="A2255" i="1"/>
  <c r="B2255" i="1"/>
  <c r="C2255" i="1"/>
  <c r="D2255" i="1"/>
  <c r="E2255" i="1"/>
  <c r="F2255" i="1"/>
  <c r="H2255" i="1"/>
  <c r="A2256" i="1"/>
  <c r="B2256" i="1"/>
  <c r="C2256" i="1"/>
  <c r="D2256" i="1"/>
  <c r="E2256" i="1"/>
  <c r="F2256" i="1"/>
  <c r="H2256" i="1"/>
  <c r="A2257" i="1"/>
  <c r="B2257" i="1"/>
  <c r="C2257" i="1"/>
  <c r="D2257" i="1"/>
  <c r="E2257" i="1"/>
  <c r="F2257" i="1"/>
  <c r="H2257" i="1"/>
  <c r="A2258" i="1"/>
  <c r="B2258" i="1"/>
  <c r="C2258" i="1"/>
  <c r="D2258" i="1"/>
  <c r="E2258" i="1"/>
  <c r="F2258" i="1"/>
  <c r="H2258" i="1"/>
  <c r="A2259" i="1"/>
  <c r="B2259" i="1"/>
  <c r="C2259" i="1"/>
  <c r="D2259" i="1"/>
  <c r="E2259" i="1"/>
  <c r="F2259" i="1"/>
  <c r="H2259" i="1"/>
  <c r="A2260" i="1"/>
  <c r="B2260" i="1"/>
  <c r="C2260" i="1"/>
  <c r="D2260" i="1"/>
  <c r="E2260" i="1"/>
  <c r="F2260" i="1"/>
  <c r="H2260" i="1"/>
  <c r="A2261" i="1"/>
  <c r="B2261" i="1"/>
  <c r="C2261" i="1"/>
  <c r="D2261" i="1"/>
  <c r="E2261" i="1"/>
  <c r="F2261" i="1"/>
  <c r="H2261" i="1"/>
  <c r="A2262" i="1"/>
  <c r="B2262" i="1"/>
  <c r="C2262" i="1"/>
  <c r="D2262" i="1"/>
  <c r="E2262" i="1"/>
  <c r="F2262" i="1"/>
  <c r="H2262" i="1"/>
  <c r="A2263" i="1"/>
  <c r="B2263" i="1"/>
  <c r="C2263" i="1"/>
  <c r="D2263" i="1"/>
  <c r="E2263" i="1"/>
  <c r="F2263" i="1"/>
  <c r="H2263" i="1"/>
  <c r="A2264" i="1"/>
  <c r="B2264" i="1"/>
  <c r="C2264" i="1"/>
  <c r="D2264" i="1"/>
  <c r="E2264" i="1"/>
  <c r="F2264" i="1"/>
  <c r="H2264" i="1"/>
  <c r="A2265" i="1"/>
  <c r="B2265" i="1"/>
  <c r="C2265" i="1"/>
  <c r="D2265" i="1"/>
  <c r="E2265" i="1"/>
  <c r="F2265" i="1"/>
  <c r="H2265" i="1"/>
  <c r="A2266" i="1"/>
  <c r="B2266" i="1"/>
  <c r="C2266" i="1"/>
  <c r="D2266" i="1"/>
  <c r="E2266" i="1"/>
  <c r="F2266" i="1"/>
  <c r="H2266" i="1"/>
  <c r="A2267" i="1"/>
  <c r="B2267" i="1"/>
  <c r="C2267" i="1"/>
  <c r="D2267" i="1"/>
  <c r="E2267" i="1"/>
  <c r="F2267" i="1"/>
  <c r="H2267" i="1"/>
  <c r="A2268" i="1"/>
  <c r="B2268" i="1"/>
  <c r="C2268" i="1"/>
  <c r="D2268" i="1"/>
  <c r="E2268" i="1"/>
  <c r="F2268" i="1"/>
  <c r="H2268" i="1"/>
  <c r="A2269" i="1"/>
  <c r="B2269" i="1"/>
  <c r="C2269" i="1"/>
  <c r="D2269" i="1"/>
  <c r="E2269" i="1"/>
  <c r="F2269" i="1"/>
  <c r="H2269" i="1"/>
  <c r="A2270" i="1"/>
  <c r="B2270" i="1"/>
  <c r="C2270" i="1"/>
  <c r="D2270" i="1"/>
  <c r="E2270" i="1"/>
  <c r="F2270" i="1"/>
  <c r="H2270" i="1"/>
  <c r="A2271" i="1"/>
  <c r="B2271" i="1"/>
  <c r="C2271" i="1"/>
  <c r="D2271" i="1"/>
  <c r="E2271" i="1"/>
  <c r="F2271" i="1"/>
  <c r="H2271" i="1"/>
  <c r="A2272" i="1"/>
  <c r="B2272" i="1"/>
  <c r="C2272" i="1"/>
  <c r="D2272" i="1"/>
  <c r="E2272" i="1"/>
  <c r="F2272" i="1"/>
  <c r="H2272" i="1"/>
  <c r="A2273" i="1"/>
  <c r="B2273" i="1"/>
  <c r="C2273" i="1"/>
  <c r="D2273" i="1"/>
  <c r="E2273" i="1"/>
  <c r="F2273" i="1"/>
  <c r="H2273" i="1"/>
  <c r="A2274" i="1"/>
  <c r="B2274" i="1"/>
  <c r="C2274" i="1"/>
  <c r="D2274" i="1"/>
  <c r="E2274" i="1"/>
  <c r="F2274" i="1"/>
  <c r="H2274" i="1"/>
  <c r="A2275" i="1"/>
  <c r="B2275" i="1"/>
  <c r="C2275" i="1"/>
  <c r="D2275" i="1"/>
  <c r="E2275" i="1"/>
  <c r="F2275" i="1"/>
  <c r="H2275" i="1"/>
  <c r="A2276" i="1"/>
  <c r="B2276" i="1"/>
  <c r="C2276" i="1"/>
  <c r="D2276" i="1"/>
  <c r="E2276" i="1"/>
  <c r="F2276" i="1"/>
  <c r="H2276" i="1"/>
  <c r="A2277" i="1"/>
  <c r="B2277" i="1"/>
  <c r="C2277" i="1"/>
  <c r="D2277" i="1"/>
  <c r="E2277" i="1"/>
  <c r="F2277" i="1"/>
  <c r="H2277" i="1"/>
  <c r="A2278" i="1"/>
  <c r="B2278" i="1"/>
  <c r="C2278" i="1"/>
  <c r="D2278" i="1"/>
  <c r="E2278" i="1"/>
  <c r="F2278" i="1"/>
  <c r="H2278" i="1"/>
  <c r="A2279" i="1"/>
  <c r="B2279" i="1"/>
  <c r="C2279" i="1"/>
  <c r="D2279" i="1"/>
  <c r="E2279" i="1"/>
  <c r="F2279" i="1"/>
  <c r="H2279" i="1"/>
  <c r="A2280" i="1"/>
  <c r="B2280" i="1"/>
  <c r="C2280" i="1"/>
  <c r="D2280" i="1"/>
  <c r="E2280" i="1"/>
  <c r="F2280" i="1"/>
  <c r="H2280" i="1"/>
  <c r="A2281" i="1"/>
  <c r="B2281" i="1"/>
  <c r="C2281" i="1"/>
  <c r="D2281" i="1"/>
  <c r="E2281" i="1"/>
  <c r="F2281" i="1"/>
  <c r="H2281" i="1"/>
  <c r="A2282" i="1"/>
  <c r="B2282" i="1"/>
  <c r="C2282" i="1"/>
  <c r="D2282" i="1"/>
  <c r="E2282" i="1"/>
  <c r="F2282" i="1"/>
  <c r="H2282" i="1"/>
  <c r="A2283" i="1"/>
  <c r="B2283" i="1"/>
  <c r="C2283" i="1"/>
  <c r="D2283" i="1"/>
  <c r="E2283" i="1"/>
  <c r="F2283" i="1"/>
  <c r="H2283" i="1"/>
  <c r="A2284" i="1"/>
  <c r="B2284" i="1"/>
  <c r="C2284" i="1"/>
  <c r="D2284" i="1"/>
  <c r="E2284" i="1"/>
  <c r="F2284" i="1"/>
  <c r="H2284" i="1"/>
  <c r="A2285" i="1"/>
  <c r="B2285" i="1"/>
  <c r="C2285" i="1"/>
  <c r="D2285" i="1"/>
  <c r="E2285" i="1"/>
  <c r="F2285" i="1"/>
  <c r="H2285" i="1"/>
  <c r="A2286" i="1"/>
  <c r="B2286" i="1"/>
  <c r="C2286" i="1"/>
  <c r="D2286" i="1"/>
  <c r="E2286" i="1"/>
  <c r="F2286" i="1"/>
  <c r="H2286" i="1"/>
  <c r="A2287" i="1"/>
  <c r="B2287" i="1"/>
  <c r="C2287" i="1"/>
  <c r="D2287" i="1"/>
  <c r="E2287" i="1"/>
  <c r="F2287" i="1"/>
  <c r="H2287" i="1"/>
  <c r="A2288" i="1"/>
  <c r="B2288" i="1"/>
  <c r="C2288" i="1"/>
  <c r="D2288" i="1"/>
  <c r="E2288" i="1"/>
  <c r="F2288" i="1"/>
  <c r="H2288" i="1"/>
  <c r="A2289" i="1"/>
  <c r="B2289" i="1"/>
  <c r="C2289" i="1"/>
  <c r="D2289" i="1"/>
  <c r="E2289" i="1"/>
  <c r="F2289" i="1"/>
  <c r="H2289" i="1"/>
  <c r="A2290" i="1"/>
  <c r="B2290" i="1"/>
  <c r="C2290" i="1"/>
  <c r="D2290" i="1"/>
  <c r="E2290" i="1"/>
  <c r="F2290" i="1"/>
  <c r="H2290" i="1"/>
  <c r="A2291" i="1"/>
  <c r="B2291" i="1"/>
  <c r="C2291" i="1"/>
  <c r="D2291" i="1"/>
  <c r="E2291" i="1"/>
  <c r="F2291" i="1"/>
  <c r="H2291" i="1"/>
  <c r="A2292" i="1"/>
  <c r="B2292" i="1"/>
  <c r="C2292" i="1"/>
  <c r="D2292" i="1"/>
  <c r="E2292" i="1"/>
  <c r="F2292" i="1"/>
  <c r="H2292" i="1"/>
  <c r="A2293" i="1"/>
  <c r="B2293" i="1"/>
  <c r="C2293" i="1"/>
  <c r="D2293" i="1"/>
  <c r="E2293" i="1"/>
  <c r="F2293" i="1"/>
  <c r="H2293" i="1"/>
  <c r="A2294" i="1"/>
  <c r="B2294" i="1"/>
  <c r="C2294" i="1"/>
  <c r="D2294" i="1"/>
  <c r="E2294" i="1"/>
  <c r="F2294" i="1"/>
  <c r="H2294" i="1"/>
  <c r="A2295" i="1"/>
  <c r="B2295" i="1"/>
  <c r="C2295" i="1"/>
  <c r="D2295" i="1"/>
  <c r="E2295" i="1"/>
  <c r="F2295" i="1"/>
  <c r="H2295" i="1"/>
  <c r="A2296" i="1"/>
  <c r="B2296" i="1"/>
  <c r="C2296" i="1"/>
  <c r="D2296" i="1"/>
  <c r="E2296" i="1"/>
  <c r="F2296" i="1"/>
  <c r="H2296" i="1"/>
  <c r="A2297" i="1"/>
  <c r="B2297" i="1"/>
  <c r="C2297" i="1"/>
  <c r="D2297" i="1"/>
  <c r="E2297" i="1"/>
  <c r="F2297" i="1"/>
  <c r="H2297" i="1"/>
  <c r="A2298" i="1"/>
  <c r="B2298" i="1"/>
  <c r="C2298" i="1"/>
  <c r="D2298" i="1"/>
  <c r="E2298" i="1"/>
  <c r="F2298" i="1"/>
  <c r="H2298" i="1"/>
  <c r="A2299" i="1"/>
  <c r="B2299" i="1"/>
  <c r="C2299" i="1"/>
  <c r="D2299" i="1"/>
  <c r="E2299" i="1"/>
  <c r="F2299" i="1"/>
  <c r="H2299" i="1"/>
  <c r="A2300" i="1"/>
  <c r="B2300" i="1"/>
  <c r="C2300" i="1"/>
  <c r="D2300" i="1"/>
  <c r="E2300" i="1"/>
  <c r="F2300" i="1"/>
  <c r="H2300" i="1"/>
  <c r="A2301" i="1"/>
  <c r="B2301" i="1"/>
  <c r="C2301" i="1"/>
  <c r="D2301" i="1"/>
  <c r="E2301" i="1"/>
  <c r="F2301" i="1"/>
  <c r="H2301" i="1"/>
  <c r="A2302" i="1"/>
  <c r="B2302" i="1"/>
  <c r="C2302" i="1"/>
  <c r="D2302" i="1"/>
  <c r="E2302" i="1"/>
  <c r="F2302" i="1"/>
  <c r="H2302" i="1"/>
  <c r="A2303" i="1"/>
  <c r="B2303" i="1"/>
  <c r="C2303" i="1"/>
  <c r="D2303" i="1"/>
  <c r="E2303" i="1"/>
  <c r="F2303" i="1"/>
  <c r="H2303" i="1"/>
  <c r="A2304" i="1"/>
  <c r="B2304" i="1"/>
  <c r="C2304" i="1"/>
  <c r="D2304" i="1"/>
  <c r="E2304" i="1"/>
  <c r="F2304" i="1"/>
  <c r="H2304" i="1"/>
  <c r="A2305" i="1"/>
  <c r="B2305" i="1"/>
  <c r="C2305" i="1"/>
  <c r="D2305" i="1"/>
  <c r="E2305" i="1"/>
  <c r="F2305" i="1"/>
  <c r="H2305" i="1"/>
  <c r="A2306" i="1"/>
  <c r="B2306" i="1"/>
  <c r="C2306" i="1"/>
  <c r="D2306" i="1"/>
  <c r="E2306" i="1"/>
  <c r="F2306" i="1"/>
  <c r="H2306" i="1"/>
  <c r="A2307" i="1"/>
  <c r="B2307" i="1"/>
  <c r="C2307" i="1"/>
  <c r="D2307" i="1"/>
  <c r="E2307" i="1"/>
  <c r="F2307" i="1"/>
  <c r="H2307" i="1"/>
  <c r="A2308" i="1"/>
  <c r="B2308" i="1"/>
  <c r="C2308" i="1"/>
  <c r="D2308" i="1"/>
  <c r="E2308" i="1"/>
  <c r="F2308" i="1"/>
  <c r="H2308" i="1"/>
  <c r="A2309" i="1"/>
  <c r="B2309" i="1"/>
  <c r="C2309" i="1"/>
  <c r="D2309" i="1"/>
  <c r="E2309" i="1"/>
  <c r="F2309" i="1"/>
  <c r="H2309" i="1"/>
  <c r="A2310" i="1"/>
  <c r="B2310" i="1"/>
  <c r="C2310" i="1"/>
  <c r="D2310" i="1"/>
  <c r="E2310" i="1"/>
  <c r="F2310" i="1"/>
  <c r="H2310" i="1"/>
  <c r="A2311" i="1"/>
  <c r="B2311" i="1"/>
  <c r="C2311" i="1"/>
  <c r="D2311" i="1"/>
  <c r="E2311" i="1"/>
  <c r="F2311" i="1"/>
  <c r="H2311" i="1"/>
  <c r="A2312" i="1"/>
  <c r="B2312" i="1"/>
  <c r="C2312" i="1"/>
  <c r="D2312" i="1"/>
  <c r="E2312" i="1"/>
  <c r="F2312" i="1"/>
  <c r="H2312" i="1"/>
  <c r="A2313" i="1"/>
  <c r="B2313" i="1"/>
  <c r="C2313" i="1"/>
  <c r="D2313" i="1"/>
  <c r="E2313" i="1"/>
  <c r="F2313" i="1"/>
  <c r="H2313" i="1"/>
  <c r="A2314" i="1"/>
  <c r="B2314" i="1"/>
  <c r="C2314" i="1"/>
  <c r="D2314" i="1"/>
  <c r="E2314" i="1"/>
  <c r="F2314" i="1"/>
  <c r="H2314" i="1"/>
  <c r="A2315" i="1"/>
  <c r="B2315" i="1"/>
  <c r="C2315" i="1"/>
  <c r="D2315" i="1"/>
  <c r="E2315" i="1"/>
  <c r="F2315" i="1"/>
  <c r="H2315" i="1"/>
  <c r="A2316" i="1"/>
  <c r="B2316" i="1"/>
  <c r="C2316" i="1"/>
  <c r="D2316" i="1"/>
  <c r="E2316" i="1"/>
  <c r="F2316" i="1"/>
  <c r="H2316" i="1"/>
  <c r="A2317" i="1"/>
  <c r="B2317" i="1"/>
  <c r="C2317" i="1"/>
  <c r="D2317" i="1"/>
  <c r="E2317" i="1"/>
  <c r="F2317" i="1"/>
  <c r="H2317" i="1"/>
  <c r="A2318" i="1"/>
  <c r="B2318" i="1"/>
  <c r="C2318" i="1"/>
  <c r="D2318" i="1"/>
  <c r="E2318" i="1"/>
  <c r="F2318" i="1"/>
  <c r="H2318" i="1"/>
  <c r="A2319" i="1"/>
  <c r="B2319" i="1"/>
  <c r="C2319" i="1"/>
  <c r="D2319" i="1"/>
  <c r="E2319" i="1"/>
  <c r="F2319" i="1"/>
  <c r="H2319" i="1"/>
  <c r="A2320" i="1"/>
  <c r="B2320" i="1"/>
  <c r="C2320" i="1"/>
  <c r="D2320" i="1"/>
  <c r="E2320" i="1"/>
  <c r="F2320" i="1"/>
  <c r="H2320" i="1"/>
  <c r="A2321" i="1"/>
  <c r="B2321" i="1"/>
  <c r="C2321" i="1"/>
  <c r="D2321" i="1"/>
  <c r="E2321" i="1"/>
  <c r="F2321" i="1"/>
  <c r="H2321" i="1"/>
  <c r="A2322" i="1"/>
  <c r="B2322" i="1"/>
  <c r="C2322" i="1"/>
  <c r="D2322" i="1"/>
  <c r="E2322" i="1"/>
  <c r="F2322" i="1"/>
  <c r="H2322" i="1"/>
  <c r="A2323" i="1"/>
  <c r="B2323" i="1"/>
  <c r="C2323" i="1"/>
  <c r="D2323" i="1"/>
  <c r="E2323" i="1"/>
  <c r="F2323" i="1"/>
  <c r="H2323" i="1"/>
  <c r="A2324" i="1"/>
  <c r="B2324" i="1"/>
  <c r="C2324" i="1"/>
  <c r="D2324" i="1"/>
  <c r="E2324" i="1"/>
  <c r="F2324" i="1"/>
  <c r="H2324" i="1"/>
  <c r="A2325" i="1"/>
  <c r="B2325" i="1"/>
  <c r="C2325" i="1"/>
  <c r="D2325" i="1"/>
  <c r="E2325" i="1"/>
  <c r="F2325" i="1"/>
  <c r="H2325" i="1"/>
  <c r="A2326" i="1"/>
  <c r="B2326" i="1"/>
  <c r="C2326" i="1"/>
  <c r="D2326" i="1"/>
  <c r="E2326" i="1"/>
  <c r="F2326" i="1"/>
  <c r="H2326" i="1"/>
  <c r="A2327" i="1"/>
  <c r="B2327" i="1"/>
  <c r="C2327" i="1"/>
  <c r="D2327" i="1"/>
  <c r="E2327" i="1"/>
  <c r="F2327" i="1"/>
  <c r="H2327" i="1"/>
  <c r="A2328" i="1"/>
  <c r="B2328" i="1"/>
  <c r="C2328" i="1"/>
  <c r="D2328" i="1"/>
  <c r="E2328" i="1"/>
  <c r="F2328" i="1"/>
  <c r="H2328" i="1"/>
  <c r="A2329" i="1"/>
  <c r="B2329" i="1"/>
  <c r="C2329" i="1"/>
  <c r="D2329" i="1"/>
  <c r="E2329" i="1"/>
  <c r="F2329" i="1"/>
  <c r="H2329" i="1"/>
  <c r="A2330" i="1"/>
  <c r="B2330" i="1"/>
  <c r="C2330" i="1"/>
  <c r="D2330" i="1"/>
  <c r="E2330" i="1"/>
  <c r="F2330" i="1"/>
  <c r="H2330" i="1"/>
  <c r="A2331" i="1"/>
  <c r="B2331" i="1"/>
  <c r="C2331" i="1"/>
  <c r="D2331" i="1"/>
  <c r="E2331" i="1"/>
  <c r="F2331" i="1"/>
  <c r="H2331" i="1"/>
  <c r="A2332" i="1"/>
  <c r="B2332" i="1"/>
  <c r="C2332" i="1"/>
  <c r="D2332" i="1"/>
  <c r="E2332" i="1"/>
  <c r="F2332" i="1"/>
  <c r="H2332" i="1"/>
  <c r="A2333" i="1"/>
  <c r="B2333" i="1"/>
  <c r="C2333" i="1"/>
  <c r="D2333" i="1"/>
  <c r="E2333" i="1"/>
  <c r="F2333" i="1"/>
  <c r="H2333" i="1"/>
  <c r="A2334" i="1"/>
  <c r="B2334" i="1"/>
  <c r="C2334" i="1"/>
  <c r="D2334" i="1"/>
  <c r="E2334" i="1"/>
  <c r="F2334" i="1"/>
  <c r="H2334" i="1"/>
  <c r="A2335" i="1"/>
  <c r="B2335" i="1"/>
  <c r="C2335" i="1"/>
  <c r="D2335" i="1"/>
  <c r="E2335" i="1"/>
  <c r="F2335" i="1"/>
  <c r="H2335" i="1"/>
  <c r="A2336" i="1"/>
  <c r="B2336" i="1"/>
  <c r="C2336" i="1"/>
  <c r="D2336" i="1"/>
  <c r="E2336" i="1"/>
  <c r="F2336" i="1"/>
  <c r="H2336" i="1"/>
  <c r="A2337" i="1"/>
  <c r="B2337" i="1"/>
  <c r="C2337" i="1"/>
  <c r="D2337" i="1"/>
  <c r="E2337" i="1"/>
  <c r="F2337" i="1"/>
  <c r="H2337" i="1"/>
  <c r="A2338" i="1"/>
  <c r="B2338" i="1"/>
  <c r="C2338" i="1"/>
  <c r="D2338" i="1"/>
  <c r="E2338" i="1"/>
  <c r="F2338" i="1"/>
  <c r="H2338" i="1"/>
  <c r="A2339" i="1"/>
  <c r="B2339" i="1"/>
  <c r="C2339" i="1"/>
  <c r="D2339" i="1"/>
  <c r="E2339" i="1"/>
  <c r="F2339" i="1"/>
  <c r="H2339" i="1"/>
  <c r="A2340" i="1"/>
  <c r="B2340" i="1"/>
  <c r="C2340" i="1"/>
  <c r="D2340" i="1"/>
  <c r="E2340" i="1"/>
  <c r="F2340" i="1"/>
  <c r="H2340" i="1"/>
  <c r="A2341" i="1"/>
  <c r="B2341" i="1"/>
  <c r="C2341" i="1"/>
  <c r="D2341" i="1"/>
  <c r="E2341" i="1"/>
  <c r="F2341" i="1"/>
  <c r="H2341" i="1"/>
  <c r="A2342" i="1"/>
  <c r="B2342" i="1"/>
  <c r="C2342" i="1"/>
  <c r="D2342" i="1"/>
  <c r="E2342" i="1"/>
  <c r="F2342" i="1"/>
  <c r="H2342" i="1"/>
  <c r="A2343" i="1"/>
  <c r="B2343" i="1"/>
  <c r="C2343" i="1"/>
  <c r="D2343" i="1"/>
  <c r="E2343" i="1"/>
  <c r="F2343" i="1"/>
  <c r="H2343" i="1"/>
  <c r="A2344" i="1"/>
  <c r="B2344" i="1"/>
  <c r="C2344" i="1"/>
  <c r="D2344" i="1"/>
  <c r="E2344" i="1"/>
  <c r="F2344" i="1"/>
  <c r="H2344" i="1"/>
  <c r="A2345" i="1"/>
  <c r="B2345" i="1"/>
  <c r="C2345" i="1"/>
  <c r="D2345" i="1"/>
  <c r="E2345" i="1"/>
  <c r="F2345" i="1"/>
  <c r="H2345" i="1"/>
  <c r="A2346" i="1"/>
  <c r="B2346" i="1"/>
  <c r="C2346" i="1"/>
  <c r="D2346" i="1"/>
  <c r="E2346" i="1"/>
  <c r="F2346" i="1"/>
  <c r="H2346" i="1"/>
  <c r="A2347" i="1"/>
  <c r="B2347" i="1"/>
  <c r="C2347" i="1"/>
  <c r="D2347" i="1"/>
  <c r="E2347" i="1"/>
  <c r="F2347" i="1"/>
  <c r="H2347" i="1"/>
  <c r="A2348" i="1"/>
  <c r="B2348" i="1"/>
  <c r="C2348" i="1"/>
  <c r="D2348" i="1"/>
  <c r="E2348" i="1"/>
  <c r="F2348" i="1"/>
  <c r="H2348" i="1"/>
  <c r="A2349" i="1"/>
  <c r="B2349" i="1"/>
  <c r="C2349" i="1"/>
  <c r="D2349" i="1"/>
  <c r="E2349" i="1"/>
  <c r="F2349" i="1"/>
  <c r="H2349" i="1"/>
  <c r="A2350" i="1"/>
  <c r="B2350" i="1"/>
  <c r="C2350" i="1"/>
  <c r="D2350" i="1"/>
  <c r="E2350" i="1"/>
  <c r="F2350" i="1"/>
  <c r="H2350" i="1"/>
  <c r="A2351" i="1"/>
  <c r="B2351" i="1"/>
  <c r="C2351" i="1"/>
  <c r="D2351" i="1"/>
  <c r="E2351" i="1"/>
  <c r="F2351" i="1"/>
  <c r="H2351" i="1"/>
  <c r="A2352" i="1"/>
  <c r="B2352" i="1"/>
  <c r="C2352" i="1"/>
  <c r="D2352" i="1"/>
  <c r="E2352" i="1"/>
  <c r="F2352" i="1"/>
  <c r="H2352" i="1"/>
  <c r="A2353" i="1"/>
  <c r="B2353" i="1"/>
  <c r="C2353" i="1"/>
  <c r="D2353" i="1"/>
  <c r="E2353" i="1"/>
  <c r="F2353" i="1"/>
  <c r="H2353" i="1"/>
  <c r="A2354" i="1"/>
  <c r="B2354" i="1"/>
  <c r="C2354" i="1"/>
  <c r="D2354" i="1"/>
  <c r="E2354" i="1"/>
  <c r="F2354" i="1"/>
  <c r="H2354" i="1"/>
  <c r="A2355" i="1"/>
  <c r="B2355" i="1"/>
  <c r="C2355" i="1"/>
  <c r="D2355" i="1"/>
  <c r="E2355" i="1"/>
  <c r="F2355" i="1"/>
  <c r="H2355" i="1"/>
  <c r="A2356" i="1"/>
  <c r="B2356" i="1"/>
  <c r="C2356" i="1"/>
  <c r="D2356" i="1"/>
  <c r="E2356" i="1"/>
  <c r="F2356" i="1"/>
  <c r="H2356" i="1"/>
  <c r="A2357" i="1"/>
  <c r="B2357" i="1"/>
  <c r="C2357" i="1"/>
  <c r="D2357" i="1"/>
  <c r="E2357" i="1"/>
  <c r="F2357" i="1"/>
  <c r="H2357" i="1"/>
  <c r="A2358" i="1"/>
  <c r="B2358" i="1"/>
  <c r="C2358" i="1"/>
  <c r="D2358" i="1"/>
  <c r="E2358" i="1"/>
  <c r="F2358" i="1"/>
  <c r="H2358" i="1"/>
  <c r="A2359" i="1"/>
  <c r="B2359" i="1"/>
  <c r="C2359" i="1"/>
  <c r="D2359" i="1"/>
  <c r="E2359" i="1"/>
  <c r="F2359" i="1"/>
  <c r="H2359" i="1"/>
  <c r="A2360" i="1"/>
  <c r="B2360" i="1"/>
  <c r="C2360" i="1"/>
  <c r="D2360" i="1"/>
  <c r="E2360" i="1"/>
  <c r="F2360" i="1"/>
  <c r="H2360" i="1"/>
  <c r="A2361" i="1"/>
  <c r="B2361" i="1"/>
  <c r="C2361" i="1"/>
  <c r="D2361" i="1"/>
  <c r="E2361" i="1"/>
  <c r="F2361" i="1"/>
  <c r="H2361" i="1"/>
  <c r="A2362" i="1"/>
  <c r="B2362" i="1"/>
  <c r="C2362" i="1"/>
  <c r="D2362" i="1"/>
  <c r="E2362" i="1"/>
  <c r="F2362" i="1"/>
  <c r="H2362" i="1"/>
  <c r="A2363" i="1"/>
  <c r="B2363" i="1"/>
  <c r="C2363" i="1"/>
  <c r="D2363" i="1"/>
  <c r="E2363" i="1"/>
  <c r="F2363" i="1"/>
  <c r="H2363" i="1"/>
  <c r="A2364" i="1"/>
  <c r="B2364" i="1"/>
  <c r="C2364" i="1"/>
  <c r="D2364" i="1"/>
  <c r="E2364" i="1"/>
  <c r="F2364" i="1"/>
  <c r="H2364" i="1"/>
  <c r="A2365" i="1"/>
  <c r="B2365" i="1"/>
  <c r="C2365" i="1"/>
  <c r="D2365" i="1"/>
  <c r="E2365" i="1"/>
  <c r="F2365" i="1"/>
  <c r="H2365" i="1"/>
  <c r="A2366" i="1"/>
  <c r="B2366" i="1"/>
  <c r="C2366" i="1"/>
  <c r="D2366" i="1"/>
  <c r="E2366" i="1"/>
  <c r="F2366" i="1"/>
  <c r="H2366" i="1"/>
  <c r="A2367" i="1"/>
  <c r="B2367" i="1"/>
  <c r="C2367" i="1"/>
  <c r="D2367" i="1"/>
  <c r="E2367" i="1"/>
  <c r="F2367" i="1"/>
  <c r="H2367" i="1"/>
  <c r="A2368" i="1"/>
  <c r="B2368" i="1"/>
  <c r="C2368" i="1"/>
  <c r="D2368" i="1"/>
  <c r="E2368" i="1"/>
  <c r="F2368" i="1"/>
  <c r="H2368" i="1"/>
  <c r="A2369" i="1"/>
  <c r="B2369" i="1"/>
  <c r="C2369" i="1"/>
  <c r="D2369" i="1"/>
  <c r="E2369" i="1"/>
  <c r="F2369" i="1"/>
  <c r="H2369" i="1"/>
  <c r="A2370" i="1"/>
  <c r="B2370" i="1"/>
  <c r="C2370" i="1"/>
  <c r="D2370" i="1"/>
  <c r="E2370" i="1"/>
  <c r="F2370" i="1"/>
  <c r="H2370" i="1"/>
  <c r="A2371" i="1"/>
  <c r="B2371" i="1"/>
  <c r="C2371" i="1"/>
  <c r="D2371" i="1"/>
  <c r="E2371" i="1"/>
  <c r="F2371" i="1"/>
  <c r="H2371" i="1"/>
  <c r="A2372" i="1"/>
  <c r="B2372" i="1"/>
  <c r="C2372" i="1"/>
  <c r="D2372" i="1"/>
  <c r="E2372" i="1"/>
  <c r="F2372" i="1"/>
  <c r="H2372" i="1"/>
  <c r="A2373" i="1"/>
  <c r="B2373" i="1"/>
  <c r="C2373" i="1"/>
  <c r="D2373" i="1"/>
  <c r="E2373" i="1"/>
  <c r="F2373" i="1"/>
  <c r="H2373" i="1"/>
  <c r="A2374" i="1"/>
  <c r="B2374" i="1"/>
  <c r="C2374" i="1"/>
  <c r="D2374" i="1"/>
  <c r="E2374" i="1"/>
  <c r="F2374" i="1"/>
  <c r="H2374" i="1"/>
  <c r="A2375" i="1"/>
  <c r="B2375" i="1"/>
  <c r="C2375" i="1"/>
  <c r="D2375" i="1"/>
  <c r="E2375" i="1"/>
  <c r="F2375" i="1"/>
  <c r="H2375" i="1"/>
  <c r="A2376" i="1"/>
  <c r="B2376" i="1"/>
  <c r="C2376" i="1"/>
  <c r="D2376" i="1"/>
  <c r="E2376" i="1"/>
  <c r="F2376" i="1"/>
  <c r="H2376" i="1"/>
  <c r="A2377" i="1"/>
  <c r="B2377" i="1"/>
  <c r="C2377" i="1"/>
  <c r="D2377" i="1"/>
  <c r="E2377" i="1"/>
  <c r="F2377" i="1"/>
  <c r="H2377" i="1"/>
  <c r="A2378" i="1"/>
  <c r="B2378" i="1"/>
  <c r="C2378" i="1"/>
  <c r="D2378" i="1"/>
  <c r="E2378" i="1"/>
  <c r="F2378" i="1"/>
  <c r="H2378" i="1"/>
  <c r="A2379" i="1"/>
  <c r="B2379" i="1"/>
  <c r="C2379" i="1"/>
  <c r="D2379" i="1"/>
  <c r="E2379" i="1"/>
  <c r="F2379" i="1"/>
  <c r="H2379" i="1"/>
  <c r="A2380" i="1"/>
  <c r="B2380" i="1"/>
  <c r="C2380" i="1"/>
  <c r="D2380" i="1"/>
  <c r="E2380" i="1"/>
  <c r="F2380" i="1"/>
  <c r="H2380" i="1"/>
  <c r="A2381" i="1"/>
  <c r="B2381" i="1"/>
  <c r="C2381" i="1"/>
  <c r="D2381" i="1"/>
  <c r="E2381" i="1"/>
  <c r="F2381" i="1"/>
  <c r="H2381" i="1"/>
  <c r="A2382" i="1"/>
  <c r="B2382" i="1"/>
  <c r="C2382" i="1"/>
  <c r="D2382" i="1"/>
  <c r="E2382" i="1"/>
  <c r="F2382" i="1"/>
  <c r="H2382" i="1"/>
  <c r="A2383" i="1"/>
  <c r="B2383" i="1"/>
  <c r="C2383" i="1"/>
  <c r="D2383" i="1"/>
  <c r="E2383" i="1"/>
  <c r="F2383" i="1"/>
  <c r="H2383" i="1"/>
  <c r="A2384" i="1"/>
  <c r="B2384" i="1"/>
  <c r="C2384" i="1"/>
  <c r="D2384" i="1"/>
  <c r="E2384" i="1"/>
  <c r="F2384" i="1"/>
  <c r="H2384" i="1"/>
  <c r="A2385" i="1"/>
  <c r="B2385" i="1"/>
  <c r="C2385" i="1"/>
  <c r="D2385" i="1"/>
  <c r="E2385" i="1"/>
  <c r="F2385" i="1"/>
  <c r="H2385" i="1"/>
  <c r="A2386" i="1"/>
  <c r="B2386" i="1"/>
  <c r="C2386" i="1"/>
  <c r="D2386" i="1"/>
  <c r="E2386" i="1"/>
  <c r="F2386" i="1"/>
  <c r="H2386" i="1"/>
  <c r="A2387" i="1"/>
  <c r="B2387" i="1"/>
  <c r="C2387" i="1"/>
  <c r="D2387" i="1"/>
  <c r="E2387" i="1"/>
  <c r="F2387" i="1"/>
  <c r="H2387" i="1"/>
  <c r="A2388" i="1"/>
  <c r="B2388" i="1"/>
  <c r="C2388" i="1"/>
  <c r="D2388" i="1"/>
  <c r="E2388" i="1"/>
  <c r="F2388" i="1"/>
  <c r="H2388" i="1"/>
  <c r="A2389" i="1"/>
  <c r="B2389" i="1"/>
  <c r="C2389" i="1"/>
  <c r="D2389" i="1"/>
  <c r="E2389" i="1"/>
  <c r="F2389" i="1"/>
  <c r="H2389" i="1"/>
  <c r="A2390" i="1"/>
  <c r="B2390" i="1"/>
  <c r="C2390" i="1"/>
  <c r="D2390" i="1"/>
  <c r="E2390" i="1"/>
  <c r="F2390" i="1"/>
  <c r="H2390" i="1"/>
  <c r="A2391" i="1"/>
  <c r="B2391" i="1"/>
  <c r="C2391" i="1"/>
  <c r="D2391" i="1"/>
  <c r="E2391" i="1"/>
  <c r="F2391" i="1"/>
  <c r="H2391" i="1"/>
  <c r="A2392" i="1"/>
  <c r="B2392" i="1"/>
  <c r="C2392" i="1"/>
  <c r="D2392" i="1"/>
  <c r="E2392" i="1"/>
  <c r="F2392" i="1"/>
  <c r="H2392" i="1"/>
  <c r="A2393" i="1"/>
  <c r="B2393" i="1"/>
  <c r="C2393" i="1"/>
  <c r="D2393" i="1"/>
  <c r="E2393" i="1"/>
  <c r="F2393" i="1"/>
  <c r="H2393" i="1"/>
  <c r="A2394" i="1"/>
  <c r="B2394" i="1"/>
  <c r="C2394" i="1"/>
  <c r="D2394" i="1"/>
  <c r="E2394" i="1"/>
  <c r="F2394" i="1"/>
  <c r="H2394" i="1"/>
  <c r="A2395" i="1"/>
  <c r="B2395" i="1"/>
  <c r="C2395" i="1"/>
  <c r="D2395" i="1"/>
  <c r="E2395" i="1"/>
  <c r="F2395" i="1"/>
  <c r="H2395" i="1"/>
  <c r="A2396" i="1"/>
  <c r="B2396" i="1"/>
  <c r="C2396" i="1"/>
  <c r="D2396" i="1"/>
  <c r="E2396" i="1"/>
  <c r="F2396" i="1"/>
  <c r="H2396" i="1"/>
  <c r="A2397" i="1"/>
  <c r="B2397" i="1"/>
  <c r="C2397" i="1"/>
  <c r="D2397" i="1"/>
  <c r="E2397" i="1"/>
  <c r="F2397" i="1"/>
  <c r="H2397" i="1"/>
  <c r="A2398" i="1"/>
  <c r="B2398" i="1"/>
  <c r="C2398" i="1"/>
  <c r="D2398" i="1"/>
  <c r="E2398" i="1"/>
  <c r="F2398" i="1"/>
  <c r="H2398" i="1"/>
  <c r="A2399" i="1"/>
  <c r="B2399" i="1"/>
  <c r="C2399" i="1"/>
  <c r="D2399" i="1"/>
  <c r="E2399" i="1"/>
  <c r="F2399" i="1"/>
  <c r="H2399" i="1"/>
  <c r="A2400" i="1"/>
  <c r="B2400" i="1"/>
  <c r="C2400" i="1"/>
  <c r="D2400" i="1"/>
  <c r="E2400" i="1"/>
  <c r="F2400" i="1"/>
  <c r="H2400" i="1"/>
  <c r="A2401" i="1"/>
  <c r="B2401" i="1"/>
  <c r="C2401" i="1"/>
  <c r="D2401" i="1"/>
  <c r="E2401" i="1"/>
  <c r="F2401" i="1"/>
  <c r="H2401" i="1"/>
  <c r="A2402" i="1"/>
  <c r="B2402" i="1"/>
  <c r="C2402" i="1"/>
  <c r="D2402" i="1"/>
  <c r="E2402" i="1"/>
  <c r="F2402" i="1"/>
  <c r="H2402" i="1"/>
  <c r="A2403" i="1"/>
  <c r="B2403" i="1"/>
  <c r="C2403" i="1"/>
  <c r="D2403" i="1"/>
  <c r="E2403" i="1"/>
  <c r="F2403" i="1"/>
  <c r="H2403" i="1"/>
  <c r="A2404" i="1"/>
  <c r="B2404" i="1"/>
  <c r="C2404" i="1"/>
  <c r="D2404" i="1"/>
  <c r="E2404" i="1"/>
  <c r="F2404" i="1"/>
  <c r="H2404" i="1"/>
  <c r="A2405" i="1"/>
  <c r="B2405" i="1"/>
  <c r="C2405" i="1"/>
  <c r="D2405" i="1"/>
  <c r="E2405" i="1"/>
  <c r="F2405" i="1"/>
  <c r="H2405" i="1"/>
  <c r="A2406" i="1"/>
  <c r="B2406" i="1"/>
  <c r="C2406" i="1"/>
  <c r="D2406" i="1"/>
  <c r="E2406" i="1"/>
  <c r="F2406" i="1"/>
  <c r="H2406" i="1"/>
  <c r="A2407" i="1"/>
  <c r="B2407" i="1"/>
  <c r="C2407" i="1"/>
  <c r="D2407" i="1"/>
  <c r="E2407" i="1"/>
  <c r="F2407" i="1"/>
  <c r="H2407" i="1"/>
  <c r="A2408" i="1"/>
  <c r="B2408" i="1"/>
  <c r="C2408" i="1"/>
  <c r="D2408" i="1"/>
  <c r="E2408" i="1"/>
  <c r="F2408" i="1"/>
  <c r="H2408" i="1"/>
  <c r="A2409" i="1"/>
  <c r="B2409" i="1"/>
  <c r="C2409" i="1"/>
  <c r="D2409" i="1"/>
  <c r="E2409" i="1"/>
  <c r="F2409" i="1"/>
  <c r="H2409" i="1"/>
  <c r="A2410" i="1"/>
  <c r="B2410" i="1"/>
  <c r="C2410" i="1"/>
  <c r="D2410" i="1"/>
  <c r="E2410" i="1"/>
  <c r="F2410" i="1"/>
  <c r="H2410" i="1"/>
  <c r="A2411" i="1"/>
  <c r="B2411" i="1"/>
  <c r="C2411" i="1"/>
  <c r="D2411" i="1"/>
  <c r="E2411" i="1"/>
  <c r="F2411" i="1"/>
  <c r="H2411" i="1"/>
  <c r="A2412" i="1"/>
  <c r="B2412" i="1"/>
  <c r="C2412" i="1"/>
  <c r="D2412" i="1"/>
  <c r="E2412" i="1"/>
  <c r="F2412" i="1"/>
  <c r="H2412" i="1"/>
  <c r="A2413" i="1"/>
  <c r="B2413" i="1"/>
  <c r="C2413" i="1"/>
  <c r="D2413" i="1"/>
  <c r="E2413" i="1"/>
  <c r="F2413" i="1"/>
  <c r="H2413" i="1"/>
  <c r="A2414" i="1"/>
  <c r="B2414" i="1"/>
  <c r="C2414" i="1"/>
  <c r="D2414" i="1"/>
  <c r="E2414" i="1"/>
  <c r="F2414" i="1"/>
  <c r="H2414" i="1"/>
  <c r="A2415" i="1"/>
  <c r="B2415" i="1"/>
  <c r="C2415" i="1"/>
  <c r="D2415" i="1"/>
  <c r="E2415" i="1"/>
  <c r="F2415" i="1"/>
  <c r="H2415" i="1"/>
  <c r="A2416" i="1"/>
  <c r="B2416" i="1"/>
  <c r="C2416" i="1"/>
  <c r="D2416" i="1"/>
  <c r="E2416" i="1"/>
  <c r="F2416" i="1"/>
  <c r="H2416" i="1"/>
  <c r="A2417" i="1"/>
  <c r="B2417" i="1"/>
  <c r="C2417" i="1"/>
  <c r="D2417" i="1"/>
  <c r="E2417" i="1"/>
  <c r="F2417" i="1"/>
  <c r="H2417" i="1"/>
  <c r="A2418" i="1"/>
  <c r="B2418" i="1"/>
  <c r="C2418" i="1"/>
  <c r="D2418" i="1"/>
  <c r="E2418" i="1"/>
  <c r="F2418" i="1"/>
  <c r="H2418" i="1"/>
  <c r="A2419" i="1"/>
  <c r="B2419" i="1"/>
  <c r="C2419" i="1"/>
  <c r="D2419" i="1"/>
  <c r="E2419" i="1"/>
  <c r="F2419" i="1"/>
  <c r="H2419" i="1"/>
  <c r="A2420" i="1"/>
  <c r="B2420" i="1"/>
  <c r="C2420" i="1"/>
  <c r="D2420" i="1"/>
  <c r="E2420" i="1"/>
  <c r="F2420" i="1"/>
  <c r="H2420" i="1"/>
  <c r="A2421" i="1"/>
  <c r="B2421" i="1"/>
  <c r="C2421" i="1"/>
  <c r="D2421" i="1"/>
  <c r="E2421" i="1"/>
  <c r="F2421" i="1"/>
  <c r="H2421" i="1"/>
  <c r="A2422" i="1"/>
  <c r="B2422" i="1"/>
  <c r="C2422" i="1"/>
  <c r="D2422" i="1"/>
  <c r="E2422" i="1"/>
  <c r="F2422" i="1"/>
  <c r="H2422" i="1"/>
  <c r="A2423" i="1"/>
  <c r="B2423" i="1"/>
  <c r="C2423" i="1"/>
  <c r="D2423" i="1"/>
  <c r="E2423" i="1"/>
  <c r="F2423" i="1"/>
  <c r="H2423" i="1"/>
  <c r="A2424" i="1"/>
  <c r="B2424" i="1"/>
  <c r="C2424" i="1"/>
  <c r="D2424" i="1"/>
  <c r="E2424" i="1"/>
  <c r="F2424" i="1"/>
  <c r="H2424" i="1"/>
  <c r="A2425" i="1"/>
  <c r="B2425" i="1"/>
  <c r="C2425" i="1"/>
  <c r="D2425" i="1"/>
  <c r="E2425" i="1"/>
  <c r="F2425" i="1"/>
  <c r="H2425" i="1"/>
  <c r="A2426" i="1"/>
  <c r="B2426" i="1"/>
  <c r="C2426" i="1"/>
  <c r="D2426" i="1"/>
  <c r="E2426" i="1"/>
  <c r="F2426" i="1"/>
  <c r="H2426" i="1"/>
  <c r="A2427" i="1"/>
  <c r="B2427" i="1"/>
  <c r="C2427" i="1"/>
  <c r="D2427" i="1"/>
  <c r="E2427" i="1"/>
  <c r="F2427" i="1"/>
  <c r="H2427" i="1"/>
  <c r="A2428" i="1"/>
  <c r="B2428" i="1"/>
  <c r="C2428" i="1"/>
  <c r="D2428" i="1"/>
  <c r="E2428" i="1"/>
  <c r="F2428" i="1"/>
  <c r="H2428" i="1"/>
  <c r="A2429" i="1"/>
  <c r="B2429" i="1"/>
  <c r="C2429" i="1"/>
  <c r="D2429" i="1"/>
  <c r="E2429" i="1"/>
  <c r="F2429" i="1"/>
  <c r="H2429" i="1"/>
  <c r="A2430" i="1"/>
  <c r="B2430" i="1"/>
  <c r="C2430" i="1"/>
  <c r="D2430" i="1"/>
  <c r="E2430" i="1"/>
  <c r="F2430" i="1"/>
  <c r="H2430" i="1"/>
  <c r="A2431" i="1"/>
  <c r="B2431" i="1"/>
  <c r="C2431" i="1"/>
  <c r="D2431" i="1"/>
  <c r="E2431" i="1"/>
  <c r="F2431" i="1"/>
  <c r="H2431" i="1"/>
  <c r="A2432" i="1"/>
  <c r="B2432" i="1"/>
  <c r="C2432" i="1"/>
  <c r="D2432" i="1"/>
  <c r="E2432" i="1"/>
  <c r="F2432" i="1"/>
  <c r="H2432" i="1"/>
  <c r="A2433" i="1"/>
  <c r="B2433" i="1"/>
  <c r="C2433" i="1"/>
  <c r="D2433" i="1"/>
  <c r="E2433" i="1"/>
  <c r="F2433" i="1"/>
  <c r="H2433" i="1"/>
  <c r="A2434" i="1"/>
  <c r="B2434" i="1"/>
  <c r="C2434" i="1"/>
  <c r="D2434" i="1"/>
  <c r="E2434" i="1"/>
  <c r="F2434" i="1"/>
  <c r="H2434" i="1"/>
  <c r="A2435" i="1"/>
  <c r="B2435" i="1"/>
  <c r="C2435" i="1"/>
  <c r="D2435" i="1"/>
  <c r="E2435" i="1"/>
  <c r="F2435" i="1"/>
  <c r="H2435" i="1"/>
  <c r="A2436" i="1"/>
  <c r="B2436" i="1"/>
  <c r="C2436" i="1"/>
  <c r="D2436" i="1"/>
  <c r="E2436" i="1"/>
  <c r="F2436" i="1"/>
  <c r="H2436" i="1"/>
  <c r="A2437" i="1"/>
  <c r="B2437" i="1"/>
  <c r="C2437" i="1"/>
  <c r="D2437" i="1"/>
  <c r="E2437" i="1"/>
  <c r="F2437" i="1"/>
  <c r="H2437" i="1"/>
  <c r="A2438" i="1"/>
  <c r="B2438" i="1"/>
  <c r="C2438" i="1"/>
  <c r="D2438" i="1"/>
  <c r="E2438" i="1"/>
  <c r="F2438" i="1"/>
  <c r="H2438" i="1"/>
  <c r="A2439" i="1"/>
  <c r="B2439" i="1"/>
  <c r="C2439" i="1"/>
  <c r="D2439" i="1"/>
  <c r="E2439" i="1"/>
  <c r="F2439" i="1"/>
  <c r="H2439" i="1"/>
  <c r="A2440" i="1"/>
  <c r="B2440" i="1"/>
  <c r="C2440" i="1"/>
  <c r="D2440" i="1"/>
  <c r="E2440" i="1"/>
  <c r="F2440" i="1"/>
  <c r="H2440" i="1"/>
  <c r="A2441" i="1"/>
  <c r="B2441" i="1"/>
  <c r="C2441" i="1"/>
  <c r="D2441" i="1"/>
  <c r="E2441" i="1"/>
  <c r="F2441" i="1"/>
  <c r="H2441" i="1"/>
  <c r="A2442" i="1"/>
  <c r="B2442" i="1"/>
  <c r="C2442" i="1"/>
  <c r="D2442" i="1"/>
  <c r="E2442" i="1"/>
  <c r="F2442" i="1"/>
  <c r="H2442" i="1"/>
  <c r="A2443" i="1"/>
  <c r="B2443" i="1"/>
  <c r="C2443" i="1"/>
  <c r="D2443" i="1"/>
  <c r="E2443" i="1"/>
  <c r="F2443" i="1"/>
  <c r="H2443" i="1"/>
  <c r="A2444" i="1"/>
  <c r="B2444" i="1"/>
  <c r="C2444" i="1"/>
  <c r="D2444" i="1"/>
  <c r="E2444" i="1"/>
  <c r="F2444" i="1"/>
  <c r="H2444" i="1"/>
  <c r="A2445" i="1"/>
  <c r="B2445" i="1"/>
  <c r="C2445" i="1"/>
  <c r="D2445" i="1"/>
  <c r="E2445" i="1"/>
  <c r="F2445" i="1"/>
  <c r="H2445" i="1"/>
  <c r="A2446" i="1"/>
  <c r="B2446" i="1"/>
  <c r="C2446" i="1"/>
  <c r="D2446" i="1"/>
  <c r="E2446" i="1"/>
  <c r="F2446" i="1"/>
  <c r="H2446" i="1"/>
  <c r="A2447" i="1"/>
  <c r="B2447" i="1"/>
  <c r="C2447" i="1"/>
  <c r="D2447" i="1"/>
  <c r="E2447" i="1"/>
  <c r="F2447" i="1"/>
  <c r="H2447" i="1"/>
  <c r="A2448" i="1"/>
  <c r="B2448" i="1"/>
  <c r="C2448" i="1"/>
  <c r="D2448" i="1"/>
  <c r="E2448" i="1"/>
  <c r="F2448" i="1"/>
  <c r="H2448" i="1"/>
  <c r="A2449" i="1"/>
  <c r="B2449" i="1"/>
  <c r="C2449" i="1"/>
  <c r="D2449" i="1"/>
  <c r="E2449" i="1"/>
  <c r="F2449" i="1"/>
  <c r="H2449" i="1"/>
  <c r="A2450" i="1"/>
  <c r="B2450" i="1"/>
  <c r="C2450" i="1"/>
  <c r="D2450" i="1"/>
  <c r="E2450" i="1"/>
  <c r="F2450" i="1"/>
  <c r="H2450" i="1"/>
  <c r="A2451" i="1"/>
  <c r="B2451" i="1"/>
  <c r="C2451" i="1"/>
  <c r="D2451" i="1"/>
  <c r="E2451" i="1"/>
  <c r="F2451" i="1"/>
  <c r="H2451" i="1"/>
  <c r="A2452" i="1"/>
  <c r="B2452" i="1"/>
  <c r="C2452" i="1"/>
  <c r="D2452" i="1"/>
  <c r="E2452" i="1"/>
  <c r="F2452" i="1"/>
  <c r="H2452" i="1"/>
  <c r="A2453" i="1"/>
  <c r="B2453" i="1"/>
  <c r="C2453" i="1"/>
  <c r="D2453" i="1"/>
  <c r="E2453" i="1"/>
  <c r="F2453" i="1"/>
  <c r="H2453" i="1"/>
  <c r="A2454" i="1"/>
  <c r="B2454" i="1"/>
  <c r="C2454" i="1"/>
  <c r="D2454" i="1"/>
  <c r="E2454" i="1"/>
  <c r="F2454" i="1"/>
  <c r="H2454" i="1"/>
  <c r="A2455" i="1"/>
  <c r="B2455" i="1"/>
  <c r="C2455" i="1"/>
  <c r="D2455" i="1"/>
  <c r="E2455" i="1"/>
  <c r="F2455" i="1"/>
  <c r="H2455" i="1"/>
  <c r="A2456" i="1"/>
  <c r="B2456" i="1"/>
  <c r="C2456" i="1"/>
  <c r="D2456" i="1"/>
  <c r="E2456" i="1"/>
  <c r="F2456" i="1"/>
  <c r="H2456" i="1"/>
  <c r="A2457" i="1"/>
  <c r="B2457" i="1"/>
  <c r="C2457" i="1"/>
  <c r="D2457" i="1"/>
  <c r="E2457" i="1"/>
  <c r="F2457" i="1"/>
  <c r="H2457" i="1"/>
  <c r="A2458" i="1"/>
  <c r="B2458" i="1"/>
  <c r="C2458" i="1"/>
  <c r="D2458" i="1"/>
  <c r="E2458" i="1"/>
  <c r="F2458" i="1"/>
  <c r="H2458" i="1"/>
  <c r="A2459" i="1"/>
  <c r="B2459" i="1"/>
  <c r="C2459" i="1"/>
  <c r="D2459" i="1"/>
  <c r="E2459" i="1"/>
  <c r="F2459" i="1"/>
  <c r="H2459" i="1"/>
  <c r="A2460" i="1"/>
  <c r="B2460" i="1"/>
  <c r="C2460" i="1"/>
  <c r="D2460" i="1"/>
  <c r="E2460" i="1"/>
  <c r="F2460" i="1"/>
  <c r="H2460" i="1"/>
  <c r="A2461" i="1"/>
  <c r="B2461" i="1"/>
  <c r="C2461" i="1"/>
  <c r="D2461" i="1"/>
  <c r="E2461" i="1"/>
  <c r="F2461" i="1"/>
  <c r="H2461" i="1"/>
  <c r="A2462" i="1"/>
  <c r="B2462" i="1"/>
  <c r="C2462" i="1"/>
  <c r="D2462" i="1"/>
  <c r="E2462" i="1"/>
  <c r="F2462" i="1"/>
  <c r="H2462" i="1"/>
  <c r="A2463" i="1"/>
  <c r="B2463" i="1"/>
  <c r="C2463" i="1"/>
  <c r="D2463" i="1"/>
  <c r="E2463" i="1"/>
  <c r="F2463" i="1"/>
  <c r="H2463" i="1"/>
  <c r="A2464" i="1"/>
  <c r="B2464" i="1"/>
  <c r="C2464" i="1"/>
  <c r="D2464" i="1"/>
  <c r="E2464" i="1"/>
  <c r="F2464" i="1"/>
  <c r="H2464" i="1"/>
  <c r="A2465" i="1"/>
  <c r="B2465" i="1"/>
  <c r="C2465" i="1"/>
  <c r="D2465" i="1"/>
  <c r="E2465" i="1"/>
  <c r="F2465" i="1"/>
  <c r="H2465" i="1"/>
  <c r="A2466" i="1"/>
  <c r="B2466" i="1"/>
  <c r="C2466" i="1"/>
  <c r="D2466" i="1"/>
  <c r="E2466" i="1"/>
  <c r="F2466" i="1"/>
  <c r="H2466" i="1"/>
  <c r="A2467" i="1"/>
  <c r="B2467" i="1"/>
  <c r="C2467" i="1"/>
  <c r="D2467" i="1"/>
  <c r="E2467" i="1"/>
  <c r="F2467" i="1"/>
  <c r="H2467" i="1"/>
  <c r="A2468" i="1"/>
  <c r="B2468" i="1"/>
  <c r="C2468" i="1"/>
  <c r="D2468" i="1"/>
  <c r="E2468" i="1"/>
  <c r="F2468" i="1"/>
  <c r="H2468" i="1"/>
  <c r="A2469" i="1"/>
  <c r="B2469" i="1"/>
  <c r="C2469" i="1"/>
  <c r="D2469" i="1"/>
  <c r="E2469" i="1"/>
  <c r="F2469" i="1"/>
  <c r="H2469" i="1"/>
  <c r="A2470" i="1"/>
  <c r="B2470" i="1"/>
  <c r="C2470" i="1"/>
  <c r="D2470" i="1"/>
  <c r="E2470" i="1"/>
  <c r="F2470" i="1"/>
  <c r="H2470" i="1"/>
  <c r="A2471" i="1"/>
  <c r="B2471" i="1"/>
  <c r="C2471" i="1"/>
  <c r="D2471" i="1"/>
  <c r="E2471" i="1"/>
  <c r="F2471" i="1"/>
  <c r="H2471" i="1"/>
  <c r="A2472" i="1"/>
  <c r="B2472" i="1"/>
  <c r="C2472" i="1"/>
  <c r="D2472" i="1"/>
  <c r="E2472" i="1"/>
  <c r="F2472" i="1"/>
  <c r="H2472" i="1"/>
  <c r="A2473" i="1"/>
  <c r="B2473" i="1"/>
  <c r="C2473" i="1"/>
  <c r="D2473" i="1"/>
  <c r="E2473" i="1"/>
  <c r="F2473" i="1"/>
  <c r="H2473" i="1"/>
  <c r="A2474" i="1"/>
  <c r="B2474" i="1"/>
  <c r="C2474" i="1"/>
  <c r="D2474" i="1"/>
  <c r="E2474" i="1"/>
  <c r="F2474" i="1"/>
  <c r="H2474" i="1"/>
  <c r="A2475" i="1"/>
  <c r="B2475" i="1"/>
  <c r="C2475" i="1"/>
  <c r="D2475" i="1"/>
  <c r="E2475" i="1"/>
  <c r="F2475" i="1"/>
  <c r="H2475" i="1"/>
  <c r="A2476" i="1"/>
  <c r="B2476" i="1"/>
  <c r="C2476" i="1"/>
  <c r="D2476" i="1"/>
  <c r="E2476" i="1"/>
  <c r="F2476" i="1"/>
  <c r="H2476" i="1"/>
  <c r="A2477" i="1"/>
  <c r="B2477" i="1"/>
  <c r="C2477" i="1"/>
  <c r="D2477" i="1"/>
  <c r="E2477" i="1"/>
  <c r="F2477" i="1"/>
  <c r="H2477" i="1"/>
  <c r="A2478" i="1"/>
  <c r="B2478" i="1"/>
  <c r="C2478" i="1"/>
  <c r="D2478" i="1"/>
  <c r="E2478" i="1"/>
  <c r="F2478" i="1"/>
  <c r="H2478" i="1"/>
  <c r="A2479" i="1"/>
  <c r="B2479" i="1"/>
  <c r="C2479" i="1"/>
  <c r="D2479" i="1"/>
  <c r="E2479" i="1"/>
  <c r="F2479" i="1"/>
  <c r="H2479" i="1"/>
  <c r="A2480" i="1"/>
  <c r="B2480" i="1"/>
  <c r="C2480" i="1"/>
  <c r="D2480" i="1"/>
  <c r="E2480" i="1"/>
  <c r="F2480" i="1"/>
  <c r="H2480" i="1"/>
  <c r="A2481" i="1"/>
  <c r="B2481" i="1"/>
  <c r="C2481" i="1"/>
  <c r="D2481" i="1"/>
  <c r="E2481" i="1"/>
  <c r="F2481" i="1"/>
  <c r="H2481" i="1"/>
  <c r="A2482" i="1"/>
  <c r="B2482" i="1"/>
  <c r="C2482" i="1"/>
  <c r="D2482" i="1"/>
  <c r="E2482" i="1"/>
  <c r="F2482" i="1"/>
  <c r="H2482" i="1"/>
  <c r="A2483" i="1"/>
  <c r="B2483" i="1"/>
  <c r="C2483" i="1"/>
  <c r="D2483" i="1"/>
  <c r="E2483" i="1"/>
  <c r="F2483" i="1"/>
  <c r="H2483" i="1"/>
  <c r="A2484" i="1"/>
  <c r="B2484" i="1"/>
  <c r="C2484" i="1"/>
  <c r="D2484" i="1"/>
  <c r="E2484" i="1"/>
  <c r="F2484" i="1"/>
  <c r="H2484" i="1"/>
  <c r="A2485" i="1"/>
  <c r="B2485" i="1"/>
  <c r="C2485" i="1"/>
  <c r="D2485" i="1"/>
  <c r="E2485" i="1"/>
  <c r="F2485" i="1"/>
  <c r="H2485" i="1"/>
  <c r="A2486" i="1"/>
  <c r="B2486" i="1"/>
  <c r="C2486" i="1"/>
  <c r="D2486" i="1"/>
  <c r="E2486" i="1"/>
  <c r="F2486" i="1"/>
  <c r="H2486" i="1"/>
  <c r="A2487" i="1"/>
  <c r="B2487" i="1"/>
  <c r="C2487" i="1"/>
  <c r="D2487" i="1"/>
  <c r="E2487" i="1"/>
  <c r="F2487" i="1"/>
  <c r="H2487" i="1"/>
  <c r="A2488" i="1"/>
  <c r="B2488" i="1"/>
  <c r="C2488" i="1"/>
  <c r="D2488" i="1"/>
  <c r="E2488" i="1"/>
  <c r="F2488" i="1"/>
  <c r="H2488" i="1"/>
  <c r="A2489" i="1"/>
  <c r="B2489" i="1"/>
  <c r="C2489" i="1"/>
  <c r="D2489" i="1"/>
  <c r="E2489" i="1"/>
  <c r="F2489" i="1"/>
  <c r="H2489" i="1"/>
  <c r="A2490" i="1"/>
  <c r="B2490" i="1"/>
  <c r="C2490" i="1"/>
  <c r="D2490" i="1"/>
  <c r="E2490" i="1"/>
  <c r="F2490" i="1"/>
  <c r="H2490" i="1"/>
  <c r="A2491" i="1"/>
  <c r="B2491" i="1"/>
  <c r="C2491" i="1"/>
  <c r="D2491" i="1"/>
  <c r="E2491" i="1"/>
  <c r="F2491" i="1"/>
  <c r="H2491" i="1"/>
  <c r="A2492" i="1"/>
  <c r="B2492" i="1"/>
  <c r="C2492" i="1"/>
  <c r="D2492" i="1"/>
  <c r="E2492" i="1"/>
  <c r="F2492" i="1"/>
  <c r="H2492" i="1"/>
  <c r="A2493" i="1"/>
  <c r="B2493" i="1"/>
  <c r="C2493" i="1"/>
  <c r="D2493" i="1"/>
  <c r="E2493" i="1"/>
  <c r="F2493" i="1"/>
  <c r="H2493" i="1"/>
  <c r="A2494" i="1"/>
  <c r="B2494" i="1"/>
  <c r="C2494" i="1"/>
  <c r="D2494" i="1"/>
  <c r="E2494" i="1"/>
  <c r="F2494" i="1"/>
  <c r="H2494" i="1"/>
  <c r="A2495" i="1"/>
  <c r="B2495" i="1"/>
  <c r="C2495" i="1"/>
  <c r="D2495" i="1"/>
  <c r="E2495" i="1"/>
  <c r="F2495" i="1"/>
  <c r="H2495" i="1"/>
  <c r="A2496" i="1"/>
  <c r="B2496" i="1"/>
  <c r="C2496" i="1"/>
  <c r="D2496" i="1"/>
  <c r="E2496" i="1"/>
  <c r="F2496" i="1"/>
  <c r="H2496" i="1"/>
  <c r="A2497" i="1"/>
  <c r="B2497" i="1"/>
  <c r="C2497" i="1"/>
  <c r="D2497" i="1"/>
  <c r="E2497" i="1"/>
  <c r="F2497" i="1"/>
  <c r="H2497" i="1"/>
  <c r="A2498" i="1"/>
  <c r="B2498" i="1"/>
  <c r="C2498" i="1"/>
  <c r="D2498" i="1"/>
  <c r="E2498" i="1"/>
  <c r="F2498" i="1"/>
  <c r="H2498" i="1"/>
  <c r="A2499" i="1"/>
  <c r="B2499" i="1"/>
  <c r="C2499" i="1"/>
  <c r="D2499" i="1"/>
  <c r="E2499" i="1"/>
  <c r="F2499" i="1"/>
  <c r="H2499" i="1"/>
  <c r="A2500" i="1"/>
  <c r="B2500" i="1"/>
  <c r="C2500" i="1"/>
  <c r="D2500" i="1"/>
  <c r="E2500" i="1"/>
  <c r="F2500" i="1"/>
  <c r="H2500" i="1"/>
  <c r="A2501" i="1"/>
  <c r="B2501" i="1"/>
  <c r="C2501" i="1"/>
  <c r="D2501" i="1"/>
  <c r="E2501" i="1"/>
  <c r="F2501" i="1"/>
  <c r="H2501" i="1"/>
  <c r="A2502" i="1"/>
  <c r="B2502" i="1"/>
  <c r="C2502" i="1"/>
  <c r="D2502" i="1"/>
  <c r="E2502" i="1"/>
  <c r="F2502" i="1"/>
  <c r="H2502" i="1"/>
  <c r="A2503" i="1"/>
  <c r="B2503" i="1"/>
  <c r="C2503" i="1"/>
  <c r="D2503" i="1"/>
  <c r="E2503" i="1"/>
  <c r="F2503" i="1"/>
  <c r="H2503" i="1"/>
  <c r="A2504" i="1"/>
  <c r="B2504" i="1"/>
  <c r="C2504" i="1"/>
  <c r="D2504" i="1"/>
  <c r="E2504" i="1"/>
  <c r="F2504" i="1"/>
  <c r="H2504" i="1"/>
  <c r="A2505" i="1"/>
  <c r="B2505" i="1"/>
  <c r="C2505" i="1"/>
  <c r="D2505" i="1"/>
  <c r="E2505" i="1"/>
  <c r="F2505" i="1"/>
  <c r="H2505" i="1"/>
  <c r="A2506" i="1"/>
  <c r="B2506" i="1"/>
  <c r="C2506" i="1"/>
  <c r="D2506" i="1"/>
  <c r="E2506" i="1"/>
  <c r="F2506" i="1"/>
  <c r="H2506" i="1"/>
  <c r="A2507" i="1"/>
  <c r="B2507" i="1"/>
  <c r="C2507" i="1"/>
  <c r="D2507" i="1"/>
  <c r="E2507" i="1"/>
  <c r="F2507" i="1"/>
  <c r="H2507" i="1"/>
  <c r="A2508" i="1"/>
  <c r="B2508" i="1"/>
  <c r="C2508" i="1"/>
  <c r="D2508" i="1"/>
  <c r="E2508" i="1"/>
  <c r="F2508" i="1"/>
  <c r="H2508" i="1"/>
  <c r="A2509" i="1"/>
  <c r="B2509" i="1"/>
  <c r="C2509" i="1"/>
  <c r="D2509" i="1"/>
  <c r="E2509" i="1"/>
  <c r="F2509" i="1"/>
  <c r="H2509" i="1"/>
  <c r="A2510" i="1"/>
  <c r="B2510" i="1"/>
  <c r="C2510" i="1"/>
  <c r="D2510" i="1"/>
  <c r="E2510" i="1"/>
  <c r="F2510" i="1"/>
  <c r="H2510" i="1"/>
  <c r="A2511" i="1"/>
  <c r="B2511" i="1"/>
  <c r="C2511" i="1"/>
  <c r="D2511" i="1"/>
  <c r="E2511" i="1"/>
  <c r="F2511" i="1"/>
  <c r="H2511" i="1"/>
  <c r="A2512" i="1"/>
  <c r="B2512" i="1"/>
  <c r="C2512" i="1"/>
  <c r="D2512" i="1"/>
  <c r="E2512" i="1"/>
  <c r="F2512" i="1"/>
  <c r="H2512" i="1"/>
  <c r="A2513" i="1"/>
  <c r="B2513" i="1"/>
  <c r="C2513" i="1"/>
  <c r="D2513" i="1"/>
  <c r="E2513" i="1"/>
  <c r="F2513" i="1"/>
  <c r="H2513" i="1"/>
  <c r="A2514" i="1"/>
  <c r="B2514" i="1"/>
  <c r="C2514" i="1"/>
  <c r="D2514" i="1"/>
  <c r="E2514" i="1"/>
  <c r="F2514" i="1"/>
  <c r="H2514" i="1"/>
  <c r="A2515" i="1"/>
  <c r="B2515" i="1"/>
  <c r="C2515" i="1"/>
  <c r="D2515" i="1"/>
  <c r="E2515" i="1"/>
  <c r="F2515" i="1"/>
  <c r="H2515" i="1"/>
  <c r="A2516" i="1"/>
  <c r="B2516" i="1"/>
  <c r="C2516" i="1"/>
  <c r="D2516" i="1"/>
  <c r="E2516" i="1"/>
  <c r="F2516" i="1"/>
  <c r="H2516" i="1"/>
  <c r="A2517" i="1"/>
  <c r="B2517" i="1"/>
  <c r="C2517" i="1"/>
  <c r="D2517" i="1"/>
  <c r="E2517" i="1"/>
  <c r="F2517" i="1"/>
  <c r="H2517" i="1"/>
  <c r="A2518" i="1"/>
  <c r="B2518" i="1"/>
  <c r="C2518" i="1"/>
  <c r="D2518" i="1"/>
  <c r="E2518" i="1"/>
  <c r="F2518" i="1"/>
  <c r="H2518" i="1"/>
  <c r="A2519" i="1"/>
  <c r="B2519" i="1"/>
  <c r="C2519" i="1"/>
  <c r="D2519" i="1"/>
  <c r="E2519" i="1"/>
  <c r="F2519" i="1"/>
  <c r="H2519" i="1"/>
  <c r="A2520" i="1"/>
  <c r="B2520" i="1"/>
  <c r="C2520" i="1"/>
  <c r="D2520" i="1"/>
  <c r="E2520" i="1"/>
  <c r="F2520" i="1"/>
  <c r="H2520" i="1"/>
  <c r="A2521" i="1"/>
  <c r="B2521" i="1"/>
  <c r="C2521" i="1"/>
  <c r="D2521" i="1"/>
  <c r="E2521" i="1"/>
  <c r="F2521" i="1"/>
  <c r="H2521" i="1"/>
  <c r="A2522" i="1"/>
  <c r="B2522" i="1"/>
  <c r="C2522" i="1"/>
  <c r="D2522" i="1"/>
  <c r="E2522" i="1"/>
  <c r="F2522" i="1"/>
  <c r="H2522" i="1"/>
  <c r="A2523" i="1"/>
  <c r="B2523" i="1"/>
  <c r="C2523" i="1"/>
  <c r="D2523" i="1"/>
  <c r="E2523" i="1"/>
  <c r="F2523" i="1"/>
  <c r="H2523" i="1"/>
  <c r="A2524" i="1"/>
  <c r="B2524" i="1"/>
  <c r="C2524" i="1"/>
  <c r="D2524" i="1"/>
  <c r="E2524" i="1"/>
  <c r="F2524" i="1"/>
  <c r="H2524" i="1"/>
  <c r="A2525" i="1"/>
  <c r="B2525" i="1"/>
  <c r="C2525" i="1"/>
  <c r="D2525" i="1"/>
  <c r="E2525" i="1"/>
  <c r="F2525" i="1"/>
  <c r="H2525" i="1"/>
  <c r="A2526" i="1"/>
  <c r="B2526" i="1"/>
  <c r="C2526" i="1"/>
  <c r="D2526" i="1"/>
  <c r="E2526" i="1"/>
  <c r="F2526" i="1"/>
  <c r="H2526" i="1"/>
  <c r="A2527" i="1"/>
  <c r="B2527" i="1"/>
  <c r="C2527" i="1"/>
  <c r="D2527" i="1"/>
  <c r="E2527" i="1"/>
  <c r="F2527" i="1"/>
  <c r="H2527" i="1"/>
  <c r="A2528" i="1"/>
  <c r="B2528" i="1"/>
  <c r="C2528" i="1"/>
  <c r="D2528" i="1"/>
  <c r="E2528" i="1"/>
  <c r="F2528" i="1"/>
  <c r="H2528" i="1"/>
  <c r="A2529" i="1"/>
  <c r="B2529" i="1"/>
  <c r="C2529" i="1"/>
  <c r="D2529" i="1"/>
  <c r="E2529" i="1"/>
  <c r="F2529" i="1"/>
  <c r="H2529" i="1"/>
  <c r="A2530" i="1"/>
  <c r="B2530" i="1"/>
  <c r="C2530" i="1"/>
  <c r="D2530" i="1"/>
  <c r="E2530" i="1"/>
  <c r="F2530" i="1"/>
  <c r="H2530" i="1"/>
  <c r="A2531" i="1"/>
  <c r="B2531" i="1"/>
  <c r="C2531" i="1"/>
  <c r="D2531" i="1"/>
  <c r="E2531" i="1"/>
  <c r="F2531" i="1"/>
  <c r="H2531" i="1"/>
  <c r="A2532" i="1"/>
  <c r="B2532" i="1"/>
  <c r="C2532" i="1"/>
  <c r="D2532" i="1"/>
  <c r="E2532" i="1"/>
  <c r="F2532" i="1"/>
  <c r="H2532" i="1"/>
  <c r="A2533" i="1"/>
  <c r="B2533" i="1"/>
  <c r="C2533" i="1"/>
  <c r="D2533" i="1"/>
  <c r="E2533" i="1"/>
  <c r="F2533" i="1"/>
  <c r="H2533" i="1"/>
  <c r="A2534" i="1"/>
  <c r="B2534" i="1"/>
  <c r="C2534" i="1"/>
  <c r="D2534" i="1"/>
  <c r="E2534" i="1"/>
  <c r="F2534" i="1"/>
  <c r="H2534" i="1"/>
  <c r="A2535" i="1"/>
  <c r="B2535" i="1"/>
  <c r="C2535" i="1"/>
  <c r="D2535" i="1"/>
  <c r="E2535" i="1"/>
  <c r="F2535" i="1"/>
  <c r="H2535" i="1"/>
  <c r="A2536" i="1"/>
  <c r="B2536" i="1"/>
  <c r="C2536" i="1"/>
  <c r="D2536" i="1"/>
  <c r="E2536" i="1"/>
  <c r="F2536" i="1"/>
  <c r="H2536" i="1"/>
  <c r="A2537" i="1"/>
  <c r="B2537" i="1"/>
  <c r="C2537" i="1"/>
  <c r="D2537" i="1"/>
  <c r="E2537" i="1"/>
  <c r="F2537" i="1"/>
  <c r="H2537" i="1"/>
  <c r="A2538" i="1"/>
  <c r="B2538" i="1"/>
  <c r="C2538" i="1"/>
  <c r="D2538" i="1"/>
  <c r="E2538" i="1"/>
  <c r="F2538" i="1"/>
  <c r="H2538" i="1"/>
  <c r="A2539" i="1"/>
  <c r="B2539" i="1"/>
  <c r="C2539" i="1"/>
  <c r="D2539" i="1"/>
  <c r="E2539" i="1"/>
  <c r="F2539" i="1"/>
  <c r="H2539" i="1"/>
  <c r="A2540" i="1"/>
  <c r="B2540" i="1"/>
  <c r="C2540" i="1"/>
  <c r="D2540" i="1"/>
  <c r="E2540" i="1"/>
  <c r="F2540" i="1"/>
  <c r="H2540" i="1"/>
  <c r="A2541" i="1"/>
  <c r="B2541" i="1"/>
  <c r="C2541" i="1"/>
  <c r="D2541" i="1"/>
  <c r="E2541" i="1"/>
  <c r="F2541" i="1"/>
  <c r="H2541" i="1"/>
  <c r="A2542" i="1"/>
  <c r="B2542" i="1"/>
  <c r="C2542" i="1"/>
  <c r="D2542" i="1"/>
  <c r="E2542" i="1"/>
  <c r="F2542" i="1"/>
  <c r="H2542" i="1"/>
  <c r="A2543" i="1"/>
  <c r="B2543" i="1"/>
  <c r="C2543" i="1"/>
  <c r="D2543" i="1"/>
  <c r="E2543" i="1"/>
  <c r="F2543" i="1"/>
  <c r="H2543" i="1"/>
  <c r="A2544" i="1"/>
  <c r="B2544" i="1"/>
  <c r="C2544" i="1"/>
  <c r="D2544" i="1"/>
  <c r="E2544" i="1"/>
  <c r="F2544" i="1"/>
  <c r="H2544" i="1"/>
  <c r="A2545" i="1"/>
  <c r="B2545" i="1"/>
  <c r="C2545" i="1"/>
  <c r="D2545" i="1"/>
  <c r="E2545" i="1"/>
  <c r="F2545" i="1"/>
  <c r="H2545" i="1"/>
  <c r="A2546" i="1"/>
  <c r="B2546" i="1"/>
  <c r="C2546" i="1"/>
  <c r="D2546" i="1"/>
  <c r="E2546" i="1"/>
  <c r="F2546" i="1"/>
  <c r="H2546" i="1"/>
  <c r="A2547" i="1"/>
  <c r="B2547" i="1"/>
  <c r="C2547" i="1"/>
  <c r="D2547" i="1"/>
  <c r="E2547" i="1"/>
  <c r="F2547" i="1"/>
  <c r="H2547" i="1"/>
  <c r="A2548" i="1"/>
  <c r="B2548" i="1"/>
  <c r="C2548" i="1"/>
  <c r="D2548" i="1"/>
  <c r="E2548" i="1"/>
  <c r="F2548" i="1"/>
  <c r="H2548" i="1"/>
  <c r="A2549" i="1"/>
  <c r="B2549" i="1"/>
  <c r="C2549" i="1"/>
  <c r="D2549" i="1"/>
  <c r="E2549" i="1"/>
  <c r="F2549" i="1"/>
  <c r="H2549" i="1"/>
  <c r="A2550" i="1"/>
  <c r="B2550" i="1"/>
  <c r="C2550" i="1"/>
  <c r="D2550" i="1"/>
  <c r="E2550" i="1"/>
  <c r="F2550" i="1"/>
  <c r="H2550" i="1"/>
  <c r="A2551" i="1"/>
  <c r="B2551" i="1"/>
  <c r="C2551" i="1"/>
  <c r="D2551" i="1"/>
  <c r="E2551" i="1"/>
  <c r="F2551" i="1"/>
  <c r="H2551" i="1"/>
  <c r="A2552" i="1"/>
  <c r="B2552" i="1"/>
  <c r="C2552" i="1"/>
  <c r="D2552" i="1"/>
  <c r="E2552" i="1"/>
  <c r="F2552" i="1"/>
  <c r="H2552" i="1"/>
  <c r="A2553" i="1"/>
  <c r="B2553" i="1"/>
  <c r="C2553" i="1"/>
  <c r="D2553" i="1"/>
  <c r="E2553" i="1"/>
  <c r="F2553" i="1"/>
  <c r="H2553" i="1"/>
  <c r="A2554" i="1"/>
  <c r="B2554" i="1"/>
  <c r="C2554" i="1"/>
  <c r="D2554" i="1"/>
  <c r="E2554" i="1"/>
  <c r="F2554" i="1"/>
  <c r="H2554" i="1"/>
  <c r="A2555" i="1"/>
  <c r="B2555" i="1"/>
  <c r="C2555" i="1"/>
  <c r="D2555" i="1"/>
  <c r="E2555" i="1"/>
  <c r="F2555" i="1"/>
  <c r="H2555" i="1"/>
  <c r="A2556" i="1"/>
  <c r="B2556" i="1"/>
  <c r="C2556" i="1"/>
  <c r="D2556" i="1"/>
  <c r="E2556" i="1"/>
  <c r="F2556" i="1"/>
  <c r="H2556" i="1"/>
  <c r="A2557" i="1"/>
  <c r="B2557" i="1"/>
  <c r="C2557" i="1"/>
  <c r="D2557" i="1"/>
  <c r="E2557" i="1"/>
  <c r="F2557" i="1"/>
  <c r="H2557" i="1"/>
  <c r="A2558" i="1"/>
  <c r="B2558" i="1"/>
  <c r="C2558" i="1"/>
  <c r="D2558" i="1"/>
  <c r="E2558" i="1"/>
  <c r="F2558" i="1"/>
  <c r="H2558" i="1"/>
  <c r="A2559" i="1"/>
  <c r="B2559" i="1"/>
  <c r="C2559" i="1"/>
  <c r="D2559" i="1"/>
  <c r="E2559" i="1"/>
  <c r="F2559" i="1"/>
  <c r="H2559" i="1"/>
  <c r="A2560" i="1"/>
  <c r="B2560" i="1"/>
  <c r="C2560" i="1"/>
  <c r="D2560" i="1"/>
  <c r="E2560" i="1"/>
  <c r="F2560" i="1"/>
  <c r="H2560" i="1"/>
  <c r="A2561" i="1"/>
  <c r="B2561" i="1"/>
  <c r="C2561" i="1"/>
  <c r="D2561" i="1"/>
  <c r="E2561" i="1"/>
  <c r="F2561" i="1"/>
  <c r="H2561" i="1"/>
  <c r="A2562" i="1"/>
  <c r="B2562" i="1"/>
  <c r="C2562" i="1"/>
  <c r="D2562" i="1"/>
  <c r="E2562" i="1"/>
  <c r="F2562" i="1"/>
  <c r="H2562" i="1"/>
  <c r="A2563" i="1"/>
  <c r="B2563" i="1"/>
  <c r="C2563" i="1"/>
  <c r="D2563" i="1"/>
  <c r="E2563" i="1"/>
  <c r="F2563" i="1"/>
  <c r="H2563" i="1"/>
  <c r="A2564" i="1"/>
  <c r="B2564" i="1"/>
  <c r="C2564" i="1"/>
  <c r="D2564" i="1"/>
  <c r="E2564" i="1"/>
  <c r="F2564" i="1"/>
  <c r="H2564" i="1"/>
  <c r="A2565" i="1"/>
  <c r="B2565" i="1"/>
  <c r="C2565" i="1"/>
  <c r="D2565" i="1"/>
  <c r="E2565" i="1"/>
  <c r="F2565" i="1"/>
  <c r="H2565" i="1"/>
  <c r="A2566" i="1"/>
  <c r="B2566" i="1"/>
  <c r="C2566" i="1"/>
  <c r="D2566" i="1"/>
  <c r="E2566" i="1"/>
  <c r="F2566" i="1"/>
  <c r="H2566" i="1"/>
  <c r="A2567" i="1"/>
  <c r="B2567" i="1"/>
  <c r="C2567" i="1"/>
  <c r="D2567" i="1"/>
  <c r="E2567" i="1"/>
  <c r="F2567" i="1"/>
  <c r="H2567" i="1"/>
  <c r="A2568" i="1"/>
  <c r="B2568" i="1"/>
  <c r="C2568" i="1"/>
  <c r="D2568" i="1"/>
  <c r="E2568" i="1"/>
  <c r="F2568" i="1"/>
  <c r="H2568" i="1"/>
  <c r="A2569" i="1"/>
  <c r="B2569" i="1"/>
  <c r="C2569" i="1"/>
  <c r="D2569" i="1"/>
  <c r="E2569" i="1"/>
  <c r="F2569" i="1"/>
  <c r="H2569" i="1"/>
  <c r="A2570" i="1"/>
  <c r="B2570" i="1"/>
  <c r="C2570" i="1"/>
  <c r="D2570" i="1"/>
  <c r="E2570" i="1"/>
  <c r="F2570" i="1"/>
  <c r="H2570" i="1"/>
  <c r="A2571" i="1"/>
  <c r="B2571" i="1"/>
  <c r="C2571" i="1"/>
  <c r="D2571" i="1"/>
  <c r="E2571" i="1"/>
  <c r="F2571" i="1"/>
  <c r="H2571" i="1"/>
  <c r="A2572" i="1"/>
  <c r="B2572" i="1"/>
  <c r="C2572" i="1"/>
  <c r="D2572" i="1"/>
  <c r="E2572" i="1"/>
  <c r="F2572" i="1"/>
  <c r="H2572" i="1"/>
  <c r="A2573" i="1"/>
  <c r="B2573" i="1"/>
  <c r="C2573" i="1"/>
  <c r="D2573" i="1"/>
  <c r="E2573" i="1"/>
  <c r="F2573" i="1"/>
  <c r="H2573" i="1"/>
  <c r="A2574" i="1"/>
  <c r="B2574" i="1"/>
  <c r="C2574" i="1"/>
  <c r="D2574" i="1"/>
  <c r="E2574" i="1"/>
  <c r="F2574" i="1"/>
  <c r="H2574" i="1"/>
  <c r="A2575" i="1"/>
  <c r="B2575" i="1"/>
  <c r="C2575" i="1"/>
  <c r="D2575" i="1"/>
  <c r="E2575" i="1"/>
  <c r="F2575" i="1"/>
  <c r="H2575" i="1"/>
  <c r="A2576" i="1"/>
  <c r="B2576" i="1"/>
  <c r="C2576" i="1"/>
  <c r="D2576" i="1"/>
  <c r="E2576" i="1"/>
  <c r="F2576" i="1"/>
  <c r="H2576" i="1"/>
  <c r="A2577" i="1"/>
  <c r="B2577" i="1"/>
  <c r="C2577" i="1"/>
  <c r="D2577" i="1"/>
  <c r="E2577" i="1"/>
  <c r="F2577" i="1"/>
  <c r="H2577" i="1"/>
  <c r="A2578" i="1"/>
  <c r="B2578" i="1"/>
  <c r="C2578" i="1"/>
  <c r="D2578" i="1"/>
  <c r="E2578" i="1"/>
  <c r="F2578" i="1"/>
  <c r="H2578" i="1"/>
  <c r="A2579" i="1"/>
  <c r="B2579" i="1"/>
  <c r="C2579" i="1"/>
  <c r="D2579" i="1"/>
  <c r="E2579" i="1"/>
  <c r="F2579" i="1"/>
  <c r="H2579" i="1"/>
  <c r="A2580" i="1"/>
  <c r="B2580" i="1"/>
  <c r="C2580" i="1"/>
  <c r="D2580" i="1"/>
  <c r="E2580" i="1"/>
  <c r="F2580" i="1"/>
  <c r="H2580" i="1"/>
  <c r="A2581" i="1"/>
  <c r="B2581" i="1"/>
  <c r="C2581" i="1"/>
  <c r="D2581" i="1"/>
  <c r="E2581" i="1"/>
  <c r="F2581" i="1"/>
  <c r="H2581" i="1"/>
  <c r="A2582" i="1"/>
  <c r="B2582" i="1"/>
  <c r="C2582" i="1"/>
  <c r="D2582" i="1"/>
  <c r="E2582" i="1"/>
  <c r="F2582" i="1"/>
  <c r="H2582" i="1"/>
  <c r="A2583" i="1"/>
  <c r="B2583" i="1"/>
  <c r="C2583" i="1"/>
  <c r="D2583" i="1"/>
  <c r="E2583" i="1"/>
  <c r="F2583" i="1"/>
  <c r="H2583" i="1"/>
  <c r="A2584" i="1"/>
  <c r="B2584" i="1"/>
  <c r="C2584" i="1"/>
  <c r="D2584" i="1"/>
  <c r="E2584" i="1"/>
  <c r="F2584" i="1"/>
  <c r="H2584" i="1"/>
  <c r="A2585" i="1"/>
  <c r="B2585" i="1"/>
  <c r="C2585" i="1"/>
  <c r="D2585" i="1"/>
  <c r="E2585" i="1"/>
  <c r="F2585" i="1"/>
  <c r="H2585" i="1"/>
  <c r="A2586" i="1"/>
  <c r="B2586" i="1"/>
  <c r="C2586" i="1"/>
  <c r="D2586" i="1"/>
  <c r="E2586" i="1"/>
  <c r="F2586" i="1"/>
  <c r="H2586" i="1"/>
  <c r="A2587" i="1"/>
  <c r="B2587" i="1"/>
  <c r="C2587" i="1"/>
  <c r="D2587" i="1"/>
  <c r="E2587" i="1"/>
  <c r="F2587" i="1"/>
  <c r="H2587" i="1"/>
  <c r="A2588" i="1"/>
  <c r="B2588" i="1"/>
  <c r="C2588" i="1"/>
  <c r="D2588" i="1"/>
  <c r="E2588" i="1"/>
  <c r="F2588" i="1"/>
  <c r="H2588" i="1"/>
  <c r="A2589" i="1"/>
  <c r="B2589" i="1"/>
  <c r="C2589" i="1"/>
  <c r="D2589" i="1"/>
  <c r="E2589" i="1"/>
  <c r="F2589" i="1"/>
  <c r="H2589" i="1"/>
  <c r="A2590" i="1"/>
  <c r="B2590" i="1"/>
  <c r="C2590" i="1"/>
  <c r="D2590" i="1"/>
  <c r="E2590" i="1"/>
  <c r="F2590" i="1"/>
  <c r="H2590" i="1"/>
  <c r="A2591" i="1"/>
  <c r="B2591" i="1"/>
  <c r="C2591" i="1"/>
  <c r="D2591" i="1"/>
  <c r="E2591" i="1"/>
  <c r="F2591" i="1"/>
  <c r="H2591" i="1"/>
  <c r="A2592" i="1"/>
  <c r="B2592" i="1"/>
  <c r="C2592" i="1"/>
  <c r="D2592" i="1"/>
  <c r="E2592" i="1"/>
  <c r="F2592" i="1"/>
  <c r="H2592" i="1"/>
  <c r="A2593" i="1"/>
  <c r="B2593" i="1"/>
  <c r="C2593" i="1"/>
  <c r="D2593" i="1"/>
  <c r="E2593" i="1"/>
  <c r="F2593" i="1"/>
  <c r="H2593" i="1"/>
  <c r="A2594" i="1"/>
  <c r="B2594" i="1"/>
  <c r="C2594" i="1"/>
  <c r="D2594" i="1"/>
  <c r="E2594" i="1"/>
  <c r="F2594" i="1"/>
  <c r="H2594" i="1"/>
  <c r="A2595" i="1"/>
  <c r="B2595" i="1"/>
  <c r="C2595" i="1"/>
  <c r="D2595" i="1"/>
  <c r="E2595" i="1"/>
  <c r="F2595" i="1"/>
  <c r="H2595" i="1"/>
  <c r="A2596" i="1"/>
  <c r="B2596" i="1"/>
  <c r="C2596" i="1"/>
  <c r="D2596" i="1"/>
  <c r="E2596" i="1"/>
  <c r="F2596" i="1"/>
  <c r="H2596" i="1"/>
  <c r="A2597" i="1"/>
  <c r="B2597" i="1"/>
  <c r="C2597" i="1"/>
  <c r="D2597" i="1"/>
  <c r="E2597" i="1"/>
  <c r="F2597" i="1"/>
  <c r="H2597" i="1"/>
  <c r="A2598" i="1"/>
  <c r="B2598" i="1"/>
  <c r="C2598" i="1"/>
  <c r="D2598" i="1"/>
  <c r="E2598" i="1"/>
  <c r="F2598" i="1"/>
  <c r="H2598" i="1"/>
  <c r="A2599" i="1"/>
  <c r="B2599" i="1"/>
  <c r="C2599" i="1"/>
  <c r="D2599" i="1"/>
  <c r="E2599" i="1"/>
  <c r="F2599" i="1"/>
  <c r="H2599" i="1"/>
  <c r="A2600" i="1"/>
  <c r="B2600" i="1"/>
  <c r="C2600" i="1"/>
  <c r="D2600" i="1"/>
  <c r="E2600" i="1"/>
  <c r="F2600" i="1"/>
  <c r="H2600" i="1"/>
  <c r="A2601" i="1"/>
  <c r="B2601" i="1"/>
  <c r="C2601" i="1"/>
  <c r="D2601" i="1"/>
  <c r="E2601" i="1"/>
  <c r="F2601" i="1"/>
  <c r="H2601" i="1"/>
  <c r="A2602" i="1"/>
  <c r="B2602" i="1"/>
  <c r="C2602" i="1"/>
  <c r="D2602" i="1"/>
  <c r="E2602" i="1"/>
  <c r="F2602" i="1"/>
  <c r="H2602" i="1"/>
  <c r="A2603" i="1"/>
  <c r="B2603" i="1"/>
  <c r="C2603" i="1"/>
  <c r="D2603" i="1"/>
  <c r="E2603" i="1"/>
  <c r="F2603" i="1"/>
  <c r="H2603" i="1"/>
  <c r="A2604" i="1"/>
  <c r="B2604" i="1"/>
  <c r="C2604" i="1"/>
  <c r="D2604" i="1"/>
  <c r="E2604" i="1"/>
  <c r="F2604" i="1"/>
  <c r="H2604" i="1"/>
  <c r="A2605" i="1"/>
  <c r="B2605" i="1"/>
  <c r="C2605" i="1"/>
  <c r="D2605" i="1"/>
  <c r="E2605" i="1"/>
  <c r="F2605" i="1"/>
  <c r="H2605" i="1"/>
  <c r="A2606" i="1"/>
  <c r="B2606" i="1"/>
  <c r="C2606" i="1"/>
  <c r="D2606" i="1"/>
  <c r="E2606" i="1"/>
  <c r="F2606" i="1"/>
  <c r="H2606" i="1"/>
  <c r="A2607" i="1"/>
  <c r="B2607" i="1"/>
  <c r="C2607" i="1"/>
  <c r="D2607" i="1"/>
  <c r="E2607" i="1"/>
  <c r="F2607" i="1"/>
  <c r="H2607" i="1"/>
  <c r="A2608" i="1"/>
  <c r="B2608" i="1"/>
  <c r="C2608" i="1"/>
  <c r="D2608" i="1"/>
  <c r="E2608" i="1"/>
  <c r="F2608" i="1"/>
  <c r="H2608" i="1"/>
  <c r="A2609" i="1"/>
  <c r="B2609" i="1"/>
  <c r="C2609" i="1"/>
  <c r="D2609" i="1"/>
  <c r="E2609" i="1"/>
  <c r="F2609" i="1"/>
  <c r="H2609" i="1"/>
  <c r="A2610" i="1"/>
  <c r="B2610" i="1"/>
  <c r="C2610" i="1"/>
  <c r="D2610" i="1"/>
  <c r="E2610" i="1"/>
  <c r="F2610" i="1"/>
  <c r="H2610" i="1"/>
  <c r="A2611" i="1"/>
  <c r="B2611" i="1"/>
  <c r="C2611" i="1"/>
  <c r="D2611" i="1"/>
  <c r="E2611" i="1"/>
  <c r="F2611" i="1"/>
  <c r="H2611" i="1"/>
  <c r="A2612" i="1"/>
  <c r="B2612" i="1"/>
  <c r="C2612" i="1"/>
  <c r="D2612" i="1"/>
  <c r="E2612" i="1"/>
  <c r="F2612" i="1"/>
  <c r="H2612" i="1"/>
  <c r="A2613" i="1"/>
  <c r="B2613" i="1"/>
  <c r="C2613" i="1"/>
  <c r="D2613" i="1"/>
  <c r="E2613" i="1"/>
  <c r="F2613" i="1"/>
  <c r="H2613" i="1"/>
  <c r="A2614" i="1"/>
  <c r="B2614" i="1"/>
  <c r="C2614" i="1"/>
  <c r="D2614" i="1"/>
  <c r="E2614" i="1"/>
  <c r="F2614" i="1"/>
  <c r="H2614" i="1"/>
  <c r="A2615" i="1"/>
  <c r="B2615" i="1"/>
  <c r="C2615" i="1"/>
  <c r="D2615" i="1"/>
  <c r="E2615" i="1"/>
  <c r="F2615" i="1"/>
  <c r="H2615" i="1"/>
  <c r="A2616" i="1"/>
  <c r="B2616" i="1"/>
  <c r="C2616" i="1"/>
  <c r="D2616" i="1"/>
  <c r="E2616" i="1"/>
  <c r="F2616" i="1"/>
  <c r="H2616" i="1"/>
  <c r="A2617" i="1"/>
  <c r="B2617" i="1"/>
  <c r="C2617" i="1"/>
  <c r="D2617" i="1"/>
  <c r="E2617" i="1"/>
  <c r="F2617" i="1"/>
  <c r="H2617" i="1"/>
  <c r="A2618" i="1"/>
  <c r="B2618" i="1"/>
  <c r="C2618" i="1"/>
  <c r="D2618" i="1"/>
  <c r="E2618" i="1"/>
  <c r="F2618" i="1"/>
  <c r="H2618" i="1"/>
  <c r="A2619" i="1"/>
  <c r="B2619" i="1"/>
  <c r="C2619" i="1"/>
  <c r="D2619" i="1"/>
  <c r="E2619" i="1"/>
  <c r="F2619" i="1"/>
  <c r="H2619" i="1"/>
  <c r="A2620" i="1"/>
  <c r="B2620" i="1"/>
  <c r="C2620" i="1"/>
  <c r="D2620" i="1"/>
  <c r="E2620" i="1"/>
  <c r="F2620" i="1"/>
  <c r="H2620" i="1"/>
  <c r="A2621" i="1"/>
  <c r="B2621" i="1"/>
  <c r="C2621" i="1"/>
  <c r="D2621" i="1"/>
  <c r="E2621" i="1"/>
  <c r="F2621" i="1"/>
  <c r="H2621" i="1"/>
  <c r="A2622" i="1"/>
  <c r="B2622" i="1"/>
  <c r="C2622" i="1"/>
  <c r="D2622" i="1"/>
  <c r="E2622" i="1"/>
  <c r="F2622" i="1"/>
  <c r="H2622" i="1"/>
  <c r="A2623" i="1"/>
  <c r="B2623" i="1"/>
  <c r="C2623" i="1"/>
  <c r="D2623" i="1"/>
  <c r="E2623" i="1"/>
  <c r="F2623" i="1"/>
  <c r="H2623" i="1"/>
  <c r="A2624" i="1"/>
  <c r="B2624" i="1"/>
  <c r="C2624" i="1"/>
  <c r="D2624" i="1"/>
  <c r="E2624" i="1"/>
  <c r="F2624" i="1"/>
  <c r="H2624" i="1"/>
  <c r="A2625" i="1"/>
  <c r="B2625" i="1"/>
  <c r="C2625" i="1"/>
  <c r="D2625" i="1"/>
  <c r="E2625" i="1"/>
  <c r="F2625" i="1"/>
  <c r="H2625" i="1"/>
  <c r="A2626" i="1"/>
  <c r="B2626" i="1"/>
  <c r="C2626" i="1"/>
  <c r="D2626" i="1"/>
  <c r="E2626" i="1"/>
  <c r="F2626" i="1"/>
  <c r="H2626" i="1"/>
  <c r="A2627" i="1"/>
  <c r="B2627" i="1"/>
  <c r="C2627" i="1"/>
  <c r="D2627" i="1"/>
  <c r="E2627" i="1"/>
  <c r="F2627" i="1"/>
  <c r="H2627" i="1"/>
  <c r="A2628" i="1"/>
  <c r="B2628" i="1"/>
  <c r="C2628" i="1"/>
  <c r="D2628" i="1"/>
  <c r="E2628" i="1"/>
  <c r="F2628" i="1"/>
  <c r="H2628" i="1"/>
  <c r="A2629" i="1"/>
  <c r="B2629" i="1"/>
  <c r="C2629" i="1"/>
  <c r="D2629" i="1"/>
  <c r="E2629" i="1"/>
  <c r="F2629" i="1"/>
  <c r="H2629" i="1"/>
  <c r="A2630" i="1"/>
  <c r="B2630" i="1"/>
  <c r="C2630" i="1"/>
  <c r="D2630" i="1"/>
  <c r="E2630" i="1"/>
  <c r="F2630" i="1"/>
  <c r="H2630" i="1"/>
  <c r="A2631" i="1"/>
  <c r="B2631" i="1"/>
  <c r="C2631" i="1"/>
  <c r="D2631" i="1"/>
  <c r="E2631" i="1"/>
  <c r="F2631" i="1"/>
  <c r="H2631" i="1"/>
  <c r="A2632" i="1"/>
  <c r="B2632" i="1"/>
  <c r="C2632" i="1"/>
  <c r="D2632" i="1"/>
  <c r="E2632" i="1"/>
  <c r="F2632" i="1"/>
  <c r="H2632" i="1"/>
  <c r="A2633" i="1"/>
  <c r="B2633" i="1"/>
  <c r="C2633" i="1"/>
  <c r="D2633" i="1"/>
  <c r="E2633" i="1"/>
  <c r="F2633" i="1"/>
  <c r="H2633" i="1"/>
  <c r="A2634" i="1"/>
  <c r="B2634" i="1"/>
  <c r="C2634" i="1"/>
  <c r="D2634" i="1"/>
  <c r="E2634" i="1"/>
  <c r="F2634" i="1"/>
  <c r="H2634" i="1"/>
  <c r="A2635" i="1"/>
  <c r="B2635" i="1"/>
  <c r="C2635" i="1"/>
  <c r="D2635" i="1"/>
  <c r="E2635" i="1"/>
  <c r="F2635" i="1"/>
  <c r="H2635" i="1"/>
  <c r="A2636" i="1"/>
  <c r="B2636" i="1"/>
  <c r="C2636" i="1"/>
  <c r="D2636" i="1"/>
  <c r="E2636" i="1"/>
  <c r="F2636" i="1"/>
  <c r="H2636" i="1"/>
  <c r="A2637" i="1"/>
  <c r="B2637" i="1"/>
  <c r="C2637" i="1"/>
  <c r="D2637" i="1"/>
  <c r="E2637" i="1"/>
  <c r="F2637" i="1"/>
  <c r="H2637" i="1"/>
  <c r="A2638" i="1"/>
  <c r="B2638" i="1"/>
  <c r="C2638" i="1"/>
  <c r="D2638" i="1"/>
  <c r="E2638" i="1"/>
  <c r="F2638" i="1"/>
  <c r="H2638" i="1"/>
  <c r="A2639" i="1"/>
  <c r="B2639" i="1"/>
  <c r="C2639" i="1"/>
  <c r="D2639" i="1"/>
  <c r="E2639" i="1"/>
  <c r="F2639" i="1"/>
  <c r="H2639" i="1"/>
  <c r="A2640" i="1"/>
  <c r="B2640" i="1"/>
  <c r="C2640" i="1"/>
  <c r="D2640" i="1"/>
  <c r="E2640" i="1"/>
  <c r="F2640" i="1"/>
  <c r="H2640" i="1"/>
  <c r="A2641" i="1"/>
  <c r="B2641" i="1"/>
  <c r="C2641" i="1"/>
  <c r="D2641" i="1"/>
  <c r="E2641" i="1"/>
  <c r="F2641" i="1"/>
  <c r="H2641" i="1"/>
  <c r="A2642" i="1"/>
  <c r="B2642" i="1"/>
  <c r="C2642" i="1"/>
  <c r="D2642" i="1"/>
  <c r="E2642" i="1"/>
  <c r="F2642" i="1"/>
  <c r="H2642" i="1"/>
  <c r="A2643" i="1"/>
  <c r="B2643" i="1"/>
  <c r="C2643" i="1"/>
  <c r="D2643" i="1"/>
  <c r="E2643" i="1"/>
  <c r="F2643" i="1"/>
  <c r="H2643" i="1"/>
  <c r="A2644" i="1"/>
  <c r="B2644" i="1"/>
  <c r="C2644" i="1"/>
  <c r="D2644" i="1"/>
  <c r="E2644" i="1"/>
  <c r="F2644" i="1"/>
  <c r="H2644" i="1"/>
  <c r="A2645" i="1"/>
  <c r="B2645" i="1"/>
  <c r="C2645" i="1"/>
  <c r="D2645" i="1"/>
  <c r="E2645" i="1"/>
  <c r="F2645" i="1"/>
  <c r="H2645" i="1"/>
  <c r="A2646" i="1"/>
  <c r="B2646" i="1"/>
  <c r="C2646" i="1"/>
  <c r="D2646" i="1"/>
  <c r="E2646" i="1"/>
  <c r="F2646" i="1"/>
  <c r="H2646" i="1"/>
  <c r="A2647" i="1"/>
  <c r="B2647" i="1"/>
  <c r="C2647" i="1"/>
  <c r="D2647" i="1"/>
  <c r="E2647" i="1"/>
  <c r="F2647" i="1"/>
  <c r="H2647" i="1"/>
  <c r="A2648" i="1"/>
  <c r="B2648" i="1"/>
  <c r="C2648" i="1"/>
  <c r="D2648" i="1"/>
  <c r="E2648" i="1"/>
  <c r="F2648" i="1"/>
  <c r="H2648" i="1"/>
  <c r="A2649" i="1"/>
  <c r="B2649" i="1"/>
  <c r="C2649" i="1"/>
  <c r="D2649" i="1"/>
  <c r="E2649" i="1"/>
  <c r="F2649" i="1"/>
  <c r="H2649" i="1"/>
  <c r="A2650" i="1"/>
  <c r="B2650" i="1"/>
  <c r="C2650" i="1"/>
  <c r="D2650" i="1"/>
  <c r="E2650" i="1"/>
  <c r="F2650" i="1"/>
  <c r="H2650" i="1"/>
  <c r="A2651" i="1"/>
  <c r="B2651" i="1"/>
  <c r="C2651" i="1"/>
  <c r="D2651" i="1"/>
  <c r="E2651" i="1"/>
  <c r="F2651" i="1"/>
  <c r="H2651" i="1"/>
  <c r="A2652" i="1"/>
  <c r="B2652" i="1"/>
  <c r="C2652" i="1"/>
  <c r="D2652" i="1"/>
  <c r="E2652" i="1"/>
  <c r="F2652" i="1"/>
  <c r="H2652" i="1"/>
  <c r="A2653" i="1"/>
  <c r="B2653" i="1"/>
  <c r="C2653" i="1"/>
  <c r="D2653" i="1"/>
  <c r="E2653" i="1"/>
  <c r="F2653" i="1"/>
  <c r="H2653" i="1"/>
  <c r="A2654" i="1"/>
  <c r="B2654" i="1"/>
  <c r="C2654" i="1"/>
  <c r="D2654" i="1"/>
  <c r="E2654" i="1"/>
  <c r="F2654" i="1"/>
  <c r="H2654" i="1"/>
  <c r="A2655" i="1"/>
  <c r="B2655" i="1"/>
  <c r="C2655" i="1"/>
  <c r="D2655" i="1"/>
  <c r="E2655" i="1"/>
  <c r="F2655" i="1"/>
  <c r="H2655" i="1"/>
  <c r="A2656" i="1"/>
  <c r="B2656" i="1"/>
  <c r="C2656" i="1"/>
  <c r="D2656" i="1"/>
  <c r="E2656" i="1"/>
  <c r="F2656" i="1"/>
  <c r="H2656" i="1"/>
  <c r="A2657" i="1"/>
  <c r="B2657" i="1"/>
  <c r="C2657" i="1"/>
  <c r="D2657" i="1"/>
  <c r="E2657" i="1"/>
  <c r="F2657" i="1"/>
  <c r="H2657" i="1"/>
  <c r="A2658" i="1"/>
  <c r="B2658" i="1"/>
  <c r="C2658" i="1"/>
  <c r="D2658" i="1"/>
  <c r="E2658" i="1"/>
  <c r="F2658" i="1"/>
  <c r="H2658" i="1"/>
  <c r="A2659" i="1"/>
  <c r="B2659" i="1"/>
  <c r="C2659" i="1"/>
  <c r="D2659" i="1"/>
  <c r="E2659" i="1"/>
  <c r="F2659" i="1"/>
  <c r="H2659" i="1"/>
  <c r="A2660" i="1"/>
  <c r="B2660" i="1"/>
  <c r="C2660" i="1"/>
  <c r="D2660" i="1"/>
  <c r="E2660" i="1"/>
  <c r="F2660" i="1"/>
  <c r="H2660" i="1"/>
  <c r="A2661" i="1"/>
  <c r="B2661" i="1"/>
  <c r="C2661" i="1"/>
  <c r="D2661" i="1"/>
  <c r="E2661" i="1"/>
  <c r="F2661" i="1"/>
  <c r="H2661" i="1"/>
  <c r="A2662" i="1"/>
  <c r="B2662" i="1"/>
  <c r="C2662" i="1"/>
  <c r="D2662" i="1"/>
  <c r="E2662" i="1"/>
  <c r="F2662" i="1"/>
  <c r="H2662" i="1"/>
  <c r="A2663" i="1"/>
  <c r="B2663" i="1"/>
  <c r="C2663" i="1"/>
  <c r="D2663" i="1"/>
  <c r="E2663" i="1"/>
  <c r="F2663" i="1"/>
  <c r="H2663" i="1"/>
  <c r="A2664" i="1"/>
  <c r="B2664" i="1"/>
  <c r="C2664" i="1"/>
  <c r="D2664" i="1"/>
  <c r="E2664" i="1"/>
  <c r="F2664" i="1"/>
  <c r="H2664" i="1"/>
  <c r="A2665" i="1"/>
  <c r="B2665" i="1"/>
  <c r="C2665" i="1"/>
  <c r="D2665" i="1"/>
  <c r="E2665" i="1"/>
  <c r="F2665" i="1"/>
  <c r="H2665" i="1"/>
  <c r="A2666" i="1"/>
  <c r="B2666" i="1"/>
  <c r="C2666" i="1"/>
  <c r="D2666" i="1"/>
  <c r="E2666" i="1"/>
  <c r="F2666" i="1"/>
  <c r="H2666" i="1"/>
  <c r="A2667" i="1"/>
  <c r="B2667" i="1"/>
  <c r="C2667" i="1"/>
  <c r="D2667" i="1"/>
  <c r="E2667" i="1"/>
  <c r="F2667" i="1"/>
  <c r="H2667" i="1"/>
  <c r="A2668" i="1"/>
  <c r="B2668" i="1"/>
  <c r="C2668" i="1"/>
  <c r="D2668" i="1"/>
  <c r="E2668" i="1"/>
  <c r="F2668" i="1"/>
  <c r="H2668" i="1"/>
  <c r="A2669" i="1"/>
  <c r="B2669" i="1"/>
  <c r="C2669" i="1"/>
  <c r="D2669" i="1"/>
  <c r="E2669" i="1"/>
  <c r="F2669" i="1"/>
  <c r="H2669" i="1"/>
  <c r="A2670" i="1"/>
  <c r="B2670" i="1"/>
  <c r="C2670" i="1"/>
  <c r="D2670" i="1"/>
  <c r="E2670" i="1"/>
  <c r="F2670" i="1"/>
  <c r="H2670" i="1"/>
  <c r="A2671" i="1"/>
  <c r="B2671" i="1"/>
  <c r="C2671" i="1"/>
  <c r="D2671" i="1"/>
  <c r="E2671" i="1"/>
  <c r="F2671" i="1"/>
  <c r="H2671" i="1"/>
  <c r="A2672" i="1"/>
  <c r="B2672" i="1"/>
  <c r="C2672" i="1"/>
  <c r="D2672" i="1"/>
  <c r="E2672" i="1"/>
  <c r="F2672" i="1"/>
  <c r="H2672" i="1"/>
  <c r="A2673" i="1"/>
  <c r="B2673" i="1"/>
  <c r="C2673" i="1"/>
  <c r="D2673" i="1"/>
  <c r="E2673" i="1"/>
  <c r="F2673" i="1"/>
  <c r="H2673" i="1"/>
  <c r="A2674" i="1"/>
  <c r="B2674" i="1"/>
  <c r="C2674" i="1"/>
  <c r="D2674" i="1"/>
  <c r="E2674" i="1"/>
  <c r="F2674" i="1"/>
  <c r="H2674" i="1"/>
  <c r="A2675" i="1"/>
  <c r="B2675" i="1"/>
  <c r="C2675" i="1"/>
  <c r="D2675" i="1"/>
  <c r="E2675" i="1"/>
  <c r="F2675" i="1"/>
  <c r="H2675" i="1"/>
  <c r="A2676" i="1"/>
  <c r="B2676" i="1"/>
  <c r="C2676" i="1"/>
  <c r="D2676" i="1"/>
  <c r="E2676" i="1"/>
  <c r="F2676" i="1"/>
  <c r="H2676" i="1"/>
  <c r="A2677" i="1"/>
  <c r="B2677" i="1"/>
  <c r="C2677" i="1"/>
  <c r="D2677" i="1"/>
  <c r="E2677" i="1"/>
  <c r="F2677" i="1"/>
  <c r="H2677" i="1"/>
  <c r="A2678" i="1"/>
  <c r="B2678" i="1"/>
  <c r="C2678" i="1"/>
  <c r="D2678" i="1"/>
  <c r="E2678" i="1"/>
  <c r="F2678" i="1"/>
  <c r="H2678" i="1"/>
  <c r="A2679" i="1"/>
  <c r="B2679" i="1"/>
  <c r="C2679" i="1"/>
  <c r="D2679" i="1"/>
  <c r="E2679" i="1"/>
  <c r="F2679" i="1"/>
  <c r="H2679" i="1"/>
  <c r="A2680" i="1"/>
  <c r="B2680" i="1"/>
  <c r="C2680" i="1"/>
  <c r="D2680" i="1"/>
  <c r="E2680" i="1"/>
  <c r="F2680" i="1"/>
  <c r="H2680" i="1"/>
  <c r="A2681" i="1"/>
  <c r="B2681" i="1"/>
  <c r="C2681" i="1"/>
  <c r="D2681" i="1"/>
  <c r="E2681" i="1"/>
  <c r="F2681" i="1"/>
  <c r="H2681" i="1"/>
  <c r="A2682" i="1"/>
  <c r="B2682" i="1"/>
  <c r="C2682" i="1"/>
  <c r="D2682" i="1"/>
  <c r="E2682" i="1"/>
  <c r="F2682" i="1"/>
  <c r="H2682" i="1"/>
  <c r="A2683" i="1"/>
  <c r="B2683" i="1"/>
  <c r="C2683" i="1"/>
  <c r="D2683" i="1"/>
  <c r="E2683" i="1"/>
  <c r="F2683" i="1"/>
  <c r="H2683" i="1"/>
  <c r="A2684" i="1"/>
  <c r="B2684" i="1"/>
  <c r="C2684" i="1"/>
  <c r="D2684" i="1"/>
  <c r="E2684" i="1"/>
  <c r="F2684" i="1"/>
  <c r="H2684" i="1"/>
  <c r="A2685" i="1"/>
  <c r="B2685" i="1"/>
  <c r="C2685" i="1"/>
  <c r="D2685" i="1"/>
  <c r="E2685" i="1"/>
  <c r="F2685" i="1"/>
  <c r="H2685" i="1"/>
  <c r="A2686" i="1"/>
  <c r="B2686" i="1"/>
  <c r="C2686" i="1"/>
  <c r="D2686" i="1"/>
  <c r="E2686" i="1"/>
  <c r="F2686" i="1"/>
  <c r="H2686" i="1"/>
  <c r="A2687" i="1"/>
  <c r="B2687" i="1"/>
  <c r="C2687" i="1"/>
  <c r="D2687" i="1"/>
  <c r="E2687" i="1"/>
  <c r="F2687" i="1"/>
  <c r="H2687" i="1"/>
  <c r="A2688" i="1"/>
  <c r="B2688" i="1"/>
  <c r="C2688" i="1"/>
  <c r="D2688" i="1"/>
  <c r="E2688" i="1"/>
  <c r="F2688" i="1"/>
  <c r="H2688" i="1"/>
  <c r="A2689" i="1"/>
  <c r="B2689" i="1"/>
  <c r="C2689" i="1"/>
  <c r="D2689" i="1"/>
  <c r="E2689" i="1"/>
  <c r="F2689" i="1"/>
  <c r="H2689" i="1"/>
  <c r="A2690" i="1"/>
  <c r="B2690" i="1"/>
  <c r="C2690" i="1"/>
  <c r="D2690" i="1"/>
  <c r="E2690" i="1"/>
  <c r="F2690" i="1"/>
  <c r="H2690" i="1"/>
  <c r="A2691" i="1"/>
  <c r="B2691" i="1"/>
  <c r="C2691" i="1"/>
  <c r="D2691" i="1"/>
  <c r="E2691" i="1"/>
  <c r="F2691" i="1"/>
  <c r="H2691" i="1"/>
  <c r="A2692" i="1"/>
  <c r="B2692" i="1"/>
  <c r="C2692" i="1"/>
  <c r="D2692" i="1"/>
  <c r="E2692" i="1"/>
  <c r="F2692" i="1"/>
  <c r="H2692" i="1"/>
  <c r="A2693" i="1"/>
  <c r="B2693" i="1"/>
  <c r="C2693" i="1"/>
  <c r="D2693" i="1"/>
  <c r="E2693" i="1"/>
  <c r="F2693" i="1"/>
  <c r="H2693" i="1"/>
  <c r="A2694" i="1"/>
  <c r="B2694" i="1"/>
  <c r="C2694" i="1"/>
  <c r="D2694" i="1"/>
  <c r="E2694" i="1"/>
  <c r="F2694" i="1"/>
  <c r="H2694" i="1"/>
  <c r="A2695" i="1"/>
  <c r="B2695" i="1"/>
  <c r="C2695" i="1"/>
  <c r="D2695" i="1"/>
  <c r="E2695" i="1"/>
  <c r="F2695" i="1"/>
  <c r="H2695" i="1"/>
  <c r="A2696" i="1"/>
  <c r="B2696" i="1"/>
  <c r="C2696" i="1"/>
  <c r="D2696" i="1"/>
  <c r="E2696" i="1"/>
  <c r="F2696" i="1"/>
  <c r="H2696" i="1"/>
  <c r="A2697" i="1"/>
  <c r="B2697" i="1"/>
  <c r="C2697" i="1"/>
  <c r="D2697" i="1"/>
  <c r="E2697" i="1"/>
  <c r="F2697" i="1"/>
  <c r="H2697" i="1"/>
  <c r="A2698" i="1"/>
  <c r="B2698" i="1"/>
  <c r="C2698" i="1"/>
  <c r="D2698" i="1"/>
  <c r="E2698" i="1"/>
  <c r="F2698" i="1"/>
  <c r="H2698" i="1"/>
  <c r="A2699" i="1"/>
  <c r="B2699" i="1"/>
  <c r="C2699" i="1"/>
  <c r="D2699" i="1"/>
  <c r="E2699" i="1"/>
  <c r="F2699" i="1"/>
  <c r="H2699" i="1"/>
  <c r="A2700" i="1"/>
  <c r="B2700" i="1"/>
  <c r="C2700" i="1"/>
  <c r="D2700" i="1"/>
  <c r="E2700" i="1"/>
  <c r="F2700" i="1"/>
  <c r="H2700" i="1"/>
  <c r="A2701" i="1"/>
  <c r="B2701" i="1"/>
  <c r="C2701" i="1"/>
  <c r="D2701" i="1"/>
  <c r="E2701" i="1"/>
  <c r="F2701" i="1"/>
  <c r="H2701" i="1"/>
  <c r="A2702" i="1"/>
  <c r="B2702" i="1"/>
  <c r="C2702" i="1"/>
  <c r="D2702" i="1"/>
  <c r="E2702" i="1"/>
  <c r="F2702" i="1"/>
  <c r="H2702" i="1"/>
  <c r="A2703" i="1"/>
  <c r="B2703" i="1"/>
  <c r="C2703" i="1"/>
  <c r="D2703" i="1"/>
  <c r="E2703" i="1"/>
  <c r="F2703" i="1"/>
  <c r="H2703" i="1"/>
  <c r="A2704" i="1"/>
  <c r="B2704" i="1"/>
  <c r="C2704" i="1"/>
  <c r="D2704" i="1"/>
  <c r="E2704" i="1"/>
  <c r="F2704" i="1"/>
  <c r="H2704" i="1"/>
  <c r="A2705" i="1"/>
  <c r="B2705" i="1"/>
  <c r="C2705" i="1"/>
  <c r="D2705" i="1"/>
  <c r="E2705" i="1"/>
  <c r="F2705" i="1"/>
  <c r="H2705" i="1"/>
  <c r="A2706" i="1"/>
  <c r="B2706" i="1"/>
  <c r="C2706" i="1"/>
  <c r="D2706" i="1"/>
  <c r="E2706" i="1"/>
  <c r="F2706" i="1"/>
  <c r="H2706" i="1"/>
  <c r="A2707" i="1"/>
  <c r="B2707" i="1"/>
  <c r="C2707" i="1"/>
  <c r="D2707" i="1"/>
  <c r="E2707" i="1"/>
  <c r="F2707" i="1"/>
  <c r="H2707" i="1"/>
  <c r="A2708" i="1"/>
  <c r="B2708" i="1"/>
  <c r="C2708" i="1"/>
  <c r="D2708" i="1"/>
  <c r="E2708" i="1"/>
  <c r="F2708" i="1"/>
  <c r="H2708" i="1"/>
  <c r="A2709" i="1"/>
  <c r="B2709" i="1"/>
  <c r="C2709" i="1"/>
  <c r="D2709" i="1"/>
  <c r="E2709" i="1"/>
  <c r="F2709" i="1"/>
  <c r="H2709" i="1"/>
  <c r="A2710" i="1"/>
  <c r="B2710" i="1"/>
  <c r="C2710" i="1"/>
  <c r="D2710" i="1"/>
  <c r="E2710" i="1"/>
  <c r="F2710" i="1"/>
  <c r="H2710" i="1"/>
  <c r="A2711" i="1"/>
  <c r="B2711" i="1"/>
  <c r="C2711" i="1"/>
  <c r="D2711" i="1"/>
  <c r="E2711" i="1"/>
  <c r="F2711" i="1"/>
  <c r="H2711" i="1"/>
  <c r="A2712" i="1"/>
  <c r="B2712" i="1"/>
  <c r="C2712" i="1"/>
  <c r="D2712" i="1"/>
  <c r="E2712" i="1"/>
  <c r="F2712" i="1"/>
  <c r="H2712" i="1"/>
  <c r="A2713" i="1"/>
  <c r="B2713" i="1"/>
  <c r="C2713" i="1"/>
  <c r="D2713" i="1"/>
  <c r="E2713" i="1"/>
  <c r="F2713" i="1"/>
  <c r="H2713" i="1"/>
  <c r="A2714" i="1"/>
  <c r="B2714" i="1"/>
  <c r="C2714" i="1"/>
  <c r="D2714" i="1"/>
  <c r="E2714" i="1"/>
  <c r="F2714" i="1"/>
  <c r="H2714" i="1"/>
  <c r="A2715" i="1"/>
  <c r="B2715" i="1"/>
  <c r="C2715" i="1"/>
  <c r="D2715" i="1"/>
  <c r="E2715" i="1"/>
  <c r="F2715" i="1"/>
  <c r="H2715" i="1"/>
  <c r="A2716" i="1"/>
  <c r="B2716" i="1"/>
  <c r="C2716" i="1"/>
  <c r="D2716" i="1"/>
  <c r="E2716" i="1"/>
  <c r="F2716" i="1"/>
  <c r="H2716" i="1"/>
  <c r="A2717" i="1"/>
  <c r="B2717" i="1"/>
  <c r="C2717" i="1"/>
  <c r="D2717" i="1"/>
  <c r="E2717" i="1"/>
  <c r="F2717" i="1"/>
  <c r="H2717" i="1"/>
  <c r="A2718" i="1"/>
  <c r="B2718" i="1"/>
  <c r="C2718" i="1"/>
  <c r="D2718" i="1"/>
  <c r="E2718" i="1"/>
  <c r="F2718" i="1"/>
  <c r="H2718" i="1"/>
  <c r="A2719" i="1"/>
  <c r="B2719" i="1"/>
  <c r="C2719" i="1"/>
  <c r="D2719" i="1"/>
  <c r="E2719" i="1"/>
  <c r="F2719" i="1"/>
  <c r="H2719" i="1"/>
  <c r="A2720" i="1"/>
  <c r="B2720" i="1"/>
  <c r="C2720" i="1"/>
  <c r="D2720" i="1"/>
  <c r="E2720" i="1"/>
  <c r="F2720" i="1"/>
  <c r="H2720" i="1"/>
  <c r="A2721" i="1"/>
  <c r="B2721" i="1"/>
  <c r="C2721" i="1"/>
  <c r="D2721" i="1"/>
  <c r="E2721" i="1"/>
  <c r="F2721" i="1"/>
  <c r="H2721" i="1"/>
  <c r="A2722" i="1"/>
  <c r="B2722" i="1"/>
  <c r="C2722" i="1"/>
  <c r="D2722" i="1"/>
  <c r="E2722" i="1"/>
  <c r="F2722" i="1"/>
  <c r="H2722" i="1"/>
  <c r="A2723" i="1"/>
  <c r="B2723" i="1"/>
  <c r="C2723" i="1"/>
  <c r="D2723" i="1"/>
  <c r="E2723" i="1"/>
  <c r="F2723" i="1"/>
  <c r="H2723" i="1"/>
  <c r="A2724" i="1"/>
  <c r="B2724" i="1"/>
  <c r="C2724" i="1"/>
  <c r="D2724" i="1"/>
  <c r="E2724" i="1"/>
  <c r="F2724" i="1"/>
  <c r="H2724" i="1"/>
  <c r="A2725" i="1"/>
  <c r="B2725" i="1"/>
  <c r="C2725" i="1"/>
  <c r="D2725" i="1"/>
  <c r="E2725" i="1"/>
  <c r="F2725" i="1"/>
  <c r="H2725" i="1"/>
  <c r="A2726" i="1"/>
  <c r="B2726" i="1"/>
  <c r="C2726" i="1"/>
  <c r="D2726" i="1"/>
  <c r="E2726" i="1"/>
  <c r="F2726" i="1"/>
  <c r="H2726" i="1"/>
  <c r="A2727" i="1"/>
  <c r="B2727" i="1"/>
  <c r="C2727" i="1"/>
  <c r="D2727" i="1"/>
  <c r="E2727" i="1"/>
  <c r="F2727" i="1"/>
  <c r="H2727" i="1"/>
  <c r="A2728" i="1"/>
  <c r="B2728" i="1"/>
  <c r="C2728" i="1"/>
  <c r="D2728" i="1"/>
  <c r="E2728" i="1"/>
  <c r="F2728" i="1"/>
  <c r="H2728" i="1"/>
  <c r="A2729" i="1"/>
  <c r="B2729" i="1"/>
  <c r="C2729" i="1"/>
  <c r="D2729" i="1"/>
  <c r="E2729" i="1"/>
  <c r="F2729" i="1"/>
  <c r="H2729" i="1"/>
  <c r="A2730" i="1"/>
  <c r="B2730" i="1"/>
  <c r="C2730" i="1"/>
  <c r="D2730" i="1"/>
  <c r="E2730" i="1"/>
  <c r="F2730" i="1"/>
  <c r="H2730" i="1"/>
  <c r="A2731" i="1"/>
  <c r="B2731" i="1"/>
  <c r="C2731" i="1"/>
  <c r="D2731" i="1"/>
  <c r="E2731" i="1"/>
  <c r="F2731" i="1"/>
  <c r="H2731" i="1"/>
  <c r="A2732" i="1"/>
  <c r="B2732" i="1"/>
  <c r="C2732" i="1"/>
  <c r="D2732" i="1"/>
  <c r="E2732" i="1"/>
  <c r="F2732" i="1"/>
  <c r="H2732" i="1"/>
  <c r="A2733" i="1"/>
  <c r="B2733" i="1"/>
  <c r="C2733" i="1"/>
  <c r="D2733" i="1"/>
  <c r="E2733" i="1"/>
  <c r="F2733" i="1"/>
  <c r="H2733" i="1"/>
  <c r="A2734" i="1"/>
  <c r="B2734" i="1"/>
  <c r="C2734" i="1"/>
  <c r="D2734" i="1"/>
  <c r="E2734" i="1"/>
  <c r="F2734" i="1"/>
  <c r="H2734" i="1"/>
  <c r="A2735" i="1"/>
  <c r="B2735" i="1"/>
  <c r="C2735" i="1"/>
  <c r="D2735" i="1"/>
  <c r="E2735" i="1"/>
  <c r="F2735" i="1"/>
  <c r="H2735" i="1"/>
  <c r="A2736" i="1"/>
  <c r="B2736" i="1"/>
  <c r="C2736" i="1"/>
  <c r="D2736" i="1"/>
  <c r="E2736" i="1"/>
  <c r="F2736" i="1"/>
  <c r="H2736" i="1"/>
  <c r="A2737" i="1"/>
  <c r="B2737" i="1"/>
  <c r="C2737" i="1"/>
  <c r="D2737" i="1"/>
  <c r="E2737" i="1"/>
  <c r="F2737" i="1"/>
  <c r="H2737" i="1"/>
  <c r="A2738" i="1"/>
  <c r="B2738" i="1"/>
  <c r="C2738" i="1"/>
  <c r="D2738" i="1"/>
  <c r="E2738" i="1"/>
  <c r="F2738" i="1"/>
  <c r="H2738" i="1"/>
  <c r="A2739" i="1"/>
  <c r="B2739" i="1"/>
  <c r="C2739" i="1"/>
  <c r="D2739" i="1"/>
  <c r="E2739" i="1"/>
  <c r="F2739" i="1"/>
  <c r="H2739" i="1"/>
  <c r="A2740" i="1"/>
  <c r="B2740" i="1"/>
  <c r="C2740" i="1"/>
  <c r="D2740" i="1"/>
  <c r="E2740" i="1"/>
  <c r="F2740" i="1"/>
  <c r="H2740" i="1"/>
  <c r="A2741" i="1"/>
  <c r="B2741" i="1"/>
  <c r="C2741" i="1"/>
  <c r="D2741" i="1"/>
  <c r="E2741" i="1"/>
  <c r="F2741" i="1"/>
  <c r="H2741" i="1"/>
  <c r="A2742" i="1"/>
  <c r="B2742" i="1"/>
  <c r="C2742" i="1"/>
  <c r="D2742" i="1"/>
  <c r="E2742" i="1"/>
  <c r="F2742" i="1"/>
  <c r="H2742" i="1"/>
  <c r="A2743" i="1"/>
  <c r="B2743" i="1"/>
  <c r="C2743" i="1"/>
  <c r="D2743" i="1"/>
  <c r="E2743" i="1"/>
  <c r="F2743" i="1"/>
  <c r="H2743" i="1"/>
  <c r="A2744" i="1"/>
  <c r="B2744" i="1"/>
  <c r="C2744" i="1"/>
  <c r="D2744" i="1"/>
  <c r="E2744" i="1"/>
  <c r="F2744" i="1"/>
  <c r="H2744" i="1"/>
  <c r="A2745" i="1"/>
  <c r="B2745" i="1"/>
  <c r="C2745" i="1"/>
  <c r="D2745" i="1"/>
  <c r="E2745" i="1"/>
  <c r="F2745" i="1"/>
  <c r="H2745" i="1"/>
  <c r="A2746" i="1"/>
  <c r="B2746" i="1"/>
  <c r="C2746" i="1"/>
  <c r="D2746" i="1"/>
  <c r="E2746" i="1"/>
  <c r="F2746" i="1"/>
  <c r="H2746" i="1"/>
  <c r="A2747" i="1"/>
  <c r="B2747" i="1"/>
  <c r="C2747" i="1"/>
  <c r="D2747" i="1"/>
  <c r="E2747" i="1"/>
  <c r="F2747" i="1"/>
  <c r="H2747" i="1"/>
  <c r="A2748" i="1"/>
  <c r="B2748" i="1"/>
  <c r="C2748" i="1"/>
  <c r="D2748" i="1"/>
  <c r="E2748" i="1"/>
  <c r="F2748" i="1"/>
  <c r="H2748" i="1"/>
  <c r="A2749" i="1"/>
  <c r="B2749" i="1"/>
  <c r="C2749" i="1"/>
  <c r="D2749" i="1"/>
  <c r="E2749" i="1"/>
  <c r="F2749" i="1"/>
  <c r="H2749" i="1"/>
  <c r="A2750" i="1"/>
  <c r="B2750" i="1"/>
  <c r="C2750" i="1"/>
  <c r="D2750" i="1"/>
  <c r="E2750" i="1"/>
  <c r="F2750" i="1"/>
  <c r="H2750" i="1"/>
  <c r="A2751" i="1"/>
  <c r="B2751" i="1"/>
  <c r="C2751" i="1"/>
  <c r="D2751" i="1"/>
  <c r="E2751" i="1"/>
  <c r="F2751" i="1"/>
  <c r="H2751" i="1"/>
  <c r="A2752" i="1"/>
  <c r="B2752" i="1"/>
  <c r="C2752" i="1"/>
  <c r="D2752" i="1"/>
  <c r="E2752" i="1"/>
  <c r="F2752" i="1"/>
  <c r="H2752" i="1"/>
  <c r="A2753" i="1"/>
  <c r="B2753" i="1"/>
  <c r="C2753" i="1"/>
  <c r="D2753" i="1"/>
  <c r="E2753" i="1"/>
  <c r="F2753" i="1"/>
  <c r="H2753" i="1"/>
  <c r="A2754" i="1"/>
  <c r="B2754" i="1"/>
  <c r="C2754" i="1"/>
  <c r="D2754" i="1"/>
  <c r="E2754" i="1"/>
  <c r="F2754" i="1"/>
  <c r="H2754" i="1"/>
  <c r="A2755" i="1"/>
  <c r="B2755" i="1"/>
  <c r="C2755" i="1"/>
  <c r="D2755" i="1"/>
  <c r="E2755" i="1"/>
  <c r="F2755" i="1"/>
  <c r="H2755" i="1"/>
  <c r="A2756" i="1"/>
  <c r="B2756" i="1"/>
  <c r="C2756" i="1"/>
  <c r="D2756" i="1"/>
  <c r="E2756" i="1"/>
  <c r="F2756" i="1"/>
  <c r="H2756" i="1"/>
  <c r="A2757" i="1"/>
  <c r="B2757" i="1"/>
  <c r="C2757" i="1"/>
  <c r="D2757" i="1"/>
  <c r="E2757" i="1"/>
  <c r="F2757" i="1"/>
  <c r="H2757" i="1"/>
  <c r="A2758" i="1"/>
  <c r="B2758" i="1"/>
  <c r="C2758" i="1"/>
  <c r="D2758" i="1"/>
  <c r="E2758" i="1"/>
  <c r="F2758" i="1"/>
  <c r="H2758" i="1"/>
  <c r="A2759" i="1"/>
  <c r="B2759" i="1"/>
  <c r="C2759" i="1"/>
  <c r="D2759" i="1"/>
  <c r="E2759" i="1"/>
  <c r="F2759" i="1"/>
  <c r="H2759" i="1"/>
  <c r="A2760" i="1"/>
  <c r="B2760" i="1"/>
  <c r="C2760" i="1"/>
  <c r="D2760" i="1"/>
  <c r="E2760" i="1"/>
  <c r="F2760" i="1"/>
  <c r="H2760" i="1"/>
  <c r="A2761" i="1"/>
  <c r="B2761" i="1"/>
  <c r="C2761" i="1"/>
  <c r="D2761" i="1"/>
  <c r="E2761" i="1"/>
  <c r="F2761" i="1"/>
  <c r="H2761" i="1"/>
  <c r="A2762" i="1"/>
  <c r="B2762" i="1"/>
  <c r="C2762" i="1"/>
  <c r="D2762" i="1"/>
  <c r="E2762" i="1"/>
  <c r="F2762" i="1"/>
  <c r="H2762" i="1"/>
  <c r="A2763" i="1"/>
  <c r="B2763" i="1"/>
  <c r="C2763" i="1"/>
  <c r="D2763" i="1"/>
  <c r="E2763" i="1"/>
  <c r="F2763" i="1"/>
  <c r="H2763" i="1"/>
  <c r="A2764" i="1"/>
  <c r="B2764" i="1"/>
  <c r="C2764" i="1"/>
  <c r="D2764" i="1"/>
  <c r="E2764" i="1"/>
  <c r="F2764" i="1"/>
  <c r="H2764" i="1"/>
  <c r="A2765" i="1"/>
  <c r="B2765" i="1"/>
  <c r="C2765" i="1"/>
  <c r="D2765" i="1"/>
  <c r="E2765" i="1"/>
  <c r="F2765" i="1"/>
  <c r="H2765" i="1"/>
  <c r="A2766" i="1"/>
  <c r="B2766" i="1"/>
  <c r="C2766" i="1"/>
  <c r="D2766" i="1"/>
  <c r="E2766" i="1"/>
  <c r="F2766" i="1"/>
  <c r="H2766" i="1"/>
  <c r="A2767" i="1"/>
  <c r="B2767" i="1"/>
  <c r="C2767" i="1"/>
  <c r="D2767" i="1"/>
  <c r="E2767" i="1"/>
  <c r="F2767" i="1"/>
  <c r="H2767" i="1"/>
  <c r="A2768" i="1"/>
  <c r="B2768" i="1"/>
  <c r="C2768" i="1"/>
  <c r="D2768" i="1"/>
  <c r="E2768" i="1"/>
  <c r="F2768" i="1"/>
  <c r="H2768" i="1"/>
  <c r="A2769" i="1"/>
  <c r="B2769" i="1"/>
  <c r="C2769" i="1"/>
  <c r="D2769" i="1"/>
  <c r="E2769" i="1"/>
  <c r="F2769" i="1"/>
  <c r="H2769" i="1"/>
  <c r="A2770" i="1"/>
  <c r="B2770" i="1"/>
  <c r="C2770" i="1"/>
  <c r="D2770" i="1"/>
  <c r="E2770" i="1"/>
  <c r="F2770" i="1"/>
  <c r="H2770" i="1"/>
  <c r="A2771" i="1"/>
  <c r="B2771" i="1"/>
  <c r="C2771" i="1"/>
  <c r="D2771" i="1"/>
  <c r="E2771" i="1"/>
  <c r="F2771" i="1"/>
  <c r="H2771" i="1"/>
  <c r="A2772" i="1"/>
  <c r="B2772" i="1"/>
  <c r="C2772" i="1"/>
  <c r="D2772" i="1"/>
  <c r="E2772" i="1"/>
  <c r="F2772" i="1"/>
  <c r="H2772" i="1"/>
  <c r="A2773" i="1"/>
  <c r="B2773" i="1"/>
  <c r="C2773" i="1"/>
  <c r="D2773" i="1"/>
  <c r="E2773" i="1"/>
  <c r="F2773" i="1"/>
  <c r="H2773" i="1"/>
  <c r="A2774" i="1"/>
  <c r="B2774" i="1"/>
  <c r="C2774" i="1"/>
  <c r="D2774" i="1"/>
  <c r="E2774" i="1"/>
  <c r="F2774" i="1"/>
  <c r="H2774" i="1"/>
  <c r="A2775" i="1"/>
  <c r="B2775" i="1"/>
  <c r="C2775" i="1"/>
  <c r="D2775" i="1"/>
  <c r="E2775" i="1"/>
  <c r="F2775" i="1"/>
  <c r="H2775" i="1"/>
  <c r="A2776" i="1"/>
  <c r="B2776" i="1"/>
  <c r="C2776" i="1"/>
  <c r="D2776" i="1"/>
  <c r="E2776" i="1"/>
  <c r="F2776" i="1"/>
  <c r="H2776" i="1"/>
  <c r="A2777" i="1"/>
  <c r="B2777" i="1"/>
  <c r="C2777" i="1"/>
  <c r="D2777" i="1"/>
  <c r="E2777" i="1"/>
  <c r="F2777" i="1"/>
  <c r="H2777" i="1"/>
  <c r="A2778" i="1"/>
  <c r="B2778" i="1"/>
  <c r="C2778" i="1"/>
  <c r="D2778" i="1"/>
  <c r="E2778" i="1"/>
  <c r="F2778" i="1"/>
  <c r="H2778" i="1"/>
  <c r="A2779" i="1"/>
  <c r="B2779" i="1"/>
  <c r="C2779" i="1"/>
  <c r="D2779" i="1"/>
  <c r="E2779" i="1"/>
  <c r="F2779" i="1"/>
  <c r="H2779" i="1"/>
  <c r="A2780" i="1"/>
  <c r="B2780" i="1"/>
  <c r="C2780" i="1"/>
  <c r="D2780" i="1"/>
  <c r="E2780" i="1"/>
  <c r="F2780" i="1"/>
  <c r="H2780" i="1"/>
  <c r="A2781" i="1"/>
  <c r="B2781" i="1"/>
  <c r="C2781" i="1"/>
  <c r="D2781" i="1"/>
  <c r="E2781" i="1"/>
  <c r="F2781" i="1"/>
  <c r="H2781" i="1"/>
  <c r="A2782" i="1"/>
  <c r="B2782" i="1"/>
  <c r="C2782" i="1"/>
  <c r="D2782" i="1"/>
  <c r="E2782" i="1"/>
  <c r="F2782" i="1"/>
  <c r="H2782" i="1"/>
  <c r="A2783" i="1"/>
  <c r="B2783" i="1"/>
  <c r="C2783" i="1"/>
  <c r="D2783" i="1"/>
  <c r="E2783" i="1"/>
  <c r="F2783" i="1"/>
  <c r="H2783" i="1"/>
  <c r="A2784" i="1"/>
  <c r="B2784" i="1"/>
  <c r="C2784" i="1"/>
  <c r="D2784" i="1"/>
  <c r="E2784" i="1"/>
  <c r="F2784" i="1"/>
  <c r="H2784" i="1"/>
  <c r="A2785" i="1"/>
  <c r="B2785" i="1"/>
  <c r="C2785" i="1"/>
  <c r="D2785" i="1"/>
  <c r="E2785" i="1"/>
  <c r="F2785" i="1"/>
  <c r="H2785" i="1"/>
  <c r="A2786" i="1"/>
  <c r="B2786" i="1"/>
  <c r="C2786" i="1"/>
  <c r="D2786" i="1"/>
  <c r="E2786" i="1"/>
  <c r="F2786" i="1"/>
  <c r="H2786" i="1"/>
  <c r="A2787" i="1"/>
  <c r="B2787" i="1"/>
  <c r="C2787" i="1"/>
  <c r="D2787" i="1"/>
  <c r="E2787" i="1"/>
  <c r="F2787" i="1"/>
  <c r="H2787" i="1"/>
  <c r="A2788" i="1"/>
  <c r="B2788" i="1"/>
  <c r="C2788" i="1"/>
  <c r="D2788" i="1"/>
  <c r="E2788" i="1"/>
  <c r="F2788" i="1"/>
  <c r="H2788" i="1"/>
  <c r="A2789" i="1"/>
  <c r="B2789" i="1"/>
  <c r="C2789" i="1"/>
  <c r="D2789" i="1"/>
  <c r="E2789" i="1"/>
  <c r="F2789" i="1"/>
  <c r="H2789" i="1"/>
  <c r="A2790" i="1"/>
  <c r="B2790" i="1"/>
  <c r="C2790" i="1"/>
  <c r="D2790" i="1"/>
  <c r="E2790" i="1"/>
  <c r="F2790" i="1"/>
  <c r="H2790" i="1"/>
  <c r="A2791" i="1"/>
  <c r="B2791" i="1"/>
  <c r="C2791" i="1"/>
  <c r="D2791" i="1"/>
  <c r="E2791" i="1"/>
  <c r="F2791" i="1"/>
  <c r="H2791" i="1"/>
  <c r="A2792" i="1"/>
  <c r="B2792" i="1"/>
  <c r="C2792" i="1"/>
  <c r="D2792" i="1"/>
  <c r="E2792" i="1"/>
  <c r="F2792" i="1"/>
  <c r="H2792" i="1"/>
  <c r="A2793" i="1"/>
  <c r="B2793" i="1"/>
  <c r="C2793" i="1"/>
  <c r="D2793" i="1"/>
  <c r="E2793" i="1"/>
  <c r="F2793" i="1"/>
  <c r="H2793" i="1"/>
  <c r="A2794" i="1"/>
  <c r="B2794" i="1"/>
  <c r="C2794" i="1"/>
  <c r="D2794" i="1"/>
  <c r="E2794" i="1"/>
  <c r="F2794" i="1"/>
  <c r="H2794" i="1"/>
  <c r="A2795" i="1"/>
  <c r="B2795" i="1"/>
  <c r="C2795" i="1"/>
  <c r="D2795" i="1"/>
  <c r="E2795" i="1"/>
  <c r="F2795" i="1"/>
  <c r="H2795" i="1"/>
  <c r="A2796" i="1"/>
  <c r="B2796" i="1"/>
  <c r="C2796" i="1"/>
  <c r="D2796" i="1"/>
  <c r="E2796" i="1"/>
  <c r="F2796" i="1"/>
  <c r="H2796" i="1"/>
  <c r="A2797" i="1"/>
  <c r="B2797" i="1"/>
  <c r="C2797" i="1"/>
  <c r="D2797" i="1"/>
  <c r="E2797" i="1"/>
  <c r="F2797" i="1"/>
  <c r="H2797" i="1"/>
  <c r="A2798" i="1"/>
  <c r="B2798" i="1"/>
  <c r="C2798" i="1"/>
  <c r="D2798" i="1"/>
  <c r="E2798" i="1"/>
  <c r="F2798" i="1"/>
  <c r="H2798" i="1"/>
  <c r="A2799" i="1"/>
  <c r="B2799" i="1"/>
  <c r="C2799" i="1"/>
  <c r="D2799" i="1"/>
  <c r="E2799" i="1"/>
  <c r="F2799" i="1"/>
  <c r="H2799" i="1"/>
  <c r="A2800" i="1"/>
  <c r="B2800" i="1"/>
  <c r="C2800" i="1"/>
  <c r="D2800" i="1"/>
  <c r="E2800" i="1"/>
  <c r="F2800" i="1"/>
  <c r="H2800" i="1"/>
  <c r="A2801" i="1"/>
  <c r="B2801" i="1"/>
  <c r="C2801" i="1"/>
  <c r="D2801" i="1"/>
  <c r="E2801" i="1"/>
  <c r="F2801" i="1"/>
  <c r="H2801" i="1"/>
  <c r="A2802" i="1"/>
  <c r="B2802" i="1"/>
  <c r="C2802" i="1"/>
  <c r="D2802" i="1"/>
  <c r="E2802" i="1"/>
  <c r="F2802" i="1"/>
  <c r="H2802" i="1"/>
  <c r="A2803" i="1"/>
  <c r="B2803" i="1"/>
  <c r="C2803" i="1"/>
  <c r="D2803" i="1"/>
  <c r="E2803" i="1"/>
  <c r="F2803" i="1"/>
  <c r="H2803" i="1"/>
  <c r="A2804" i="1"/>
  <c r="B2804" i="1"/>
  <c r="C2804" i="1"/>
  <c r="D2804" i="1"/>
  <c r="E2804" i="1"/>
  <c r="F2804" i="1"/>
  <c r="H2804" i="1"/>
  <c r="A2805" i="1"/>
  <c r="B2805" i="1"/>
  <c r="C2805" i="1"/>
  <c r="D2805" i="1"/>
  <c r="E2805" i="1"/>
  <c r="F2805" i="1"/>
  <c r="H2805" i="1"/>
  <c r="A2806" i="1"/>
  <c r="B2806" i="1"/>
  <c r="C2806" i="1"/>
  <c r="D2806" i="1"/>
  <c r="E2806" i="1"/>
  <c r="F2806" i="1"/>
  <c r="H2806" i="1"/>
  <c r="A2807" i="1"/>
  <c r="B2807" i="1"/>
  <c r="C2807" i="1"/>
  <c r="D2807" i="1"/>
  <c r="E2807" i="1"/>
  <c r="F2807" i="1"/>
  <c r="H2807" i="1"/>
  <c r="A2808" i="1"/>
  <c r="B2808" i="1"/>
  <c r="C2808" i="1"/>
  <c r="D2808" i="1"/>
  <c r="E2808" i="1"/>
  <c r="F2808" i="1"/>
  <c r="H2808" i="1"/>
  <c r="A2809" i="1"/>
  <c r="B2809" i="1"/>
  <c r="C2809" i="1"/>
  <c r="D2809" i="1"/>
  <c r="E2809" i="1"/>
  <c r="F2809" i="1"/>
  <c r="H2809" i="1"/>
  <c r="A2810" i="1"/>
  <c r="B2810" i="1"/>
  <c r="C2810" i="1"/>
  <c r="D2810" i="1"/>
  <c r="E2810" i="1"/>
  <c r="F2810" i="1"/>
  <c r="H2810" i="1"/>
  <c r="A2811" i="1"/>
  <c r="B2811" i="1"/>
  <c r="C2811" i="1"/>
  <c r="D2811" i="1"/>
  <c r="E2811" i="1"/>
  <c r="F2811" i="1"/>
  <c r="H2811" i="1"/>
  <c r="A2812" i="1"/>
  <c r="B2812" i="1"/>
  <c r="C2812" i="1"/>
  <c r="D2812" i="1"/>
  <c r="E2812" i="1"/>
  <c r="F2812" i="1"/>
  <c r="H2812" i="1"/>
  <c r="A2813" i="1"/>
  <c r="B2813" i="1"/>
  <c r="C2813" i="1"/>
  <c r="D2813" i="1"/>
  <c r="E2813" i="1"/>
  <c r="F2813" i="1"/>
  <c r="H2813" i="1"/>
  <c r="A2814" i="1"/>
  <c r="B2814" i="1"/>
  <c r="C2814" i="1"/>
  <c r="D2814" i="1"/>
  <c r="E2814" i="1"/>
  <c r="F2814" i="1"/>
  <c r="H2814" i="1"/>
  <c r="A2815" i="1"/>
  <c r="B2815" i="1"/>
  <c r="C2815" i="1"/>
  <c r="D2815" i="1"/>
  <c r="E2815" i="1"/>
  <c r="F2815" i="1"/>
  <c r="H2815" i="1"/>
  <c r="A2816" i="1"/>
  <c r="B2816" i="1"/>
  <c r="C2816" i="1"/>
  <c r="D2816" i="1"/>
  <c r="E2816" i="1"/>
  <c r="F2816" i="1"/>
  <c r="H2816" i="1"/>
  <c r="A2817" i="1"/>
  <c r="B2817" i="1"/>
  <c r="C2817" i="1"/>
  <c r="D2817" i="1"/>
  <c r="E2817" i="1"/>
  <c r="F2817" i="1"/>
  <c r="H2817" i="1"/>
  <c r="A2818" i="1"/>
  <c r="B2818" i="1"/>
  <c r="C2818" i="1"/>
  <c r="D2818" i="1"/>
  <c r="E2818" i="1"/>
  <c r="F2818" i="1"/>
  <c r="H2818" i="1"/>
  <c r="A2819" i="1"/>
  <c r="B2819" i="1"/>
  <c r="C2819" i="1"/>
  <c r="D2819" i="1"/>
  <c r="E2819" i="1"/>
  <c r="F2819" i="1"/>
  <c r="H2819" i="1"/>
  <c r="A2820" i="1"/>
  <c r="B2820" i="1"/>
  <c r="C2820" i="1"/>
  <c r="D2820" i="1"/>
  <c r="E2820" i="1"/>
  <c r="F2820" i="1"/>
  <c r="H2820" i="1"/>
  <c r="A2821" i="1"/>
  <c r="B2821" i="1"/>
  <c r="C2821" i="1"/>
  <c r="D2821" i="1"/>
  <c r="E2821" i="1"/>
  <c r="F2821" i="1"/>
  <c r="H2821" i="1"/>
  <c r="A2822" i="1"/>
  <c r="B2822" i="1"/>
  <c r="C2822" i="1"/>
  <c r="D2822" i="1"/>
  <c r="E2822" i="1"/>
  <c r="F2822" i="1"/>
  <c r="H2822" i="1"/>
  <c r="A2823" i="1"/>
  <c r="B2823" i="1"/>
  <c r="C2823" i="1"/>
  <c r="D2823" i="1"/>
  <c r="E2823" i="1"/>
  <c r="F2823" i="1"/>
  <c r="H2823" i="1"/>
  <c r="A2824" i="1"/>
  <c r="B2824" i="1"/>
  <c r="C2824" i="1"/>
  <c r="D2824" i="1"/>
  <c r="E2824" i="1"/>
  <c r="F2824" i="1"/>
  <c r="H2824" i="1"/>
  <c r="A2825" i="1"/>
  <c r="B2825" i="1"/>
  <c r="C2825" i="1"/>
  <c r="D2825" i="1"/>
  <c r="E2825" i="1"/>
  <c r="F2825" i="1"/>
  <c r="H2825" i="1"/>
  <c r="A2826" i="1"/>
  <c r="B2826" i="1"/>
  <c r="C2826" i="1"/>
  <c r="D2826" i="1"/>
  <c r="E2826" i="1"/>
  <c r="F2826" i="1"/>
  <c r="H2826" i="1"/>
  <c r="A2827" i="1"/>
  <c r="B2827" i="1"/>
  <c r="C2827" i="1"/>
  <c r="D2827" i="1"/>
  <c r="E2827" i="1"/>
  <c r="F2827" i="1"/>
  <c r="H2827" i="1"/>
  <c r="A2828" i="1"/>
  <c r="B2828" i="1"/>
  <c r="C2828" i="1"/>
  <c r="D2828" i="1"/>
  <c r="E2828" i="1"/>
  <c r="F2828" i="1"/>
  <c r="H2828" i="1"/>
  <c r="A2829" i="1"/>
  <c r="B2829" i="1"/>
  <c r="C2829" i="1"/>
  <c r="D2829" i="1"/>
  <c r="E2829" i="1"/>
  <c r="F2829" i="1"/>
  <c r="H2829" i="1"/>
  <c r="A2830" i="1"/>
  <c r="B2830" i="1"/>
  <c r="C2830" i="1"/>
  <c r="D2830" i="1"/>
  <c r="E2830" i="1"/>
  <c r="F2830" i="1"/>
  <c r="H2830" i="1"/>
  <c r="A2831" i="1"/>
  <c r="B2831" i="1"/>
  <c r="C2831" i="1"/>
  <c r="D2831" i="1"/>
  <c r="E2831" i="1"/>
  <c r="F2831" i="1"/>
  <c r="H2831" i="1"/>
  <c r="A2832" i="1"/>
  <c r="B2832" i="1"/>
  <c r="C2832" i="1"/>
  <c r="D2832" i="1"/>
  <c r="E2832" i="1"/>
  <c r="F2832" i="1"/>
  <c r="H2832" i="1"/>
  <c r="A2833" i="1"/>
  <c r="B2833" i="1"/>
  <c r="C2833" i="1"/>
  <c r="D2833" i="1"/>
  <c r="E2833" i="1"/>
  <c r="F2833" i="1"/>
  <c r="H2833" i="1"/>
  <c r="A2834" i="1"/>
  <c r="B2834" i="1"/>
  <c r="C2834" i="1"/>
  <c r="D2834" i="1"/>
  <c r="E2834" i="1"/>
  <c r="F2834" i="1"/>
  <c r="H2834" i="1"/>
  <c r="A2835" i="1"/>
  <c r="B2835" i="1"/>
  <c r="C2835" i="1"/>
  <c r="D2835" i="1"/>
  <c r="E2835" i="1"/>
  <c r="F2835" i="1"/>
  <c r="H2835" i="1"/>
  <c r="A2836" i="1"/>
  <c r="B2836" i="1"/>
  <c r="C2836" i="1"/>
  <c r="D2836" i="1"/>
  <c r="E2836" i="1"/>
  <c r="F2836" i="1"/>
  <c r="H2836" i="1"/>
  <c r="A2837" i="1"/>
  <c r="B2837" i="1"/>
  <c r="C2837" i="1"/>
  <c r="D2837" i="1"/>
  <c r="E2837" i="1"/>
  <c r="F2837" i="1"/>
  <c r="H2837" i="1"/>
  <c r="A2838" i="1"/>
  <c r="B2838" i="1"/>
  <c r="C2838" i="1"/>
  <c r="D2838" i="1"/>
  <c r="E2838" i="1"/>
  <c r="F2838" i="1"/>
  <c r="H2838" i="1"/>
  <c r="A2839" i="1"/>
  <c r="B2839" i="1"/>
  <c r="C2839" i="1"/>
  <c r="D2839" i="1"/>
  <c r="E2839" i="1"/>
  <c r="F2839" i="1"/>
  <c r="H2839" i="1"/>
  <c r="A2840" i="1"/>
  <c r="B2840" i="1"/>
  <c r="C2840" i="1"/>
  <c r="D2840" i="1"/>
  <c r="E2840" i="1"/>
  <c r="F2840" i="1"/>
  <c r="H2840" i="1"/>
  <c r="A2841" i="1"/>
  <c r="B2841" i="1"/>
  <c r="C2841" i="1"/>
  <c r="D2841" i="1"/>
  <c r="E2841" i="1"/>
  <c r="F2841" i="1"/>
  <c r="H2841" i="1"/>
  <c r="A2842" i="1"/>
  <c r="B2842" i="1"/>
  <c r="C2842" i="1"/>
  <c r="D2842" i="1"/>
  <c r="E2842" i="1"/>
  <c r="F2842" i="1"/>
  <c r="H2842" i="1"/>
  <c r="A2843" i="1"/>
  <c r="B2843" i="1"/>
  <c r="C2843" i="1"/>
  <c r="D2843" i="1"/>
  <c r="E2843" i="1"/>
  <c r="F2843" i="1"/>
  <c r="H2843" i="1"/>
  <c r="A2844" i="1"/>
  <c r="B2844" i="1"/>
  <c r="C2844" i="1"/>
  <c r="D2844" i="1"/>
  <c r="E2844" i="1"/>
  <c r="F2844" i="1"/>
  <c r="H2844" i="1"/>
  <c r="A2845" i="1"/>
  <c r="B2845" i="1"/>
  <c r="C2845" i="1"/>
  <c r="D2845" i="1"/>
  <c r="E2845" i="1"/>
  <c r="F2845" i="1"/>
  <c r="H2845" i="1"/>
  <c r="A2846" i="1"/>
  <c r="B2846" i="1"/>
  <c r="C2846" i="1"/>
  <c r="D2846" i="1"/>
  <c r="E2846" i="1"/>
  <c r="F2846" i="1"/>
  <c r="H2846" i="1"/>
  <c r="A2847" i="1"/>
  <c r="B2847" i="1"/>
  <c r="C2847" i="1"/>
  <c r="D2847" i="1"/>
  <c r="E2847" i="1"/>
  <c r="F2847" i="1"/>
  <c r="H2847" i="1"/>
  <c r="A2848" i="1"/>
  <c r="B2848" i="1"/>
  <c r="C2848" i="1"/>
  <c r="D2848" i="1"/>
  <c r="E2848" i="1"/>
  <c r="F2848" i="1"/>
  <c r="H2848" i="1"/>
  <c r="A2849" i="1"/>
  <c r="B2849" i="1"/>
  <c r="C2849" i="1"/>
  <c r="D2849" i="1"/>
  <c r="E2849" i="1"/>
  <c r="F2849" i="1"/>
  <c r="H2849" i="1"/>
  <c r="A2850" i="1"/>
  <c r="B2850" i="1"/>
  <c r="C2850" i="1"/>
  <c r="D2850" i="1"/>
  <c r="E2850" i="1"/>
  <c r="F2850" i="1"/>
  <c r="H2850" i="1"/>
  <c r="A2851" i="1"/>
  <c r="B2851" i="1"/>
  <c r="C2851" i="1"/>
  <c r="D2851" i="1"/>
  <c r="E2851" i="1"/>
  <c r="F2851" i="1"/>
  <c r="H2851" i="1"/>
  <c r="A2852" i="1"/>
  <c r="B2852" i="1"/>
  <c r="C2852" i="1"/>
  <c r="D2852" i="1"/>
  <c r="E2852" i="1"/>
  <c r="F2852" i="1"/>
  <c r="H2852" i="1"/>
  <c r="A2853" i="1"/>
  <c r="B2853" i="1"/>
  <c r="C2853" i="1"/>
  <c r="D2853" i="1"/>
  <c r="E2853" i="1"/>
  <c r="F2853" i="1"/>
  <c r="H2853" i="1"/>
  <c r="A2854" i="1"/>
  <c r="B2854" i="1"/>
  <c r="C2854" i="1"/>
  <c r="D2854" i="1"/>
  <c r="E2854" i="1"/>
  <c r="F2854" i="1"/>
  <c r="H2854" i="1"/>
  <c r="A2855" i="1"/>
  <c r="B2855" i="1"/>
  <c r="C2855" i="1"/>
  <c r="D2855" i="1"/>
  <c r="E2855" i="1"/>
  <c r="F2855" i="1"/>
  <c r="H2855" i="1"/>
  <c r="A2856" i="1"/>
  <c r="B2856" i="1"/>
  <c r="C2856" i="1"/>
  <c r="D2856" i="1"/>
  <c r="E2856" i="1"/>
  <c r="F2856" i="1"/>
  <c r="H2856" i="1"/>
  <c r="A2857" i="1"/>
  <c r="B2857" i="1"/>
  <c r="C2857" i="1"/>
  <c r="D2857" i="1"/>
  <c r="E2857" i="1"/>
  <c r="F2857" i="1"/>
  <c r="H2857" i="1"/>
  <c r="A2858" i="1"/>
  <c r="B2858" i="1"/>
  <c r="C2858" i="1"/>
  <c r="D2858" i="1"/>
  <c r="E2858" i="1"/>
  <c r="F2858" i="1"/>
  <c r="H2858" i="1"/>
  <c r="A2859" i="1"/>
  <c r="B2859" i="1"/>
  <c r="C2859" i="1"/>
  <c r="D2859" i="1"/>
  <c r="E2859" i="1"/>
  <c r="F2859" i="1"/>
  <c r="H2859" i="1"/>
  <c r="A2860" i="1"/>
  <c r="B2860" i="1"/>
  <c r="C2860" i="1"/>
  <c r="D2860" i="1"/>
  <c r="E2860" i="1"/>
  <c r="F2860" i="1"/>
  <c r="H2860" i="1"/>
  <c r="A2861" i="1"/>
  <c r="B2861" i="1"/>
  <c r="C2861" i="1"/>
  <c r="D2861" i="1"/>
  <c r="E2861" i="1"/>
  <c r="F2861" i="1"/>
  <c r="H2861" i="1"/>
  <c r="A2862" i="1"/>
  <c r="B2862" i="1"/>
  <c r="C2862" i="1"/>
  <c r="D2862" i="1"/>
  <c r="E2862" i="1"/>
  <c r="F2862" i="1"/>
  <c r="H2862" i="1"/>
  <c r="A2863" i="1"/>
  <c r="B2863" i="1"/>
  <c r="C2863" i="1"/>
  <c r="D2863" i="1"/>
  <c r="E2863" i="1"/>
  <c r="F2863" i="1"/>
  <c r="H2863" i="1"/>
  <c r="A2864" i="1"/>
  <c r="B2864" i="1"/>
  <c r="C2864" i="1"/>
  <c r="D2864" i="1"/>
  <c r="E2864" i="1"/>
  <c r="F2864" i="1"/>
  <c r="H2864" i="1"/>
  <c r="A2865" i="1"/>
  <c r="B2865" i="1"/>
  <c r="C2865" i="1"/>
  <c r="D2865" i="1"/>
  <c r="E2865" i="1"/>
  <c r="F2865" i="1"/>
  <c r="H2865" i="1"/>
  <c r="A2866" i="1"/>
  <c r="B2866" i="1"/>
  <c r="C2866" i="1"/>
  <c r="D2866" i="1"/>
  <c r="E2866" i="1"/>
  <c r="F2866" i="1"/>
  <c r="H2866" i="1"/>
  <c r="A2867" i="1"/>
  <c r="B2867" i="1"/>
  <c r="C2867" i="1"/>
  <c r="D2867" i="1"/>
  <c r="E2867" i="1"/>
  <c r="F2867" i="1"/>
  <c r="H2867" i="1"/>
  <c r="A2868" i="1"/>
  <c r="B2868" i="1"/>
  <c r="C2868" i="1"/>
  <c r="D2868" i="1"/>
  <c r="E2868" i="1"/>
  <c r="F2868" i="1"/>
  <c r="H2868" i="1"/>
  <c r="A2869" i="1"/>
  <c r="B2869" i="1"/>
  <c r="C2869" i="1"/>
  <c r="D2869" i="1"/>
  <c r="E2869" i="1"/>
  <c r="F2869" i="1"/>
  <c r="H2869" i="1"/>
  <c r="A2870" i="1"/>
  <c r="B2870" i="1"/>
  <c r="C2870" i="1"/>
  <c r="D2870" i="1"/>
  <c r="E2870" i="1"/>
  <c r="F2870" i="1"/>
  <c r="H2870" i="1"/>
  <c r="A2871" i="1"/>
  <c r="B2871" i="1"/>
  <c r="C2871" i="1"/>
  <c r="D2871" i="1"/>
  <c r="E2871" i="1"/>
  <c r="F2871" i="1"/>
  <c r="H2871" i="1"/>
  <c r="A2872" i="1"/>
  <c r="B2872" i="1"/>
  <c r="C2872" i="1"/>
  <c r="D2872" i="1"/>
  <c r="E2872" i="1"/>
  <c r="F2872" i="1"/>
  <c r="H2872" i="1"/>
  <c r="A2873" i="1"/>
  <c r="B2873" i="1"/>
  <c r="C2873" i="1"/>
  <c r="D2873" i="1"/>
  <c r="E2873" i="1"/>
  <c r="F2873" i="1"/>
  <c r="H2873" i="1"/>
  <c r="A2874" i="1"/>
  <c r="B2874" i="1"/>
  <c r="C2874" i="1"/>
  <c r="D2874" i="1"/>
  <c r="E2874" i="1"/>
  <c r="F2874" i="1"/>
  <c r="H2874" i="1"/>
  <c r="A2875" i="1"/>
  <c r="B2875" i="1"/>
  <c r="C2875" i="1"/>
  <c r="D2875" i="1"/>
  <c r="E2875" i="1"/>
  <c r="F2875" i="1"/>
  <c r="H2875" i="1"/>
  <c r="A2876" i="1"/>
  <c r="B2876" i="1"/>
  <c r="C2876" i="1"/>
  <c r="D2876" i="1"/>
  <c r="E2876" i="1"/>
  <c r="F2876" i="1"/>
  <c r="H2876" i="1"/>
  <c r="A2877" i="1"/>
  <c r="B2877" i="1"/>
  <c r="C2877" i="1"/>
  <c r="D2877" i="1"/>
  <c r="E2877" i="1"/>
  <c r="F2877" i="1"/>
  <c r="H2877" i="1"/>
  <c r="A2878" i="1"/>
  <c r="B2878" i="1"/>
  <c r="C2878" i="1"/>
  <c r="D2878" i="1"/>
  <c r="E2878" i="1"/>
  <c r="F2878" i="1"/>
  <c r="H2878" i="1"/>
  <c r="A2879" i="1"/>
  <c r="B2879" i="1"/>
  <c r="C2879" i="1"/>
  <c r="D2879" i="1"/>
  <c r="E2879" i="1"/>
  <c r="F2879" i="1"/>
  <c r="H2879" i="1"/>
  <c r="A2880" i="1"/>
  <c r="B2880" i="1"/>
  <c r="C2880" i="1"/>
  <c r="D2880" i="1"/>
  <c r="E2880" i="1"/>
  <c r="F2880" i="1"/>
  <c r="H2880" i="1"/>
  <c r="A2881" i="1"/>
  <c r="B2881" i="1"/>
  <c r="C2881" i="1"/>
  <c r="D2881" i="1"/>
  <c r="E2881" i="1"/>
  <c r="F2881" i="1"/>
  <c r="H2881" i="1"/>
  <c r="A2882" i="1"/>
  <c r="B2882" i="1"/>
  <c r="C2882" i="1"/>
  <c r="D2882" i="1"/>
  <c r="E2882" i="1"/>
  <c r="F2882" i="1"/>
  <c r="H2882" i="1"/>
  <c r="A2883" i="1"/>
  <c r="B2883" i="1"/>
  <c r="C2883" i="1"/>
  <c r="D2883" i="1"/>
  <c r="E2883" i="1"/>
  <c r="F2883" i="1"/>
  <c r="H2883" i="1"/>
  <c r="A2884" i="1"/>
  <c r="B2884" i="1"/>
  <c r="C2884" i="1"/>
  <c r="D2884" i="1"/>
  <c r="E2884" i="1"/>
  <c r="F2884" i="1"/>
  <c r="H2884" i="1"/>
  <c r="A2885" i="1"/>
  <c r="B2885" i="1"/>
  <c r="C2885" i="1"/>
  <c r="D2885" i="1"/>
  <c r="E2885" i="1"/>
  <c r="F2885" i="1"/>
  <c r="H2885" i="1"/>
  <c r="A2886" i="1"/>
  <c r="B2886" i="1"/>
  <c r="C2886" i="1"/>
  <c r="D2886" i="1"/>
  <c r="E2886" i="1"/>
  <c r="F2886" i="1"/>
  <c r="H2886" i="1"/>
  <c r="A2887" i="1"/>
  <c r="B2887" i="1"/>
  <c r="C2887" i="1"/>
  <c r="D2887" i="1"/>
  <c r="E2887" i="1"/>
  <c r="F2887" i="1"/>
  <c r="H2887" i="1"/>
  <c r="A2888" i="1"/>
  <c r="B2888" i="1"/>
  <c r="C2888" i="1"/>
  <c r="D2888" i="1"/>
  <c r="E2888" i="1"/>
  <c r="F2888" i="1"/>
  <c r="H2888" i="1"/>
  <c r="A2889" i="1"/>
  <c r="B2889" i="1"/>
  <c r="C2889" i="1"/>
  <c r="D2889" i="1"/>
  <c r="E2889" i="1"/>
  <c r="F2889" i="1"/>
  <c r="H2889" i="1"/>
  <c r="A2890" i="1"/>
  <c r="B2890" i="1"/>
  <c r="C2890" i="1"/>
  <c r="D2890" i="1"/>
  <c r="E2890" i="1"/>
  <c r="F2890" i="1"/>
  <c r="H2890" i="1"/>
  <c r="A2891" i="1"/>
  <c r="B2891" i="1"/>
  <c r="C2891" i="1"/>
  <c r="D2891" i="1"/>
  <c r="E2891" i="1"/>
  <c r="F2891" i="1"/>
  <c r="H2891" i="1"/>
  <c r="A2892" i="1"/>
  <c r="B2892" i="1"/>
  <c r="C2892" i="1"/>
  <c r="D2892" i="1"/>
  <c r="E2892" i="1"/>
  <c r="F2892" i="1"/>
  <c r="H2892" i="1"/>
  <c r="A2893" i="1"/>
  <c r="B2893" i="1"/>
  <c r="C2893" i="1"/>
  <c r="D2893" i="1"/>
  <c r="E2893" i="1"/>
  <c r="F2893" i="1"/>
  <c r="H2893" i="1"/>
  <c r="A2894" i="1"/>
  <c r="B2894" i="1"/>
  <c r="C2894" i="1"/>
  <c r="D2894" i="1"/>
  <c r="E2894" i="1"/>
  <c r="F2894" i="1"/>
  <c r="H2894" i="1"/>
  <c r="A2895" i="1"/>
  <c r="B2895" i="1"/>
  <c r="C2895" i="1"/>
  <c r="D2895" i="1"/>
  <c r="E2895" i="1"/>
  <c r="F2895" i="1"/>
  <c r="H2895" i="1"/>
  <c r="A2896" i="1"/>
  <c r="B2896" i="1"/>
  <c r="C2896" i="1"/>
  <c r="D2896" i="1"/>
  <c r="E2896" i="1"/>
  <c r="F2896" i="1"/>
  <c r="H2896" i="1"/>
  <c r="A2897" i="1"/>
  <c r="B2897" i="1"/>
  <c r="C2897" i="1"/>
  <c r="D2897" i="1"/>
  <c r="E2897" i="1"/>
  <c r="F2897" i="1"/>
  <c r="H2897" i="1"/>
  <c r="A2898" i="1"/>
  <c r="B2898" i="1"/>
  <c r="C2898" i="1"/>
  <c r="D2898" i="1"/>
  <c r="E2898" i="1"/>
  <c r="F2898" i="1"/>
  <c r="H2898" i="1"/>
  <c r="A2899" i="1"/>
  <c r="B2899" i="1"/>
  <c r="C2899" i="1"/>
  <c r="D2899" i="1"/>
  <c r="E2899" i="1"/>
  <c r="F2899" i="1"/>
  <c r="H2899" i="1"/>
  <c r="A2900" i="1"/>
  <c r="B2900" i="1"/>
  <c r="C2900" i="1"/>
  <c r="D2900" i="1"/>
  <c r="E2900" i="1"/>
  <c r="F2900" i="1"/>
  <c r="H2900" i="1"/>
  <c r="A2901" i="1"/>
  <c r="B2901" i="1"/>
  <c r="C2901" i="1"/>
  <c r="D2901" i="1"/>
  <c r="E2901" i="1"/>
  <c r="F2901" i="1"/>
  <c r="H2901" i="1"/>
  <c r="A2902" i="1"/>
  <c r="B2902" i="1"/>
  <c r="C2902" i="1"/>
  <c r="D2902" i="1"/>
  <c r="E2902" i="1"/>
  <c r="F2902" i="1"/>
  <c r="H2902" i="1"/>
  <c r="A2903" i="1"/>
  <c r="B2903" i="1"/>
  <c r="C2903" i="1"/>
  <c r="D2903" i="1"/>
  <c r="E2903" i="1"/>
  <c r="F2903" i="1"/>
  <c r="H2903" i="1"/>
  <c r="A2904" i="1"/>
  <c r="B2904" i="1"/>
  <c r="C2904" i="1"/>
  <c r="D2904" i="1"/>
  <c r="E2904" i="1"/>
  <c r="F2904" i="1"/>
  <c r="H2904" i="1"/>
  <c r="A2905" i="1"/>
  <c r="B2905" i="1"/>
  <c r="C2905" i="1"/>
  <c r="D2905" i="1"/>
  <c r="E2905" i="1"/>
  <c r="F2905" i="1"/>
  <c r="H2905" i="1"/>
  <c r="A2906" i="1"/>
  <c r="B2906" i="1"/>
  <c r="C2906" i="1"/>
  <c r="D2906" i="1"/>
  <c r="E2906" i="1"/>
  <c r="F2906" i="1"/>
  <c r="H2906" i="1"/>
  <c r="A2907" i="1"/>
  <c r="B2907" i="1"/>
  <c r="C2907" i="1"/>
  <c r="D2907" i="1"/>
  <c r="E2907" i="1"/>
  <c r="F2907" i="1"/>
  <c r="H2907" i="1"/>
  <c r="A2908" i="1"/>
  <c r="B2908" i="1"/>
  <c r="C2908" i="1"/>
  <c r="D2908" i="1"/>
  <c r="E2908" i="1"/>
  <c r="F2908" i="1"/>
  <c r="H2908" i="1"/>
  <c r="A2909" i="1"/>
  <c r="B2909" i="1"/>
  <c r="C2909" i="1"/>
  <c r="D2909" i="1"/>
  <c r="E2909" i="1"/>
  <c r="F2909" i="1"/>
  <c r="H2909" i="1"/>
  <c r="A2910" i="1"/>
  <c r="B2910" i="1"/>
  <c r="C2910" i="1"/>
  <c r="D2910" i="1"/>
  <c r="E2910" i="1"/>
  <c r="F2910" i="1"/>
  <c r="H2910" i="1"/>
  <c r="A2911" i="1"/>
  <c r="B2911" i="1"/>
  <c r="C2911" i="1"/>
  <c r="D2911" i="1"/>
  <c r="E2911" i="1"/>
  <c r="F2911" i="1"/>
  <c r="H2911" i="1"/>
  <c r="A2912" i="1"/>
  <c r="B2912" i="1"/>
  <c r="C2912" i="1"/>
  <c r="D2912" i="1"/>
  <c r="E2912" i="1"/>
  <c r="F2912" i="1"/>
  <c r="H2912" i="1"/>
  <c r="A2913" i="1"/>
  <c r="B2913" i="1"/>
  <c r="C2913" i="1"/>
  <c r="D2913" i="1"/>
  <c r="E2913" i="1"/>
  <c r="F2913" i="1"/>
  <c r="H2913" i="1"/>
  <c r="A2914" i="1"/>
  <c r="B2914" i="1"/>
  <c r="C2914" i="1"/>
  <c r="D2914" i="1"/>
  <c r="E2914" i="1"/>
  <c r="F2914" i="1"/>
  <c r="H2914" i="1"/>
  <c r="A2915" i="1"/>
  <c r="B2915" i="1"/>
  <c r="C2915" i="1"/>
  <c r="D2915" i="1"/>
  <c r="E2915" i="1"/>
  <c r="F2915" i="1"/>
  <c r="H2915" i="1"/>
  <c r="A2916" i="1"/>
  <c r="B2916" i="1"/>
  <c r="C2916" i="1"/>
  <c r="D2916" i="1"/>
  <c r="E2916" i="1"/>
  <c r="F2916" i="1"/>
  <c r="H2916" i="1"/>
  <c r="A2917" i="1"/>
  <c r="B2917" i="1"/>
  <c r="C2917" i="1"/>
  <c r="D2917" i="1"/>
  <c r="E2917" i="1"/>
  <c r="F2917" i="1"/>
  <c r="H2917" i="1"/>
  <c r="A2918" i="1"/>
  <c r="B2918" i="1"/>
  <c r="C2918" i="1"/>
  <c r="D2918" i="1"/>
  <c r="E2918" i="1"/>
  <c r="F2918" i="1"/>
  <c r="H2918" i="1"/>
  <c r="A2919" i="1"/>
  <c r="B2919" i="1"/>
  <c r="C2919" i="1"/>
  <c r="D2919" i="1"/>
  <c r="E2919" i="1"/>
  <c r="F2919" i="1"/>
  <c r="H2919" i="1"/>
  <c r="A2920" i="1"/>
  <c r="B2920" i="1"/>
  <c r="C2920" i="1"/>
  <c r="D2920" i="1"/>
  <c r="E2920" i="1"/>
  <c r="F2920" i="1"/>
  <c r="H2920" i="1"/>
  <c r="A2921" i="1"/>
  <c r="B2921" i="1"/>
  <c r="C2921" i="1"/>
  <c r="D2921" i="1"/>
  <c r="E2921" i="1"/>
  <c r="F2921" i="1"/>
  <c r="H2921" i="1"/>
  <c r="A2922" i="1"/>
  <c r="B2922" i="1"/>
  <c r="C2922" i="1"/>
  <c r="D2922" i="1"/>
  <c r="E2922" i="1"/>
  <c r="F2922" i="1"/>
  <c r="H2922" i="1"/>
  <c r="A2923" i="1"/>
  <c r="B2923" i="1"/>
  <c r="C2923" i="1"/>
  <c r="D2923" i="1"/>
  <c r="E2923" i="1"/>
  <c r="F2923" i="1"/>
  <c r="H2923" i="1"/>
  <c r="A2924" i="1"/>
  <c r="B2924" i="1"/>
  <c r="C2924" i="1"/>
  <c r="D2924" i="1"/>
  <c r="E2924" i="1"/>
  <c r="F2924" i="1"/>
  <c r="H2924" i="1"/>
  <c r="A2925" i="1"/>
  <c r="B2925" i="1"/>
  <c r="C2925" i="1"/>
  <c r="D2925" i="1"/>
  <c r="E2925" i="1"/>
  <c r="F2925" i="1"/>
  <c r="H2925" i="1"/>
  <c r="A2926" i="1"/>
  <c r="B2926" i="1"/>
  <c r="C2926" i="1"/>
  <c r="D2926" i="1"/>
  <c r="E2926" i="1"/>
  <c r="F2926" i="1"/>
  <c r="H2926" i="1"/>
  <c r="A2927" i="1"/>
  <c r="B2927" i="1"/>
  <c r="C2927" i="1"/>
  <c r="D2927" i="1"/>
  <c r="E2927" i="1"/>
  <c r="F2927" i="1"/>
  <c r="H2927" i="1"/>
  <c r="A2928" i="1"/>
  <c r="B2928" i="1"/>
  <c r="C2928" i="1"/>
  <c r="D2928" i="1"/>
  <c r="E2928" i="1"/>
  <c r="F2928" i="1"/>
  <c r="H2928" i="1"/>
  <c r="A2929" i="1"/>
  <c r="B2929" i="1"/>
  <c r="C2929" i="1"/>
  <c r="D2929" i="1"/>
  <c r="E2929" i="1"/>
  <c r="F2929" i="1"/>
  <c r="H2929" i="1"/>
  <c r="A2930" i="1"/>
  <c r="B2930" i="1"/>
  <c r="C2930" i="1"/>
  <c r="D2930" i="1"/>
  <c r="E2930" i="1"/>
  <c r="F2930" i="1"/>
  <c r="H2930" i="1"/>
  <c r="A2931" i="1"/>
  <c r="B2931" i="1"/>
  <c r="C2931" i="1"/>
  <c r="D2931" i="1"/>
  <c r="E2931" i="1"/>
  <c r="F2931" i="1"/>
  <c r="H2931" i="1"/>
  <c r="A2932" i="1"/>
  <c r="B2932" i="1"/>
  <c r="C2932" i="1"/>
  <c r="D2932" i="1"/>
  <c r="E2932" i="1"/>
  <c r="F2932" i="1"/>
  <c r="H2932" i="1"/>
  <c r="A2933" i="1"/>
  <c r="B2933" i="1"/>
  <c r="C2933" i="1"/>
  <c r="D2933" i="1"/>
  <c r="E2933" i="1"/>
  <c r="F2933" i="1"/>
  <c r="H2933" i="1"/>
  <c r="A2934" i="1"/>
  <c r="B2934" i="1"/>
  <c r="C2934" i="1"/>
  <c r="D2934" i="1"/>
  <c r="E2934" i="1"/>
  <c r="F2934" i="1"/>
  <c r="H2934" i="1"/>
  <c r="A2935" i="1"/>
  <c r="B2935" i="1"/>
  <c r="C2935" i="1"/>
  <c r="D2935" i="1"/>
  <c r="E2935" i="1"/>
  <c r="F2935" i="1"/>
  <c r="H2935" i="1"/>
  <c r="A2936" i="1"/>
  <c r="B2936" i="1"/>
  <c r="C2936" i="1"/>
  <c r="D2936" i="1"/>
  <c r="E2936" i="1"/>
  <c r="F2936" i="1"/>
  <c r="H2936" i="1"/>
  <c r="A2937" i="1"/>
  <c r="B2937" i="1"/>
  <c r="C2937" i="1"/>
  <c r="D2937" i="1"/>
  <c r="E2937" i="1"/>
  <c r="F2937" i="1"/>
  <c r="H2937" i="1"/>
  <c r="A2938" i="1"/>
  <c r="B2938" i="1"/>
  <c r="C2938" i="1"/>
  <c r="D2938" i="1"/>
  <c r="E2938" i="1"/>
  <c r="F2938" i="1"/>
  <c r="H2938" i="1"/>
  <c r="A2939" i="1"/>
  <c r="B2939" i="1"/>
  <c r="C2939" i="1"/>
  <c r="D2939" i="1"/>
  <c r="E2939" i="1"/>
  <c r="F2939" i="1"/>
  <c r="H2939" i="1"/>
  <c r="A2940" i="1"/>
  <c r="B2940" i="1"/>
  <c r="C2940" i="1"/>
  <c r="D2940" i="1"/>
  <c r="E2940" i="1"/>
  <c r="F2940" i="1"/>
  <c r="H2940" i="1"/>
  <c r="A2941" i="1"/>
  <c r="B2941" i="1"/>
  <c r="C2941" i="1"/>
  <c r="D2941" i="1"/>
  <c r="E2941" i="1"/>
  <c r="F2941" i="1"/>
  <c r="H2941" i="1"/>
  <c r="A2942" i="1"/>
  <c r="B2942" i="1"/>
  <c r="C2942" i="1"/>
  <c r="D2942" i="1"/>
  <c r="E2942" i="1"/>
  <c r="F2942" i="1"/>
  <c r="H2942" i="1"/>
  <c r="A2943" i="1"/>
  <c r="B2943" i="1"/>
  <c r="C2943" i="1"/>
  <c r="D2943" i="1"/>
  <c r="E2943" i="1"/>
  <c r="F2943" i="1"/>
  <c r="H2943" i="1"/>
  <c r="A2944" i="1"/>
  <c r="B2944" i="1"/>
  <c r="C2944" i="1"/>
  <c r="D2944" i="1"/>
  <c r="E2944" i="1"/>
  <c r="F2944" i="1"/>
  <c r="H2944" i="1"/>
  <c r="A2945" i="1"/>
  <c r="B2945" i="1"/>
  <c r="C2945" i="1"/>
  <c r="D2945" i="1"/>
  <c r="E2945" i="1"/>
  <c r="F2945" i="1"/>
  <c r="H2945" i="1"/>
  <c r="A2946" i="1"/>
  <c r="B2946" i="1"/>
  <c r="C2946" i="1"/>
  <c r="D2946" i="1"/>
  <c r="E2946" i="1"/>
  <c r="F2946" i="1"/>
  <c r="H2946" i="1"/>
  <c r="A2947" i="1"/>
  <c r="B2947" i="1"/>
  <c r="C2947" i="1"/>
  <c r="D2947" i="1"/>
  <c r="E2947" i="1"/>
  <c r="F2947" i="1"/>
  <c r="H2947" i="1"/>
  <c r="A2948" i="1"/>
  <c r="B2948" i="1"/>
  <c r="C2948" i="1"/>
  <c r="D2948" i="1"/>
  <c r="E2948" i="1"/>
  <c r="F2948" i="1"/>
  <c r="H2948" i="1"/>
  <c r="A2949" i="1"/>
  <c r="B2949" i="1"/>
  <c r="C2949" i="1"/>
  <c r="D2949" i="1"/>
  <c r="E2949" i="1"/>
  <c r="F2949" i="1"/>
  <c r="H2949" i="1"/>
  <c r="A2950" i="1"/>
  <c r="B2950" i="1"/>
  <c r="C2950" i="1"/>
  <c r="D2950" i="1"/>
  <c r="E2950" i="1"/>
  <c r="F2950" i="1"/>
  <c r="H2950" i="1"/>
  <c r="A2951" i="1"/>
  <c r="B2951" i="1"/>
  <c r="C2951" i="1"/>
  <c r="D2951" i="1"/>
  <c r="E2951" i="1"/>
  <c r="F2951" i="1"/>
  <c r="H2951" i="1"/>
  <c r="A2952" i="1"/>
  <c r="B2952" i="1"/>
  <c r="C2952" i="1"/>
  <c r="D2952" i="1"/>
  <c r="E2952" i="1"/>
  <c r="F2952" i="1"/>
  <c r="H2952" i="1"/>
  <c r="A2953" i="1"/>
  <c r="B2953" i="1"/>
  <c r="C2953" i="1"/>
  <c r="D2953" i="1"/>
  <c r="E2953" i="1"/>
  <c r="F2953" i="1"/>
  <c r="H2953" i="1"/>
  <c r="A2954" i="1"/>
  <c r="B2954" i="1"/>
  <c r="C2954" i="1"/>
  <c r="D2954" i="1"/>
  <c r="E2954" i="1"/>
  <c r="F2954" i="1"/>
  <c r="H2954" i="1"/>
  <c r="A2955" i="1"/>
  <c r="B2955" i="1"/>
  <c r="C2955" i="1"/>
  <c r="D2955" i="1"/>
  <c r="E2955" i="1"/>
  <c r="F2955" i="1"/>
  <c r="H2955" i="1"/>
  <c r="A2956" i="1"/>
  <c r="B2956" i="1"/>
  <c r="C2956" i="1"/>
  <c r="D2956" i="1"/>
  <c r="E2956" i="1"/>
  <c r="F2956" i="1"/>
  <c r="H2956" i="1"/>
  <c r="A2957" i="1"/>
  <c r="B2957" i="1"/>
  <c r="C2957" i="1"/>
  <c r="D2957" i="1"/>
  <c r="E2957" i="1"/>
  <c r="F2957" i="1"/>
  <c r="H2957" i="1"/>
  <c r="A2958" i="1"/>
  <c r="B2958" i="1"/>
  <c r="C2958" i="1"/>
  <c r="D2958" i="1"/>
  <c r="E2958" i="1"/>
  <c r="F2958" i="1"/>
  <c r="H2958" i="1"/>
  <c r="A2959" i="1"/>
  <c r="B2959" i="1"/>
  <c r="C2959" i="1"/>
  <c r="D2959" i="1"/>
  <c r="E2959" i="1"/>
  <c r="F2959" i="1"/>
  <c r="H2959" i="1"/>
  <c r="A2960" i="1"/>
  <c r="B2960" i="1"/>
  <c r="C2960" i="1"/>
  <c r="D2960" i="1"/>
  <c r="E2960" i="1"/>
  <c r="F2960" i="1"/>
  <c r="H2960" i="1"/>
  <c r="A2961" i="1"/>
  <c r="B2961" i="1"/>
  <c r="C2961" i="1"/>
  <c r="D2961" i="1"/>
  <c r="E2961" i="1"/>
  <c r="F2961" i="1"/>
  <c r="H2961" i="1"/>
  <c r="A2962" i="1"/>
  <c r="B2962" i="1"/>
  <c r="C2962" i="1"/>
  <c r="D2962" i="1"/>
  <c r="E2962" i="1"/>
  <c r="F2962" i="1"/>
  <c r="H2962" i="1"/>
  <c r="A2963" i="1"/>
  <c r="B2963" i="1"/>
  <c r="C2963" i="1"/>
  <c r="D2963" i="1"/>
  <c r="E2963" i="1"/>
  <c r="F2963" i="1"/>
  <c r="H2963" i="1"/>
  <c r="A2964" i="1"/>
  <c r="B2964" i="1"/>
  <c r="C2964" i="1"/>
  <c r="D2964" i="1"/>
  <c r="E2964" i="1"/>
  <c r="F2964" i="1"/>
  <c r="H2964" i="1"/>
  <c r="A2965" i="1"/>
  <c r="B2965" i="1"/>
  <c r="C2965" i="1"/>
  <c r="D2965" i="1"/>
  <c r="E2965" i="1"/>
  <c r="F2965" i="1"/>
  <c r="H2965" i="1"/>
  <c r="A2966" i="1"/>
  <c r="B2966" i="1"/>
  <c r="C2966" i="1"/>
  <c r="D2966" i="1"/>
  <c r="E2966" i="1"/>
  <c r="F2966" i="1"/>
  <c r="H2966" i="1"/>
  <c r="A2967" i="1"/>
  <c r="B2967" i="1"/>
  <c r="C2967" i="1"/>
  <c r="D2967" i="1"/>
  <c r="E2967" i="1"/>
  <c r="F2967" i="1"/>
  <c r="H2967" i="1"/>
  <c r="A2968" i="1"/>
  <c r="B2968" i="1"/>
  <c r="C2968" i="1"/>
  <c r="D2968" i="1"/>
  <c r="E2968" i="1"/>
  <c r="F2968" i="1"/>
  <c r="H2968" i="1"/>
  <c r="A2969" i="1"/>
  <c r="B2969" i="1"/>
  <c r="C2969" i="1"/>
  <c r="D2969" i="1"/>
  <c r="E2969" i="1"/>
  <c r="F2969" i="1"/>
  <c r="H2969" i="1"/>
  <c r="A2970" i="1"/>
  <c r="B2970" i="1"/>
  <c r="C2970" i="1"/>
  <c r="D2970" i="1"/>
  <c r="E2970" i="1"/>
  <c r="F2970" i="1"/>
  <c r="H2970" i="1"/>
  <c r="A2971" i="1"/>
  <c r="B2971" i="1"/>
  <c r="C2971" i="1"/>
  <c r="D2971" i="1"/>
  <c r="E2971" i="1"/>
  <c r="F2971" i="1"/>
  <c r="H2971" i="1"/>
  <c r="A2972" i="1"/>
  <c r="B2972" i="1"/>
  <c r="C2972" i="1"/>
  <c r="D2972" i="1"/>
  <c r="E2972" i="1"/>
  <c r="F2972" i="1"/>
  <c r="H2972" i="1"/>
  <c r="A2973" i="1"/>
  <c r="B2973" i="1"/>
  <c r="C2973" i="1"/>
  <c r="D2973" i="1"/>
  <c r="E2973" i="1"/>
  <c r="F2973" i="1"/>
  <c r="H2973" i="1"/>
  <c r="A2974" i="1"/>
  <c r="B2974" i="1"/>
  <c r="C2974" i="1"/>
  <c r="D2974" i="1"/>
  <c r="E2974" i="1"/>
  <c r="F2974" i="1"/>
  <c r="H2974" i="1"/>
  <c r="A2975" i="1"/>
  <c r="B2975" i="1"/>
  <c r="C2975" i="1"/>
  <c r="D2975" i="1"/>
  <c r="E2975" i="1"/>
  <c r="F2975" i="1"/>
  <c r="H2975" i="1"/>
  <c r="A2976" i="1"/>
  <c r="B2976" i="1"/>
  <c r="C2976" i="1"/>
  <c r="D2976" i="1"/>
  <c r="E2976" i="1"/>
  <c r="F2976" i="1"/>
  <c r="H2976" i="1"/>
  <c r="A2977" i="1"/>
  <c r="B2977" i="1"/>
  <c r="C2977" i="1"/>
  <c r="D2977" i="1"/>
  <c r="E2977" i="1"/>
  <c r="F2977" i="1"/>
  <c r="H2977" i="1"/>
  <c r="A2978" i="1"/>
  <c r="B2978" i="1"/>
  <c r="C2978" i="1"/>
  <c r="D2978" i="1"/>
  <c r="E2978" i="1"/>
  <c r="F2978" i="1"/>
  <c r="H2978" i="1"/>
  <c r="A2979" i="1"/>
  <c r="B2979" i="1"/>
  <c r="C2979" i="1"/>
  <c r="D2979" i="1"/>
  <c r="E2979" i="1"/>
  <c r="F2979" i="1"/>
  <c r="H2979" i="1"/>
  <c r="A2980" i="1"/>
  <c r="B2980" i="1"/>
  <c r="C2980" i="1"/>
  <c r="D2980" i="1"/>
  <c r="E2980" i="1"/>
  <c r="F2980" i="1"/>
  <c r="H2980" i="1"/>
  <c r="A2981" i="1"/>
  <c r="B2981" i="1"/>
  <c r="C2981" i="1"/>
  <c r="D2981" i="1"/>
  <c r="E2981" i="1"/>
  <c r="F2981" i="1"/>
  <c r="H2981" i="1"/>
  <c r="A2982" i="1"/>
  <c r="B2982" i="1"/>
  <c r="C2982" i="1"/>
  <c r="D2982" i="1"/>
  <c r="E2982" i="1"/>
  <c r="F2982" i="1"/>
  <c r="H2982" i="1"/>
  <c r="A2983" i="1"/>
  <c r="B2983" i="1"/>
  <c r="C2983" i="1"/>
  <c r="D2983" i="1"/>
  <c r="E2983" i="1"/>
  <c r="F2983" i="1"/>
  <c r="H2983" i="1"/>
  <c r="A2984" i="1"/>
  <c r="B2984" i="1"/>
  <c r="C2984" i="1"/>
  <c r="D2984" i="1"/>
  <c r="E2984" i="1"/>
  <c r="F2984" i="1"/>
  <c r="H2984" i="1"/>
  <c r="A2985" i="1"/>
  <c r="B2985" i="1"/>
  <c r="C2985" i="1"/>
  <c r="D2985" i="1"/>
  <c r="E2985" i="1"/>
  <c r="F2985" i="1"/>
  <c r="H2985" i="1"/>
  <c r="A2986" i="1"/>
  <c r="B2986" i="1"/>
  <c r="C2986" i="1"/>
  <c r="D2986" i="1"/>
  <c r="E2986" i="1"/>
  <c r="F2986" i="1"/>
  <c r="H2986" i="1"/>
  <c r="A2987" i="1"/>
  <c r="B2987" i="1"/>
  <c r="C2987" i="1"/>
  <c r="D2987" i="1"/>
  <c r="E2987" i="1"/>
  <c r="F2987" i="1"/>
  <c r="H2987" i="1"/>
  <c r="A2988" i="1"/>
  <c r="B2988" i="1"/>
  <c r="C2988" i="1"/>
  <c r="D2988" i="1"/>
  <c r="E2988" i="1"/>
  <c r="F2988" i="1"/>
  <c r="H2988" i="1"/>
  <c r="A2989" i="1"/>
  <c r="B2989" i="1"/>
  <c r="C2989" i="1"/>
  <c r="D2989" i="1"/>
  <c r="E2989" i="1"/>
  <c r="F2989" i="1"/>
  <c r="H2989" i="1"/>
  <c r="A2990" i="1"/>
  <c r="B2990" i="1"/>
  <c r="C2990" i="1"/>
  <c r="D2990" i="1"/>
  <c r="E2990" i="1"/>
  <c r="F2990" i="1"/>
  <c r="H2990" i="1"/>
  <c r="A2991" i="1"/>
  <c r="B2991" i="1"/>
  <c r="C2991" i="1"/>
  <c r="D2991" i="1"/>
  <c r="E2991" i="1"/>
  <c r="F2991" i="1"/>
  <c r="H2991" i="1"/>
  <c r="A2992" i="1"/>
  <c r="B2992" i="1"/>
  <c r="C2992" i="1"/>
  <c r="D2992" i="1"/>
  <c r="E2992" i="1"/>
  <c r="F2992" i="1"/>
  <c r="H2992" i="1"/>
  <c r="A2993" i="1"/>
  <c r="B2993" i="1"/>
  <c r="C2993" i="1"/>
  <c r="D2993" i="1"/>
  <c r="E2993" i="1"/>
  <c r="F2993" i="1"/>
  <c r="H2993" i="1"/>
  <c r="A2994" i="1"/>
  <c r="B2994" i="1"/>
  <c r="C2994" i="1"/>
  <c r="D2994" i="1"/>
  <c r="E2994" i="1"/>
  <c r="F2994" i="1"/>
  <c r="H2994" i="1"/>
  <c r="A2995" i="1"/>
  <c r="B2995" i="1"/>
  <c r="C2995" i="1"/>
  <c r="D2995" i="1"/>
  <c r="E2995" i="1"/>
  <c r="F2995" i="1"/>
  <c r="H2995" i="1"/>
  <c r="A2996" i="1"/>
  <c r="B2996" i="1"/>
  <c r="C2996" i="1"/>
  <c r="D2996" i="1"/>
  <c r="E2996" i="1"/>
  <c r="F2996" i="1"/>
  <c r="H2996" i="1"/>
  <c r="A2997" i="1"/>
  <c r="B2997" i="1"/>
  <c r="C2997" i="1"/>
  <c r="D2997" i="1"/>
  <c r="E2997" i="1"/>
  <c r="F2997" i="1"/>
  <c r="H2997" i="1"/>
  <c r="A2998" i="1"/>
  <c r="B2998" i="1"/>
  <c r="C2998" i="1"/>
  <c r="D2998" i="1"/>
  <c r="E2998" i="1"/>
  <c r="F2998" i="1"/>
  <c r="H2998" i="1"/>
  <c r="A2999" i="1"/>
  <c r="B2999" i="1"/>
  <c r="C2999" i="1"/>
  <c r="D2999" i="1"/>
  <c r="E2999" i="1"/>
  <c r="F2999" i="1"/>
  <c r="H2999" i="1"/>
  <c r="A3000" i="1"/>
  <c r="B3000" i="1"/>
  <c r="C3000" i="1"/>
  <c r="D3000" i="1"/>
  <c r="E3000" i="1"/>
  <c r="F3000" i="1"/>
  <c r="H3000" i="1"/>
  <c r="A3001" i="1"/>
  <c r="B3001" i="1"/>
  <c r="C3001" i="1"/>
  <c r="D3001" i="1"/>
  <c r="E3001" i="1"/>
  <c r="F3001" i="1"/>
  <c r="H3001" i="1"/>
  <c r="A3002" i="1"/>
  <c r="B3002" i="1"/>
  <c r="C3002" i="1"/>
  <c r="D3002" i="1"/>
  <c r="E3002" i="1"/>
  <c r="F3002" i="1"/>
  <c r="H3002" i="1"/>
  <c r="A3003" i="1"/>
  <c r="B3003" i="1"/>
  <c r="C3003" i="1"/>
  <c r="D3003" i="1"/>
  <c r="E3003" i="1"/>
  <c r="F3003" i="1"/>
  <c r="H3003" i="1"/>
  <c r="A3004" i="1"/>
  <c r="B3004" i="1"/>
  <c r="C3004" i="1"/>
  <c r="D3004" i="1"/>
  <c r="E3004" i="1"/>
  <c r="F3004" i="1"/>
  <c r="H3004" i="1"/>
  <c r="A3005" i="1"/>
  <c r="B3005" i="1"/>
  <c r="C3005" i="1"/>
  <c r="D3005" i="1"/>
  <c r="E3005" i="1"/>
  <c r="F3005" i="1"/>
  <c r="H3005" i="1"/>
  <c r="A3006" i="1"/>
  <c r="B3006" i="1"/>
  <c r="C3006" i="1"/>
  <c r="D3006" i="1"/>
  <c r="E3006" i="1"/>
  <c r="F3006" i="1"/>
  <c r="H3006" i="1"/>
  <c r="A3007" i="1"/>
  <c r="B3007" i="1"/>
  <c r="C3007" i="1"/>
  <c r="D3007" i="1"/>
  <c r="E3007" i="1"/>
  <c r="F3007" i="1"/>
  <c r="H3007" i="1"/>
  <c r="A3008" i="1"/>
  <c r="B3008" i="1"/>
  <c r="C3008" i="1"/>
  <c r="D3008" i="1"/>
  <c r="E3008" i="1"/>
  <c r="F3008" i="1"/>
  <c r="H3008" i="1"/>
  <c r="A3009" i="1"/>
  <c r="B3009" i="1"/>
  <c r="C3009" i="1"/>
  <c r="D3009" i="1"/>
  <c r="E3009" i="1"/>
  <c r="F3009" i="1"/>
  <c r="H3009" i="1"/>
  <c r="A3010" i="1"/>
  <c r="B3010" i="1"/>
  <c r="C3010" i="1"/>
  <c r="D3010" i="1"/>
  <c r="E3010" i="1"/>
  <c r="F3010" i="1"/>
  <c r="H3010" i="1"/>
  <c r="A3011" i="1"/>
  <c r="B3011" i="1"/>
  <c r="C3011" i="1"/>
  <c r="D3011" i="1"/>
  <c r="E3011" i="1"/>
  <c r="F3011" i="1"/>
  <c r="H3011" i="1"/>
  <c r="A3012" i="1"/>
  <c r="B3012" i="1"/>
  <c r="C3012" i="1"/>
  <c r="D3012" i="1"/>
  <c r="E3012" i="1"/>
  <c r="F3012" i="1"/>
  <c r="H3012" i="1"/>
  <c r="A3013" i="1"/>
  <c r="B3013" i="1"/>
  <c r="C3013" i="1"/>
  <c r="D3013" i="1"/>
  <c r="E3013" i="1"/>
  <c r="F3013" i="1"/>
  <c r="H3013" i="1"/>
  <c r="A3014" i="1"/>
  <c r="B3014" i="1"/>
  <c r="C3014" i="1"/>
  <c r="D3014" i="1"/>
  <c r="E3014" i="1"/>
  <c r="F3014" i="1"/>
  <c r="H3014" i="1"/>
  <c r="A3015" i="1"/>
  <c r="B3015" i="1"/>
  <c r="C3015" i="1"/>
  <c r="D3015" i="1"/>
  <c r="E3015" i="1"/>
  <c r="F3015" i="1"/>
  <c r="H3015" i="1"/>
  <c r="A3016" i="1"/>
  <c r="B3016" i="1"/>
  <c r="C3016" i="1"/>
  <c r="D3016" i="1"/>
  <c r="E3016" i="1"/>
  <c r="F3016" i="1"/>
  <c r="H3016" i="1"/>
  <c r="A3017" i="1"/>
  <c r="B3017" i="1"/>
  <c r="C3017" i="1"/>
  <c r="D3017" i="1"/>
  <c r="E3017" i="1"/>
  <c r="F3017" i="1"/>
  <c r="H3017" i="1"/>
  <c r="A3018" i="1"/>
  <c r="B3018" i="1"/>
  <c r="C3018" i="1"/>
  <c r="D3018" i="1"/>
  <c r="E3018" i="1"/>
  <c r="F3018" i="1"/>
  <c r="H3018" i="1"/>
  <c r="A3019" i="1"/>
  <c r="B3019" i="1"/>
  <c r="C3019" i="1"/>
  <c r="D3019" i="1"/>
  <c r="E3019" i="1"/>
  <c r="F3019" i="1"/>
  <c r="H3019" i="1"/>
  <c r="A3020" i="1"/>
  <c r="B3020" i="1"/>
  <c r="C3020" i="1"/>
  <c r="D3020" i="1"/>
  <c r="E3020" i="1"/>
  <c r="F3020" i="1"/>
  <c r="H3020" i="1"/>
  <c r="A3021" i="1"/>
  <c r="B3021" i="1"/>
  <c r="C3021" i="1"/>
  <c r="D3021" i="1"/>
  <c r="E3021" i="1"/>
  <c r="F3021" i="1"/>
  <c r="H3021" i="1"/>
  <c r="A3022" i="1"/>
  <c r="B3022" i="1"/>
  <c r="C3022" i="1"/>
  <c r="D3022" i="1"/>
  <c r="E3022" i="1"/>
  <c r="F3022" i="1"/>
  <c r="H3022" i="1"/>
  <c r="A3023" i="1"/>
  <c r="B3023" i="1"/>
  <c r="C3023" i="1"/>
  <c r="D3023" i="1"/>
  <c r="E3023" i="1"/>
  <c r="F3023" i="1"/>
  <c r="H3023" i="1"/>
  <c r="A3024" i="1"/>
  <c r="B3024" i="1"/>
  <c r="C3024" i="1"/>
  <c r="D3024" i="1"/>
  <c r="E3024" i="1"/>
  <c r="F3024" i="1"/>
  <c r="H3024" i="1"/>
  <c r="A3025" i="1"/>
  <c r="B3025" i="1"/>
  <c r="C3025" i="1"/>
  <c r="D3025" i="1"/>
  <c r="E3025" i="1"/>
  <c r="F3025" i="1"/>
  <c r="H3025" i="1"/>
  <c r="A3026" i="1"/>
  <c r="B3026" i="1"/>
  <c r="C3026" i="1"/>
  <c r="D3026" i="1"/>
  <c r="E3026" i="1"/>
  <c r="F3026" i="1"/>
  <c r="H3026" i="1"/>
  <c r="A3027" i="1"/>
  <c r="B3027" i="1"/>
  <c r="C3027" i="1"/>
  <c r="D3027" i="1"/>
  <c r="E3027" i="1"/>
  <c r="F3027" i="1"/>
  <c r="H3027" i="1"/>
  <c r="A3028" i="1"/>
  <c r="B3028" i="1"/>
  <c r="C3028" i="1"/>
  <c r="D3028" i="1"/>
  <c r="E3028" i="1"/>
  <c r="F3028" i="1"/>
  <c r="H3028" i="1"/>
  <c r="A3029" i="1"/>
  <c r="B3029" i="1"/>
  <c r="C3029" i="1"/>
  <c r="D3029" i="1"/>
  <c r="E3029" i="1"/>
  <c r="F3029" i="1"/>
  <c r="H3029" i="1"/>
  <c r="A3030" i="1"/>
  <c r="B3030" i="1"/>
  <c r="C3030" i="1"/>
  <c r="D3030" i="1"/>
  <c r="E3030" i="1"/>
  <c r="F3030" i="1"/>
  <c r="H3030" i="1"/>
  <c r="A3031" i="1"/>
  <c r="B3031" i="1"/>
  <c r="C3031" i="1"/>
  <c r="D3031" i="1"/>
  <c r="E3031" i="1"/>
  <c r="F3031" i="1"/>
  <c r="H3031" i="1"/>
  <c r="A3032" i="1"/>
  <c r="B3032" i="1"/>
  <c r="C3032" i="1"/>
  <c r="D3032" i="1"/>
  <c r="E3032" i="1"/>
  <c r="F3032" i="1"/>
  <c r="H3032" i="1"/>
  <c r="A3033" i="1"/>
  <c r="B3033" i="1"/>
  <c r="C3033" i="1"/>
  <c r="D3033" i="1"/>
  <c r="E3033" i="1"/>
  <c r="F3033" i="1"/>
  <c r="H3033" i="1"/>
  <c r="A3034" i="1"/>
  <c r="B3034" i="1"/>
  <c r="C3034" i="1"/>
  <c r="D3034" i="1"/>
  <c r="E3034" i="1"/>
  <c r="F3034" i="1"/>
  <c r="H3034" i="1"/>
  <c r="A3035" i="1"/>
  <c r="B3035" i="1"/>
  <c r="C3035" i="1"/>
  <c r="D3035" i="1"/>
  <c r="E3035" i="1"/>
  <c r="F3035" i="1"/>
  <c r="H3035" i="1"/>
  <c r="A3036" i="1"/>
  <c r="B3036" i="1"/>
  <c r="C3036" i="1"/>
  <c r="D3036" i="1"/>
  <c r="E3036" i="1"/>
  <c r="F3036" i="1"/>
  <c r="H3036" i="1"/>
  <c r="A3037" i="1"/>
  <c r="B3037" i="1"/>
  <c r="C3037" i="1"/>
  <c r="D3037" i="1"/>
  <c r="E3037" i="1"/>
  <c r="F3037" i="1"/>
  <c r="H3037" i="1"/>
  <c r="A3038" i="1"/>
  <c r="B3038" i="1"/>
  <c r="C3038" i="1"/>
  <c r="D3038" i="1"/>
  <c r="E3038" i="1"/>
  <c r="F3038" i="1"/>
  <c r="H3038" i="1"/>
  <c r="A3039" i="1"/>
  <c r="B3039" i="1"/>
  <c r="C3039" i="1"/>
  <c r="D3039" i="1"/>
  <c r="E3039" i="1"/>
  <c r="F3039" i="1"/>
  <c r="H3039" i="1"/>
  <c r="A3040" i="1"/>
  <c r="B3040" i="1"/>
  <c r="C3040" i="1"/>
  <c r="D3040" i="1"/>
  <c r="E3040" i="1"/>
  <c r="F3040" i="1"/>
  <c r="H3040" i="1"/>
  <c r="A3041" i="1"/>
  <c r="B3041" i="1"/>
  <c r="C3041" i="1"/>
  <c r="D3041" i="1"/>
  <c r="E3041" i="1"/>
  <c r="F3041" i="1"/>
  <c r="H3041" i="1"/>
  <c r="A3042" i="1"/>
  <c r="B3042" i="1"/>
  <c r="C3042" i="1"/>
  <c r="D3042" i="1"/>
  <c r="E3042" i="1"/>
  <c r="F3042" i="1"/>
  <c r="H3042" i="1"/>
  <c r="A3043" i="1"/>
  <c r="B3043" i="1"/>
  <c r="C3043" i="1"/>
  <c r="D3043" i="1"/>
  <c r="E3043" i="1"/>
  <c r="F3043" i="1"/>
  <c r="H3043" i="1"/>
  <c r="A3044" i="1"/>
  <c r="B3044" i="1"/>
  <c r="C3044" i="1"/>
  <c r="D3044" i="1"/>
  <c r="E3044" i="1"/>
  <c r="F3044" i="1"/>
  <c r="H3044" i="1"/>
  <c r="A3045" i="1"/>
  <c r="B3045" i="1"/>
  <c r="C3045" i="1"/>
  <c r="D3045" i="1"/>
  <c r="E3045" i="1"/>
  <c r="F3045" i="1"/>
  <c r="H3045" i="1"/>
  <c r="A3046" i="1"/>
  <c r="B3046" i="1"/>
  <c r="C3046" i="1"/>
  <c r="D3046" i="1"/>
  <c r="E3046" i="1"/>
  <c r="F3046" i="1"/>
  <c r="H3046" i="1"/>
  <c r="A3047" i="1"/>
  <c r="B3047" i="1"/>
  <c r="C3047" i="1"/>
  <c r="D3047" i="1"/>
  <c r="E3047" i="1"/>
  <c r="F3047" i="1"/>
  <c r="H3047" i="1"/>
  <c r="A3048" i="1"/>
  <c r="B3048" i="1"/>
  <c r="C3048" i="1"/>
  <c r="D3048" i="1"/>
  <c r="E3048" i="1"/>
  <c r="F3048" i="1"/>
  <c r="H3048" i="1"/>
  <c r="A3049" i="1"/>
  <c r="B3049" i="1"/>
  <c r="C3049" i="1"/>
  <c r="D3049" i="1"/>
  <c r="E3049" i="1"/>
  <c r="F3049" i="1"/>
  <c r="H3049" i="1"/>
  <c r="A3050" i="1"/>
  <c r="B3050" i="1"/>
  <c r="C3050" i="1"/>
  <c r="D3050" i="1"/>
  <c r="E3050" i="1"/>
  <c r="F3050" i="1"/>
  <c r="H3050" i="1"/>
  <c r="A3051" i="1"/>
  <c r="B3051" i="1"/>
  <c r="C3051" i="1"/>
  <c r="D3051" i="1"/>
  <c r="E3051" i="1"/>
  <c r="F3051" i="1"/>
  <c r="H3051" i="1"/>
  <c r="A3052" i="1"/>
  <c r="B3052" i="1"/>
  <c r="C3052" i="1"/>
  <c r="D3052" i="1"/>
  <c r="E3052" i="1"/>
  <c r="F3052" i="1"/>
  <c r="H3052" i="1"/>
  <c r="A3053" i="1"/>
  <c r="B3053" i="1"/>
  <c r="C3053" i="1"/>
  <c r="D3053" i="1"/>
  <c r="E3053" i="1"/>
  <c r="F3053" i="1"/>
  <c r="H3053" i="1"/>
  <c r="A3054" i="1"/>
  <c r="B3054" i="1"/>
  <c r="C3054" i="1"/>
  <c r="D3054" i="1"/>
  <c r="E3054" i="1"/>
  <c r="F3054" i="1"/>
  <c r="H3054" i="1"/>
  <c r="A3055" i="1"/>
  <c r="B3055" i="1"/>
  <c r="C3055" i="1"/>
  <c r="D3055" i="1"/>
  <c r="E3055" i="1"/>
  <c r="F3055" i="1"/>
  <c r="H3055" i="1"/>
  <c r="A3056" i="1"/>
  <c r="B3056" i="1"/>
  <c r="C3056" i="1"/>
  <c r="D3056" i="1"/>
  <c r="E3056" i="1"/>
  <c r="F3056" i="1"/>
  <c r="H3056" i="1"/>
  <c r="A3057" i="1"/>
  <c r="B3057" i="1"/>
  <c r="C3057" i="1"/>
  <c r="D3057" i="1"/>
  <c r="E3057" i="1"/>
  <c r="F3057" i="1"/>
  <c r="H3057" i="1"/>
  <c r="A3058" i="1"/>
  <c r="B3058" i="1"/>
  <c r="C3058" i="1"/>
  <c r="D3058" i="1"/>
  <c r="E3058" i="1"/>
  <c r="F3058" i="1"/>
  <c r="H3058" i="1"/>
  <c r="A3059" i="1"/>
  <c r="B3059" i="1"/>
  <c r="C3059" i="1"/>
  <c r="D3059" i="1"/>
  <c r="E3059" i="1"/>
  <c r="F3059" i="1"/>
  <c r="H3059" i="1"/>
  <c r="A3060" i="1"/>
  <c r="B3060" i="1"/>
  <c r="C3060" i="1"/>
  <c r="D3060" i="1"/>
  <c r="E3060" i="1"/>
  <c r="F3060" i="1"/>
  <c r="H3060" i="1"/>
  <c r="A3061" i="1"/>
  <c r="B3061" i="1"/>
  <c r="C3061" i="1"/>
  <c r="D3061" i="1"/>
  <c r="E3061" i="1"/>
  <c r="F3061" i="1"/>
  <c r="H3061" i="1"/>
  <c r="A3062" i="1"/>
  <c r="B3062" i="1"/>
  <c r="C3062" i="1"/>
  <c r="D3062" i="1"/>
  <c r="E3062" i="1"/>
  <c r="F3062" i="1"/>
  <c r="H3062" i="1"/>
  <c r="A3063" i="1"/>
  <c r="B3063" i="1"/>
  <c r="C3063" i="1"/>
  <c r="D3063" i="1"/>
  <c r="E3063" i="1"/>
  <c r="F3063" i="1"/>
  <c r="H3063" i="1"/>
  <c r="A3064" i="1"/>
  <c r="B3064" i="1"/>
  <c r="C3064" i="1"/>
  <c r="D3064" i="1"/>
  <c r="E3064" i="1"/>
  <c r="F3064" i="1"/>
  <c r="H3064" i="1"/>
  <c r="A3065" i="1"/>
  <c r="B3065" i="1"/>
  <c r="C3065" i="1"/>
  <c r="D3065" i="1"/>
  <c r="E3065" i="1"/>
  <c r="F3065" i="1"/>
  <c r="H3065" i="1"/>
  <c r="A3066" i="1"/>
  <c r="B3066" i="1"/>
  <c r="C3066" i="1"/>
  <c r="D3066" i="1"/>
  <c r="E3066" i="1"/>
  <c r="F3066" i="1"/>
  <c r="H3066" i="1"/>
  <c r="A3067" i="1"/>
  <c r="B3067" i="1"/>
  <c r="C3067" i="1"/>
  <c r="D3067" i="1"/>
  <c r="E3067" i="1"/>
  <c r="F3067" i="1"/>
  <c r="H3067" i="1"/>
  <c r="A3068" i="1"/>
  <c r="B3068" i="1"/>
  <c r="C3068" i="1"/>
  <c r="D3068" i="1"/>
  <c r="E3068" i="1"/>
  <c r="F3068" i="1"/>
  <c r="H3068" i="1"/>
  <c r="A3069" i="1"/>
  <c r="B3069" i="1"/>
  <c r="C3069" i="1"/>
  <c r="D3069" i="1"/>
  <c r="E3069" i="1"/>
  <c r="F3069" i="1"/>
  <c r="H3069" i="1"/>
  <c r="A3070" i="1"/>
  <c r="B3070" i="1"/>
  <c r="C3070" i="1"/>
  <c r="D3070" i="1"/>
  <c r="E3070" i="1"/>
  <c r="F3070" i="1"/>
  <c r="H3070" i="1"/>
  <c r="A3071" i="1"/>
  <c r="B3071" i="1"/>
  <c r="C3071" i="1"/>
  <c r="D3071" i="1"/>
  <c r="E3071" i="1"/>
  <c r="F3071" i="1"/>
  <c r="H3071" i="1"/>
  <c r="A3072" i="1"/>
  <c r="B3072" i="1"/>
  <c r="C3072" i="1"/>
  <c r="D3072" i="1"/>
  <c r="E3072" i="1"/>
  <c r="F3072" i="1"/>
  <c r="H3072" i="1"/>
  <c r="A3073" i="1"/>
  <c r="B3073" i="1"/>
  <c r="C3073" i="1"/>
  <c r="D3073" i="1"/>
  <c r="E3073" i="1"/>
  <c r="F3073" i="1"/>
  <c r="H3073" i="1"/>
  <c r="A3074" i="1"/>
  <c r="B3074" i="1"/>
  <c r="C3074" i="1"/>
  <c r="D3074" i="1"/>
  <c r="E3074" i="1"/>
  <c r="F3074" i="1"/>
  <c r="H3074" i="1"/>
  <c r="A3075" i="1"/>
  <c r="B3075" i="1"/>
  <c r="C3075" i="1"/>
  <c r="D3075" i="1"/>
  <c r="E3075" i="1"/>
  <c r="F3075" i="1"/>
  <c r="H3075" i="1"/>
  <c r="A3076" i="1"/>
  <c r="B3076" i="1"/>
  <c r="C3076" i="1"/>
  <c r="D3076" i="1"/>
  <c r="E3076" i="1"/>
  <c r="F3076" i="1"/>
  <c r="H3076" i="1"/>
  <c r="A3077" i="1"/>
  <c r="B3077" i="1"/>
  <c r="C3077" i="1"/>
  <c r="D3077" i="1"/>
  <c r="E3077" i="1"/>
  <c r="F3077" i="1"/>
  <c r="H3077" i="1"/>
  <c r="A3078" i="1"/>
  <c r="B3078" i="1"/>
  <c r="C3078" i="1"/>
  <c r="D3078" i="1"/>
  <c r="E3078" i="1"/>
  <c r="F3078" i="1"/>
  <c r="H3078" i="1"/>
  <c r="A3079" i="1"/>
  <c r="B3079" i="1"/>
  <c r="C3079" i="1"/>
  <c r="D3079" i="1"/>
  <c r="E3079" i="1"/>
  <c r="F3079" i="1"/>
  <c r="H3079" i="1"/>
  <c r="A3080" i="1"/>
  <c r="B3080" i="1"/>
  <c r="C3080" i="1"/>
  <c r="D3080" i="1"/>
  <c r="E3080" i="1"/>
  <c r="F3080" i="1"/>
  <c r="H3080" i="1"/>
  <c r="A3081" i="1"/>
  <c r="B3081" i="1"/>
  <c r="C3081" i="1"/>
  <c r="D3081" i="1"/>
  <c r="E3081" i="1"/>
  <c r="F3081" i="1"/>
  <c r="H3081" i="1"/>
  <c r="A3082" i="1"/>
  <c r="B3082" i="1"/>
  <c r="C3082" i="1"/>
  <c r="D3082" i="1"/>
  <c r="E3082" i="1"/>
  <c r="F3082" i="1"/>
  <c r="H3082" i="1"/>
  <c r="A3083" i="1"/>
  <c r="B3083" i="1"/>
  <c r="C3083" i="1"/>
  <c r="D3083" i="1"/>
  <c r="E3083" i="1"/>
  <c r="F3083" i="1"/>
  <c r="H3083" i="1"/>
  <c r="A3084" i="1"/>
  <c r="B3084" i="1"/>
  <c r="C3084" i="1"/>
  <c r="D3084" i="1"/>
  <c r="E3084" i="1"/>
  <c r="F3084" i="1"/>
  <c r="H3084" i="1"/>
  <c r="A3085" i="1"/>
  <c r="B3085" i="1"/>
  <c r="C3085" i="1"/>
  <c r="D3085" i="1"/>
  <c r="E3085" i="1"/>
  <c r="F3085" i="1"/>
  <c r="H3085" i="1"/>
  <c r="A3086" i="1"/>
  <c r="B3086" i="1"/>
  <c r="C3086" i="1"/>
  <c r="D3086" i="1"/>
  <c r="E3086" i="1"/>
  <c r="F3086" i="1"/>
  <c r="H3086" i="1"/>
  <c r="A3087" i="1"/>
  <c r="B3087" i="1"/>
  <c r="C3087" i="1"/>
  <c r="D3087" i="1"/>
  <c r="E3087" i="1"/>
  <c r="F3087" i="1"/>
  <c r="H3087" i="1"/>
  <c r="A3088" i="1"/>
  <c r="B3088" i="1"/>
  <c r="C3088" i="1"/>
  <c r="D3088" i="1"/>
  <c r="E3088" i="1"/>
  <c r="F3088" i="1"/>
  <c r="H3088" i="1"/>
  <c r="A3089" i="1"/>
  <c r="B3089" i="1"/>
  <c r="C3089" i="1"/>
  <c r="D3089" i="1"/>
  <c r="E3089" i="1"/>
  <c r="F3089" i="1"/>
  <c r="H3089" i="1"/>
  <c r="A3090" i="1"/>
  <c r="B3090" i="1"/>
  <c r="C3090" i="1"/>
  <c r="D3090" i="1"/>
  <c r="E3090" i="1"/>
  <c r="F3090" i="1"/>
  <c r="H3090" i="1"/>
  <c r="A3091" i="1"/>
  <c r="B3091" i="1"/>
  <c r="C3091" i="1"/>
  <c r="D3091" i="1"/>
  <c r="E3091" i="1"/>
  <c r="F3091" i="1"/>
  <c r="H3091" i="1"/>
  <c r="A3092" i="1"/>
  <c r="B3092" i="1"/>
  <c r="C3092" i="1"/>
  <c r="D3092" i="1"/>
  <c r="E3092" i="1"/>
  <c r="F3092" i="1"/>
  <c r="H3092" i="1"/>
  <c r="A3093" i="1"/>
  <c r="B3093" i="1"/>
  <c r="C3093" i="1"/>
  <c r="D3093" i="1"/>
  <c r="E3093" i="1"/>
  <c r="F3093" i="1"/>
  <c r="H3093" i="1"/>
  <c r="A3094" i="1"/>
  <c r="B3094" i="1"/>
  <c r="C3094" i="1"/>
  <c r="D3094" i="1"/>
  <c r="E3094" i="1"/>
  <c r="F3094" i="1"/>
  <c r="H3094" i="1"/>
  <c r="A3095" i="1"/>
  <c r="B3095" i="1"/>
  <c r="C3095" i="1"/>
  <c r="D3095" i="1"/>
  <c r="E3095" i="1"/>
  <c r="F3095" i="1"/>
  <c r="H3095" i="1"/>
  <c r="A3096" i="1"/>
  <c r="B3096" i="1"/>
  <c r="C3096" i="1"/>
  <c r="D3096" i="1"/>
  <c r="E3096" i="1"/>
  <c r="F3096" i="1"/>
  <c r="H3096" i="1"/>
  <c r="A3097" i="1"/>
  <c r="B3097" i="1"/>
  <c r="C3097" i="1"/>
  <c r="D3097" i="1"/>
  <c r="E3097" i="1"/>
  <c r="F3097" i="1"/>
  <c r="H3097" i="1"/>
  <c r="A3098" i="1"/>
  <c r="B3098" i="1"/>
  <c r="C3098" i="1"/>
  <c r="D3098" i="1"/>
  <c r="E3098" i="1"/>
  <c r="F3098" i="1"/>
  <c r="H3098" i="1"/>
  <c r="A3099" i="1"/>
  <c r="B3099" i="1"/>
  <c r="C3099" i="1"/>
  <c r="D3099" i="1"/>
  <c r="E3099" i="1"/>
  <c r="F3099" i="1"/>
  <c r="H3099" i="1"/>
  <c r="A3100" i="1"/>
  <c r="B3100" i="1"/>
  <c r="C3100" i="1"/>
  <c r="D3100" i="1"/>
  <c r="E3100" i="1"/>
  <c r="F3100" i="1"/>
  <c r="H3100" i="1"/>
  <c r="A3101" i="1"/>
  <c r="B3101" i="1"/>
  <c r="C3101" i="1"/>
  <c r="D3101" i="1"/>
  <c r="E3101" i="1"/>
  <c r="F3101" i="1"/>
  <c r="H3101" i="1"/>
  <c r="A3102" i="1"/>
  <c r="B3102" i="1"/>
  <c r="C3102" i="1"/>
  <c r="D3102" i="1"/>
  <c r="E3102" i="1"/>
  <c r="F3102" i="1"/>
  <c r="H3102" i="1"/>
  <c r="A3103" i="1"/>
  <c r="B3103" i="1"/>
  <c r="C3103" i="1"/>
  <c r="D3103" i="1"/>
  <c r="E3103" i="1"/>
  <c r="F3103" i="1"/>
  <c r="H3103" i="1"/>
  <c r="A3104" i="1"/>
  <c r="B3104" i="1"/>
  <c r="C3104" i="1"/>
  <c r="D3104" i="1"/>
  <c r="E3104" i="1"/>
  <c r="F3104" i="1"/>
  <c r="H3104" i="1"/>
  <c r="A3105" i="1"/>
  <c r="B3105" i="1"/>
  <c r="C3105" i="1"/>
  <c r="D3105" i="1"/>
  <c r="E3105" i="1"/>
  <c r="F3105" i="1"/>
  <c r="H3105" i="1"/>
  <c r="A3106" i="1"/>
  <c r="B3106" i="1"/>
  <c r="C3106" i="1"/>
  <c r="D3106" i="1"/>
  <c r="E3106" i="1"/>
  <c r="F3106" i="1"/>
  <c r="H3106" i="1"/>
  <c r="A3107" i="1"/>
  <c r="B3107" i="1"/>
  <c r="C3107" i="1"/>
  <c r="D3107" i="1"/>
  <c r="E3107" i="1"/>
  <c r="F3107" i="1"/>
  <c r="H3107" i="1"/>
  <c r="A3108" i="1"/>
  <c r="B3108" i="1"/>
  <c r="C3108" i="1"/>
  <c r="D3108" i="1"/>
  <c r="E3108" i="1"/>
  <c r="F3108" i="1"/>
  <c r="H3108" i="1"/>
  <c r="A3109" i="1"/>
  <c r="B3109" i="1"/>
  <c r="C3109" i="1"/>
  <c r="D3109" i="1"/>
  <c r="E3109" i="1"/>
  <c r="F3109" i="1"/>
  <c r="H3109" i="1"/>
  <c r="A3110" i="1"/>
  <c r="B3110" i="1"/>
  <c r="C3110" i="1"/>
  <c r="D3110" i="1"/>
  <c r="E3110" i="1"/>
  <c r="F3110" i="1"/>
  <c r="H3110" i="1"/>
  <c r="A3111" i="1"/>
  <c r="B3111" i="1"/>
  <c r="C3111" i="1"/>
  <c r="D3111" i="1"/>
  <c r="E3111" i="1"/>
  <c r="F3111" i="1"/>
  <c r="H3111" i="1"/>
  <c r="A3112" i="1"/>
  <c r="B3112" i="1"/>
  <c r="C3112" i="1"/>
  <c r="D3112" i="1"/>
  <c r="E3112" i="1"/>
  <c r="F3112" i="1"/>
  <c r="H3112" i="1"/>
  <c r="A3113" i="1"/>
  <c r="B3113" i="1"/>
  <c r="C3113" i="1"/>
  <c r="D3113" i="1"/>
  <c r="E3113" i="1"/>
  <c r="F3113" i="1"/>
  <c r="H3113" i="1"/>
  <c r="A3114" i="1"/>
  <c r="B3114" i="1"/>
  <c r="C3114" i="1"/>
  <c r="D3114" i="1"/>
  <c r="E3114" i="1"/>
  <c r="F3114" i="1"/>
  <c r="H3114" i="1"/>
  <c r="A3115" i="1"/>
  <c r="B3115" i="1"/>
  <c r="C3115" i="1"/>
  <c r="D3115" i="1"/>
  <c r="E3115" i="1"/>
  <c r="F3115" i="1"/>
  <c r="H3115" i="1"/>
  <c r="A3116" i="1"/>
  <c r="B3116" i="1"/>
  <c r="C3116" i="1"/>
  <c r="D3116" i="1"/>
  <c r="E3116" i="1"/>
  <c r="F3116" i="1"/>
  <c r="H3116" i="1"/>
  <c r="A3117" i="1"/>
  <c r="B3117" i="1"/>
  <c r="C3117" i="1"/>
  <c r="D3117" i="1"/>
  <c r="E3117" i="1"/>
  <c r="F3117" i="1"/>
  <c r="H3117" i="1"/>
  <c r="A3118" i="1"/>
  <c r="B3118" i="1"/>
  <c r="C3118" i="1"/>
  <c r="D3118" i="1"/>
  <c r="E3118" i="1"/>
  <c r="F3118" i="1"/>
  <c r="H3118" i="1"/>
  <c r="A3119" i="1"/>
  <c r="B3119" i="1"/>
  <c r="C3119" i="1"/>
  <c r="D3119" i="1"/>
  <c r="E3119" i="1"/>
  <c r="F3119" i="1"/>
  <c r="H3119" i="1"/>
  <c r="A3120" i="1"/>
  <c r="B3120" i="1"/>
  <c r="C3120" i="1"/>
  <c r="D3120" i="1"/>
  <c r="E3120" i="1"/>
  <c r="F3120" i="1"/>
  <c r="H3120" i="1"/>
  <c r="A3121" i="1"/>
  <c r="B3121" i="1"/>
  <c r="C3121" i="1"/>
  <c r="D3121" i="1"/>
  <c r="E3121" i="1"/>
  <c r="F3121" i="1"/>
  <c r="H3121" i="1"/>
  <c r="A3122" i="1"/>
  <c r="B3122" i="1"/>
  <c r="C3122" i="1"/>
  <c r="D3122" i="1"/>
  <c r="E3122" i="1"/>
  <c r="F3122" i="1"/>
  <c r="H3122" i="1"/>
  <c r="A3123" i="1"/>
  <c r="B3123" i="1"/>
  <c r="C3123" i="1"/>
  <c r="D3123" i="1"/>
  <c r="E3123" i="1"/>
  <c r="F3123" i="1"/>
  <c r="H3123" i="1"/>
  <c r="A3124" i="1"/>
  <c r="B3124" i="1"/>
  <c r="C3124" i="1"/>
  <c r="D3124" i="1"/>
  <c r="E3124" i="1"/>
  <c r="F3124" i="1"/>
  <c r="H3124" i="1"/>
  <c r="A3125" i="1"/>
  <c r="B3125" i="1"/>
  <c r="C3125" i="1"/>
  <c r="D3125" i="1"/>
  <c r="E3125" i="1"/>
  <c r="F3125" i="1"/>
  <c r="H3125" i="1"/>
  <c r="A3126" i="1"/>
  <c r="B3126" i="1"/>
  <c r="C3126" i="1"/>
  <c r="D3126" i="1"/>
  <c r="E3126" i="1"/>
  <c r="F3126" i="1"/>
  <c r="H3126" i="1"/>
  <c r="A3127" i="1"/>
  <c r="B3127" i="1"/>
  <c r="C3127" i="1"/>
  <c r="D3127" i="1"/>
  <c r="E3127" i="1"/>
  <c r="F3127" i="1"/>
  <c r="H3127" i="1"/>
  <c r="A3128" i="1"/>
  <c r="B3128" i="1"/>
  <c r="C3128" i="1"/>
  <c r="D3128" i="1"/>
  <c r="E3128" i="1"/>
  <c r="F3128" i="1"/>
  <c r="H3128" i="1"/>
  <c r="A3129" i="1"/>
  <c r="B3129" i="1"/>
  <c r="C3129" i="1"/>
  <c r="D3129" i="1"/>
  <c r="E3129" i="1"/>
  <c r="F3129" i="1"/>
  <c r="H3129" i="1"/>
  <c r="A3130" i="1"/>
  <c r="B3130" i="1"/>
  <c r="C3130" i="1"/>
  <c r="D3130" i="1"/>
  <c r="E3130" i="1"/>
  <c r="F3130" i="1"/>
  <c r="H3130" i="1"/>
  <c r="A3131" i="1"/>
  <c r="B3131" i="1"/>
  <c r="C3131" i="1"/>
  <c r="D3131" i="1"/>
  <c r="E3131" i="1"/>
  <c r="F3131" i="1"/>
  <c r="H3131" i="1"/>
  <c r="A3132" i="1"/>
  <c r="B3132" i="1"/>
  <c r="C3132" i="1"/>
  <c r="D3132" i="1"/>
  <c r="E3132" i="1"/>
  <c r="F3132" i="1"/>
  <c r="H3132" i="1"/>
  <c r="A3133" i="1"/>
  <c r="B3133" i="1"/>
  <c r="C3133" i="1"/>
  <c r="D3133" i="1"/>
  <c r="E3133" i="1"/>
  <c r="F3133" i="1"/>
  <c r="H3133" i="1"/>
  <c r="A3134" i="1"/>
  <c r="B3134" i="1"/>
  <c r="C3134" i="1"/>
  <c r="D3134" i="1"/>
  <c r="E3134" i="1"/>
  <c r="F3134" i="1"/>
  <c r="H3134" i="1"/>
  <c r="A3135" i="1"/>
  <c r="B3135" i="1"/>
  <c r="C3135" i="1"/>
  <c r="D3135" i="1"/>
  <c r="E3135" i="1"/>
  <c r="F3135" i="1"/>
  <c r="H3135" i="1"/>
  <c r="A3136" i="1"/>
  <c r="B3136" i="1"/>
  <c r="C3136" i="1"/>
  <c r="D3136" i="1"/>
  <c r="E3136" i="1"/>
  <c r="F3136" i="1"/>
  <c r="H3136" i="1"/>
  <c r="A3137" i="1"/>
  <c r="B3137" i="1"/>
  <c r="C3137" i="1"/>
  <c r="D3137" i="1"/>
  <c r="E3137" i="1"/>
  <c r="F3137" i="1"/>
  <c r="H3137" i="1"/>
  <c r="A3138" i="1"/>
  <c r="B3138" i="1"/>
  <c r="C3138" i="1"/>
  <c r="D3138" i="1"/>
  <c r="E3138" i="1"/>
  <c r="F3138" i="1"/>
  <c r="H3138" i="1"/>
  <c r="A3139" i="1"/>
  <c r="B3139" i="1"/>
  <c r="C3139" i="1"/>
  <c r="D3139" i="1"/>
  <c r="E3139" i="1"/>
  <c r="F3139" i="1"/>
  <c r="H3139" i="1"/>
  <c r="A3140" i="1"/>
  <c r="B3140" i="1"/>
  <c r="C3140" i="1"/>
  <c r="D3140" i="1"/>
  <c r="E3140" i="1"/>
  <c r="F3140" i="1"/>
  <c r="H3140" i="1"/>
  <c r="A3141" i="1"/>
  <c r="B3141" i="1"/>
  <c r="C3141" i="1"/>
  <c r="D3141" i="1"/>
  <c r="E3141" i="1"/>
  <c r="F3141" i="1"/>
  <c r="H3141" i="1"/>
  <c r="A3142" i="1"/>
  <c r="B3142" i="1"/>
  <c r="C3142" i="1"/>
  <c r="D3142" i="1"/>
  <c r="E3142" i="1"/>
  <c r="F3142" i="1"/>
  <c r="H3142" i="1"/>
  <c r="A3143" i="1"/>
  <c r="B3143" i="1"/>
  <c r="C3143" i="1"/>
  <c r="D3143" i="1"/>
  <c r="E3143" i="1"/>
  <c r="F3143" i="1"/>
  <c r="H3143" i="1"/>
  <c r="A3144" i="1"/>
  <c r="B3144" i="1"/>
  <c r="C3144" i="1"/>
  <c r="D3144" i="1"/>
  <c r="E3144" i="1"/>
  <c r="F3144" i="1"/>
  <c r="H3144" i="1"/>
  <c r="A3145" i="1"/>
  <c r="B3145" i="1"/>
  <c r="C3145" i="1"/>
  <c r="D3145" i="1"/>
  <c r="E3145" i="1"/>
  <c r="F3145" i="1"/>
  <c r="H3145" i="1"/>
  <c r="A3146" i="1"/>
  <c r="B3146" i="1"/>
  <c r="C3146" i="1"/>
  <c r="D3146" i="1"/>
  <c r="E3146" i="1"/>
  <c r="F3146" i="1"/>
  <c r="H3146" i="1"/>
  <c r="A3147" i="1"/>
  <c r="B3147" i="1"/>
  <c r="C3147" i="1"/>
  <c r="D3147" i="1"/>
  <c r="E3147" i="1"/>
  <c r="F3147" i="1"/>
  <c r="H3147" i="1"/>
  <c r="A3148" i="1"/>
  <c r="B3148" i="1"/>
  <c r="C3148" i="1"/>
  <c r="D3148" i="1"/>
  <c r="E3148" i="1"/>
  <c r="F3148" i="1"/>
  <c r="H3148" i="1"/>
  <c r="A3149" i="1"/>
  <c r="B3149" i="1"/>
  <c r="C3149" i="1"/>
  <c r="D3149" i="1"/>
  <c r="E3149" i="1"/>
  <c r="F3149" i="1"/>
  <c r="H3149" i="1"/>
  <c r="A3150" i="1"/>
  <c r="B3150" i="1"/>
  <c r="C3150" i="1"/>
  <c r="D3150" i="1"/>
  <c r="E3150" i="1"/>
  <c r="F3150" i="1"/>
  <c r="H3150" i="1"/>
  <c r="A3151" i="1"/>
  <c r="B3151" i="1"/>
  <c r="C3151" i="1"/>
  <c r="D3151" i="1"/>
  <c r="E3151" i="1"/>
  <c r="F3151" i="1"/>
  <c r="H3151" i="1"/>
  <c r="A3152" i="1"/>
  <c r="B3152" i="1"/>
  <c r="C3152" i="1"/>
  <c r="D3152" i="1"/>
  <c r="E3152" i="1"/>
  <c r="F3152" i="1"/>
  <c r="H3152" i="1"/>
  <c r="A3153" i="1"/>
  <c r="B3153" i="1"/>
  <c r="C3153" i="1"/>
  <c r="D3153" i="1"/>
  <c r="E3153" i="1"/>
  <c r="F3153" i="1"/>
  <c r="H3153" i="1"/>
  <c r="A3154" i="1"/>
  <c r="B3154" i="1"/>
  <c r="C3154" i="1"/>
  <c r="D3154" i="1"/>
  <c r="E3154" i="1"/>
  <c r="F3154" i="1"/>
  <c r="H3154" i="1"/>
  <c r="A3155" i="1"/>
  <c r="B3155" i="1"/>
  <c r="C3155" i="1"/>
  <c r="D3155" i="1"/>
  <c r="E3155" i="1"/>
  <c r="F3155" i="1"/>
  <c r="H3155" i="1"/>
  <c r="A3156" i="1"/>
  <c r="B3156" i="1"/>
  <c r="C3156" i="1"/>
  <c r="D3156" i="1"/>
  <c r="E3156" i="1"/>
  <c r="F3156" i="1"/>
  <c r="H3156" i="1"/>
  <c r="A3157" i="1"/>
  <c r="B3157" i="1"/>
  <c r="C3157" i="1"/>
  <c r="D3157" i="1"/>
  <c r="E3157" i="1"/>
  <c r="F3157" i="1"/>
  <c r="H3157" i="1"/>
  <c r="A3158" i="1"/>
  <c r="B3158" i="1"/>
  <c r="C3158" i="1"/>
  <c r="D3158" i="1"/>
  <c r="E3158" i="1"/>
  <c r="F3158" i="1"/>
  <c r="H3158" i="1"/>
  <c r="A3159" i="1"/>
  <c r="B3159" i="1"/>
  <c r="C3159" i="1"/>
  <c r="D3159" i="1"/>
  <c r="E3159" i="1"/>
  <c r="F3159" i="1"/>
  <c r="H3159" i="1"/>
  <c r="A3160" i="1"/>
  <c r="B3160" i="1"/>
  <c r="C3160" i="1"/>
  <c r="D3160" i="1"/>
  <c r="E3160" i="1"/>
  <c r="F3160" i="1"/>
  <c r="H3160" i="1"/>
  <c r="A3161" i="1"/>
  <c r="B3161" i="1"/>
  <c r="C3161" i="1"/>
  <c r="D3161" i="1"/>
  <c r="E3161" i="1"/>
  <c r="F3161" i="1"/>
  <c r="H3161" i="1"/>
  <c r="A3162" i="1"/>
  <c r="B3162" i="1"/>
  <c r="C3162" i="1"/>
  <c r="D3162" i="1"/>
  <c r="E3162" i="1"/>
  <c r="F3162" i="1"/>
  <c r="H3162" i="1"/>
  <c r="A3163" i="1"/>
  <c r="B3163" i="1"/>
  <c r="C3163" i="1"/>
  <c r="D3163" i="1"/>
  <c r="E3163" i="1"/>
  <c r="F3163" i="1"/>
  <c r="H3163" i="1"/>
  <c r="A3164" i="1"/>
  <c r="B3164" i="1"/>
  <c r="C3164" i="1"/>
  <c r="D3164" i="1"/>
  <c r="E3164" i="1"/>
  <c r="F3164" i="1"/>
  <c r="H3164" i="1"/>
  <c r="A3165" i="1"/>
  <c r="B3165" i="1"/>
  <c r="C3165" i="1"/>
  <c r="D3165" i="1"/>
  <c r="E3165" i="1"/>
  <c r="F3165" i="1"/>
  <c r="H3165" i="1"/>
  <c r="A3166" i="1"/>
  <c r="B3166" i="1"/>
  <c r="C3166" i="1"/>
  <c r="D3166" i="1"/>
  <c r="E3166" i="1"/>
  <c r="F3166" i="1"/>
  <c r="H3166" i="1"/>
  <c r="A3167" i="1"/>
  <c r="B3167" i="1"/>
  <c r="C3167" i="1"/>
  <c r="D3167" i="1"/>
  <c r="E3167" i="1"/>
  <c r="F3167" i="1"/>
  <c r="H3167" i="1"/>
  <c r="A3168" i="1"/>
  <c r="B3168" i="1"/>
  <c r="C3168" i="1"/>
  <c r="D3168" i="1"/>
  <c r="E3168" i="1"/>
  <c r="F3168" i="1"/>
  <c r="H3168" i="1"/>
  <c r="A3169" i="1"/>
  <c r="B3169" i="1"/>
  <c r="C3169" i="1"/>
  <c r="D3169" i="1"/>
  <c r="E3169" i="1"/>
  <c r="F3169" i="1"/>
  <c r="H3169" i="1"/>
  <c r="A3170" i="1"/>
  <c r="B3170" i="1"/>
  <c r="C3170" i="1"/>
  <c r="D3170" i="1"/>
  <c r="E3170" i="1"/>
  <c r="F3170" i="1"/>
  <c r="H3170" i="1"/>
  <c r="A3171" i="1"/>
  <c r="B3171" i="1"/>
  <c r="C3171" i="1"/>
  <c r="D3171" i="1"/>
  <c r="E3171" i="1"/>
  <c r="F3171" i="1"/>
  <c r="H3171" i="1"/>
  <c r="A3172" i="1"/>
  <c r="B3172" i="1"/>
  <c r="C3172" i="1"/>
  <c r="D3172" i="1"/>
  <c r="E3172" i="1"/>
  <c r="F3172" i="1"/>
  <c r="H3172" i="1"/>
  <c r="A3173" i="1"/>
  <c r="B3173" i="1"/>
  <c r="C3173" i="1"/>
  <c r="D3173" i="1"/>
  <c r="E3173" i="1"/>
  <c r="F3173" i="1"/>
  <c r="H3173" i="1"/>
  <c r="A3174" i="1"/>
  <c r="B3174" i="1"/>
  <c r="C3174" i="1"/>
  <c r="D3174" i="1"/>
  <c r="E3174" i="1"/>
  <c r="F3174" i="1"/>
  <c r="H3174" i="1"/>
  <c r="A3175" i="1"/>
  <c r="B3175" i="1"/>
  <c r="C3175" i="1"/>
  <c r="D3175" i="1"/>
  <c r="E3175" i="1"/>
  <c r="F3175" i="1"/>
  <c r="H3175" i="1"/>
  <c r="A3176" i="1"/>
  <c r="B3176" i="1"/>
  <c r="C3176" i="1"/>
  <c r="D3176" i="1"/>
  <c r="E3176" i="1"/>
  <c r="F3176" i="1"/>
  <c r="H3176" i="1"/>
  <c r="A3177" i="1"/>
  <c r="B3177" i="1"/>
  <c r="C3177" i="1"/>
  <c r="D3177" i="1"/>
  <c r="E3177" i="1"/>
  <c r="F3177" i="1"/>
  <c r="H3177" i="1"/>
  <c r="A3178" i="1"/>
  <c r="B3178" i="1"/>
  <c r="C3178" i="1"/>
  <c r="D3178" i="1"/>
  <c r="E3178" i="1"/>
  <c r="F3178" i="1"/>
  <c r="H3178" i="1"/>
  <c r="A3179" i="1"/>
  <c r="B3179" i="1"/>
  <c r="C3179" i="1"/>
  <c r="D3179" i="1"/>
  <c r="E3179" i="1"/>
  <c r="F3179" i="1"/>
  <c r="H3179" i="1"/>
  <c r="A3180" i="1"/>
  <c r="B3180" i="1"/>
  <c r="C3180" i="1"/>
  <c r="D3180" i="1"/>
  <c r="E3180" i="1"/>
  <c r="F3180" i="1"/>
  <c r="H3180" i="1"/>
  <c r="A3181" i="1"/>
  <c r="B3181" i="1"/>
  <c r="C3181" i="1"/>
  <c r="D3181" i="1"/>
  <c r="E3181" i="1"/>
  <c r="F3181" i="1"/>
  <c r="H3181" i="1"/>
  <c r="A3182" i="1"/>
  <c r="B3182" i="1"/>
  <c r="C3182" i="1"/>
  <c r="D3182" i="1"/>
  <c r="E3182" i="1"/>
  <c r="F3182" i="1"/>
  <c r="H3182" i="1"/>
  <c r="A3183" i="1"/>
  <c r="B3183" i="1"/>
  <c r="C3183" i="1"/>
  <c r="D3183" i="1"/>
  <c r="E3183" i="1"/>
  <c r="F3183" i="1"/>
  <c r="H3183" i="1"/>
  <c r="A3184" i="1"/>
  <c r="B3184" i="1"/>
  <c r="C3184" i="1"/>
  <c r="D3184" i="1"/>
  <c r="E3184" i="1"/>
  <c r="F3184" i="1"/>
  <c r="H3184" i="1"/>
  <c r="A3185" i="1"/>
  <c r="B3185" i="1"/>
  <c r="C3185" i="1"/>
  <c r="D3185" i="1"/>
  <c r="E3185" i="1"/>
  <c r="F3185" i="1"/>
  <c r="H3185" i="1"/>
  <c r="A3186" i="1"/>
  <c r="B3186" i="1"/>
  <c r="C3186" i="1"/>
  <c r="D3186" i="1"/>
  <c r="E3186" i="1"/>
  <c r="F3186" i="1"/>
  <c r="H3186" i="1"/>
  <c r="A3187" i="1"/>
  <c r="B3187" i="1"/>
  <c r="C3187" i="1"/>
  <c r="D3187" i="1"/>
  <c r="E3187" i="1"/>
  <c r="F3187" i="1"/>
  <c r="H3187" i="1"/>
  <c r="A3188" i="1"/>
  <c r="B3188" i="1"/>
  <c r="C3188" i="1"/>
  <c r="D3188" i="1"/>
  <c r="E3188" i="1"/>
  <c r="F3188" i="1"/>
  <c r="H3188" i="1"/>
  <c r="A3189" i="1"/>
  <c r="B3189" i="1"/>
  <c r="C3189" i="1"/>
  <c r="D3189" i="1"/>
  <c r="E3189" i="1"/>
  <c r="F3189" i="1"/>
  <c r="H3189" i="1"/>
  <c r="A3190" i="1"/>
  <c r="B3190" i="1"/>
  <c r="C3190" i="1"/>
  <c r="D3190" i="1"/>
  <c r="E3190" i="1"/>
  <c r="F3190" i="1"/>
  <c r="H3190" i="1"/>
  <c r="A3191" i="1"/>
  <c r="B3191" i="1"/>
  <c r="C3191" i="1"/>
  <c r="D3191" i="1"/>
  <c r="E3191" i="1"/>
  <c r="F3191" i="1"/>
  <c r="H3191" i="1"/>
  <c r="A3192" i="1"/>
  <c r="B3192" i="1"/>
  <c r="C3192" i="1"/>
  <c r="D3192" i="1"/>
  <c r="E3192" i="1"/>
  <c r="F3192" i="1"/>
  <c r="H3192" i="1"/>
  <c r="A3193" i="1"/>
  <c r="B3193" i="1"/>
  <c r="C3193" i="1"/>
  <c r="D3193" i="1"/>
  <c r="E3193" i="1"/>
  <c r="F3193" i="1"/>
  <c r="H3193" i="1"/>
  <c r="A3194" i="1"/>
  <c r="B3194" i="1"/>
  <c r="C3194" i="1"/>
  <c r="D3194" i="1"/>
  <c r="E3194" i="1"/>
  <c r="F3194" i="1"/>
  <c r="H3194" i="1"/>
  <c r="A3195" i="1"/>
  <c r="B3195" i="1"/>
  <c r="C3195" i="1"/>
  <c r="D3195" i="1"/>
  <c r="E3195" i="1"/>
  <c r="F3195" i="1"/>
  <c r="H3195" i="1"/>
  <c r="A3196" i="1"/>
  <c r="B3196" i="1"/>
  <c r="C3196" i="1"/>
  <c r="D3196" i="1"/>
  <c r="E3196" i="1"/>
  <c r="F3196" i="1"/>
  <c r="H3196" i="1"/>
  <c r="A3197" i="1"/>
  <c r="B3197" i="1"/>
  <c r="C3197" i="1"/>
  <c r="D3197" i="1"/>
  <c r="E3197" i="1"/>
  <c r="F3197" i="1"/>
  <c r="H3197" i="1"/>
  <c r="A3198" i="1"/>
  <c r="B3198" i="1"/>
  <c r="C3198" i="1"/>
  <c r="D3198" i="1"/>
  <c r="E3198" i="1"/>
  <c r="F3198" i="1"/>
  <c r="H3198" i="1"/>
  <c r="A3199" i="1"/>
  <c r="B3199" i="1"/>
  <c r="C3199" i="1"/>
  <c r="D3199" i="1"/>
  <c r="E3199" i="1"/>
  <c r="F3199" i="1"/>
  <c r="H3199" i="1"/>
  <c r="A3200" i="1"/>
  <c r="B3200" i="1"/>
  <c r="C3200" i="1"/>
  <c r="D3200" i="1"/>
  <c r="E3200" i="1"/>
  <c r="F3200" i="1"/>
  <c r="H3200" i="1"/>
  <c r="A3201" i="1"/>
  <c r="B3201" i="1"/>
  <c r="C3201" i="1"/>
  <c r="D3201" i="1"/>
  <c r="E3201" i="1"/>
  <c r="F3201" i="1"/>
  <c r="H3201" i="1"/>
  <c r="A3202" i="1"/>
  <c r="B3202" i="1"/>
  <c r="C3202" i="1"/>
  <c r="D3202" i="1"/>
  <c r="E3202" i="1"/>
  <c r="F3202" i="1"/>
  <c r="H3202" i="1"/>
  <c r="A3203" i="1"/>
  <c r="B3203" i="1"/>
  <c r="C3203" i="1"/>
  <c r="D3203" i="1"/>
  <c r="E3203" i="1"/>
  <c r="F3203" i="1"/>
  <c r="H3203" i="1"/>
  <c r="A3204" i="1"/>
  <c r="B3204" i="1"/>
  <c r="C3204" i="1"/>
  <c r="D3204" i="1"/>
  <c r="E3204" i="1"/>
  <c r="F3204" i="1"/>
  <c r="H3204" i="1"/>
  <c r="A3205" i="1"/>
  <c r="B3205" i="1"/>
  <c r="C3205" i="1"/>
  <c r="D3205" i="1"/>
  <c r="E3205" i="1"/>
  <c r="F3205" i="1"/>
  <c r="H3205" i="1"/>
  <c r="A3206" i="1"/>
  <c r="B3206" i="1"/>
  <c r="C3206" i="1"/>
  <c r="D3206" i="1"/>
  <c r="E3206" i="1"/>
  <c r="F3206" i="1"/>
  <c r="H3206" i="1"/>
  <c r="A3207" i="1"/>
  <c r="B3207" i="1"/>
  <c r="C3207" i="1"/>
  <c r="D3207" i="1"/>
  <c r="E3207" i="1"/>
  <c r="F3207" i="1"/>
  <c r="H3207" i="1"/>
  <c r="A3208" i="1"/>
  <c r="B3208" i="1"/>
  <c r="C3208" i="1"/>
  <c r="D3208" i="1"/>
  <c r="E3208" i="1"/>
  <c r="F3208" i="1"/>
  <c r="H3208" i="1"/>
  <c r="A3209" i="1"/>
  <c r="B3209" i="1"/>
  <c r="C3209" i="1"/>
  <c r="D3209" i="1"/>
  <c r="E3209" i="1"/>
  <c r="F3209" i="1"/>
  <c r="H3209" i="1"/>
  <c r="A3210" i="1"/>
  <c r="B3210" i="1"/>
  <c r="C3210" i="1"/>
  <c r="D3210" i="1"/>
  <c r="E3210" i="1"/>
  <c r="F3210" i="1"/>
  <c r="H3210" i="1"/>
  <c r="A3211" i="1"/>
  <c r="B3211" i="1"/>
  <c r="C3211" i="1"/>
  <c r="D3211" i="1"/>
  <c r="E3211" i="1"/>
  <c r="F3211" i="1"/>
  <c r="H3211" i="1"/>
  <c r="A3212" i="1"/>
  <c r="B3212" i="1"/>
  <c r="C3212" i="1"/>
  <c r="D3212" i="1"/>
  <c r="E3212" i="1"/>
  <c r="F3212" i="1"/>
  <c r="H3212" i="1"/>
  <c r="A3213" i="1"/>
  <c r="B3213" i="1"/>
  <c r="C3213" i="1"/>
  <c r="D3213" i="1"/>
  <c r="E3213" i="1"/>
  <c r="F3213" i="1"/>
  <c r="H3213" i="1"/>
  <c r="A3214" i="1"/>
  <c r="B3214" i="1"/>
  <c r="C3214" i="1"/>
  <c r="D3214" i="1"/>
  <c r="E3214" i="1"/>
  <c r="F3214" i="1"/>
  <c r="H3214" i="1"/>
  <c r="A3215" i="1"/>
  <c r="B3215" i="1"/>
  <c r="C3215" i="1"/>
  <c r="D3215" i="1"/>
  <c r="E3215" i="1"/>
  <c r="F3215" i="1"/>
  <c r="H3215" i="1"/>
  <c r="A3216" i="1"/>
  <c r="B3216" i="1"/>
  <c r="C3216" i="1"/>
  <c r="D3216" i="1"/>
  <c r="E3216" i="1"/>
  <c r="F3216" i="1"/>
  <c r="H3216" i="1"/>
  <c r="A3217" i="1"/>
  <c r="B3217" i="1"/>
  <c r="C3217" i="1"/>
  <c r="D3217" i="1"/>
  <c r="E3217" i="1"/>
  <c r="F3217" i="1"/>
  <c r="H3217" i="1"/>
  <c r="A3218" i="1"/>
  <c r="B3218" i="1"/>
  <c r="C3218" i="1"/>
  <c r="D3218" i="1"/>
  <c r="E3218" i="1"/>
  <c r="F3218" i="1"/>
  <c r="H3218" i="1"/>
  <c r="A3219" i="1"/>
  <c r="B3219" i="1"/>
  <c r="C3219" i="1"/>
  <c r="D3219" i="1"/>
  <c r="E3219" i="1"/>
  <c r="F3219" i="1"/>
  <c r="H3219" i="1"/>
  <c r="A3220" i="1"/>
  <c r="B3220" i="1"/>
  <c r="C3220" i="1"/>
  <c r="D3220" i="1"/>
  <c r="E3220" i="1"/>
  <c r="F3220" i="1"/>
  <c r="H3220" i="1"/>
  <c r="A3221" i="1"/>
  <c r="B3221" i="1"/>
  <c r="C3221" i="1"/>
  <c r="D3221" i="1"/>
  <c r="E3221" i="1"/>
  <c r="F3221" i="1"/>
  <c r="H3221" i="1"/>
  <c r="A3222" i="1"/>
  <c r="B3222" i="1"/>
  <c r="C3222" i="1"/>
  <c r="D3222" i="1"/>
  <c r="E3222" i="1"/>
  <c r="F3222" i="1"/>
  <c r="H3222" i="1"/>
  <c r="A3223" i="1"/>
  <c r="B3223" i="1"/>
  <c r="C3223" i="1"/>
  <c r="D3223" i="1"/>
  <c r="E3223" i="1"/>
  <c r="F3223" i="1"/>
  <c r="H3223" i="1"/>
  <c r="A3224" i="1"/>
  <c r="B3224" i="1"/>
  <c r="C3224" i="1"/>
  <c r="D3224" i="1"/>
  <c r="E3224" i="1"/>
  <c r="F3224" i="1"/>
  <c r="H3224" i="1"/>
  <c r="A3225" i="1"/>
  <c r="B3225" i="1"/>
  <c r="C3225" i="1"/>
  <c r="D3225" i="1"/>
  <c r="E3225" i="1"/>
  <c r="F3225" i="1"/>
  <c r="H3225" i="1"/>
  <c r="A3226" i="1"/>
  <c r="B3226" i="1"/>
  <c r="C3226" i="1"/>
  <c r="D3226" i="1"/>
  <c r="E3226" i="1"/>
  <c r="F3226" i="1"/>
  <c r="H3226" i="1"/>
  <c r="A3227" i="1"/>
  <c r="B3227" i="1"/>
  <c r="C3227" i="1"/>
  <c r="D3227" i="1"/>
  <c r="E3227" i="1"/>
  <c r="F3227" i="1"/>
  <c r="H3227" i="1"/>
  <c r="A3228" i="1"/>
  <c r="B3228" i="1"/>
  <c r="C3228" i="1"/>
  <c r="D3228" i="1"/>
  <c r="E3228" i="1"/>
  <c r="F3228" i="1"/>
  <c r="H3228" i="1"/>
  <c r="A3229" i="1"/>
  <c r="B3229" i="1"/>
  <c r="C3229" i="1"/>
  <c r="D3229" i="1"/>
  <c r="E3229" i="1"/>
  <c r="F3229" i="1"/>
  <c r="H3229" i="1"/>
  <c r="A3230" i="1"/>
  <c r="B3230" i="1"/>
  <c r="C3230" i="1"/>
  <c r="D3230" i="1"/>
  <c r="E3230" i="1"/>
  <c r="F3230" i="1"/>
  <c r="H3230" i="1"/>
  <c r="A3231" i="1"/>
  <c r="B3231" i="1"/>
  <c r="C3231" i="1"/>
  <c r="D3231" i="1"/>
  <c r="E3231" i="1"/>
  <c r="F3231" i="1"/>
  <c r="H3231" i="1"/>
  <c r="A3232" i="1"/>
  <c r="B3232" i="1"/>
  <c r="C3232" i="1"/>
  <c r="D3232" i="1"/>
  <c r="E3232" i="1"/>
  <c r="F3232" i="1"/>
  <c r="H3232" i="1"/>
  <c r="A3233" i="1"/>
  <c r="B3233" i="1"/>
  <c r="C3233" i="1"/>
  <c r="D3233" i="1"/>
  <c r="E3233" i="1"/>
  <c r="F3233" i="1"/>
  <c r="H3233" i="1"/>
  <c r="A3234" i="1"/>
  <c r="B3234" i="1"/>
  <c r="C3234" i="1"/>
  <c r="D3234" i="1"/>
  <c r="E3234" i="1"/>
  <c r="F3234" i="1"/>
  <c r="H3234" i="1"/>
  <c r="A3235" i="1"/>
  <c r="B3235" i="1"/>
  <c r="C3235" i="1"/>
  <c r="D3235" i="1"/>
  <c r="E3235" i="1"/>
  <c r="F3235" i="1"/>
  <c r="H3235" i="1"/>
  <c r="A3236" i="1"/>
  <c r="B3236" i="1"/>
  <c r="C3236" i="1"/>
  <c r="D3236" i="1"/>
  <c r="E3236" i="1"/>
  <c r="F3236" i="1"/>
  <c r="H3236" i="1"/>
  <c r="A3237" i="1"/>
  <c r="B3237" i="1"/>
  <c r="C3237" i="1"/>
  <c r="D3237" i="1"/>
  <c r="E3237" i="1"/>
  <c r="F3237" i="1"/>
  <c r="H3237" i="1"/>
  <c r="A3238" i="1"/>
  <c r="B3238" i="1"/>
  <c r="C3238" i="1"/>
  <c r="D3238" i="1"/>
  <c r="E3238" i="1"/>
  <c r="F3238" i="1"/>
  <c r="H3238" i="1"/>
  <c r="A3239" i="1"/>
  <c r="B3239" i="1"/>
  <c r="C3239" i="1"/>
  <c r="D3239" i="1"/>
  <c r="E3239" i="1"/>
  <c r="F3239" i="1"/>
  <c r="H3239" i="1"/>
  <c r="A3240" i="1"/>
  <c r="B3240" i="1"/>
  <c r="C3240" i="1"/>
  <c r="D3240" i="1"/>
  <c r="E3240" i="1"/>
  <c r="F3240" i="1"/>
  <c r="H3240" i="1"/>
  <c r="A3241" i="1"/>
  <c r="B3241" i="1"/>
  <c r="C3241" i="1"/>
  <c r="D3241" i="1"/>
  <c r="E3241" i="1"/>
  <c r="F3241" i="1"/>
  <c r="H3241" i="1"/>
  <c r="A3242" i="1"/>
  <c r="B3242" i="1"/>
  <c r="C3242" i="1"/>
  <c r="D3242" i="1"/>
  <c r="E3242" i="1"/>
  <c r="F3242" i="1"/>
  <c r="H3242" i="1"/>
  <c r="A3243" i="1"/>
  <c r="B3243" i="1"/>
  <c r="C3243" i="1"/>
  <c r="D3243" i="1"/>
  <c r="E3243" i="1"/>
  <c r="F3243" i="1"/>
  <c r="H3243" i="1"/>
  <c r="A3244" i="1"/>
  <c r="B3244" i="1"/>
  <c r="C3244" i="1"/>
  <c r="D3244" i="1"/>
  <c r="E3244" i="1"/>
  <c r="F3244" i="1"/>
  <c r="H3244" i="1"/>
  <c r="A3245" i="1"/>
  <c r="B3245" i="1"/>
  <c r="C3245" i="1"/>
  <c r="D3245" i="1"/>
  <c r="E3245" i="1"/>
  <c r="F3245" i="1"/>
  <c r="H3245" i="1"/>
  <c r="A3246" i="1"/>
  <c r="B3246" i="1"/>
  <c r="C3246" i="1"/>
  <c r="D3246" i="1"/>
  <c r="E3246" i="1"/>
  <c r="F3246" i="1"/>
  <c r="H3246" i="1"/>
  <c r="A3247" i="1"/>
  <c r="B3247" i="1"/>
  <c r="C3247" i="1"/>
  <c r="D3247" i="1"/>
  <c r="E3247" i="1"/>
  <c r="F3247" i="1"/>
  <c r="H3247" i="1"/>
  <c r="A3248" i="1"/>
  <c r="B3248" i="1"/>
  <c r="C3248" i="1"/>
  <c r="D3248" i="1"/>
  <c r="E3248" i="1"/>
  <c r="F3248" i="1"/>
  <c r="H3248" i="1"/>
  <c r="A3249" i="1"/>
  <c r="B3249" i="1"/>
  <c r="C3249" i="1"/>
  <c r="D3249" i="1"/>
  <c r="E3249" i="1"/>
  <c r="F3249" i="1"/>
  <c r="H3249" i="1"/>
  <c r="A3250" i="1"/>
  <c r="B3250" i="1"/>
  <c r="C3250" i="1"/>
  <c r="D3250" i="1"/>
  <c r="E3250" i="1"/>
  <c r="F3250" i="1"/>
  <c r="H3250" i="1"/>
  <c r="A3251" i="1"/>
  <c r="B3251" i="1"/>
  <c r="C3251" i="1"/>
  <c r="D3251" i="1"/>
  <c r="E3251" i="1"/>
  <c r="F3251" i="1"/>
  <c r="H3251" i="1"/>
  <c r="A3252" i="1"/>
  <c r="B3252" i="1"/>
  <c r="C3252" i="1"/>
  <c r="D3252" i="1"/>
  <c r="E3252" i="1"/>
  <c r="F3252" i="1"/>
  <c r="H3252" i="1"/>
  <c r="A3253" i="1"/>
  <c r="B3253" i="1"/>
  <c r="C3253" i="1"/>
  <c r="D3253" i="1"/>
  <c r="E3253" i="1"/>
  <c r="F3253" i="1"/>
  <c r="H3253" i="1"/>
  <c r="A3254" i="1"/>
  <c r="B3254" i="1"/>
  <c r="C3254" i="1"/>
  <c r="D3254" i="1"/>
  <c r="E3254" i="1"/>
  <c r="F3254" i="1"/>
  <c r="H3254" i="1"/>
  <c r="A3255" i="1"/>
  <c r="B3255" i="1"/>
  <c r="C3255" i="1"/>
  <c r="D3255" i="1"/>
  <c r="E3255" i="1"/>
  <c r="F3255" i="1"/>
  <c r="H3255" i="1"/>
  <c r="A3256" i="1"/>
  <c r="B3256" i="1"/>
  <c r="C3256" i="1"/>
  <c r="D3256" i="1"/>
  <c r="E3256" i="1"/>
  <c r="F3256" i="1"/>
  <c r="H3256" i="1"/>
  <c r="A3257" i="1"/>
  <c r="B3257" i="1"/>
  <c r="C3257" i="1"/>
  <c r="D3257" i="1"/>
  <c r="E3257" i="1"/>
  <c r="F3257" i="1"/>
  <c r="H3257" i="1"/>
  <c r="A3258" i="1"/>
  <c r="B3258" i="1"/>
  <c r="C3258" i="1"/>
  <c r="D3258" i="1"/>
  <c r="E3258" i="1"/>
  <c r="F3258" i="1"/>
  <c r="H3258" i="1"/>
  <c r="A3259" i="1"/>
  <c r="B3259" i="1"/>
  <c r="C3259" i="1"/>
  <c r="D3259" i="1"/>
  <c r="E3259" i="1"/>
  <c r="F3259" i="1"/>
  <c r="H3259" i="1"/>
  <c r="A3260" i="1"/>
  <c r="B3260" i="1"/>
  <c r="C3260" i="1"/>
  <c r="D3260" i="1"/>
  <c r="E3260" i="1"/>
  <c r="F3260" i="1"/>
  <c r="H3260" i="1"/>
  <c r="A3261" i="1"/>
  <c r="B3261" i="1"/>
  <c r="C3261" i="1"/>
  <c r="D3261" i="1"/>
  <c r="E3261" i="1"/>
  <c r="F3261" i="1"/>
  <c r="H3261" i="1"/>
  <c r="A3262" i="1"/>
  <c r="B3262" i="1"/>
  <c r="C3262" i="1"/>
  <c r="D3262" i="1"/>
  <c r="E3262" i="1"/>
  <c r="F3262" i="1"/>
  <c r="H3262" i="1"/>
  <c r="A3263" i="1"/>
  <c r="B3263" i="1"/>
  <c r="C3263" i="1"/>
  <c r="D3263" i="1"/>
  <c r="E3263" i="1"/>
  <c r="F3263" i="1"/>
  <c r="H3263" i="1"/>
  <c r="A3264" i="1"/>
  <c r="B3264" i="1"/>
  <c r="C3264" i="1"/>
  <c r="D3264" i="1"/>
  <c r="E3264" i="1"/>
  <c r="F3264" i="1"/>
  <c r="H3264" i="1"/>
  <c r="A3265" i="1"/>
  <c r="B3265" i="1"/>
  <c r="C3265" i="1"/>
  <c r="D3265" i="1"/>
  <c r="E3265" i="1"/>
  <c r="F3265" i="1"/>
  <c r="H3265" i="1"/>
  <c r="A3266" i="1"/>
  <c r="B3266" i="1"/>
  <c r="C3266" i="1"/>
  <c r="D3266" i="1"/>
  <c r="E3266" i="1"/>
  <c r="F3266" i="1"/>
  <c r="H3266" i="1"/>
  <c r="A3267" i="1"/>
  <c r="B3267" i="1"/>
  <c r="C3267" i="1"/>
  <c r="D3267" i="1"/>
  <c r="E3267" i="1"/>
  <c r="F3267" i="1"/>
  <c r="H3267" i="1"/>
  <c r="A3268" i="1"/>
  <c r="B3268" i="1"/>
  <c r="C3268" i="1"/>
  <c r="D3268" i="1"/>
  <c r="E3268" i="1"/>
  <c r="F3268" i="1"/>
  <c r="H3268" i="1"/>
  <c r="A3269" i="1"/>
  <c r="B3269" i="1"/>
  <c r="C3269" i="1"/>
  <c r="D3269" i="1"/>
  <c r="E3269" i="1"/>
  <c r="F3269" i="1"/>
  <c r="H3269" i="1"/>
  <c r="A3270" i="1"/>
  <c r="B3270" i="1"/>
  <c r="C3270" i="1"/>
  <c r="D3270" i="1"/>
  <c r="E3270" i="1"/>
  <c r="F3270" i="1"/>
  <c r="H3270" i="1"/>
  <c r="A3271" i="1"/>
  <c r="B3271" i="1"/>
  <c r="C3271" i="1"/>
  <c r="D3271" i="1"/>
  <c r="E3271" i="1"/>
  <c r="F3271" i="1"/>
  <c r="H3271" i="1"/>
  <c r="A3272" i="1"/>
  <c r="B3272" i="1"/>
  <c r="C3272" i="1"/>
  <c r="D3272" i="1"/>
  <c r="E3272" i="1"/>
  <c r="F3272" i="1"/>
  <c r="H3272" i="1"/>
  <c r="A3273" i="1"/>
  <c r="B3273" i="1"/>
  <c r="C3273" i="1"/>
  <c r="D3273" i="1"/>
  <c r="E3273" i="1"/>
  <c r="F3273" i="1"/>
  <c r="H3273" i="1"/>
  <c r="A3274" i="1"/>
  <c r="B3274" i="1"/>
  <c r="C3274" i="1"/>
  <c r="D3274" i="1"/>
  <c r="E3274" i="1"/>
  <c r="F3274" i="1"/>
  <c r="H3274" i="1"/>
  <c r="A3275" i="1"/>
  <c r="B3275" i="1"/>
  <c r="C3275" i="1"/>
  <c r="D3275" i="1"/>
  <c r="E3275" i="1"/>
  <c r="F3275" i="1"/>
  <c r="H3275" i="1"/>
  <c r="A3276" i="1"/>
  <c r="B3276" i="1"/>
  <c r="C3276" i="1"/>
  <c r="D3276" i="1"/>
  <c r="E3276" i="1"/>
  <c r="F3276" i="1"/>
  <c r="H3276" i="1"/>
  <c r="A3277" i="1"/>
  <c r="B3277" i="1"/>
  <c r="C3277" i="1"/>
  <c r="D3277" i="1"/>
  <c r="E3277" i="1"/>
  <c r="F3277" i="1"/>
  <c r="H3277" i="1"/>
  <c r="A3278" i="1"/>
  <c r="B3278" i="1"/>
  <c r="C3278" i="1"/>
  <c r="D3278" i="1"/>
  <c r="E3278" i="1"/>
  <c r="F3278" i="1"/>
  <c r="H3278" i="1"/>
  <c r="A3279" i="1"/>
  <c r="B3279" i="1"/>
  <c r="C3279" i="1"/>
  <c r="D3279" i="1"/>
  <c r="E3279" i="1"/>
  <c r="F3279" i="1"/>
  <c r="H3279" i="1"/>
  <c r="A3280" i="1"/>
  <c r="B3280" i="1"/>
  <c r="C3280" i="1"/>
  <c r="D3280" i="1"/>
  <c r="E3280" i="1"/>
  <c r="F3280" i="1"/>
  <c r="H3280" i="1"/>
  <c r="A3281" i="1"/>
  <c r="B3281" i="1"/>
  <c r="C3281" i="1"/>
  <c r="D3281" i="1"/>
  <c r="E3281" i="1"/>
  <c r="F3281" i="1"/>
  <c r="H3281" i="1"/>
  <c r="A3282" i="1"/>
  <c r="B3282" i="1"/>
  <c r="C3282" i="1"/>
  <c r="D3282" i="1"/>
  <c r="E3282" i="1"/>
  <c r="F3282" i="1"/>
  <c r="H3282" i="1"/>
  <c r="A3283" i="1"/>
  <c r="B3283" i="1"/>
  <c r="C3283" i="1"/>
  <c r="D3283" i="1"/>
  <c r="E3283" i="1"/>
  <c r="F3283" i="1"/>
  <c r="H3283" i="1"/>
  <c r="A3284" i="1"/>
  <c r="B3284" i="1"/>
  <c r="C3284" i="1"/>
  <c r="D3284" i="1"/>
  <c r="E3284" i="1"/>
  <c r="F3284" i="1"/>
  <c r="H3284" i="1"/>
  <c r="A3285" i="1"/>
  <c r="B3285" i="1"/>
  <c r="C3285" i="1"/>
  <c r="D3285" i="1"/>
  <c r="E3285" i="1"/>
  <c r="F3285" i="1"/>
  <c r="H3285" i="1"/>
  <c r="A3286" i="1"/>
  <c r="B3286" i="1"/>
  <c r="C3286" i="1"/>
  <c r="D3286" i="1"/>
  <c r="E3286" i="1"/>
  <c r="F3286" i="1"/>
  <c r="H3286" i="1"/>
  <c r="A3287" i="1"/>
  <c r="B3287" i="1"/>
  <c r="C3287" i="1"/>
  <c r="D3287" i="1"/>
  <c r="E3287" i="1"/>
  <c r="F3287" i="1"/>
  <c r="H3287" i="1"/>
  <c r="A3288" i="1"/>
  <c r="B3288" i="1"/>
  <c r="C3288" i="1"/>
  <c r="D3288" i="1"/>
  <c r="E3288" i="1"/>
  <c r="F3288" i="1"/>
  <c r="H3288" i="1"/>
  <c r="A3289" i="1"/>
  <c r="B3289" i="1"/>
  <c r="C3289" i="1"/>
  <c r="D3289" i="1"/>
  <c r="E3289" i="1"/>
  <c r="F3289" i="1"/>
  <c r="H3289" i="1"/>
  <c r="A3290" i="1"/>
  <c r="B3290" i="1"/>
  <c r="C3290" i="1"/>
  <c r="D3290" i="1"/>
  <c r="E3290" i="1"/>
  <c r="F3290" i="1"/>
  <c r="H3290" i="1"/>
  <c r="A3291" i="1"/>
  <c r="B3291" i="1"/>
  <c r="C3291" i="1"/>
  <c r="D3291" i="1"/>
  <c r="E3291" i="1"/>
  <c r="F3291" i="1"/>
  <c r="H3291" i="1"/>
  <c r="A3292" i="1"/>
  <c r="B3292" i="1"/>
  <c r="C3292" i="1"/>
  <c r="D3292" i="1"/>
  <c r="E3292" i="1"/>
  <c r="F3292" i="1"/>
  <c r="H3292" i="1"/>
  <c r="A3293" i="1"/>
  <c r="B3293" i="1"/>
  <c r="C3293" i="1"/>
  <c r="D3293" i="1"/>
  <c r="E3293" i="1"/>
  <c r="F3293" i="1"/>
  <c r="H3293" i="1"/>
  <c r="A3294" i="1"/>
  <c r="B3294" i="1"/>
  <c r="C3294" i="1"/>
  <c r="D3294" i="1"/>
  <c r="E3294" i="1"/>
  <c r="F3294" i="1"/>
  <c r="H3294" i="1"/>
  <c r="A3295" i="1"/>
  <c r="B3295" i="1"/>
  <c r="C3295" i="1"/>
  <c r="D3295" i="1"/>
  <c r="E3295" i="1"/>
  <c r="F3295" i="1"/>
  <c r="H3295" i="1"/>
  <c r="A3296" i="1"/>
  <c r="B3296" i="1"/>
  <c r="C3296" i="1"/>
  <c r="D3296" i="1"/>
  <c r="E3296" i="1"/>
  <c r="F3296" i="1"/>
  <c r="H3296" i="1"/>
  <c r="A3297" i="1"/>
  <c r="B3297" i="1"/>
  <c r="C3297" i="1"/>
  <c r="D3297" i="1"/>
  <c r="E3297" i="1"/>
  <c r="F3297" i="1"/>
  <c r="H3297" i="1"/>
  <c r="A3298" i="1"/>
  <c r="B3298" i="1"/>
  <c r="C3298" i="1"/>
  <c r="D3298" i="1"/>
  <c r="E3298" i="1"/>
  <c r="F3298" i="1"/>
  <c r="H3298" i="1"/>
  <c r="A3299" i="1"/>
  <c r="B3299" i="1"/>
  <c r="C3299" i="1"/>
  <c r="D3299" i="1"/>
  <c r="E3299" i="1"/>
  <c r="F3299" i="1"/>
  <c r="H3299" i="1"/>
  <c r="A3300" i="1"/>
  <c r="B3300" i="1"/>
  <c r="C3300" i="1"/>
  <c r="D3300" i="1"/>
  <c r="E3300" i="1"/>
  <c r="F3300" i="1"/>
  <c r="H3300" i="1"/>
  <c r="A3301" i="1"/>
  <c r="B3301" i="1"/>
  <c r="C3301" i="1"/>
  <c r="D3301" i="1"/>
  <c r="E3301" i="1"/>
  <c r="F3301" i="1"/>
  <c r="H3301" i="1"/>
  <c r="A3302" i="1"/>
  <c r="B3302" i="1"/>
  <c r="C3302" i="1"/>
  <c r="D3302" i="1"/>
  <c r="E3302" i="1"/>
  <c r="F3302" i="1"/>
  <c r="H3302" i="1"/>
  <c r="A3303" i="1"/>
  <c r="B3303" i="1"/>
  <c r="C3303" i="1"/>
  <c r="D3303" i="1"/>
  <c r="E3303" i="1"/>
  <c r="F3303" i="1"/>
  <c r="H3303" i="1"/>
  <c r="A3304" i="1"/>
  <c r="B3304" i="1"/>
  <c r="C3304" i="1"/>
  <c r="D3304" i="1"/>
  <c r="E3304" i="1"/>
  <c r="F3304" i="1"/>
  <c r="H3304" i="1"/>
  <c r="A3305" i="1"/>
  <c r="B3305" i="1"/>
  <c r="C3305" i="1"/>
  <c r="D3305" i="1"/>
  <c r="E3305" i="1"/>
  <c r="F3305" i="1"/>
  <c r="H3305" i="1"/>
  <c r="A3306" i="1"/>
  <c r="B3306" i="1"/>
  <c r="C3306" i="1"/>
  <c r="D3306" i="1"/>
  <c r="E3306" i="1"/>
  <c r="F3306" i="1"/>
  <c r="H3306" i="1"/>
  <c r="A3307" i="1"/>
  <c r="B3307" i="1"/>
  <c r="C3307" i="1"/>
  <c r="D3307" i="1"/>
  <c r="E3307" i="1"/>
  <c r="F3307" i="1"/>
  <c r="H3307" i="1"/>
  <c r="A3308" i="1"/>
  <c r="B3308" i="1"/>
  <c r="C3308" i="1"/>
  <c r="D3308" i="1"/>
  <c r="E3308" i="1"/>
  <c r="F3308" i="1"/>
  <c r="H3308" i="1"/>
  <c r="A3309" i="1"/>
  <c r="B3309" i="1"/>
  <c r="C3309" i="1"/>
  <c r="D3309" i="1"/>
  <c r="E3309" i="1"/>
  <c r="F3309" i="1"/>
  <c r="H3309" i="1"/>
  <c r="A3310" i="1"/>
  <c r="B3310" i="1"/>
  <c r="C3310" i="1"/>
  <c r="D3310" i="1"/>
  <c r="E3310" i="1"/>
  <c r="F3310" i="1"/>
  <c r="H3310" i="1"/>
  <c r="A3311" i="1"/>
  <c r="B3311" i="1"/>
  <c r="C3311" i="1"/>
  <c r="D3311" i="1"/>
  <c r="E3311" i="1"/>
  <c r="F3311" i="1"/>
  <c r="H3311" i="1"/>
  <c r="A3312" i="1"/>
  <c r="B3312" i="1"/>
  <c r="C3312" i="1"/>
  <c r="D3312" i="1"/>
  <c r="E3312" i="1"/>
  <c r="F3312" i="1"/>
  <c r="H3312" i="1"/>
  <c r="A3313" i="1"/>
  <c r="B3313" i="1"/>
  <c r="C3313" i="1"/>
  <c r="D3313" i="1"/>
  <c r="E3313" i="1"/>
  <c r="F3313" i="1"/>
  <c r="H3313" i="1"/>
  <c r="A3314" i="1"/>
  <c r="B3314" i="1"/>
  <c r="C3314" i="1"/>
  <c r="D3314" i="1"/>
  <c r="E3314" i="1"/>
  <c r="F3314" i="1"/>
  <c r="H3314" i="1"/>
  <c r="A3315" i="1"/>
  <c r="B3315" i="1"/>
  <c r="C3315" i="1"/>
  <c r="D3315" i="1"/>
  <c r="E3315" i="1"/>
  <c r="F3315" i="1"/>
  <c r="H3315" i="1"/>
  <c r="A3316" i="1"/>
  <c r="B3316" i="1"/>
  <c r="C3316" i="1"/>
  <c r="D3316" i="1"/>
  <c r="E3316" i="1"/>
  <c r="F3316" i="1"/>
  <c r="H3316" i="1"/>
  <c r="A3317" i="1"/>
  <c r="B3317" i="1"/>
  <c r="C3317" i="1"/>
  <c r="D3317" i="1"/>
  <c r="E3317" i="1"/>
  <c r="F3317" i="1"/>
  <c r="H3317" i="1"/>
  <c r="A3318" i="1"/>
  <c r="B3318" i="1"/>
  <c r="C3318" i="1"/>
  <c r="D3318" i="1"/>
  <c r="E3318" i="1"/>
  <c r="F3318" i="1"/>
  <c r="H3318" i="1"/>
  <c r="A3319" i="1"/>
  <c r="B3319" i="1"/>
  <c r="C3319" i="1"/>
  <c r="D3319" i="1"/>
  <c r="E3319" i="1"/>
  <c r="F3319" i="1"/>
  <c r="H3319" i="1"/>
  <c r="A3320" i="1"/>
  <c r="B3320" i="1"/>
  <c r="C3320" i="1"/>
  <c r="D3320" i="1"/>
  <c r="E3320" i="1"/>
  <c r="F3320" i="1"/>
  <c r="H3320" i="1"/>
  <c r="A3321" i="1"/>
  <c r="B3321" i="1"/>
  <c r="C3321" i="1"/>
  <c r="D3321" i="1"/>
  <c r="E3321" i="1"/>
  <c r="F3321" i="1"/>
  <c r="H3321" i="1"/>
  <c r="A3322" i="1"/>
  <c r="B3322" i="1"/>
  <c r="C3322" i="1"/>
  <c r="D3322" i="1"/>
  <c r="E3322" i="1"/>
  <c r="F3322" i="1"/>
  <c r="H3322" i="1"/>
  <c r="A3323" i="1"/>
  <c r="B3323" i="1"/>
  <c r="C3323" i="1"/>
  <c r="D3323" i="1"/>
  <c r="E3323" i="1"/>
  <c r="F3323" i="1"/>
  <c r="H3323" i="1"/>
  <c r="A3324" i="1"/>
  <c r="B3324" i="1"/>
  <c r="C3324" i="1"/>
  <c r="D3324" i="1"/>
  <c r="E3324" i="1"/>
  <c r="F3324" i="1"/>
  <c r="H3324" i="1"/>
  <c r="A3325" i="1"/>
  <c r="B3325" i="1"/>
  <c r="C3325" i="1"/>
  <c r="D3325" i="1"/>
  <c r="E3325" i="1"/>
  <c r="F3325" i="1"/>
  <c r="H3325" i="1"/>
  <c r="A3326" i="1"/>
  <c r="B3326" i="1"/>
  <c r="C3326" i="1"/>
  <c r="D3326" i="1"/>
  <c r="E3326" i="1"/>
  <c r="F3326" i="1"/>
  <c r="H3326" i="1"/>
  <c r="A3327" i="1"/>
  <c r="B3327" i="1"/>
  <c r="C3327" i="1"/>
  <c r="D3327" i="1"/>
  <c r="E3327" i="1"/>
  <c r="F3327" i="1"/>
  <c r="H3327" i="1"/>
  <c r="A3328" i="1"/>
  <c r="B3328" i="1"/>
  <c r="C3328" i="1"/>
  <c r="D3328" i="1"/>
  <c r="E3328" i="1"/>
  <c r="F3328" i="1"/>
  <c r="H3328" i="1"/>
  <c r="A3329" i="1"/>
  <c r="B3329" i="1"/>
  <c r="C3329" i="1"/>
  <c r="D3329" i="1"/>
  <c r="E3329" i="1"/>
  <c r="F3329" i="1"/>
  <c r="H3329" i="1"/>
  <c r="A3330" i="1"/>
  <c r="B3330" i="1"/>
  <c r="C3330" i="1"/>
  <c r="D3330" i="1"/>
  <c r="E3330" i="1"/>
  <c r="F3330" i="1"/>
  <c r="H3330" i="1"/>
  <c r="A3331" i="1"/>
  <c r="B3331" i="1"/>
  <c r="C3331" i="1"/>
  <c r="D3331" i="1"/>
  <c r="E3331" i="1"/>
  <c r="F3331" i="1"/>
  <c r="H3331" i="1"/>
  <c r="A3332" i="1"/>
  <c r="B3332" i="1"/>
  <c r="C3332" i="1"/>
  <c r="D3332" i="1"/>
  <c r="E3332" i="1"/>
  <c r="F3332" i="1"/>
  <c r="H3332" i="1"/>
  <c r="A3333" i="1"/>
  <c r="B3333" i="1"/>
  <c r="C3333" i="1"/>
  <c r="D3333" i="1"/>
  <c r="E3333" i="1"/>
  <c r="F3333" i="1"/>
  <c r="H3333" i="1"/>
  <c r="A3334" i="1"/>
  <c r="B3334" i="1"/>
  <c r="C3334" i="1"/>
  <c r="D3334" i="1"/>
  <c r="E3334" i="1"/>
  <c r="F3334" i="1"/>
  <c r="H3334" i="1"/>
  <c r="A3335" i="1"/>
  <c r="B3335" i="1"/>
  <c r="C3335" i="1"/>
  <c r="D3335" i="1"/>
  <c r="E3335" i="1"/>
  <c r="F3335" i="1"/>
  <c r="H3335" i="1"/>
  <c r="A3336" i="1"/>
  <c r="B3336" i="1"/>
  <c r="C3336" i="1"/>
  <c r="D3336" i="1"/>
  <c r="E3336" i="1"/>
  <c r="F3336" i="1"/>
  <c r="H3336" i="1"/>
  <c r="A3337" i="1"/>
  <c r="B3337" i="1"/>
  <c r="C3337" i="1"/>
  <c r="D3337" i="1"/>
  <c r="E3337" i="1"/>
  <c r="F3337" i="1"/>
  <c r="H3337" i="1"/>
  <c r="A3338" i="1"/>
  <c r="B3338" i="1"/>
  <c r="C3338" i="1"/>
  <c r="D3338" i="1"/>
  <c r="E3338" i="1"/>
  <c r="F3338" i="1"/>
  <c r="H3338" i="1"/>
  <c r="A3339" i="1"/>
  <c r="B3339" i="1"/>
  <c r="C3339" i="1"/>
  <c r="D3339" i="1"/>
  <c r="E3339" i="1"/>
  <c r="F3339" i="1"/>
  <c r="H3339" i="1"/>
  <c r="A3340" i="1"/>
  <c r="B3340" i="1"/>
  <c r="C3340" i="1"/>
  <c r="D3340" i="1"/>
  <c r="E3340" i="1"/>
  <c r="F3340" i="1"/>
  <c r="H3340" i="1"/>
  <c r="A3341" i="1"/>
  <c r="B3341" i="1"/>
  <c r="C3341" i="1"/>
  <c r="D3341" i="1"/>
  <c r="E3341" i="1"/>
  <c r="F3341" i="1"/>
  <c r="H3341" i="1"/>
  <c r="A3342" i="1"/>
  <c r="B3342" i="1"/>
  <c r="C3342" i="1"/>
  <c r="D3342" i="1"/>
  <c r="E3342" i="1"/>
  <c r="F3342" i="1"/>
  <c r="H3342" i="1"/>
  <c r="A3343" i="1"/>
  <c r="B3343" i="1"/>
  <c r="C3343" i="1"/>
  <c r="D3343" i="1"/>
  <c r="E3343" i="1"/>
  <c r="F3343" i="1"/>
  <c r="H3343" i="1"/>
  <c r="A3344" i="1"/>
  <c r="B3344" i="1"/>
  <c r="C3344" i="1"/>
  <c r="D3344" i="1"/>
  <c r="E3344" i="1"/>
  <c r="F3344" i="1"/>
  <c r="H3344" i="1"/>
  <c r="A3345" i="1"/>
  <c r="B3345" i="1"/>
  <c r="C3345" i="1"/>
  <c r="D3345" i="1"/>
  <c r="E3345" i="1"/>
  <c r="F3345" i="1"/>
  <c r="H3345" i="1"/>
  <c r="A3346" i="1"/>
  <c r="B3346" i="1"/>
  <c r="C3346" i="1"/>
  <c r="D3346" i="1"/>
  <c r="E3346" i="1"/>
  <c r="F3346" i="1"/>
  <c r="H3346" i="1"/>
  <c r="A3347" i="1"/>
  <c r="B3347" i="1"/>
  <c r="C3347" i="1"/>
  <c r="D3347" i="1"/>
  <c r="E3347" i="1"/>
  <c r="F3347" i="1"/>
  <c r="H3347" i="1"/>
  <c r="A3348" i="1"/>
  <c r="B3348" i="1"/>
  <c r="C3348" i="1"/>
  <c r="D3348" i="1"/>
  <c r="E3348" i="1"/>
  <c r="F3348" i="1"/>
  <c r="H3348" i="1"/>
  <c r="A3349" i="1"/>
  <c r="B3349" i="1"/>
  <c r="C3349" i="1"/>
  <c r="D3349" i="1"/>
  <c r="E3349" i="1"/>
  <c r="F3349" i="1"/>
  <c r="H3349" i="1"/>
  <c r="A3350" i="1"/>
  <c r="B3350" i="1"/>
  <c r="C3350" i="1"/>
  <c r="D3350" i="1"/>
  <c r="E3350" i="1"/>
  <c r="F3350" i="1"/>
  <c r="H3350" i="1"/>
  <c r="A3351" i="1"/>
  <c r="B3351" i="1"/>
  <c r="C3351" i="1"/>
  <c r="D3351" i="1"/>
  <c r="E3351" i="1"/>
  <c r="F3351" i="1"/>
  <c r="H3351" i="1"/>
  <c r="A3352" i="1"/>
  <c r="B3352" i="1"/>
  <c r="C3352" i="1"/>
  <c r="D3352" i="1"/>
  <c r="E3352" i="1"/>
  <c r="F3352" i="1"/>
  <c r="H3352" i="1"/>
  <c r="A3353" i="1"/>
  <c r="B3353" i="1"/>
  <c r="C3353" i="1"/>
  <c r="D3353" i="1"/>
  <c r="E3353" i="1"/>
  <c r="F3353" i="1"/>
  <c r="H3353" i="1"/>
  <c r="A3354" i="1"/>
  <c r="B3354" i="1"/>
  <c r="C3354" i="1"/>
  <c r="D3354" i="1"/>
  <c r="E3354" i="1"/>
  <c r="F3354" i="1"/>
  <c r="H3354" i="1"/>
  <c r="A3355" i="1"/>
  <c r="B3355" i="1"/>
  <c r="C3355" i="1"/>
  <c r="D3355" i="1"/>
  <c r="E3355" i="1"/>
  <c r="F3355" i="1"/>
  <c r="H3355" i="1"/>
  <c r="A3356" i="1"/>
  <c r="B3356" i="1"/>
  <c r="C3356" i="1"/>
  <c r="D3356" i="1"/>
  <c r="E3356" i="1"/>
  <c r="F3356" i="1"/>
  <c r="H3356" i="1"/>
  <c r="A3357" i="1"/>
  <c r="B3357" i="1"/>
  <c r="C3357" i="1"/>
  <c r="D3357" i="1"/>
  <c r="E3357" i="1"/>
  <c r="F3357" i="1"/>
  <c r="H3357" i="1"/>
  <c r="A3358" i="1"/>
  <c r="B3358" i="1"/>
  <c r="C3358" i="1"/>
  <c r="D3358" i="1"/>
  <c r="E3358" i="1"/>
  <c r="F3358" i="1"/>
  <c r="H3358" i="1"/>
  <c r="A3359" i="1"/>
  <c r="B3359" i="1"/>
  <c r="C3359" i="1"/>
  <c r="D3359" i="1"/>
  <c r="E3359" i="1"/>
  <c r="F3359" i="1"/>
  <c r="H3359" i="1"/>
  <c r="A3360" i="1"/>
  <c r="B3360" i="1"/>
  <c r="C3360" i="1"/>
  <c r="D3360" i="1"/>
  <c r="E3360" i="1"/>
  <c r="F3360" i="1"/>
  <c r="H3360" i="1"/>
  <c r="A3361" i="1"/>
  <c r="B3361" i="1"/>
  <c r="C3361" i="1"/>
  <c r="D3361" i="1"/>
  <c r="E3361" i="1"/>
  <c r="F3361" i="1"/>
  <c r="H3361" i="1"/>
  <c r="A3362" i="1"/>
  <c r="B3362" i="1"/>
  <c r="C3362" i="1"/>
  <c r="D3362" i="1"/>
  <c r="E3362" i="1"/>
  <c r="F3362" i="1"/>
  <c r="H3362" i="1"/>
  <c r="A3363" i="1"/>
  <c r="B3363" i="1"/>
  <c r="C3363" i="1"/>
  <c r="D3363" i="1"/>
  <c r="E3363" i="1"/>
  <c r="F3363" i="1"/>
  <c r="H3363" i="1"/>
  <c r="A3364" i="1"/>
  <c r="B3364" i="1"/>
  <c r="C3364" i="1"/>
  <c r="D3364" i="1"/>
  <c r="E3364" i="1"/>
  <c r="F3364" i="1"/>
  <c r="H3364" i="1"/>
  <c r="A3365" i="1"/>
  <c r="B3365" i="1"/>
  <c r="C3365" i="1"/>
  <c r="D3365" i="1"/>
  <c r="E3365" i="1"/>
  <c r="F3365" i="1"/>
  <c r="H3365" i="1"/>
  <c r="A3366" i="1"/>
  <c r="B3366" i="1"/>
  <c r="C3366" i="1"/>
  <c r="D3366" i="1"/>
  <c r="E3366" i="1"/>
  <c r="F3366" i="1"/>
  <c r="H3366" i="1"/>
  <c r="A3367" i="1"/>
  <c r="B3367" i="1"/>
  <c r="C3367" i="1"/>
  <c r="D3367" i="1"/>
  <c r="E3367" i="1"/>
  <c r="F3367" i="1"/>
  <c r="H3367" i="1"/>
  <c r="A3368" i="1"/>
  <c r="B3368" i="1"/>
  <c r="C3368" i="1"/>
  <c r="D3368" i="1"/>
  <c r="E3368" i="1"/>
  <c r="F3368" i="1"/>
  <c r="H3368" i="1"/>
  <c r="A3369" i="1"/>
  <c r="B3369" i="1"/>
  <c r="C3369" i="1"/>
  <c r="D3369" i="1"/>
  <c r="E3369" i="1"/>
  <c r="F3369" i="1"/>
  <c r="H3369" i="1"/>
  <c r="A3370" i="1"/>
  <c r="B3370" i="1"/>
  <c r="C3370" i="1"/>
  <c r="D3370" i="1"/>
  <c r="E3370" i="1"/>
  <c r="F3370" i="1"/>
  <c r="H3370" i="1"/>
  <c r="A3371" i="1"/>
  <c r="B3371" i="1"/>
  <c r="C3371" i="1"/>
  <c r="D3371" i="1"/>
  <c r="E3371" i="1"/>
  <c r="F3371" i="1"/>
  <c r="H3371" i="1"/>
  <c r="A3372" i="1"/>
  <c r="B3372" i="1"/>
  <c r="C3372" i="1"/>
  <c r="D3372" i="1"/>
  <c r="E3372" i="1"/>
  <c r="F3372" i="1"/>
  <c r="H3372" i="1"/>
  <c r="A3373" i="1"/>
  <c r="B3373" i="1"/>
  <c r="C3373" i="1"/>
  <c r="D3373" i="1"/>
  <c r="E3373" i="1"/>
  <c r="F3373" i="1"/>
  <c r="H3373" i="1"/>
  <c r="A3374" i="1"/>
  <c r="B3374" i="1"/>
  <c r="C3374" i="1"/>
  <c r="D3374" i="1"/>
  <c r="E3374" i="1"/>
  <c r="F3374" i="1"/>
  <c r="H3374" i="1"/>
  <c r="A3375" i="1"/>
  <c r="B3375" i="1"/>
  <c r="C3375" i="1"/>
  <c r="D3375" i="1"/>
  <c r="E3375" i="1"/>
  <c r="F3375" i="1"/>
  <c r="H3375" i="1"/>
  <c r="A3376" i="1"/>
  <c r="B3376" i="1"/>
  <c r="C3376" i="1"/>
  <c r="D3376" i="1"/>
  <c r="E3376" i="1"/>
  <c r="F3376" i="1"/>
  <c r="H3376" i="1"/>
  <c r="A3377" i="1"/>
  <c r="B3377" i="1"/>
  <c r="C3377" i="1"/>
  <c r="D3377" i="1"/>
  <c r="E3377" i="1"/>
  <c r="F3377" i="1"/>
  <c r="H3377" i="1"/>
  <c r="A3378" i="1"/>
  <c r="B3378" i="1"/>
  <c r="C3378" i="1"/>
  <c r="D3378" i="1"/>
  <c r="E3378" i="1"/>
  <c r="F3378" i="1"/>
  <c r="H3378" i="1"/>
  <c r="A3379" i="1"/>
  <c r="B3379" i="1"/>
  <c r="C3379" i="1"/>
  <c r="D3379" i="1"/>
  <c r="E3379" i="1"/>
  <c r="F3379" i="1"/>
  <c r="H3379" i="1"/>
  <c r="A3380" i="1"/>
  <c r="B3380" i="1"/>
  <c r="C3380" i="1"/>
  <c r="D3380" i="1"/>
  <c r="E3380" i="1"/>
  <c r="F3380" i="1"/>
  <c r="H3380" i="1"/>
  <c r="A3381" i="1"/>
  <c r="B3381" i="1"/>
  <c r="C3381" i="1"/>
  <c r="D3381" i="1"/>
  <c r="E3381" i="1"/>
  <c r="F3381" i="1"/>
  <c r="H3381" i="1"/>
  <c r="A3382" i="1"/>
  <c r="B3382" i="1"/>
  <c r="C3382" i="1"/>
  <c r="D3382" i="1"/>
  <c r="E3382" i="1"/>
  <c r="F3382" i="1"/>
  <c r="H3382" i="1"/>
  <c r="A3383" i="1"/>
  <c r="B3383" i="1"/>
  <c r="C3383" i="1"/>
  <c r="D3383" i="1"/>
  <c r="E3383" i="1"/>
  <c r="F3383" i="1"/>
  <c r="H3383" i="1"/>
  <c r="A3384" i="1"/>
  <c r="B3384" i="1"/>
  <c r="C3384" i="1"/>
  <c r="D3384" i="1"/>
  <c r="E3384" i="1"/>
  <c r="F3384" i="1"/>
  <c r="H3384" i="1"/>
  <c r="A3385" i="1"/>
  <c r="B3385" i="1"/>
  <c r="C3385" i="1"/>
  <c r="D3385" i="1"/>
  <c r="E3385" i="1"/>
  <c r="F3385" i="1"/>
  <c r="H3385" i="1"/>
  <c r="A3386" i="1"/>
  <c r="B3386" i="1"/>
  <c r="C3386" i="1"/>
  <c r="D3386" i="1"/>
  <c r="E3386" i="1"/>
  <c r="F3386" i="1"/>
  <c r="H3386" i="1"/>
  <c r="A3387" i="1"/>
  <c r="B3387" i="1"/>
  <c r="C3387" i="1"/>
  <c r="D3387" i="1"/>
  <c r="E3387" i="1"/>
  <c r="F3387" i="1"/>
  <c r="H3387" i="1"/>
  <c r="A3388" i="1"/>
  <c r="B3388" i="1"/>
  <c r="C3388" i="1"/>
  <c r="D3388" i="1"/>
  <c r="E3388" i="1"/>
  <c r="F3388" i="1"/>
  <c r="H3388" i="1"/>
  <c r="A3389" i="1"/>
  <c r="B3389" i="1"/>
  <c r="C3389" i="1"/>
  <c r="D3389" i="1"/>
  <c r="E3389" i="1"/>
  <c r="F3389" i="1"/>
  <c r="H3389" i="1"/>
  <c r="A3390" i="1"/>
  <c r="B3390" i="1"/>
  <c r="C3390" i="1"/>
  <c r="D3390" i="1"/>
  <c r="E3390" i="1"/>
  <c r="F3390" i="1"/>
  <c r="H3390" i="1"/>
  <c r="A3391" i="1"/>
  <c r="B3391" i="1"/>
  <c r="C3391" i="1"/>
  <c r="D3391" i="1"/>
  <c r="E3391" i="1"/>
  <c r="F3391" i="1"/>
  <c r="H3391" i="1"/>
  <c r="A3392" i="1"/>
  <c r="B3392" i="1"/>
  <c r="C3392" i="1"/>
  <c r="D3392" i="1"/>
  <c r="E3392" i="1"/>
  <c r="F3392" i="1"/>
  <c r="H3392" i="1"/>
  <c r="A3393" i="1"/>
  <c r="B3393" i="1"/>
  <c r="C3393" i="1"/>
  <c r="D3393" i="1"/>
  <c r="E3393" i="1"/>
  <c r="F3393" i="1"/>
  <c r="H3393" i="1"/>
  <c r="A3394" i="1"/>
  <c r="B3394" i="1"/>
  <c r="C3394" i="1"/>
  <c r="D3394" i="1"/>
  <c r="E3394" i="1"/>
  <c r="F3394" i="1"/>
  <c r="H3394" i="1"/>
  <c r="A3395" i="1"/>
  <c r="B3395" i="1"/>
  <c r="C3395" i="1"/>
  <c r="D3395" i="1"/>
  <c r="E3395" i="1"/>
  <c r="F3395" i="1"/>
  <c r="H3395" i="1"/>
  <c r="A3396" i="1"/>
  <c r="B3396" i="1"/>
  <c r="C3396" i="1"/>
  <c r="D3396" i="1"/>
  <c r="E3396" i="1"/>
  <c r="F3396" i="1"/>
  <c r="H3396" i="1"/>
  <c r="A3397" i="1"/>
  <c r="B3397" i="1"/>
  <c r="C3397" i="1"/>
  <c r="D3397" i="1"/>
  <c r="E3397" i="1"/>
  <c r="F3397" i="1"/>
  <c r="H3397" i="1"/>
  <c r="A3398" i="1"/>
  <c r="B3398" i="1"/>
  <c r="C3398" i="1"/>
  <c r="D3398" i="1"/>
  <c r="E3398" i="1"/>
  <c r="F3398" i="1"/>
  <c r="H3398" i="1"/>
  <c r="A3399" i="1"/>
  <c r="B3399" i="1"/>
  <c r="C3399" i="1"/>
  <c r="D3399" i="1"/>
  <c r="E3399" i="1"/>
  <c r="F3399" i="1"/>
  <c r="H3399" i="1"/>
  <c r="A3400" i="1"/>
  <c r="B3400" i="1"/>
  <c r="C3400" i="1"/>
  <c r="D3400" i="1"/>
  <c r="E3400" i="1"/>
  <c r="F3400" i="1"/>
  <c r="H3400" i="1"/>
  <c r="A3401" i="1"/>
  <c r="B3401" i="1"/>
  <c r="C3401" i="1"/>
  <c r="D3401" i="1"/>
  <c r="E3401" i="1"/>
  <c r="F3401" i="1"/>
  <c r="H3401" i="1"/>
  <c r="A3402" i="1"/>
  <c r="B3402" i="1"/>
  <c r="C3402" i="1"/>
  <c r="D3402" i="1"/>
  <c r="E3402" i="1"/>
  <c r="F3402" i="1"/>
  <c r="H3402" i="1"/>
  <c r="A3403" i="1"/>
  <c r="B3403" i="1"/>
  <c r="C3403" i="1"/>
  <c r="D3403" i="1"/>
  <c r="E3403" i="1"/>
  <c r="F3403" i="1"/>
  <c r="H3403" i="1"/>
  <c r="A3404" i="1"/>
  <c r="B3404" i="1"/>
  <c r="C3404" i="1"/>
  <c r="D3404" i="1"/>
  <c r="E3404" i="1"/>
  <c r="F3404" i="1"/>
  <c r="H3404" i="1"/>
  <c r="A3405" i="1"/>
  <c r="B3405" i="1"/>
  <c r="C3405" i="1"/>
  <c r="D3405" i="1"/>
  <c r="E3405" i="1"/>
  <c r="F3405" i="1"/>
  <c r="H3405" i="1"/>
  <c r="A3406" i="1"/>
  <c r="B3406" i="1"/>
  <c r="C3406" i="1"/>
  <c r="D3406" i="1"/>
  <c r="E3406" i="1"/>
  <c r="F3406" i="1"/>
  <c r="H3406" i="1"/>
  <c r="A3407" i="1"/>
  <c r="B3407" i="1"/>
  <c r="C3407" i="1"/>
  <c r="D3407" i="1"/>
  <c r="E3407" i="1"/>
  <c r="F3407" i="1"/>
  <c r="H3407" i="1"/>
  <c r="A3408" i="1"/>
  <c r="B3408" i="1"/>
  <c r="C3408" i="1"/>
  <c r="D3408" i="1"/>
  <c r="E3408" i="1"/>
  <c r="F3408" i="1"/>
  <c r="H3408" i="1"/>
  <c r="A3409" i="1"/>
  <c r="B3409" i="1"/>
  <c r="C3409" i="1"/>
  <c r="D3409" i="1"/>
  <c r="E3409" i="1"/>
  <c r="F3409" i="1"/>
  <c r="H3409" i="1"/>
  <c r="A3410" i="1"/>
  <c r="B3410" i="1"/>
  <c r="C3410" i="1"/>
  <c r="D3410" i="1"/>
  <c r="E3410" i="1"/>
  <c r="F3410" i="1"/>
  <c r="H3410" i="1"/>
  <c r="A3411" i="1"/>
  <c r="B3411" i="1"/>
  <c r="C3411" i="1"/>
  <c r="D3411" i="1"/>
  <c r="E3411" i="1"/>
  <c r="F3411" i="1"/>
  <c r="H3411" i="1"/>
  <c r="A3412" i="1"/>
  <c r="B3412" i="1"/>
  <c r="C3412" i="1"/>
  <c r="D3412" i="1"/>
  <c r="E3412" i="1"/>
  <c r="F3412" i="1"/>
  <c r="H3412" i="1"/>
  <c r="A3413" i="1"/>
  <c r="B3413" i="1"/>
  <c r="C3413" i="1"/>
  <c r="D3413" i="1"/>
  <c r="E3413" i="1"/>
  <c r="F3413" i="1"/>
  <c r="H3413" i="1"/>
  <c r="A3414" i="1"/>
  <c r="B3414" i="1"/>
  <c r="C3414" i="1"/>
  <c r="D3414" i="1"/>
  <c r="E3414" i="1"/>
  <c r="F3414" i="1"/>
  <c r="H3414" i="1"/>
  <c r="A3415" i="1"/>
  <c r="B3415" i="1"/>
  <c r="C3415" i="1"/>
  <c r="D3415" i="1"/>
  <c r="E3415" i="1"/>
  <c r="F3415" i="1"/>
  <c r="H3415" i="1"/>
  <c r="A3416" i="1"/>
  <c r="B3416" i="1"/>
  <c r="C3416" i="1"/>
  <c r="D3416" i="1"/>
  <c r="E3416" i="1"/>
  <c r="F3416" i="1"/>
  <c r="H3416" i="1"/>
  <c r="A3417" i="1"/>
  <c r="B3417" i="1"/>
  <c r="C3417" i="1"/>
  <c r="D3417" i="1"/>
  <c r="E3417" i="1"/>
  <c r="F3417" i="1"/>
  <c r="H3417" i="1"/>
  <c r="A3418" i="1"/>
  <c r="B3418" i="1"/>
  <c r="C3418" i="1"/>
  <c r="D3418" i="1"/>
  <c r="E3418" i="1"/>
  <c r="F3418" i="1"/>
  <c r="H3418" i="1"/>
  <c r="A3419" i="1"/>
  <c r="B3419" i="1"/>
  <c r="C3419" i="1"/>
  <c r="D3419" i="1"/>
  <c r="E3419" i="1"/>
  <c r="F3419" i="1"/>
  <c r="H3419" i="1"/>
  <c r="A3420" i="1"/>
  <c r="B3420" i="1"/>
  <c r="C3420" i="1"/>
  <c r="D3420" i="1"/>
  <c r="E3420" i="1"/>
  <c r="F3420" i="1"/>
  <c r="H3420" i="1"/>
  <c r="A3421" i="1"/>
  <c r="B3421" i="1"/>
  <c r="C3421" i="1"/>
  <c r="D3421" i="1"/>
  <c r="E3421" i="1"/>
  <c r="F3421" i="1"/>
  <c r="H3421" i="1"/>
  <c r="A3422" i="1"/>
  <c r="B3422" i="1"/>
  <c r="C3422" i="1"/>
  <c r="D3422" i="1"/>
  <c r="E3422" i="1"/>
  <c r="F3422" i="1"/>
  <c r="H3422" i="1"/>
  <c r="A3423" i="1"/>
  <c r="B3423" i="1"/>
  <c r="C3423" i="1"/>
  <c r="D3423" i="1"/>
  <c r="E3423" i="1"/>
  <c r="F3423" i="1"/>
  <c r="H3423" i="1"/>
  <c r="A3424" i="1"/>
  <c r="B3424" i="1"/>
  <c r="C3424" i="1"/>
  <c r="D3424" i="1"/>
  <c r="E3424" i="1"/>
  <c r="F3424" i="1"/>
  <c r="H3424" i="1"/>
  <c r="A3425" i="1"/>
  <c r="B3425" i="1"/>
  <c r="C3425" i="1"/>
  <c r="D3425" i="1"/>
  <c r="E3425" i="1"/>
  <c r="F3425" i="1"/>
  <c r="H3425" i="1"/>
  <c r="A3426" i="1"/>
  <c r="B3426" i="1"/>
  <c r="C3426" i="1"/>
  <c r="D3426" i="1"/>
  <c r="E3426" i="1"/>
  <c r="F3426" i="1"/>
  <c r="H3426" i="1"/>
  <c r="A3427" i="1"/>
  <c r="B3427" i="1"/>
  <c r="C3427" i="1"/>
  <c r="D3427" i="1"/>
  <c r="E3427" i="1"/>
  <c r="F3427" i="1"/>
  <c r="H3427" i="1"/>
  <c r="A3428" i="1"/>
  <c r="B3428" i="1"/>
  <c r="C3428" i="1"/>
  <c r="D3428" i="1"/>
  <c r="E3428" i="1"/>
  <c r="F3428" i="1"/>
  <c r="H3428" i="1"/>
  <c r="A3429" i="1"/>
  <c r="B3429" i="1"/>
  <c r="C3429" i="1"/>
  <c r="D3429" i="1"/>
  <c r="E3429" i="1"/>
  <c r="F3429" i="1"/>
  <c r="H3429" i="1"/>
  <c r="A3430" i="1"/>
  <c r="B3430" i="1"/>
  <c r="C3430" i="1"/>
  <c r="D3430" i="1"/>
  <c r="E3430" i="1"/>
  <c r="F3430" i="1"/>
  <c r="H3430" i="1"/>
  <c r="A3431" i="1"/>
  <c r="B3431" i="1"/>
  <c r="C3431" i="1"/>
  <c r="D3431" i="1"/>
  <c r="E3431" i="1"/>
  <c r="F3431" i="1"/>
  <c r="H3431" i="1"/>
  <c r="A3432" i="1"/>
  <c r="B3432" i="1"/>
  <c r="C3432" i="1"/>
  <c r="D3432" i="1"/>
  <c r="E3432" i="1"/>
  <c r="F3432" i="1"/>
  <c r="H3432" i="1"/>
  <c r="A3433" i="1"/>
  <c r="B3433" i="1"/>
  <c r="C3433" i="1"/>
  <c r="D3433" i="1"/>
  <c r="E3433" i="1"/>
  <c r="F3433" i="1"/>
  <c r="H3433" i="1"/>
  <c r="A3434" i="1"/>
  <c r="B3434" i="1"/>
  <c r="C3434" i="1"/>
  <c r="D3434" i="1"/>
  <c r="E3434" i="1"/>
  <c r="F3434" i="1"/>
  <c r="H3434" i="1"/>
  <c r="A3435" i="1"/>
  <c r="B3435" i="1"/>
  <c r="C3435" i="1"/>
  <c r="D3435" i="1"/>
  <c r="E3435" i="1"/>
  <c r="F3435" i="1"/>
  <c r="H3435" i="1"/>
  <c r="A3436" i="1"/>
  <c r="B3436" i="1"/>
  <c r="C3436" i="1"/>
  <c r="D3436" i="1"/>
  <c r="E3436" i="1"/>
  <c r="F3436" i="1"/>
  <c r="H3436" i="1"/>
  <c r="A3437" i="1"/>
  <c r="B3437" i="1"/>
  <c r="C3437" i="1"/>
  <c r="D3437" i="1"/>
  <c r="E3437" i="1"/>
  <c r="F3437" i="1"/>
  <c r="H3437" i="1"/>
  <c r="A3438" i="1"/>
  <c r="B3438" i="1"/>
  <c r="C3438" i="1"/>
  <c r="D3438" i="1"/>
  <c r="E3438" i="1"/>
  <c r="F3438" i="1"/>
  <c r="H3438" i="1"/>
  <c r="A3439" i="1"/>
  <c r="B3439" i="1"/>
  <c r="C3439" i="1"/>
  <c r="D3439" i="1"/>
  <c r="E3439" i="1"/>
  <c r="F3439" i="1"/>
  <c r="H3439" i="1"/>
  <c r="A3440" i="1"/>
  <c r="B3440" i="1"/>
  <c r="C3440" i="1"/>
  <c r="D3440" i="1"/>
  <c r="E3440" i="1"/>
  <c r="F3440" i="1"/>
  <c r="H3440" i="1"/>
  <c r="A3441" i="1"/>
  <c r="B3441" i="1"/>
  <c r="C3441" i="1"/>
  <c r="D3441" i="1"/>
  <c r="E3441" i="1"/>
  <c r="F3441" i="1"/>
  <c r="H3441" i="1"/>
  <c r="A3442" i="1"/>
  <c r="B3442" i="1"/>
  <c r="C3442" i="1"/>
  <c r="D3442" i="1"/>
  <c r="E3442" i="1"/>
  <c r="F3442" i="1"/>
  <c r="H3442" i="1"/>
  <c r="A3443" i="1"/>
  <c r="B3443" i="1"/>
  <c r="C3443" i="1"/>
  <c r="D3443" i="1"/>
  <c r="E3443" i="1"/>
  <c r="F3443" i="1"/>
  <c r="H3443" i="1"/>
  <c r="A3444" i="1"/>
  <c r="B3444" i="1"/>
  <c r="C3444" i="1"/>
  <c r="D3444" i="1"/>
  <c r="E3444" i="1"/>
  <c r="F3444" i="1"/>
  <c r="H3444" i="1"/>
  <c r="A3445" i="1"/>
  <c r="B3445" i="1"/>
  <c r="C3445" i="1"/>
  <c r="D3445" i="1"/>
  <c r="E3445" i="1"/>
  <c r="F3445" i="1"/>
  <c r="H3445" i="1"/>
  <c r="A3446" i="1"/>
  <c r="B3446" i="1"/>
  <c r="C3446" i="1"/>
  <c r="D3446" i="1"/>
  <c r="E3446" i="1"/>
  <c r="F3446" i="1"/>
  <c r="H3446" i="1"/>
  <c r="A3447" i="1"/>
  <c r="B3447" i="1"/>
  <c r="C3447" i="1"/>
  <c r="D3447" i="1"/>
  <c r="E3447" i="1"/>
  <c r="F3447" i="1"/>
  <c r="H3447" i="1"/>
  <c r="A3448" i="1"/>
  <c r="B3448" i="1"/>
  <c r="C3448" i="1"/>
  <c r="D3448" i="1"/>
  <c r="E3448" i="1"/>
  <c r="F3448" i="1"/>
  <c r="H3448" i="1"/>
  <c r="A3449" i="1"/>
  <c r="B3449" i="1"/>
  <c r="C3449" i="1"/>
  <c r="D3449" i="1"/>
  <c r="E3449" i="1"/>
  <c r="F3449" i="1"/>
  <c r="H3449" i="1"/>
  <c r="A3450" i="1"/>
  <c r="B3450" i="1"/>
  <c r="C3450" i="1"/>
  <c r="D3450" i="1"/>
  <c r="E3450" i="1"/>
  <c r="F3450" i="1"/>
  <c r="H3450" i="1"/>
  <c r="A3451" i="1"/>
  <c r="B3451" i="1"/>
  <c r="C3451" i="1"/>
  <c r="D3451" i="1"/>
  <c r="E3451" i="1"/>
  <c r="F3451" i="1"/>
  <c r="H3451" i="1"/>
  <c r="A3452" i="1"/>
  <c r="B3452" i="1"/>
  <c r="C3452" i="1"/>
  <c r="D3452" i="1"/>
  <c r="E3452" i="1"/>
  <c r="F3452" i="1"/>
  <c r="H3452" i="1"/>
  <c r="A3453" i="1"/>
  <c r="B3453" i="1"/>
  <c r="C3453" i="1"/>
  <c r="D3453" i="1"/>
  <c r="E3453" i="1"/>
  <c r="F3453" i="1"/>
  <c r="H3453" i="1"/>
  <c r="A3454" i="1"/>
  <c r="B3454" i="1"/>
  <c r="C3454" i="1"/>
  <c r="D3454" i="1"/>
  <c r="E3454" i="1"/>
  <c r="F3454" i="1"/>
  <c r="H3454" i="1"/>
  <c r="A3455" i="1"/>
  <c r="B3455" i="1"/>
  <c r="C3455" i="1"/>
  <c r="D3455" i="1"/>
  <c r="E3455" i="1"/>
  <c r="F3455" i="1"/>
  <c r="H3455" i="1"/>
  <c r="A3456" i="1"/>
  <c r="B3456" i="1"/>
  <c r="C3456" i="1"/>
  <c r="D3456" i="1"/>
  <c r="E3456" i="1"/>
  <c r="F3456" i="1"/>
  <c r="H3456" i="1"/>
  <c r="A3457" i="1"/>
  <c r="B3457" i="1"/>
  <c r="C3457" i="1"/>
  <c r="D3457" i="1"/>
  <c r="E3457" i="1"/>
  <c r="F3457" i="1"/>
  <c r="H3457" i="1"/>
  <c r="A3458" i="1"/>
  <c r="B3458" i="1"/>
  <c r="C3458" i="1"/>
  <c r="D3458" i="1"/>
  <c r="E3458" i="1"/>
  <c r="F3458" i="1"/>
  <c r="H3458" i="1"/>
  <c r="A3459" i="1"/>
  <c r="B3459" i="1"/>
  <c r="C3459" i="1"/>
  <c r="D3459" i="1"/>
  <c r="E3459" i="1"/>
  <c r="F3459" i="1"/>
  <c r="H3459" i="1"/>
  <c r="A3460" i="1"/>
  <c r="B3460" i="1"/>
  <c r="C3460" i="1"/>
  <c r="D3460" i="1"/>
  <c r="E3460" i="1"/>
  <c r="F3460" i="1"/>
  <c r="H3460" i="1"/>
  <c r="A3461" i="1"/>
  <c r="B3461" i="1"/>
  <c r="C3461" i="1"/>
  <c r="D3461" i="1"/>
  <c r="E3461" i="1"/>
  <c r="F3461" i="1"/>
  <c r="H3461" i="1"/>
  <c r="A3462" i="1"/>
  <c r="B3462" i="1"/>
  <c r="C3462" i="1"/>
  <c r="D3462" i="1"/>
  <c r="E3462" i="1"/>
  <c r="F3462" i="1"/>
  <c r="H3462" i="1"/>
  <c r="A3463" i="1"/>
  <c r="B3463" i="1"/>
  <c r="C3463" i="1"/>
  <c r="D3463" i="1"/>
  <c r="E3463" i="1"/>
  <c r="F3463" i="1"/>
  <c r="H3463" i="1"/>
  <c r="A3464" i="1"/>
  <c r="B3464" i="1"/>
  <c r="C3464" i="1"/>
  <c r="D3464" i="1"/>
  <c r="E3464" i="1"/>
  <c r="F3464" i="1"/>
  <c r="H3464" i="1"/>
  <c r="A3465" i="1"/>
  <c r="B3465" i="1"/>
  <c r="C3465" i="1"/>
  <c r="D3465" i="1"/>
  <c r="E3465" i="1"/>
  <c r="F3465" i="1"/>
  <c r="H3465" i="1"/>
  <c r="A3466" i="1"/>
  <c r="B3466" i="1"/>
  <c r="C3466" i="1"/>
  <c r="D3466" i="1"/>
  <c r="E3466" i="1"/>
  <c r="F3466" i="1"/>
  <c r="H3466" i="1"/>
  <c r="A3467" i="1"/>
  <c r="B3467" i="1"/>
  <c r="C3467" i="1"/>
  <c r="D3467" i="1"/>
  <c r="E3467" i="1"/>
  <c r="F3467" i="1"/>
  <c r="H3467" i="1"/>
  <c r="A3468" i="1"/>
  <c r="B3468" i="1"/>
  <c r="C3468" i="1"/>
  <c r="D3468" i="1"/>
  <c r="E3468" i="1"/>
  <c r="F3468" i="1"/>
  <c r="H3468" i="1"/>
  <c r="A3469" i="1"/>
  <c r="B3469" i="1"/>
  <c r="C3469" i="1"/>
  <c r="D3469" i="1"/>
  <c r="E3469" i="1"/>
  <c r="F3469" i="1"/>
  <c r="H3469" i="1"/>
  <c r="A3470" i="1"/>
  <c r="B3470" i="1"/>
  <c r="C3470" i="1"/>
  <c r="D3470" i="1"/>
  <c r="E3470" i="1"/>
  <c r="F3470" i="1"/>
  <c r="H3470" i="1"/>
  <c r="A3471" i="1"/>
  <c r="B3471" i="1"/>
  <c r="C3471" i="1"/>
  <c r="D3471" i="1"/>
  <c r="E3471" i="1"/>
  <c r="F3471" i="1"/>
  <c r="H3471" i="1"/>
  <c r="A3472" i="1"/>
  <c r="B3472" i="1"/>
  <c r="C3472" i="1"/>
  <c r="D3472" i="1"/>
  <c r="E3472" i="1"/>
  <c r="F3472" i="1"/>
  <c r="H3472" i="1"/>
  <c r="A3473" i="1"/>
  <c r="B3473" i="1"/>
  <c r="C3473" i="1"/>
  <c r="D3473" i="1"/>
  <c r="E3473" i="1"/>
  <c r="F3473" i="1"/>
  <c r="H3473" i="1"/>
  <c r="A3474" i="1"/>
  <c r="B3474" i="1"/>
  <c r="C3474" i="1"/>
  <c r="D3474" i="1"/>
  <c r="E3474" i="1"/>
  <c r="F3474" i="1"/>
  <c r="H3474" i="1"/>
  <c r="A3475" i="1"/>
  <c r="B3475" i="1"/>
  <c r="C3475" i="1"/>
  <c r="D3475" i="1"/>
  <c r="E3475" i="1"/>
  <c r="F3475" i="1"/>
  <c r="H3475" i="1"/>
  <c r="A3476" i="1"/>
  <c r="B3476" i="1"/>
  <c r="C3476" i="1"/>
  <c r="D3476" i="1"/>
  <c r="E3476" i="1"/>
  <c r="F3476" i="1"/>
  <c r="H3476" i="1"/>
  <c r="A3477" i="1"/>
  <c r="B3477" i="1"/>
  <c r="C3477" i="1"/>
  <c r="D3477" i="1"/>
  <c r="E3477" i="1"/>
  <c r="F3477" i="1"/>
  <c r="H3477" i="1"/>
  <c r="A3478" i="1"/>
  <c r="B3478" i="1"/>
  <c r="C3478" i="1"/>
  <c r="D3478" i="1"/>
  <c r="E3478" i="1"/>
  <c r="F3478" i="1"/>
  <c r="H3478" i="1"/>
  <c r="A3479" i="1"/>
  <c r="B3479" i="1"/>
  <c r="C3479" i="1"/>
  <c r="D3479" i="1"/>
  <c r="E3479" i="1"/>
  <c r="F3479" i="1"/>
  <c r="H3479" i="1"/>
  <c r="A3480" i="1"/>
  <c r="B3480" i="1"/>
  <c r="C3480" i="1"/>
  <c r="D3480" i="1"/>
  <c r="E3480" i="1"/>
  <c r="F3480" i="1"/>
  <c r="H3480" i="1"/>
  <c r="A3481" i="1"/>
  <c r="B3481" i="1"/>
  <c r="C3481" i="1"/>
  <c r="D3481" i="1"/>
  <c r="E3481" i="1"/>
  <c r="F3481" i="1"/>
  <c r="H3481" i="1"/>
  <c r="A3482" i="1"/>
  <c r="B3482" i="1"/>
  <c r="C3482" i="1"/>
  <c r="D3482" i="1"/>
  <c r="E3482" i="1"/>
  <c r="F3482" i="1"/>
  <c r="H3482" i="1"/>
  <c r="A3483" i="1"/>
  <c r="B3483" i="1"/>
  <c r="C3483" i="1"/>
  <c r="D3483" i="1"/>
  <c r="E3483" i="1"/>
  <c r="F3483" i="1"/>
  <c r="H3483" i="1"/>
  <c r="A3484" i="1"/>
  <c r="B3484" i="1"/>
  <c r="C3484" i="1"/>
  <c r="D3484" i="1"/>
  <c r="E3484" i="1"/>
  <c r="F3484" i="1"/>
  <c r="H3484" i="1"/>
  <c r="A3485" i="1"/>
  <c r="B3485" i="1"/>
  <c r="C3485" i="1"/>
  <c r="D3485" i="1"/>
  <c r="E3485" i="1"/>
  <c r="F3485" i="1"/>
  <c r="H3485" i="1"/>
  <c r="A3486" i="1"/>
  <c r="B3486" i="1"/>
  <c r="C3486" i="1"/>
  <c r="D3486" i="1"/>
  <c r="E3486" i="1"/>
  <c r="F3486" i="1"/>
  <c r="H3486" i="1"/>
  <c r="A3487" i="1"/>
  <c r="B3487" i="1"/>
  <c r="C3487" i="1"/>
  <c r="D3487" i="1"/>
  <c r="E3487" i="1"/>
  <c r="F3487" i="1"/>
  <c r="H3487" i="1"/>
  <c r="A3488" i="1"/>
  <c r="B3488" i="1"/>
  <c r="C3488" i="1"/>
  <c r="D3488" i="1"/>
  <c r="E3488" i="1"/>
  <c r="F3488" i="1"/>
  <c r="H3488" i="1"/>
  <c r="A3489" i="1"/>
  <c r="B3489" i="1"/>
  <c r="C3489" i="1"/>
  <c r="D3489" i="1"/>
  <c r="E3489" i="1"/>
  <c r="F3489" i="1"/>
  <c r="H3489" i="1"/>
  <c r="A3490" i="1"/>
  <c r="B3490" i="1"/>
  <c r="C3490" i="1"/>
  <c r="D3490" i="1"/>
  <c r="E3490" i="1"/>
  <c r="F3490" i="1"/>
  <c r="H3490" i="1"/>
  <c r="A3491" i="1"/>
  <c r="B3491" i="1"/>
  <c r="C3491" i="1"/>
  <c r="D3491" i="1"/>
  <c r="E3491" i="1"/>
  <c r="F3491" i="1"/>
  <c r="H3491" i="1"/>
  <c r="A3492" i="1"/>
  <c r="B3492" i="1"/>
  <c r="C3492" i="1"/>
  <c r="D3492" i="1"/>
  <c r="E3492" i="1"/>
  <c r="F3492" i="1"/>
  <c r="H3492" i="1"/>
  <c r="A3493" i="1"/>
  <c r="B3493" i="1"/>
  <c r="C3493" i="1"/>
  <c r="D3493" i="1"/>
  <c r="E3493" i="1"/>
  <c r="F3493" i="1"/>
  <c r="H3493" i="1"/>
  <c r="A3494" i="1"/>
  <c r="B3494" i="1"/>
  <c r="C3494" i="1"/>
  <c r="D3494" i="1"/>
  <c r="E3494" i="1"/>
  <c r="F3494" i="1"/>
  <c r="H3494" i="1"/>
  <c r="A3495" i="1"/>
  <c r="B3495" i="1"/>
  <c r="C3495" i="1"/>
  <c r="D3495" i="1"/>
  <c r="E3495" i="1"/>
  <c r="F3495" i="1"/>
  <c r="H3495" i="1"/>
  <c r="A3496" i="1"/>
  <c r="B3496" i="1"/>
  <c r="C3496" i="1"/>
  <c r="D3496" i="1"/>
  <c r="E3496" i="1"/>
  <c r="F3496" i="1"/>
  <c r="H3496" i="1"/>
  <c r="A3497" i="1"/>
  <c r="B3497" i="1"/>
  <c r="C3497" i="1"/>
  <c r="D3497" i="1"/>
  <c r="E3497" i="1"/>
  <c r="F3497" i="1"/>
  <c r="H3497" i="1"/>
  <c r="A3498" i="1"/>
  <c r="B3498" i="1"/>
  <c r="C3498" i="1"/>
  <c r="D3498" i="1"/>
  <c r="E3498" i="1"/>
  <c r="F3498" i="1"/>
  <c r="H3498" i="1"/>
  <c r="A3499" i="1"/>
  <c r="B3499" i="1"/>
  <c r="C3499" i="1"/>
  <c r="D3499" i="1"/>
  <c r="E3499" i="1"/>
  <c r="F3499" i="1"/>
  <c r="H3499" i="1"/>
  <c r="A3500" i="1"/>
  <c r="B3500" i="1"/>
  <c r="C3500" i="1"/>
  <c r="D3500" i="1"/>
  <c r="E3500" i="1"/>
  <c r="F3500" i="1"/>
  <c r="H3500" i="1"/>
  <c r="A3501" i="1"/>
  <c r="B3501" i="1"/>
  <c r="C3501" i="1"/>
  <c r="D3501" i="1"/>
  <c r="E3501" i="1"/>
  <c r="F3501" i="1"/>
  <c r="H3501" i="1"/>
  <c r="A3502" i="1"/>
  <c r="B3502" i="1"/>
  <c r="C3502" i="1"/>
  <c r="D3502" i="1"/>
  <c r="E3502" i="1"/>
  <c r="F3502" i="1"/>
  <c r="H3502" i="1"/>
  <c r="A3503" i="1"/>
  <c r="B3503" i="1"/>
  <c r="C3503" i="1"/>
  <c r="D3503" i="1"/>
  <c r="E3503" i="1"/>
  <c r="F3503" i="1"/>
  <c r="H3503" i="1"/>
  <c r="A3504" i="1"/>
  <c r="B3504" i="1"/>
  <c r="C3504" i="1"/>
  <c r="D3504" i="1"/>
  <c r="E3504" i="1"/>
  <c r="F3504" i="1"/>
  <c r="H3504" i="1"/>
  <c r="A3505" i="1"/>
  <c r="B3505" i="1"/>
  <c r="C3505" i="1"/>
  <c r="D3505" i="1"/>
  <c r="E3505" i="1"/>
  <c r="F3505" i="1"/>
  <c r="H3505" i="1"/>
  <c r="A3506" i="1"/>
  <c r="B3506" i="1"/>
  <c r="C3506" i="1"/>
  <c r="D3506" i="1"/>
  <c r="E3506" i="1"/>
  <c r="F3506" i="1"/>
  <c r="H3506" i="1"/>
  <c r="A3507" i="1"/>
  <c r="B3507" i="1"/>
  <c r="C3507" i="1"/>
  <c r="D3507" i="1"/>
  <c r="E3507" i="1"/>
  <c r="F3507" i="1"/>
  <c r="H3507" i="1"/>
  <c r="A3508" i="1"/>
  <c r="B3508" i="1"/>
  <c r="C3508" i="1"/>
  <c r="D3508" i="1"/>
  <c r="E3508" i="1"/>
  <c r="F3508" i="1"/>
  <c r="H3508" i="1"/>
  <c r="A3509" i="1"/>
  <c r="B3509" i="1"/>
  <c r="C3509" i="1"/>
  <c r="D3509" i="1"/>
  <c r="E3509" i="1"/>
  <c r="F3509" i="1"/>
  <c r="H3509" i="1"/>
  <c r="A3510" i="1"/>
  <c r="B3510" i="1"/>
  <c r="C3510" i="1"/>
  <c r="D3510" i="1"/>
  <c r="E3510" i="1"/>
  <c r="F3510" i="1"/>
  <c r="H3510" i="1"/>
  <c r="A3511" i="1"/>
  <c r="B3511" i="1"/>
  <c r="C3511" i="1"/>
  <c r="D3511" i="1"/>
  <c r="E3511" i="1"/>
  <c r="F3511" i="1"/>
  <c r="H3511" i="1"/>
  <c r="A3512" i="1"/>
  <c r="B3512" i="1"/>
  <c r="C3512" i="1"/>
  <c r="D3512" i="1"/>
  <c r="E3512" i="1"/>
  <c r="F3512" i="1"/>
  <c r="H3512" i="1"/>
  <c r="A3513" i="1"/>
  <c r="B3513" i="1"/>
  <c r="C3513" i="1"/>
  <c r="D3513" i="1"/>
  <c r="E3513" i="1"/>
  <c r="F3513" i="1"/>
  <c r="H3513" i="1"/>
  <c r="A3514" i="1"/>
  <c r="B3514" i="1"/>
  <c r="C3514" i="1"/>
  <c r="D3514" i="1"/>
  <c r="E3514" i="1"/>
  <c r="F3514" i="1"/>
  <c r="H3514" i="1"/>
  <c r="A3515" i="1"/>
  <c r="B3515" i="1"/>
  <c r="C3515" i="1"/>
  <c r="D3515" i="1"/>
  <c r="E3515" i="1"/>
  <c r="F3515" i="1"/>
  <c r="H3515" i="1"/>
  <c r="A3516" i="1"/>
  <c r="B3516" i="1"/>
  <c r="C3516" i="1"/>
  <c r="D3516" i="1"/>
  <c r="E3516" i="1"/>
  <c r="F3516" i="1"/>
  <c r="H3516" i="1"/>
  <c r="A3517" i="1"/>
  <c r="B3517" i="1"/>
  <c r="C3517" i="1"/>
  <c r="D3517" i="1"/>
  <c r="E3517" i="1"/>
  <c r="F3517" i="1"/>
  <c r="H3517" i="1"/>
  <c r="A3518" i="1"/>
  <c r="B3518" i="1"/>
  <c r="C3518" i="1"/>
  <c r="D3518" i="1"/>
  <c r="E3518" i="1"/>
  <c r="F3518" i="1"/>
  <c r="H3518" i="1"/>
  <c r="A3519" i="1"/>
  <c r="B3519" i="1"/>
  <c r="C3519" i="1"/>
  <c r="D3519" i="1"/>
  <c r="E3519" i="1"/>
  <c r="F3519" i="1"/>
  <c r="H3519" i="1"/>
  <c r="A3520" i="1"/>
  <c r="B3520" i="1"/>
  <c r="C3520" i="1"/>
  <c r="D3520" i="1"/>
  <c r="E3520" i="1"/>
  <c r="F3520" i="1"/>
  <c r="H3520" i="1"/>
  <c r="A3521" i="1"/>
  <c r="B3521" i="1"/>
  <c r="C3521" i="1"/>
  <c r="D3521" i="1"/>
  <c r="E3521" i="1"/>
  <c r="F3521" i="1"/>
  <c r="H3521" i="1"/>
  <c r="A3522" i="1"/>
  <c r="B3522" i="1"/>
  <c r="C3522" i="1"/>
  <c r="D3522" i="1"/>
  <c r="E3522" i="1"/>
  <c r="F3522" i="1"/>
  <c r="H3522" i="1"/>
  <c r="A3523" i="1"/>
  <c r="B3523" i="1"/>
  <c r="C3523" i="1"/>
  <c r="D3523" i="1"/>
  <c r="E3523" i="1"/>
  <c r="F3523" i="1"/>
  <c r="H3523" i="1"/>
  <c r="A3524" i="1"/>
  <c r="B3524" i="1"/>
  <c r="C3524" i="1"/>
  <c r="D3524" i="1"/>
  <c r="E3524" i="1"/>
  <c r="F3524" i="1"/>
  <c r="H3524" i="1"/>
  <c r="A3525" i="1"/>
  <c r="B3525" i="1"/>
  <c r="C3525" i="1"/>
  <c r="D3525" i="1"/>
  <c r="E3525" i="1"/>
  <c r="F3525" i="1"/>
  <c r="H3525" i="1"/>
  <c r="A3526" i="1"/>
  <c r="B3526" i="1"/>
  <c r="C3526" i="1"/>
  <c r="D3526" i="1"/>
  <c r="E3526" i="1"/>
  <c r="F3526" i="1"/>
  <c r="H3526" i="1"/>
  <c r="A3527" i="1"/>
  <c r="B3527" i="1"/>
  <c r="C3527" i="1"/>
  <c r="D3527" i="1"/>
  <c r="E3527" i="1"/>
  <c r="F3527" i="1"/>
  <c r="H3527" i="1"/>
  <c r="A3528" i="1"/>
  <c r="B3528" i="1"/>
  <c r="C3528" i="1"/>
  <c r="D3528" i="1"/>
  <c r="E3528" i="1"/>
  <c r="F3528" i="1"/>
  <c r="H3528" i="1"/>
  <c r="A3529" i="1"/>
  <c r="B3529" i="1"/>
  <c r="C3529" i="1"/>
  <c r="D3529" i="1"/>
  <c r="E3529" i="1"/>
  <c r="F3529" i="1"/>
  <c r="H3529" i="1"/>
  <c r="A3530" i="1"/>
  <c r="B3530" i="1"/>
  <c r="C3530" i="1"/>
  <c r="D3530" i="1"/>
  <c r="E3530" i="1"/>
  <c r="F3530" i="1"/>
  <c r="H3530" i="1"/>
  <c r="A3531" i="1"/>
  <c r="B3531" i="1"/>
  <c r="C3531" i="1"/>
  <c r="D3531" i="1"/>
  <c r="E3531" i="1"/>
  <c r="F3531" i="1"/>
  <c r="H3531" i="1"/>
  <c r="A3532" i="1"/>
  <c r="B3532" i="1"/>
  <c r="C3532" i="1"/>
  <c r="D3532" i="1"/>
  <c r="E3532" i="1"/>
  <c r="F3532" i="1"/>
  <c r="H3532" i="1"/>
  <c r="A3533" i="1"/>
  <c r="B3533" i="1"/>
  <c r="C3533" i="1"/>
  <c r="D3533" i="1"/>
  <c r="E3533" i="1"/>
  <c r="F3533" i="1"/>
  <c r="H3533" i="1"/>
  <c r="A3534" i="1"/>
  <c r="B3534" i="1"/>
  <c r="C3534" i="1"/>
  <c r="D3534" i="1"/>
  <c r="E3534" i="1"/>
  <c r="F3534" i="1"/>
  <c r="H3534" i="1"/>
  <c r="A3535" i="1"/>
  <c r="B3535" i="1"/>
  <c r="C3535" i="1"/>
  <c r="D3535" i="1"/>
  <c r="E3535" i="1"/>
  <c r="F3535" i="1"/>
  <c r="H3535" i="1"/>
  <c r="A3536" i="1"/>
  <c r="B3536" i="1"/>
  <c r="C3536" i="1"/>
  <c r="D3536" i="1"/>
  <c r="E3536" i="1"/>
  <c r="F3536" i="1"/>
  <c r="H3536" i="1"/>
  <c r="A3537" i="1"/>
  <c r="B3537" i="1"/>
  <c r="C3537" i="1"/>
  <c r="D3537" i="1"/>
  <c r="E3537" i="1"/>
  <c r="F3537" i="1"/>
  <c r="H3537" i="1"/>
  <c r="A3538" i="1"/>
  <c r="B3538" i="1"/>
  <c r="C3538" i="1"/>
  <c r="D3538" i="1"/>
  <c r="E3538" i="1"/>
  <c r="F3538" i="1"/>
  <c r="H3538" i="1"/>
  <c r="A3539" i="1"/>
  <c r="B3539" i="1"/>
  <c r="C3539" i="1"/>
  <c r="D3539" i="1"/>
  <c r="E3539" i="1"/>
  <c r="F3539" i="1"/>
  <c r="H3539" i="1"/>
  <c r="A3540" i="1"/>
  <c r="B3540" i="1"/>
  <c r="C3540" i="1"/>
  <c r="D3540" i="1"/>
  <c r="E3540" i="1"/>
  <c r="F3540" i="1"/>
  <c r="H3540" i="1"/>
  <c r="A3541" i="1"/>
  <c r="B3541" i="1"/>
  <c r="C3541" i="1"/>
  <c r="D3541" i="1"/>
  <c r="E3541" i="1"/>
  <c r="F3541" i="1"/>
  <c r="H3541" i="1"/>
  <c r="A3542" i="1"/>
  <c r="B3542" i="1"/>
  <c r="C3542" i="1"/>
  <c r="D3542" i="1"/>
  <c r="E3542" i="1"/>
  <c r="F3542" i="1"/>
  <c r="H3542" i="1"/>
  <c r="A3543" i="1"/>
  <c r="B3543" i="1"/>
  <c r="C3543" i="1"/>
  <c r="D3543" i="1"/>
  <c r="E3543" i="1"/>
  <c r="F3543" i="1"/>
  <c r="H3543" i="1"/>
  <c r="A3544" i="1"/>
  <c r="B3544" i="1"/>
  <c r="C3544" i="1"/>
  <c r="D3544" i="1"/>
  <c r="E3544" i="1"/>
  <c r="F3544" i="1"/>
  <c r="H3544" i="1"/>
  <c r="A3545" i="1"/>
  <c r="B3545" i="1"/>
  <c r="C3545" i="1"/>
  <c r="D3545" i="1"/>
  <c r="E3545" i="1"/>
  <c r="F3545" i="1"/>
  <c r="H3545" i="1"/>
  <c r="A3546" i="1"/>
  <c r="B3546" i="1"/>
  <c r="C3546" i="1"/>
  <c r="D3546" i="1"/>
  <c r="E3546" i="1"/>
  <c r="F3546" i="1"/>
  <c r="H3546" i="1"/>
  <c r="A3547" i="1"/>
  <c r="B3547" i="1"/>
  <c r="C3547" i="1"/>
  <c r="D3547" i="1"/>
  <c r="E3547" i="1"/>
  <c r="F3547" i="1"/>
  <c r="H3547" i="1"/>
  <c r="A3548" i="1"/>
  <c r="B3548" i="1"/>
  <c r="C3548" i="1"/>
  <c r="D3548" i="1"/>
  <c r="E3548" i="1"/>
  <c r="F3548" i="1"/>
  <c r="H3548" i="1"/>
  <c r="A3549" i="1"/>
  <c r="B3549" i="1"/>
  <c r="C3549" i="1"/>
  <c r="D3549" i="1"/>
  <c r="E3549" i="1"/>
  <c r="F3549" i="1"/>
  <c r="H3549" i="1"/>
  <c r="A3550" i="1"/>
  <c r="B3550" i="1"/>
  <c r="C3550" i="1"/>
  <c r="D3550" i="1"/>
  <c r="E3550" i="1"/>
  <c r="F3550" i="1"/>
  <c r="H3550" i="1"/>
  <c r="A3551" i="1"/>
  <c r="B3551" i="1"/>
  <c r="C3551" i="1"/>
  <c r="D3551" i="1"/>
  <c r="E3551" i="1"/>
  <c r="F3551" i="1"/>
  <c r="H3551" i="1"/>
  <c r="A3552" i="1"/>
  <c r="B3552" i="1"/>
  <c r="C3552" i="1"/>
  <c r="D3552" i="1"/>
  <c r="E3552" i="1"/>
  <c r="F3552" i="1"/>
  <c r="H3552" i="1"/>
  <c r="A3553" i="1"/>
  <c r="B3553" i="1"/>
  <c r="C3553" i="1"/>
  <c r="D3553" i="1"/>
  <c r="E3553" i="1"/>
  <c r="F3553" i="1"/>
  <c r="H3553" i="1"/>
  <c r="A3554" i="1"/>
  <c r="B3554" i="1"/>
  <c r="C3554" i="1"/>
  <c r="D3554" i="1"/>
  <c r="E3554" i="1"/>
  <c r="F3554" i="1"/>
  <c r="H3554" i="1"/>
  <c r="A3555" i="1"/>
  <c r="B3555" i="1"/>
  <c r="C3555" i="1"/>
  <c r="D3555" i="1"/>
  <c r="E3555" i="1"/>
  <c r="F3555" i="1"/>
  <c r="H3555" i="1"/>
  <c r="A3556" i="1"/>
  <c r="B3556" i="1"/>
  <c r="C3556" i="1"/>
  <c r="D3556" i="1"/>
  <c r="E3556" i="1"/>
  <c r="F3556" i="1"/>
  <c r="H3556" i="1"/>
  <c r="A3557" i="1"/>
  <c r="B3557" i="1"/>
  <c r="C3557" i="1"/>
  <c r="D3557" i="1"/>
  <c r="E3557" i="1"/>
  <c r="F3557" i="1"/>
  <c r="H3557" i="1"/>
  <c r="A3558" i="1"/>
  <c r="B3558" i="1"/>
  <c r="C3558" i="1"/>
  <c r="D3558" i="1"/>
  <c r="E3558" i="1"/>
  <c r="F3558" i="1"/>
  <c r="H3558" i="1"/>
  <c r="A3559" i="1"/>
  <c r="B3559" i="1"/>
  <c r="C3559" i="1"/>
  <c r="D3559" i="1"/>
  <c r="E3559" i="1"/>
  <c r="F3559" i="1"/>
  <c r="H3559" i="1"/>
  <c r="A3560" i="1"/>
  <c r="B3560" i="1"/>
  <c r="C3560" i="1"/>
  <c r="D3560" i="1"/>
  <c r="E3560" i="1"/>
  <c r="F3560" i="1"/>
  <c r="H3560" i="1"/>
  <c r="A3561" i="1"/>
  <c r="B3561" i="1"/>
  <c r="C3561" i="1"/>
  <c r="D3561" i="1"/>
  <c r="E3561" i="1"/>
  <c r="F3561" i="1"/>
  <c r="H3561" i="1"/>
  <c r="A3562" i="1"/>
  <c r="B3562" i="1"/>
  <c r="C3562" i="1"/>
  <c r="D3562" i="1"/>
  <c r="E3562" i="1"/>
  <c r="F3562" i="1"/>
  <c r="H3562" i="1"/>
  <c r="A3563" i="1"/>
  <c r="B3563" i="1"/>
  <c r="C3563" i="1"/>
  <c r="D3563" i="1"/>
  <c r="E3563" i="1"/>
  <c r="F3563" i="1"/>
  <c r="H3563" i="1"/>
  <c r="A3564" i="1"/>
  <c r="B3564" i="1"/>
  <c r="C3564" i="1"/>
  <c r="D3564" i="1"/>
  <c r="E3564" i="1"/>
  <c r="F3564" i="1"/>
  <c r="H3564" i="1"/>
  <c r="A3565" i="1"/>
  <c r="B3565" i="1"/>
  <c r="C3565" i="1"/>
  <c r="D3565" i="1"/>
  <c r="E3565" i="1"/>
  <c r="F3565" i="1"/>
  <c r="H3565" i="1"/>
  <c r="A3566" i="1"/>
  <c r="B3566" i="1"/>
  <c r="C3566" i="1"/>
  <c r="D3566" i="1"/>
  <c r="E3566" i="1"/>
  <c r="F3566" i="1"/>
  <c r="H3566" i="1"/>
  <c r="A3567" i="1"/>
  <c r="B3567" i="1"/>
  <c r="C3567" i="1"/>
  <c r="D3567" i="1"/>
  <c r="E3567" i="1"/>
  <c r="F3567" i="1"/>
  <c r="H3567" i="1"/>
  <c r="A3568" i="1"/>
  <c r="B3568" i="1"/>
  <c r="C3568" i="1"/>
  <c r="D3568" i="1"/>
  <c r="E3568" i="1"/>
  <c r="F3568" i="1"/>
  <c r="H3568" i="1"/>
  <c r="A3569" i="1"/>
  <c r="B3569" i="1"/>
  <c r="C3569" i="1"/>
  <c r="D3569" i="1"/>
  <c r="E3569" i="1"/>
  <c r="F3569" i="1"/>
  <c r="H3569" i="1"/>
  <c r="A3570" i="1"/>
  <c r="B3570" i="1"/>
  <c r="C3570" i="1"/>
  <c r="D3570" i="1"/>
  <c r="E3570" i="1"/>
  <c r="F3570" i="1"/>
  <c r="H3570" i="1"/>
  <c r="A3571" i="1"/>
  <c r="B3571" i="1"/>
  <c r="C3571" i="1"/>
  <c r="D3571" i="1"/>
  <c r="E3571" i="1"/>
  <c r="F3571" i="1"/>
  <c r="H3571" i="1"/>
  <c r="A3572" i="1"/>
  <c r="B3572" i="1"/>
  <c r="C3572" i="1"/>
  <c r="D3572" i="1"/>
  <c r="E3572" i="1"/>
  <c r="F3572" i="1"/>
  <c r="H3572" i="1"/>
  <c r="A3573" i="1"/>
  <c r="B3573" i="1"/>
  <c r="C3573" i="1"/>
  <c r="D3573" i="1"/>
  <c r="E3573" i="1"/>
  <c r="F3573" i="1"/>
  <c r="H3573" i="1"/>
  <c r="A3574" i="1"/>
  <c r="B3574" i="1"/>
  <c r="C3574" i="1"/>
  <c r="D3574" i="1"/>
  <c r="E3574" i="1"/>
  <c r="F3574" i="1"/>
  <c r="H3574" i="1"/>
  <c r="A3575" i="1"/>
  <c r="B3575" i="1"/>
  <c r="C3575" i="1"/>
  <c r="D3575" i="1"/>
  <c r="E3575" i="1"/>
  <c r="F3575" i="1"/>
  <c r="H3575" i="1"/>
  <c r="A3576" i="1"/>
  <c r="B3576" i="1"/>
  <c r="C3576" i="1"/>
  <c r="D3576" i="1"/>
  <c r="E3576" i="1"/>
  <c r="F3576" i="1"/>
  <c r="H3576" i="1"/>
  <c r="A3577" i="1"/>
  <c r="B3577" i="1"/>
  <c r="C3577" i="1"/>
  <c r="D3577" i="1"/>
  <c r="E3577" i="1"/>
  <c r="F3577" i="1"/>
  <c r="H3577" i="1"/>
  <c r="A3578" i="1"/>
  <c r="B3578" i="1"/>
  <c r="C3578" i="1"/>
  <c r="D3578" i="1"/>
  <c r="E3578" i="1"/>
  <c r="F3578" i="1"/>
  <c r="H3578" i="1"/>
  <c r="A3579" i="1"/>
  <c r="B3579" i="1"/>
  <c r="C3579" i="1"/>
  <c r="D3579" i="1"/>
  <c r="E3579" i="1"/>
  <c r="F3579" i="1"/>
  <c r="H3579" i="1"/>
  <c r="A3580" i="1"/>
  <c r="B3580" i="1"/>
  <c r="C3580" i="1"/>
  <c r="D3580" i="1"/>
  <c r="E3580" i="1"/>
  <c r="F3580" i="1"/>
  <c r="H3580" i="1"/>
  <c r="A3581" i="1"/>
  <c r="B3581" i="1"/>
  <c r="C3581" i="1"/>
  <c r="D3581" i="1"/>
  <c r="E3581" i="1"/>
  <c r="F3581" i="1"/>
  <c r="H3581" i="1"/>
  <c r="A3582" i="1"/>
  <c r="B3582" i="1"/>
  <c r="C3582" i="1"/>
  <c r="D3582" i="1"/>
  <c r="E3582" i="1"/>
  <c r="F3582" i="1"/>
  <c r="H3582" i="1"/>
  <c r="A3583" i="1"/>
  <c r="B3583" i="1"/>
  <c r="C3583" i="1"/>
  <c r="D3583" i="1"/>
  <c r="E3583" i="1"/>
  <c r="F3583" i="1"/>
  <c r="H3583" i="1"/>
  <c r="A3584" i="1"/>
  <c r="B3584" i="1"/>
  <c r="C3584" i="1"/>
  <c r="D3584" i="1"/>
  <c r="E3584" i="1"/>
  <c r="F3584" i="1"/>
  <c r="H3584" i="1"/>
  <c r="A3585" i="1"/>
  <c r="B3585" i="1"/>
  <c r="C3585" i="1"/>
  <c r="D3585" i="1"/>
  <c r="E3585" i="1"/>
  <c r="F3585" i="1"/>
  <c r="H3585" i="1"/>
  <c r="A3586" i="1"/>
  <c r="B3586" i="1"/>
  <c r="C3586" i="1"/>
  <c r="D3586" i="1"/>
  <c r="E3586" i="1"/>
  <c r="F3586" i="1"/>
  <c r="H3586" i="1"/>
  <c r="A3587" i="1"/>
  <c r="B3587" i="1"/>
  <c r="C3587" i="1"/>
  <c r="D3587" i="1"/>
  <c r="E3587" i="1"/>
  <c r="F3587" i="1"/>
  <c r="H3587" i="1"/>
  <c r="A3588" i="1"/>
  <c r="B3588" i="1"/>
  <c r="C3588" i="1"/>
  <c r="D3588" i="1"/>
  <c r="E3588" i="1"/>
  <c r="F3588" i="1"/>
  <c r="H3588" i="1"/>
  <c r="A3589" i="1"/>
  <c r="B3589" i="1"/>
  <c r="C3589" i="1"/>
  <c r="D3589" i="1"/>
  <c r="E3589" i="1"/>
  <c r="F3589" i="1"/>
  <c r="H3589" i="1"/>
  <c r="A3590" i="1"/>
  <c r="B3590" i="1"/>
  <c r="C3590" i="1"/>
  <c r="D3590" i="1"/>
  <c r="E3590" i="1"/>
  <c r="F3590" i="1"/>
  <c r="H3590" i="1"/>
  <c r="A3591" i="1"/>
  <c r="B3591" i="1"/>
  <c r="C3591" i="1"/>
  <c r="D3591" i="1"/>
  <c r="E3591" i="1"/>
  <c r="F3591" i="1"/>
  <c r="H3591" i="1"/>
  <c r="A3592" i="1"/>
  <c r="B3592" i="1"/>
  <c r="C3592" i="1"/>
  <c r="D3592" i="1"/>
  <c r="E3592" i="1"/>
  <c r="F3592" i="1"/>
  <c r="H3592" i="1"/>
  <c r="A3593" i="1"/>
  <c r="B3593" i="1"/>
  <c r="C3593" i="1"/>
  <c r="D3593" i="1"/>
  <c r="E3593" i="1"/>
  <c r="F3593" i="1"/>
  <c r="H3593" i="1"/>
  <c r="A3594" i="1"/>
  <c r="B3594" i="1"/>
  <c r="C3594" i="1"/>
  <c r="D3594" i="1"/>
  <c r="E3594" i="1"/>
  <c r="F3594" i="1"/>
  <c r="H3594" i="1"/>
  <c r="A3595" i="1"/>
  <c r="B3595" i="1"/>
  <c r="C3595" i="1"/>
  <c r="D3595" i="1"/>
  <c r="E3595" i="1"/>
  <c r="F3595" i="1"/>
  <c r="H3595" i="1"/>
  <c r="A3596" i="1"/>
  <c r="B3596" i="1"/>
  <c r="C3596" i="1"/>
  <c r="D3596" i="1"/>
  <c r="E3596" i="1"/>
  <c r="F3596" i="1"/>
  <c r="H3596" i="1"/>
  <c r="A3597" i="1"/>
  <c r="B3597" i="1"/>
  <c r="C3597" i="1"/>
  <c r="D3597" i="1"/>
  <c r="E3597" i="1"/>
  <c r="F3597" i="1"/>
  <c r="H3597" i="1"/>
  <c r="A3598" i="1"/>
  <c r="B3598" i="1"/>
  <c r="C3598" i="1"/>
  <c r="D3598" i="1"/>
  <c r="E3598" i="1"/>
  <c r="F3598" i="1"/>
  <c r="H3598" i="1"/>
  <c r="A3599" i="1"/>
  <c r="B3599" i="1"/>
  <c r="C3599" i="1"/>
  <c r="D3599" i="1"/>
  <c r="E3599" i="1"/>
  <c r="F3599" i="1"/>
  <c r="H3599" i="1"/>
  <c r="A3600" i="1"/>
  <c r="B3600" i="1"/>
  <c r="C3600" i="1"/>
  <c r="D3600" i="1"/>
  <c r="E3600" i="1"/>
  <c r="F3600" i="1"/>
  <c r="H3600" i="1"/>
  <c r="A3601" i="1"/>
  <c r="B3601" i="1"/>
  <c r="C3601" i="1"/>
  <c r="D3601" i="1"/>
  <c r="E3601" i="1"/>
  <c r="F3601" i="1"/>
  <c r="H3601" i="1"/>
  <c r="A3602" i="1"/>
  <c r="B3602" i="1"/>
  <c r="C3602" i="1"/>
  <c r="D3602" i="1"/>
  <c r="E3602" i="1"/>
  <c r="F3602" i="1"/>
  <c r="H3602" i="1"/>
  <c r="A3603" i="1"/>
  <c r="B3603" i="1"/>
  <c r="C3603" i="1"/>
  <c r="D3603" i="1"/>
  <c r="E3603" i="1"/>
  <c r="F3603" i="1"/>
  <c r="H3603" i="1"/>
  <c r="A3604" i="1"/>
  <c r="B3604" i="1"/>
  <c r="C3604" i="1"/>
  <c r="D3604" i="1"/>
  <c r="E3604" i="1"/>
  <c r="F3604" i="1"/>
  <c r="H3604" i="1"/>
  <c r="A3605" i="1"/>
  <c r="B3605" i="1"/>
  <c r="C3605" i="1"/>
  <c r="D3605" i="1"/>
  <c r="E3605" i="1"/>
  <c r="F3605" i="1"/>
  <c r="H3605" i="1"/>
  <c r="A3606" i="1"/>
  <c r="B3606" i="1"/>
  <c r="C3606" i="1"/>
  <c r="D3606" i="1"/>
  <c r="E3606" i="1"/>
  <c r="F3606" i="1"/>
  <c r="H3606" i="1"/>
  <c r="A3607" i="1"/>
  <c r="B3607" i="1"/>
  <c r="C3607" i="1"/>
  <c r="D3607" i="1"/>
  <c r="E3607" i="1"/>
  <c r="F3607" i="1"/>
  <c r="H3607" i="1"/>
  <c r="A3608" i="1"/>
  <c r="B3608" i="1"/>
  <c r="C3608" i="1"/>
  <c r="D3608" i="1"/>
  <c r="E3608" i="1"/>
  <c r="F3608" i="1"/>
  <c r="H3608" i="1"/>
  <c r="A3609" i="1"/>
  <c r="B3609" i="1"/>
  <c r="C3609" i="1"/>
  <c r="D3609" i="1"/>
  <c r="E3609" i="1"/>
  <c r="F3609" i="1"/>
  <c r="H3609" i="1"/>
  <c r="A3610" i="1"/>
  <c r="B3610" i="1"/>
  <c r="C3610" i="1"/>
  <c r="D3610" i="1"/>
  <c r="E3610" i="1"/>
  <c r="F3610" i="1"/>
  <c r="H3610" i="1"/>
  <c r="A3611" i="1"/>
  <c r="B3611" i="1"/>
  <c r="C3611" i="1"/>
  <c r="D3611" i="1"/>
  <c r="E3611" i="1"/>
  <c r="F3611" i="1"/>
  <c r="H3611" i="1"/>
  <c r="A3612" i="1"/>
  <c r="B3612" i="1"/>
  <c r="C3612" i="1"/>
  <c r="D3612" i="1"/>
  <c r="E3612" i="1"/>
  <c r="F3612" i="1"/>
  <c r="H3612" i="1"/>
  <c r="A3613" i="1"/>
  <c r="B3613" i="1"/>
  <c r="C3613" i="1"/>
  <c r="D3613" i="1"/>
  <c r="E3613" i="1"/>
  <c r="F3613" i="1"/>
  <c r="H3613" i="1"/>
  <c r="A3614" i="1"/>
  <c r="B3614" i="1"/>
  <c r="C3614" i="1"/>
  <c r="D3614" i="1"/>
  <c r="E3614" i="1"/>
  <c r="F3614" i="1"/>
  <c r="H3614" i="1"/>
  <c r="A3615" i="1"/>
  <c r="B3615" i="1"/>
  <c r="C3615" i="1"/>
  <c r="D3615" i="1"/>
  <c r="E3615" i="1"/>
  <c r="F3615" i="1"/>
  <c r="H3615" i="1"/>
  <c r="A3616" i="1"/>
  <c r="B3616" i="1"/>
  <c r="C3616" i="1"/>
  <c r="D3616" i="1"/>
  <c r="E3616" i="1"/>
  <c r="F3616" i="1"/>
  <c r="H3616" i="1"/>
  <c r="A3617" i="1"/>
  <c r="B3617" i="1"/>
  <c r="C3617" i="1"/>
  <c r="D3617" i="1"/>
  <c r="E3617" i="1"/>
  <c r="F3617" i="1"/>
  <c r="H3617" i="1"/>
  <c r="A3618" i="1"/>
  <c r="B3618" i="1"/>
  <c r="C3618" i="1"/>
  <c r="D3618" i="1"/>
  <c r="E3618" i="1"/>
  <c r="F3618" i="1"/>
  <c r="H3618" i="1"/>
  <c r="A3619" i="1"/>
  <c r="B3619" i="1"/>
  <c r="C3619" i="1"/>
  <c r="D3619" i="1"/>
  <c r="E3619" i="1"/>
  <c r="F3619" i="1"/>
  <c r="H3619" i="1"/>
  <c r="A3620" i="1"/>
  <c r="B3620" i="1"/>
  <c r="C3620" i="1"/>
  <c r="D3620" i="1"/>
  <c r="E3620" i="1"/>
  <c r="F3620" i="1"/>
  <c r="H3620" i="1"/>
  <c r="A3621" i="1"/>
  <c r="B3621" i="1"/>
  <c r="C3621" i="1"/>
  <c r="D3621" i="1"/>
  <c r="E3621" i="1"/>
  <c r="F3621" i="1"/>
  <c r="H3621" i="1"/>
  <c r="A3622" i="1"/>
  <c r="B3622" i="1"/>
  <c r="C3622" i="1"/>
  <c r="D3622" i="1"/>
  <c r="E3622" i="1"/>
  <c r="F3622" i="1"/>
  <c r="H3622" i="1"/>
  <c r="A3623" i="1"/>
  <c r="B3623" i="1"/>
  <c r="C3623" i="1"/>
  <c r="D3623" i="1"/>
  <c r="E3623" i="1"/>
  <c r="F3623" i="1"/>
  <c r="H3623" i="1"/>
  <c r="A3624" i="1"/>
  <c r="B3624" i="1"/>
  <c r="C3624" i="1"/>
  <c r="D3624" i="1"/>
  <c r="E3624" i="1"/>
  <c r="F3624" i="1"/>
  <c r="H3624" i="1"/>
  <c r="A3625" i="1"/>
  <c r="B3625" i="1"/>
  <c r="C3625" i="1"/>
  <c r="D3625" i="1"/>
  <c r="E3625" i="1"/>
  <c r="F3625" i="1"/>
  <c r="H3625" i="1"/>
  <c r="A3626" i="1"/>
  <c r="B3626" i="1"/>
  <c r="C3626" i="1"/>
  <c r="D3626" i="1"/>
  <c r="E3626" i="1"/>
  <c r="F3626" i="1"/>
  <c r="H3626" i="1"/>
  <c r="A3627" i="1"/>
  <c r="B3627" i="1"/>
  <c r="C3627" i="1"/>
  <c r="D3627" i="1"/>
  <c r="E3627" i="1"/>
  <c r="F3627" i="1"/>
  <c r="H3627" i="1"/>
  <c r="A3628" i="1"/>
  <c r="B3628" i="1"/>
  <c r="C3628" i="1"/>
  <c r="D3628" i="1"/>
  <c r="E3628" i="1"/>
  <c r="F3628" i="1"/>
  <c r="H3628" i="1"/>
  <c r="A3629" i="1"/>
  <c r="B3629" i="1"/>
  <c r="C3629" i="1"/>
  <c r="D3629" i="1"/>
  <c r="E3629" i="1"/>
  <c r="F3629" i="1"/>
  <c r="H3629" i="1"/>
  <c r="A3630" i="1"/>
  <c r="B3630" i="1"/>
  <c r="C3630" i="1"/>
  <c r="D3630" i="1"/>
  <c r="E3630" i="1"/>
  <c r="F3630" i="1"/>
  <c r="H3630" i="1"/>
  <c r="A3631" i="1"/>
  <c r="B3631" i="1"/>
  <c r="C3631" i="1"/>
  <c r="D3631" i="1"/>
  <c r="E3631" i="1"/>
  <c r="F3631" i="1"/>
  <c r="H3631" i="1"/>
  <c r="A3632" i="1"/>
  <c r="B3632" i="1"/>
  <c r="C3632" i="1"/>
  <c r="D3632" i="1"/>
  <c r="E3632" i="1"/>
  <c r="F3632" i="1"/>
  <c r="H3632" i="1"/>
  <c r="A3633" i="1"/>
  <c r="B3633" i="1"/>
  <c r="C3633" i="1"/>
  <c r="D3633" i="1"/>
  <c r="E3633" i="1"/>
  <c r="F3633" i="1"/>
  <c r="H3633" i="1"/>
  <c r="A3634" i="1"/>
  <c r="B3634" i="1"/>
  <c r="C3634" i="1"/>
  <c r="D3634" i="1"/>
  <c r="E3634" i="1"/>
  <c r="F3634" i="1"/>
  <c r="H3634" i="1"/>
  <c r="A3635" i="1"/>
  <c r="B3635" i="1"/>
  <c r="C3635" i="1"/>
  <c r="D3635" i="1"/>
  <c r="E3635" i="1"/>
  <c r="F3635" i="1"/>
  <c r="H3635" i="1"/>
  <c r="A3636" i="1"/>
  <c r="B3636" i="1"/>
  <c r="C3636" i="1"/>
  <c r="D3636" i="1"/>
  <c r="E3636" i="1"/>
  <c r="F3636" i="1"/>
  <c r="H3636" i="1"/>
  <c r="A3637" i="1"/>
  <c r="B3637" i="1"/>
  <c r="C3637" i="1"/>
  <c r="D3637" i="1"/>
  <c r="E3637" i="1"/>
  <c r="F3637" i="1"/>
  <c r="H3637" i="1"/>
  <c r="A3638" i="1"/>
  <c r="B3638" i="1"/>
  <c r="C3638" i="1"/>
  <c r="D3638" i="1"/>
  <c r="E3638" i="1"/>
  <c r="F3638" i="1"/>
  <c r="H3638" i="1"/>
  <c r="A3639" i="1"/>
  <c r="B3639" i="1"/>
  <c r="C3639" i="1"/>
  <c r="D3639" i="1"/>
  <c r="E3639" i="1"/>
  <c r="F3639" i="1"/>
  <c r="H3639" i="1"/>
  <c r="A3640" i="1"/>
  <c r="B3640" i="1"/>
  <c r="C3640" i="1"/>
  <c r="D3640" i="1"/>
  <c r="E3640" i="1"/>
  <c r="F3640" i="1"/>
  <c r="H3640" i="1"/>
  <c r="A3641" i="1"/>
  <c r="B3641" i="1"/>
  <c r="C3641" i="1"/>
  <c r="D3641" i="1"/>
  <c r="E3641" i="1"/>
  <c r="F3641" i="1"/>
  <c r="H3641" i="1"/>
  <c r="A3642" i="1"/>
  <c r="B3642" i="1"/>
  <c r="C3642" i="1"/>
  <c r="D3642" i="1"/>
  <c r="E3642" i="1"/>
  <c r="F3642" i="1"/>
  <c r="H3642" i="1"/>
  <c r="A3643" i="1"/>
  <c r="B3643" i="1"/>
  <c r="C3643" i="1"/>
  <c r="D3643" i="1"/>
  <c r="E3643" i="1"/>
  <c r="F3643" i="1"/>
  <c r="H3643" i="1"/>
  <c r="A3644" i="1"/>
  <c r="B3644" i="1"/>
  <c r="C3644" i="1"/>
  <c r="D3644" i="1"/>
  <c r="E3644" i="1"/>
  <c r="F3644" i="1"/>
  <c r="H3644" i="1"/>
  <c r="A3645" i="1"/>
  <c r="B3645" i="1"/>
  <c r="C3645" i="1"/>
  <c r="D3645" i="1"/>
  <c r="E3645" i="1"/>
  <c r="F3645" i="1"/>
  <c r="H3645" i="1"/>
  <c r="A3646" i="1"/>
  <c r="B3646" i="1"/>
  <c r="C3646" i="1"/>
  <c r="D3646" i="1"/>
  <c r="E3646" i="1"/>
  <c r="F3646" i="1"/>
  <c r="H3646" i="1"/>
  <c r="A3647" i="1"/>
  <c r="B3647" i="1"/>
  <c r="C3647" i="1"/>
  <c r="D3647" i="1"/>
  <c r="E3647" i="1"/>
  <c r="F3647" i="1"/>
  <c r="H3647" i="1"/>
  <c r="A3648" i="1"/>
  <c r="B3648" i="1"/>
  <c r="C3648" i="1"/>
  <c r="D3648" i="1"/>
  <c r="E3648" i="1"/>
  <c r="F3648" i="1"/>
  <c r="H3648" i="1"/>
  <c r="A3649" i="1"/>
  <c r="B3649" i="1"/>
  <c r="C3649" i="1"/>
  <c r="D3649" i="1"/>
  <c r="E3649" i="1"/>
  <c r="F3649" i="1"/>
  <c r="H3649" i="1"/>
  <c r="A3650" i="1"/>
  <c r="B3650" i="1"/>
  <c r="C3650" i="1"/>
  <c r="D3650" i="1"/>
  <c r="E3650" i="1"/>
  <c r="F3650" i="1"/>
  <c r="H3650" i="1"/>
  <c r="A3651" i="1"/>
  <c r="B3651" i="1"/>
  <c r="C3651" i="1"/>
  <c r="D3651" i="1"/>
  <c r="E3651" i="1"/>
  <c r="F3651" i="1"/>
  <c r="H3651" i="1"/>
  <c r="A3652" i="1"/>
  <c r="B3652" i="1"/>
  <c r="C3652" i="1"/>
  <c r="D3652" i="1"/>
  <c r="E3652" i="1"/>
  <c r="F3652" i="1"/>
  <c r="H3652" i="1"/>
  <c r="A3653" i="1"/>
  <c r="B3653" i="1"/>
  <c r="C3653" i="1"/>
  <c r="D3653" i="1"/>
  <c r="E3653" i="1"/>
  <c r="F3653" i="1"/>
  <c r="H3653" i="1"/>
  <c r="A3654" i="1"/>
  <c r="B3654" i="1"/>
  <c r="C3654" i="1"/>
  <c r="D3654" i="1"/>
  <c r="E3654" i="1"/>
  <c r="F3654" i="1"/>
  <c r="H3654" i="1"/>
  <c r="A3655" i="1"/>
  <c r="B3655" i="1"/>
  <c r="C3655" i="1"/>
  <c r="D3655" i="1"/>
  <c r="E3655" i="1"/>
  <c r="F3655" i="1"/>
  <c r="H3655" i="1"/>
  <c r="A3656" i="1"/>
  <c r="B3656" i="1"/>
  <c r="C3656" i="1"/>
  <c r="D3656" i="1"/>
  <c r="E3656" i="1"/>
  <c r="F3656" i="1"/>
  <c r="H3656" i="1"/>
  <c r="A3657" i="1"/>
  <c r="B3657" i="1"/>
  <c r="C3657" i="1"/>
  <c r="D3657" i="1"/>
  <c r="E3657" i="1"/>
  <c r="F3657" i="1"/>
  <c r="H3657" i="1"/>
  <c r="A3658" i="1"/>
  <c r="B3658" i="1"/>
  <c r="C3658" i="1"/>
  <c r="D3658" i="1"/>
  <c r="E3658" i="1"/>
  <c r="F3658" i="1"/>
  <c r="H3658" i="1"/>
  <c r="A3659" i="1"/>
  <c r="B3659" i="1"/>
  <c r="C3659" i="1"/>
  <c r="D3659" i="1"/>
  <c r="E3659" i="1"/>
  <c r="F3659" i="1"/>
  <c r="H3659" i="1"/>
  <c r="A3660" i="1"/>
  <c r="B3660" i="1"/>
  <c r="C3660" i="1"/>
  <c r="D3660" i="1"/>
  <c r="E3660" i="1"/>
  <c r="F3660" i="1"/>
  <c r="H3660" i="1"/>
  <c r="A3661" i="1"/>
  <c r="B3661" i="1"/>
  <c r="C3661" i="1"/>
  <c r="D3661" i="1"/>
  <c r="E3661" i="1"/>
  <c r="F3661" i="1"/>
  <c r="H3661" i="1"/>
  <c r="A3662" i="1"/>
  <c r="B3662" i="1"/>
  <c r="C3662" i="1"/>
  <c r="D3662" i="1"/>
  <c r="E3662" i="1"/>
  <c r="F3662" i="1"/>
  <c r="H3662" i="1"/>
  <c r="A3663" i="1"/>
  <c r="B3663" i="1"/>
  <c r="C3663" i="1"/>
  <c r="D3663" i="1"/>
  <c r="E3663" i="1"/>
  <c r="F3663" i="1"/>
  <c r="H3663" i="1"/>
  <c r="A3664" i="1"/>
  <c r="B3664" i="1"/>
  <c r="C3664" i="1"/>
  <c r="D3664" i="1"/>
  <c r="E3664" i="1"/>
  <c r="F3664" i="1"/>
  <c r="H3664" i="1"/>
  <c r="A3665" i="1"/>
  <c r="B3665" i="1"/>
  <c r="C3665" i="1"/>
  <c r="D3665" i="1"/>
  <c r="E3665" i="1"/>
  <c r="F3665" i="1"/>
  <c r="H3665" i="1"/>
  <c r="A3666" i="1"/>
  <c r="B3666" i="1"/>
  <c r="C3666" i="1"/>
  <c r="D3666" i="1"/>
  <c r="E3666" i="1"/>
  <c r="F3666" i="1"/>
  <c r="H3666" i="1"/>
  <c r="A3667" i="1"/>
  <c r="B3667" i="1"/>
  <c r="C3667" i="1"/>
  <c r="D3667" i="1"/>
  <c r="E3667" i="1"/>
  <c r="F3667" i="1"/>
  <c r="H3667" i="1"/>
  <c r="A3668" i="1"/>
  <c r="B3668" i="1"/>
  <c r="C3668" i="1"/>
  <c r="D3668" i="1"/>
  <c r="E3668" i="1"/>
  <c r="F3668" i="1"/>
  <c r="H3668" i="1"/>
  <c r="A3669" i="1"/>
  <c r="B3669" i="1"/>
  <c r="C3669" i="1"/>
  <c r="D3669" i="1"/>
  <c r="E3669" i="1"/>
  <c r="F3669" i="1"/>
  <c r="H3669" i="1"/>
  <c r="A3670" i="1"/>
  <c r="B3670" i="1"/>
  <c r="C3670" i="1"/>
  <c r="D3670" i="1"/>
  <c r="E3670" i="1"/>
  <c r="F3670" i="1"/>
  <c r="H3670" i="1"/>
  <c r="A3671" i="1"/>
  <c r="B3671" i="1"/>
  <c r="C3671" i="1"/>
  <c r="D3671" i="1"/>
  <c r="E3671" i="1"/>
  <c r="F3671" i="1"/>
  <c r="H3671" i="1"/>
  <c r="A3672" i="1"/>
  <c r="B3672" i="1"/>
  <c r="C3672" i="1"/>
  <c r="D3672" i="1"/>
  <c r="E3672" i="1"/>
  <c r="F3672" i="1"/>
  <c r="H3672" i="1"/>
  <c r="A3673" i="1"/>
  <c r="B3673" i="1"/>
  <c r="C3673" i="1"/>
  <c r="D3673" i="1"/>
  <c r="E3673" i="1"/>
  <c r="F3673" i="1"/>
  <c r="H3673" i="1"/>
  <c r="A3674" i="1"/>
  <c r="B3674" i="1"/>
  <c r="C3674" i="1"/>
  <c r="D3674" i="1"/>
  <c r="E3674" i="1"/>
  <c r="F3674" i="1"/>
  <c r="H3674" i="1"/>
  <c r="A3675" i="1"/>
  <c r="B3675" i="1"/>
  <c r="C3675" i="1"/>
  <c r="D3675" i="1"/>
  <c r="E3675" i="1"/>
  <c r="F3675" i="1"/>
  <c r="H3675" i="1"/>
  <c r="A3676" i="1"/>
  <c r="B3676" i="1"/>
  <c r="C3676" i="1"/>
  <c r="D3676" i="1"/>
  <c r="E3676" i="1"/>
  <c r="F3676" i="1"/>
  <c r="H3676" i="1"/>
  <c r="A3677" i="1"/>
  <c r="B3677" i="1"/>
  <c r="C3677" i="1"/>
  <c r="D3677" i="1"/>
  <c r="E3677" i="1"/>
  <c r="F3677" i="1"/>
  <c r="H3677" i="1"/>
  <c r="A3678" i="1"/>
  <c r="B3678" i="1"/>
  <c r="C3678" i="1"/>
  <c r="D3678" i="1"/>
  <c r="E3678" i="1"/>
  <c r="F3678" i="1"/>
  <c r="H3678" i="1"/>
  <c r="A3679" i="1"/>
  <c r="B3679" i="1"/>
  <c r="C3679" i="1"/>
  <c r="D3679" i="1"/>
  <c r="E3679" i="1"/>
  <c r="F3679" i="1"/>
  <c r="H3679" i="1"/>
  <c r="A3680" i="1"/>
  <c r="B3680" i="1"/>
  <c r="C3680" i="1"/>
  <c r="D3680" i="1"/>
  <c r="E3680" i="1"/>
  <c r="F3680" i="1"/>
  <c r="H3680" i="1"/>
  <c r="A3681" i="1"/>
  <c r="B3681" i="1"/>
  <c r="C3681" i="1"/>
  <c r="D3681" i="1"/>
  <c r="E3681" i="1"/>
  <c r="F3681" i="1"/>
  <c r="H3681" i="1"/>
  <c r="A3682" i="1"/>
  <c r="B3682" i="1"/>
  <c r="C3682" i="1"/>
  <c r="D3682" i="1"/>
  <c r="E3682" i="1"/>
  <c r="F3682" i="1"/>
  <c r="H3682" i="1"/>
  <c r="A3683" i="1"/>
  <c r="B3683" i="1"/>
  <c r="C3683" i="1"/>
  <c r="D3683" i="1"/>
  <c r="E3683" i="1"/>
  <c r="F3683" i="1"/>
  <c r="H3683" i="1"/>
  <c r="A3684" i="1"/>
  <c r="B3684" i="1"/>
  <c r="C3684" i="1"/>
  <c r="D3684" i="1"/>
  <c r="E3684" i="1"/>
  <c r="F3684" i="1"/>
  <c r="H3684" i="1"/>
  <c r="A3685" i="1"/>
  <c r="B3685" i="1"/>
  <c r="C3685" i="1"/>
  <c r="D3685" i="1"/>
  <c r="E3685" i="1"/>
  <c r="F3685" i="1"/>
  <c r="H3685" i="1"/>
  <c r="A3686" i="1"/>
  <c r="B3686" i="1"/>
  <c r="C3686" i="1"/>
  <c r="D3686" i="1"/>
  <c r="E3686" i="1"/>
  <c r="F3686" i="1"/>
  <c r="H3686" i="1"/>
  <c r="A3687" i="1"/>
  <c r="B3687" i="1"/>
  <c r="C3687" i="1"/>
  <c r="D3687" i="1"/>
  <c r="E3687" i="1"/>
  <c r="F3687" i="1"/>
  <c r="H3687" i="1"/>
  <c r="A3688" i="1"/>
  <c r="B3688" i="1"/>
  <c r="C3688" i="1"/>
  <c r="D3688" i="1"/>
  <c r="E3688" i="1"/>
  <c r="F3688" i="1"/>
  <c r="H3688" i="1"/>
  <c r="A3689" i="1"/>
  <c r="B3689" i="1"/>
  <c r="C3689" i="1"/>
  <c r="D3689" i="1"/>
  <c r="E3689" i="1"/>
  <c r="F3689" i="1"/>
  <c r="H3689" i="1"/>
  <c r="A3690" i="1"/>
  <c r="B3690" i="1"/>
  <c r="C3690" i="1"/>
  <c r="D3690" i="1"/>
  <c r="E3690" i="1"/>
  <c r="F3690" i="1"/>
  <c r="H3690" i="1"/>
  <c r="A3691" i="1"/>
  <c r="B3691" i="1"/>
  <c r="C3691" i="1"/>
  <c r="D3691" i="1"/>
  <c r="E3691" i="1"/>
  <c r="F3691" i="1"/>
  <c r="H3691" i="1"/>
  <c r="A3692" i="1"/>
  <c r="B3692" i="1"/>
  <c r="C3692" i="1"/>
  <c r="D3692" i="1"/>
  <c r="E3692" i="1"/>
  <c r="F3692" i="1"/>
  <c r="H3692" i="1"/>
  <c r="A3693" i="1"/>
  <c r="B3693" i="1"/>
  <c r="C3693" i="1"/>
  <c r="D3693" i="1"/>
  <c r="E3693" i="1"/>
  <c r="F3693" i="1"/>
  <c r="H3693" i="1"/>
  <c r="A3694" i="1"/>
  <c r="B3694" i="1"/>
  <c r="C3694" i="1"/>
  <c r="D3694" i="1"/>
  <c r="E3694" i="1"/>
  <c r="F3694" i="1"/>
  <c r="H3694" i="1"/>
  <c r="A3695" i="1"/>
  <c r="B3695" i="1"/>
  <c r="C3695" i="1"/>
  <c r="D3695" i="1"/>
  <c r="E3695" i="1"/>
  <c r="F3695" i="1"/>
  <c r="H3695" i="1"/>
  <c r="A3696" i="1"/>
  <c r="B3696" i="1"/>
  <c r="C3696" i="1"/>
  <c r="D3696" i="1"/>
  <c r="E3696" i="1"/>
  <c r="F3696" i="1"/>
  <c r="H3696" i="1"/>
  <c r="A3697" i="1"/>
  <c r="B3697" i="1"/>
  <c r="C3697" i="1"/>
  <c r="D3697" i="1"/>
  <c r="E3697" i="1"/>
  <c r="F3697" i="1"/>
  <c r="H3697" i="1"/>
  <c r="A3698" i="1"/>
  <c r="B3698" i="1"/>
  <c r="C3698" i="1"/>
  <c r="D3698" i="1"/>
  <c r="E3698" i="1"/>
  <c r="F3698" i="1"/>
  <c r="H3698" i="1"/>
  <c r="A3699" i="1"/>
  <c r="B3699" i="1"/>
  <c r="C3699" i="1"/>
  <c r="D3699" i="1"/>
  <c r="E3699" i="1"/>
  <c r="F3699" i="1"/>
  <c r="H3699" i="1"/>
  <c r="A3700" i="1"/>
  <c r="B3700" i="1"/>
  <c r="C3700" i="1"/>
  <c r="D3700" i="1"/>
  <c r="E3700" i="1"/>
  <c r="F3700" i="1"/>
  <c r="H3700" i="1"/>
  <c r="A3701" i="1"/>
  <c r="B3701" i="1"/>
  <c r="C3701" i="1"/>
  <c r="D3701" i="1"/>
  <c r="E3701" i="1"/>
  <c r="F3701" i="1"/>
  <c r="H3701" i="1"/>
  <c r="A3702" i="1"/>
  <c r="B3702" i="1"/>
  <c r="C3702" i="1"/>
  <c r="D3702" i="1"/>
  <c r="E3702" i="1"/>
  <c r="F3702" i="1"/>
  <c r="H3702" i="1"/>
  <c r="A3703" i="1"/>
  <c r="B3703" i="1"/>
  <c r="C3703" i="1"/>
  <c r="D3703" i="1"/>
  <c r="E3703" i="1"/>
  <c r="F3703" i="1"/>
  <c r="H3703" i="1"/>
  <c r="A3704" i="1"/>
  <c r="B3704" i="1"/>
  <c r="C3704" i="1"/>
  <c r="D3704" i="1"/>
  <c r="E3704" i="1"/>
  <c r="F3704" i="1"/>
  <c r="H3704" i="1"/>
  <c r="A3705" i="1"/>
  <c r="B3705" i="1"/>
  <c r="C3705" i="1"/>
  <c r="D3705" i="1"/>
  <c r="E3705" i="1"/>
  <c r="F3705" i="1"/>
  <c r="H3705" i="1"/>
  <c r="A3706" i="1"/>
  <c r="B3706" i="1"/>
  <c r="C3706" i="1"/>
  <c r="D3706" i="1"/>
  <c r="E3706" i="1"/>
  <c r="F3706" i="1"/>
  <c r="H3706" i="1"/>
  <c r="A3707" i="1"/>
  <c r="B3707" i="1"/>
  <c r="C3707" i="1"/>
  <c r="D3707" i="1"/>
  <c r="E3707" i="1"/>
  <c r="F3707" i="1"/>
  <c r="H3707" i="1"/>
  <c r="A3708" i="1"/>
  <c r="B3708" i="1"/>
  <c r="C3708" i="1"/>
  <c r="D3708" i="1"/>
  <c r="E3708" i="1"/>
  <c r="F3708" i="1"/>
  <c r="H3708" i="1"/>
  <c r="A3709" i="1"/>
  <c r="B3709" i="1"/>
  <c r="C3709" i="1"/>
  <c r="D3709" i="1"/>
  <c r="E3709" i="1"/>
  <c r="F3709" i="1"/>
  <c r="H3709" i="1"/>
  <c r="A3710" i="1"/>
  <c r="B3710" i="1"/>
  <c r="C3710" i="1"/>
  <c r="D3710" i="1"/>
  <c r="E3710" i="1"/>
  <c r="F3710" i="1"/>
  <c r="H3710" i="1"/>
  <c r="A3711" i="1"/>
  <c r="B3711" i="1"/>
  <c r="C3711" i="1"/>
  <c r="D3711" i="1"/>
  <c r="E3711" i="1"/>
  <c r="F3711" i="1"/>
  <c r="H3711" i="1"/>
  <c r="A3712" i="1"/>
  <c r="B3712" i="1"/>
  <c r="C3712" i="1"/>
  <c r="D3712" i="1"/>
  <c r="E3712" i="1"/>
  <c r="F3712" i="1"/>
  <c r="H3712" i="1"/>
  <c r="A3713" i="1"/>
  <c r="B3713" i="1"/>
  <c r="C3713" i="1"/>
  <c r="D3713" i="1"/>
  <c r="E3713" i="1"/>
  <c r="F3713" i="1"/>
  <c r="H3713" i="1"/>
  <c r="A3714" i="1"/>
  <c r="B3714" i="1"/>
  <c r="C3714" i="1"/>
  <c r="D3714" i="1"/>
  <c r="E3714" i="1"/>
  <c r="F3714" i="1"/>
  <c r="H3714" i="1"/>
  <c r="A3715" i="1"/>
  <c r="B3715" i="1"/>
  <c r="C3715" i="1"/>
  <c r="D3715" i="1"/>
  <c r="E3715" i="1"/>
  <c r="F3715" i="1"/>
  <c r="H3715" i="1"/>
  <c r="A3716" i="1"/>
  <c r="B3716" i="1"/>
  <c r="C3716" i="1"/>
  <c r="D3716" i="1"/>
  <c r="E3716" i="1"/>
  <c r="F3716" i="1"/>
  <c r="H3716" i="1"/>
  <c r="A3717" i="1"/>
  <c r="B3717" i="1"/>
  <c r="C3717" i="1"/>
  <c r="D3717" i="1"/>
  <c r="E3717" i="1"/>
  <c r="F3717" i="1"/>
  <c r="H3717" i="1"/>
  <c r="A3718" i="1"/>
  <c r="B3718" i="1"/>
  <c r="C3718" i="1"/>
  <c r="D3718" i="1"/>
  <c r="E3718" i="1"/>
  <c r="F3718" i="1"/>
  <c r="H3718" i="1"/>
  <c r="A3719" i="1"/>
  <c r="B3719" i="1"/>
  <c r="C3719" i="1"/>
  <c r="D3719" i="1"/>
  <c r="E3719" i="1"/>
  <c r="F3719" i="1"/>
  <c r="H3719" i="1"/>
  <c r="A3720" i="1"/>
  <c r="B3720" i="1"/>
  <c r="C3720" i="1"/>
  <c r="D3720" i="1"/>
  <c r="E3720" i="1"/>
  <c r="F3720" i="1"/>
  <c r="H3720" i="1"/>
  <c r="A3721" i="1"/>
  <c r="B3721" i="1"/>
  <c r="C3721" i="1"/>
  <c r="D3721" i="1"/>
  <c r="E3721" i="1"/>
  <c r="F3721" i="1"/>
  <c r="H3721" i="1"/>
  <c r="A3722" i="1"/>
  <c r="B3722" i="1"/>
  <c r="C3722" i="1"/>
  <c r="D3722" i="1"/>
  <c r="E3722" i="1"/>
  <c r="F3722" i="1"/>
  <c r="H3722" i="1"/>
  <c r="A3723" i="1"/>
  <c r="B3723" i="1"/>
  <c r="C3723" i="1"/>
  <c r="D3723" i="1"/>
  <c r="E3723" i="1"/>
  <c r="F3723" i="1"/>
  <c r="H3723" i="1"/>
  <c r="A3724" i="1"/>
  <c r="B3724" i="1"/>
  <c r="C3724" i="1"/>
  <c r="D3724" i="1"/>
  <c r="E3724" i="1"/>
  <c r="F3724" i="1"/>
  <c r="H3724" i="1"/>
  <c r="A3725" i="1"/>
  <c r="B3725" i="1"/>
  <c r="C3725" i="1"/>
  <c r="D3725" i="1"/>
  <c r="E3725" i="1"/>
  <c r="F3725" i="1"/>
  <c r="H3725" i="1"/>
  <c r="A3726" i="1"/>
  <c r="B3726" i="1"/>
  <c r="C3726" i="1"/>
  <c r="D3726" i="1"/>
  <c r="E3726" i="1"/>
  <c r="F3726" i="1"/>
  <c r="H3726" i="1"/>
  <c r="A3727" i="1"/>
  <c r="B3727" i="1"/>
  <c r="C3727" i="1"/>
  <c r="D3727" i="1"/>
  <c r="E3727" i="1"/>
  <c r="F3727" i="1"/>
  <c r="H3727" i="1"/>
  <c r="A3728" i="1"/>
  <c r="B3728" i="1"/>
  <c r="C3728" i="1"/>
  <c r="D3728" i="1"/>
  <c r="E3728" i="1"/>
  <c r="F3728" i="1"/>
  <c r="H3728" i="1"/>
  <c r="A3729" i="1"/>
  <c r="B3729" i="1"/>
  <c r="C3729" i="1"/>
  <c r="D3729" i="1"/>
  <c r="E3729" i="1"/>
  <c r="F3729" i="1"/>
  <c r="H3729" i="1"/>
  <c r="A3730" i="1"/>
  <c r="B3730" i="1"/>
  <c r="C3730" i="1"/>
  <c r="D3730" i="1"/>
  <c r="E3730" i="1"/>
  <c r="F3730" i="1"/>
  <c r="H3730" i="1"/>
  <c r="A3731" i="1"/>
  <c r="B3731" i="1"/>
  <c r="C3731" i="1"/>
  <c r="D3731" i="1"/>
  <c r="E3731" i="1"/>
  <c r="F3731" i="1"/>
  <c r="H3731" i="1"/>
  <c r="A3732" i="1"/>
  <c r="B3732" i="1"/>
  <c r="C3732" i="1"/>
  <c r="D3732" i="1"/>
  <c r="E3732" i="1"/>
  <c r="F3732" i="1"/>
  <c r="H3732" i="1"/>
  <c r="A3733" i="1"/>
  <c r="B3733" i="1"/>
  <c r="C3733" i="1"/>
  <c r="D3733" i="1"/>
  <c r="E3733" i="1"/>
  <c r="F3733" i="1"/>
  <c r="H3733" i="1"/>
  <c r="A3734" i="1"/>
  <c r="B3734" i="1"/>
  <c r="C3734" i="1"/>
  <c r="D3734" i="1"/>
  <c r="E3734" i="1"/>
  <c r="F3734" i="1"/>
  <c r="H3734" i="1"/>
  <c r="A3735" i="1"/>
  <c r="B3735" i="1"/>
  <c r="C3735" i="1"/>
  <c r="D3735" i="1"/>
  <c r="E3735" i="1"/>
  <c r="F3735" i="1"/>
  <c r="H3735" i="1"/>
  <c r="A3736" i="1"/>
  <c r="B3736" i="1"/>
  <c r="C3736" i="1"/>
  <c r="D3736" i="1"/>
  <c r="E3736" i="1"/>
  <c r="F3736" i="1"/>
  <c r="H3736" i="1"/>
  <c r="A3737" i="1"/>
  <c r="B3737" i="1"/>
  <c r="C3737" i="1"/>
  <c r="D3737" i="1"/>
  <c r="E3737" i="1"/>
  <c r="F3737" i="1"/>
  <c r="H3737" i="1"/>
  <c r="A3738" i="1"/>
  <c r="B3738" i="1"/>
  <c r="C3738" i="1"/>
  <c r="D3738" i="1"/>
  <c r="E3738" i="1"/>
  <c r="F3738" i="1"/>
  <c r="H3738" i="1"/>
  <c r="A3739" i="1"/>
  <c r="B3739" i="1"/>
  <c r="C3739" i="1"/>
  <c r="D3739" i="1"/>
  <c r="E3739" i="1"/>
  <c r="F3739" i="1"/>
  <c r="H3739" i="1"/>
  <c r="A3740" i="1"/>
  <c r="B3740" i="1"/>
  <c r="C3740" i="1"/>
  <c r="D3740" i="1"/>
  <c r="E3740" i="1"/>
  <c r="F3740" i="1"/>
  <c r="H3740" i="1"/>
  <c r="A3741" i="1"/>
  <c r="B3741" i="1"/>
  <c r="C3741" i="1"/>
  <c r="D3741" i="1"/>
  <c r="E3741" i="1"/>
  <c r="F3741" i="1"/>
  <c r="H3741" i="1"/>
  <c r="A3742" i="1"/>
  <c r="B3742" i="1"/>
  <c r="C3742" i="1"/>
  <c r="D3742" i="1"/>
  <c r="E3742" i="1"/>
  <c r="F3742" i="1"/>
  <c r="H3742" i="1"/>
  <c r="A3743" i="1"/>
  <c r="B3743" i="1"/>
  <c r="C3743" i="1"/>
  <c r="D3743" i="1"/>
  <c r="E3743" i="1"/>
  <c r="F3743" i="1"/>
  <c r="H3743" i="1"/>
  <c r="A3744" i="1"/>
  <c r="B3744" i="1"/>
  <c r="C3744" i="1"/>
  <c r="D3744" i="1"/>
  <c r="E3744" i="1"/>
  <c r="F3744" i="1"/>
  <c r="H3744" i="1"/>
  <c r="A3745" i="1"/>
  <c r="B3745" i="1"/>
  <c r="C3745" i="1"/>
  <c r="D3745" i="1"/>
  <c r="E3745" i="1"/>
  <c r="F3745" i="1"/>
  <c r="H3745" i="1"/>
  <c r="A3746" i="1"/>
  <c r="B3746" i="1"/>
  <c r="C3746" i="1"/>
  <c r="D3746" i="1"/>
  <c r="E3746" i="1"/>
  <c r="F3746" i="1"/>
  <c r="H3746" i="1"/>
  <c r="A3747" i="1"/>
  <c r="B3747" i="1"/>
  <c r="C3747" i="1"/>
  <c r="D3747" i="1"/>
  <c r="E3747" i="1"/>
  <c r="F3747" i="1"/>
  <c r="H3747" i="1"/>
  <c r="A3748" i="1"/>
  <c r="B3748" i="1"/>
  <c r="C3748" i="1"/>
  <c r="D3748" i="1"/>
  <c r="E3748" i="1"/>
  <c r="F3748" i="1"/>
  <c r="H3748" i="1"/>
  <c r="A3749" i="1"/>
  <c r="B3749" i="1"/>
  <c r="C3749" i="1"/>
  <c r="D3749" i="1"/>
  <c r="E3749" i="1"/>
  <c r="F3749" i="1"/>
  <c r="H3749" i="1"/>
  <c r="A3750" i="1"/>
  <c r="B3750" i="1"/>
  <c r="C3750" i="1"/>
  <c r="D3750" i="1"/>
  <c r="E3750" i="1"/>
  <c r="F3750" i="1"/>
  <c r="H3750" i="1"/>
  <c r="A3751" i="1"/>
  <c r="B3751" i="1"/>
  <c r="C3751" i="1"/>
  <c r="D3751" i="1"/>
  <c r="E3751" i="1"/>
  <c r="F3751" i="1"/>
  <c r="H3751" i="1"/>
  <c r="A3752" i="1"/>
  <c r="B3752" i="1"/>
  <c r="C3752" i="1"/>
  <c r="D3752" i="1"/>
  <c r="E3752" i="1"/>
  <c r="F3752" i="1"/>
  <c r="H3752" i="1"/>
  <c r="A3753" i="1"/>
  <c r="B3753" i="1"/>
  <c r="C3753" i="1"/>
  <c r="D3753" i="1"/>
  <c r="E3753" i="1"/>
  <c r="F3753" i="1"/>
  <c r="H3753" i="1"/>
  <c r="A3754" i="1"/>
  <c r="B3754" i="1"/>
  <c r="C3754" i="1"/>
  <c r="D3754" i="1"/>
  <c r="E3754" i="1"/>
  <c r="F3754" i="1"/>
  <c r="H3754" i="1"/>
  <c r="A3755" i="1"/>
  <c r="B3755" i="1"/>
  <c r="C3755" i="1"/>
  <c r="D3755" i="1"/>
  <c r="E3755" i="1"/>
  <c r="F3755" i="1"/>
  <c r="H3755" i="1"/>
  <c r="A3756" i="1"/>
  <c r="B3756" i="1"/>
  <c r="C3756" i="1"/>
  <c r="D3756" i="1"/>
  <c r="E3756" i="1"/>
  <c r="F3756" i="1"/>
  <c r="H3756" i="1"/>
  <c r="A3757" i="1"/>
  <c r="B3757" i="1"/>
  <c r="C3757" i="1"/>
  <c r="D3757" i="1"/>
  <c r="E3757" i="1"/>
  <c r="F3757" i="1"/>
  <c r="H3757" i="1"/>
  <c r="A3758" i="1"/>
  <c r="B3758" i="1"/>
  <c r="C3758" i="1"/>
  <c r="D3758" i="1"/>
  <c r="E3758" i="1"/>
  <c r="F3758" i="1"/>
  <c r="H3758" i="1"/>
  <c r="A3759" i="1"/>
  <c r="B3759" i="1"/>
  <c r="C3759" i="1"/>
  <c r="D3759" i="1"/>
  <c r="E3759" i="1"/>
  <c r="F3759" i="1"/>
  <c r="H3759" i="1"/>
  <c r="A3760" i="1"/>
  <c r="B3760" i="1"/>
  <c r="C3760" i="1"/>
  <c r="D3760" i="1"/>
  <c r="E3760" i="1"/>
  <c r="F3760" i="1"/>
  <c r="H3760" i="1"/>
  <c r="A3761" i="1"/>
  <c r="B3761" i="1"/>
  <c r="C3761" i="1"/>
  <c r="D3761" i="1"/>
  <c r="E3761" i="1"/>
  <c r="F3761" i="1"/>
  <c r="H3761" i="1"/>
  <c r="A3762" i="1"/>
  <c r="B3762" i="1"/>
  <c r="C3762" i="1"/>
  <c r="D3762" i="1"/>
  <c r="E3762" i="1"/>
  <c r="F3762" i="1"/>
  <c r="H3762" i="1"/>
  <c r="A3763" i="1"/>
  <c r="B3763" i="1"/>
  <c r="C3763" i="1"/>
  <c r="D3763" i="1"/>
  <c r="E3763" i="1"/>
  <c r="F3763" i="1"/>
  <c r="H3763" i="1"/>
  <c r="A3764" i="1"/>
  <c r="B3764" i="1"/>
  <c r="C3764" i="1"/>
  <c r="D3764" i="1"/>
  <c r="E3764" i="1"/>
  <c r="F3764" i="1"/>
  <c r="H3764" i="1"/>
  <c r="A3765" i="1"/>
  <c r="B3765" i="1"/>
  <c r="C3765" i="1"/>
  <c r="D3765" i="1"/>
  <c r="E3765" i="1"/>
  <c r="F3765" i="1"/>
  <c r="H3765" i="1"/>
  <c r="A3766" i="1"/>
  <c r="B3766" i="1"/>
  <c r="C3766" i="1"/>
  <c r="D3766" i="1"/>
  <c r="E3766" i="1"/>
  <c r="F3766" i="1"/>
  <c r="H3766" i="1"/>
  <c r="A3767" i="1"/>
  <c r="B3767" i="1"/>
  <c r="C3767" i="1"/>
  <c r="D3767" i="1"/>
  <c r="E3767" i="1"/>
  <c r="F3767" i="1"/>
  <c r="H3767" i="1"/>
  <c r="A3768" i="1"/>
  <c r="B3768" i="1"/>
  <c r="C3768" i="1"/>
  <c r="D3768" i="1"/>
  <c r="E3768" i="1"/>
  <c r="F3768" i="1"/>
  <c r="H3768" i="1"/>
  <c r="A3769" i="1"/>
  <c r="B3769" i="1"/>
  <c r="C3769" i="1"/>
  <c r="D3769" i="1"/>
  <c r="E3769" i="1"/>
  <c r="F3769" i="1"/>
  <c r="H3769" i="1"/>
  <c r="A3770" i="1"/>
  <c r="B3770" i="1"/>
  <c r="C3770" i="1"/>
  <c r="D3770" i="1"/>
  <c r="E3770" i="1"/>
  <c r="F3770" i="1"/>
  <c r="H3770" i="1"/>
  <c r="A3771" i="1"/>
  <c r="B3771" i="1"/>
  <c r="C3771" i="1"/>
  <c r="D3771" i="1"/>
  <c r="E3771" i="1"/>
  <c r="F3771" i="1"/>
  <c r="H3771" i="1"/>
  <c r="A3772" i="1"/>
  <c r="B3772" i="1"/>
  <c r="C3772" i="1"/>
  <c r="D3772" i="1"/>
  <c r="E3772" i="1"/>
  <c r="F3772" i="1"/>
  <c r="H3772" i="1"/>
  <c r="A3773" i="1"/>
  <c r="B3773" i="1"/>
  <c r="C3773" i="1"/>
  <c r="D3773" i="1"/>
  <c r="E3773" i="1"/>
  <c r="F3773" i="1"/>
  <c r="H3773" i="1"/>
  <c r="A3774" i="1"/>
  <c r="B3774" i="1"/>
  <c r="C3774" i="1"/>
  <c r="D3774" i="1"/>
  <c r="E3774" i="1"/>
  <c r="F3774" i="1"/>
  <c r="H3774" i="1"/>
  <c r="A3775" i="1"/>
  <c r="B3775" i="1"/>
  <c r="C3775" i="1"/>
  <c r="D3775" i="1"/>
  <c r="E3775" i="1"/>
  <c r="F3775" i="1"/>
  <c r="H3775" i="1"/>
  <c r="A3776" i="1"/>
  <c r="B3776" i="1"/>
  <c r="C3776" i="1"/>
  <c r="D3776" i="1"/>
  <c r="E3776" i="1"/>
  <c r="F3776" i="1"/>
  <c r="H3776" i="1"/>
  <c r="A3777" i="1"/>
  <c r="B3777" i="1"/>
  <c r="C3777" i="1"/>
  <c r="D3777" i="1"/>
  <c r="E3777" i="1"/>
  <c r="F3777" i="1"/>
  <c r="H3777" i="1"/>
  <c r="A3778" i="1"/>
  <c r="B3778" i="1"/>
  <c r="C3778" i="1"/>
  <c r="D3778" i="1"/>
  <c r="E3778" i="1"/>
  <c r="F3778" i="1"/>
  <c r="H3778" i="1"/>
  <c r="A3779" i="1"/>
  <c r="B3779" i="1"/>
  <c r="C3779" i="1"/>
  <c r="D3779" i="1"/>
  <c r="E3779" i="1"/>
  <c r="F3779" i="1"/>
  <c r="H3779" i="1"/>
  <c r="A3780" i="1"/>
  <c r="B3780" i="1"/>
  <c r="C3780" i="1"/>
  <c r="D3780" i="1"/>
  <c r="E3780" i="1"/>
  <c r="F3780" i="1"/>
  <c r="H3780" i="1"/>
  <c r="A3781" i="1"/>
  <c r="B3781" i="1"/>
  <c r="C3781" i="1"/>
  <c r="D3781" i="1"/>
  <c r="E3781" i="1"/>
  <c r="F3781" i="1"/>
  <c r="H3781" i="1"/>
  <c r="A3782" i="1"/>
  <c r="B3782" i="1"/>
  <c r="C3782" i="1"/>
  <c r="D3782" i="1"/>
  <c r="E3782" i="1"/>
  <c r="F3782" i="1"/>
  <c r="H3782" i="1"/>
  <c r="A3783" i="1"/>
  <c r="B3783" i="1"/>
  <c r="C3783" i="1"/>
  <c r="D3783" i="1"/>
  <c r="E3783" i="1"/>
  <c r="F3783" i="1"/>
  <c r="H3783" i="1"/>
  <c r="A3784" i="1"/>
  <c r="B3784" i="1"/>
  <c r="C3784" i="1"/>
  <c r="D3784" i="1"/>
  <c r="E3784" i="1"/>
  <c r="F3784" i="1"/>
  <c r="H3784" i="1"/>
  <c r="A3785" i="1"/>
  <c r="B3785" i="1"/>
  <c r="C3785" i="1"/>
  <c r="D3785" i="1"/>
  <c r="E3785" i="1"/>
  <c r="F3785" i="1"/>
  <c r="H3785" i="1"/>
  <c r="A3786" i="1"/>
  <c r="B3786" i="1"/>
  <c r="C3786" i="1"/>
  <c r="D3786" i="1"/>
  <c r="E3786" i="1"/>
  <c r="F3786" i="1"/>
  <c r="H3786" i="1"/>
  <c r="A3787" i="1"/>
  <c r="B3787" i="1"/>
  <c r="C3787" i="1"/>
  <c r="D3787" i="1"/>
  <c r="E3787" i="1"/>
  <c r="F3787" i="1"/>
  <c r="H3787" i="1"/>
  <c r="A3788" i="1"/>
  <c r="B3788" i="1"/>
  <c r="C3788" i="1"/>
  <c r="D3788" i="1"/>
  <c r="E3788" i="1"/>
  <c r="F3788" i="1"/>
  <c r="H3788" i="1"/>
  <c r="A3789" i="1"/>
  <c r="B3789" i="1"/>
  <c r="C3789" i="1"/>
  <c r="D3789" i="1"/>
  <c r="E3789" i="1"/>
  <c r="F3789" i="1"/>
  <c r="H3789" i="1"/>
  <c r="A3790" i="1"/>
  <c r="B3790" i="1"/>
  <c r="C3790" i="1"/>
  <c r="D3790" i="1"/>
  <c r="E3790" i="1"/>
  <c r="F3790" i="1"/>
  <c r="H3790" i="1"/>
  <c r="A3791" i="1"/>
  <c r="B3791" i="1"/>
  <c r="C3791" i="1"/>
  <c r="D3791" i="1"/>
  <c r="E3791" i="1"/>
  <c r="F3791" i="1"/>
  <c r="H3791" i="1"/>
  <c r="A3792" i="1"/>
  <c r="B3792" i="1"/>
  <c r="C3792" i="1"/>
  <c r="D3792" i="1"/>
  <c r="E3792" i="1"/>
  <c r="F3792" i="1"/>
  <c r="H3792" i="1"/>
  <c r="A3793" i="1"/>
  <c r="B3793" i="1"/>
  <c r="C3793" i="1"/>
  <c r="D3793" i="1"/>
  <c r="E3793" i="1"/>
  <c r="F3793" i="1"/>
  <c r="H3793" i="1"/>
  <c r="A3794" i="1"/>
  <c r="B3794" i="1"/>
  <c r="C3794" i="1"/>
  <c r="D3794" i="1"/>
  <c r="E3794" i="1"/>
  <c r="F3794" i="1"/>
  <c r="H3794" i="1"/>
  <c r="A3795" i="1"/>
  <c r="B3795" i="1"/>
  <c r="C3795" i="1"/>
  <c r="D3795" i="1"/>
  <c r="E3795" i="1"/>
  <c r="F3795" i="1"/>
  <c r="H3795" i="1"/>
  <c r="A3796" i="1"/>
  <c r="B3796" i="1"/>
  <c r="C3796" i="1"/>
  <c r="D3796" i="1"/>
  <c r="E3796" i="1"/>
  <c r="F3796" i="1"/>
  <c r="H3796" i="1"/>
  <c r="A3797" i="1"/>
  <c r="B3797" i="1"/>
  <c r="C3797" i="1"/>
  <c r="D3797" i="1"/>
  <c r="E3797" i="1"/>
  <c r="F3797" i="1"/>
  <c r="H3797" i="1"/>
  <c r="A3798" i="1"/>
  <c r="B3798" i="1"/>
  <c r="C3798" i="1"/>
  <c r="D3798" i="1"/>
  <c r="E3798" i="1"/>
  <c r="F3798" i="1"/>
  <c r="H3798" i="1"/>
  <c r="A3799" i="1"/>
  <c r="B3799" i="1"/>
  <c r="C3799" i="1"/>
  <c r="D3799" i="1"/>
  <c r="E3799" i="1"/>
  <c r="F3799" i="1"/>
  <c r="H3799" i="1"/>
  <c r="A3800" i="1"/>
  <c r="B3800" i="1"/>
  <c r="C3800" i="1"/>
  <c r="D3800" i="1"/>
  <c r="E3800" i="1"/>
  <c r="F3800" i="1"/>
  <c r="H3800" i="1"/>
  <c r="A3801" i="1"/>
  <c r="B3801" i="1"/>
  <c r="C3801" i="1"/>
  <c r="D3801" i="1"/>
  <c r="E3801" i="1"/>
  <c r="F3801" i="1"/>
  <c r="H3801" i="1"/>
  <c r="A3802" i="1"/>
  <c r="B3802" i="1"/>
  <c r="C3802" i="1"/>
  <c r="D3802" i="1"/>
  <c r="E3802" i="1"/>
  <c r="F3802" i="1"/>
  <c r="H3802" i="1"/>
  <c r="A3803" i="1"/>
  <c r="B3803" i="1"/>
  <c r="C3803" i="1"/>
  <c r="D3803" i="1"/>
  <c r="E3803" i="1"/>
  <c r="F3803" i="1"/>
  <c r="H3803" i="1"/>
  <c r="A3804" i="1"/>
  <c r="B3804" i="1"/>
  <c r="C3804" i="1"/>
  <c r="D3804" i="1"/>
  <c r="E3804" i="1"/>
  <c r="F3804" i="1"/>
  <c r="H3804" i="1"/>
  <c r="A3805" i="1"/>
  <c r="B3805" i="1"/>
  <c r="C3805" i="1"/>
  <c r="D3805" i="1"/>
  <c r="E3805" i="1"/>
  <c r="F3805" i="1"/>
  <c r="H3805" i="1"/>
  <c r="A3806" i="1"/>
  <c r="B3806" i="1"/>
  <c r="C3806" i="1"/>
  <c r="D3806" i="1"/>
  <c r="E3806" i="1"/>
  <c r="F3806" i="1"/>
  <c r="H3806" i="1"/>
  <c r="A3807" i="1"/>
  <c r="B3807" i="1"/>
  <c r="C3807" i="1"/>
  <c r="D3807" i="1"/>
  <c r="E3807" i="1"/>
  <c r="F3807" i="1"/>
  <c r="H3807" i="1"/>
  <c r="A3808" i="1"/>
  <c r="B3808" i="1"/>
  <c r="C3808" i="1"/>
  <c r="D3808" i="1"/>
  <c r="E3808" i="1"/>
  <c r="F3808" i="1"/>
  <c r="H3808" i="1"/>
  <c r="A3809" i="1"/>
  <c r="B3809" i="1"/>
  <c r="C3809" i="1"/>
  <c r="D3809" i="1"/>
  <c r="E3809" i="1"/>
  <c r="F3809" i="1"/>
  <c r="H3809" i="1"/>
  <c r="A3810" i="1"/>
  <c r="B3810" i="1"/>
  <c r="C3810" i="1"/>
  <c r="D3810" i="1"/>
  <c r="E3810" i="1"/>
  <c r="F3810" i="1"/>
  <c r="H3810" i="1"/>
  <c r="A3811" i="1"/>
  <c r="B3811" i="1"/>
  <c r="C3811" i="1"/>
  <c r="D3811" i="1"/>
  <c r="E3811" i="1"/>
  <c r="F3811" i="1"/>
  <c r="H3811" i="1"/>
  <c r="A3812" i="1"/>
  <c r="B3812" i="1"/>
  <c r="C3812" i="1"/>
  <c r="D3812" i="1"/>
  <c r="E3812" i="1"/>
  <c r="F3812" i="1"/>
  <c r="H3812" i="1"/>
  <c r="A3813" i="1"/>
  <c r="B3813" i="1"/>
  <c r="C3813" i="1"/>
  <c r="D3813" i="1"/>
  <c r="E3813" i="1"/>
  <c r="F3813" i="1"/>
  <c r="H3813" i="1"/>
  <c r="A3814" i="1"/>
  <c r="B3814" i="1"/>
  <c r="C3814" i="1"/>
  <c r="D3814" i="1"/>
  <c r="E3814" i="1"/>
  <c r="F3814" i="1"/>
  <c r="H3814" i="1"/>
  <c r="A3815" i="1"/>
  <c r="B3815" i="1"/>
  <c r="C3815" i="1"/>
  <c r="D3815" i="1"/>
  <c r="E3815" i="1"/>
  <c r="F3815" i="1"/>
  <c r="H3815" i="1"/>
  <c r="A3816" i="1"/>
  <c r="B3816" i="1"/>
  <c r="C3816" i="1"/>
  <c r="D3816" i="1"/>
  <c r="E3816" i="1"/>
  <c r="F3816" i="1"/>
  <c r="H3816" i="1"/>
  <c r="A3817" i="1"/>
  <c r="B3817" i="1"/>
  <c r="C3817" i="1"/>
  <c r="D3817" i="1"/>
  <c r="E3817" i="1"/>
  <c r="F3817" i="1"/>
  <c r="H3817" i="1"/>
  <c r="A3818" i="1"/>
  <c r="B3818" i="1"/>
  <c r="C3818" i="1"/>
  <c r="D3818" i="1"/>
  <c r="E3818" i="1"/>
  <c r="F3818" i="1"/>
  <c r="H3818" i="1"/>
  <c r="A3819" i="1"/>
  <c r="B3819" i="1"/>
  <c r="C3819" i="1"/>
  <c r="D3819" i="1"/>
  <c r="E3819" i="1"/>
  <c r="F3819" i="1"/>
  <c r="H3819" i="1"/>
  <c r="A3820" i="1"/>
  <c r="B3820" i="1"/>
  <c r="C3820" i="1"/>
  <c r="D3820" i="1"/>
  <c r="E3820" i="1"/>
  <c r="F3820" i="1"/>
  <c r="H3820" i="1"/>
  <c r="A3821" i="1"/>
  <c r="B3821" i="1"/>
  <c r="C3821" i="1"/>
  <c r="D3821" i="1"/>
  <c r="E3821" i="1"/>
  <c r="F3821" i="1"/>
  <c r="H3821" i="1"/>
  <c r="A3822" i="1"/>
  <c r="B3822" i="1"/>
  <c r="C3822" i="1"/>
  <c r="D3822" i="1"/>
  <c r="E3822" i="1"/>
  <c r="F3822" i="1"/>
  <c r="H3822" i="1"/>
  <c r="A3823" i="1"/>
  <c r="B3823" i="1"/>
  <c r="C3823" i="1"/>
  <c r="D3823" i="1"/>
  <c r="E3823" i="1"/>
  <c r="F3823" i="1"/>
  <c r="H3823" i="1"/>
  <c r="A3824" i="1"/>
  <c r="B3824" i="1"/>
  <c r="C3824" i="1"/>
  <c r="D3824" i="1"/>
  <c r="E3824" i="1"/>
  <c r="F3824" i="1"/>
  <c r="H3824" i="1"/>
  <c r="A3825" i="1"/>
  <c r="B3825" i="1"/>
  <c r="C3825" i="1"/>
  <c r="D3825" i="1"/>
  <c r="E3825" i="1"/>
  <c r="F3825" i="1"/>
  <c r="H3825" i="1"/>
  <c r="A3826" i="1"/>
  <c r="B3826" i="1"/>
  <c r="C3826" i="1"/>
  <c r="D3826" i="1"/>
  <c r="E3826" i="1"/>
  <c r="F3826" i="1"/>
  <c r="H3826" i="1"/>
  <c r="A3827" i="1"/>
  <c r="B3827" i="1"/>
  <c r="C3827" i="1"/>
  <c r="D3827" i="1"/>
  <c r="E3827" i="1"/>
  <c r="F3827" i="1"/>
  <c r="H3827" i="1"/>
  <c r="A3828" i="1"/>
  <c r="B3828" i="1"/>
  <c r="C3828" i="1"/>
  <c r="D3828" i="1"/>
  <c r="E3828" i="1"/>
  <c r="F3828" i="1"/>
  <c r="H3828" i="1"/>
  <c r="A3829" i="1"/>
  <c r="B3829" i="1"/>
  <c r="C3829" i="1"/>
  <c r="D3829" i="1"/>
  <c r="E3829" i="1"/>
  <c r="F3829" i="1"/>
  <c r="H3829" i="1"/>
  <c r="A3830" i="1"/>
  <c r="B3830" i="1"/>
  <c r="C3830" i="1"/>
  <c r="D3830" i="1"/>
  <c r="E3830" i="1"/>
  <c r="F3830" i="1"/>
  <c r="H3830" i="1"/>
  <c r="A3831" i="1"/>
  <c r="B3831" i="1"/>
  <c r="C3831" i="1"/>
  <c r="D3831" i="1"/>
  <c r="E3831" i="1"/>
  <c r="F3831" i="1"/>
  <c r="H3831" i="1"/>
  <c r="A3832" i="1"/>
  <c r="B3832" i="1"/>
  <c r="C3832" i="1"/>
  <c r="D3832" i="1"/>
  <c r="E3832" i="1"/>
  <c r="F3832" i="1"/>
  <c r="H3832" i="1"/>
  <c r="A3833" i="1"/>
  <c r="B3833" i="1"/>
  <c r="C3833" i="1"/>
  <c r="D3833" i="1"/>
  <c r="E3833" i="1"/>
  <c r="F3833" i="1"/>
  <c r="H3833" i="1"/>
  <c r="A3834" i="1"/>
  <c r="B3834" i="1"/>
  <c r="C3834" i="1"/>
  <c r="D3834" i="1"/>
  <c r="E3834" i="1"/>
  <c r="F3834" i="1"/>
  <c r="H3834" i="1"/>
  <c r="A3835" i="1"/>
  <c r="B3835" i="1"/>
  <c r="C3835" i="1"/>
  <c r="D3835" i="1"/>
  <c r="E3835" i="1"/>
  <c r="F3835" i="1"/>
  <c r="H3835" i="1"/>
  <c r="A3836" i="1"/>
  <c r="B3836" i="1"/>
  <c r="C3836" i="1"/>
  <c r="D3836" i="1"/>
  <c r="E3836" i="1"/>
  <c r="F3836" i="1"/>
  <c r="H3836" i="1"/>
  <c r="A3837" i="1"/>
  <c r="B3837" i="1"/>
  <c r="C3837" i="1"/>
  <c r="D3837" i="1"/>
  <c r="E3837" i="1"/>
  <c r="F3837" i="1"/>
  <c r="H3837" i="1"/>
  <c r="A3838" i="1"/>
  <c r="B3838" i="1"/>
  <c r="C3838" i="1"/>
  <c r="D3838" i="1"/>
  <c r="E3838" i="1"/>
  <c r="F3838" i="1"/>
  <c r="H3838" i="1"/>
  <c r="A3839" i="1"/>
  <c r="B3839" i="1"/>
  <c r="C3839" i="1"/>
  <c r="D3839" i="1"/>
  <c r="E3839" i="1"/>
  <c r="F3839" i="1"/>
  <c r="H3839" i="1"/>
  <c r="A3840" i="1"/>
  <c r="B3840" i="1"/>
  <c r="C3840" i="1"/>
  <c r="D3840" i="1"/>
  <c r="E3840" i="1"/>
  <c r="F3840" i="1"/>
  <c r="H3840" i="1"/>
  <c r="A3841" i="1"/>
  <c r="B3841" i="1"/>
  <c r="C3841" i="1"/>
  <c r="D3841" i="1"/>
  <c r="E3841" i="1"/>
  <c r="F3841" i="1"/>
  <c r="H3841" i="1"/>
  <c r="A3842" i="1"/>
  <c r="B3842" i="1"/>
  <c r="C3842" i="1"/>
  <c r="D3842" i="1"/>
  <c r="E3842" i="1"/>
  <c r="F3842" i="1"/>
  <c r="H3842" i="1"/>
  <c r="A3843" i="1"/>
  <c r="B3843" i="1"/>
  <c r="C3843" i="1"/>
  <c r="D3843" i="1"/>
  <c r="E3843" i="1"/>
  <c r="F3843" i="1"/>
  <c r="H3843" i="1"/>
  <c r="A3844" i="1"/>
  <c r="B3844" i="1"/>
  <c r="C3844" i="1"/>
  <c r="D3844" i="1"/>
  <c r="E3844" i="1"/>
  <c r="F3844" i="1"/>
  <c r="H3844" i="1"/>
  <c r="A3845" i="1"/>
  <c r="B3845" i="1"/>
  <c r="C3845" i="1"/>
  <c r="D3845" i="1"/>
  <c r="E3845" i="1"/>
  <c r="F3845" i="1"/>
  <c r="H3845" i="1"/>
  <c r="A3846" i="1"/>
  <c r="B3846" i="1"/>
  <c r="C3846" i="1"/>
  <c r="D3846" i="1"/>
  <c r="E3846" i="1"/>
  <c r="F3846" i="1"/>
  <c r="H3846" i="1"/>
  <c r="A3847" i="1"/>
  <c r="B3847" i="1"/>
  <c r="C3847" i="1"/>
  <c r="D3847" i="1"/>
  <c r="E3847" i="1"/>
  <c r="F3847" i="1"/>
  <c r="H3847" i="1"/>
  <c r="A3848" i="1"/>
  <c r="B3848" i="1"/>
  <c r="C3848" i="1"/>
  <c r="D3848" i="1"/>
  <c r="E3848" i="1"/>
  <c r="F3848" i="1"/>
  <c r="H3848" i="1"/>
  <c r="A3849" i="1"/>
  <c r="B3849" i="1"/>
  <c r="C3849" i="1"/>
  <c r="D3849" i="1"/>
  <c r="E3849" i="1"/>
  <c r="F3849" i="1"/>
  <c r="H3849" i="1"/>
  <c r="A3850" i="1"/>
  <c r="B3850" i="1"/>
  <c r="C3850" i="1"/>
  <c r="D3850" i="1"/>
  <c r="E3850" i="1"/>
  <c r="F3850" i="1"/>
  <c r="H3850" i="1"/>
  <c r="A3851" i="1"/>
  <c r="B3851" i="1"/>
  <c r="C3851" i="1"/>
  <c r="D3851" i="1"/>
  <c r="E3851" i="1"/>
  <c r="F3851" i="1"/>
  <c r="H3851" i="1"/>
  <c r="A3852" i="1"/>
  <c r="B3852" i="1"/>
  <c r="C3852" i="1"/>
  <c r="D3852" i="1"/>
  <c r="E3852" i="1"/>
  <c r="F3852" i="1"/>
  <c r="H3852" i="1"/>
  <c r="A3853" i="1"/>
  <c r="B3853" i="1"/>
  <c r="C3853" i="1"/>
  <c r="D3853" i="1"/>
  <c r="E3853" i="1"/>
  <c r="F3853" i="1"/>
  <c r="H3853" i="1"/>
  <c r="A3854" i="1"/>
  <c r="B3854" i="1"/>
  <c r="C3854" i="1"/>
  <c r="D3854" i="1"/>
  <c r="E3854" i="1"/>
  <c r="F3854" i="1"/>
  <c r="H3854" i="1"/>
  <c r="A3855" i="1"/>
  <c r="B3855" i="1"/>
  <c r="C3855" i="1"/>
  <c r="D3855" i="1"/>
  <c r="E3855" i="1"/>
  <c r="F3855" i="1"/>
  <c r="H3855" i="1"/>
  <c r="A3856" i="1"/>
  <c r="B3856" i="1"/>
  <c r="C3856" i="1"/>
  <c r="D3856" i="1"/>
  <c r="E3856" i="1"/>
  <c r="F3856" i="1"/>
  <c r="H3856" i="1"/>
  <c r="A3857" i="1"/>
  <c r="B3857" i="1"/>
  <c r="C3857" i="1"/>
  <c r="D3857" i="1"/>
  <c r="E3857" i="1"/>
  <c r="F3857" i="1"/>
  <c r="H3857" i="1"/>
  <c r="A3858" i="1"/>
  <c r="B3858" i="1"/>
  <c r="C3858" i="1"/>
  <c r="D3858" i="1"/>
  <c r="E3858" i="1"/>
  <c r="F3858" i="1"/>
  <c r="H3858" i="1"/>
  <c r="A3859" i="1"/>
  <c r="B3859" i="1"/>
  <c r="C3859" i="1"/>
  <c r="D3859" i="1"/>
  <c r="E3859" i="1"/>
  <c r="F3859" i="1"/>
  <c r="H3859" i="1"/>
  <c r="A3860" i="1"/>
  <c r="B3860" i="1"/>
  <c r="C3860" i="1"/>
  <c r="D3860" i="1"/>
  <c r="E3860" i="1"/>
  <c r="F3860" i="1"/>
  <c r="H3860" i="1"/>
  <c r="A3861" i="1"/>
  <c r="B3861" i="1"/>
  <c r="C3861" i="1"/>
  <c r="D3861" i="1"/>
  <c r="E3861" i="1"/>
  <c r="F3861" i="1"/>
  <c r="H3861" i="1"/>
  <c r="A3862" i="1"/>
  <c r="B3862" i="1"/>
  <c r="C3862" i="1"/>
  <c r="D3862" i="1"/>
  <c r="E3862" i="1"/>
  <c r="F3862" i="1"/>
  <c r="H3862" i="1"/>
  <c r="A3863" i="1"/>
  <c r="B3863" i="1"/>
  <c r="C3863" i="1"/>
  <c r="D3863" i="1"/>
  <c r="E3863" i="1"/>
  <c r="F3863" i="1"/>
  <c r="H3863" i="1"/>
  <c r="A3864" i="1"/>
  <c r="B3864" i="1"/>
  <c r="C3864" i="1"/>
  <c r="D3864" i="1"/>
  <c r="E3864" i="1"/>
  <c r="F3864" i="1"/>
  <c r="H3864" i="1"/>
  <c r="A3865" i="1"/>
  <c r="B3865" i="1"/>
  <c r="C3865" i="1"/>
  <c r="D3865" i="1"/>
  <c r="E3865" i="1"/>
  <c r="F3865" i="1"/>
  <c r="H3865" i="1"/>
  <c r="A3866" i="1"/>
  <c r="B3866" i="1"/>
  <c r="C3866" i="1"/>
  <c r="D3866" i="1"/>
  <c r="E3866" i="1"/>
  <c r="F3866" i="1"/>
  <c r="H3866" i="1"/>
  <c r="A3867" i="1"/>
  <c r="B3867" i="1"/>
  <c r="C3867" i="1"/>
  <c r="D3867" i="1"/>
  <c r="E3867" i="1"/>
  <c r="F3867" i="1"/>
  <c r="H3867" i="1"/>
  <c r="A3868" i="1"/>
  <c r="B3868" i="1"/>
  <c r="C3868" i="1"/>
  <c r="D3868" i="1"/>
  <c r="E3868" i="1"/>
  <c r="F3868" i="1"/>
  <c r="H3868" i="1"/>
  <c r="A3869" i="1"/>
  <c r="B3869" i="1"/>
  <c r="C3869" i="1"/>
  <c r="D3869" i="1"/>
  <c r="E3869" i="1"/>
  <c r="F3869" i="1"/>
  <c r="H3869" i="1"/>
  <c r="A3870" i="1"/>
  <c r="B3870" i="1"/>
  <c r="C3870" i="1"/>
  <c r="D3870" i="1"/>
  <c r="E3870" i="1"/>
  <c r="F3870" i="1"/>
  <c r="H3870" i="1"/>
  <c r="A3871" i="1"/>
  <c r="B3871" i="1"/>
  <c r="C3871" i="1"/>
  <c r="D3871" i="1"/>
  <c r="E3871" i="1"/>
  <c r="F3871" i="1"/>
  <c r="H3871" i="1"/>
  <c r="A3872" i="1"/>
  <c r="B3872" i="1"/>
  <c r="C3872" i="1"/>
  <c r="D3872" i="1"/>
  <c r="E3872" i="1"/>
  <c r="F3872" i="1"/>
  <c r="H3872" i="1"/>
  <c r="A3873" i="1"/>
  <c r="B3873" i="1"/>
  <c r="C3873" i="1"/>
  <c r="D3873" i="1"/>
  <c r="E3873" i="1"/>
  <c r="F3873" i="1"/>
  <c r="H3873" i="1"/>
  <c r="A3874" i="1"/>
  <c r="B3874" i="1"/>
  <c r="C3874" i="1"/>
  <c r="D3874" i="1"/>
  <c r="E3874" i="1"/>
  <c r="F3874" i="1"/>
  <c r="H3874" i="1"/>
  <c r="A3875" i="1"/>
  <c r="B3875" i="1"/>
  <c r="C3875" i="1"/>
  <c r="D3875" i="1"/>
  <c r="E3875" i="1"/>
  <c r="F3875" i="1"/>
  <c r="H3875" i="1"/>
  <c r="A3876" i="1"/>
  <c r="B3876" i="1"/>
  <c r="C3876" i="1"/>
  <c r="D3876" i="1"/>
  <c r="E3876" i="1"/>
  <c r="F3876" i="1"/>
  <c r="H3876" i="1"/>
  <c r="A3877" i="1"/>
  <c r="B3877" i="1"/>
  <c r="C3877" i="1"/>
  <c r="D3877" i="1"/>
  <c r="E3877" i="1"/>
  <c r="F3877" i="1"/>
  <c r="H3877" i="1"/>
  <c r="A3878" i="1"/>
  <c r="B3878" i="1"/>
  <c r="C3878" i="1"/>
  <c r="D3878" i="1"/>
  <c r="E3878" i="1"/>
  <c r="F3878" i="1"/>
  <c r="H3878" i="1"/>
  <c r="A3879" i="1"/>
  <c r="B3879" i="1"/>
  <c r="C3879" i="1"/>
  <c r="D3879" i="1"/>
  <c r="E3879" i="1"/>
  <c r="F3879" i="1"/>
  <c r="H3879" i="1"/>
  <c r="A3880" i="1"/>
  <c r="B3880" i="1"/>
  <c r="C3880" i="1"/>
  <c r="D3880" i="1"/>
  <c r="E3880" i="1"/>
  <c r="F3880" i="1"/>
  <c r="H3880" i="1"/>
  <c r="A3881" i="1"/>
  <c r="B3881" i="1"/>
  <c r="C3881" i="1"/>
  <c r="D3881" i="1"/>
  <c r="E3881" i="1"/>
  <c r="F3881" i="1"/>
  <c r="H3881" i="1"/>
  <c r="A3882" i="1"/>
  <c r="B3882" i="1"/>
  <c r="C3882" i="1"/>
  <c r="D3882" i="1"/>
  <c r="E3882" i="1"/>
  <c r="F3882" i="1"/>
  <c r="H3882" i="1"/>
  <c r="A3883" i="1"/>
  <c r="B3883" i="1"/>
  <c r="C3883" i="1"/>
  <c r="D3883" i="1"/>
  <c r="E3883" i="1"/>
  <c r="F3883" i="1"/>
  <c r="H3883" i="1"/>
  <c r="A3884" i="1"/>
  <c r="B3884" i="1"/>
  <c r="C3884" i="1"/>
  <c r="D3884" i="1"/>
  <c r="E3884" i="1"/>
  <c r="F3884" i="1"/>
  <c r="H3884" i="1"/>
  <c r="A3885" i="1"/>
  <c r="B3885" i="1"/>
  <c r="C3885" i="1"/>
  <c r="D3885" i="1"/>
  <c r="E3885" i="1"/>
  <c r="F3885" i="1"/>
  <c r="H3885" i="1"/>
  <c r="A3886" i="1"/>
  <c r="B3886" i="1"/>
  <c r="C3886" i="1"/>
  <c r="D3886" i="1"/>
  <c r="E3886" i="1"/>
  <c r="F3886" i="1"/>
  <c r="H3886" i="1"/>
  <c r="A3887" i="1"/>
  <c r="B3887" i="1"/>
  <c r="C3887" i="1"/>
  <c r="D3887" i="1"/>
  <c r="E3887" i="1"/>
  <c r="F3887" i="1"/>
  <c r="H3887" i="1"/>
  <c r="A3888" i="1"/>
  <c r="B3888" i="1"/>
  <c r="C3888" i="1"/>
  <c r="D3888" i="1"/>
  <c r="E3888" i="1"/>
  <c r="F3888" i="1"/>
  <c r="H3888" i="1"/>
  <c r="A3889" i="1"/>
  <c r="B3889" i="1"/>
  <c r="C3889" i="1"/>
  <c r="D3889" i="1"/>
  <c r="E3889" i="1"/>
  <c r="F3889" i="1"/>
  <c r="H3889" i="1"/>
  <c r="A3890" i="1"/>
  <c r="B3890" i="1"/>
  <c r="C3890" i="1"/>
  <c r="D3890" i="1"/>
  <c r="E3890" i="1"/>
  <c r="F3890" i="1"/>
  <c r="H3890" i="1"/>
  <c r="A3891" i="1"/>
  <c r="B3891" i="1"/>
  <c r="C3891" i="1"/>
  <c r="D3891" i="1"/>
  <c r="E3891" i="1"/>
  <c r="F3891" i="1"/>
  <c r="H3891" i="1"/>
  <c r="A3892" i="1"/>
  <c r="B3892" i="1"/>
  <c r="C3892" i="1"/>
  <c r="D3892" i="1"/>
  <c r="E3892" i="1"/>
  <c r="F3892" i="1"/>
  <c r="H3892" i="1"/>
  <c r="A3893" i="1"/>
  <c r="B3893" i="1"/>
  <c r="C3893" i="1"/>
  <c r="D3893" i="1"/>
  <c r="E3893" i="1"/>
  <c r="F3893" i="1"/>
  <c r="H3893" i="1"/>
  <c r="A3894" i="1"/>
  <c r="B3894" i="1"/>
  <c r="C3894" i="1"/>
  <c r="D3894" i="1"/>
  <c r="E3894" i="1"/>
  <c r="F3894" i="1"/>
  <c r="H3894" i="1"/>
  <c r="A3895" i="1"/>
  <c r="B3895" i="1"/>
  <c r="C3895" i="1"/>
  <c r="D3895" i="1"/>
  <c r="E3895" i="1"/>
  <c r="F3895" i="1"/>
  <c r="H3895" i="1"/>
  <c r="A3896" i="1"/>
  <c r="B3896" i="1"/>
  <c r="C3896" i="1"/>
  <c r="D3896" i="1"/>
  <c r="E3896" i="1"/>
  <c r="F3896" i="1"/>
  <c r="H3896" i="1"/>
  <c r="A3897" i="1"/>
  <c r="B3897" i="1"/>
  <c r="C3897" i="1"/>
  <c r="D3897" i="1"/>
  <c r="E3897" i="1"/>
  <c r="F3897" i="1"/>
  <c r="H3897" i="1"/>
  <c r="A3898" i="1"/>
  <c r="B3898" i="1"/>
  <c r="C3898" i="1"/>
  <c r="D3898" i="1"/>
  <c r="E3898" i="1"/>
  <c r="F3898" i="1"/>
  <c r="H3898" i="1"/>
  <c r="A3899" i="1"/>
  <c r="B3899" i="1"/>
  <c r="C3899" i="1"/>
  <c r="D3899" i="1"/>
  <c r="E3899" i="1"/>
  <c r="F3899" i="1"/>
  <c r="H3899" i="1"/>
  <c r="A3900" i="1"/>
  <c r="B3900" i="1"/>
  <c r="C3900" i="1"/>
  <c r="D3900" i="1"/>
  <c r="E3900" i="1"/>
  <c r="F3900" i="1"/>
  <c r="H3900" i="1"/>
  <c r="A3901" i="1"/>
  <c r="B3901" i="1"/>
  <c r="C3901" i="1"/>
  <c r="D3901" i="1"/>
  <c r="E3901" i="1"/>
  <c r="F3901" i="1"/>
  <c r="H3901" i="1"/>
  <c r="A3902" i="1"/>
  <c r="B3902" i="1"/>
  <c r="C3902" i="1"/>
  <c r="D3902" i="1"/>
  <c r="E3902" i="1"/>
  <c r="F3902" i="1"/>
  <c r="H3902" i="1"/>
  <c r="A3903" i="1"/>
  <c r="B3903" i="1"/>
  <c r="C3903" i="1"/>
  <c r="D3903" i="1"/>
  <c r="E3903" i="1"/>
  <c r="F3903" i="1"/>
  <c r="H3903" i="1"/>
  <c r="A3904" i="1"/>
  <c r="B3904" i="1"/>
  <c r="C3904" i="1"/>
  <c r="D3904" i="1"/>
  <c r="E3904" i="1"/>
  <c r="F3904" i="1"/>
  <c r="H3904" i="1"/>
  <c r="A3905" i="1"/>
  <c r="B3905" i="1"/>
  <c r="C3905" i="1"/>
  <c r="D3905" i="1"/>
  <c r="E3905" i="1"/>
  <c r="F3905" i="1"/>
  <c r="H3905" i="1"/>
  <c r="A3906" i="1"/>
  <c r="B3906" i="1"/>
  <c r="C3906" i="1"/>
  <c r="D3906" i="1"/>
  <c r="E3906" i="1"/>
  <c r="F3906" i="1"/>
  <c r="H3906" i="1"/>
  <c r="A3907" i="1"/>
  <c r="B3907" i="1"/>
  <c r="C3907" i="1"/>
  <c r="D3907" i="1"/>
  <c r="E3907" i="1"/>
  <c r="F3907" i="1"/>
  <c r="H3907" i="1"/>
  <c r="A3908" i="1"/>
  <c r="B3908" i="1"/>
  <c r="C3908" i="1"/>
  <c r="D3908" i="1"/>
  <c r="E3908" i="1"/>
  <c r="F3908" i="1"/>
  <c r="H3908" i="1"/>
  <c r="A3909" i="1"/>
  <c r="B3909" i="1"/>
  <c r="C3909" i="1"/>
  <c r="D3909" i="1"/>
  <c r="E3909" i="1"/>
  <c r="F3909" i="1"/>
  <c r="H3909" i="1"/>
  <c r="A3910" i="1"/>
  <c r="B3910" i="1"/>
  <c r="C3910" i="1"/>
  <c r="D3910" i="1"/>
  <c r="E3910" i="1"/>
  <c r="F3910" i="1"/>
  <c r="H3910" i="1"/>
  <c r="A3911" i="1"/>
  <c r="B3911" i="1"/>
  <c r="C3911" i="1"/>
  <c r="D3911" i="1"/>
  <c r="E3911" i="1"/>
  <c r="F3911" i="1"/>
  <c r="H3911" i="1"/>
  <c r="A3912" i="1"/>
  <c r="B3912" i="1"/>
  <c r="C3912" i="1"/>
  <c r="D3912" i="1"/>
  <c r="E3912" i="1"/>
  <c r="F3912" i="1"/>
  <c r="H3912" i="1"/>
  <c r="A3913" i="1"/>
  <c r="B3913" i="1"/>
  <c r="C3913" i="1"/>
  <c r="D3913" i="1"/>
  <c r="E3913" i="1"/>
  <c r="F3913" i="1"/>
  <c r="H3913" i="1"/>
  <c r="A3914" i="1"/>
  <c r="B3914" i="1"/>
  <c r="C3914" i="1"/>
  <c r="D3914" i="1"/>
  <c r="E3914" i="1"/>
  <c r="F3914" i="1"/>
  <c r="H3914" i="1"/>
  <c r="A3915" i="1"/>
  <c r="B3915" i="1"/>
  <c r="C3915" i="1"/>
  <c r="D3915" i="1"/>
  <c r="E3915" i="1"/>
  <c r="F3915" i="1"/>
  <c r="H3915" i="1"/>
  <c r="A3916" i="1"/>
  <c r="B3916" i="1"/>
  <c r="C3916" i="1"/>
  <c r="D3916" i="1"/>
  <c r="E3916" i="1"/>
  <c r="F3916" i="1"/>
  <c r="H3916" i="1"/>
  <c r="A3917" i="1"/>
  <c r="B3917" i="1"/>
  <c r="C3917" i="1"/>
  <c r="D3917" i="1"/>
  <c r="E3917" i="1"/>
  <c r="F3917" i="1"/>
  <c r="H3917" i="1"/>
  <c r="A3918" i="1"/>
  <c r="B3918" i="1"/>
  <c r="C3918" i="1"/>
  <c r="D3918" i="1"/>
  <c r="E3918" i="1"/>
  <c r="F3918" i="1"/>
  <c r="H3918" i="1"/>
  <c r="A3919" i="1"/>
  <c r="B3919" i="1"/>
  <c r="C3919" i="1"/>
  <c r="D3919" i="1"/>
  <c r="E3919" i="1"/>
  <c r="F3919" i="1"/>
  <c r="H3919" i="1"/>
  <c r="A3920" i="1"/>
  <c r="B3920" i="1"/>
  <c r="C3920" i="1"/>
  <c r="D3920" i="1"/>
  <c r="E3920" i="1"/>
  <c r="F3920" i="1"/>
  <c r="H3920" i="1"/>
  <c r="A3921" i="1"/>
  <c r="B3921" i="1"/>
  <c r="C3921" i="1"/>
  <c r="D3921" i="1"/>
  <c r="E3921" i="1"/>
  <c r="F3921" i="1"/>
  <c r="H3921" i="1"/>
  <c r="A3922" i="1"/>
  <c r="B3922" i="1"/>
  <c r="C3922" i="1"/>
  <c r="D3922" i="1"/>
  <c r="E3922" i="1"/>
  <c r="F3922" i="1"/>
  <c r="H3922" i="1"/>
  <c r="A3923" i="1"/>
  <c r="B3923" i="1"/>
  <c r="C3923" i="1"/>
  <c r="D3923" i="1"/>
  <c r="E3923" i="1"/>
  <c r="F3923" i="1"/>
  <c r="H3923" i="1"/>
  <c r="A3924" i="1"/>
  <c r="B3924" i="1"/>
  <c r="C3924" i="1"/>
  <c r="D3924" i="1"/>
  <c r="E3924" i="1"/>
  <c r="F3924" i="1"/>
  <c r="H3924" i="1"/>
  <c r="A3925" i="1"/>
  <c r="B3925" i="1"/>
  <c r="C3925" i="1"/>
  <c r="D3925" i="1"/>
  <c r="E3925" i="1"/>
  <c r="F3925" i="1"/>
  <c r="H3925" i="1"/>
  <c r="A3926" i="1"/>
  <c r="B3926" i="1"/>
  <c r="C3926" i="1"/>
  <c r="D3926" i="1"/>
  <c r="E3926" i="1"/>
  <c r="F3926" i="1"/>
  <c r="H3926" i="1"/>
  <c r="A3927" i="1"/>
  <c r="B3927" i="1"/>
  <c r="C3927" i="1"/>
  <c r="D3927" i="1"/>
  <c r="E3927" i="1"/>
  <c r="F3927" i="1"/>
  <c r="H3927" i="1"/>
  <c r="A3928" i="1"/>
  <c r="B3928" i="1"/>
  <c r="C3928" i="1"/>
  <c r="D3928" i="1"/>
  <c r="E3928" i="1"/>
  <c r="F3928" i="1"/>
  <c r="H3928" i="1"/>
  <c r="A3929" i="1"/>
  <c r="B3929" i="1"/>
  <c r="C3929" i="1"/>
  <c r="D3929" i="1"/>
  <c r="E3929" i="1"/>
  <c r="F3929" i="1"/>
  <c r="H3929" i="1"/>
  <c r="A3930" i="1"/>
  <c r="B3930" i="1"/>
  <c r="C3930" i="1"/>
  <c r="D3930" i="1"/>
  <c r="E3930" i="1"/>
  <c r="F3930" i="1"/>
  <c r="H3930" i="1"/>
  <c r="A3931" i="1"/>
  <c r="B3931" i="1"/>
  <c r="C3931" i="1"/>
  <c r="D3931" i="1"/>
  <c r="E3931" i="1"/>
  <c r="F3931" i="1"/>
  <c r="H3931" i="1"/>
  <c r="A3932" i="1"/>
  <c r="B3932" i="1"/>
  <c r="C3932" i="1"/>
  <c r="D3932" i="1"/>
  <c r="E3932" i="1"/>
  <c r="F3932" i="1"/>
  <c r="H3932" i="1"/>
  <c r="A3933" i="1"/>
  <c r="B3933" i="1"/>
  <c r="C3933" i="1"/>
  <c r="D3933" i="1"/>
  <c r="E3933" i="1"/>
  <c r="F3933" i="1"/>
  <c r="H3933" i="1"/>
  <c r="A3934" i="1"/>
  <c r="B3934" i="1"/>
  <c r="C3934" i="1"/>
  <c r="D3934" i="1"/>
  <c r="E3934" i="1"/>
  <c r="F3934" i="1"/>
  <c r="H3934" i="1"/>
  <c r="A3935" i="1"/>
  <c r="B3935" i="1"/>
  <c r="C3935" i="1"/>
  <c r="D3935" i="1"/>
  <c r="E3935" i="1"/>
  <c r="F3935" i="1"/>
  <c r="H3935" i="1"/>
  <c r="A3936" i="1"/>
  <c r="B3936" i="1"/>
  <c r="C3936" i="1"/>
  <c r="D3936" i="1"/>
  <c r="E3936" i="1"/>
  <c r="F3936" i="1"/>
  <c r="H3936" i="1"/>
  <c r="A3937" i="1"/>
  <c r="B3937" i="1"/>
  <c r="C3937" i="1"/>
  <c r="D3937" i="1"/>
  <c r="E3937" i="1"/>
  <c r="F3937" i="1"/>
  <c r="H3937" i="1"/>
  <c r="A3938" i="1"/>
  <c r="B3938" i="1"/>
  <c r="C3938" i="1"/>
  <c r="D3938" i="1"/>
  <c r="E3938" i="1"/>
  <c r="F3938" i="1"/>
  <c r="H3938" i="1"/>
  <c r="A3939" i="1"/>
  <c r="B3939" i="1"/>
  <c r="C3939" i="1"/>
  <c r="D3939" i="1"/>
  <c r="E3939" i="1"/>
  <c r="F3939" i="1"/>
  <c r="H3939" i="1"/>
  <c r="A3940" i="1"/>
  <c r="B3940" i="1"/>
  <c r="C3940" i="1"/>
  <c r="D3940" i="1"/>
  <c r="E3940" i="1"/>
  <c r="F3940" i="1"/>
  <c r="H3940" i="1"/>
  <c r="A3941" i="1"/>
  <c r="B3941" i="1"/>
  <c r="C3941" i="1"/>
  <c r="D3941" i="1"/>
  <c r="E3941" i="1"/>
  <c r="F3941" i="1"/>
  <c r="H3941" i="1"/>
  <c r="A3942" i="1"/>
  <c r="B3942" i="1"/>
  <c r="C3942" i="1"/>
  <c r="D3942" i="1"/>
  <c r="E3942" i="1"/>
  <c r="F3942" i="1"/>
  <c r="H3942" i="1"/>
  <c r="A3943" i="1"/>
  <c r="B3943" i="1"/>
  <c r="C3943" i="1"/>
  <c r="D3943" i="1"/>
  <c r="E3943" i="1"/>
  <c r="F3943" i="1"/>
  <c r="H3943" i="1"/>
  <c r="A3944" i="1"/>
  <c r="B3944" i="1"/>
  <c r="C3944" i="1"/>
  <c r="D3944" i="1"/>
  <c r="E3944" i="1"/>
  <c r="F3944" i="1"/>
  <c r="H3944" i="1"/>
  <c r="A3945" i="1"/>
  <c r="B3945" i="1"/>
  <c r="C3945" i="1"/>
  <c r="D3945" i="1"/>
  <c r="E3945" i="1"/>
  <c r="F3945" i="1"/>
  <c r="H3945" i="1"/>
  <c r="A3946" i="1"/>
  <c r="B3946" i="1"/>
  <c r="C3946" i="1"/>
  <c r="D3946" i="1"/>
  <c r="E3946" i="1"/>
  <c r="F3946" i="1"/>
  <c r="H3946" i="1"/>
  <c r="A3947" i="1"/>
  <c r="B3947" i="1"/>
  <c r="C3947" i="1"/>
  <c r="D3947" i="1"/>
  <c r="E3947" i="1"/>
  <c r="F3947" i="1"/>
  <c r="H3947" i="1"/>
  <c r="A3948" i="1"/>
  <c r="B3948" i="1"/>
  <c r="C3948" i="1"/>
  <c r="D3948" i="1"/>
  <c r="E3948" i="1"/>
  <c r="F3948" i="1"/>
  <c r="H3948" i="1"/>
  <c r="A3949" i="1"/>
  <c r="B3949" i="1"/>
  <c r="C3949" i="1"/>
  <c r="D3949" i="1"/>
  <c r="E3949" i="1"/>
  <c r="F3949" i="1"/>
  <c r="H3949" i="1"/>
  <c r="A3950" i="1"/>
  <c r="B3950" i="1"/>
  <c r="C3950" i="1"/>
  <c r="D3950" i="1"/>
  <c r="E3950" i="1"/>
  <c r="F3950" i="1"/>
  <c r="H3950" i="1"/>
  <c r="A3951" i="1"/>
  <c r="B3951" i="1"/>
  <c r="C3951" i="1"/>
  <c r="D3951" i="1"/>
  <c r="E3951" i="1"/>
  <c r="F3951" i="1"/>
  <c r="H3951" i="1"/>
  <c r="A3952" i="1"/>
  <c r="B3952" i="1"/>
  <c r="C3952" i="1"/>
  <c r="D3952" i="1"/>
  <c r="E3952" i="1"/>
  <c r="F3952" i="1"/>
  <c r="H3952" i="1"/>
  <c r="A3953" i="1"/>
  <c r="B3953" i="1"/>
  <c r="C3953" i="1"/>
  <c r="D3953" i="1"/>
  <c r="E3953" i="1"/>
  <c r="F3953" i="1"/>
  <c r="H3953" i="1"/>
  <c r="A3954" i="1"/>
  <c r="B3954" i="1"/>
  <c r="C3954" i="1"/>
  <c r="D3954" i="1"/>
  <c r="E3954" i="1"/>
  <c r="F3954" i="1"/>
  <c r="H3954" i="1"/>
  <c r="A3955" i="1"/>
  <c r="B3955" i="1"/>
  <c r="C3955" i="1"/>
  <c r="D3955" i="1"/>
  <c r="E3955" i="1"/>
  <c r="F3955" i="1"/>
  <c r="H3955" i="1"/>
  <c r="A3956" i="1"/>
  <c r="B3956" i="1"/>
  <c r="C3956" i="1"/>
  <c r="D3956" i="1"/>
  <c r="E3956" i="1"/>
  <c r="F3956" i="1"/>
  <c r="H3956" i="1"/>
  <c r="A3957" i="1"/>
  <c r="B3957" i="1"/>
  <c r="C3957" i="1"/>
  <c r="D3957" i="1"/>
  <c r="E3957" i="1"/>
  <c r="F3957" i="1"/>
  <c r="H3957" i="1"/>
  <c r="A3958" i="1"/>
  <c r="B3958" i="1"/>
  <c r="C3958" i="1"/>
  <c r="D3958" i="1"/>
  <c r="E3958" i="1"/>
  <c r="F3958" i="1"/>
  <c r="H3958" i="1"/>
  <c r="A3959" i="1"/>
  <c r="B3959" i="1"/>
  <c r="C3959" i="1"/>
  <c r="D3959" i="1"/>
  <c r="E3959" i="1"/>
  <c r="F3959" i="1"/>
  <c r="H3959" i="1"/>
  <c r="A3960" i="1"/>
  <c r="B3960" i="1"/>
  <c r="C3960" i="1"/>
  <c r="D3960" i="1"/>
  <c r="E3960" i="1"/>
  <c r="F3960" i="1"/>
  <c r="H3960" i="1"/>
  <c r="A3961" i="1"/>
  <c r="B3961" i="1"/>
  <c r="C3961" i="1"/>
  <c r="D3961" i="1"/>
  <c r="E3961" i="1"/>
  <c r="F3961" i="1"/>
  <c r="H3961" i="1"/>
  <c r="A3962" i="1"/>
  <c r="B3962" i="1"/>
  <c r="C3962" i="1"/>
  <c r="D3962" i="1"/>
  <c r="E3962" i="1"/>
  <c r="F3962" i="1"/>
  <c r="H3962" i="1"/>
  <c r="A3963" i="1"/>
  <c r="B3963" i="1"/>
  <c r="C3963" i="1"/>
  <c r="D3963" i="1"/>
  <c r="E3963" i="1"/>
  <c r="F3963" i="1"/>
  <c r="H3963" i="1"/>
  <c r="A3964" i="1"/>
  <c r="B3964" i="1"/>
  <c r="C3964" i="1"/>
  <c r="D3964" i="1"/>
  <c r="E3964" i="1"/>
  <c r="F3964" i="1"/>
  <c r="H3964" i="1"/>
  <c r="A3965" i="1"/>
  <c r="B3965" i="1"/>
  <c r="C3965" i="1"/>
  <c r="D3965" i="1"/>
  <c r="E3965" i="1"/>
  <c r="F3965" i="1"/>
  <c r="H3965" i="1"/>
  <c r="A3966" i="1"/>
  <c r="B3966" i="1"/>
  <c r="C3966" i="1"/>
  <c r="D3966" i="1"/>
  <c r="E3966" i="1"/>
  <c r="F3966" i="1"/>
  <c r="H3966" i="1"/>
  <c r="A3967" i="1"/>
  <c r="B3967" i="1"/>
  <c r="C3967" i="1"/>
  <c r="D3967" i="1"/>
  <c r="E3967" i="1"/>
  <c r="F3967" i="1"/>
  <c r="H3967" i="1"/>
  <c r="A3968" i="1"/>
  <c r="B3968" i="1"/>
  <c r="C3968" i="1"/>
  <c r="D3968" i="1"/>
  <c r="E3968" i="1"/>
  <c r="F3968" i="1"/>
  <c r="H3968" i="1"/>
  <c r="A3969" i="1"/>
  <c r="B3969" i="1"/>
  <c r="C3969" i="1"/>
  <c r="D3969" i="1"/>
  <c r="E3969" i="1"/>
  <c r="F3969" i="1"/>
  <c r="H3969" i="1"/>
  <c r="A3970" i="1"/>
  <c r="B3970" i="1"/>
  <c r="C3970" i="1"/>
  <c r="D3970" i="1"/>
  <c r="E3970" i="1"/>
  <c r="F3970" i="1"/>
  <c r="H3970" i="1"/>
  <c r="A3971" i="1"/>
  <c r="B3971" i="1"/>
  <c r="C3971" i="1"/>
  <c r="D3971" i="1"/>
  <c r="E3971" i="1"/>
  <c r="F3971" i="1"/>
  <c r="H3971" i="1"/>
  <c r="A3972" i="1"/>
  <c r="B3972" i="1"/>
  <c r="C3972" i="1"/>
  <c r="D3972" i="1"/>
  <c r="E3972" i="1"/>
  <c r="F3972" i="1"/>
  <c r="H3972" i="1"/>
  <c r="A3973" i="1"/>
  <c r="B3973" i="1"/>
  <c r="C3973" i="1"/>
  <c r="D3973" i="1"/>
  <c r="E3973" i="1"/>
  <c r="F3973" i="1"/>
  <c r="H3973" i="1"/>
  <c r="A3974" i="1"/>
  <c r="B3974" i="1"/>
  <c r="C3974" i="1"/>
  <c r="D3974" i="1"/>
  <c r="E3974" i="1"/>
  <c r="F3974" i="1"/>
  <c r="H3974" i="1"/>
  <c r="A3975" i="1"/>
  <c r="B3975" i="1"/>
  <c r="C3975" i="1"/>
  <c r="D3975" i="1"/>
  <c r="E3975" i="1"/>
  <c r="F3975" i="1"/>
  <c r="H3975" i="1"/>
  <c r="A3976" i="1"/>
  <c r="B3976" i="1"/>
  <c r="C3976" i="1"/>
  <c r="D3976" i="1"/>
  <c r="E3976" i="1"/>
  <c r="F3976" i="1"/>
  <c r="H3976" i="1"/>
  <c r="A3977" i="1"/>
  <c r="B3977" i="1"/>
  <c r="C3977" i="1"/>
  <c r="D3977" i="1"/>
  <c r="E3977" i="1"/>
  <c r="F3977" i="1"/>
  <c r="H3977" i="1"/>
  <c r="A3978" i="1"/>
  <c r="B3978" i="1"/>
  <c r="C3978" i="1"/>
  <c r="D3978" i="1"/>
  <c r="E3978" i="1"/>
  <c r="F3978" i="1"/>
  <c r="H3978" i="1"/>
  <c r="A3979" i="1"/>
  <c r="B3979" i="1"/>
  <c r="C3979" i="1"/>
  <c r="D3979" i="1"/>
  <c r="E3979" i="1"/>
  <c r="F3979" i="1"/>
  <c r="H3979" i="1"/>
  <c r="A3980" i="1"/>
  <c r="B3980" i="1"/>
  <c r="C3980" i="1"/>
  <c r="D3980" i="1"/>
  <c r="E3980" i="1"/>
  <c r="F3980" i="1"/>
  <c r="H3980" i="1"/>
  <c r="A3981" i="1"/>
  <c r="B3981" i="1"/>
  <c r="C3981" i="1"/>
  <c r="D3981" i="1"/>
  <c r="E3981" i="1"/>
  <c r="F3981" i="1"/>
  <c r="H3981" i="1"/>
  <c r="A3982" i="1"/>
  <c r="B3982" i="1"/>
  <c r="C3982" i="1"/>
  <c r="D3982" i="1"/>
  <c r="E3982" i="1"/>
  <c r="F3982" i="1"/>
  <c r="H3982" i="1"/>
  <c r="A3983" i="1"/>
  <c r="B3983" i="1"/>
  <c r="C3983" i="1"/>
  <c r="D3983" i="1"/>
  <c r="E3983" i="1"/>
  <c r="F3983" i="1"/>
  <c r="H3983" i="1"/>
  <c r="A3984" i="1"/>
  <c r="B3984" i="1"/>
  <c r="C3984" i="1"/>
  <c r="D3984" i="1"/>
  <c r="E3984" i="1"/>
  <c r="F3984" i="1"/>
  <c r="H3984" i="1"/>
  <c r="A3985" i="1"/>
  <c r="B3985" i="1"/>
  <c r="C3985" i="1"/>
  <c r="D3985" i="1"/>
  <c r="E3985" i="1"/>
  <c r="F3985" i="1"/>
  <c r="H3985" i="1"/>
  <c r="A3986" i="1"/>
  <c r="B3986" i="1"/>
  <c r="C3986" i="1"/>
  <c r="D3986" i="1"/>
  <c r="E3986" i="1"/>
  <c r="F3986" i="1"/>
  <c r="H3986" i="1"/>
  <c r="A3987" i="1"/>
  <c r="B3987" i="1"/>
  <c r="C3987" i="1"/>
  <c r="D3987" i="1"/>
  <c r="E3987" i="1"/>
  <c r="F3987" i="1"/>
  <c r="H3987" i="1"/>
  <c r="A3988" i="1"/>
  <c r="B3988" i="1"/>
  <c r="C3988" i="1"/>
  <c r="D3988" i="1"/>
  <c r="E3988" i="1"/>
  <c r="F3988" i="1"/>
  <c r="H3988" i="1"/>
  <c r="A3989" i="1"/>
  <c r="B3989" i="1"/>
  <c r="C3989" i="1"/>
  <c r="D3989" i="1"/>
  <c r="E3989" i="1"/>
  <c r="F3989" i="1"/>
  <c r="H3989" i="1"/>
  <c r="A3990" i="1"/>
  <c r="B3990" i="1"/>
  <c r="C3990" i="1"/>
  <c r="D3990" i="1"/>
  <c r="E3990" i="1"/>
  <c r="F3990" i="1"/>
  <c r="H3990" i="1"/>
  <c r="A3991" i="1"/>
  <c r="B3991" i="1"/>
  <c r="C3991" i="1"/>
  <c r="D3991" i="1"/>
  <c r="E3991" i="1"/>
  <c r="F3991" i="1"/>
  <c r="H3991" i="1"/>
  <c r="A3992" i="1"/>
  <c r="B3992" i="1"/>
  <c r="C3992" i="1"/>
  <c r="D3992" i="1"/>
  <c r="E3992" i="1"/>
  <c r="F3992" i="1"/>
  <c r="H3992" i="1"/>
  <c r="A3993" i="1"/>
  <c r="B3993" i="1"/>
  <c r="C3993" i="1"/>
  <c r="D3993" i="1"/>
  <c r="E3993" i="1"/>
  <c r="F3993" i="1"/>
  <c r="H3993" i="1"/>
  <c r="A3994" i="1"/>
  <c r="B3994" i="1"/>
  <c r="C3994" i="1"/>
  <c r="D3994" i="1"/>
  <c r="E3994" i="1"/>
  <c r="F3994" i="1"/>
  <c r="H3994" i="1"/>
  <c r="A3995" i="1"/>
  <c r="B3995" i="1"/>
  <c r="C3995" i="1"/>
  <c r="D3995" i="1"/>
  <c r="E3995" i="1"/>
  <c r="F3995" i="1"/>
  <c r="H3995" i="1"/>
  <c r="A3996" i="1"/>
  <c r="B3996" i="1"/>
  <c r="C3996" i="1"/>
  <c r="D3996" i="1"/>
  <c r="E3996" i="1"/>
  <c r="F3996" i="1"/>
  <c r="H3996" i="1"/>
  <c r="A3997" i="1"/>
  <c r="B3997" i="1"/>
  <c r="C3997" i="1"/>
  <c r="D3997" i="1"/>
  <c r="E3997" i="1"/>
  <c r="F3997" i="1"/>
  <c r="H3997" i="1"/>
  <c r="A3998" i="1"/>
  <c r="B3998" i="1"/>
  <c r="C3998" i="1"/>
  <c r="D3998" i="1"/>
  <c r="E3998" i="1"/>
  <c r="F3998" i="1"/>
  <c r="H3998" i="1"/>
  <c r="A3999" i="1"/>
  <c r="B3999" i="1"/>
  <c r="C3999" i="1"/>
  <c r="D3999" i="1"/>
  <c r="E3999" i="1"/>
  <c r="F3999" i="1"/>
  <c r="H3999" i="1"/>
  <c r="A4000" i="1"/>
  <c r="B4000" i="1"/>
  <c r="C4000" i="1"/>
  <c r="D4000" i="1"/>
  <c r="E4000" i="1"/>
  <c r="F4000" i="1"/>
  <c r="H4000" i="1"/>
  <c r="A4001" i="1"/>
  <c r="B4001" i="1"/>
  <c r="C4001" i="1"/>
  <c r="D4001" i="1"/>
  <c r="E4001" i="1"/>
  <c r="F4001" i="1"/>
  <c r="H4001" i="1"/>
  <c r="A4002" i="1"/>
  <c r="B4002" i="1"/>
  <c r="C4002" i="1"/>
  <c r="D4002" i="1"/>
  <c r="E4002" i="1"/>
  <c r="F4002" i="1"/>
  <c r="H4002" i="1"/>
  <c r="A4003" i="1"/>
  <c r="B4003" i="1"/>
  <c r="C4003" i="1"/>
  <c r="D4003" i="1"/>
  <c r="E4003" i="1"/>
  <c r="F4003" i="1"/>
  <c r="H4003" i="1"/>
  <c r="A4004" i="1"/>
  <c r="B4004" i="1"/>
  <c r="C4004" i="1"/>
  <c r="D4004" i="1"/>
  <c r="E4004" i="1"/>
  <c r="F4004" i="1"/>
  <c r="H4004" i="1"/>
  <c r="A4005" i="1"/>
  <c r="B4005" i="1"/>
  <c r="C4005" i="1"/>
  <c r="D4005" i="1"/>
  <c r="E4005" i="1"/>
  <c r="F4005" i="1"/>
  <c r="H4005" i="1"/>
  <c r="A4006" i="1"/>
  <c r="B4006" i="1"/>
  <c r="C4006" i="1"/>
  <c r="D4006" i="1"/>
  <c r="E4006" i="1"/>
  <c r="F4006" i="1"/>
  <c r="H4006" i="1"/>
  <c r="A4007" i="1"/>
  <c r="B4007" i="1"/>
  <c r="C4007" i="1"/>
  <c r="D4007" i="1"/>
  <c r="E4007" i="1"/>
  <c r="F4007" i="1"/>
  <c r="H4007" i="1"/>
  <c r="A4008" i="1"/>
  <c r="B4008" i="1"/>
  <c r="C4008" i="1"/>
  <c r="D4008" i="1"/>
  <c r="E4008" i="1"/>
  <c r="F4008" i="1"/>
  <c r="H4008" i="1"/>
  <c r="A4009" i="1"/>
  <c r="B4009" i="1"/>
  <c r="C4009" i="1"/>
  <c r="D4009" i="1"/>
  <c r="E4009" i="1"/>
  <c r="F4009" i="1"/>
  <c r="H4009" i="1"/>
  <c r="A4010" i="1"/>
  <c r="B4010" i="1"/>
  <c r="C4010" i="1"/>
  <c r="D4010" i="1"/>
  <c r="E4010" i="1"/>
  <c r="F4010" i="1"/>
  <c r="H4010" i="1"/>
  <c r="A4011" i="1"/>
  <c r="B4011" i="1"/>
  <c r="C4011" i="1"/>
  <c r="D4011" i="1"/>
  <c r="E4011" i="1"/>
  <c r="F4011" i="1"/>
  <c r="H4011" i="1"/>
  <c r="A4012" i="1"/>
  <c r="B4012" i="1"/>
  <c r="C4012" i="1"/>
  <c r="D4012" i="1"/>
  <c r="E4012" i="1"/>
  <c r="F4012" i="1"/>
  <c r="H4012" i="1"/>
  <c r="A4013" i="1"/>
  <c r="B4013" i="1"/>
  <c r="C4013" i="1"/>
  <c r="D4013" i="1"/>
  <c r="E4013" i="1"/>
  <c r="F4013" i="1"/>
  <c r="H4013" i="1"/>
  <c r="A4014" i="1"/>
  <c r="B4014" i="1"/>
  <c r="C4014" i="1"/>
  <c r="D4014" i="1"/>
  <c r="E4014" i="1"/>
  <c r="F4014" i="1"/>
  <c r="H4014" i="1"/>
  <c r="A4015" i="1"/>
  <c r="B4015" i="1"/>
  <c r="C4015" i="1"/>
  <c r="D4015" i="1"/>
  <c r="E4015" i="1"/>
  <c r="F4015" i="1"/>
  <c r="H4015" i="1"/>
  <c r="A4016" i="1"/>
  <c r="B4016" i="1"/>
  <c r="C4016" i="1"/>
  <c r="D4016" i="1"/>
  <c r="E4016" i="1"/>
  <c r="F4016" i="1"/>
  <c r="H4016" i="1"/>
  <c r="A4017" i="1"/>
  <c r="B4017" i="1"/>
  <c r="C4017" i="1"/>
  <c r="D4017" i="1"/>
  <c r="E4017" i="1"/>
  <c r="F4017" i="1"/>
  <c r="H4017" i="1"/>
  <c r="A4018" i="1"/>
  <c r="B4018" i="1"/>
  <c r="C4018" i="1"/>
  <c r="D4018" i="1"/>
  <c r="E4018" i="1"/>
  <c r="F4018" i="1"/>
  <c r="H4018" i="1"/>
  <c r="A4019" i="1"/>
  <c r="B4019" i="1"/>
  <c r="C4019" i="1"/>
  <c r="D4019" i="1"/>
  <c r="E4019" i="1"/>
  <c r="F4019" i="1"/>
  <c r="H4019" i="1"/>
  <c r="A4020" i="1"/>
  <c r="B4020" i="1"/>
  <c r="C4020" i="1"/>
  <c r="D4020" i="1"/>
  <c r="E4020" i="1"/>
  <c r="F4020" i="1"/>
  <c r="H4020" i="1"/>
  <c r="A4021" i="1"/>
  <c r="B4021" i="1"/>
  <c r="C4021" i="1"/>
  <c r="D4021" i="1"/>
  <c r="E4021" i="1"/>
  <c r="F4021" i="1"/>
  <c r="H4021" i="1"/>
  <c r="A4022" i="1"/>
  <c r="B4022" i="1"/>
  <c r="C4022" i="1"/>
  <c r="D4022" i="1"/>
  <c r="E4022" i="1"/>
  <c r="F4022" i="1"/>
  <c r="H4022" i="1"/>
  <c r="A4023" i="1"/>
  <c r="B4023" i="1"/>
  <c r="C4023" i="1"/>
  <c r="D4023" i="1"/>
  <c r="E4023" i="1"/>
  <c r="F4023" i="1"/>
  <c r="H4023" i="1"/>
  <c r="A4024" i="1"/>
  <c r="B4024" i="1"/>
  <c r="C4024" i="1"/>
  <c r="D4024" i="1"/>
  <c r="E4024" i="1"/>
  <c r="F4024" i="1"/>
  <c r="H4024" i="1"/>
  <c r="A4025" i="1"/>
  <c r="B4025" i="1"/>
  <c r="C4025" i="1"/>
  <c r="D4025" i="1"/>
  <c r="E4025" i="1"/>
  <c r="F4025" i="1"/>
  <c r="H4025" i="1"/>
  <c r="A4026" i="1"/>
  <c r="B4026" i="1"/>
  <c r="C4026" i="1"/>
  <c r="D4026" i="1"/>
  <c r="E4026" i="1"/>
  <c r="F4026" i="1"/>
  <c r="H4026" i="1"/>
  <c r="A4027" i="1"/>
  <c r="B4027" i="1"/>
  <c r="C4027" i="1"/>
  <c r="D4027" i="1"/>
  <c r="E4027" i="1"/>
  <c r="F4027" i="1"/>
  <c r="H4027" i="1"/>
  <c r="A4028" i="1"/>
  <c r="B4028" i="1"/>
  <c r="C4028" i="1"/>
  <c r="D4028" i="1"/>
  <c r="E4028" i="1"/>
  <c r="F4028" i="1"/>
  <c r="H4028" i="1"/>
  <c r="A4029" i="1"/>
  <c r="B4029" i="1"/>
  <c r="C4029" i="1"/>
  <c r="D4029" i="1"/>
  <c r="E4029" i="1"/>
  <c r="F4029" i="1"/>
  <c r="H4029" i="1"/>
  <c r="A4030" i="1"/>
  <c r="B4030" i="1"/>
  <c r="C4030" i="1"/>
  <c r="D4030" i="1"/>
  <c r="E4030" i="1"/>
  <c r="F4030" i="1"/>
  <c r="H4030" i="1"/>
  <c r="A4031" i="1"/>
  <c r="B4031" i="1"/>
  <c r="C4031" i="1"/>
  <c r="D4031" i="1"/>
  <c r="E4031" i="1"/>
  <c r="F4031" i="1"/>
  <c r="H4031" i="1"/>
  <c r="A4032" i="1"/>
  <c r="B4032" i="1"/>
  <c r="C4032" i="1"/>
  <c r="D4032" i="1"/>
  <c r="E4032" i="1"/>
  <c r="F4032" i="1"/>
  <c r="H4032" i="1"/>
  <c r="A4033" i="1"/>
  <c r="B4033" i="1"/>
  <c r="C4033" i="1"/>
  <c r="D4033" i="1"/>
  <c r="E4033" i="1"/>
  <c r="F4033" i="1"/>
  <c r="H4033" i="1"/>
  <c r="A4034" i="1"/>
  <c r="B4034" i="1"/>
  <c r="C4034" i="1"/>
  <c r="D4034" i="1"/>
  <c r="E4034" i="1"/>
  <c r="F4034" i="1"/>
  <c r="H4034" i="1"/>
  <c r="A4035" i="1"/>
  <c r="B4035" i="1"/>
  <c r="C4035" i="1"/>
  <c r="D4035" i="1"/>
  <c r="E4035" i="1"/>
  <c r="F4035" i="1"/>
  <c r="H4035" i="1"/>
  <c r="A4036" i="1"/>
  <c r="B4036" i="1"/>
  <c r="C4036" i="1"/>
  <c r="D4036" i="1"/>
  <c r="E4036" i="1"/>
  <c r="F4036" i="1"/>
  <c r="H4036" i="1"/>
  <c r="A4037" i="1"/>
  <c r="B4037" i="1"/>
  <c r="C4037" i="1"/>
  <c r="D4037" i="1"/>
  <c r="E4037" i="1"/>
  <c r="F4037" i="1"/>
  <c r="H4037" i="1"/>
  <c r="A4038" i="1"/>
  <c r="B4038" i="1"/>
  <c r="C4038" i="1"/>
  <c r="D4038" i="1"/>
  <c r="E4038" i="1"/>
  <c r="F4038" i="1"/>
  <c r="H4038" i="1"/>
  <c r="A4039" i="1"/>
  <c r="B4039" i="1"/>
  <c r="C4039" i="1"/>
  <c r="D4039" i="1"/>
  <c r="E4039" i="1"/>
  <c r="F4039" i="1"/>
  <c r="H4039" i="1"/>
  <c r="A4040" i="1"/>
  <c r="B4040" i="1"/>
  <c r="C4040" i="1"/>
  <c r="D4040" i="1"/>
  <c r="E4040" i="1"/>
  <c r="F4040" i="1"/>
  <c r="H4040" i="1"/>
  <c r="A4041" i="1"/>
  <c r="B4041" i="1"/>
  <c r="C4041" i="1"/>
  <c r="D4041" i="1"/>
  <c r="E4041" i="1"/>
  <c r="F4041" i="1"/>
  <c r="H4041" i="1"/>
  <c r="A4042" i="1"/>
  <c r="B4042" i="1"/>
  <c r="C4042" i="1"/>
  <c r="D4042" i="1"/>
  <c r="E4042" i="1"/>
  <c r="F4042" i="1"/>
  <c r="H4042" i="1"/>
  <c r="A4043" i="1"/>
  <c r="B4043" i="1"/>
  <c r="C4043" i="1"/>
  <c r="D4043" i="1"/>
  <c r="E4043" i="1"/>
  <c r="F4043" i="1"/>
  <c r="H4043" i="1"/>
  <c r="A4044" i="1"/>
  <c r="B4044" i="1"/>
  <c r="C4044" i="1"/>
  <c r="D4044" i="1"/>
  <c r="E4044" i="1"/>
  <c r="F4044" i="1"/>
  <c r="H4044" i="1"/>
  <c r="A4045" i="1"/>
  <c r="B4045" i="1"/>
  <c r="C4045" i="1"/>
  <c r="D4045" i="1"/>
  <c r="E4045" i="1"/>
  <c r="F4045" i="1"/>
  <c r="H4045" i="1"/>
  <c r="A4046" i="1"/>
  <c r="B4046" i="1"/>
  <c r="C4046" i="1"/>
  <c r="D4046" i="1"/>
  <c r="E4046" i="1"/>
  <c r="F4046" i="1"/>
  <c r="H4046" i="1"/>
  <c r="A4047" i="1"/>
  <c r="B4047" i="1"/>
  <c r="C4047" i="1"/>
  <c r="D4047" i="1"/>
  <c r="E4047" i="1"/>
  <c r="F4047" i="1"/>
  <c r="H4047" i="1"/>
  <c r="A4048" i="1"/>
  <c r="B4048" i="1"/>
  <c r="C4048" i="1"/>
  <c r="D4048" i="1"/>
  <c r="E4048" i="1"/>
  <c r="F4048" i="1"/>
  <c r="H4048" i="1"/>
  <c r="A4049" i="1"/>
  <c r="B4049" i="1"/>
  <c r="C4049" i="1"/>
  <c r="D4049" i="1"/>
  <c r="E4049" i="1"/>
  <c r="F4049" i="1"/>
  <c r="H4049" i="1"/>
  <c r="A4050" i="1"/>
  <c r="B4050" i="1"/>
  <c r="C4050" i="1"/>
  <c r="D4050" i="1"/>
  <c r="E4050" i="1"/>
  <c r="F4050" i="1"/>
  <c r="H4050" i="1"/>
  <c r="A4051" i="1"/>
  <c r="B4051" i="1"/>
  <c r="C4051" i="1"/>
  <c r="D4051" i="1"/>
  <c r="E4051" i="1"/>
  <c r="F4051" i="1"/>
  <c r="H4051" i="1"/>
  <c r="A4052" i="1"/>
  <c r="B4052" i="1"/>
  <c r="C4052" i="1"/>
  <c r="D4052" i="1"/>
  <c r="E4052" i="1"/>
  <c r="F4052" i="1"/>
  <c r="H4052" i="1"/>
  <c r="A4053" i="1"/>
  <c r="B4053" i="1"/>
  <c r="C4053" i="1"/>
  <c r="D4053" i="1"/>
  <c r="E4053" i="1"/>
  <c r="F4053" i="1"/>
  <c r="H4053" i="1"/>
  <c r="A4054" i="1"/>
  <c r="B4054" i="1"/>
  <c r="C4054" i="1"/>
  <c r="D4054" i="1"/>
  <c r="E4054" i="1"/>
  <c r="F4054" i="1"/>
  <c r="H4054" i="1"/>
  <c r="A4055" i="1"/>
  <c r="B4055" i="1"/>
  <c r="C4055" i="1"/>
  <c r="D4055" i="1"/>
  <c r="E4055" i="1"/>
  <c r="F4055" i="1"/>
  <c r="H4055" i="1"/>
  <c r="A4056" i="1"/>
  <c r="B4056" i="1"/>
  <c r="C4056" i="1"/>
  <c r="D4056" i="1"/>
  <c r="E4056" i="1"/>
  <c r="F4056" i="1"/>
  <c r="H4056" i="1"/>
  <c r="A4057" i="1"/>
  <c r="B4057" i="1"/>
  <c r="C4057" i="1"/>
  <c r="D4057" i="1"/>
  <c r="E4057" i="1"/>
  <c r="F4057" i="1"/>
  <c r="H4057" i="1"/>
  <c r="A4058" i="1"/>
  <c r="B4058" i="1"/>
  <c r="C4058" i="1"/>
  <c r="D4058" i="1"/>
  <c r="E4058" i="1"/>
  <c r="F4058" i="1"/>
  <c r="H4058" i="1"/>
  <c r="A4059" i="1"/>
  <c r="B4059" i="1"/>
  <c r="C4059" i="1"/>
  <c r="D4059" i="1"/>
  <c r="E4059" i="1"/>
  <c r="F4059" i="1"/>
  <c r="H4059" i="1"/>
  <c r="A4060" i="1"/>
  <c r="B4060" i="1"/>
  <c r="C4060" i="1"/>
  <c r="D4060" i="1"/>
  <c r="E4060" i="1"/>
  <c r="F4060" i="1"/>
  <c r="H4060" i="1"/>
  <c r="A4061" i="1"/>
  <c r="B4061" i="1"/>
  <c r="C4061" i="1"/>
  <c r="D4061" i="1"/>
  <c r="E4061" i="1"/>
  <c r="F4061" i="1"/>
  <c r="H4061" i="1"/>
  <c r="A4062" i="1"/>
  <c r="B4062" i="1"/>
  <c r="C4062" i="1"/>
  <c r="D4062" i="1"/>
  <c r="E4062" i="1"/>
  <c r="F4062" i="1"/>
  <c r="H4062" i="1"/>
  <c r="A4063" i="1"/>
  <c r="B4063" i="1"/>
  <c r="C4063" i="1"/>
  <c r="D4063" i="1"/>
  <c r="E4063" i="1"/>
  <c r="F4063" i="1"/>
  <c r="H4063" i="1"/>
  <c r="A4064" i="1"/>
  <c r="B4064" i="1"/>
  <c r="C4064" i="1"/>
  <c r="D4064" i="1"/>
  <c r="E4064" i="1"/>
  <c r="F4064" i="1"/>
  <c r="H4064" i="1"/>
  <c r="A4065" i="1"/>
  <c r="B4065" i="1"/>
  <c r="C4065" i="1"/>
  <c r="D4065" i="1"/>
  <c r="E4065" i="1"/>
  <c r="F4065" i="1"/>
  <c r="H4065" i="1"/>
  <c r="A4066" i="1"/>
  <c r="B4066" i="1"/>
  <c r="C4066" i="1"/>
  <c r="D4066" i="1"/>
  <c r="E4066" i="1"/>
  <c r="F4066" i="1"/>
  <c r="H4066" i="1"/>
  <c r="A4067" i="1"/>
  <c r="B4067" i="1"/>
  <c r="C4067" i="1"/>
  <c r="D4067" i="1"/>
  <c r="E4067" i="1"/>
  <c r="F4067" i="1"/>
  <c r="H4067" i="1"/>
  <c r="A4068" i="1"/>
  <c r="B4068" i="1"/>
  <c r="C4068" i="1"/>
  <c r="D4068" i="1"/>
  <c r="E4068" i="1"/>
  <c r="F4068" i="1"/>
  <c r="H4068" i="1"/>
  <c r="A4069" i="1"/>
  <c r="B4069" i="1"/>
  <c r="C4069" i="1"/>
  <c r="D4069" i="1"/>
  <c r="E4069" i="1"/>
  <c r="F4069" i="1"/>
  <c r="H4069" i="1"/>
  <c r="A4070" i="1"/>
  <c r="B4070" i="1"/>
  <c r="C4070" i="1"/>
  <c r="D4070" i="1"/>
  <c r="E4070" i="1"/>
  <c r="F4070" i="1"/>
  <c r="H4070" i="1"/>
  <c r="A4071" i="1"/>
  <c r="B4071" i="1"/>
  <c r="C4071" i="1"/>
  <c r="D4071" i="1"/>
  <c r="E4071" i="1"/>
  <c r="F4071" i="1"/>
  <c r="H4071" i="1"/>
  <c r="A4072" i="1"/>
  <c r="B4072" i="1"/>
  <c r="C4072" i="1"/>
  <c r="D4072" i="1"/>
  <c r="E4072" i="1"/>
  <c r="F4072" i="1"/>
  <c r="H4072" i="1"/>
  <c r="A4073" i="1"/>
  <c r="B4073" i="1"/>
  <c r="C4073" i="1"/>
  <c r="D4073" i="1"/>
  <c r="E4073" i="1"/>
  <c r="F4073" i="1"/>
  <c r="H4073" i="1"/>
  <c r="A4074" i="1"/>
  <c r="B4074" i="1"/>
  <c r="C4074" i="1"/>
  <c r="D4074" i="1"/>
  <c r="E4074" i="1"/>
  <c r="F4074" i="1"/>
  <c r="H4074" i="1"/>
  <c r="A4075" i="1"/>
  <c r="B4075" i="1"/>
  <c r="C4075" i="1"/>
  <c r="D4075" i="1"/>
  <c r="E4075" i="1"/>
  <c r="F4075" i="1"/>
  <c r="H4075" i="1"/>
  <c r="A4076" i="1"/>
  <c r="B4076" i="1"/>
  <c r="C4076" i="1"/>
  <c r="D4076" i="1"/>
  <c r="E4076" i="1"/>
  <c r="F4076" i="1"/>
  <c r="H4076" i="1"/>
  <c r="A4077" i="1"/>
  <c r="B4077" i="1"/>
  <c r="C4077" i="1"/>
  <c r="D4077" i="1"/>
  <c r="E4077" i="1"/>
  <c r="F4077" i="1"/>
  <c r="H4077" i="1"/>
  <c r="A4078" i="1"/>
  <c r="B4078" i="1"/>
  <c r="C4078" i="1"/>
  <c r="D4078" i="1"/>
  <c r="E4078" i="1"/>
  <c r="F4078" i="1"/>
  <c r="H4078" i="1"/>
  <c r="A4079" i="1"/>
  <c r="B4079" i="1"/>
  <c r="C4079" i="1"/>
  <c r="D4079" i="1"/>
  <c r="E4079" i="1"/>
  <c r="F4079" i="1"/>
  <c r="H4079" i="1"/>
  <c r="A4080" i="1"/>
  <c r="B4080" i="1"/>
  <c r="C4080" i="1"/>
  <c r="D4080" i="1"/>
  <c r="E4080" i="1"/>
  <c r="F4080" i="1"/>
  <c r="H4080" i="1"/>
  <c r="A4081" i="1"/>
  <c r="B4081" i="1"/>
  <c r="C4081" i="1"/>
  <c r="D4081" i="1"/>
  <c r="E4081" i="1"/>
  <c r="F4081" i="1"/>
  <c r="H4081" i="1"/>
  <c r="A4082" i="1"/>
  <c r="B4082" i="1"/>
  <c r="C4082" i="1"/>
  <c r="D4082" i="1"/>
  <c r="E4082" i="1"/>
  <c r="F4082" i="1"/>
  <c r="H4082" i="1"/>
  <c r="A4083" i="1"/>
  <c r="B4083" i="1"/>
  <c r="C4083" i="1"/>
  <c r="D4083" i="1"/>
  <c r="E4083" i="1"/>
  <c r="F4083" i="1"/>
  <c r="H4083" i="1"/>
  <c r="A4084" i="1"/>
  <c r="B4084" i="1"/>
  <c r="C4084" i="1"/>
  <c r="D4084" i="1"/>
  <c r="E4084" i="1"/>
  <c r="F4084" i="1"/>
  <c r="H4084" i="1"/>
  <c r="A4085" i="1"/>
  <c r="B4085" i="1"/>
  <c r="C4085" i="1"/>
  <c r="D4085" i="1"/>
  <c r="E4085" i="1"/>
  <c r="F4085" i="1"/>
  <c r="H4085" i="1"/>
  <c r="A4086" i="1"/>
  <c r="B4086" i="1"/>
  <c r="C4086" i="1"/>
  <c r="D4086" i="1"/>
  <c r="E4086" i="1"/>
  <c r="F4086" i="1"/>
  <c r="H4086" i="1"/>
  <c r="A4087" i="1"/>
  <c r="B4087" i="1"/>
  <c r="C4087" i="1"/>
  <c r="D4087" i="1"/>
  <c r="E4087" i="1"/>
  <c r="F4087" i="1"/>
  <c r="H4087" i="1"/>
  <c r="A4088" i="1"/>
  <c r="B4088" i="1"/>
  <c r="C4088" i="1"/>
  <c r="D4088" i="1"/>
  <c r="E4088" i="1"/>
  <c r="F4088" i="1"/>
  <c r="H4088" i="1"/>
  <c r="A4089" i="1"/>
  <c r="B4089" i="1"/>
  <c r="C4089" i="1"/>
  <c r="D4089" i="1"/>
  <c r="E4089" i="1"/>
  <c r="F4089" i="1"/>
  <c r="H4089" i="1"/>
  <c r="A4090" i="1"/>
  <c r="B4090" i="1"/>
  <c r="C4090" i="1"/>
  <c r="D4090" i="1"/>
  <c r="E4090" i="1"/>
  <c r="F4090" i="1"/>
  <c r="H4090" i="1"/>
  <c r="A4091" i="1"/>
  <c r="B4091" i="1"/>
  <c r="C4091" i="1"/>
  <c r="D4091" i="1"/>
  <c r="E4091" i="1"/>
  <c r="F4091" i="1"/>
  <c r="H4091" i="1"/>
  <c r="A4092" i="1"/>
  <c r="B4092" i="1"/>
  <c r="C4092" i="1"/>
  <c r="D4092" i="1"/>
  <c r="E4092" i="1"/>
  <c r="F4092" i="1"/>
  <c r="H4092" i="1"/>
  <c r="A4093" i="1"/>
  <c r="B4093" i="1"/>
  <c r="C4093" i="1"/>
  <c r="D4093" i="1"/>
  <c r="E4093" i="1"/>
  <c r="F4093" i="1"/>
  <c r="H4093" i="1"/>
  <c r="A4094" i="1"/>
  <c r="B4094" i="1"/>
  <c r="C4094" i="1"/>
  <c r="D4094" i="1"/>
  <c r="E4094" i="1"/>
  <c r="F4094" i="1"/>
  <c r="H4094" i="1"/>
  <c r="A4095" i="1"/>
  <c r="B4095" i="1"/>
  <c r="C4095" i="1"/>
  <c r="D4095" i="1"/>
  <c r="E4095" i="1"/>
  <c r="F4095" i="1"/>
  <c r="H4095" i="1"/>
  <c r="A4096" i="1"/>
  <c r="B4096" i="1"/>
  <c r="C4096" i="1"/>
  <c r="D4096" i="1"/>
  <c r="E4096" i="1"/>
  <c r="F4096" i="1"/>
  <c r="H4096" i="1"/>
  <c r="A4097" i="1"/>
  <c r="B4097" i="1"/>
  <c r="C4097" i="1"/>
  <c r="D4097" i="1"/>
  <c r="E4097" i="1"/>
  <c r="F4097" i="1"/>
  <c r="H4097" i="1"/>
  <c r="A4098" i="1"/>
  <c r="B4098" i="1"/>
  <c r="C4098" i="1"/>
  <c r="D4098" i="1"/>
  <c r="E4098" i="1"/>
  <c r="F4098" i="1"/>
  <c r="H4098" i="1"/>
  <c r="A4099" i="1"/>
  <c r="B4099" i="1"/>
  <c r="C4099" i="1"/>
  <c r="D4099" i="1"/>
  <c r="E4099" i="1"/>
  <c r="F4099" i="1"/>
  <c r="H4099" i="1"/>
  <c r="A4100" i="1"/>
  <c r="B4100" i="1"/>
  <c r="C4100" i="1"/>
  <c r="D4100" i="1"/>
  <c r="E4100" i="1"/>
  <c r="F4100" i="1"/>
  <c r="H4100" i="1"/>
  <c r="A4101" i="1"/>
  <c r="B4101" i="1"/>
  <c r="C4101" i="1"/>
  <c r="D4101" i="1"/>
  <c r="E4101" i="1"/>
  <c r="F4101" i="1"/>
  <c r="H4101" i="1"/>
  <c r="A4102" i="1"/>
  <c r="B4102" i="1"/>
  <c r="C4102" i="1"/>
  <c r="D4102" i="1"/>
  <c r="E4102" i="1"/>
  <c r="F4102" i="1"/>
  <c r="H4102" i="1"/>
  <c r="A4103" i="1"/>
  <c r="B4103" i="1"/>
  <c r="C4103" i="1"/>
  <c r="D4103" i="1"/>
  <c r="E4103" i="1"/>
  <c r="F4103" i="1"/>
  <c r="H4103" i="1"/>
  <c r="A4104" i="1"/>
  <c r="B4104" i="1"/>
  <c r="C4104" i="1"/>
  <c r="D4104" i="1"/>
  <c r="E4104" i="1"/>
  <c r="F4104" i="1"/>
  <c r="H4104" i="1"/>
  <c r="A4105" i="1"/>
  <c r="B4105" i="1"/>
  <c r="C4105" i="1"/>
  <c r="D4105" i="1"/>
  <c r="E4105" i="1"/>
  <c r="F4105" i="1"/>
  <c r="H4105" i="1"/>
  <c r="A4106" i="1"/>
  <c r="B4106" i="1"/>
  <c r="C4106" i="1"/>
  <c r="D4106" i="1"/>
  <c r="E4106" i="1"/>
  <c r="F4106" i="1"/>
  <c r="H4106" i="1"/>
  <c r="A4107" i="1"/>
  <c r="B4107" i="1"/>
  <c r="C4107" i="1"/>
  <c r="D4107" i="1"/>
  <c r="E4107" i="1"/>
  <c r="F4107" i="1"/>
  <c r="H4107" i="1"/>
  <c r="A4108" i="1"/>
  <c r="B4108" i="1"/>
  <c r="C4108" i="1"/>
  <c r="D4108" i="1"/>
  <c r="E4108" i="1"/>
  <c r="F4108" i="1"/>
  <c r="H4108" i="1"/>
  <c r="A4109" i="1"/>
  <c r="B4109" i="1"/>
  <c r="C4109" i="1"/>
  <c r="D4109" i="1"/>
  <c r="E4109" i="1"/>
  <c r="F4109" i="1"/>
  <c r="H4109" i="1"/>
  <c r="A4110" i="1"/>
  <c r="B4110" i="1"/>
  <c r="C4110" i="1"/>
  <c r="D4110" i="1"/>
  <c r="E4110" i="1"/>
  <c r="F4110" i="1"/>
  <c r="H4110" i="1"/>
  <c r="A4111" i="1"/>
  <c r="B4111" i="1"/>
  <c r="C4111" i="1"/>
  <c r="D4111" i="1"/>
  <c r="E4111" i="1"/>
  <c r="F4111" i="1"/>
  <c r="H4111" i="1"/>
  <c r="A4112" i="1"/>
  <c r="B4112" i="1"/>
  <c r="C4112" i="1"/>
  <c r="D4112" i="1"/>
  <c r="E4112" i="1"/>
  <c r="F4112" i="1"/>
  <c r="H4112" i="1"/>
  <c r="A4113" i="1"/>
  <c r="B4113" i="1"/>
  <c r="C4113" i="1"/>
  <c r="D4113" i="1"/>
  <c r="E4113" i="1"/>
  <c r="F4113" i="1"/>
  <c r="H4113" i="1"/>
  <c r="A4114" i="1"/>
  <c r="B4114" i="1"/>
  <c r="C4114" i="1"/>
  <c r="D4114" i="1"/>
  <c r="E4114" i="1"/>
  <c r="F4114" i="1"/>
  <c r="H4114" i="1"/>
  <c r="A4115" i="1"/>
  <c r="B4115" i="1"/>
  <c r="C4115" i="1"/>
  <c r="D4115" i="1"/>
  <c r="E4115" i="1"/>
  <c r="F4115" i="1"/>
  <c r="H4115" i="1"/>
  <c r="A4116" i="1"/>
  <c r="B4116" i="1"/>
  <c r="C4116" i="1"/>
  <c r="D4116" i="1"/>
  <c r="E4116" i="1"/>
  <c r="F4116" i="1"/>
  <c r="H4116" i="1"/>
  <c r="A4117" i="1"/>
  <c r="B4117" i="1"/>
  <c r="C4117" i="1"/>
  <c r="D4117" i="1"/>
  <c r="E4117" i="1"/>
  <c r="F4117" i="1"/>
  <c r="H4117" i="1"/>
  <c r="A4118" i="1"/>
  <c r="B4118" i="1"/>
  <c r="C4118" i="1"/>
  <c r="D4118" i="1"/>
  <c r="E4118" i="1"/>
  <c r="F4118" i="1"/>
  <c r="H4118" i="1"/>
  <c r="A4119" i="1"/>
  <c r="B4119" i="1"/>
  <c r="C4119" i="1"/>
  <c r="D4119" i="1"/>
  <c r="E4119" i="1"/>
  <c r="F4119" i="1"/>
  <c r="H4119" i="1"/>
  <c r="A4120" i="1"/>
  <c r="B4120" i="1"/>
  <c r="C4120" i="1"/>
  <c r="D4120" i="1"/>
  <c r="E4120" i="1"/>
  <c r="F4120" i="1"/>
  <c r="H4120" i="1"/>
  <c r="A4121" i="1"/>
  <c r="B4121" i="1"/>
  <c r="C4121" i="1"/>
  <c r="D4121" i="1"/>
  <c r="E4121" i="1"/>
  <c r="F4121" i="1"/>
  <c r="H4121" i="1"/>
  <c r="A4122" i="1"/>
  <c r="B4122" i="1"/>
  <c r="C4122" i="1"/>
  <c r="D4122" i="1"/>
  <c r="E4122" i="1"/>
  <c r="F4122" i="1"/>
  <c r="H4122" i="1"/>
  <c r="A4123" i="1"/>
  <c r="B4123" i="1"/>
  <c r="C4123" i="1"/>
  <c r="D4123" i="1"/>
  <c r="E4123" i="1"/>
  <c r="F4123" i="1"/>
  <c r="H4123" i="1"/>
  <c r="A4124" i="1"/>
  <c r="B4124" i="1"/>
  <c r="C4124" i="1"/>
  <c r="D4124" i="1"/>
  <c r="E4124" i="1"/>
  <c r="F4124" i="1"/>
  <c r="H4124" i="1"/>
  <c r="A4125" i="1"/>
  <c r="B4125" i="1"/>
  <c r="C4125" i="1"/>
  <c r="D4125" i="1"/>
  <c r="E4125" i="1"/>
  <c r="F4125" i="1"/>
  <c r="H4125" i="1"/>
  <c r="A4126" i="1"/>
  <c r="B4126" i="1"/>
  <c r="C4126" i="1"/>
  <c r="D4126" i="1"/>
  <c r="E4126" i="1"/>
  <c r="F4126" i="1"/>
  <c r="H4126" i="1"/>
  <c r="A4127" i="1"/>
  <c r="B4127" i="1"/>
  <c r="C4127" i="1"/>
  <c r="D4127" i="1"/>
  <c r="E4127" i="1"/>
  <c r="F4127" i="1"/>
  <c r="H4127" i="1"/>
  <c r="A4128" i="1"/>
  <c r="B4128" i="1"/>
  <c r="C4128" i="1"/>
  <c r="D4128" i="1"/>
  <c r="E4128" i="1"/>
  <c r="F4128" i="1"/>
  <c r="H4128" i="1"/>
  <c r="A4129" i="1"/>
  <c r="B4129" i="1"/>
  <c r="C4129" i="1"/>
  <c r="D4129" i="1"/>
  <c r="E4129" i="1"/>
  <c r="F4129" i="1"/>
  <c r="H4129" i="1"/>
  <c r="A4130" i="1"/>
  <c r="B4130" i="1"/>
  <c r="C4130" i="1"/>
  <c r="D4130" i="1"/>
  <c r="E4130" i="1"/>
  <c r="F4130" i="1"/>
  <c r="H4130" i="1"/>
  <c r="A4131" i="1"/>
  <c r="B4131" i="1"/>
  <c r="C4131" i="1"/>
  <c r="D4131" i="1"/>
  <c r="E4131" i="1"/>
  <c r="F4131" i="1"/>
  <c r="H4131" i="1"/>
  <c r="A4132" i="1"/>
  <c r="B4132" i="1"/>
  <c r="C4132" i="1"/>
  <c r="D4132" i="1"/>
  <c r="E4132" i="1"/>
  <c r="F4132" i="1"/>
  <c r="H4132" i="1"/>
  <c r="A4133" i="1"/>
  <c r="B4133" i="1"/>
  <c r="C4133" i="1"/>
  <c r="D4133" i="1"/>
  <c r="E4133" i="1"/>
  <c r="F4133" i="1"/>
  <c r="H4133" i="1"/>
  <c r="A4134" i="1"/>
  <c r="B4134" i="1"/>
  <c r="C4134" i="1"/>
  <c r="D4134" i="1"/>
  <c r="E4134" i="1"/>
  <c r="F4134" i="1"/>
  <c r="H4134" i="1"/>
  <c r="A4135" i="1"/>
  <c r="B4135" i="1"/>
  <c r="C4135" i="1"/>
  <c r="D4135" i="1"/>
  <c r="E4135" i="1"/>
  <c r="F4135" i="1"/>
  <c r="H4135" i="1"/>
  <c r="A4136" i="1"/>
  <c r="B4136" i="1"/>
  <c r="C4136" i="1"/>
  <c r="D4136" i="1"/>
  <c r="E4136" i="1"/>
  <c r="F4136" i="1"/>
  <c r="H4136" i="1"/>
  <c r="A4137" i="1"/>
  <c r="B4137" i="1"/>
  <c r="C4137" i="1"/>
  <c r="D4137" i="1"/>
  <c r="E4137" i="1"/>
  <c r="F4137" i="1"/>
  <c r="H4137" i="1"/>
  <c r="A4138" i="1"/>
  <c r="B4138" i="1"/>
  <c r="C4138" i="1"/>
  <c r="D4138" i="1"/>
  <c r="E4138" i="1"/>
  <c r="F4138" i="1"/>
  <c r="H4138" i="1"/>
  <c r="A4139" i="1"/>
  <c r="B4139" i="1"/>
  <c r="C4139" i="1"/>
  <c r="D4139" i="1"/>
  <c r="E4139" i="1"/>
  <c r="F4139" i="1"/>
  <c r="H4139" i="1"/>
  <c r="A4140" i="1"/>
  <c r="B4140" i="1"/>
  <c r="C4140" i="1"/>
  <c r="D4140" i="1"/>
  <c r="E4140" i="1"/>
  <c r="F4140" i="1"/>
  <c r="H4140" i="1"/>
  <c r="A4141" i="1"/>
  <c r="B4141" i="1"/>
  <c r="C4141" i="1"/>
  <c r="D4141" i="1"/>
  <c r="E4141" i="1"/>
  <c r="F4141" i="1"/>
  <c r="H4141" i="1"/>
  <c r="A4142" i="1"/>
  <c r="B4142" i="1"/>
  <c r="C4142" i="1"/>
  <c r="D4142" i="1"/>
  <c r="E4142" i="1"/>
  <c r="F4142" i="1"/>
  <c r="H4142" i="1"/>
  <c r="A4143" i="1"/>
  <c r="B4143" i="1"/>
  <c r="C4143" i="1"/>
  <c r="D4143" i="1"/>
  <c r="E4143" i="1"/>
  <c r="F4143" i="1"/>
  <c r="H4143" i="1"/>
  <c r="A4144" i="1"/>
  <c r="B4144" i="1"/>
  <c r="C4144" i="1"/>
  <c r="D4144" i="1"/>
  <c r="E4144" i="1"/>
  <c r="F4144" i="1"/>
  <c r="H4144" i="1"/>
  <c r="A4145" i="1"/>
  <c r="B4145" i="1"/>
  <c r="C4145" i="1"/>
  <c r="D4145" i="1"/>
  <c r="E4145" i="1"/>
  <c r="F4145" i="1"/>
  <c r="H4145" i="1"/>
  <c r="A4146" i="1"/>
  <c r="B4146" i="1"/>
  <c r="C4146" i="1"/>
  <c r="D4146" i="1"/>
  <c r="E4146" i="1"/>
  <c r="F4146" i="1"/>
  <c r="H4146" i="1"/>
  <c r="A4147" i="1"/>
  <c r="B4147" i="1"/>
  <c r="C4147" i="1"/>
  <c r="D4147" i="1"/>
  <c r="E4147" i="1"/>
  <c r="F4147" i="1"/>
  <c r="H4147" i="1"/>
  <c r="A4148" i="1"/>
  <c r="B4148" i="1"/>
  <c r="C4148" i="1"/>
  <c r="D4148" i="1"/>
  <c r="E4148" i="1"/>
  <c r="F4148" i="1"/>
  <c r="H4148" i="1"/>
  <c r="A4149" i="1"/>
  <c r="B4149" i="1"/>
  <c r="C4149" i="1"/>
  <c r="D4149" i="1"/>
  <c r="E4149" i="1"/>
  <c r="F4149" i="1"/>
  <c r="H4149" i="1"/>
  <c r="A4150" i="1"/>
  <c r="B4150" i="1"/>
  <c r="C4150" i="1"/>
  <c r="D4150" i="1"/>
  <c r="E4150" i="1"/>
  <c r="F4150" i="1"/>
  <c r="H4150" i="1"/>
  <c r="A4151" i="1"/>
  <c r="B4151" i="1"/>
  <c r="C4151" i="1"/>
  <c r="D4151" i="1"/>
  <c r="E4151" i="1"/>
  <c r="F4151" i="1"/>
  <c r="H4151" i="1"/>
  <c r="A4152" i="1"/>
  <c r="B4152" i="1"/>
  <c r="C4152" i="1"/>
  <c r="D4152" i="1"/>
  <c r="E4152" i="1"/>
  <c r="F4152" i="1"/>
  <c r="H4152" i="1"/>
  <c r="A4153" i="1"/>
  <c r="B4153" i="1"/>
  <c r="C4153" i="1"/>
  <c r="D4153" i="1"/>
  <c r="E4153" i="1"/>
  <c r="F4153" i="1"/>
  <c r="H4153" i="1"/>
  <c r="A4154" i="1"/>
  <c r="B4154" i="1"/>
  <c r="C4154" i="1"/>
  <c r="D4154" i="1"/>
  <c r="E4154" i="1"/>
  <c r="F4154" i="1"/>
  <c r="H4154" i="1"/>
  <c r="A4155" i="1"/>
  <c r="B4155" i="1"/>
  <c r="C4155" i="1"/>
  <c r="D4155" i="1"/>
  <c r="E4155" i="1"/>
  <c r="F4155" i="1"/>
  <c r="H4155" i="1"/>
  <c r="A4156" i="1"/>
  <c r="B4156" i="1"/>
  <c r="C4156" i="1"/>
  <c r="D4156" i="1"/>
  <c r="E4156" i="1"/>
  <c r="F4156" i="1"/>
  <c r="H4156" i="1"/>
  <c r="A4157" i="1"/>
  <c r="B4157" i="1"/>
  <c r="C4157" i="1"/>
  <c r="D4157" i="1"/>
  <c r="E4157" i="1"/>
  <c r="F4157" i="1"/>
  <c r="H4157" i="1"/>
  <c r="A4158" i="1"/>
  <c r="B4158" i="1"/>
  <c r="C4158" i="1"/>
  <c r="D4158" i="1"/>
  <c r="E4158" i="1"/>
  <c r="F4158" i="1"/>
  <c r="H4158" i="1"/>
  <c r="A4159" i="1"/>
  <c r="B4159" i="1"/>
  <c r="C4159" i="1"/>
  <c r="D4159" i="1"/>
  <c r="E4159" i="1"/>
  <c r="F4159" i="1"/>
  <c r="H4159" i="1"/>
  <c r="A4160" i="1"/>
  <c r="B4160" i="1"/>
  <c r="C4160" i="1"/>
  <c r="D4160" i="1"/>
  <c r="E4160" i="1"/>
  <c r="F4160" i="1"/>
  <c r="H4160" i="1"/>
  <c r="A4161" i="1"/>
  <c r="B4161" i="1"/>
  <c r="C4161" i="1"/>
  <c r="D4161" i="1"/>
  <c r="E4161" i="1"/>
  <c r="F4161" i="1"/>
  <c r="H4161" i="1"/>
  <c r="A4162" i="1"/>
  <c r="B4162" i="1"/>
  <c r="C4162" i="1"/>
  <c r="D4162" i="1"/>
  <c r="E4162" i="1"/>
  <c r="F4162" i="1"/>
  <c r="H4162" i="1"/>
  <c r="A4163" i="1"/>
  <c r="B4163" i="1"/>
  <c r="C4163" i="1"/>
  <c r="D4163" i="1"/>
  <c r="E4163" i="1"/>
  <c r="F4163" i="1"/>
  <c r="H4163" i="1"/>
  <c r="A4164" i="1"/>
  <c r="B4164" i="1"/>
  <c r="C4164" i="1"/>
  <c r="D4164" i="1"/>
  <c r="E4164" i="1"/>
  <c r="F4164" i="1"/>
  <c r="H4164" i="1"/>
  <c r="A4165" i="1"/>
  <c r="B4165" i="1"/>
  <c r="C4165" i="1"/>
  <c r="D4165" i="1"/>
  <c r="E4165" i="1"/>
  <c r="F4165" i="1"/>
  <c r="H4165" i="1"/>
  <c r="A4166" i="1"/>
  <c r="B4166" i="1"/>
  <c r="C4166" i="1"/>
  <c r="D4166" i="1"/>
  <c r="E4166" i="1"/>
  <c r="F4166" i="1"/>
  <c r="H4166" i="1"/>
  <c r="A4167" i="1"/>
  <c r="B4167" i="1"/>
  <c r="C4167" i="1"/>
  <c r="D4167" i="1"/>
  <c r="E4167" i="1"/>
  <c r="F4167" i="1"/>
  <c r="H4167" i="1"/>
  <c r="A4168" i="1"/>
  <c r="B4168" i="1"/>
  <c r="C4168" i="1"/>
  <c r="D4168" i="1"/>
  <c r="E4168" i="1"/>
  <c r="F4168" i="1"/>
  <c r="H4168" i="1"/>
  <c r="A4169" i="1"/>
  <c r="B4169" i="1"/>
  <c r="C4169" i="1"/>
  <c r="D4169" i="1"/>
  <c r="E4169" i="1"/>
  <c r="F4169" i="1"/>
  <c r="H4169" i="1"/>
  <c r="A4170" i="1"/>
  <c r="B4170" i="1"/>
  <c r="C4170" i="1"/>
  <c r="D4170" i="1"/>
  <c r="E4170" i="1"/>
  <c r="F4170" i="1"/>
  <c r="H4170" i="1"/>
  <c r="A4171" i="1"/>
  <c r="B4171" i="1"/>
  <c r="C4171" i="1"/>
  <c r="D4171" i="1"/>
  <c r="E4171" i="1"/>
  <c r="F4171" i="1"/>
  <c r="H4171" i="1"/>
  <c r="A4172" i="1"/>
  <c r="B4172" i="1"/>
  <c r="C4172" i="1"/>
  <c r="D4172" i="1"/>
  <c r="E4172" i="1"/>
  <c r="F4172" i="1"/>
  <c r="H4172" i="1"/>
  <c r="A4173" i="1"/>
  <c r="B4173" i="1"/>
  <c r="C4173" i="1"/>
  <c r="D4173" i="1"/>
  <c r="E4173" i="1"/>
  <c r="F4173" i="1"/>
  <c r="H4173" i="1"/>
  <c r="A4174" i="1"/>
  <c r="B4174" i="1"/>
  <c r="C4174" i="1"/>
  <c r="D4174" i="1"/>
  <c r="E4174" i="1"/>
  <c r="F4174" i="1"/>
  <c r="H4174" i="1"/>
  <c r="A4175" i="1"/>
  <c r="B4175" i="1"/>
  <c r="C4175" i="1"/>
  <c r="D4175" i="1"/>
  <c r="E4175" i="1"/>
  <c r="F4175" i="1"/>
  <c r="H4175" i="1"/>
  <c r="A4176" i="1"/>
  <c r="B4176" i="1"/>
  <c r="C4176" i="1"/>
  <c r="D4176" i="1"/>
  <c r="E4176" i="1"/>
  <c r="F4176" i="1"/>
  <c r="H4176" i="1"/>
  <c r="A4177" i="1"/>
  <c r="B4177" i="1"/>
  <c r="C4177" i="1"/>
  <c r="D4177" i="1"/>
  <c r="E4177" i="1"/>
  <c r="F4177" i="1"/>
  <c r="H4177" i="1"/>
  <c r="A4178" i="1"/>
  <c r="B4178" i="1"/>
  <c r="C4178" i="1"/>
  <c r="D4178" i="1"/>
  <c r="E4178" i="1"/>
  <c r="F4178" i="1"/>
  <c r="H4178" i="1"/>
  <c r="A4179" i="1"/>
  <c r="B4179" i="1"/>
  <c r="C4179" i="1"/>
  <c r="D4179" i="1"/>
  <c r="E4179" i="1"/>
  <c r="F4179" i="1"/>
  <c r="H4179" i="1"/>
  <c r="A4180" i="1"/>
  <c r="B4180" i="1"/>
  <c r="C4180" i="1"/>
  <c r="D4180" i="1"/>
  <c r="E4180" i="1"/>
  <c r="F4180" i="1"/>
  <c r="H4180" i="1"/>
  <c r="A4181" i="1"/>
  <c r="B4181" i="1"/>
  <c r="C4181" i="1"/>
  <c r="D4181" i="1"/>
  <c r="E4181" i="1"/>
  <c r="F4181" i="1"/>
  <c r="H4181" i="1"/>
  <c r="A4182" i="1"/>
  <c r="B4182" i="1"/>
  <c r="C4182" i="1"/>
  <c r="D4182" i="1"/>
  <c r="E4182" i="1"/>
  <c r="F4182" i="1"/>
  <c r="H4182" i="1"/>
  <c r="A4183" i="1"/>
  <c r="B4183" i="1"/>
  <c r="C4183" i="1"/>
  <c r="D4183" i="1"/>
  <c r="E4183" i="1"/>
  <c r="F4183" i="1"/>
  <c r="H4183" i="1"/>
  <c r="A4184" i="1"/>
  <c r="B4184" i="1"/>
  <c r="C4184" i="1"/>
  <c r="D4184" i="1"/>
  <c r="E4184" i="1"/>
  <c r="F4184" i="1"/>
  <c r="H4184" i="1"/>
  <c r="A4185" i="1"/>
  <c r="B4185" i="1"/>
  <c r="C4185" i="1"/>
  <c r="D4185" i="1"/>
  <c r="E4185" i="1"/>
  <c r="F4185" i="1"/>
  <c r="H4185" i="1"/>
  <c r="A4186" i="1"/>
  <c r="B4186" i="1"/>
  <c r="C4186" i="1"/>
  <c r="D4186" i="1"/>
  <c r="E4186" i="1"/>
  <c r="F4186" i="1"/>
  <c r="H4186" i="1"/>
  <c r="A4187" i="1"/>
  <c r="B4187" i="1"/>
  <c r="C4187" i="1"/>
  <c r="D4187" i="1"/>
  <c r="E4187" i="1"/>
  <c r="F4187" i="1"/>
  <c r="H4187" i="1"/>
  <c r="A4188" i="1"/>
  <c r="B4188" i="1"/>
  <c r="C4188" i="1"/>
  <c r="D4188" i="1"/>
  <c r="E4188" i="1"/>
  <c r="F4188" i="1"/>
  <c r="H4188" i="1"/>
  <c r="A4189" i="1"/>
  <c r="B4189" i="1"/>
  <c r="C4189" i="1"/>
  <c r="D4189" i="1"/>
  <c r="E4189" i="1"/>
  <c r="F4189" i="1"/>
  <c r="H4189" i="1"/>
  <c r="A4190" i="1"/>
  <c r="B4190" i="1"/>
  <c r="C4190" i="1"/>
  <c r="D4190" i="1"/>
  <c r="E4190" i="1"/>
  <c r="F4190" i="1"/>
  <c r="H4190" i="1"/>
  <c r="A4191" i="1"/>
  <c r="B4191" i="1"/>
  <c r="C4191" i="1"/>
  <c r="D4191" i="1"/>
  <c r="E4191" i="1"/>
  <c r="F4191" i="1"/>
  <c r="H4191" i="1"/>
  <c r="A4192" i="1"/>
  <c r="B4192" i="1"/>
  <c r="C4192" i="1"/>
  <c r="D4192" i="1"/>
  <c r="E4192" i="1"/>
  <c r="F4192" i="1"/>
  <c r="H4192" i="1"/>
  <c r="A4193" i="1"/>
  <c r="B4193" i="1"/>
  <c r="C4193" i="1"/>
  <c r="D4193" i="1"/>
  <c r="E4193" i="1"/>
  <c r="F4193" i="1"/>
  <c r="H4193" i="1"/>
  <c r="A4194" i="1"/>
  <c r="B4194" i="1"/>
  <c r="C4194" i="1"/>
  <c r="D4194" i="1"/>
  <c r="E4194" i="1"/>
  <c r="F4194" i="1"/>
  <c r="H4194" i="1"/>
  <c r="A4195" i="1"/>
  <c r="B4195" i="1"/>
  <c r="C4195" i="1"/>
  <c r="D4195" i="1"/>
  <c r="E4195" i="1"/>
  <c r="F4195" i="1"/>
  <c r="H4195" i="1"/>
  <c r="A4196" i="1"/>
  <c r="B4196" i="1"/>
  <c r="C4196" i="1"/>
  <c r="D4196" i="1"/>
  <c r="E4196" i="1"/>
  <c r="F4196" i="1"/>
  <c r="H4196" i="1"/>
  <c r="A4197" i="1"/>
  <c r="B4197" i="1"/>
  <c r="C4197" i="1"/>
  <c r="D4197" i="1"/>
  <c r="E4197" i="1"/>
  <c r="F4197" i="1"/>
  <c r="H4197" i="1"/>
  <c r="A4198" i="1"/>
  <c r="B4198" i="1"/>
  <c r="C4198" i="1"/>
  <c r="D4198" i="1"/>
  <c r="E4198" i="1"/>
  <c r="F4198" i="1"/>
  <c r="H4198" i="1"/>
  <c r="A4199" i="1"/>
  <c r="B4199" i="1"/>
  <c r="C4199" i="1"/>
  <c r="D4199" i="1"/>
  <c r="E4199" i="1"/>
  <c r="F4199" i="1"/>
  <c r="H4199" i="1"/>
  <c r="A4200" i="1"/>
  <c r="B4200" i="1"/>
  <c r="C4200" i="1"/>
  <c r="D4200" i="1"/>
  <c r="E4200" i="1"/>
  <c r="F4200" i="1"/>
  <c r="H4200" i="1"/>
  <c r="A4201" i="1"/>
  <c r="B4201" i="1"/>
  <c r="C4201" i="1"/>
  <c r="D4201" i="1"/>
  <c r="E4201" i="1"/>
  <c r="F4201" i="1"/>
  <c r="H4201" i="1"/>
  <c r="A4202" i="1"/>
  <c r="B4202" i="1"/>
  <c r="C4202" i="1"/>
  <c r="D4202" i="1"/>
  <c r="E4202" i="1"/>
  <c r="F4202" i="1"/>
  <c r="H4202" i="1"/>
  <c r="A4203" i="1"/>
  <c r="B4203" i="1"/>
  <c r="C4203" i="1"/>
  <c r="D4203" i="1"/>
  <c r="E4203" i="1"/>
  <c r="F4203" i="1"/>
  <c r="H4203" i="1"/>
  <c r="A4204" i="1"/>
  <c r="B4204" i="1"/>
  <c r="C4204" i="1"/>
  <c r="D4204" i="1"/>
  <c r="E4204" i="1"/>
  <c r="F4204" i="1"/>
  <c r="H4204" i="1"/>
  <c r="A4205" i="1"/>
  <c r="B4205" i="1"/>
  <c r="C4205" i="1"/>
  <c r="D4205" i="1"/>
  <c r="E4205" i="1"/>
  <c r="F4205" i="1"/>
  <c r="H4205" i="1"/>
  <c r="A4206" i="1"/>
  <c r="B4206" i="1"/>
  <c r="C4206" i="1"/>
  <c r="D4206" i="1"/>
  <c r="E4206" i="1"/>
  <c r="F4206" i="1"/>
  <c r="H4206" i="1"/>
  <c r="A4207" i="1"/>
  <c r="B4207" i="1"/>
  <c r="C4207" i="1"/>
  <c r="D4207" i="1"/>
  <c r="E4207" i="1"/>
  <c r="F4207" i="1"/>
  <c r="H4207" i="1"/>
  <c r="A4208" i="1"/>
  <c r="B4208" i="1"/>
  <c r="C4208" i="1"/>
  <c r="D4208" i="1"/>
  <c r="E4208" i="1"/>
  <c r="F4208" i="1"/>
  <c r="H4208" i="1"/>
  <c r="A4209" i="1"/>
  <c r="B4209" i="1"/>
  <c r="C4209" i="1"/>
  <c r="D4209" i="1"/>
  <c r="E4209" i="1"/>
  <c r="F4209" i="1"/>
  <c r="H4209" i="1"/>
  <c r="A4210" i="1"/>
  <c r="B4210" i="1"/>
  <c r="C4210" i="1"/>
  <c r="D4210" i="1"/>
  <c r="E4210" i="1"/>
  <c r="F4210" i="1"/>
  <c r="H4210" i="1"/>
  <c r="A4211" i="1"/>
  <c r="B4211" i="1"/>
  <c r="C4211" i="1"/>
  <c r="D4211" i="1"/>
  <c r="E4211" i="1"/>
  <c r="F4211" i="1"/>
  <c r="H4211" i="1"/>
  <c r="A4212" i="1"/>
  <c r="B4212" i="1"/>
  <c r="C4212" i="1"/>
  <c r="D4212" i="1"/>
  <c r="E4212" i="1"/>
  <c r="F4212" i="1"/>
  <c r="H4212" i="1"/>
  <c r="A4213" i="1"/>
  <c r="B4213" i="1"/>
  <c r="C4213" i="1"/>
  <c r="D4213" i="1"/>
  <c r="E4213" i="1"/>
  <c r="F4213" i="1"/>
  <c r="H4213" i="1"/>
  <c r="A4214" i="1"/>
  <c r="B4214" i="1"/>
  <c r="C4214" i="1"/>
  <c r="D4214" i="1"/>
  <c r="E4214" i="1"/>
  <c r="F4214" i="1"/>
  <c r="H4214" i="1"/>
  <c r="A4215" i="1"/>
  <c r="B4215" i="1"/>
  <c r="C4215" i="1"/>
  <c r="D4215" i="1"/>
  <c r="E4215" i="1"/>
  <c r="F4215" i="1"/>
  <c r="H4215" i="1"/>
  <c r="A4216" i="1"/>
  <c r="B4216" i="1"/>
  <c r="C4216" i="1"/>
  <c r="D4216" i="1"/>
  <c r="E4216" i="1"/>
  <c r="F4216" i="1"/>
  <c r="H4216" i="1"/>
  <c r="A4217" i="1"/>
  <c r="B4217" i="1"/>
  <c r="C4217" i="1"/>
  <c r="D4217" i="1"/>
  <c r="E4217" i="1"/>
  <c r="F4217" i="1"/>
  <c r="H4217" i="1"/>
  <c r="A4218" i="1"/>
  <c r="B4218" i="1"/>
  <c r="C4218" i="1"/>
  <c r="D4218" i="1"/>
  <c r="E4218" i="1"/>
  <c r="F4218" i="1"/>
  <c r="H4218" i="1"/>
  <c r="A4219" i="1"/>
  <c r="B4219" i="1"/>
  <c r="C4219" i="1"/>
  <c r="D4219" i="1"/>
  <c r="E4219" i="1"/>
  <c r="F4219" i="1"/>
  <c r="H4219" i="1"/>
  <c r="A4220" i="1"/>
  <c r="B4220" i="1"/>
  <c r="C4220" i="1"/>
  <c r="D4220" i="1"/>
  <c r="E4220" i="1"/>
  <c r="F4220" i="1"/>
  <c r="H4220" i="1"/>
  <c r="A4221" i="1"/>
  <c r="B4221" i="1"/>
  <c r="C4221" i="1"/>
  <c r="D4221" i="1"/>
  <c r="E4221" i="1"/>
  <c r="F4221" i="1"/>
  <c r="H4221" i="1"/>
  <c r="A4222" i="1"/>
  <c r="B4222" i="1"/>
  <c r="C4222" i="1"/>
  <c r="D4222" i="1"/>
  <c r="E4222" i="1"/>
  <c r="F4222" i="1"/>
  <c r="H4222" i="1"/>
  <c r="A4223" i="1"/>
  <c r="B4223" i="1"/>
  <c r="C4223" i="1"/>
  <c r="D4223" i="1"/>
  <c r="E4223" i="1"/>
  <c r="F4223" i="1"/>
  <c r="H4223" i="1"/>
  <c r="A4224" i="1"/>
  <c r="B4224" i="1"/>
  <c r="C4224" i="1"/>
  <c r="D4224" i="1"/>
  <c r="E4224" i="1"/>
  <c r="F4224" i="1"/>
  <c r="H4224" i="1"/>
  <c r="A4225" i="1"/>
  <c r="B4225" i="1"/>
  <c r="C4225" i="1"/>
  <c r="D4225" i="1"/>
  <c r="E4225" i="1"/>
  <c r="F4225" i="1"/>
  <c r="H4225" i="1"/>
  <c r="A4226" i="1"/>
  <c r="B4226" i="1"/>
  <c r="C4226" i="1"/>
  <c r="D4226" i="1"/>
  <c r="E4226" i="1"/>
  <c r="F4226" i="1"/>
  <c r="H4226" i="1"/>
  <c r="A4227" i="1"/>
  <c r="B4227" i="1"/>
  <c r="C4227" i="1"/>
  <c r="D4227" i="1"/>
  <c r="E4227" i="1"/>
  <c r="F4227" i="1"/>
  <c r="H4227" i="1"/>
  <c r="A4228" i="1"/>
  <c r="B4228" i="1"/>
  <c r="C4228" i="1"/>
  <c r="D4228" i="1"/>
  <c r="E4228" i="1"/>
  <c r="F4228" i="1"/>
  <c r="H4228" i="1"/>
  <c r="A4229" i="1"/>
  <c r="B4229" i="1"/>
  <c r="C4229" i="1"/>
  <c r="D4229" i="1"/>
  <c r="E4229" i="1"/>
  <c r="F4229" i="1"/>
  <c r="H4229" i="1"/>
  <c r="A4230" i="1"/>
  <c r="B4230" i="1"/>
  <c r="C4230" i="1"/>
  <c r="D4230" i="1"/>
  <c r="E4230" i="1"/>
  <c r="F4230" i="1"/>
  <c r="H4230" i="1"/>
  <c r="A4231" i="1"/>
  <c r="B4231" i="1"/>
  <c r="C4231" i="1"/>
  <c r="D4231" i="1"/>
  <c r="E4231" i="1"/>
  <c r="F4231" i="1"/>
  <c r="H4231" i="1"/>
  <c r="A4232" i="1"/>
  <c r="B4232" i="1"/>
  <c r="C4232" i="1"/>
  <c r="D4232" i="1"/>
  <c r="E4232" i="1"/>
  <c r="F4232" i="1"/>
  <c r="H4232" i="1"/>
  <c r="A4233" i="1"/>
  <c r="B4233" i="1"/>
  <c r="C4233" i="1"/>
  <c r="D4233" i="1"/>
  <c r="E4233" i="1"/>
  <c r="F4233" i="1"/>
  <c r="H4233" i="1"/>
  <c r="A4234" i="1"/>
  <c r="B4234" i="1"/>
  <c r="C4234" i="1"/>
  <c r="D4234" i="1"/>
  <c r="E4234" i="1"/>
  <c r="F4234" i="1"/>
  <c r="H4234" i="1"/>
  <c r="A4235" i="1"/>
  <c r="B4235" i="1"/>
  <c r="C4235" i="1"/>
  <c r="D4235" i="1"/>
  <c r="E4235" i="1"/>
  <c r="F4235" i="1"/>
  <c r="H4235" i="1"/>
  <c r="A4236" i="1"/>
  <c r="B4236" i="1"/>
  <c r="C4236" i="1"/>
  <c r="D4236" i="1"/>
  <c r="E4236" i="1"/>
  <c r="F4236" i="1"/>
  <c r="H4236" i="1"/>
  <c r="A4237" i="1"/>
  <c r="B4237" i="1"/>
  <c r="C4237" i="1"/>
  <c r="D4237" i="1"/>
  <c r="E4237" i="1"/>
  <c r="F4237" i="1"/>
  <c r="H4237" i="1"/>
  <c r="A4238" i="1"/>
  <c r="B4238" i="1"/>
  <c r="C4238" i="1"/>
  <c r="D4238" i="1"/>
  <c r="E4238" i="1"/>
  <c r="F4238" i="1"/>
  <c r="H4238" i="1"/>
  <c r="A4239" i="1"/>
  <c r="B4239" i="1"/>
  <c r="C4239" i="1"/>
  <c r="D4239" i="1"/>
  <c r="E4239" i="1"/>
  <c r="F4239" i="1"/>
  <c r="H4239" i="1"/>
  <c r="A4240" i="1"/>
  <c r="B4240" i="1"/>
  <c r="C4240" i="1"/>
  <c r="D4240" i="1"/>
  <c r="E4240" i="1"/>
  <c r="F4240" i="1"/>
  <c r="H4240" i="1"/>
  <c r="A4241" i="1"/>
  <c r="B4241" i="1"/>
  <c r="C4241" i="1"/>
  <c r="D4241" i="1"/>
  <c r="E4241" i="1"/>
  <c r="F4241" i="1"/>
  <c r="H4241" i="1"/>
  <c r="A4242" i="1"/>
  <c r="B4242" i="1"/>
  <c r="C4242" i="1"/>
  <c r="D4242" i="1"/>
  <c r="E4242" i="1"/>
  <c r="F4242" i="1"/>
  <c r="H4242" i="1"/>
  <c r="A4243" i="1"/>
  <c r="B4243" i="1"/>
  <c r="C4243" i="1"/>
  <c r="D4243" i="1"/>
  <c r="E4243" i="1"/>
  <c r="F4243" i="1"/>
  <c r="H4243" i="1"/>
  <c r="A4244" i="1"/>
  <c r="B4244" i="1"/>
  <c r="C4244" i="1"/>
  <c r="D4244" i="1"/>
  <c r="E4244" i="1"/>
  <c r="F4244" i="1"/>
  <c r="H4244" i="1"/>
  <c r="A4245" i="1"/>
  <c r="B4245" i="1"/>
  <c r="C4245" i="1"/>
  <c r="D4245" i="1"/>
  <c r="E4245" i="1"/>
  <c r="F4245" i="1"/>
  <c r="H4245" i="1"/>
  <c r="A4246" i="1"/>
  <c r="B4246" i="1"/>
  <c r="C4246" i="1"/>
  <c r="D4246" i="1"/>
  <c r="E4246" i="1"/>
  <c r="F4246" i="1"/>
  <c r="H4246" i="1"/>
  <c r="A4247" i="1"/>
  <c r="B4247" i="1"/>
  <c r="C4247" i="1"/>
  <c r="D4247" i="1"/>
  <c r="E4247" i="1"/>
  <c r="F4247" i="1"/>
  <c r="H4247" i="1"/>
  <c r="A4248" i="1"/>
  <c r="B4248" i="1"/>
  <c r="C4248" i="1"/>
  <c r="D4248" i="1"/>
  <c r="E4248" i="1"/>
  <c r="F4248" i="1"/>
  <c r="H4248" i="1"/>
  <c r="A4249" i="1"/>
  <c r="B4249" i="1"/>
  <c r="C4249" i="1"/>
  <c r="D4249" i="1"/>
  <c r="E4249" i="1"/>
  <c r="F4249" i="1"/>
  <c r="H4249" i="1"/>
  <c r="A4250" i="1"/>
  <c r="B4250" i="1"/>
  <c r="C4250" i="1"/>
  <c r="D4250" i="1"/>
  <c r="E4250" i="1"/>
  <c r="F4250" i="1"/>
  <c r="H4250" i="1"/>
  <c r="A4251" i="1"/>
  <c r="B4251" i="1"/>
  <c r="C4251" i="1"/>
  <c r="D4251" i="1"/>
  <c r="E4251" i="1"/>
  <c r="F4251" i="1"/>
  <c r="H4251" i="1"/>
  <c r="A4252" i="1"/>
  <c r="B4252" i="1"/>
  <c r="C4252" i="1"/>
  <c r="D4252" i="1"/>
  <c r="E4252" i="1"/>
  <c r="F4252" i="1"/>
  <c r="H4252" i="1"/>
  <c r="A4253" i="1"/>
  <c r="B4253" i="1"/>
  <c r="C4253" i="1"/>
  <c r="D4253" i="1"/>
  <c r="E4253" i="1"/>
  <c r="F4253" i="1"/>
  <c r="H4253" i="1"/>
  <c r="A4254" i="1"/>
  <c r="B4254" i="1"/>
  <c r="C4254" i="1"/>
  <c r="D4254" i="1"/>
  <c r="E4254" i="1"/>
  <c r="F4254" i="1"/>
  <c r="H4254" i="1"/>
  <c r="A4255" i="1"/>
  <c r="B4255" i="1"/>
  <c r="C4255" i="1"/>
  <c r="D4255" i="1"/>
  <c r="E4255" i="1"/>
  <c r="F4255" i="1"/>
  <c r="H4255" i="1"/>
  <c r="A4256" i="1"/>
  <c r="B4256" i="1"/>
  <c r="C4256" i="1"/>
  <c r="D4256" i="1"/>
  <c r="E4256" i="1"/>
  <c r="F4256" i="1"/>
  <c r="H4256" i="1"/>
  <c r="A4257" i="1"/>
  <c r="B4257" i="1"/>
  <c r="C4257" i="1"/>
  <c r="D4257" i="1"/>
  <c r="E4257" i="1"/>
  <c r="F4257" i="1"/>
  <c r="H4257" i="1"/>
  <c r="A4258" i="1"/>
  <c r="B4258" i="1"/>
  <c r="C4258" i="1"/>
  <c r="D4258" i="1"/>
  <c r="E4258" i="1"/>
  <c r="F4258" i="1"/>
  <c r="H4258" i="1"/>
  <c r="A4259" i="1"/>
  <c r="B4259" i="1"/>
  <c r="C4259" i="1"/>
  <c r="D4259" i="1"/>
  <c r="E4259" i="1"/>
  <c r="F4259" i="1"/>
  <c r="H4259" i="1"/>
  <c r="A4260" i="1"/>
  <c r="B4260" i="1"/>
  <c r="C4260" i="1"/>
  <c r="D4260" i="1"/>
  <c r="E4260" i="1"/>
  <c r="F4260" i="1"/>
  <c r="H4260" i="1"/>
  <c r="A4261" i="1"/>
  <c r="B4261" i="1"/>
  <c r="C4261" i="1"/>
  <c r="D4261" i="1"/>
  <c r="E4261" i="1"/>
  <c r="F4261" i="1"/>
  <c r="H4261" i="1"/>
  <c r="A4262" i="1"/>
  <c r="B4262" i="1"/>
  <c r="C4262" i="1"/>
  <c r="D4262" i="1"/>
  <c r="E4262" i="1"/>
  <c r="F4262" i="1"/>
  <c r="H4262" i="1"/>
  <c r="A4263" i="1"/>
  <c r="B4263" i="1"/>
  <c r="C4263" i="1"/>
  <c r="D4263" i="1"/>
  <c r="E4263" i="1"/>
  <c r="F4263" i="1"/>
  <c r="H4263" i="1"/>
  <c r="A4264" i="1"/>
  <c r="B4264" i="1"/>
  <c r="C4264" i="1"/>
  <c r="D4264" i="1"/>
  <c r="E4264" i="1"/>
  <c r="F4264" i="1"/>
  <c r="H4264" i="1"/>
  <c r="A4265" i="1"/>
  <c r="B4265" i="1"/>
  <c r="C4265" i="1"/>
  <c r="D4265" i="1"/>
  <c r="E4265" i="1"/>
  <c r="F4265" i="1"/>
  <c r="H4265" i="1"/>
  <c r="A4266" i="1"/>
  <c r="B4266" i="1"/>
  <c r="C4266" i="1"/>
  <c r="D4266" i="1"/>
  <c r="E4266" i="1"/>
  <c r="F4266" i="1"/>
  <c r="H4266" i="1"/>
  <c r="A4267" i="1"/>
  <c r="B4267" i="1"/>
  <c r="C4267" i="1"/>
  <c r="D4267" i="1"/>
  <c r="E4267" i="1"/>
  <c r="F4267" i="1"/>
  <c r="H4267" i="1"/>
  <c r="A4268" i="1"/>
  <c r="B4268" i="1"/>
  <c r="C4268" i="1"/>
  <c r="D4268" i="1"/>
  <c r="E4268" i="1"/>
  <c r="F4268" i="1"/>
  <c r="H4268" i="1"/>
  <c r="A4269" i="1"/>
  <c r="B4269" i="1"/>
  <c r="C4269" i="1"/>
  <c r="D4269" i="1"/>
  <c r="E4269" i="1"/>
  <c r="F4269" i="1"/>
  <c r="H4269" i="1"/>
  <c r="A4270" i="1"/>
  <c r="B4270" i="1"/>
  <c r="C4270" i="1"/>
  <c r="D4270" i="1"/>
  <c r="E4270" i="1"/>
  <c r="F4270" i="1"/>
  <c r="H4270" i="1"/>
  <c r="A4271" i="1"/>
  <c r="B4271" i="1"/>
  <c r="C4271" i="1"/>
  <c r="D4271" i="1"/>
  <c r="E4271" i="1"/>
  <c r="F4271" i="1"/>
  <c r="H4271" i="1"/>
  <c r="A4272" i="1"/>
  <c r="B4272" i="1"/>
  <c r="C4272" i="1"/>
  <c r="D4272" i="1"/>
  <c r="E4272" i="1"/>
  <c r="F4272" i="1"/>
  <c r="H4272" i="1"/>
  <c r="A4273" i="1"/>
  <c r="B4273" i="1"/>
  <c r="C4273" i="1"/>
  <c r="D4273" i="1"/>
  <c r="E4273" i="1"/>
  <c r="F4273" i="1"/>
  <c r="H4273" i="1"/>
  <c r="A4274" i="1"/>
  <c r="B4274" i="1"/>
  <c r="C4274" i="1"/>
  <c r="D4274" i="1"/>
  <c r="E4274" i="1"/>
  <c r="F4274" i="1"/>
  <c r="H4274" i="1"/>
  <c r="A4275" i="1"/>
  <c r="B4275" i="1"/>
  <c r="C4275" i="1"/>
  <c r="D4275" i="1"/>
  <c r="E4275" i="1"/>
  <c r="F4275" i="1"/>
  <c r="H4275" i="1"/>
  <c r="A4276" i="1"/>
  <c r="B4276" i="1"/>
  <c r="C4276" i="1"/>
  <c r="D4276" i="1"/>
  <c r="E4276" i="1"/>
  <c r="F4276" i="1"/>
  <c r="H4276" i="1"/>
  <c r="A4277" i="1"/>
  <c r="B4277" i="1"/>
  <c r="C4277" i="1"/>
  <c r="D4277" i="1"/>
  <c r="E4277" i="1"/>
  <c r="F4277" i="1"/>
  <c r="H4277" i="1"/>
  <c r="A4278" i="1"/>
  <c r="B4278" i="1"/>
  <c r="C4278" i="1"/>
  <c r="D4278" i="1"/>
  <c r="E4278" i="1"/>
  <c r="F4278" i="1"/>
  <c r="H4278" i="1"/>
  <c r="A4279" i="1"/>
  <c r="B4279" i="1"/>
  <c r="C4279" i="1"/>
  <c r="D4279" i="1"/>
  <c r="E4279" i="1"/>
  <c r="F4279" i="1"/>
  <c r="H4279" i="1"/>
  <c r="A4280" i="1"/>
  <c r="B4280" i="1"/>
  <c r="C4280" i="1"/>
  <c r="D4280" i="1"/>
  <c r="E4280" i="1"/>
  <c r="F4280" i="1"/>
  <c r="H4280" i="1"/>
  <c r="A4281" i="1"/>
  <c r="B4281" i="1"/>
  <c r="C4281" i="1"/>
  <c r="D4281" i="1"/>
  <c r="E4281" i="1"/>
  <c r="F4281" i="1"/>
  <c r="H4281" i="1"/>
  <c r="A4282" i="1"/>
  <c r="B4282" i="1"/>
  <c r="C4282" i="1"/>
  <c r="D4282" i="1"/>
  <c r="E4282" i="1"/>
  <c r="F4282" i="1"/>
  <c r="H4282" i="1"/>
  <c r="A4283" i="1"/>
  <c r="B4283" i="1"/>
  <c r="C4283" i="1"/>
  <c r="D4283" i="1"/>
  <c r="E4283" i="1"/>
  <c r="F4283" i="1"/>
  <c r="H4283" i="1"/>
  <c r="A4284" i="1"/>
  <c r="B4284" i="1"/>
  <c r="C4284" i="1"/>
  <c r="D4284" i="1"/>
  <c r="E4284" i="1"/>
  <c r="F4284" i="1"/>
  <c r="H4284" i="1"/>
  <c r="A4285" i="1"/>
  <c r="B4285" i="1"/>
  <c r="C4285" i="1"/>
  <c r="D4285" i="1"/>
  <c r="E4285" i="1"/>
  <c r="F4285" i="1"/>
  <c r="H4285" i="1"/>
  <c r="A4286" i="1"/>
  <c r="B4286" i="1"/>
  <c r="C4286" i="1"/>
  <c r="D4286" i="1"/>
  <c r="E4286" i="1"/>
  <c r="F4286" i="1"/>
  <c r="H4286" i="1"/>
  <c r="A4287" i="1"/>
  <c r="B4287" i="1"/>
  <c r="C4287" i="1"/>
  <c r="D4287" i="1"/>
  <c r="E4287" i="1"/>
  <c r="F4287" i="1"/>
  <c r="H4287" i="1"/>
  <c r="A4288" i="1"/>
  <c r="B4288" i="1"/>
  <c r="C4288" i="1"/>
  <c r="D4288" i="1"/>
  <c r="E4288" i="1"/>
  <c r="F4288" i="1"/>
  <c r="H4288" i="1"/>
  <c r="A4289" i="1"/>
  <c r="B4289" i="1"/>
  <c r="C4289" i="1"/>
  <c r="D4289" i="1"/>
  <c r="E4289" i="1"/>
  <c r="F4289" i="1"/>
  <c r="H4289" i="1"/>
  <c r="A4290" i="1"/>
  <c r="B4290" i="1"/>
  <c r="C4290" i="1"/>
  <c r="D4290" i="1"/>
  <c r="E4290" i="1"/>
  <c r="F4290" i="1"/>
  <c r="H4290" i="1"/>
  <c r="A4291" i="1"/>
  <c r="B4291" i="1"/>
  <c r="C4291" i="1"/>
  <c r="D4291" i="1"/>
  <c r="E4291" i="1"/>
  <c r="F4291" i="1"/>
  <c r="H4291" i="1"/>
  <c r="A4292" i="1"/>
  <c r="B4292" i="1"/>
  <c r="C4292" i="1"/>
  <c r="D4292" i="1"/>
  <c r="E4292" i="1"/>
  <c r="F4292" i="1"/>
  <c r="H4292" i="1"/>
  <c r="A4293" i="1"/>
  <c r="B4293" i="1"/>
  <c r="C4293" i="1"/>
  <c r="D4293" i="1"/>
  <c r="E4293" i="1"/>
  <c r="F4293" i="1"/>
  <c r="H4293" i="1"/>
  <c r="A4294" i="1"/>
  <c r="B4294" i="1"/>
  <c r="C4294" i="1"/>
  <c r="D4294" i="1"/>
  <c r="E4294" i="1"/>
  <c r="F4294" i="1"/>
  <c r="H4294" i="1"/>
  <c r="A4295" i="1"/>
  <c r="B4295" i="1"/>
  <c r="C4295" i="1"/>
  <c r="D4295" i="1"/>
  <c r="E4295" i="1"/>
  <c r="F4295" i="1"/>
  <c r="H4295" i="1"/>
  <c r="A4296" i="1"/>
  <c r="B4296" i="1"/>
  <c r="C4296" i="1"/>
  <c r="D4296" i="1"/>
  <c r="E4296" i="1"/>
  <c r="F4296" i="1"/>
  <c r="H4296" i="1"/>
  <c r="A4297" i="1"/>
  <c r="B4297" i="1"/>
  <c r="C4297" i="1"/>
  <c r="D4297" i="1"/>
  <c r="E4297" i="1"/>
  <c r="F4297" i="1"/>
  <c r="H4297" i="1"/>
  <c r="A4298" i="1"/>
  <c r="B4298" i="1"/>
  <c r="C4298" i="1"/>
  <c r="D4298" i="1"/>
  <c r="E4298" i="1"/>
  <c r="F4298" i="1"/>
  <c r="H4298" i="1"/>
  <c r="A4299" i="1"/>
  <c r="B4299" i="1"/>
  <c r="C4299" i="1"/>
  <c r="D4299" i="1"/>
  <c r="E4299" i="1"/>
  <c r="F4299" i="1"/>
  <c r="H4299" i="1"/>
  <c r="A4300" i="1"/>
  <c r="B4300" i="1"/>
  <c r="C4300" i="1"/>
  <c r="D4300" i="1"/>
  <c r="E4300" i="1"/>
  <c r="F4300" i="1"/>
  <c r="H4300" i="1"/>
  <c r="A4301" i="1"/>
  <c r="B4301" i="1"/>
  <c r="C4301" i="1"/>
  <c r="D4301" i="1"/>
  <c r="E4301" i="1"/>
  <c r="F4301" i="1"/>
  <c r="H4301" i="1"/>
  <c r="A4302" i="1"/>
  <c r="B4302" i="1"/>
  <c r="C4302" i="1"/>
  <c r="D4302" i="1"/>
  <c r="E4302" i="1"/>
  <c r="F4302" i="1"/>
  <c r="H4302" i="1"/>
  <c r="A4303" i="1"/>
  <c r="B4303" i="1"/>
  <c r="C4303" i="1"/>
  <c r="D4303" i="1"/>
  <c r="E4303" i="1"/>
  <c r="F4303" i="1"/>
  <c r="H4303" i="1"/>
  <c r="A4304" i="1"/>
  <c r="B4304" i="1"/>
  <c r="C4304" i="1"/>
  <c r="D4304" i="1"/>
  <c r="E4304" i="1"/>
  <c r="F4304" i="1"/>
  <c r="H4304" i="1"/>
  <c r="A4305" i="1"/>
  <c r="B4305" i="1"/>
  <c r="C4305" i="1"/>
  <c r="D4305" i="1"/>
  <c r="E4305" i="1"/>
  <c r="F4305" i="1"/>
  <c r="H4305" i="1"/>
  <c r="A4306" i="1"/>
  <c r="B4306" i="1"/>
  <c r="C4306" i="1"/>
  <c r="D4306" i="1"/>
  <c r="E4306" i="1"/>
  <c r="F4306" i="1"/>
  <c r="H4306" i="1"/>
  <c r="A4307" i="1"/>
  <c r="B4307" i="1"/>
  <c r="C4307" i="1"/>
  <c r="D4307" i="1"/>
  <c r="E4307" i="1"/>
  <c r="F4307" i="1"/>
  <c r="H4307" i="1"/>
  <c r="A4308" i="1"/>
  <c r="B4308" i="1"/>
  <c r="C4308" i="1"/>
  <c r="D4308" i="1"/>
  <c r="E4308" i="1"/>
  <c r="F4308" i="1"/>
  <c r="H4308" i="1"/>
  <c r="A4309" i="1"/>
  <c r="B4309" i="1"/>
  <c r="C4309" i="1"/>
  <c r="D4309" i="1"/>
  <c r="E4309" i="1"/>
  <c r="F4309" i="1"/>
  <c r="H4309" i="1"/>
  <c r="A4310" i="1"/>
  <c r="B4310" i="1"/>
  <c r="C4310" i="1"/>
  <c r="D4310" i="1"/>
  <c r="E4310" i="1"/>
  <c r="F4310" i="1"/>
  <c r="H4310" i="1"/>
  <c r="A4311" i="1"/>
  <c r="B4311" i="1"/>
  <c r="C4311" i="1"/>
  <c r="D4311" i="1"/>
  <c r="E4311" i="1"/>
  <c r="F4311" i="1"/>
  <c r="H4311" i="1"/>
  <c r="A4312" i="1"/>
  <c r="B4312" i="1"/>
  <c r="C4312" i="1"/>
  <c r="D4312" i="1"/>
  <c r="E4312" i="1"/>
  <c r="F4312" i="1"/>
  <c r="H4312" i="1"/>
  <c r="A4313" i="1"/>
  <c r="B4313" i="1"/>
  <c r="C4313" i="1"/>
  <c r="D4313" i="1"/>
  <c r="E4313" i="1"/>
  <c r="F4313" i="1"/>
  <c r="H4313" i="1"/>
  <c r="A4314" i="1"/>
  <c r="B4314" i="1"/>
  <c r="C4314" i="1"/>
  <c r="D4314" i="1"/>
  <c r="E4314" i="1"/>
  <c r="F4314" i="1"/>
  <c r="H4314" i="1"/>
  <c r="A4315" i="1"/>
  <c r="B4315" i="1"/>
  <c r="C4315" i="1"/>
  <c r="D4315" i="1"/>
  <c r="E4315" i="1"/>
  <c r="F4315" i="1"/>
  <c r="H4315" i="1"/>
  <c r="A4316" i="1"/>
  <c r="B4316" i="1"/>
  <c r="C4316" i="1"/>
  <c r="D4316" i="1"/>
  <c r="E4316" i="1"/>
  <c r="F4316" i="1"/>
  <c r="H4316" i="1"/>
  <c r="A4317" i="1"/>
  <c r="B4317" i="1"/>
  <c r="C4317" i="1"/>
  <c r="D4317" i="1"/>
  <c r="E4317" i="1"/>
  <c r="F4317" i="1"/>
  <c r="H4317" i="1"/>
  <c r="A4318" i="1"/>
  <c r="B4318" i="1"/>
  <c r="C4318" i="1"/>
  <c r="D4318" i="1"/>
  <c r="E4318" i="1"/>
  <c r="F4318" i="1"/>
  <c r="H4318" i="1"/>
  <c r="A4319" i="1"/>
  <c r="B4319" i="1"/>
  <c r="C4319" i="1"/>
  <c r="D4319" i="1"/>
  <c r="E4319" i="1"/>
  <c r="F4319" i="1"/>
  <c r="H4319" i="1"/>
  <c r="A4320" i="1"/>
  <c r="B4320" i="1"/>
  <c r="C4320" i="1"/>
  <c r="D4320" i="1"/>
  <c r="E4320" i="1"/>
  <c r="F4320" i="1"/>
  <c r="H4320" i="1"/>
  <c r="A4321" i="1"/>
  <c r="B4321" i="1"/>
  <c r="C4321" i="1"/>
  <c r="D4321" i="1"/>
  <c r="E4321" i="1"/>
  <c r="F4321" i="1"/>
  <c r="H4321" i="1"/>
  <c r="A4322" i="1"/>
  <c r="B4322" i="1"/>
  <c r="C4322" i="1"/>
  <c r="D4322" i="1"/>
  <c r="E4322" i="1"/>
  <c r="F4322" i="1"/>
  <c r="H4322" i="1"/>
  <c r="A4323" i="1"/>
  <c r="B4323" i="1"/>
  <c r="C4323" i="1"/>
  <c r="D4323" i="1"/>
  <c r="E4323" i="1"/>
  <c r="F4323" i="1"/>
  <c r="H4323" i="1"/>
  <c r="A4324" i="1"/>
  <c r="B4324" i="1"/>
  <c r="C4324" i="1"/>
  <c r="D4324" i="1"/>
  <c r="E4324" i="1"/>
  <c r="F4324" i="1"/>
  <c r="H4324" i="1"/>
  <c r="A4325" i="1"/>
  <c r="B4325" i="1"/>
  <c r="C4325" i="1"/>
  <c r="D4325" i="1"/>
  <c r="E4325" i="1"/>
  <c r="F4325" i="1"/>
  <c r="H4325" i="1"/>
  <c r="A4326" i="1"/>
  <c r="B4326" i="1"/>
  <c r="C4326" i="1"/>
  <c r="D4326" i="1"/>
  <c r="E4326" i="1"/>
  <c r="F4326" i="1"/>
  <c r="H4326" i="1"/>
  <c r="A4327" i="1"/>
  <c r="B4327" i="1"/>
  <c r="C4327" i="1"/>
  <c r="D4327" i="1"/>
  <c r="E4327" i="1"/>
  <c r="F4327" i="1"/>
  <c r="H4327" i="1"/>
  <c r="A4328" i="1"/>
  <c r="B4328" i="1"/>
  <c r="C4328" i="1"/>
  <c r="D4328" i="1"/>
  <c r="E4328" i="1"/>
  <c r="F4328" i="1"/>
  <c r="H4328" i="1"/>
  <c r="A4329" i="1"/>
  <c r="B4329" i="1"/>
  <c r="C4329" i="1"/>
  <c r="D4329" i="1"/>
  <c r="E4329" i="1"/>
  <c r="F4329" i="1"/>
  <c r="H4329" i="1"/>
  <c r="A4330" i="1"/>
  <c r="B4330" i="1"/>
  <c r="C4330" i="1"/>
  <c r="D4330" i="1"/>
  <c r="E4330" i="1"/>
  <c r="F4330" i="1"/>
  <c r="H4330" i="1"/>
  <c r="A4331" i="1"/>
  <c r="B4331" i="1"/>
  <c r="C4331" i="1"/>
  <c r="D4331" i="1"/>
  <c r="E4331" i="1"/>
  <c r="F4331" i="1"/>
  <c r="H4331" i="1"/>
  <c r="A4332" i="1"/>
  <c r="B4332" i="1"/>
  <c r="C4332" i="1"/>
  <c r="D4332" i="1"/>
  <c r="E4332" i="1"/>
  <c r="F4332" i="1"/>
  <c r="H4332" i="1"/>
  <c r="A4333" i="1"/>
  <c r="B4333" i="1"/>
  <c r="C4333" i="1"/>
  <c r="D4333" i="1"/>
  <c r="E4333" i="1"/>
  <c r="F4333" i="1"/>
  <c r="H4333" i="1"/>
  <c r="A4334" i="1"/>
  <c r="B4334" i="1"/>
  <c r="C4334" i="1"/>
  <c r="D4334" i="1"/>
  <c r="E4334" i="1"/>
  <c r="F4334" i="1"/>
  <c r="H4334" i="1"/>
  <c r="A4335" i="1"/>
  <c r="B4335" i="1"/>
  <c r="C4335" i="1"/>
  <c r="D4335" i="1"/>
  <c r="E4335" i="1"/>
  <c r="F4335" i="1"/>
  <c r="H4335" i="1"/>
  <c r="A4336" i="1"/>
  <c r="B4336" i="1"/>
  <c r="C4336" i="1"/>
  <c r="D4336" i="1"/>
  <c r="E4336" i="1"/>
  <c r="F4336" i="1"/>
  <c r="H4336" i="1"/>
  <c r="A4337" i="1"/>
  <c r="B4337" i="1"/>
  <c r="C4337" i="1"/>
  <c r="D4337" i="1"/>
  <c r="E4337" i="1"/>
  <c r="F4337" i="1"/>
  <c r="H4337" i="1"/>
  <c r="A4338" i="1"/>
  <c r="B4338" i="1"/>
  <c r="C4338" i="1"/>
  <c r="D4338" i="1"/>
  <c r="E4338" i="1"/>
  <c r="F4338" i="1"/>
  <c r="H4338" i="1"/>
  <c r="A4339" i="1"/>
  <c r="B4339" i="1"/>
  <c r="C4339" i="1"/>
  <c r="D4339" i="1"/>
  <c r="E4339" i="1"/>
  <c r="F4339" i="1"/>
  <c r="H4339" i="1"/>
  <c r="A4340" i="1"/>
  <c r="B4340" i="1"/>
  <c r="C4340" i="1"/>
  <c r="D4340" i="1"/>
  <c r="E4340" i="1"/>
  <c r="F4340" i="1"/>
  <c r="H4340" i="1"/>
  <c r="A4341" i="1"/>
  <c r="B4341" i="1"/>
  <c r="C4341" i="1"/>
  <c r="D4341" i="1"/>
  <c r="E4341" i="1"/>
  <c r="F4341" i="1"/>
  <c r="H4341" i="1"/>
  <c r="A4342" i="1"/>
  <c r="B4342" i="1"/>
  <c r="C4342" i="1"/>
  <c r="D4342" i="1"/>
  <c r="E4342" i="1"/>
  <c r="F4342" i="1"/>
  <c r="H4342" i="1"/>
  <c r="A4343" i="1"/>
  <c r="B4343" i="1"/>
  <c r="C4343" i="1"/>
  <c r="D4343" i="1"/>
  <c r="E4343" i="1"/>
  <c r="F4343" i="1"/>
  <c r="H4343" i="1"/>
  <c r="A4344" i="1"/>
  <c r="B4344" i="1"/>
  <c r="C4344" i="1"/>
  <c r="D4344" i="1"/>
  <c r="E4344" i="1"/>
  <c r="F4344" i="1"/>
  <c r="H4344" i="1"/>
  <c r="A4345" i="1"/>
  <c r="B4345" i="1"/>
  <c r="C4345" i="1"/>
  <c r="D4345" i="1"/>
  <c r="E4345" i="1"/>
  <c r="F4345" i="1"/>
  <c r="H4345" i="1"/>
  <c r="A4346" i="1"/>
  <c r="B4346" i="1"/>
  <c r="C4346" i="1"/>
  <c r="D4346" i="1"/>
  <c r="E4346" i="1"/>
  <c r="F4346" i="1"/>
  <c r="H4346" i="1"/>
  <c r="A4347" i="1"/>
  <c r="B4347" i="1"/>
  <c r="C4347" i="1"/>
  <c r="D4347" i="1"/>
  <c r="E4347" i="1"/>
  <c r="F4347" i="1"/>
  <c r="H4347" i="1"/>
  <c r="A4348" i="1"/>
  <c r="B4348" i="1"/>
  <c r="C4348" i="1"/>
  <c r="D4348" i="1"/>
  <c r="E4348" i="1"/>
  <c r="F4348" i="1"/>
  <c r="H4348" i="1"/>
  <c r="A4349" i="1"/>
  <c r="B4349" i="1"/>
  <c r="C4349" i="1"/>
  <c r="D4349" i="1"/>
  <c r="E4349" i="1"/>
  <c r="F4349" i="1"/>
  <c r="H4349" i="1"/>
  <c r="A4350" i="1"/>
  <c r="B4350" i="1"/>
  <c r="C4350" i="1"/>
  <c r="D4350" i="1"/>
  <c r="E4350" i="1"/>
  <c r="F4350" i="1"/>
  <c r="H4350" i="1"/>
  <c r="A4351" i="1"/>
  <c r="B4351" i="1"/>
  <c r="C4351" i="1"/>
  <c r="D4351" i="1"/>
  <c r="E4351" i="1"/>
  <c r="F4351" i="1"/>
  <c r="H4351" i="1"/>
  <c r="A4352" i="1"/>
  <c r="B4352" i="1"/>
  <c r="C4352" i="1"/>
  <c r="D4352" i="1"/>
  <c r="E4352" i="1"/>
  <c r="F4352" i="1"/>
  <c r="H4352" i="1"/>
  <c r="A4353" i="1"/>
  <c r="B4353" i="1"/>
  <c r="C4353" i="1"/>
  <c r="D4353" i="1"/>
  <c r="E4353" i="1"/>
  <c r="F4353" i="1"/>
  <c r="H4353" i="1"/>
  <c r="A4354" i="1"/>
  <c r="B4354" i="1"/>
  <c r="C4354" i="1"/>
  <c r="D4354" i="1"/>
  <c r="E4354" i="1"/>
  <c r="F4354" i="1"/>
  <c r="H4354" i="1"/>
  <c r="A4355" i="1"/>
  <c r="B4355" i="1"/>
  <c r="C4355" i="1"/>
  <c r="D4355" i="1"/>
  <c r="E4355" i="1"/>
  <c r="F4355" i="1"/>
  <c r="H4355" i="1"/>
  <c r="A4356" i="1"/>
  <c r="B4356" i="1"/>
  <c r="C4356" i="1"/>
  <c r="D4356" i="1"/>
  <c r="E4356" i="1"/>
  <c r="F4356" i="1"/>
  <c r="H4356" i="1"/>
  <c r="A4357" i="1"/>
  <c r="B4357" i="1"/>
  <c r="C4357" i="1"/>
  <c r="D4357" i="1"/>
  <c r="E4357" i="1"/>
  <c r="F4357" i="1"/>
  <c r="H4357" i="1"/>
  <c r="A4358" i="1"/>
  <c r="B4358" i="1"/>
  <c r="C4358" i="1"/>
  <c r="D4358" i="1"/>
  <c r="E4358" i="1"/>
  <c r="F4358" i="1"/>
  <c r="H4358" i="1"/>
  <c r="A4359" i="1"/>
  <c r="B4359" i="1"/>
  <c r="C4359" i="1"/>
  <c r="D4359" i="1"/>
  <c r="E4359" i="1"/>
  <c r="F4359" i="1"/>
  <c r="H4359" i="1"/>
  <c r="A4360" i="1"/>
  <c r="B4360" i="1"/>
  <c r="C4360" i="1"/>
  <c r="D4360" i="1"/>
  <c r="E4360" i="1"/>
  <c r="F4360" i="1"/>
  <c r="H4360" i="1"/>
  <c r="A4361" i="1"/>
  <c r="B4361" i="1"/>
  <c r="C4361" i="1"/>
  <c r="D4361" i="1"/>
  <c r="E4361" i="1"/>
  <c r="F4361" i="1"/>
  <c r="H4361" i="1"/>
  <c r="A4362" i="1"/>
  <c r="B4362" i="1"/>
  <c r="C4362" i="1"/>
  <c r="D4362" i="1"/>
  <c r="E4362" i="1"/>
  <c r="F4362" i="1"/>
  <c r="H4362" i="1"/>
  <c r="A4363" i="1"/>
  <c r="B4363" i="1"/>
  <c r="C4363" i="1"/>
  <c r="D4363" i="1"/>
  <c r="E4363" i="1"/>
  <c r="F4363" i="1"/>
  <c r="H4363" i="1"/>
  <c r="A4364" i="1"/>
  <c r="B4364" i="1"/>
  <c r="C4364" i="1"/>
  <c r="D4364" i="1"/>
  <c r="E4364" i="1"/>
  <c r="F4364" i="1"/>
  <c r="H4364" i="1"/>
  <c r="A4365" i="1"/>
  <c r="B4365" i="1"/>
  <c r="C4365" i="1"/>
  <c r="D4365" i="1"/>
  <c r="E4365" i="1"/>
  <c r="F4365" i="1"/>
  <c r="H4365" i="1"/>
  <c r="A4366" i="1"/>
  <c r="B4366" i="1"/>
  <c r="C4366" i="1"/>
  <c r="D4366" i="1"/>
  <c r="E4366" i="1"/>
  <c r="F4366" i="1"/>
  <c r="H4366" i="1"/>
  <c r="A4367" i="1"/>
  <c r="B4367" i="1"/>
  <c r="C4367" i="1"/>
  <c r="D4367" i="1"/>
  <c r="E4367" i="1"/>
  <c r="F4367" i="1"/>
  <c r="H4367" i="1"/>
  <c r="A4368" i="1"/>
  <c r="B4368" i="1"/>
  <c r="C4368" i="1"/>
  <c r="D4368" i="1"/>
  <c r="E4368" i="1"/>
  <c r="F4368" i="1"/>
  <c r="H4368" i="1"/>
  <c r="A4369" i="1"/>
  <c r="B4369" i="1"/>
  <c r="C4369" i="1"/>
  <c r="D4369" i="1"/>
  <c r="E4369" i="1"/>
  <c r="F4369" i="1"/>
  <c r="H4369" i="1"/>
  <c r="A4370" i="1"/>
  <c r="B4370" i="1"/>
  <c r="C4370" i="1"/>
  <c r="D4370" i="1"/>
  <c r="E4370" i="1"/>
  <c r="F4370" i="1"/>
  <c r="H4370" i="1"/>
  <c r="A4371" i="1"/>
  <c r="B4371" i="1"/>
  <c r="C4371" i="1"/>
  <c r="D4371" i="1"/>
  <c r="E4371" i="1"/>
  <c r="F4371" i="1"/>
  <c r="H4371" i="1"/>
  <c r="A4372" i="1"/>
  <c r="B4372" i="1"/>
  <c r="C4372" i="1"/>
  <c r="D4372" i="1"/>
  <c r="E4372" i="1"/>
  <c r="F4372" i="1"/>
  <c r="H4372" i="1"/>
  <c r="A4373" i="1"/>
  <c r="B4373" i="1"/>
  <c r="C4373" i="1"/>
  <c r="D4373" i="1"/>
  <c r="E4373" i="1"/>
  <c r="F4373" i="1"/>
  <c r="H4373" i="1"/>
  <c r="A4374" i="1"/>
  <c r="B4374" i="1"/>
  <c r="C4374" i="1"/>
  <c r="D4374" i="1"/>
  <c r="E4374" i="1"/>
  <c r="F4374" i="1"/>
  <c r="H4374" i="1"/>
  <c r="A4375" i="1"/>
  <c r="B4375" i="1"/>
  <c r="C4375" i="1"/>
  <c r="D4375" i="1"/>
  <c r="E4375" i="1"/>
  <c r="F4375" i="1"/>
  <c r="H4375" i="1"/>
  <c r="A4376" i="1"/>
  <c r="B4376" i="1"/>
  <c r="C4376" i="1"/>
  <c r="D4376" i="1"/>
  <c r="E4376" i="1"/>
  <c r="F4376" i="1"/>
  <c r="H4376" i="1"/>
  <c r="A4377" i="1"/>
  <c r="B4377" i="1"/>
  <c r="C4377" i="1"/>
  <c r="D4377" i="1"/>
  <c r="E4377" i="1"/>
  <c r="F4377" i="1"/>
  <c r="H4377" i="1"/>
  <c r="A4378" i="1"/>
  <c r="B4378" i="1"/>
  <c r="C4378" i="1"/>
  <c r="D4378" i="1"/>
  <c r="E4378" i="1"/>
  <c r="F4378" i="1"/>
  <c r="H4378" i="1"/>
  <c r="A4379" i="1"/>
  <c r="B4379" i="1"/>
  <c r="C4379" i="1"/>
  <c r="D4379" i="1"/>
  <c r="E4379" i="1"/>
  <c r="F4379" i="1"/>
  <c r="H4379" i="1"/>
  <c r="A4380" i="1"/>
  <c r="B4380" i="1"/>
  <c r="C4380" i="1"/>
  <c r="D4380" i="1"/>
  <c r="E4380" i="1"/>
  <c r="F4380" i="1"/>
  <c r="H4380" i="1"/>
  <c r="A4381" i="1"/>
  <c r="B4381" i="1"/>
  <c r="C4381" i="1"/>
  <c r="D4381" i="1"/>
  <c r="E4381" i="1"/>
  <c r="F4381" i="1"/>
  <c r="H4381" i="1"/>
  <c r="A4382" i="1"/>
  <c r="B4382" i="1"/>
  <c r="C4382" i="1"/>
  <c r="D4382" i="1"/>
  <c r="E4382" i="1"/>
  <c r="F4382" i="1"/>
  <c r="H4382" i="1"/>
  <c r="A4383" i="1"/>
  <c r="B4383" i="1"/>
  <c r="C4383" i="1"/>
  <c r="D4383" i="1"/>
  <c r="E4383" i="1"/>
  <c r="F4383" i="1"/>
  <c r="H4383" i="1"/>
  <c r="A4384" i="1"/>
  <c r="B4384" i="1"/>
  <c r="C4384" i="1"/>
  <c r="D4384" i="1"/>
  <c r="E4384" i="1"/>
  <c r="F4384" i="1"/>
  <c r="H4384" i="1"/>
  <c r="A4385" i="1"/>
  <c r="B4385" i="1"/>
  <c r="C4385" i="1"/>
  <c r="D4385" i="1"/>
  <c r="E4385" i="1"/>
  <c r="F4385" i="1"/>
  <c r="H4385" i="1"/>
  <c r="A4386" i="1"/>
  <c r="B4386" i="1"/>
  <c r="C4386" i="1"/>
  <c r="D4386" i="1"/>
  <c r="E4386" i="1"/>
  <c r="F4386" i="1"/>
  <c r="H4386" i="1"/>
  <c r="A4387" i="1"/>
  <c r="B4387" i="1"/>
  <c r="C4387" i="1"/>
  <c r="D4387" i="1"/>
  <c r="E4387" i="1"/>
  <c r="F4387" i="1"/>
  <c r="H4387" i="1"/>
  <c r="A4388" i="1"/>
  <c r="B4388" i="1"/>
  <c r="C4388" i="1"/>
  <c r="D4388" i="1"/>
  <c r="E4388" i="1"/>
  <c r="F4388" i="1"/>
  <c r="H4388" i="1"/>
  <c r="A4389" i="1"/>
  <c r="B4389" i="1"/>
  <c r="C4389" i="1"/>
  <c r="D4389" i="1"/>
  <c r="E4389" i="1"/>
  <c r="F4389" i="1"/>
  <c r="H4389" i="1"/>
  <c r="A4390" i="1"/>
  <c r="B4390" i="1"/>
  <c r="C4390" i="1"/>
  <c r="D4390" i="1"/>
  <c r="E4390" i="1"/>
  <c r="F4390" i="1"/>
  <c r="H4390" i="1"/>
  <c r="A4391" i="1"/>
  <c r="B4391" i="1"/>
  <c r="C4391" i="1"/>
  <c r="D4391" i="1"/>
  <c r="E4391" i="1"/>
  <c r="F4391" i="1"/>
  <c r="H4391" i="1"/>
  <c r="A4392" i="1"/>
  <c r="B4392" i="1"/>
  <c r="C4392" i="1"/>
  <c r="D4392" i="1"/>
  <c r="E4392" i="1"/>
  <c r="F4392" i="1"/>
  <c r="H4392" i="1"/>
  <c r="A4393" i="1"/>
  <c r="B4393" i="1"/>
  <c r="C4393" i="1"/>
  <c r="D4393" i="1"/>
  <c r="E4393" i="1"/>
  <c r="F4393" i="1"/>
  <c r="H4393" i="1"/>
  <c r="A4394" i="1"/>
  <c r="B4394" i="1"/>
  <c r="C4394" i="1"/>
  <c r="D4394" i="1"/>
  <c r="E4394" i="1"/>
  <c r="F4394" i="1"/>
  <c r="H4394" i="1"/>
  <c r="A4395" i="1"/>
  <c r="B4395" i="1"/>
  <c r="C4395" i="1"/>
  <c r="D4395" i="1"/>
  <c r="E4395" i="1"/>
  <c r="F4395" i="1"/>
  <c r="H4395" i="1"/>
  <c r="A4396" i="1"/>
  <c r="B4396" i="1"/>
  <c r="C4396" i="1"/>
  <c r="D4396" i="1"/>
  <c r="E4396" i="1"/>
  <c r="F4396" i="1"/>
  <c r="H4396" i="1"/>
  <c r="A4397" i="1"/>
  <c r="B4397" i="1"/>
  <c r="C4397" i="1"/>
  <c r="D4397" i="1"/>
  <c r="E4397" i="1"/>
  <c r="F4397" i="1"/>
  <c r="H4397" i="1"/>
  <c r="A4398" i="1"/>
  <c r="B4398" i="1"/>
  <c r="C4398" i="1"/>
  <c r="D4398" i="1"/>
  <c r="E4398" i="1"/>
  <c r="F4398" i="1"/>
  <c r="H4398" i="1"/>
  <c r="A4399" i="1"/>
  <c r="B4399" i="1"/>
  <c r="C4399" i="1"/>
  <c r="D4399" i="1"/>
  <c r="E4399" i="1"/>
  <c r="F4399" i="1"/>
  <c r="H4399" i="1"/>
  <c r="A4400" i="1"/>
  <c r="B4400" i="1"/>
  <c r="C4400" i="1"/>
  <c r="D4400" i="1"/>
  <c r="E4400" i="1"/>
  <c r="F4400" i="1"/>
  <c r="H4400" i="1"/>
  <c r="A4401" i="1"/>
  <c r="B4401" i="1"/>
  <c r="C4401" i="1"/>
  <c r="D4401" i="1"/>
  <c r="E4401" i="1"/>
  <c r="F4401" i="1"/>
  <c r="H4401" i="1"/>
  <c r="A4402" i="1"/>
  <c r="B4402" i="1"/>
  <c r="C4402" i="1"/>
  <c r="D4402" i="1"/>
  <c r="E4402" i="1"/>
  <c r="F4402" i="1"/>
  <c r="H4402" i="1"/>
  <c r="A4403" i="1"/>
  <c r="B4403" i="1"/>
  <c r="C4403" i="1"/>
  <c r="D4403" i="1"/>
  <c r="E4403" i="1"/>
  <c r="F4403" i="1"/>
  <c r="H4403" i="1"/>
  <c r="A4404" i="1"/>
  <c r="B4404" i="1"/>
  <c r="C4404" i="1"/>
  <c r="D4404" i="1"/>
  <c r="E4404" i="1"/>
  <c r="F4404" i="1"/>
  <c r="H4404" i="1"/>
  <c r="A4405" i="1"/>
  <c r="B4405" i="1"/>
  <c r="C4405" i="1"/>
  <c r="D4405" i="1"/>
  <c r="E4405" i="1"/>
  <c r="F4405" i="1"/>
  <c r="H4405" i="1"/>
  <c r="A4406" i="1"/>
  <c r="B4406" i="1"/>
  <c r="C4406" i="1"/>
  <c r="D4406" i="1"/>
  <c r="E4406" i="1"/>
  <c r="F4406" i="1"/>
  <c r="H4406" i="1"/>
  <c r="A4407" i="1"/>
  <c r="B4407" i="1"/>
  <c r="C4407" i="1"/>
  <c r="D4407" i="1"/>
  <c r="E4407" i="1"/>
  <c r="F4407" i="1"/>
  <c r="H4407" i="1"/>
  <c r="A4408" i="1"/>
  <c r="B4408" i="1"/>
  <c r="C4408" i="1"/>
  <c r="D4408" i="1"/>
  <c r="E4408" i="1"/>
  <c r="F4408" i="1"/>
  <c r="H4408" i="1"/>
  <c r="A4409" i="1"/>
  <c r="B4409" i="1"/>
  <c r="C4409" i="1"/>
  <c r="D4409" i="1"/>
  <c r="E4409" i="1"/>
  <c r="F4409" i="1"/>
  <c r="H4409" i="1"/>
  <c r="A4410" i="1"/>
  <c r="B4410" i="1"/>
  <c r="C4410" i="1"/>
  <c r="D4410" i="1"/>
  <c r="E4410" i="1"/>
  <c r="F4410" i="1"/>
  <c r="H4410" i="1"/>
  <c r="A4411" i="1"/>
  <c r="B4411" i="1"/>
  <c r="C4411" i="1"/>
  <c r="D4411" i="1"/>
  <c r="E4411" i="1"/>
  <c r="F4411" i="1"/>
  <c r="H4411" i="1"/>
  <c r="A4412" i="1"/>
  <c r="B4412" i="1"/>
  <c r="C4412" i="1"/>
  <c r="D4412" i="1"/>
  <c r="E4412" i="1"/>
  <c r="F4412" i="1"/>
  <c r="H4412" i="1"/>
  <c r="A4413" i="1"/>
  <c r="B4413" i="1"/>
  <c r="C4413" i="1"/>
  <c r="D4413" i="1"/>
  <c r="E4413" i="1"/>
  <c r="F4413" i="1"/>
  <c r="H4413" i="1"/>
  <c r="A4414" i="1"/>
  <c r="B4414" i="1"/>
  <c r="C4414" i="1"/>
  <c r="D4414" i="1"/>
  <c r="E4414" i="1"/>
  <c r="F4414" i="1"/>
  <c r="H4414" i="1"/>
  <c r="A4415" i="1"/>
  <c r="B4415" i="1"/>
  <c r="C4415" i="1"/>
  <c r="D4415" i="1"/>
  <c r="E4415" i="1"/>
  <c r="F4415" i="1"/>
  <c r="H4415" i="1"/>
  <c r="A4416" i="1"/>
  <c r="B4416" i="1"/>
  <c r="C4416" i="1"/>
  <c r="D4416" i="1"/>
  <c r="E4416" i="1"/>
  <c r="F4416" i="1"/>
  <c r="H4416" i="1"/>
  <c r="A4417" i="1"/>
  <c r="B4417" i="1"/>
  <c r="C4417" i="1"/>
  <c r="D4417" i="1"/>
  <c r="E4417" i="1"/>
  <c r="F4417" i="1"/>
  <c r="H4417" i="1"/>
  <c r="A4418" i="1"/>
  <c r="B4418" i="1"/>
  <c r="C4418" i="1"/>
  <c r="D4418" i="1"/>
  <c r="E4418" i="1"/>
  <c r="F4418" i="1"/>
  <c r="H4418" i="1"/>
  <c r="A4419" i="1"/>
  <c r="B4419" i="1"/>
  <c r="C4419" i="1"/>
  <c r="D4419" i="1"/>
  <c r="E4419" i="1"/>
  <c r="F4419" i="1"/>
  <c r="H4419" i="1"/>
  <c r="A4420" i="1"/>
  <c r="B4420" i="1"/>
  <c r="C4420" i="1"/>
  <c r="D4420" i="1"/>
  <c r="E4420" i="1"/>
  <c r="F4420" i="1"/>
  <c r="H4420" i="1"/>
  <c r="A4421" i="1"/>
  <c r="B4421" i="1"/>
  <c r="C4421" i="1"/>
  <c r="D4421" i="1"/>
  <c r="E4421" i="1"/>
  <c r="F4421" i="1"/>
  <c r="H4421" i="1"/>
  <c r="A4422" i="1"/>
  <c r="B4422" i="1"/>
  <c r="C4422" i="1"/>
  <c r="D4422" i="1"/>
  <c r="E4422" i="1"/>
  <c r="F4422" i="1"/>
  <c r="H4422" i="1"/>
  <c r="A4423" i="1"/>
  <c r="B4423" i="1"/>
  <c r="C4423" i="1"/>
  <c r="D4423" i="1"/>
  <c r="E4423" i="1"/>
  <c r="F4423" i="1"/>
  <c r="H4423" i="1"/>
  <c r="A4424" i="1"/>
  <c r="B4424" i="1"/>
  <c r="C4424" i="1"/>
  <c r="D4424" i="1"/>
  <c r="E4424" i="1"/>
  <c r="F4424" i="1"/>
  <c r="H4424" i="1"/>
  <c r="A4425" i="1"/>
  <c r="B4425" i="1"/>
  <c r="C4425" i="1"/>
  <c r="D4425" i="1"/>
  <c r="E4425" i="1"/>
  <c r="F4425" i="1"/>
  <c r="H4425" i="1"/>
  <c r="A4426" i="1"/>
  <c r="B4426" i="1"/>
  <c r="C4426" i="1"/>
  <c r="D4426" i="1"/>
  <c r="E4426" i="1"/>
  <c r="F4426" i="1"/>
  <c r="H4426" i="1"/>
  <c r="A4427" i="1"/>
  <c r="B4427" i="1"/>
  <c r="C4427" i="1"/>
  <c r="D4427" i="1"/>
  <c r="E4427" i="1"/>
  <c r="F4427" i="1"/>
  <c r="H4427" i="1"/>
  <c r="A4428" i="1"/>
  <c r="B4428" i="1"/>
  <c r="C4428" i="1"/>
  <c r="D4428" i="1"/>
  <c r="E4428" i="1"/>
  <c r="F4428" i="1"/>
  <c r="H4428" i="1"/>
  <c r="A4429" i="1"/>
  <c r="B4429" i="1"/>
  <c r="C4429" i="1"/>
  <c r="D4429" i="1"/>
  <c r="E4429" i="1"/>
  <c r="F4429" i="1"/>
  <c r="H4429" i="1"/>
  <c r="A4430" i="1"/>
  <c r="B4430" i="1"/>
  <c r="C4430" i="1"/>
  <c r="D4430" i="1"/>
  <c r="E4430" i="1"/>
  <c r="F4430" i="1"/>
  <c r="H4430" i="1"/>
  <c r="A4431" i="1"/>
  <c r="B4431" i="1"/>
  <c r="C4431" i="1"/>
  <c r="D4431" i="1"/>
  <c r="E4431" i="1"/>
  <c r="F4431" i="1"/>
  <c r="H4431" i="1"/>
  <c r="A4432" i="1"/>
  <c r="B4432" i="1"/>
  <c r="C4432" i="1"/>
  <c r="D4432" i="1"/>
  <c r="E4432" i="1"/>
  <c r="F4432" i="1"/>
  <c r="H4432" i="1"/>
  <c r="A4433" i="1"/>
  <c r="B4433" i="1"/>
  <c r="C4433" i="1"/>
  <c r="D4433" i="1"/>
  <c r="E4433" i="1"/>
  <c r="F4433" i="1"/>
  <c r="H4433" i="1"/>
  <c r="A4434" i="1"/>
  <c r="B4434" i="1"/>
  <c r="C4434" i="1"/>
  <c r="D4434" i="1"/>
  <c r="E4434" i="1"/>
  <c r="F4434" i="1"/>
  <c r="H4434" i="1"/>
  <c r="A4435" i="1"/>
  <c r="B4435" i="1"/>
  <c r="C4435" i="1"/>
  <c r="D4435" i="1"/>
  <c r="E4435" i="1"/>
  <c r="F4435" i="1"/>
  <c r="H4435" i="1"/>
  <c r="A4436" i="1"/>
  <c r="B4436" i="1"/>
  <c r="C4436" i="1"/>
  <c r="D4436" i="1"/>
  <c r="E4436" i="1"/>
  <c r="F4436" i="1"/>
  <c r="H4436" i="1"/>
  <c r="A4437" i="1"/>
  <c r="B4437" i="1"/>
  <c r="C4437" i="1"/>
  <c r="D4437" i="1"/>
  <c r="E4437" i="1"/>
  <c r="F4437" i="1"/>
  <c r="H4437" i="1"/>
  <c r="A4438" i="1"/>
  <c r="B4438" i="1"/>
  <c r="C4438" i="1"/>
  <c r="D4438" i="1"/>
  <c r="E4438" i="1"/>
  <c r="F4438" i="1"/>
  <c r="H4438" i="1"/>
  <c r="A4439" i="1"/>
  <c r="B4439" i="1"/>
  <c r="C4439" i="1"/>
  <c r="D4439" i="1"/>
  <c r="E4439" i="1"/>
  <c r="F4439" i="1"/>
  <c r="H4439" i="1"/>
  <c r="A4440" i="1"/>
  <c r="B4440" i="1"/>
  <c r="C4440" i="1"/>
  <c r="D4440" i="1"/>
  <c r="E4440" i="1"/>
  <c r="F4440" i="1"/>
  <c r="H4440" i="1"/>
  <c r="A4441" i="1"/>
  <c r="B4441" i="1"/>
  <c r="C4441" i="1"/>
  <c r="D4441" i="1"/>
  <c r="E4441" i="1"/>
  <c r="F4441" i="1"/>
  <c r="H4441" i="1"/>
  <c r="A4442" i="1"/>
  <c r="B4442" i="1"/>
  <c r="C4442" i="1"/>
  <c r="D4442" i="1"/>
  <c r="E4442" i="1"/>
  <c r="F4442" i="1"/>
  <c r="H4442" i="1"/>
  <c r="A4443" i="1"/>
  <c r="B4443" i="1"/>
  <c r="C4443" i="1"/>
  <c r="D4443" i="1"/>
  <c r="E4443" i="1"/>
  <c r="F4443" i="1"/>
  <c r="H4443" i="1"/>
  <c r="A4444" i="1"/>
  <c r="B4444" i="1"/>
  <c r="C4444" i="1"/>
  <c r="D4444" i="1"/>
  <c r="E4444" i="1"/>
  <c r="F4444" i="1"/>
  <c r="H4444" i="1"/>
  <c r="A4445" i="1"/>
  <c r="B4445" i="1"/>
  <c r="C4445" i="1"/>
  <c r="D4445" i="1"/>
  <c r="E4445" i="1"/>
  <c r="F4445" i="1"/>
  <c r="H4445" i="1"/>
  <c r="A4446" i="1"/>
  <c r="B4446" i="1"/>
  <c r="C4446" i="1"/>
  <c r="D4446" i="1"/>
  <c r="E4446" i="1"/>
  <c r="F4446" i="1"/>
  <c r="H4446" i="1"/>
  <c r="A4447" i="1"/>
  <c r="B4447" i="1"/>
  <c r="C4447" i="1"/>
  <c r="D4447" i="1"/>
  <c r="E4447" i="1"/>
  <c r="F4447" i="1"/>
  <c r="H4447" i="1"/>
  <c r="A4448" i="1"/>
  <c r="B4448" i="1"/>
  <c r="C4448" i="1"/>
  <c r="D4448" i="1"/>
  <c r="E4448" i="1"/>
  <c r="F4448" i="1"/>
  <c r="H4448" i="1"/>
  <c r="A4449" i="1"/>
  <c r="B4449" i="1"/>
  <c r="C4449" i="1"/>
  <c r="D4449" i="1"/>
  <c r="E4449" i="1"/>
  <c r="F4449" i="1"/>
  <c r="H4449" i="1"/>
  <c r="A4450" i="1"/>
  <c r="B4450" i="1"/>
  <c r="C4450" i="1"/>
  <c r="D4450" i="1"/>
  <c r="E4450" i="1"/>
  <c r="F4450" i="1"/>
  <c r="H4450" i="1"/>
  <c r="A4451" i="1"/>
  <c r="B4451" i="1"/>
  <c r="C4451" i="1"/>
  <c r="D4451" i="1"/>
  <c r="E4451" i="1"/>
  <c r="F4451" i="1"/>
  <c r="H4451" i="1"/>
  <c r="A4452" i="1"/>
  <c r="B4452" i="1"/>
  <c r="C4452" i="1"/>
  <c r="D4452" i="1"/>
  <c r="E4452" i="1"/>
  <c r="F4452" i="1"/>
  <c r="H4452" i="1"/>
  <c r="A4453" i="1"/>
  <c r="B4453" i="1"/>
  <c r="C4453" i="1"/>
  <c r="D4453" i="1"/>
  <c r="E4453" i="1"/>
  <c r="F4453" i="1"/>
  <c r="H4453" i="1"/>
  <c r="A4454" i="1"/>
  <c r="B4454" i="1"/>
  <c r="C4454" i="1"/>
  <c r="D4454" i="1"/>
  <c r="E4454" i="1"/>
  <c r="F4454" i="1"/>
  <c r="H4454" i="1"/>
  <c r="A4455" i="1"/>
  <c r="B4455" i="1"/>
  <c r="C4455" i="1"/>
  <c r="D4455" i="1"/>
  <c r="E4455" i="1"/>
  <c r="F4455" i="1"/>
  <c r="H4455" i="1"/>
  <c r="A4456" i="1"/>
  <c r="B4456" i="1"/>
  <c r="C4456" i="1"/>
  <c r="D4456" i="1"/>
  <c r="E4456" i="1"/>
  <c r="F4456" i="1"/>
  <c r="H4456" i="1"/>
  <c r="A4457" i="1"/>
  <c r="B4457" i="1"/>
  <c r="C4457" i="1"/>
  <c r="D4457" i="1"/>
  <c r="E4457" i="1"/>
  <c r="F4457" i="1"/>
  <c r="H4457" i="1"/>
  <c r="A4458" i="1"/>
  <c r="B4458" i="1"/>
  <c r="C4458" i="1"/>
  <c r="D4458" i="1"/>
  <c r="E4458" i="1"/>
  <c r="F4458" i="1"/>
  <c r="H4458" i="1"/>
  <c r="A4459" i="1"/>
  <c r="B4459" i="1"/>
  <c r="C4459" i="1"/>
  <c r="D4459" i="1"/>
  <c r="E4459" i="1"/>
  <c r="F4459" i="1"/>
  <c r="H4459" i="1"/>
  <c r="A4460" i="1"/>
  <c r="B4460" i="1"/>
  <c r="C4460" i="1"/>
  <c r="D4460" i="1"/>
  <c r="E4460" i="1"/>
  <c r="F4460" i="1"/>
  <c r="H4460" i="1"/>
  <c r="A4461" i="1"/>
  <c r="B4461" i="1"/>
  <c r="C4461" i="1"/>
  <c r="D4461" i="1"/>
  <c r="E4461" i="1"/>
  <c r="F4461" i="1"/>
  <c r="H4461" i="1"/>
  <c r="A4462" i="1"/>
  <c r="B4462" i="1"/>
  <c r="C4462" i="1"/>
  <c r="D4462" i="1"/>
  <c r="E4462" i="1"/>
  <c r="F4462" i="1"/>
  <c r="H4462" i="1"/>
  <c r="A4463" i="1"/>
  <c r="B4463" i="1"/>
  <c r="C4463" i="1"/>
  <c r="D4463" i="1"/>
  <c r="E4463" i="1"/>
  <c r="F4463" i="1"/>
  <c r="H4463" i="1"/>
  <c r="A4464" i="1"/>
  <c r="B4464" i="1"/>
  <c r="C4464" i="1"/>
  <c r="D4464" i="1"/>
  <c r="E4464" i="1"/>
  <c r="F4464" i="1"/>
  <c r="H4464" i="1"/>
  <c r="A4465" i="1"/>
  <c r="B4465" i="1"/>
  <c r="C4465" i="1"/>
  <c r="D4465" i="1"/>
  <c r="E4465" i="1"/>
  <c r="F4465" i="1"/>
  <c r="H4465" i="1"/>
  <c r="A4466" i="1"/>
  <c r="B4466" i="1"/>
  <c r="C4466" i="1"/>
  <c r="D4466" i="1"/>
  <c r="E4466" i="1"/>
  <c r="F4466" i="1"/>
  <c r="H4466" i="1"/>
  <c r="A4467" i="1"/>
  <c r="B4467" i="1"/>
  <c r="C4467" i="1"/>
  <c r="D4467" i="1"/>
  <c r="E4467" i="1"/>
  <c r="F4467" i="1"/>
  <c r="H4467" i="1"/>
  <c r="A4468" i="1"/>
  <c r="B4468" i="1"/>
  <c r="C4468" i="1"/>
  <c r="D4468" i="1"/>
  <c r="E4468" i="1"/>
  <c r="F4468" i="1"/>
  <c r="H4468" i="1"/>
  <c r="A4469" i="1"/>
  <c r="B4469" i="1"/>
  <c r="C4469" i="1"/>
  <c r="D4469" i="1"/>
  <c r="E4469" i="1"/>
  <c r="F4469" i="1"/>
  <c r="H4469" i="1"/>
  <c r="A4470" i="1"/>
  <c r="B4470" i="1"/>
  <c r="C4470" i="1"/>
  <c r="D4470" i="1"/>
  <c r="E4470" i="1"/>
  <c r="F4470" i="1"/>
  <c r="H4470" i="1"/>
  <c r="A4471" i="1"/>
  <c r="B4471" i="1"/>
  <c r="C4471" i="1"/>
  <c r="D4471" i="1"/>
  <c r="E4471" i="1"/>
  <c r="F4471" i="1"/>
  <c r="H4471" i="1"/>
  <c r="A4472" i="1"/>
  <c r="B4472" i="1"/>
  <c r="C4472" i="1"/>
  <c r="D4472" i="1"/>
  <c r="E4472" i="1"/>
  <c r="F4472" i="1"/>
  <c r="H4472" i="1"/>
  <c r="A4473" i="1"/>
  <c r="B4473" i="1"/>
  <c r="C4473" i="1"/>
  <c r="D4473" i="1"/>
  <c r="E4473" i="1"/>
  <c r="F4473" i="1"/>
  <c r="H4473" i="1"/>
  <c r="A4474" i="1"/>
  <c r="B4474" i="1"/>
  <c r="C4474" i="1"/>
  <c r="D4474" i="1"/>
  <c r="E4474" i="1"/>
  <c r="F4474" i="1"/>
  <c r="H4474" i="1"/>
  <c r="A4475" i="1"/>
  <c r="B4475" i="1"/>
  <c r="C4475" i="1"/>
  <c r="D4475" i="1"/>
  <c r="E4475" i="1"/>
  <c r="F4475" i="1"/>
  <c r="H4475" i="1"/>
  <c r="A4476" i="1"/>
  <c r="B4476" i="1"/>
  <c r="C4476" i="1"/>
  <c r="D4476" i="1"/>
  <c r="E4476" i="1"/>
  <c r="F4476" i="1"/>
  <c r="H4476" i="1"/>
  <c r="A4477" i="1"/>
  <c r="B4477" i="1"/>
  <c r="C4477" i="1"/>
  <c r="D4477" i="1"/>
  <c r="E4477" i="1"/>
  <c r="F4477" i="1"/>
  <c r="H4477" i="1"/>
  <c r="A4478" i="1"/>
  <c r="B4478" i="1"/>
  <c r="C4478" i="1"/>
  <c r="D4478" i="1"/>
  <c r="E4478" i="1"/>
  <c r="F4478" i="1"/>
  <c r="H4478" i="1"/>
  <c r="A4479" i="1"/>
  <c r="B4479" i="1"/>
  <c r="C4479" i="1"/>
  <c r="D4479" i="1"/>
  <c r="E4479" i="1"/>
  <c r="F4479" i="1"/>
  <c r="H4479" i="1"/>
  <c r="A4480" i="1"/>
  <c r="B4480" i="1"/>
  <c r="C4480" i="1"/>
  <c r="D4480" i="1"/>
  <c r="E4480" i="1"/>
  <c r="F4480" i="1"/>
  <c r="H4480" i="1"/>
  <c r="A4481" i="1"/>
  <c r="B4481" i="1"/>
  <c r="C4481" i="1"/>
  <c r="D4481" i="1"/>
  <c r="E4481" i="1"/>
  <c r="F4481" i="1"/>
  <c r="H4481" i="1"/>
  <c r="A4482" i="1"/>
  <c r="B4482" i="1"/>
  <c r="C4482" i="1"/>
  <c r="D4482" i="1"/>
  <c r="E4482" i="1"/>
  <c r="F4482" i="1"/>
  <c r="H4482" i="1"/>
  <c r="A4483" i="1"/>
  <c r="B4483" i="1"/>
  <c r="C4483" i="1"/>
  <c r="D4483" i="1"/>
  <c r="E4483" i="1"/>
  <c r="F4483" i="1"/>
  <c r="H4483" i="1"/>
  <c r="A4484" i="1"/>
  <c r="B4484" i="1"/>
  <c r="C4484" i="1"/>
  <c r="D4484" i="1"/>
  <c r="E4484" i="1"/>
  <c r="F4484" i="1"/>
  <c r="H4484" i="1"/>
  <c r="A4485" i="1"/>
  <c r="B4485" i="1"/>
  <c r="C4485" i="1"/>
  <c r="D4485" i="1"/>
  <c r="E4485" i="1"/>
  <c r="F4485" i="1"/>
  <c r="H4485" i="1"/>
  <c r="A4486" i="1"/>
  <c r="B4486" i="1"/>
  <c r="C4486" i="1"/>
  <c r="D4486" i="1"/>
  <c r="E4486" i="1"/>
  <c r="F4486" i="1"/>
  <c r="H4486" i="1"/>
  <c r="A4487" i="1"/>
  <c r="B4487" i="1"/>
  <c r="C4487" i="1"/>
  <c r="D4487" i="1"/>
  <c r="E4487" i="1"/>
  <c r="F4487" i="1"/>
  <c r="H4487" i="1"/>
  <c r="A4488" i="1"/>
  <c r="B4488" i="1"/>
  <c r="C4488" i="1"/>
  <c r="D4488" i="1"/>
  <c r="E4488" i="1"/>
  <c r="F4488" i="1"/>
  <c r="H4488" i="1"/>
  <c r="A4489" i="1"/>
  <c r="B4489" i="1"/>
  <c r="C4489" i="1"/>
  <c r="D4489" i="1"/>
  <c r="E4489" i="1"/>
  <c r="F4489" i="1"/>
  <c r="H4489" i="1"/>
  <c r="A4490" i="1"/>
  <c r="B4490" i="1"/>
  <c r="C4490" i="1"/>
  <c r="D4490" i="1"/>
  <c r="E4490" i="1"/>
  <c r="F4490" i="1"/>
  <c r="H4490" i="1"/>
  <c r="A4491" i="1"/>
  <c r="B4491" i="1"/>
  <c r="C4491" i="1"/>
  <c r="D4491" i="1"/>
  <c r="E4491" i="1"/>
  <c r="F4491" i="1"/>
  <c r="H4491" i="1"/>
  <c r="A4492" i="1"/>
  <c r="B4492" i="1"/>
  <c r="C4492" i="1"/>
  <c r="D4492" i="1"/>
  <c r="E4492" i="1"/>
  <c r="F4492" i="1"/>
  <c r="H4492" i="1"/>
  <c r="A4493" i="1"/>
  <c r="B4493" i="1"/>
  <c r="C4493" i="1"/>
  <c r="D4493" i="1"/>
  <c r="E4493" i="1"/>
  <c r="F4493" i="1"/>
  <c r="H4493" i="1"/>
  <c r="A4494" i="1"/>
  <c r="B4494" i="1"/>
  <c r="C4494" i="1"/>
  <c r="D4494" i="1"/>
  <c r="E4494" i="1"/>
  <c r="F4494" i="1"/>
  <c r="H4494" i="1"/>
  <c r="A4495" i="1"/>
  <c r="B4495" i="1"/>
  <c r="C4495" i="1"/>
  <c r="D4495" i="1"/>
  <c r="E4495" i="1"/>
  <c r="F4495" i="1"/>
  <c r="H4495" i="1"/>
  <c r="A4496" i="1"/>
  <c r="B4496" i="1"/>
  <c r="C4496" i="1"/>
  <c r="D4496" i="1"/>
  <c r="E4496" i="1"/>
  <c r="F4496" i="1"/>
  <c r="H4496" i="1"/>
  <c r="A4497" i="1"/>
  <c r="B4497" i="1"/>
  <c r="C4497" i="1"/>
  <c r="D4497" i="1"/>
  <c r="E4497" i="1"/>
  <c r="F4497" i="1"/>
  <c r="H4497" i="1"/>
  <c r="A4498" i="1"/>
  <c r="B4498" i="1"/>
  <c r="C4498" i="1"/>
  <c r="D4498" i="1"/>
  <c r="E4498" i="1"/>
  <c r="F4498" i="1"/>
  <c r="H4498" i="1"/>
  <c r="A4499" i="1"/>
  <c r="B4499" i="1"/>
  <c r="C4499" i="1"/>
  <c r="D4499" i="1"/>
  <c r="E4499" i="1"/>
  <c r="F4499" i="1"/>
  <c r="H4499" i="1"/>
  <c r="A4500" i="1"/>
  <c r="B4500" i="1"/>
  <c r="C4500" i="1"/>
  <c r="D4500" i="1"/>
  <c r="E4500" i="1"/>
  <c r="F4500" i="1"/>
  <c r="H4500" i="1"/>
  <c r="A4501" i="1"/>
  <c r="B4501" i="1"/>
  <c r="C4501" i="1"/>
  <c r="D4501" i="1"/>
  <c r="E4501" i="1"/>
  <c r="F4501" i="1"/>
  <c r="H4501" i="1"/>
  <c r="A4502" i="1"/>
  <c r="B4502" i="1"/>
  <c r="C4502" i="1"/>
  <c r="D4502" i="1"/>
  <c r="E4502" i="1"/>
  <c r="F4502" i="1"/>
  <c r="H4502" i="1"/>
  <c r="A4503" i="1"/>
  <c r="B4503" i="1"/>
  <c r="C4503" i="1"/>
  <c r="D4503" i="1"/>
  <c r="E4503" i="1"/>
  <c r="F4503" i="1"/>
  <c r="H4503" i="1"/>
  <c r="A4504" i="1"/>
  <c r="B4504" i="1"/>
  <c r="C4504" i="1"/>
  <c r="D4504" i="1"/>
  <c r="E4504" i="1"/>
  <c r="F4504" i="1"/>
  <c r="H4504" i="1"/>
  <c r="A4505" i="1"/>
  <c r="B4505" i="1"/>
  <c r="C4505" i="1"/>
  <c r="D4505" i="1"/>
  <c r="E4505" i="1"/>
  <c r="F4505" i="1"/>
  <c r="H4505" i="1"/>
  <c r="A4506" i="1"/>
  <c r="B4506" i="1"/>
  <c r="C4506" i="1"/>
  <c r="D4506" i="1"/>
  <c r="E4506" i="1"/>
  <c r="F4506" i="1"/>
  <c r="H4506" i="1"/>
  <c r="A4507" i="1"/>
  <c r="B4507" i="1"/>
  <c r="C4507" i="1"/>
  <c r="D4507" i="1"/>
  <c r="E4507" i="1"/>
  <c r="F4507" i="1"/>
  <c r="H4507" i="1"/>
  <c r="A4508" i="1"/>
  <c r="B4508" i="1"/>
  <c r="C4508" i="1"/>
  <c r="D4508" i="1"/>
  <c r="E4508" i="1"/>
  <c r="F4508" i="1"/>
  <c r="H4508" i="1"/>
  <c r="A4509" i="1"/>
  <c r="B4509" i="1"/>
  <c r="C4509" i="1"/>
  <c r="D4509" i="1"/>
  <c r="E4509" i="1"/>
  <c r="F4509" i="1"/>
  <c r="H4509" i="1"/>
  <c r="A4510" i="1"/>
  <c r="B4510" i="1"/>
  <c r="C4510" i="1"/>
  <c r="D4510" i="1"/>
  <c r="E4510" i="1"/>
  <c r="F4510" i="1"/>
  <c r="H4510" i="1"/>
  <c r="A4511" i="1"/>
  <c r="B4511" i="1"/>
  <c r="C4511" i="1"/>
  <c r="D4511" i="1"/>
  <c r="E4511" i="1"/>
  <c r="F4511" i="1"/>
  <c r="H4511" i="1"/>
  <c r="A4512" i="1"/>
  <c r="B4512" i="1"/>
  <c r="C4512" i="1"/>
  <c r="D4512" i="1"/>
  <c r="E4512" i="1"/>
  <c r="F4512" i="1"/>
  <c r="H4512" i="1"/>
  <c r="A4513" i="1"/>
  <c r="B4513" i="1"/>
  <c r="C4513" i="1"/>
  <c r="D4513" i="1"/>
  <c r="E4513" i="1"/>
  <c r="F4513" i="1"/>
  <c r="H4513" i="1"/>
  <c r="A4514" i="1"/>
  <c r="B4514" i="1"/>
  <c r="C4514" i="1"/>
  <c r="D4514" i="1"/>
  <c r="E4514" i="1"/>
  <c r="F4514" i="1"/>
  <c r="H4514" i="1"/>
  <c r="A4515" i="1"/>
  <c r="B4515" i="1"/>
  <c r="C4515" i="1"/>
  <c r="D4515" i="1"/>
  <c r="E4515" i="1"/>
  <c r="F4515" i="1"/>
  <c r="H4515" i="1"/>
  <c r="A4516" i="1"/>
  <c r="B4516" i="1"/>
  <c r="C4516" i="1"/>
  <c r="D4516" i="1"/>
  <c r="E4516" i="1"/>
  <c r="F4516" i="1"/>
  <c r="H4516" i="1"/>
  <c r="A4517" i="1"/>
  <c r="B4517" i="1"/>
  <c r="C4517" i="1"/>
  <c r="D4517" i="1"/>
  <c r="E4517" i="1"/>
  <c r="F4517" i="1"/>
  <c r="H4517" i="1"/>
  <c r="A4518" i="1"/>
  <c r="B4518" i="1"/>
  <c r="C4518" i="1"/>
  <c r="D4518" i="1"/>
  <c r="E4518" i="1"/>
  <c r="F4518" i="1"/>
  <c r="H4518" i="1"/>
  <c r="A4519" i="1"/>
  <c r="B4519" i="1"/>
  <c r="C4519" i="1"/>
  <c r="D4519" i="1"/>
  <c r="E4519" i="1"/>
  <c r="F4519" i="1"/>
  <c r="H4519" i="1"/>
  <c r="A4520" i="1"/>
  <c r="B4520" i="1"/>
  <c r="C4520" i="1"/>
  <c r="D4520" i="1"/>
  <c r="E4520" i="1"/>
  <c r="F4520" i="1"/>
  <c r="H4520" i="1"/>
  <c r="A4521" i="1"/>
  <c r="B4521" i="1"/>
  <c r="C4521" i="1"/>
  <c r="D4521" i="1"/>
  <c r="E4521" i="1"/>
  <c r="F4521" i="1"/>
  <c r="H4521" i="1"/>
  <c r="A4522" i="1"/>
  <c r="B4522" i="1"/>
  <c r="C4522" i="1"/>
  <c r="D4522" i="1"/>
  <c r="E4522" i="1"/>
  <c r="F4522" i="1"/>
  <c r="H4522" i="1"/>
  <c r="A4523" i="1"/>
  <c r="B4523" i="1"/>
  <c r="C4523" i="1"/>
  <c r="D4523" i="1"/>
  <c r="E4523" i="1"/>
  <c r="F4523" i="1"/>
  <c r="H4523" i="1"/>
  <c r="A4524" i="1"/>
  <c r="B4524" i="1"/>
  <c r="C4524" i="1"/>
  <c r="D4524" i="1"/>
  <c r="E4524" i="1"/>
  <c r="F4524" i="1"/>
  <c r="H4524" i="1"/>
  <c r="A4525" i="1"/>
  <c r="B4525" i="1"/>
  <c r="C4525" i="1"/>
  <c r="D4525" i="1"/>
  <c r="E4525" i="1"/>
  <c r="F4525" i="1"/>
  <c r="H4525" i="1"/>
  <c r="A4526" i="1"/>
  <c r="B4526" i="1"/>
  <c r="C4526" i="1"/>
  <c r="D4526" i="1"/>
  <c r="E4526" i="1"/>
  <c r="F4526" i="1"/>
  <c r="H4526" i="1"/>
  <c r="A4527" i="1"/>
  <c r="B4527" i="1"/>
  <c r="C4527" i="1"/>
  <c r="D4527" i="1"/>
  <c r="E4527" i="1"/>
  <c r="F4527" i="1"/>
  <c r="H4527" i="1"/>
  <c r="A4528" i="1"/>
  <c r="B4528" i="1"/>
  <c r="C4528" i="1"/>
  <c r="D4528" i="1"/>
  <c r="E4528" i="1"/>
  <c r="F4528" i="1"/>
  <c r="H4528" i="1"/>
  <c r="A4529" i="1"/>
  <c r="B4529" i="1"/>
  <c r="C4529" i="1"/>
  <c r="D4529" i="1"/>
  <c r="E4529" i="1"/>
  <c r="F4529" i="1"/>
  <c r="H4529" i="1"/>
  <c r="A4530" i="1"/>
  <c r="B4530" i="1"/>
  <c r="C4530" i="1"/>
  <c r="D4530" i="1"/>
  <c r="E4530" i="1"/>
  <c r="F4530" i="1"/>
  <c r="H4530" i="1"/>
  <c r="A4531" i="1"/>
  <c r="B4531" i="1"/>
  <c r="C4531" i="1"/>
  <c r="D4531" i="1"/>
  <c r="E4531" i="1"/>
  <c r="F4531" i="1"/>
  <c r="H4531" i="1"/>
  <c r="A4532" i="1"/>
  <c r="B4532" i="1"/>
  <c r="C4532" i="1"/>
  <c r="D4532" i="1"/>
  <c r="E4532" i="1"/>
  <c r="F4532" i="1"/>
  <c r="H4532" i="1"/>
  <c r="A4533" i="1"/>
  <c r="B4533" i="1"/>
  <c r="C4533" i="1"/>
  <c r="D4533" i="1"/>
  <c r="E4533" i="1"/>
  <c r="F4533" i="1"/>
  <c r="H4533" i="1"/>
  <c r="A4534" i="1"/>
  <c r="B4534" i="1"/>
  <c r="C4534" i="1"/>
  <c r="D4534" i="1"/>
  <c r="E4534" i="1"/>
  <c r="F4534" i="1"/>
  <c r="H4534" i="1"/>
  <c r="A4535" i="1"/>
  <c r="B4535" i="1"/>
  <c r="C4535" i="1"/>
  <c r="D4535" i="1"/>
  <c r="E4535" i="1"/>
  <c r="F4535" i="1"/>
  <c r="H4535" i="1"/>
  <c r="A4536" i="1"/>
  <c r="B4536" i="1"/>
  <c r="C4536" i="1"/>
  <c r="D4536" i="1"/>
  <c r="E4536" i="1"/>
  <c r="F4536" i="1"/>
  <c r="H4536" i="1"/>
  <c r="A4537" i="1"/>
  <c r="B4537" i="1"/>
  <c r="C4537" i="1"/>
  <c r="D4537" i="1"/>
  <c r="E4537" i="1"/>
  <c r="F4537" i="1"/>
  <c r="H4537" i="1"/>
  <c r="A4538" i="1"/>
  <c r="B4538" i="1"/>
  <c r="C4538" i="1"/>
  <c r="D4538" i="1"/>
  <c r="E4538" i="1"/>
  <c r="F4538" i="1"/>
  <c r="H4538" i="1"/>
  <c r="A4539" i="1"/>
  <c r="B4539" i="1"/>
  <c r="C4539" i="1"/>
  <c r="D4539" i="1"/>
  <c r="E4539" i="1"/>
  <c r="F4539" i="1"/>
  <c r="H4539" i="1"/>
  <c r="A4540" i="1"/>
  <c r="B4540" i="1"/>
  <c r="C4540" i="1"/>
  <c r="D4540" i="1"/>
  <c r="E4540" i="1"/>
  <c r="F4540" i="1"/>
  <c r="H4540" i="1"/>
  <c r="A4541" i="1"/>
  <c r="B4541" i="1"/>
  <c r="C4541" i="1"/>
  <c r="D4541" i="1"/>
  <c r="E4541" i="1"/>
  <c r="F4541" i="1"/>
  <c r="H4541" i="1"/>
  <c r="A4542" i="1"/>
  <c r="B4542" i="1"/>
  <c r="C4542" i="1"/>
  <c r="D4542" i="1"/>
  <c r="E4542" i="1"/>
  <c r="F4542" i="1"/>
  <c r="H4542" i="1"/>
  <c r="A4543" i="1"/>
  <c r="B4543" i="1"/>
  <c r="C4543" i="1"/>
  <c r="D4543" i="1"/>
  <c r="E4543" i="1"/>
  <c r="F4543" i="1"/>
  <c r="H4543" i="1"/>
  <c r="A4544" i="1"/>
  <c r="B4544" i="1"/>
  <c r="C4544" i="1"/>
  <c r="D4544" i="1"/>
  <c r="E4544" i="1"/>
  <c r="F4544" i="1"/>
  <c r="H4544" i="1"/>
  <c r="A4545" i="1"/>
  <c r="B4545" i="1"/>
  <c r="C4545" i="1"/>
  <c r="D4545" i="1"/>
  <c r="E4545" i="1"/>
  <c r="F4545" i="1"/>
  <c r="H4545" i="1"/>
  <c r="A4546" i="1"/>
  <c r="B4546" i="1"/>
  <c r="C4546" i="1"/>
  <c r="D4546" i="1"/>
  <c r="E4546" i="1"/>
  <c r="F4546" i="1"/>
  <c r="H4546" i="1"/>
  <c r="A4547" i="1"/>
  <c r="B4547" i="1"/>
  <c r="C4547" i="1"/>
  <c r="D4547" i="1"/>
  <c r="E4547" i="1"/>
  <c r="F4547" i="1"/>
  <c r="H4547" i="1"/>
  <c r="A4548" i="1"/>
  <c r="B4548" i="1"/>
  <c r="C4548" i="1"/>
  <c r="D4548" i="1"/>
  <c r="E4548" i="1"/>
  <c r="F4548" i="1"/>
  <c r="H4548" i="1"/>
  <c r="A4549" i="1"/>
  <c r="B4549" i="1"/>
  <c r="C4549" i="1"/>
  <c r="D4549" i="1"/>
  <c r="E4549" i="1"/>
  <c r="F4549" i="1"/>
  <c r="H4549" i="1"/>
  <c r="A4550" i="1"/>
  <c r="B4550" i="1"/>
  <c r="C4550" i="1"/>
  <c r="D4550" i="1"/>
  <c r="E4550" i="1"/>
  <c r="F4550" i="1"/>
  <c r="H4550" i="1"/>
  <c r="A4551" i="1"/>
  <c r="B4551" i="1"/>
  <c r="C4551" i="1"/>
  <c r="D4551" i="1"/>
  <c r="E4551" i="1"/>
  <c r="F4551" i="1"/>
  <c r="H4551" i="1"/>
  <c r="A4552" i="1"/>
  <c r="B4552" i="1"/>
  <c r="C4552" i="1"/>
  <c r="D4552" i="1"/>
  <c r="E4552" i="1"/>
  <c r="F4552" i="1"/>
  <c r="H4552" i="1"/>
  <c r="A4553" i="1"/>
  <c r="B4553" i="1"/>
  <c r="C4553" i="1"/>
  <c r="D4553" i="1"/>
  <c r="E4553" i="1"/>
  <c r="F4553" i="1"/>
  <c r="H4553" i="1"/>
  <c r="A4554" i="1"/>
  <c r="B4554" i="1"/>
  <c r="C4554" i="1"/>
  <c r="D4554" i="1"/>
  <c r="E4554" i="1"/>
  <c r="F4554" i="1"/>
  <c r="H4554" i="1"/>
  <c r="A4555" i="1"/>
  <c r="B4555" i="1"/>
  <c r="C4555" i="1"/>
  <c r="D4555" i="1"/>
  <c r="E4555" i="1"/>
  <c r="F4555" i="1"/>
  <c r="H4555" i="1"/>
  <c r="A4556" i="1"/>
  <c r="B4556" i="1"/>
  <c r="C4556" i="1"/>
  <c r="D4556" i="1"/>
  <c r="E4556" i="1"/>
  <c r="F4556" i="1"/>
  <c r="H4556" i="1"/>
  <c r="A4557" i="1"/>
  <c r="B4557" i="1"/>
  <c r="C4557" i="1"/>
  <c r="D4557" i="1"/>
  <c r="E4557" i="1"/>
  <c r="F4557" i="1"/>
  <c r="H4557" i="1"/>
  <c r="A4558" i="1"/>
  <c r="B4558" i="1"/>
  <c r="C4558" i="1"/>
  <c r="D4558" i="1"/>
  <c r="E4558" i="1"/>
  <c r="F4558" i="1"/>
  <c r="H4558" i="1"/>
  <c r="A4559" i="1"/>
  <c r="B4559" i="1"/>
  <c r="C4559" i="1"/>
  <c r="D4559" i="1"/>
  <c r="E4559" i="1"/>
  <c r="F4559" i="1"/>
  <c r="H4559" i="1"/>
  <c r="A4560" i="1"/>
  <c r="B4560" i="1"/>
  <c r="C4560" i="1"/>
  <c r="D4560" i="1"/>
  <c r="E4560" i="1"/>
  <c r="F4560" i="1"/>
  <c r="H4560" i="1"/>
  <c r="A4561" i="1"/>
  <c r="B4561" i="1"/>
  <c r="C4561" i="1"/>
  <c r="D4561" i="1"/>
  <c r="E4561" i="1"/>
  <c r="F4561" i="1"/>
  <c r="H4561" i="1"/>
  <c r="A4562" i="1"/>
  <c r="B4562" i="1"/>
  <c r="C4562" i="1"/>
  <c r="D4562" i="1"/>
  <c r="E4562" i="1"/>
  <c r="F4562" i="1"/>
  <c r="H4562" i="1"/>
  <c r="A4563" i="1"/>
  <c r="B4563" i="1"/>
  <c r="C4563" i="1"/>
  <c r="D4563" i="1"/>
  <c r="E4563" i="1"/>
  <c r="F4563" i="1"/>
  <c r="H4563" i="1"/>
  <c r="A4564" i="1"/>
  <c r="B4564" i="1"/>
  <c r="C4564" i="1"/>
  <c r="D4564" i="1"/>
  <c r="E4564" i="1"/>
  <c r="F4564" i="1"/>
  <c r="H4564" i="1"/>
  <c r="A4565" i="1"/>
  <c r="B4565" i="1"/>
  <c r="C4565" i="1"/>
  <c r="D4565" i="1"/>
  <c r="E4565" i="1"/>
  <c r="F4565" i="1"/>
  <c r="H4565" i="1"/>
  <c r="A4566" i="1"/>
  <c r="B4566" i="1"/>
  <c r="C4566" i="1"/>
  <c r="D4566" i="1"/>
  <c r="E4566" i="1"/>
  <c r="F4566" i="1"/>
  <c r="H4566" i="1"/>
  <c r="A4567" i="1"/>
  <c r="B4567" i="1"/>
  <c r="C4567" i="1"/>
  <c r="D4567" i="1"/>
  <c r="E4567" i="1"/>
  <c r="F4567" i="1"/>
  <c r="H4567" i="1"/>
  <c r="A4568" i="1"/>
  <c r="B4568" i="1"/>
  <c r="C4568" i="1"/>
  <c r="D4568" i="1"/>
  <c r="E4568" i="1"/>
  <c r="F4568" i="1"/>
  <c r="H4568" i="1"/>
  <c r="A4569" i="1"/>
  <c r="B4569" i="1"/>
  <c r="C4569" i="1"/>
  <c r="D4569" i="1"/>
  <c r="E4569" i="1"/>
  <c r="F4569" i="1"/>
  <c r="H4569" i="1"/>
  <c r="A4570" i="1"/>
  <c r="B4570" i="1"/>
  <c r="C4570" i="1"/>
  <c r="D4570" i="1"/>
  <c r="E4570" i="1"/>
  <c r="F4570" i="1"/>
  <c r="H4570" i="1"/>
  <c r="A4571" i="1"/>
  <c r="B4571" i="1"/>
  <c r="C4571" i="1"/>
  <c r="D4571" i="1"/>
  <c r="E4571" i="1"/>
  <c r="F4571" i="1"/>
  <c r="H4571" i="1"/>
  <c r="A4572" i="1"/>
  <c r="B4572" i="1"/>
  <c r="C4572" i="1"/>
  <c r="D4572" i="1"/>
  <c r="E4572" i="1"/>
  <c r="F4572" i="1"/>
  <c r="H4572" i="1"/>
  <c r="A4573" i="1"/>
  <c r="B4573" i="1"/>
  <c r="C4573" i="1"/>
  <c r="D4573" i="1"/>
  <c r="E4573" i="1"/>
  <c r="F4573" i="1"/>
  <c r="H4573" i="1"/>
  <c r="A4574" i="1"/>
  <c r="B4574" i="1"/>
  <c r="C4574" i="1"/>
  <c r="D4574" i="1"/>
  <c r="E4574" i="1"/>
  <c r="F4574" i="1"/>
  <c r="H4574" i="1"/>
  <c r="A4575" i="1"/>
  <c r="B4575" i="1"/>
  <c r="C4575" i="1"/>
  <c r="D4575" i="1"/>
  <c r="E4575" i="1"/>
  <c r="F4575" i="1"/>
  <c r="H4575" i="1"/>
  <c r="A4576" i="1"/>
  <c r="B4576" i="1"/>
  <c r="C4576" i="1"/>
  <c r="D4576" i="1"/>
  <c r="E4576" i="1"/>
  <c r="F4576" i="1"/>
  <c r="H4576" i="1"/>
  <c r="A4577" i="1"/>
  <c r="B4577" i="1"/>
  <c r="C4577" i="1"/>
  <c r="D4577" i="1"/>
  <c r="E4577" i="1"/>
  <c r="F4577" i="1"/>
  <c r="H4577" i="1"/>
  <c r="A4578" i="1"/>
  <c r="B4578" i="1"/>
  <c r="C4578" i="1"/>
  <c r="D4578" i="1"/>
  <c r="E4578" i="1"/>
  <c r="F4578" i="1"/>
  <c r="H4578" i="1"/>
  <c r="A4579" i="1"/>
  <c r="B4579" i="1"/>
  <c r="C4579" i="1"/>
  <c r="D4579" i="1"/>
  <c r="E4579" i="1"/>
  <c r="F4579" i="1"/>
  <c r="H4579" i="1"/>
  <c r="A4580" i="1"/>
  <c r="B4580" i="1"/>
  <c r="C4580" i="1"/>
  <c r="D4580" i="1"/>
  <c r="E4580" i="1"/>
  <c r="F4580" i="1"/>
  <c r="H4580" i="1"/>
  <c r="A4581" i="1"/>
  <c r="B4581" i="1"/>
  <c r="C4581" i="1"/>
  <c r="D4581" i="1"/>
  <c r="E4581" i="1"/>
  <c r="F4581" i="1"/>
  <c r="H4581" i="1"/>
  <c r="A4582" i="1"/>
  <c r="B4582" i="1"/>
  <c r="C4582" i="1"/>
  <c r="D4582" i="1"/>
  <c r="E4582" i="1"/>
  <c r="F4582" i="1"/>
  <c r="H4582" i="1"/>
  <c r="A4583" i="1"/>
  <c r="B4583" i="1"/>
  <c r="C4583" i="1"/>
  <c r="D4583" i="1"/>
  <c r="E4583" i="1"/>
  <c r="F4583" i="1"/>
  <c r="H4583" i="1"/>
  <c r="A4584" i="1"/>
  <c r="B4584" i="1"/>
  <c r="C4584" i="1"/>
  <c r="D4584" i="1"/>
  <c r="E4584" i="1"/>
  <c r="F4584" i="1"/>
  <c r="H4584" i="1"/>
  <c r="A4585" i="1"/>
  <c r="B4585" i="1"/>
  <c r="C4585" i="1"/>
  <c r="D4585" i="1"/>
  <c r="E4585" i="1"/>
  <c r="F4585" i="1"/>
  <c r="H4585" i="1"/>
  <c r="A4586" i="1"/>
  <c r="B4586" i="1"/>
  <c r="C4586" i="1"/>
  <c r="D4586" i="1"/>
  <c r="E4586" i="1"/>
  <c r="F4586" i="1"/>
  <c r="H4586" i="1"/>
  <c r="A4587" i="1"/>
  <c r="B4587" i="1"/>
  <c r="C4587" i="1"/>
  <c r="D4587" i="1"/>
  <c r="E4587" i="1"/>
  <c r="F4587" i="1"/>
  <c r="H4587" i="1"/>
  <c r="A4588" i="1"/>
  <c r="B4588" i="1"/>
  <c r="C4588" i="1"/>
  <c r="D4588" i="1"/>
  <c r="E4588" i="1"/>
  <c r="F4588" i="1"/>
  <c r="H4588" i="1"/>
  <c r="A4589" i="1"/>
  <c r="B4589" i="1"/>
  <c r="C4589" i="1"/>
  <c r="D4589" i="1"/>
  <c r="E4589" i="1"/>
  <c r="F4589" i="1"/>
  <c r="H4589" i="1"/>
  <c r="A4590" i="1"/>
  <c r="B4590" i="1"/>
  <c r="C4590" i="1"/>
  <c r="D4590" i="1"/>
  <c r="E4590" i="1"/>
  <c r="F4590" i="1"/>
  <c r="H4590" i="1"/>
  <c r="A4591" i="1"/>
  <c r="B4591" i="1"/>
  <c r="C4591" i="1"/>
  <c r="D4591" i="1"/>
  <c r="E4591" i="1"/>
  <c r="F4591" i="1"/>
  <c r="H4591" i="1"/>
  <c r="A4592" i="1"/>
  <c r="B4592" i="1"/>
  <c r="C4592" i="1"/>
  <c r="D4592" i="1"/>
  <c r="E4592" i="1"/>
  <c r="F4592" i="1"/>
  <c r="H4592" i="1"/>
  <c r="A4593" i="1"/>
  <c r="B4593" i="1"/>
  <c r="C4593" i="1"/>
  <c r="D4593" i="1"/>
  <c r="E4593" i="1"/>
  <c r="F4593" i="1"/>
  <c r="H4593" i="1"/>
  <c r="A4594" i="1"/>
  <c r="B4594" i="1"/>
  <c r="C4594" i="1"/>
  <c r="D4594" i="1"/>
  <c r="E4594" i="1"/>
  <c r="F4594" i="1"/>
  <c r="H4594" i="1"/>
  <c r="A4595" i="1"/>
  <c r="B4595" i="1"/>
  <c r="C4595" i="1"/>
  <c r="D4595" i="1"/>
  <c r="E4595" i="1"/>
  <c r="F4595" i="1"/>
  <c r="H4595" i="1"/>
  <c r="A4596" i="1"/>
  <c r="B4596" i="1"/>
  <c r="C4596" i="1"/>
  <c r="D4596" i="1"/>
  <c r="E4596" i="1"/>
  <c r="F4596" i="1"/>
  <c r="H4596" i="1"/>
  <c r="A4597" i="1"/>
  <c r="B4597" i="1"/>
  <c r="C4597" i="1"/>
  <c r="D4597" i="1"/>
  <c r="E4597" i="1"/>
  <c r="F4597" i="1"/>
  <c r="H4597" i="1"/>
  <c r="A4598" i="1"/>
  <c r="B4598" i="1"/>
  <c r="C4598" i="1"/>
  <c r="D4598" i="1"/>
  <c r="E4598" i="1"/>
  <c r="F4598" i="1"/>
  <c r="H4598" i="1"/>
  <c r="A4599" i="1"/>
  <c r="B4599" i="1"/>
  <c r="C4599" i="1"/>
  <c r="D4599" i="1"/>
  <c r="E4599" i="1"/>
  <c r="F4599" i="1"/>
  <c r="H4599" i="1"/>
  <c r="A4600" i="1"/>
  <c r="B4600" i="1"/>
  <c r="C4600" i="1"/>
  <c r="D4600" i="1"/>
  <c r="E4600" i="1"/>
  <c r="F4600" i="1"/>
  <c r="H4600" i="1"/>
  <c r="A4601" i="1"/>
  <c r="B4601" i="1"/>
  <c r="C4601" i="1"/>
  <c r="D4601" i="1"/>
  <c r="E4601" i="1"/>
  <c r="F4601" i="1"/>
  <c r="H4601" i="1"/>
  <c r="A4602" i="1"/>
  <c r="B4602" i="1"/>
  <c r="C4602" i="1"/>
  <c r="D4602" i="1"/>
  <c r="E4602" i="1"/>
  <c r="F4602" i="1"/>
  <c r="H4602" i="1"/>
  <c r="A4603" i="1"/>
  <c r="B4603" i="1"/>
  <c r="C4603" i="1"/>
  <c r="D4603" i="1"/>
  <c r="E4603" i="1"/>
  <c r="F4603" i="1"/>
  <c r="H4603" i="1"/>
  <c r="A4604" i="1"/>
  <c r="B4604" i="1"/>
  <c r="C4604" i="1"/>
  <c r="D4604" i="1"/>
  <c r="E4604" i="1"/>
  <c r="F4604" i="1"/>
  <c r="H4604" i="1"/>
  <c r="A4605" i="1"/>
  <c r="B4605" i="1"/>
  <c r="C4605" i="1"/>
  <c r="D4605" i="1"/>
  <c r="E4605" i="1"/>
  <c r="F4605" i="1"/>
  <c r="H4605" i="1"/>
  <c r="A4606" i="1"/>
  <c r="B4606" i="1"/>
  <c r="C4606" i="1"/>
  <c r="D4606" i="1"/>
  <c r="E4606" i="1"/>
  <c r="F4606" i="1"/>
  <c r="H4606" i="1"/>
  <c r="A4607" i="1"/>
  <c r="B4607" i="1"/>
  <c r="C4607" i="1"/>
  <c r="D4607" i="1"/>
  <c r="E4607" i="1"/>
  <c r="F4607" i="1"/>
  <c r="H4607" i="1"/>
  <c r="A4608" i="1"/>
  <c r="B4608" i="1"/>
  <c r="C4608" i="1"/>
  <c r="D4608" i="1"/>
  <c r="E4608" i="1"/>
  <c r="F4608" i="1"/>
  <c r="H4608" i="1"/>
  <c r="A4609" i="1"/>
  <c r="B4609" i="1"/>
  <c r="C4609" i="1"/>
  <c r="D4609" i="1"/>
  <c r="E4609" i="1"/>
  <c r="F4609" i="1"/>
  <c r="H4609" i="1"/>
  <c r="A4610" i="1"/>
  <c r="B4610" i="1"/>
  <c r="C4610" i="1"/>
  <c r="D4610" i="1"/>
  <c r="E4610" i="1"/>
  <c r="F4610" i="1"/>
  <c r="H4610" i="1"/>
  <c r="A4611" i="1"/>
  <c r="B4611" i="1"/>
  <c r="C4611" i="1"/>
  <c r="D4611" i="1"/>
  <c r="E4611" i="1"/>
  <c r="F4611" i="1"/>
  <c r="H4611" i="1"/>
  <c r="A4612" i="1"/>
  <c r="B4612" i="1"/>
  <c r="C4612" i="1"/>
  <c r="D4612" i="1"/>
  <c r="E4612" i="1"/>
  <c r="F4612" i="1"/>
  <c r="H4612" i="1"/>
  <c r="A4613" i="1"/>
  <c r="B4613" i="1"/>
  <c r="C4613" i="1"/>
  <c r="D4613" i="1"/>
  <c r="E4613" i="1"/>
  <c r="F4613" i="1"/>
  <c r="H4613" i="1"/>
  <c r="A4614" i="1"/>
  <c r="B4614" i="1"/>
  <c r="C4614" i="1"/>
  <c r="D4614" i="1"/>
  <c r="E4614" i="1"/>
  <c r="F4614" i="1"/>
  <c r="H4614" i="1"/>
  <c r="A4615" i="1"/>
  <c r="B4615" i="1"/>
  <c r="C4615" i="1"/>
  <c r="D4615" i="1"/>
  <c r="E4615" i="1"/>
  <c r="F4615" i="1"/>
  <c r="H4615" i="1"/>
  <c r="A4616" i="1"/>
  <c r="B4616" i="1"/>
  <c r="C4616" i="1"/>
  <c r="D4616" i="1"/>
  <c r="E4616" i="1"/>
  <c r="F4616" i="1"/>
  <c r="H4616" i="1"/>
  <c r="A4617" i="1"/>
  <c r="B4617" i="1"/>
  <c r="C4617" i="1"/>
  <c r="D4617" i="1"/>
  <c r="E4617" i="1"/>
  <c r="F4617" i="1"/>
  <c r="H4617" i="1"/>
  <c r="A4618" i="1"/>
  <c r="B4618" i="1"/>
  <c r="C4618" i="1"/>
  <c r="D4618" i="1"/>
  <c r="E4618" i="1"/>
  <c r="F4618" i="1"/>
  <c r="H4618" i="1"/>
  <c r="A4619" i="1"/>
  <c r="B4619" i="1"/>
  <c r="C4619" i="1"/>
  <c r="D4619" i="1"/>
  <c r="E4619" i="1"/>
  <c r="F4619" i="1"/>
  <c r="H4619" i="1"/>
  <c r="A4620" i="1"/>
  <c r="B4620" i="1"/>
  <c r="C4620" i="1"/>
  <c r="D4620" i="1"/>
  <c r="E4620" i="1"/>
  <c r="F4620" i="1"/>
  <c r="H4620" i="1"/>
  <c r="A4621" i="1"/>
  <c r="B4621" i="1"/>
  <c r="C4621" i="1"/>
  <c r="D4621" i="1"/>
  <c r="E4621" i="1"/>
  <c r="F4621" i="1"/>
  <c r="H4621" i="1"/>
  <c r="A4622" i="1"/>
  <c r="B4622" i="1"/>
  <c r="C4622" i="1"/>
  <c r="D4622" i="1"/>
  <c r="E4622" i="1"/>
  <c r="F4622" i="1"/>
  <c r="H4622" i="1"/>
  <c r="A4623" i="1"/>
  <c r="B4623" i="1"/>
  <c r="C4623" i="1"/>
  <c r="D4623" i="1"/>
  <c r="E4623" i="1"/>
  <c r="F4623" i="1"/>
  <c r="H4623" i="1"/>
  <c r="A4624" i="1"/>
  <c r="B4624" i="1"/>
  <c r="C4624" i="1"/>
  <c r="D4624" i="1"/>
  <c r="E4624" i="1"/>
  <c r="F4624" i="1"/>
  <c r="H4624" i="1"/>
  <c r="A4625" i="1"/>
  <c r="B4625" i="1"/>
  <c r="C4625" i="1"/>
  <c r="D4625" i="1"/>
  <c r="E4625" i="1"/>
  <c r="F4625" i="1"/>
  <c r="H4625" i="1"/>
  <c r="A4626" i="1"/>
  <c r="B4626" i="1"/>
  <c r="C4626" i="1"/>
  <c r="D4626" i="1"/>
  <c r="E4626" i="1"/>
  <c r="F4626" i="1"/>
  <c r="H4626" i="1"/>
  <c r="A4627" i="1"/>
  <c r="B4627" i="1"/>
  <c r="C4627" i="1"/>
  <c r="D4627" i="1"/>
  <c r="E4627" i="1"/>
  <c r="F4627" i="1"/>
  <c r="H4627" i="1"/>
  <c r="A4628" i="1"/>
  <c r="B4628" i="1"/>
  <c r="C4628" i="1"/>
  <c r="D4628" i="1"/>
  <c r="E4628" i="1"/>
  <c r="F4628" i="1"/>
  <c r="H4628" i="1"/>
  <c r="A4629" i="1"/>
  <c r="B4629" i="1"/>
  <c r="C4629" i="1"/>
  <c r="D4629" i="1"/>
  <c r="E4629" i="1"/>
  <c r="F4629" i="1"/>
  <c r="H4629" i="1"/>
  <c r="A4630" i="1"/>
  <c r="B4630" i="1"/>
  <c r="C4630" i="1"/>
  <c r="D4630" i="1"/>
  <c r="E4630" i="1"/>
  <c r="F4630" i="1"/>
  <c r="H4630" i="1"/>
  <c r="A4631" i="1"/>
  <c r="B4631" i="1"/>
  <c r="C4631" i="1"/>
  <c r="D4631" i="1"/>
  <c r="E4631" i="1"/>
  <c r="F4631" i="1"/>
  <c r="H4631" i="1"/>
  <c r="A4632" i="1"/>
  <c r="B4632" i="1"/>
  <c r="C4632" i="1"/>
  <c r="D4632" i="1"/>
  <c r="E4632" i="1"/>
  <c r="F4632" i="1"/>
  <c r="H4632" i="1"/>
  <c r="A4633" i="1"/>
  <c r="B4633" i="1"/>
  <c r="C4633" i="1"/>
  <c r="D4633" i="1"/>
  <c r="E4633" i="1"/>
  <c r="F4633" i="1"/>
  <c r="H4633" i="1"/>
  <c r="A4634" i="1"/>
  <c r="B4634" i="1"/>
  <c r="C4634" i="1"/>
  <c r="D4634" i="1"/>
  <c r="E4634" i="1"/>
  <c r="F4634" i="1"/>
  <c r="H4634" i="1"/>
  <c r="A4635" i="1"/>
  <c r="B4635" i="1"/>
  <c r="C4635" i="1"/>
  <c r="D4635" i="1"/>
  <c r="E4635" i="1"/>
  <c r="F4635" i="1"/>
  <c r="H4635" i="1"/>
  <c r="A4636" i="1"/>
  <c r="B4636" i="1"/>
  <c r="C4636" i="1"/>
  <c r="D4636" i="1"/>
  <c r="E4636" i="1"/>
  <c r="F4636" i="1"/>
  <c r="H4636" i="1"/>
  <c r="A4637" i="1"/>
  <c r="B4637" i="1"/>
  <c r="C4637" i="1"/>
  <c r="D4637" i="1"/>
  <c r="E4637" i="1"/>
  <c r="F4637" i="1"/>
  <c r="H4637" i="1"/>
  <c r="A4638" i="1"/>
  <c r="B4638" i="1"/>
  <c r="C4638" i="1"/>
  <c r="D4638" i="1"/>
  <c r="E4638" i="1"/>
  <c r="F4638" i="1"/>
  <c r="H4638" i="1"/>
  <c r="A4639" i="1"/>
  <c r="B4639" i="1"/>
  <c r="C4639" i="1"/>
  <c r="D4639" i="1"/>
  <c r="E4639" i="1"/>
  <c r="F4639" i="1"/>
  <c r="H4639" i="1"/>
  <c r="A4640" i="1"/>
  <c r="B4640" i="1"/>
  <c r="C4640" i="1"/>
  <c r="D4640" i="1"/>
  <c r="E4640" i="1"/>
  <c r="F4640" i="1"/>
  <c r="H4640" i="1"/>
  <c r="A4641" i="1"/>
  <c r="B4641" i="1"/>
  <c r="C4641" i="1"/>
  <c r="D4641" i="1"/>
  <c r="E4641" i="1"/>
  <c r="F4641" i="1"/>
  <c r="H4641" i="1"/>
  <c r="A4642" i="1"/>
  <c r="B4642" i="1"/>
  <c r="C4642" i="1"/>
  <c r="D4642" i="1"/>
  <c r="E4642" i="1"/>
  <c r="F4642" i="1"/>
  <c r="H4642" i="1"/>
  <c r="A4643" i="1"/>
  <c r="B4643" i="1"/>
  <c r="C4643" i="1"/>
  <c r="D4643" i="1"/>
  <c r="E4643" i="1"/>
  <c r="F4643" i="1"/>
  <c r="H4643" i="1"/>
  <c r="A4644" i="1"/>
  <c r="B4644" i="1"/>
  <c r="C4644" i="1"/>
  <c r="D4644" i="1"/>
  <c r="E4644" i="1"/>
  <c r="F4644" i="1"/>
  <c r="H4644" i="1"/>
  <c r="A4645" i="1"/>
  <c r="B4645" i="1"/>
  <c r="C4645" i="1"/>
  <c r="D4645" i="1"/>
  <c r="E4645" i="1"/>
  <c r="F4645" i="1"/>
  <c r="H4645" i="1"/>
  <c r="A4646" i="1"/>
  <c r="B4646" i="1"/>
  <c r="C4646" i="1"/>
  <c r="D4646" i="1"/>
  <c r="E4646" i="1"/>
  <c r="F4646" i="1"/>
  <c r="H4646" i="1"/>
  <c r="A4647" i="1"/>
  <c r="B4647" i="1"/>
  <c r="C4647" i="1"/>
  <c r="D4647" i="1"/>
  <c r="E4647" i="1"/>
  <c r="F4647" i="1"/>
  <c r="H4647" i="1"/>
  <c r="A4648" i="1"/>
  <c r="B4648" i="1"/>
  <c r="C4648" i="1"/>
  <c r="D4648" i="1"/>
  <c r="E4648" i="1"/>
  <c r="F4648" i="1"/>
  <c r="H4648" i="1"/>
  <c r="A4649" i="1"/>
  <c r="B4649" i="1"/>
  <c r="C4649" i="1"/>
  <c r="D4649" i="1"/>
  <c r="E4649" i="1"/>
  <c r="F4649" i="1"/>
  <c r="H4649" i="1"/>
  <c r="A4650" i="1"/>
  <c r="B4650" i="1"/>
  <c r="C4650" i="1"/>
  <c r="D4650" i="1"/>
  <c r="E4650" i="1"/>
  <c r="F4650" i="1"/>
  <c r="H4650" i="1"/>
  <c r="A4651" i="1"/>
  <c r="B4651" i="1"/>
  <c r="C4651" i="1"/>
  <c r="D4651" i="1"/>
  <c r="E4651" i="1"/>
  <c r="F4651" i="1"/>
  <c r="H4651" i="1"/>
  <c r="A4652" i="1"/>
  <c r="B4652" i="1"/>
  <c r="C4652" i="1"/>
  <c r="D4652" i="1"/>
  <c r="E4652" i="1"/>
  <c r="F4652" i="1"/>
  <c r="H4652" i="1"/>
  <c r="A4653" i="1"/>
  <c r="B4653" i="1"/>
  <c r="C4653" i="1"/>
  <c r="D4653" i="1"/>
  <c r="E4653" i="1"/>
  <c r="F4653" i="1"/>
  <c r="H4653" i="1"/>
  <c r="A4654" i="1"/>
  <c r="B4654" i="1"/>
  <c r="C4654" i="1"/>
  <c r="D4654" i="1"/>
  <c r="E4654" i="1"/>
  <c r="F4654" i="1"/>
  <c r="H4654" i="1"/>
  <c r="A4655" i="1"/>
  <c r="B4655" i="1"/>
  <c r="C4655" i="1"/>
  <c r="D4655" i="1"/>
  <c r="E4655" i="1"/>
  <c r="F4655" i="1"/>
  <c r="H4655" i="1"/>
  <c r="A4656" i="1"/>
  <c r="B4656" i="1"/>
  <c r="C4656" i="1"/>
  <c r="D4656" i="1"/>
  <c r="E4656" i="1"/>
  <c r="F4656" i="1"/>
  <c r="H4656" i="1"/>
  <c r="A4657" i="1"/>
  <c r="B4657" i="1"/>
  <c r="C4657" i="1"/>
  <c r="D4657" i="1"/>
  <c r="E4657" i="1"/>
  <c r="F4657" i="1"/>
  <c r="H4657" i="1"/>
  <c r="A4658" i="1"/>
  <c r="B4658" i="1"/>
  <c r="C4658" i="1"/>
  <c r="D4658" i="1"/>
  <c r="E4658" i="1"/>
  <c r="F4658" i="1"/>
  <c r="H4658" i="1"/>
  <c r="A4659" i="1"/>
  <c r="B4659" i="1"/>
  <c r="C4659" i="1"/>
  <c r="D4659" i="1"/>
  <c r="E4659" i="1"/>
  <c r="F4659" i="1"/>
  <c r="H4659" i="1"/>
  <c r="A4660" i="1"/>
  <c r="B4660" i="1"/>
  <c r="C4660" i="1"/>
  <c r="D4660" i="1"/>
  <c r="E4660" i="1"/>
  <c r="F4660" i="1"/>
  <c r="H4660" i="1"/>
  <c r="A4661" i="1"/>
  <c r="B4661" i="1"/>
  <c r="C4661" i="1"/>
  <c r="D4661" i="1"/>
  <c r="E4661" i="1"/>
  <c r="F4661" i="1"/>
  <c r="H4661" i="1"/>
  <c r="A4662" i="1"/>
  <c r="B4662" i="1"/>
  <c r="C4662" i="1"/>
  <c r="D4662" i="1"/>
  <c r="E4662" i="1"/>
  <c r="F4662" i="1"/>
  <c r="H4662" i="1"/>
  <c r="A4663" i="1"/>
  <c r="B4663" i="1"/>
  <c r="C4663" i="1"/>
  <c r="D4663" i="1"/>
  <c r="E4663" i="1"/>
  <c r="F4663" i="1"/>
  <c r="H4663" i="1"/>
  <c r="A4664" i="1"/>
  <c r="B4664" i="1"/>
  <c r="C4664" i="1"/>
  <c r="D4664" i="1"/>
  <c r="E4664" i="1"/>
  <c r="F4664" i="1"/>
  <c r="H4664" i="1"/>
  <c r="A4665" i="1"/>
  <c r="B4665" i="1"/>
  <c r="C4665" i="1"/>
  <c r="D4665" i="1"/>
  <c r="E4665" i="1"/>
  <c r="F4665" i="1"/>
  <c r="H4665" i="1"/>
  <c r="A4666" i="1"/>
  <c r="B4666" i="1"/>
  <c r="C4666" i="1"/>
  <c r="D4666" i="1"/>
  <c r="E4666" i="1"/>
  <c r="F4666" i="1"/>
  <c r="H4666" i="1"/>
  <c r="A4667" i="1"/>
  <c r="B4667" i="1"/>
  <c r="C4667" i="1"/>
  <c r="D4667" i="1"/>
  <c r="E4667" i="1"/>
  <c r="F4667" i="1"/>
  <c r="H4667" i="1"/>
  <c r="A4668" i="1"/>
  <c r="B4668" i="1"/>
  <c r="C4668" i="1"/>
  <c r="D4668" i="1"/>
  <c r="E4668" i="1"/>
  <c r="F4668" i="1"/>
  <c r="H4668" i="1"/>
  <c r="A4669" i="1"/>
  <c r="B4669" i="1"/>
  <c r="C4669" i="1"/>
  <c r="D4669" i="1"/>
  <c r="E4669" i="1"/>
  <c r="F4669" i="1"/>
  <c r="H4669" i="1"/>
  <c r="A4670" i="1"/>
  <c r="B4670" i="1"/>
  <c r="C4670" i="1"/>
  <c r="D4670" i="1"/>
  <c r="E4670" i="1"/>
  <c r="F4670" i="1"/>
  <c r="H4670" i="1"/>
  <c r="A4671" i="1"/>
  <c r="B4671" i="1"/>
  <c r="C4671" i="1"/>
  <c r="D4671" i="1"/>
  <c r="E4671" i="1"/>
  <c r="F4671" i="1"/>
  <c r="H4671" i="1"/>
  <c r="A4672" i="1"/>
  <c r="B4672" i="1"/>
  <c r="C4672" i="1"/>
  <c r="D4672" i="1"/>
  <c r="E4672" i="1"/>
  <c r="F4672" i="1"/>
  <c r="H4672" i="1"/>
  <c r="A4673" i="1"/>
  <c r="B4673" i="1"/>
  <c r="C4673" i="1"/>
  <c r="D4673" i="1"/>
  <c r="E4673" i="1"/>
  <c r="F4673" i="1"/>
  <c r="H4673" i="1"/>
  <c r="A4674" i="1"/>
  <c r="B4674" i="1"/>
  <c r="C4674" i="1"/>
  <c r="D4674" i="1"/>
  <c r="E4674" i="1"/>
  <c r="F4674" i="1"/>
  <c r="H4674" i="1"/>
  <c r="A4675" i="1"/>
  <c r="B4675" i="1"/>
  <c r="C4675" i="1"/>
  <c r="D4675" i="1"/>
  <c r="E4675" i="1"/>
  <c r="F4675" i="1"/>
  <c r="H4675" i="1"/>
  <c r="A4676" i="1"/>
  <c r="B4676" i="1"/>
  <c r="C4676" i="1"/>
  <c r="D4676" i="1"/>
  <c r="E4676" i="1"/>
  <c r="F4676" i="1"/>
  <c r="H4676" i="1"/>
  <c r="A4677" i="1"/>
  <c r="B4677" i="1"/>
  <c r="C4677" i="1"/>
  <c r="D4677" i="1"/>
  <c r="E4677" i="1"/>
  <c r="F4677" i="1"/>
  <c r="H4677" i="1"/>
  <c r="A4678" i="1"/>
  <c r="B4678" i="1"/>
  <c r="C4678" i="1"/>
  <c r="D4678" i="1"/>
  <c r="E4678" i="1"/>
  <c r="F4678" i="1"/>
  <c r="H4678" i="1"/>
  <c r="A4679" i="1"/>
  <c r="B4679" i="1"/>
  <c r="C4679" i="1"/>
  <c r="D4679" i="1"/>
  <c r="E4679" i="1"/>
  <c r="F4679" i="1"/>
  <c r="H4679" i="1"/>
  <c r="A4680" i="1"/>
  <c r="B4680" i="1"/>
  <c r="C4680" i="1"/>
  <c r="D4680" i="1"/>
  <c r="E4680" i="1"/>
  <c r="F4680" i="1"/>
  <c r="H4680" i="1"/>
  <c r="A4681" i="1"/>
  <c r="B4681" i="1"/>
  <c r="C4681" i="1"/>
  <c r="D4681" i="1"/>
  <c r="E4681" i="1"/>
  <c r="F4681" i="1"/>
  <c r="H4681" i="1"/>
  <c r="A4682" i="1"/>
  <c r="B4682" i="1"/>
  <c r="C4682" i="1"/>
  <c r="D4682" i="1"/>
  <c r="E4682" i="1"/>
  <c r="F4682" i="1"/>
  <c r="H4682" i="1"/>
  <c r="A4683" i="1"/>
  <c r="B4683" i="1"/>
  <c r="C4683" i="1"/>
  <c r="D4683" i="1"/>
  <c r="E4683" i="1"/>
  <c r="F4683" i="1"/>
  <c r="H4683" i="1"/>
  <c r="A4684" i="1"/>
  <c r="B4684" i="1"/>
  <c r="C4684" i="1"/>
  <c r="D4684" i="1"/>
  <c r="E4684" i="1"/>
  <c r="F4684" i="1"/>
  <c r="H4684" i="1"/>
  <c r="A4685" i="1"/>
  <c r="B4685" i="1"/>
  <c r="C4685" i="1"/>
  <c r="D4685" i="1"/>
  <c r="E4685" i="1"/>
  <c r="F4685" i="1"/>
  <c r="H4685" i="1"/>
  <c r="A4686" i="1"/>
  <c r="B4686" i="1"/>
  <c r="C4686" i="1"/>
  <c r="D4686" i="1"/>
  <c r="E4686" i="1"/>
  <c r="F4686" i="1"/>
  <c r="H4686" i="1"/>
  <c r="A4687" i="1"/>
  <c r="B4687" i="1"/>
  <c r="C4687" i="1"/>
  <c r="D4687" i="1"/>
  <c r="E4687" i="1"/>
  <c r="F4687" i="1"/>
  <c r="H4687" i="1"/>
  <c r="A4688" i="1"/>
  <c r="B4688" i="1"/>
  <c r="C4688" i="1"/>
  <c r="D4688" i="1"/>
  <c r="E4688" i="1"/>
  <c r="F4688" i="1"/>
  <c r="H4688" i="1"/>
  <c r="A4689" i="1"/>
  <c r="B4689" i="1"/>
  <c r="C4689" i="1"/>
  <c r="D4689" i="1"/>
  <c r="E4689" i="1"/>
  <c r="F4689" i="1"/>
  <c r="H4689" i="1"/>
  <c r="A4690" i="1"/>
  <c r="B4690" i="1"/>
  <c r="C4690" i="1"/>
  <c r="D4690" i="1"/>
  <c r="E4690" i="1"/>
  <c r="F4690" i="1"/>
  <c r="H4690" i="1"/>
  <c r="A4691" i="1"/>
  <c r="B4691" i="1"/>
  <c r="C4691" i="1"/>
  <c r="D4691" i="1"/>
  <c r="E4691" i="1"/>
  <c r="F4691" i="1"/>
  <c r="H4691" i="1"/>
  <c r="A4692" i="1"/>
  <c r="B4692" i="1"/>
  <c r="C4692" i="1"/>
  <c r="D4692" i="1"/>
  <c r="E4692" i="1"/>
  <c r="F4692" i="1"/>
  <c r="H4692" i="1"/>
  <c r="A4693" i="1"/>
  <c r="B4693" i="1"/>
  <c r="C4693" i="1"/>
  <c r="D4693" i="1"/>
  <c r="E4693" i="1"/>
  <c r="F4693" i="1"/>
  <c r="H4693" i="1"/>
  <c r="A4694" i="1"/>
  <c r="B4694" i="1"/>
  <c r="C4694" i="1"/>
  <c r="D4694" i="1"/>
  <c r="E4694" i="1"/>
  <c r="F4694" i="1"/>
  <c r="H4694" i="1"/>
  <c r="A4695" i="1"/>
  <c r="B4695" i="1"/>
  <c r="C4695" i="1"/>
  <c r="D4695" i="1"/>
  <c r="E4695" i="1"/>
  <c r="F4695" i="1"/>
  <c r="H4695" i="1"/>
  <c r="A4696" i="1"/>
  <c r="B4696" i="1"/>
  <c r="C4696" i="1"/>
  <c r="D4696" i="1"/>
  <c r="E4696" i="1"/>
  <c r="F4696" i="1"/>
  <c r="H4696" i="1"/>
  <c r="A4697" i="1"/>
  <c r="B4697" i="1"/>
  <c r="C4697" i="1"/>
  <c r="D4697" i="1"/>
  <c r="E4697" i="1"/>
  <c r="F4697" i="1"/>
  <c r="H4697" i="1"/>
  <c r="A4698" i="1"/>
  <c r="B4698" i="1"/>
  <c r="C4698" i="1"/>
  <c r="D4698" i="1"/>
  <c r="E4698" i="1"/>
  <c r="F4698" i="1"/>
  <c r="H4698" i="1"/>
  <c r="A4699" i="1"/>
  <c r="B4699" i="1"/>
  <c r="C4699" i="1"/>
  <c r="D4699" i="1"/>
  <c r="E4699" i="1"/>
  <c r="F4699" i="1"/>
  <c r="H4699" i="1"/>
  <c r="A4700" i="1"/>
  <c r="B4700" i="1"/>
  <c r="C4700" i="1"/>
  <c r="D4700" i="1"/>
  <c r="E4700" i="1"/>
  <c r="F4700" i="1"/>
  <c r="H4700" i="1"/>
  <c r="A4701" i="1"/>
  <c r="B4701" i="1"/>
  <c r="C4701" i="1"/>
  <c r="D4701" i="1"/>
  <c r="E4701" i="1"/>
  <c r="F4701" i="1"/>
  <c r="H4701" i="1"/>
  <c r="A4702" i="1"/>
  <c r="B4702" i="1"/>
  <c r="C4702" i="1"/>
  <c r="D4702" i="1"/>
  <c r="E4702" i="1"/>
  <c r="F4702" i="1"/>
  <c r="H4702" i="1"/>
  <c r="A4703" i="1"/>
  <c r="B4703" i="1"/>
  <c r="C4703" i="1"/>
  <c r="D4703" i="1"/>
  <c r="E4703" i="1"/>
  <c r="F4703" i="1"/>
  <c r="H4703" i="1"/>
  <c r="A4704" i="1"/>
  <c r="B4704" i="1"/>
  <c r="C4704" i="1"/>
  <c r="D4704" i="1"/>
  <c r="E4704" i="1"/>
  <c r="F4704" i="1"/>
  <c r="H4704" i="1"/>
  <c r="A4705" i="1"/>
  <c r="B4705" i="1"/>
  <c r="C4705" i="1"/>
  <c r="D4705" i="1"/>
  <c r="E4705" i="1"/>
  <c r="F4705" i="1"/>
  <c r="H4705" i="1"/>
  <c r="A4706" i="1"/>
  <c r="B4706" i="1"/>
  <c r="C4706" i="1"/>
  <c r="D4706" i="1"/>
  <c r="E4706" i="1"/>
  <c r="F4706" i="1"/>
  <c r="H4706" i="1"/>
  <c r="A4707" i="1"/>
  <c r="B4707" i="1"/>
  <c r="C4707" i="1"/>
  <c r="D4707" i="1"/>
  <c r="E4707" i="1"/>
  <c r="F4707" i="1"/>
  <c r="H4707" i="1"/>
  <c r="A4708" i="1"/>
  <c r="B4708" i="1"/>
  <c r="C4708" i="1"/>
  <c r="D4708" i="1"/>
  <c r="E4708" i="1"/>
  <c r="F4708" i="1"/>
  <c r="H4708" i="1"/>
  <c r="A4709" i="1"/>
  <c r="B4709" i="1"/>
  <c r="C4709" i="1"/>
  <c r="D4709" i="1"/>
  <c r="E4709" i="1"/>
  <c r="F4709" i="1"/>
  <c r="H4709" i="1"/>
  <c r="A4710" i="1"/>
  <c r="B4710" i="1"/>
  <c r="C4710" i="1"/>
  <c r="D4710" i="1"/>
  <c r="E4710" i="1"/>
  <c r="F4710" i="1"/>
  <c r="H4710" i="1"/>
  <c r="A4711" i="1"/>
  <c r="B4711" i="1"/>
  <c r="C4711" i="1"/>
  <c r="D4711" i="1"/>
  <c r="E4711" i="1"/>
  <c r="F4711" i="1"/>
  <c r="H4711" i="1"/>
  <c r="A4712" i="1"/>
  <c r="B4712" i="1"/>
  <c r="C4712" i="1"/>
  <c r="D4712" i="1"/>
  <c r="E4712" i="1"/>
  <c r="F4712" i="1"/>
  <c r="H4712" i="1"/>
  <c r="A4713" i="1"/>
  <c r="B4713" i="1"/>
  <c r="C4713" i="1"/>
  <c r="D4713" i="1"/>
  <c r="E4713" i="1"/>
  <c r="F4713" i="1"/>
  <c r="H4713" i="1"/>
  <c r="A4714" i="1"/>
  <c r="B4714" i="1"/>
  <c r="C4714" i="1"/>
  <c r="D4714" i="1"/>
  <c r="E4714" i="1"/>
  <c r="F4714" i="1"/>
  <c r="H4714" i="1"/>
  <c r="A4715" i="1"/>
  <c r="B4715" i="1"/>
  <c r="C4715" i="1"/>
  <c r="D4715" i="1"/>
  <c r="E4715" i="1"/>
  <c r="F4715" i="1"/>
  <c r="H4715" i="1"/>
  <c r="A4716" i="1"/>
  <c r="B4716" i="1"/>
  <c r="C4716" i="1"/>
  <c r="D4716" i="1"/>
  <c r="E4716" i="1"/>
  <c r="F4716" i="1"/>
  <c r="H4716" i="1"/>
  <c r="A4717" i="1"/>
  <c r="B4717" i="1"/>
  <c r="C4717" i="1"/>
  <c r="D4717" i="1"/>
  <c r="E4717" i="1"/>
  <c r="F4717" i="1"/>
  <c r="H4717" i="1"/>
  <c r="A4718" i="1"/>
  <c r="B4718" i="1"/>
  <c r="C4718" i="1"/>
  <c r="D4718" i="1"/>
  <c r="E4718" i="1"/>
  <c r="F4718" i="1"/>
  <c r="H4718" i="1"/>
  <c r="A4719" i="1"/>
  <c r="B4719" i="1"/>
  <c r="C4719" i="1"/>
  <c r="D4719" i="1"/>
  <c r="E4719" i="1"/>
  <c r="F4719" i="1"/>
  <c r="H4719" i="1"/>
  <c r="A4720" i="1"/>
  <c r="B4720" i="1"/>
  <c r="C4720" i="1"/>
  <c r="D4720" i="1"/>
  <c r="E4720" i="1"/>
  <c r="F4720" i="1"/>
  <c r="H4720" i="1"/>
  <c r="A4721" i="1"/>
  <c r="B4721" i="1"/>
  <c r="C4721" i="1"/>
  <c r="D4721" i="1"/>
  <c r="E4721" i="1"/>
  <c r="F4721" i="1"/>
  <c r="H4721" i="1"/>
  <c r="A4722" i="1"/>
  <c r="B4722" i="1"/>
  <c r="C4722" i="1"/>
  <c r="D4722" i="1"/>
  <c r="E4722" i="1"/>
  <c r="F4722" i="1"/>
  <c r="H4722" i="1"/>
  <c r="A4723" i="1"/>
  <c r="B4723" i="1"/>
  <c r="C4723" i="1"/>
  <c r="D4723" i="1"/>
  <c r="E4723" i="1"/>
  <c r="F4723" i="1"/>
  <c r="H4723" i="1"/>
  <c r="A4724" i="1"/>
  <c r="B4724" i="1"/>
  <c r="C4724" i="1"/>
  <c r="D4724" i="1"/>
  <c r="E4724" i="1"/>
  <c r="F4724" i="1"/>
  <c r="H4724" i="1"/>
  <c r="A4725" i="1"/>
  <c r="B4725" i="1"/>
  <c r="C4725" i="1"/>
  <c r="D4725" i="1"/>
  <c r="E4725" i="1"/>
  <c r="F4725" i="1"/>
  <c r="H4725" i="1"/>
  <c r="A4726" i="1"/>
  <c r="B4726" i="1"/>
  <c r="C4726" i="1"/>
  <c r="D4726" i="1"/>
  <c r="E4726" i="1"/>
  <c r="F4726" i="1"/>
  <c r="H4726" i="1"/>
  <c r="A4727" i="1"/>
  <c r="B4727" i="1"/>
  <c r="C4727" i="1"/>
  <c r="D4727" i="1"/>
  <c r="E4727" i="1"/>
  <c r="F4727" i="1"/>
  <c r="H4727" i="1"/>
  <c r="A4728" i="1"/>
  <c r="B4728" i="1"/>
  <c r="C4728" i="1"/>
  <c r="D4728" i="1"/>
  <c r="E4728" i="1"/>
  <c r="F4728" i="1"/>
  <c r="H4728" i="1"/>
  <c r="A4729" i="1"/>
  <c r="B4729" i="1"/>
  <c r="C4729" i="1"/>
  <c r="D4729" i="1"/>
  <c r="E4729" i="1"/>
  <c r="F4729" i="1"/>
  <c r="H4729" i="1"/>
  <c r="A4730" i="1"/>
  <c r="B4730" i="1"/>
  <c r="C4730" i="1"/>
  <c r="D4730" i="1"/>
  <c r="E4730" i="1"/>
  <c r="F4730" i="1"/>
  <c r="H4730" i="1"/>
  <c r="A4731" i="1"/>
  <c r="B4731" i="1"/>
  <c r="C4731" i="1"/>
  <c r="D4731" i="1"/>
  <c r="E4731" i="1"/>
  <c r="F4731" i="1"/>
  <c r="H4731" i="1"/>
  <c r="A4732" i="1"/>
  <c r="B4732" i="1"/>
  <c r="C4732" i="1"/>
  <c r="D4732" i="1"/>
  <c r="E4732" i="1"/>
  <c r="F4732" i="1"/>
  <c r="H4732" i="1"/>
  <c r="A4733" i="1"/>
  <c r="B4733" i="1"/>
  <c r="C4733" i="1"/>
  <c r="D4733" i="1"/>
  <c r="E4733" i="1"/>
  <c r="F4733" i="1"/>
  <c r="H4733" i="1"/>
  <c r="A4734" i="1"/>
  <c r="B4734" i="1"/>
  <c r="C4734" i="1"/>
  <c r="D4734" i="1"/>
  <c r="E4734" i="1"/>
  <c r="F4734" i="1"/>
  <c r="H4734" i="1"/>
  <c r="A4735" i="1"/>
  <c r="B4735" i="1"/>
  <c r="C4735" i="1"/>
  <c r="D4735" i="1"/>
  <c r="E4735" i="1"/>
  <c r="F4735" i="1"/>
  <c r="H4735" i="1"/>
  <c r="A4736" i="1"/>
  <c r="B4736" i="1"/>
  <c r="C4736" i="1"/>
  <c r="D4736" i="1"/>
  <c r="E4736" i="1"/>
  <c r="F4736" i="1"/>
  <c r="H4736" i="1"/>
  <c r="A4737" i="1"/>
  <c r="B4737" i="1"/>
  <c r="C4737" i="1"/>
  <c r="D4737" i="1"/>
  <c r="E4737" i="1"/>
  <c r="F4737" i="1"/>
  <c r="H4737" i="1"/>
  <c r="A4738" i="1"/>
  <c r="B4738" i="1"/>
  <c r="C4738" i="1"/>
  <c r="D4738" i="1"/>
  <c r="E4738" i="1"/>
  <c r="F4738" i="1"/>
  <c r="H4738" i="1"/>
  <c r="A4739" i="1"/>
  <c r="B4739" i="1"/>
  <c r="C4739" i="1"/>
  <c r="D4739" i="1"/>
  <c r="E4739" i="1"/>
  <c r="F4739" i="1"/>
  <c r="H4739" i="1"/>
  <c r="A4740" i="1"/>
  <c r="B4740" i="1"/>
  <c r="C4740" i="1"/>
  <c r="D4740" i="1"/>
  <c r="E4740" i="1"/>
  <c r="F4740" i="1"/>
  <c r="H4740" i="1"/>
  <c r="A4741" i="1"/>
  <c r="B4741" i="1"/>
  <c r="C4741" i="1"/>
  <c r="D4741" i="1"/>
  <c r="E4741" i="1"/>
  <c r="F4741" i="1"/>
  <c r="H4741" i="1"/>
  <c r="A4742" i="1"/>
  <c r="B4742" i="1"/>
  <c r="C4742" i="1"/>
  <c r="D4742" i="1"/>
  <c r="E4742" i="1"/>
  <c r="F4742" i="1"/>
  <c r="H4742" i="1"/>
  <c r="A4743" i="1"/>
  <c r="B4743" i="1"/>
  <c r="C4743" i="1"/>
  <c r="D4743" i="1"/>
  <c r="E4743" i="1"/>
  <c r="F4743" i="1"/>
  <c r="H4743" i="1"/>
  <c r="A4744" i="1"/>
  <c r="B4744" i="1"/>
  <c r="C4744" i="1"/>
  <c r="D4744" i="1"/>
  <c r="E4744" i="1"/>
  <c r="F4744" i="1"/>
  <c r="H4744" i="1"/>
  <c r="A4745" i="1"/>
  <c r="B4745" i="1"/>
  <c r="C4745" i="1"/>
  <c r="D4745" i="1"/>
  <c r="E4745" i="1"/>
  <c r="F4745" i="1"/>
  <c r="H4745" i="1"/>
  <c r="A4746" i="1"/>
  <c r="B4746" i="1"/>
  <c r="C4746" i="1"/>
  <c r="D4746" i="1"/>
  <c r="E4746" i="1"/>
  <c r="F4746" i="1"/>
  <c r="H4746" i="1"/>
  <c r="A4747" i="1"/>
  <c r="B4747" i="1"/>
  <c r="C4747" i="1"/>
  <c r="D4747" i="1"/>
  <c r="E4747" i="1"/>
  <c r="F4747" i="1"/>
  <c r="H4747" i="1"/>
  <c r="A4748" i="1"/>
  <c r="B4748" i="1"/>
  <c r="C4748" i="1"/>
  <c r="D4748" i="1"/>
  <c r="E4748" i="1"/>
  <c r="F4748" i="1"/>
  <c r="H4748" i="1"/>
  <c r="A4749" i="1"/>
  <c r="B4749" i="1"/>
  <c r="C4749" i="1"/>
  <c r="D4749" i="1"/>
  <c r="E4749" i="1"/>
  <c r="F4749" i="1"/>
  <c r="H4749" i="1"/>
  <c r="A4750" i="1"/>
  <c r="B4750" i="1"/>
  <c r="C4750" i="1"/>
  <c r="D4750" i="1"/>
  <c r="E4750" i="1"/>
  <c r="F4750" i="1"/>
  <c r="H4750" i="1"/>
  <c r="A4751" i="1"/>
  <c r="B4751" i="1"/>
  <c r="C4751" i="1"/>
  <c r="D4751" i="1"/>
  <c r="E4751" i="1"/>
  <c r="F4751" i="1"/>
  <c r="H4751" i="1"/>
  <c r="A4752" i="1"/>
  <c r="B4752" i="1"/>
  <c r="C4752" i="1"/>
  <c r="D4752" i="1"/>
  <c r="E4752" i="1"/>
  <c r="F4752" i="1"/>
  <c r="H4752" i="1"/>
  <c r="A4753" i="1"/>
  <c r="B4753" i="1"/>
  <c r="C4753" i="1"/>
  <c r="D4753" i="1"/>
  <c r="E4753" i="1"/>
  <c r="F4753" i="1"/>
  <c r="H4753" i="1"/>
  <c r="A4754" i="1"/>
  <c r="B4754" i="1"/>
  <c r="C4754" i="1"/>
  <c r="D4754" i="1"/>
  <c r="E4754" i="1"/>
  <c r="F4754" i="1"/>
  <c r="H4754" i="1"/>
  <c r="A4755" i="1"/>
  <c r="B4755" i="1"/>
  <c r="C4755" i="1"/>
  <c r="D4755" i="1"/>
  <c r="E4755" i="1"/>
  <c r="F4755" i="1"/>
  <c r="H4755" i="1"/>
  <c r="A4756" i="1"/>
  <c r="B4756" i="1"/>
  <c r="C4756" i="1"/>
  <c r="D4756" i="1"/>
  <c r="E4756" i="1"/>
  <c r="F4756" i="1"/>
  <c r="H4756" i="1"/>
  <c r="A4757" i="1"/>
  <c r="B4757" i="1"/>
  <c r="C4757" i="1"/>
  <c r="D4757" i="1"/>
  <c r="E4757" i="1"/>
  <c r="F4757" i="1"/>
  <c r="H4757" i="1"/>
  <c r="A4758" i="1"/>
  <c r="B4758" i="1"/>
  <c r="C4758" i="1"/>
  <c r="D4758" i="1"/>
  <c r="E4758" i="1"/>
  <c r="F4758" i="1"/>
  <c r="H4758" i="1"/>
  <c r="A4759" i="1"/>
  <c r="B4759" i="1"/>
  <c r="C4759" i="1"/>
  <c r="D4759" i="1"/>
  <c r="E4759" i="1"/>
  <c r="F4759" i="1"/>
  <c r="H4759" i="1"/>
  <c r="A4760" i="1"/>
  <c r="B4760" i="1"/>
  <c r="C4760" i="1"/>
  <c r="D4760" i="1"/>
  <c r="E4760" i="1"/>
  <c r="F4760" i="1"/>
  <c r="H4760" i="1"/>
  <c r="A4761" i="1"/>
  <c r="B4761" i="1"/>
  <c r="C4761" i="1"/>
  <c r="D4761" i="1"/>
  <c r="E4761" i="1"/>
  <c r="F4761" i="1"/>
  <c r="H4761" i="1"/>
  <c r="A4762" i="1"/>
  <c r="B4762" i="1"/>
  <c r="C4762" i="1"/>
  <c r="D4762" i="1"/>
  <c r="E4762" i="1"/>
  <c r="F4762" i="1"/>
  <c r="H4762" i="1"/>
  <c r="A4763" i="1"/>
  <c r="B4763" i="1"/>
  <c r="C4763" i="1"/>
  <c r="D4763" i="1"/>
  <c r="E4763" i="1"/>
  <c r="F4763" i="1"/>
  <c r="H4763" i="1"/>
  <c r="A4764" i="1"/>
  <c r="B4764" i="1"/>
  <c r="C4764" i="1"/>
  <c r="D4764" i="1"/>
  <c r="E4764" i="1"/>
  <c r="F4764" i="1"/>
  <c r="H4764" i="1"/>
  <c r="A4765" i="1"/>
  <c r="B4765" i="1"/>
  <c r="C4765" i="1"/>
  <c r="D4765" i="1"/>
  <c r="E4765" i="1"/>
  <c r="F4765" i="1"/>
  <c r="H4765" i="1"/>
  <c r="A4766" i="1"/>
  <c r="B4766" i="1"/>
  <c r="C4766" i="1"/>
  <c r="D4766" i="1"/>
  <c r="E4766" i="1"/>
  <c r="F4766" i="1"/>
  <c r="H4766" i="1"/>
  <c r="A4767" i="1"/>
  <c r="B4767" i="1"/>
  <c r="C4767" i="1"/>
  <c r="D4767" i="1"/>
  <c r="E4767" i="1"/>
  <c r="F4767" i="1"/>
  <c r="H4767" i="1"/>
  <c r="A4768" i="1"/>
  <c r="B4768" i="1"/>
  <c r="C4768" i="1"/>
  <c r="D4768" i="1"/>
  <c r="E4768" i="1"/>
  <c r="F4768" i="1"/>
  <c r="H4768" i="1"/>
  <c r="A4769" i="1"/>
  <c r="B4769" i="1"/>
  <c r="C4769" i="1"/>
  <c r="D4769" i="1"/>
  <c r="E4769" i="1"/>
  <c r="F4769" i="1"/>
  <c r="H4769" i="1"/>
  <c r="A4770" i="1"/>
  <c r="B4770" i="1"/>
  <c r="C4770" i="1"/>
  <c r="D4770" i="1"/>
  <c r="E4770" i="1"/>
  <c r="F4770" i="1"/>
  <c r="H4770" i="1"/>
  <c r="A4771" i="1"/>
  <c r="B4771" i="1"/>
  <c r="C4771" i="1"/>
  <c r="D4771" i="1"/>
  <c r="E4771" i="1"/>
  <c r="F4771" i="1"/>
  <c r="H4771" i="1"/>
  <c r="A4772" i="1"/>
  <c r="B4772" i="1"/>
  <c r="C4772" i="1"/>
  <c r="D4772" i="1"/>
  <c r="E4772" i="1"/>
  <c r="F4772" i="1"/>
  <c r="H4772" i="1"/>
  <c r="A4773" i="1"/>
  <c r="B4773" i="1"/>
  <c r="C4773" i="1"/>
  <c r="D4773" i="1"/>
  <c r="E4773" i="1"/>
  <c r="F4773" i="1"/>
  <c r="H4773" i="1"/>
  <c r="A4774" i="1"/>
  <c r="B4774" i="1"/>
  <c r="C4774" i="1"/>
  <c r="D4774" i="1"/>
  <c r="E4774" i="1"/>
  <c r="F4774" i="1"/>
  <c r="H4774" i="1"/>
  <c r="A4775" i="1"/>
  <c r="B4775" i="1"/>
  <c r="C4775" i="1"/>
  <c r="D4775" i="1"/>
  <c r="E4775" i="1"/>
  <c r="F4775" i="1"/>
  <c r="H4775" i="1"/>
  <c r="A4776" i="1"/>
  <c r="B4776" i="1"/>
  <c r="C4776" i="1"/>
  <c r="D4776" i="1"/>
  <c r="E4776" i="1"/>
  <c r="F4776" i="1"/>
  <c r="H4776" i="1"/>
  <c r="A4777" i="1"/>
  <c r="B4777" i="1"/>
  <c r="C4777" i="1"/>
  <c r="D4777" i="1"/>
  <c r="E4777" i="1"/>
  <c r="F4777" i="1"/>
  <c r="H4777" i="1"/>
  <c r="A4778" i="1"/>
  <c r="B4778" i="1"/>
  <c r="C4778" i="1"/>
  <c r="D4778" i="1"/>
  <c r="E4778" i="1"/>
  <c r="F4778" i="1"/>
  <c r="H4778" i="1"/>
  <c r="A4779" i="1"/>
  <c r="B4779" i="1"/>
  <c r="C4779" i="1"/>
  <c r="D4779" i="1"/>
  <c r="E4779" i="1"/>
  <c r="F4779" i="1"/>
  <c r="H4779" i="1"/>
  <c r="A4780" i="1"/>
  <c r="B4780" i="1"/>
  <c r="C4780" i="1"/>
  <c r="D4780" i="1"/>
  <c r="E4780" i="1"/>
  <c r="F4780" i="1"/>
  <c r="H4780" i="1"/>
  <c r="A4781" i="1"/>
  <c r="B4781" i="1"/>
  <c r="C4781" i="1"/>
  <c r="D4781" i="1"/>
  <c r="E4781" i="1"/>
  <c r="F4781" i="1"/>
  <c r="H4781" i="1"/>
  <c r="A4782" i="1"/>
  <c r="B4782" i="1"/>
  <c r="C4782" i="1"/>
  <c r="D4782" i="1"/>
  <c r="E4782" i="1"/>
  <c r="F4782" i="1"/>
  <c r="H4782" i="1"/>
  <c r="A4783" i="1"/>
  <c r="B4783" i="1"/>
  <c r="C4783" i="1"/>
  <c r="D4783" i="1"/>
  <c r="E4783" i="1"/>
  <c r="F4783" i="1"/>
  <c r="H4783" i="1"/>
  <c r="A4784" i="1"/>
  <c r="B4784" i="1"/>
  <c r="C4784" i="1"/>
  <c r="D4784" i="1"/>
  <c r="E4784" i="1"/>
  <c r="F4784" i="1"/>
  <c r="H4784" i="1"/>
  <c r="A4785" i="1"/>
  <c r="B4785" i="1"/>
  <c r="C4785" i="1"/>
  <c r="D4785" i="1"/>
  <c r="E4785" i="1"/>
  <c r="F4785" i="1"/>
  <c r="H4785" i="1"/>
  <c r="A4786" i="1"/>
  <c r="B4786" i="1"/>
  <c r="C4786" i="1"/>
  <c r="D4786" i="1"/>
  <c r="E4786" i="1"/>
  <c r="F4786" i="1"/>
  <c r="H4786" i="1"/>
  <c r="A4787" i="1"/>
  <c r="B4787" i="1"/>
  <c r="C4787" i="1"/>
  <c r="D4787" i="1"/>
  <c r="E4787" i="1"/>
  <c r="F4787" i="1"/>
  <c r="H4787" i="1"/>
  <c r="A4788" i="1"/>
  <c r="B4788" i="1"/>
  <c r="C4788" i="1"/>
  <c r="D4788" i="1"/>
  <c r="E4788" i="1"/>
  <c r="F4788" i="1"/>
  <c r="H4788" i="1"/>
  <c r="A4789" i="1"/>
  <c r="B4789" i="1"/>
  <c r="C4789" i="1"/>
  <c r="D4789" i="1"/>
  <c r="E4789" i="1"/>
  <c r="F4789" i="1"/>
  <c r="H4789" i="1"/>
  <c r="A4790" i="1"/>
  <c r="B4790" i="1"/>
  <c r="C4790" i="1"/>
  <c r="D4790" i="1"/>
  <c r="E4790" i="1"/>
  <c r="F4790" i="1"/>
  <c r="H4790" i="1"/>
  <c r="A4791" i="1"/>
  <c r="B4791" i="1"/>
  <c r="C4791" i="1"/>
  <c r="D4791" i="1"/>
  <c r="E4791" i="1"/>
  <c r="F4791" i="1"/>
  <c r="H4791" i="1"/>
  <c r="A4792" i="1"/>
  <c r="B4792" i="1"/>
  <c r="C4792" i="1"/>
  <c r="D4792" i="1"/>
  <c r="E4792" i="1"/>
  <c r="F4792" i="1"/>
  <c r="H4792" i="1"/>
  <c r="A4793" i="1"/>
  <c r="B4793" i="1"/>
  <c r="C4793" i="1"/>
  <c r="D4793" i="1"/>
  <c r="E4793" i="1"/>
  <c r="F4793" i="1"/>
  <c r="H4793" i="1"/>
  <c r="A4794" i="1"/>
  <c r="B4794" i="1"/>
  <c r="C4794" i="1"/>
  <c r="D4794" i="1"/>
  <c r="E4794" i="1"/>
  <c r="F4794" i="1"/>
  <c r="H4794" i="1"/>
  <c r="A4795" i="1"/>
  <c r="B4795" i="1"/>
  <c r="C4795" i="1"/>
  <c r="D4795" i="1"/>
  <c r="E4795" i="1"/>
  <c r="F4795" i="1"/>
  <c r="H4795" i="1"/>
  <c r="A4796" i="1"/>
  <c r="B4796" i="1"/>
  <c r="C4796" i="1"/>
  <c r="D4796" i="1"/>
  <c r="E4796" i="1"/>
  <c r="F4796" i="1"/>
  <c r="H4796" i="1"/>
  <c r="A4797" i="1"/>
  <c r="B4797" i="1"/>
  <c r="C4797" i="1"/>
  <c r="D4797" i="1"/>
  <c r="E4797" i="1"/>
  <c r="F4797" i="1"/>
  <c r="H4797" i="1"/>
  <c r="A4798" i="1"/>
  <c r="B4798" i="1"/>
  <c r="C4798" i="1"/>
  <c r="D4798" i="1"/>
  <c r="E4798" i="1"/>
  <c r="F4798" i="1"/>
  <c r="H4798" i="1"/>
  <c r="A4799" i="1"/>
  <c r="B4799" i="1"/>
  <c r="C4799" i="1"/>
  <c r="D4799" i="1"/>
  <c r="E4799" i="1"/>
  <c r="F4799" i="1"/>
  <c r="H4799" i="1"/>
  <c r="A4800" i="1"/>
  <c r="B4800" i="1"/>
  <c r="C4800" i="1"/>
  <c r="D4800" i="1"/>
  <c r="E4800" i="1"/>
  <c r="F4800" i="1"/>
  <c r="H4800" i="1"/>
  <c r="A4801" i="1"/>
  <c r="B4801" i="1"/>
  <c r="C4801" i="1"/>
  <c r="D4801" i="1"/>
  <c r="E4801" i="1"/>
  <c r="F4801" i="1"/>
  <c r="H4801" i="1"/>
  <c r="A4802" i="1"/>
  <c r="B4802" i="1"/>
  <c r="C4802" i="1"/>
  <c r="D4802" i="1"/>
  <c r="E4802" i="1"/>
  <c r="F4802" i="1"/>
  <c r="H4802" i="1"/>
  <c r="A4803" i="1"/>
  <c r="B4803" i="1"/>
  <c r="C4803" i="1"/>
  <c r="D4803" i="1"/>
  <c r="E4803" i="1"/>
  <c r="F4803" i="1"/>
  <c r="H4803" i="1"/>
  <c r="A4804" i="1"/>
  <c r="B4804" i="1"/>
  <c r="C4804" i="1"/>
  <c r="D4804" i="1"/>
  <c r="E4804" i="1"/>
  <c r="F4804" i="1"/>
  <c r="H4804" i="1"/>
  <c r="A4805" i="1"/>
  <c r="B4805" i="1"/>
  <c r="C4805" i="1"/>
  <c r="D4805" i="1"/>
  <c r="E4805" i="1"/>
  <c r="F4805" i="1"/>
  <c r="H4805" i="1"/>
  <c r="A4806" i="1"/>
  <c r="B4806" i="1"/>
  <c r="C4806" i="1"/>
  <c r="D4806" i="1"/>
  <c r="E4806" i="1"/>
  <c r="F4806" i="1"/>
  <c r="H4806" i="1"/>
  <c r="A4807" i="1"/>
  <c r="B4807" i="1"/>
  <c r="C4807" i="1"/>
  <c r="D4807" i="1"/>
  <c r="E4807" i="1"/>
  <c r="F4807" i="1"/>
  <c r="H4807" i="1"/>
  <c r="A4808" i="1"/>
  <c r="B4808" i="1"/>
  <c r="C4808" i="1"/>
  <c r="D4808" i="1"/>
  <c r="E4808" i="1"/>
  <c r="F4808" i="1"/>
  <c r="H4808" i="1"/>
  <c r="A4809" i="1"/>
  <c r="B4809" i="1"/>
  <c r="C4809" i="1"/>
  <c r="D4809" i="1"/>
  <c r="E4809" i="1"/>
  <c r="F4809" i="1"/>
  <c r="H4809" i="1"/>
  <c r="A4810" i="1"/>
  <c r="B4810" i="1"/>
  <c r="C4810" i="1"/>
  <c r="D4810" i="1"/>
  <c r="E4810" i="1"/>
  <c r="F4810" i="1"/>
  <c r="H4810" i="1"/>
  <c r="A4811" i="1"/>
  <c r="B4811" i="1"/>
  <c r="C4811" i="1"/>
  <c r="D4811" i="1"/>
  <c r="E4811" i="1"/>
  <c r="F4811" i="1"/>
  <c r="H4811" i="1"/>
  <c r="A4812" i="1"/>
  <c r="B4812" i="1"/>
  <c r="C4812" i="1"/>
  <c r="D4812" i="1"/>
  <c r="E4812" i="1"/>
  <c r="F4812" i="1"/>
  <c r="H4812" i="1"/>
  <c r="A4813" i="1"/>
  <c r="B4813" i="1"/>
  <c r="C4813" i="1"/>
  <c r="D4813" i="1"/>
  <c r="E4813" i="1"/>
  <c r="F4813" i="1"/>
  <c r="H4813" i="1"/>
  <c r="A4814" i="1"/>
  <c r="B4814" i="1"/>
  <c r="C4814" i="1"/>
  <c r="D4814" i="1"/>
  <c r="E4814" i="1"/>
  <c r="F4814" i="1"/>
  <c r="H4814" i="1"/>
  <c r="A4815" i="1"/>
  <c r="B4815" i="1"/>
  <c r="C4815" i="1"/>
  <c r="D4815" i="1"/>
  <c r="E4815" i="1"/>
  <c r="F4815" i="1"/>
  <c r="H4815" i="1"/>
  <c r="A4816" i="1"/>
  <c r="B4816" i="1"/>
  <c r="C4816" i="1"/>
  <c r="D4816" i="1"/>
  <c r="E4816" i="1"/>
  <c r="F4816" i="1"/>
  <c r="H4816" i="1"/>
  <c r="A4817" i="1"/>
  <c r="B4817" i="1"/>
  <c r="C4817" i="1"/>
  <c r="D4817" i="1"/>
  <c r="E4817" i="1"/>
  <c r="F4817" i="1"/>
  <c r="H4817" i="1"/>
  <c r="A4818" i="1"/>
  <c r="B4818" i="1"/>
  <c r="C4818" i="1"/>
  <c r="D4818" i="1"/>
  <c r="E4818" i="1"/>
  <c r="F4818" i="1"/>
  <c r="H4818" i="1"/>
  <c r="A4819" i="1"/>
  <c r="B4819" i="1"/>
  <c r="C4819" i="1"/>
  <c r="D4819" i="1"/>
  <c r="E4819" i="1"/>
  <c r="F4819" i="1"/>
  <c r="H4819" i="1"/>
  <c r="A4820" i="1"/>
  <c r="B4820" i="1"/>
  <c r="C4820" i="1"/>
  <c r="D4820" i="1"/>
  <c r="E4820" i="1"/>
  <c r="F4820" i="1"/>
  <c r="H4820" i="1"/>
  <c r="A4821" i="1"/>
  <c r="B4821" i="1"/>
  <c r="C4821" i="1"/>
  <c r="D4821" i="1"/>
  <c r="E4821" i="1"/>
  <c r="F4821" i="1"/>
  <c r="H4821" i="1"/>
  <c r="A4822" i="1"/>
  <c r="B4822" i="1"/>
  <c r="C4822" i="1"/>
  <c r="D4822" i="1"/>
  <c r="E4822" i="1"/>
  <c r="F4822" i="1"/>
  <c r="H4822" i="1"/>
  <c r="A4823" i="1"/>
  <c r="B4823" i="1"/>
  <c r="C4823" i="1"/>
  <c r="D4823" i="1"/>
  <c r="E4823" i="1"/>
  <c r="F4823" i="1"/>
  <c r="H4823" i="1"/>
  <c r="A4824" i="1"/>
  <c r="B4824" i="1"/>
  <c r="C4824" i="1"/>
  <c r="D4824" i="1"/>
  <c r="E4824" i="1"/>
  <c r="F4824" i="1"/>
  <c r="H4824" i="1"/>
  <c r="A4825" i="1"/>
  <c r="B4825" i="1"/>
  <c r="C4825" i="1"/>
  <c r="D4825" i="1"/>
  <c r="E4825" i="1"/>
  <c r="F4825" i="1"/>
  <c r="H4825" i="1"/>
  <c r="A4826" i="1"/>
  <c r="B4826" i="1"/>
  <c r="C4826" i="1"/>
  <c r="D4826" i="1"/>
  <c r="E4826" i="1"/>
  <c r="F4826" i="1"/>
  <c r="H4826" i="1"/>
  <c r="A4827" i="1"/>
  <c r="B4827" i="1"/>
  <c r="C4827" i="1"/>
  <c r="D4827" i="1"/>
  <c r="E4827" i="1"/>
  <c r="F4827" i="1"/>
  <c r="H4827" i="1"/>
  <c r="A4828" i="1"/>
  <c r="B4828" i="1"/>
  <c r="C4828" i="1"/>
  <c r="D4828" i="1"/>
  <c r="E4828" i="1"/>
  <c r="F4828" i="1"/>
  <c r="H4828" i="1"/>
  <c r="A4829" i="1"/>
  <c r="B4829" i="1"/>
  <c r="C4829" i="1"/>
  <c r="D4829" i="1"/>
  <c r="E4829" i="1"/>
  <c r="F4829" i="1"/>
  <c r="H4829" i="1"/>
  <c r="A4830" i="1"/>
  <c r="B4830" i="1"/>
  <c r="C4830" i="1"/>
  <c r="D4830" i="1"/>
  <c r="E4830" i="1"/>
  <c r="F4830" i="1"/>
  <c r="H4830" i="1"/>
  <c r="A4831" i="1"/>
  <c r="B4831" i="1"/>
  <c r="C4831" i="1"/>
  <c r="D4831" i="1"/>
  <c r="E4831" i="1"/>
  <c r="F4831" i="1"/>
  <c r="H4831" i="1"/>
  <c r="A4832" i="1"/>
  <c r="B4832" i="1"/>
  <c r="C4832" i="1"/>
  <c r="D4832" i="1"/>
  <c r="E4832" i="1"/>
  <c r="F4832" i="1"/>
  <c r="H4832" i="1"/>
  <c r="A4833" i="1"/>
  <c r="B4833" i="1"/>
  <c r="C4833" i="1"/>
  <c r="D4833" i="1"/>
  <c r="E4833" i="1"/>
  <c r="F4833" i="1"/>
  <c r="H4833" i="1"/>
  <c r="A4834" i="1"/>
  <c r="B4834" i="1"/>
  <c r="C4834" i="1"/>
  <c r="D4834" i="1"/>
  <c r="E4834" i="1"/>
  <c r="F4834" i="1"/>
  <c r="H4834" i="1"/>
  <c r="A4835" i="1"/>
  <c r="B4835" i="1"/>
  <c r="C4835" i="1"/>
  <c r="D4835" i="1"/>
  <c r="E4835" i="1"/>
  <c r="F4835" i="1"/>
  <c r="H4835" i="1"/>
  <c r="A4836" i="1"/>
  <c r="B4836" i="1"/>
  <c r="C4836" i="1"/>
  <c r="D4836" i="1"/>
  <c r="E4836" i="1"/>
  <c r="F4836" i="1"/>
  <c r="H4836" i="1"/>
  <c r="A4837" i="1"/>
  <c r="B4837" i="1"/>
  <c r="C4837" i="1"/>
  <c r="D4837" i="1"/>
  <c r="E4837" i="1"/>
  <c r="F4837" i="1"/>
  <c r="H4837" i="1"/>
  <c r="A4838" i="1"/>
  <c r="B4838" i="1"/>
  <c r="C4838" i="1"/>
  <c r="D4838" i="1"/>
  <c r="E4838" i="1"/>
  <c r="F4838" i="1"/>
  <c r="H4838" i="1"/>
  <c r="A4839" i="1"/>
  <c r="B4839" i="1"/>
  <c r="C4839" i="1"/>
  <c r="D4839" i="1"/>
  <c r="E4839" i="1"/>
  <c r="F4839" i="1"/>
  <c r="H4839" i="1"/>
  <c r="A4840" i="1"/>
  <c r="B4840" i="1"/>
  <c r="C4840" i="1"/>
  <c r="D4840" i="1"/>
  <c r="E4840" i="1"/>
  <c r="F4840" i="1"/>
  <c r="H4840" i="1"/>
  <c r="A4841" i="1"/>
  <c r="B4841" i="1"/>
  <c r="C4841" i="1"/>
  <c r="D4841" i="1"/>
  <c r="E4841" i="1"/>
  <c r="F4841" i="1"/>
  <c r="H4841" i="1"/>
  <c r="A4842" i="1"/>
  <c r="B4842" i="1"/>
  <c r="C4842" i="1"/>
  <c r="D4842" i="1"/>
  <c r="E4842" i="1"/>
  <c r="F4842" i="1"/>
  <c r="H4842" i="1"/>
  <c r="A4843" i="1"/>
  <c r="B4843" i="1"/>
  <c r="C4843" i="1"/>
  <c r="D4843" i="1"/>
  <c r="E4843" i="1"/>
  <c r="F4843" i="1"/>
  <c r="H4843" i="1"/>
  <c r="A4844" i="1"/>
  <c r="B4844" i="1"/>
  <c r="C4844" i="1"/>
  <c r="D4844" i="1"/>
  <c r="E4844" i="1"/>
  <c r="F4844" i="1"/>
  <c r="H4844" i="1"/>
  <c r="A4845" i="1"/>
  <c r="B4845" i="1"/>
  <c r="C4845" i="1"/>
  <c r="D4845" i="1"/>
  <c r="E4845" i="1"/>
  <c r="F4845" i="1"/>
  <c r="H4845" i="1"/>
  <c r="A4846" i="1"/>
  <c r="B4846" i="1"/>
  <c r="C4846" i="1"/>
  <c r="D4846" i="1"/>
  <c r="E4846" i="1"/>
  <c r="F4846" i="1"/>
  <c r="H4846" i="1"/>
  <c r="A4847" i="1"/>
  <c r="B4847" i="1"/>
  <c r="C4847" i="1"/>
  <c r="D4847" i="1"/>
  <c r="E4847" i="1"/>
  <c r="F4847" i="1"/>
  <c r="H4847" i="1"/>
  <c r="A4848" i="1"/>
  <c r="B4848" i="1"/>
  <c r="C4848" i="1"/>
  <c r="D4848" i="1"/>
  <c r="E4848" i="1"/>
  <c r="F4848" i="1"/>
  <c r="H4848" i="1"/>
  <c r="A4849" i="1"/>
  <c r="B4849" i="1"/>
  <c r="C4849" i="1"/>
  <c r="D4849" i="1"/>
  <c r="E4849" i="1"/>
  <c r="F4849" i="1"/>
  <c r="H4849" i="1"/>
  <c r="A4850" i="1"/>
  <c r="B4850" i="1"/>
  <c r="C4850" i="1"/>
  <c r="D4850" i="1"/>
  <c r="E4850" i="1"/>
  <c r="F4850" i="1"/>
  <c r="H4850" i="1"/>
  <c r="A4851" i="1"/>
  <c r="B4851" i="1"/>
  <c r="C4851" i="1"/>
  <c r="D4851" i="1"/>
  <c r="E4851" i="1"/>
  <c r="F4851" i="1"/>
  <c r="H4851" i="1"/>
  <c r="A4852" i="1"/>
  <c r="B4852" i="1"/>
  <c r="C4852" i="1"/>
  <c r="D4852" i="1"/>
  <c r="E4852" i="1"/>
  <c r="F4852" i="1"/>
  <c r="H4852" i="1"/>
  <c r="A4853" i="1"/>
  <c r="B4853" i="1"/>
  <c r="C4853" i="1"/>
  <c r="D4853" i="1"/>
  <c r="E4853" i="1"/>
  <c r="F4853" i="1"/>
  <c r="H4853" i="1"/>
  <c r="A4854" i="1"/>
  <c r="B4854" i="1"/>
  <c r="C4854" i="1"/>
  <c r="D4854" i="1"/>
  <c r="E4854" i="1"/>
  <c r="F4854" i="1"/>
  <c r="H4854" i="1"/>
  <c r="A4855" i="1"/>
  <c r="B4855" i="1"/>
  <c r="C4855" i="1"/>
  <c r="D4855" i="1"/>
  <c r="E4855" i="1"/>
  <c r="F4855" i="1"/>
  <c r="H4855" i="1"/>
  <c r="A4856" i="1"/>
  <c r="B4856" i="1"/>
  <c r="C4856" i="1"/>
  <c r="D4856" i="1"/>
  <c r="E4856" i="1"/>
  <c r="F4856" i="1"/>
  <c r="H4856" i="1"/>
  <c r="A4857" i="1"/>
  <c r="B4857" i="1"/>
  <c r="C4857" i="1"/>
  <c r="D4857" i="1"/>
  <c r="E4857" i="1"/>
  <c r="F4857" i="1"/>
  <c r="H4857" i="1"/>
  <c r="A4858" i="1"/>
  <c r="B4858" i="1"/>
  <c r="C4858" i="1"/>
  <c r="D4858" i="1"/>
  <c r="E4858" i="1"/>
  <c r="F4858" i="1"/>
  <c r="H4858" i="1"/>
  <c r="A4859" i="1"/>
  <c r="B4859" i="1"/>
  <c r="C4859" i="1"/>
  <c r="D4859" i="1"/>
  <c r="E4859" i="1"/>
  <c r="F4859" i="1"/>
  <c r="H4859" i="1"/>
  <c r="A4860" i="1"/>
  <c r="B4860" i="1"/>
  <c r="C4860" i="1"/>
  <c r="D4860" i="1"/>
  <c r="E4860" i="1"/>
  <c r="F4860" i="1"/>
  <c r="H4860" i="1"/>
  <c r="A4861" i="1"/>
  <c r="B4861" i="1"/>
  <c r="C4861" i="1"/>
  <c r="D4861" i="1"/>
  <c r="E4861" i="1"/>
  <c r="F4861" i="1"/>
  <c r="H4861" i="1"/>
  <c r="A4862" i="1"/>
  <c r="B4862" i="1"/>
  <c r="C4862" i="1"/>
  <c r="D4862" i="1"/>
  <c r="E4862" i="1"/>
  <c r="F4862" i="1"/>
  <c r="H4862" i="1"/>
  <c r="A4863" i="1"/>
  <c r="B4863" i="1"/>
  <c r="C4863" i="1"/>
  <c r="D4863" i="1"/>
  <c r="E4863" i="1"/>
  <c r="F4863" i="1"/>
  <c r="H4863" i="1"/>
  <c r="A4864" i="1"/>
  <c r="B4864" i="1"/>
  <c r="C4864" i="1"/>
  <c r="D4864" i="1"/>
  <c r="E4864" i="1"/>
  <c r="F4864" i="1"/>
  <c r="H4864" i="1"/>
  <c r="A4865" i="1"/>
  <c r="B4865" i="1"/>
  <c r="C4865" i="1"/>
  <c r="D4865" i="1"/>
  <c r="E4865" i="1"/>
  <c r="F4865" i="1"/>
  <c r="H4865" i="1"/>
  <c r="A4866" i="1"/>
  <c r="B4866" i="1"/>
  <c r="C4866" i="1"/>
  <c r="D4866" i="1"/>
  <c r="E4866" i="1"/>
  <c r="F4866" i="1"/>
  <c r="H4866" i="1"/>
  <c r="A4867" i="1"/>
  <c r="B4867" i="1"/>
  <c r="C4867" i="1"/>
  <c r="D4867" i="1"/>
  <c r="E4867" i="1"/>
  <c r="F4867" i="1"/>
  <c r="H4867" i="1"/>
  <c r="A4868" i="1"/>
  <c r="B4868" i="1"/>
  <c r="C4868" i="1"/>
  <c r="D4868" i="1"/>
  <c r="E4868" i="1"/>
  <c r="F4868" i="1"/>
  <c r="H4868" i="1"/>
  <c r="A4869" i="1"/>
  <c r="B4869" i="1"/>
  <c r="C4869" i="1"/>
  <c r="D4869" i="1"/>
  <c r="E4869" i="1"/>
  <c r="F4869" i="1"/>
  <c r="H4869" i="1"/>
  <c r="A4870" i="1"/>
  <c r="B4870" i="1"/>
  <c r="C4870" i="1"/>
  <c r="D4870" i="1"/>
  <c r="E4870" i="1"/>
  <c r="F4870" i="1"/>
  <c r="H4870" i="1"/>
  <c r="A4871" i="1"/>
  <c r="B4871" i="1"/>
  <c r="C4871" i="1"/>
  <c r="D4871" i="1"/>
  <c r="E4871" i="1"/>
  <c r="F4871" i="1"/>
  <c r="H4871" i="1"/>
  <c r="A4872" i="1"/>
  <c r="B4872" i="1"/>
  <c r="C4872" i="1"/>
  <c r="D4872" i="1"/>
  <c r="E4872" i="1"/>
  <c r="F4872" i="1"/>
  <c r="H4872" i="1"/>
  <c r="A4873" i="1"/>
  <c r="B4873" i="1"/>
  <c r="C4873" i="1"/>
  <c r="D4873" i="1"/>
  <c r="E4873" i="1"/>
  <c r="F4873" i="1"/>
  <c r="H4873" i="1"/>
  <c r="A4874" i="1"/>
  <c r="B4874" i="1"/>
  <c r="C4874" i="1"/>
  <c r="D4874" i="1"/>
  <c r="E4874" i="1"/>
  <c r="F4874" i="1"/>
  <c r="H4874" i="1"/>
  <c r="A4875" i="1"/>
  <c r="B4875" i="1"/>
  <c r="C4875" i="1"/>
  <c r="D4875" i="1"/>
  <c r="E4875" i="1"/>
  <c r="F4875" i="1"/>
  <c r="H4875" i="1"/>
  <c r="A4876" i="1"/>
  <c r="B4876" i="1"/>
  <c r="C4876" i="1"/>
  <c r="D4876" i="1"/>
  <c r="E4876" i="1"/>
  <c r="F4876" i="1"/>
  <c r="H4876" i="1"/>
  <c r="A4877" i="1"/>
  <c r="B4877" i="1"/>
  <c r="C4877" i="1"/>
  <c r="D4877" i="1"/>
  <c r="E4877" i="1"/>
  <c r="F4877" i="1"/>
  <c r="H4877" i="1"/>
  <c r="A4878" i="1"/>
  <c r="B4878" i="1"/>
  <c r="C4878" i="1"/>
  <c r="D4878" i="1"/>
  <c r="E4878" i="1"/>
  <c r="F4878" i="1"/>
  <c r="H4878" i="1"/>
  <c r="A4879" i="1"/>
  <c r="B4879" i="1"/>
  <c r="C4879" i="1"/>
  <c r="D4879" i="1"/>
  <c r="E4879" i="1"/>
  <c r="F4879" i="1"/>
  <c r="H4879" i="1"/>
  <c r="A4880" i="1"/>
  <c r="B4880" i="1"/>
  <c r="C4880" i="1"/>
  <c r="D4880" i="1"/>
  <c r="E4880" i="1"/>
  <c r="F4880" i="1"/>
  <c r="H4880" i="1"/>
  <c r="A4881" i="1"/>
  <c r="B4881" i="1"/>
  <c r="C4881" i="1"/>
  <c r="D4881" i="1"/>
  <c r="E4881" i="1"/>
  <c r="F4881" i="1"/>
  <c r="H4881" i="1"/>
  <c r="A4882" i="1"/>
  <c r="B4882" i="1"/>
  <c r="C4882" i="1"/>
  <c r="D4882" i="1"/>
  <c r="E4882" i="1"/>
  <c r="F4882" i="1"/>
  <c r="H4882" i="1"/>
  <c r="A4883" i="1"/>
  <c r="B4883" i="1"/>
  <c r="C4883" i="1"/>
  <c r="D4883" i="1"/>
  <c r="E4883" i="1"/>
  <c r="F4883" i="1"/>
  <c r="H4883" i="1"/>
  <c r="A4884" i="1"/>
  <c r="B4884" i="1"/>
  <c r="C4884" i="1"/>
  <c r="D4884" i="1"/>
  <c r="E4884" i="1"/>
  <c r="F4884" i="1"/>
  <c r="H4884" i="1"/>
  <c r="A4885" i="1"/>
  <c r="B4885" i="1"/>
  <c r="C4885" i="1"/>
  <c r="D4885" i="1"/>
  <c r="E4885" i="1"/>
  <c r="F4885" i="1"/>
  <c r="H4885" i="1"/>
  <c r="A4886" i="1"/>
  <c r="B4886" i="1"/>
  <c r="C4886" i="1"/>
  <c r="D4886" i="1"/>
  <c r="E4886" i="1"/>
  <c r="F4886" i="1"/>
  <c r="H4886" i="1"/>
  <c r="A4887" i="1"/>
  <c r="B4887" i="1"/>
  <c r="C4887" i="1"/>
  <c r="D4887" i="1"/>
  <c r="E4887" i="1"/>
  <c r="F4887" i="1"/>
  <c r="H4887" i="1"/>
  <c r="A4888" i="1"/>
  <c r="B4888" i="1"/>
  <c r="C4888" i="1"/>
  <c r="D4888" i="1"/>
  <c r="E4888" i="1"/>
  <c r="F4888" i="1"/>
  <c r="H4888" i="1"/>
  <c r="A4889" i="1"/>
  <c r="B4889" i="1"/>
  <c r="C4889" i="1"/>
  <c r="D4889" i="1"/>
  <c r="E4889" i="1"/>
  <c r="F4889" i="1"/>
  <c r="H4889" i="1"/>
  <c r="A4890" i="1"/>
  <c r="B4890" i="1"/>
  <c r="C4890" i="1"/>
  <c r="D4890" i="1"/>
  <c r="E4890" i="1"/>
  <c r="F4890" i="1"/>
  <c r="H4890" i="1"/>
  <c r="A4891" i="1"/>
  <c r="B4891" i="1"/>
  <c r="C4891" i="1"/>
  <c r="D4891" i="1"/>
  <c r="E4891" i="1"/>
  <c r="F4891" i="1"/>
  <c r="H4891" i="1"/>
  <c r="A4892" i="1"/>
  <c r="B4892" i="1"/>
  <c r="C4892" i="1"/>
  <c r="D4892" i="1"/>
  <c r="E4892" i="1"/>
  <c r="F4892" i="1"/>
  <c r="H4892" i="1"/>
  <c r="A4893" i="1"/>
  <c r="B4893" i="1"/>
  <c r="C4893" i="1"/>
  <c r="D4893" i="1"/>
  <c r="E4893" i="1"/>
  <c r="F4893" i="1"/>
  <c r="H4893" i="1"/>
  <c r="A4894" i="1"/>
  <c r="B4894" i="1"/>
  <c r="C4894" i="1"/>
  <c r="D4894" i="1"/>
  <c r="E4894" i="1"/>
  <c r="F4894" i="1"/>
  <c r="H4894" i="1"/>
  <c r="A4895" i="1"/>
  <c r="B4895" i="1"/>
  <c r="C4895" i="1"/>
  <c r="D4895" i="1"/>
  <c r="E4895" i="1"/>
  <c r="F4895" i="1"/>
  <c r="H4895" i="1"/>
  <c r="A4896" i="1"/>
  <c r="B4896" i="1"/>
  <c r="C4896" i="1"/>
  <c r="D4896" i="1"/>
  <c r="E4896" i="1"/>
  <c r="F4896" i="1"/>
  <c r="H4896" i="1"/>
  <c r="A4897" i="1"/>
  <c r="B4897" i="1"/>
  <c r="C4897" i="1"/>
  <c r="D4897" i="1"/>
  <c r="E4897" i="1"/>
  <c r="F4897" i="1"/>
  <c r="H4897" i="1"/>
  <c r="A4898" i="1"/>
  <c r="B4898" i="1"/>
  <c r="C4898" i="1"/>
  <c r="D4898" i="1"/>
  <c r="E4898" i="1"/>
  <c r="F4898" i="1"/>
  <c r="H4898" i="1"/>
  <c r="A4899" i="1"/>
  <c r="B4899" i="1"/>
  <c r="C4899" i="1"/>
  <c r="D4899" i="1"/>
  <c r="E4899" i="1"/>
  <c r="F4899" i="1"/>
  <c r="H4899" i="1"/>
  <c r="A4900" i="1"/>
  <c r="B4900" i="1"/>
  <c r="C4900" i="1"/>
  <c r="D4900" i="1"/>
  <c r="E4900" i="1"/>
  <c r="F4900" i="1"/>
  <c r="H4900" i="1"/>
  <c r="A4901" i="1"/>
  <c r="B4901" i="1"/>
  <c r="C4901" i="1"/>
  <c r="D4901" i="1"/>
  <c r="E4901" i="1"/>
  <c r="F4901" i="1"/>
  <c r="H4901" i="1"/>
  <c r="A4902" i="1"/>
  <c r="B4902" i="1"/>
  <c r="C4902" i="1"/>
  <c r="D4902" i="1"/>
  <c r="E4902" i="1"/>
  <c r="F4902" i="1"/>
  <c r="H4902" i="1"/>
  <c r="A4903" i="1"/>
  <c r="B4903" i="1"/>
  <c r="C4903" i="1"/>
  <c r="D4903" i="1"/>
  <c r="E4903" i="1"/>
  <c r="F4903" i="1"/>
  <c r="H4903" i="1"/>
  <c r="A4904" i="1"/>
  <c r="B4904" i="1"/>
  <c r="C4904" i="1"/>
  <c r="D4904" i="1"/>
  <c r="E4904" i="1"/>
  <c r="F4904" i="1"/>
  <c r="H4904" i="1"/>
  <c r="A4905" i="1"/>
  <c r="B4905" i="1"/>
  <c r="C4905" i="1"/>
  <c r="D4905" i="1"/>
  <c r="E4905" i="1"/>
  <c r="F4905" i="1"/>
  <c r="H4905" i="1"/>
  <c r="A4906" i="1"/>
  <c r="B4906" i="1"/>
  <c r="C4906" i="1"/>
  <c r="D4906" i="1"/>
  <c r="E4906" i="1"/>
  <c r="F4906" i="1"/>
  <c r="H4906" i="1"/>
  <c r="A4907" i="1"/>
  <c r="B4907" i="1"/>
  <c r="C4907" i="1"/>
  <c r="D4907" i="1"/>
  <c r="E4907" i="1"/>
  <c r="F4907" i="1"/>
  <c r="H4907" i="1"/>
  <c r="A4908" i="1"/>
  <c r="B4908" i="1"/>
  <c r="C4908" i="1"/>
  <c r="D4908" i="1"/>
  <c r="E4908" i="1"/>
  <c r="F4908" i="1"/>
  <c r="H4908" i="1"/>
  <c r="A4909" i="1"/>
  <c r="B4909" i="1"/>
  <c r="C4909" i="1"/>
  <c r="D4909" i="1"/>
  <c r="E4909" i="1"/>
  <c r="F4909" i="1"/>
  <c r="H4909" i="1"/>
  <c r="A4910" i="1"/>
  <c r="B4910" i="1"/>
  <c r="C4910" i="1"/>
  <c r="D4910" i="1"/>
  <c r="E4910" i="1"/>
  <c r="F4910" i="1"/>
  <c r="H4910" i="1"/>
  <c r="A4911" i="1"/>
  <c r="B4911" i="1"/>
  <c r="C4911" i="1"/>
  <c r="D4911" i="1"/>
  <c r="E4911" i="1"/>
  <c r="F4911" i="1"/>
  <c r="H4911" i="1"/>
  <c r="A4912" i="1"/>
  <c r="B4912" i="1"/>
  <c r="C4912" i="1"/>
  <c r="D4912" i="1"/>
  <c r="E4912" i="1"/>
  <c r="F4912" i="1"/>
  <c r="H4912" i="1"/>
  <c r="A4913" i="1"/>
  <c r="B4913" i="1"/>
  <c r="C4913" i="1"/>
  <c r="D4913" i="1"/>
  <c r="E4913" i="1"/>
  <c r="F4913" i="1"/>
  <c r="H4913" i="1"/>
  <c r="A4914" i="1"/>
  <c r="B4914" i="1"/>
  <c r="C4914" i="1"/>
  <c r="D4914" i="1"/>
  <c r="E4914" i="1"/>
  <c r="F4914" i="1"/>
  <c r="H4914" i="1"/>
  <c r="A4915" i="1"/>
  <c r="B4915" i="1"/>
  <c r="C4915" i="1"/>
  <c r="D4915" i="1"/>
  <c r="E4915" i="1"/>
  <c r="F4915" i="1"/>
  <c r="H4915" i="1"/>
  <c r="A4916" i="1"/>
  <c r="B4916" i="1"/>
  <c r="C4916" i="1"/>
  <c r="D4916" i="1"/>
  <c r="E4916" i="1"/>
  <c r="F4916" i="1"/>
  <c r="H4916" i="1"/>
  <c r="A4917" i="1"/>
  <c r="B4917" i="1"/>
  <c r="C4917" i="1"/>
  <c r="D4917" i="1"/>
  <c r="E4917" i="1"/>
  <c r="F4917" i="1"/>
  <c r="H4917" i="1"/>
  <c r="A4918" i="1"/>
  <c r="B4918" i="1"/>
  <c r="C4918" i="1"/>
  <c r="D4918" i="1"/>
  <c r="E4918" i="1"/>
  <c r="F4918" i="1"/>
  <c r="H4918" i="1"/>
  <c r="A4919" i="1"/>
  <c r="B4919" i="1"/>
  <c r="C4919" i="1"/>
  <c r="D4919" i="1"/>
  <c r="E4919" i="1"/>
  <c r="F4919" i="1"/>
  <c r="H4919" i="1"/>
  <c r="A4920" i="1"/>
  <c r="B4920" i="1"/>
  <c r="C4920" i="1"/>
  <c r="D4920" i="1"/>
  <c r="E4920" i="1"/>
  <c r="F4920" i="1"/>
  <c r="H4920" i="1"/>
  <c r="A4921" i="1"/>
  <c r="B4921" i="1"/>
  <c r="C4921" i="1"/>
  <c r="D4921" i="1"/>
  <c r="E4921" i="1"/>
  <c r="F4921" i="1"/>
  <c r="H4921" i="1"/>
  <c r="A4922" i="1"/>
  <c r="B4922" i="1"/>
  <c r="C4922" i="1"/>
  <c r="D4922" i="1"/>
  <c r="E4922" i="1"/>
  <c r="F4922" i="1"/>
  <c r="H4922" i="1"/>
  <c r="A4923" i="1"/>
  <c r="B4923" i="1"/>
  <c r="C4923" i="1"/>
  <c r="D4923" i="1"/>
  <c r="E4923" i="1"/>
  <c r="F4923" i="1"/>
  <c r="H4923" i="1"/>
  <c r="A4924" i="1"/>
  <c r="B4924" i="1"/>
  <c r="C4924" i="1"/>
  <c r="D4924" i="1"/>
  <c r="E4924" i="1"/>
  <c r="F4924" i="1"/>
  <c r="H4924" i="1"/>
  <c r="A4925" i="1"/>
  <c r="B4925" i="1"/>
  <c r="C4925" i="1"/>
  <c r="D4925" i="1"/>
  <c r="E4925" i="1"/>
  <c r="F4925" i="1"/>
  <c r="H4925" i="1"/>
  <c r="A4926" i="1"/>
  <c r="B4926" i="1"/>
  <c r="C4926" i="1"/>
  <c r="D4926" i="1"/>
  <c r="E4926" i="1"/>
  <c r="F4926" i="1"/>
  <c r="H4926" i="1"/>
  <c r="A4927" i="1"/>
  <c r="B4927" i="1"/>
  <c r="C4927" i="1"/>
  <c r="D4927" i="1"/>
  <c r="E4927" i="1"/>
  <c r="F4927" i="1"/>
  <c r="H4927" i="1"/>
  <c r="A4928" i="1"/>
  <c r="B4928" i="1"/>
  <c r="C4928" i="1"/>
  <c r="D4928" i="1"/>
  <c r="E4928" i="1"/>
  <c r="F4928" i="1"/>
  <c r="H4928" i="1"/>
  <c r="A4929" i="1"/>
  <c r="B4929" i="1"/>
  <c r="C4929" i="1"/>
  <c r="D4929" i="1"/>
  <c r="E4929" i="1"/>
  <c r="F4929" i="1"/>
  <c r="H4929" i="1"/>
  <c r="A4930" i="1"/>
  <c r="B4930" i="1"/>
  <c r="C4930" i="1"/>
  <c r="D4930" i="1"/>
  <c r="E4930" i="1"/>
  <c r="F4930" i="1"/>
  <c r="H4930" i="1"/>
  <c r="A4931" i="1"/>
  <c r="B4931" i="1"/>
  <c r="C4931" i="1"/>
  <c r="D4931" i="1"/>
  <c r="E4931" i="1"/>
  <c r="F4931" i="1"/>
  <c r="H4931" i="1"/>
  <c r="A4932" i="1"/>
  <c r="B4932" i="1"/>
  <c r="C4932" i="1"/>
  <c r="D4932" i="1"/>
  <c r="E4932" i="1"/>
  <c r="F4932" i="1"/>
  <c r="H4932" i="1"/>
  <c r="A4933" i="1"/>
  <c r="B4933" i="1"/>
  <c r="C4933" i="1"/>
  <c r="D4933" i="1"/>
  <c r="E4933" i="1"/>
  <c r="F4933" i="1"/>
  <c r="H4933" i="1"/>
  <c r="A4934" i="1"/>
  <c r="B4934" i="1"/>
  <c r="C4934" i="1"/>
  <c r="D4934" i="1"/>
  <c r="E4934" i="1"/>
  <c r="F4934" i="1"/>
  <c r="H4934" i="1"/>
  <c r="A4935" i="1"/>
  <c r="B4935" i="1"/>
  <c r="C4935" i="1"/>
  <c r="D4935" i="1"/>
  <c r="E4935" i="1"/>
  <c r="F4935" i="1"/>
  <c r="H4935" i="1"/>
  <c r="A4936" i="1"/>
  <c r="B4936" i="1"/>
  <c r="C4936" i="1"/>
  <c r="D4936" i="1"/>
  <c r="E4936" i="1"/>
  <c r="F4936" i="1"/>
  <c r="H4936" i="1"/>
  <c r="A4937" i="1"/>
  <c r="B4937" i="1"/>
  <c r="C4937" i="1"/>
  <c r="D4937" i="1"/>
  <c r="E4937" i="1"/>
  <c r="F4937" i="1"/>
  <c r="H4937" i="1"/>
  <c r="A4938" i="1"/>
  <c r="B4938" i="1"/>
  <c r="C4938" i="1"/>
  <c r="D4938" i="1"/>
  <c r="E4938" i="1"/>
  <c r="F4938" i="1"/>
  <c r="H4938" i="1"/>
  <c r="A4939" i="1"/>
  <c r="B4939" i="1"/>
  <c r="C4939" i="1"/>
  <c r="D4939" i="1"/>
  <c r="E4939" i="1"/>
  <c r="F4939" i="1"/>
  <c r="H4939" i="1"/>
  <c r="A4940" i="1"/>
  <c r="B4940" i="1"/>
  <c r="C4940" i="1"/>
  <c r="D4940" i="1"/>
  <c r="E4940" i="1"/>
  <c r="F4940" i="1"/>
  <c r="H4940" i="1"/>
  <c r="A4941" i="1"/>
  <c r="B4941" i="1"/>
  <c r="C4941" i="1"/>
  <c r="D4941" i="1"/>
  <c r="E4941" i="1"/>
  <c r="F4941" i="1"/>
  <c r="H4941" i="1"/>
  <c r="A4942" i="1"/>
  <c r="B4942" i="1"/>
  <c r="C4942" i="1"/>
  <c r="D4942" i="1"/>
  <c r="E4942" i="1"/>
  <c r="F4942" i="1"/>
  <c r="H4942" i="1"/>
  <c r="A4943" i="1"/>
  <c r="B4943" i="1"/>
  <c r="C4943" i="1"/>
  <c r="D4943" i="1"/>
  <c r="E4943" i="1"/>
  <c r="F4943" i="1"/>
  <c r="H4943" i="1"/>
  <c r="A4944" i="1"/>
  <c r="B4944" i="1"/>
  <c r="C4944" i="1"/>
  <c r="D4944" i="1"/>
  <c r="E4944" i="1"/>
  <c r="F4944" i="1"/>
  <c r="H4944" i="1"/>
  <c r="A4945" i="1"/>
  <c r="B4945" i="1"/>
  <c r="C4945" i="1"/>
  <c r="D4945" i="1"/>
  <c r="E4945" i="1"/>
  <c r="F4945" i="1"/>
  <c r="H4945" i="1"/>
  <c r="A4946" i="1"/>
  <c r="B4946" i="1"/>
  <c r="C4946" i="1"/>
  <c r="D4946" i="1"/>
  <c r="E4946" i="1"/>
  <c r="F4946" i="1"/>
  <c r="H4946" i="1"/>
  <c r="A4947" i="1"/>
  <c r="B4947" i="1"/>
  <c r="C4947" i="1"/>
  <c r="D4947" i="1"/>
  <c r="E4947" i="1"/>
  <c r="F4947" i="1"/>
  <c r="H4947" i="1"/>
  <c r="A4948" i="1"/>
  <c r="B4948" i="1"/>
  <c r="C4948" i="1"/>
  <c r="D4948" i="1"/>
  <c r="E4948" i="1"/>
  <c r="F4948" i="1"/>
  <c r="H4948" i="1"/>
  <c r="A4949" i="1"/>
  <c r="B4949" i="1"/>
  <c r="C4949" i="1"/>
  <c r="D4949" i="1"/>
  <c r="E4949" i="1"/>
  <c r="F4949" i="1"/>
  <c r="H4949" i="1"/>
  <c r="A4950" i="1"/>
  <c r="B4950" i="1"/>
  <c r="C4950" i="1"/>
  <c r="D4950" i="1"/>
  <c r="E4950" i="1"/>
  <c r="F4950" i="1"/>
  <c r="H4950" i="1"/>
  <c r="A4951" i="1"/>
  <c r="B4951" i="1"/>
  <c r="C4951" i="1"/>
  <c r="D4951" i="1"/>
  <c r="E4951" i="1"/>
  <c r="F4951" i="1"/>
  <c r="H4951" i="1"/>
  <c r="A4952" i="1"/>
  <c r="B4952" i="1"/>
  <c r="C4952" i="1"/>
  <c r="D4952" i="1"/>
  <c r="E4952" i="1"/>
  <c r="F4952" i="1"/>
  <c r="H4952" i="1"/>
  <c r="A4953" i="1"/>
  <c r="B4953" i="1"/>
  <c r="C4953" i="1"/>
  <c r="D4953" i="1"/>
  <c r="E4953" i="1"/>
  <c r="F4953" i="1"/>
  <c r="H4953" i="1"/>
  <c r="A4954" i="1"/>
  <c r="B4954" i="1"/>
  <c r="C4954" i="1"/>
  <c r="D4954" i="1"/>
  <c r="E4954" i="1"/>
  <c r="F4954" i="1"/>
  <c r="H4954" i="1"/>
  <c r="A4955" i="1"/>
  <c r="B4955" i="1"/>
  <c r="C4955" i="1"/>
  <c r="D4955" i="1"/>
  <c r="E4955" i="1"/>
  <c r="F4955" i="1"/>
  <c r="H4955" i="1"/>
  <c r="A4956" i="1"/>
  <c r="B4956" i="1"/>
  <c r="C4956" i="1"/>
  <c r="D4956" i="1"/>
  <c r="E4956" i="1"/>
  <c r="F4956" i="1"/>
  <c r="H4956" i="1"/>
  <c r="A4957" i="1"/>
  <c r="B4957" i="1"/>
  <c r="C4957" i="1"/>
  <c r="D4957" i="1"/>
  <c r="E4957" i="1"/>
  <c r="F4957" i="1"/>
  <c r="H4957" i="1"/>
  <c r="A4958" i="1"/>
  <c r="B4958" i="1"/>
  <c r="C4958" i="1"/>
  <c r="D4958" i="1"/>
  <c r="E4958" i="1"/>
  <c r="F4958" i="1"/>
  <c r="H4958" i="1"/>
  <c r="A4959" i="1"/>
  <c r="B4959" i="1"/>
  <c r="C4959" i="1"/>
  <c r="D4959" i="1"/>
  <c r="E4959" i="1"/>
  <c r="F4959" i="1"/>
  <c r="H4959" i="1"/>
  <c r="A4960" i="1"/>
  <c r="B4960" i="1"/>
  <c r="C4960" i="1"/>
  <c r="D4960" i="1"/>
  <c r="E4960" i="1"/>
  <c r="F4960" i="1"/>
  <c r="H4960" i="1"/>
  <c r="A4961" i="1"/>
  <c r="B4961" i="1"/>
  <c r="C4961" i="1"/>
  <c r="D4961" i="1"/>
  <c r="E4961" i="1"/>
  <c r="F4961" i="1"/>
  <c r="H4961" i="1"/>
  <c r="A4962" i="1"/>
  <c r="B4962" i="1"/>
  <c r="C4962" i="1"/>
  <c r="D4962" i="1"/>
  <c r="E4962" i="1"/>
  <c r="F4962" i="1"/>
  <c r="H4962" i="1"/>
  <c r="A4963" i="1"/>
  <c r="B4963" i="1"/>
  <c r="C4963" i="1"/>
  <c r="D4963" i="1"/>
  <c r="E4963" i="1"/>
  <c r="F4963" i="1"/>
  <c r="H4963" i="1"/>
  <c r="A4964" i="1"/>
  <c r="B4964" i="1"/>
  <c r="C4964" i="1"/>
  <c r="D4964" i="1"/>
  <c r="E4964" i="1"/>
  <c r="F4964" i="1"/>
  <c r="H4964" i="1"/>
  <c r="A4965" i="1"/>
  <c r="B4965" i="1"/>
  <c r="C4965" i="1"/>
  <c r="D4965" i="1"/>
  <c r="E4965" i="1"/>
  <c r="F4965" i="1"/>
  <c r="H4965" i="1"/>
  <c r="A4966" i="1"/>
  <c r="B4966" i="1"/>
  <c r="C4966" i="1"/>
  <c r="D4966" i="1"/>
  <c r="E4966" i="1"/>
  <c r="F4966" i="1"/>
  <c r="H4966" i="1"/>
  <c r="A4967" i="1"/>
  <c r="B4967" i="1"/>
  <c r="C4967" i="1"/>
  <c r="D4967" i="1"/>
  <c r="E4967" i="1"/>
  <c r="F4967" i="1"/>
  <c r="H4967" i="1"/>
  <c r="A4968" i="1"/>
  <c r="B4968" i="1"/>
  <c r="C4968" i="1"/>
  <c r="D4968" i="1"/>
  <c r="E4968" i="1"/>
  <c r="F4968" i="1"/>
  <c r="H4968" i="1"/>
  <c r="A4969" i="1"/>
  <c r="B4969" i="1"/>
  <c r="C4969" i="1"/>
  <c r="D4969" i="1"/>
  <c r="E4969" i="1"/>
  <c r="F4969" i="1"/>
  <c r="H4969" i="1"/>
  <c r="A4970" i="1"/>
  <c r="B4970" i="1"/>
  <c r="C4970" i="1"/>
  <c r="D4970" i="1"/>
  <c r="E4970" i="1"/>
  <c r="F4970" i="1"/>
  <c r="H4970" i="1"/>
  <c r="A4971" i="1"/>
  <c r="B4971" i="1"/>
  <c r="C4971" i="1"/>
  <c r="D4971" i="1"/>
  <c r="E4971" i="1"/>
  <c r="F4971" i="1"/>
  <c r="H4971" i="1"/>
  <c r="A4972" i="1"/>
  <c r="B4972" i="1"/>
  <c r="C4972" i="1"/>
  <c r="D4972" i="1"/>
  <c r="E4972" i="1"/>
  <c r="F4972" i="1"/>
  <c r="H4972" i="1"/>
  <c r="A4973" i="1"/>
  <c r="B4973" i="1"/>
  <c r="C4973" i="1"/>
  <c r="D4973" i="1"/>
  <c r="E4973" i="1"/>
  <c r="F4973" i="1"/>
  <c r="H4973" i="1"/>
  <c r="A4974" i="1"/>
  <c r="B4974" i="1"/>
  <c r="C4974" i="1"/>
  <c r="D4974" i="1"/>
  <c r="E4974" i="1"/>
  <c r="F4974" i="1"/>
  <c r="H4974" i="1"/>
  <c r="A4975" i="1"/>
  <c r="B4975" i="1"/>
  <c r="C4975" i="1"/>
  <c r="D4975" i="1"/>
  <c r="E4975" i="1"/>
  <c r="F4975" i="1"/>
  <c r="H4975" i="1"/>
  <c r="A4976" i="1"/>
  <c r="B4976" i="1"/>
  <c r="C4976" i="1"/>
  <c r="D4976" i="1"/>
  <c r="E4976" i="1"/>
  <c r="F4976" i="1"/>
  <c r="H4976" i="1"/>
  <c r="A4977" i="1"/>
  <c r="B4977" i="1"/>
  <c r="C4977" i="1"/>
  <c r="D4977" i="1"/>
  <c r="E4977" i="1"/>
  <c r="F4977" i="1"/>
  <c r="H4977" i="1"/>
  <c r="A4978" i="1"/>
  <c r="B4978" i="1"/>
  <c r="C4978" i="1"/>
  <c r="D4978" i="1"/>
  <c r="E4978" i="1"/>
  <c r="F4978" i="1"/>
  <c r="H4978" i="1"/>
  <c r="A4979" i="1"/>
  <c r="B4979" i="1"/>
  <c r="C4979" i="1"/>
  <c r="D4979" i="1"/>
  <c r="E4979" i="1"/>
  <c r="F4979" i="1"/>
  <c r="H4979" i="1"/>
  <c r="A4980" i="1"/>
  <c r="B4980" i="1"/>
  <c r="C4980" i="1"/>
  <c r="D4980" i="1"/>
  <c r="E4980" i="1"/>
  <c r="F4980" i="1"/>
  <c r="H4980" i="1"/>
  <c r="A4981" i="1"/>
  <c r="B4981" i="1"/>
  <c r="C4981" i="1"/>
  <c r="D4981" i="1"/>
  <c r="E4981" i="1"/>
  <c r="F4981" i="1"/>
  <c r="H4981" i="1"/>
  <c r="A4982" i="1"/>
  <c r="B4982" i="1"/>
  <c r="C4982" i="1"/>
  <c r="D4982" i="1"/>
  <c r="E4982" i="1"/>
  <c r="F4982" i="1"/>
  <c r="H4982" i="1"/>
  <c r="A4983" i="1"/>
  <c r="B4983" i="1"/>
  <c r="C4983" i="1"/>
  <c r="D4983" i="1"/>
  <c r="E4983" i="1"/>
  <c r="F4983" i="1"/>
  <c r="H4983" i="1"/>
  <c r="A4984" i="1"/>
  <c r="B4984" i="1"/>
  <c r="C4984" i="1"/>
  <c r="D4984" i="1"/>
  <c r="E4984" i="1"/>
  <c r="F4984" i="1"/>
  <c r="H4984" i="1"/>
  <c r="A4985" i="1"/>
  <c r="B4985" i="1"/>
  <c r="C4985" i="1"/>
  <c r="D4985" i="1"/>
  <c r="E4985" i="1"/>
  <c r="F4985" i="1"/>
  <c r="H4985" i="1"/>
  <c r="A4986" i="1"/>
  <c r="B4986" i="1"/>
  <c r="C4986" i="1"/>
  <c r="D4986" i="1"/>
  <c r="E4986" i="1"/>
  <c r="F4986" i="1"/>
  <c r="H4986" i="1"/>
  <c r="A4987" i="1"/>
  <c r="B4987" i="1"/>
  <c r="C4987" i="1"/>
  <c r="D4987" i="1"/>
  <c r="E4987" i="1"/>
  <c r="F4987" i="1"/>
  <c r="H4987" i="1"/>
  <c r="A4988" i="1"/>
  <c r="B4988" i="1"/>
  <c r="C4988" i="1"/>
  <c r="D4988" i="1"/>
  <c r="E4988" i="1"/>
  <c r="F4988" i="1"/>
  <c r="H4988" i="1"/>
  <c r="A4989" i="1"/>
  <c r="B4989" i="1"/>
  <c r="C4989" i="1"/>
  <c r="D4989" i="1"/>
  <c r="E4989" i="1"/>
  <c r="F4989" i="1"/>
  <c r="H4989" i="1"/>
  <c r="A4990" i="1"/>
  <c r="B4990" i="1"/>
  <c r="C4990" i="1"/>
  <c r="D4990" i="1"/>
  <c r="E4990" i="1"/>
  <c r="F4990" i="1"/>
  <c r="H4990" i="1"/>
  <c r="A4991" i="1"/>
  <c r="B4991" i="1"/>
  <c r="C4991" i="1"/>
  <c r="D4991" i="1"/>
  <c r="E4991" i="1"/>
  <c r="F4991" i="1"/>
  <c r="H4991" i="1"/>
  <c r="A4992" i="1"/>
  <c r="B4992" i="1"/>
  <c r="C4992" i="1"/>
  <c r="D4992" i="1"/>
  <c r="E4992" i="1"/>
  <c r="F4992" i="1"/>
  <c r="H4992" i="1"/>
  <c r="A4993" i="1"/>
  <c r="B4993" i="1"/>
  <c r="C4993" i="1"/>
  <c r="D4993" i="1"/>
  <c r="E4993" i="1"/>
  <c r="F4993" i="1"/>
  <c r="H4993" i="1"/>
  <c r="A4994" i="1"/>
  <c r="B4994" i="1"/>
  <c r="C4994" i="1"/>
  <c r="D4994" i="1"/>
  <c r="E4994" i="1"/>
  <c r="F4994" i="1"/>
  <c r="H4994" i="1"/>
  <c r="A4995" i="1"/>
  <c r="B4995" i="1"/>
  <c r="C4995" i="1"/>
  <c r="D4995" i="1"/>
  <c r="E4995" i="1"/>
  <c r="F4995" i="1"/>
  <c r="H4995" i="1"/>
  <c r="A4996" i="1"/>
  <c r="B4996" i="1"/>
  <c r="C4996" i="1"/>
  <c r="D4996" i="1"/>
  <c r="E4996" i="1"/>
  <c r="F4996" i="1"/>
  <c r="H4996" i="1"/>
  <c r="A4997" i="1"/>
  <c r="B4997" i="1"/>
  <c r="C4997" i="1"/>
  <c r="D4997" i="1"/>
  <c r="E4997" i="1"/>
  <c r="F4997" i="1"/>
  <c r="H4997" i="1"/>
  <c r="A4998" i="1"/>
  <c r="B4998" i="1"/>
  <c r="C4998" i="1"/>
  <c r="D4998" i="1"/>
  <c r="E4998" i="1"/>
  <c r="F4998" i="1"/>
  <c r="H4998" i="1"/>
  <c r="A4999" i="1"/>
  <c r="B4999" i="1"/>
  <c r="C4999" i="1"/>
  <c r="D4999" i="1"/>
  <c r="E4999" i="1"/>
  <c r="F4999" i="1"/>
  <c r="H4999" i="1"/>
  <c r="A5000" i="1"/>
  <c r="B5000" i="1"/>
  <c r="C5000" i="1"/>
  <c r="D5000" i="1"/>
  <c r="E5000" i="1"/>
  <c r="F5000" i="1"/>
  <c r="H5000" i="1"/>
  <c r="A5001" i="1"/>
  <c r="B5001" i="1"/>
  <c r="C5001" i="1"/>
  <c r="D5001" i="1"/>
  <c r="E5001" i="1"/>
  <c r="F5001" i="1"/>
  <c r="H5001" i="1"/>
  <c r="A5002" i="1"/>
  <c r="B5002" i="1"/>
  <c r="C5002" i="1"/>
  <c r="D5002" i="1"/>
  <c r="E5002" i="1"/>
  <c r="F5002" i="1"/>
  <c r="H5002" i="1"/>
  <c r="A5003" i="1"/>
  <c r="B5003" i="1"/>
  <c r="C5003" i="1"/>
  <c r="D5003" i="1"/>
  <c r="E5003" i="1"/>
  <c r="F5003" i="1"/>
  <c r="H5003" i="1"/>
  <c r="A5004" i="1"/>
  <c r="B5004" i="1"/>
  <c r="C5004" i="1"/>
  <c r="D5004" i="1"/>
  <c r="E5004" i="1"/>
  <c r="F5004" i="1"/>
  <c r="H5004" i="1"/>
  <c r="A5005" i="1"/>
  <c r="B5005" i="1"/>
  <c r="C5005" i="1"/>
  <c r="D5005" i="1"/>
  <c r="E5005" i="1"/>
  <c r="F5005" i="1"/>
  <c r="H5005" i="1"/>
  <c r="A5006" i="1"/>
  <c r="B5006" i="1"/>
  <c r="C5006" i="1"/>
  <c r="D5006" i="1"/>
  <c r="E5006" i="1"/>
  <c r="F5006" i="1"/>
  <c r="H5006" i="1"/>
  <c r="A5007" i="1"/>
  <c r="B5007" i="1"/>
  <c r="C5007" i="1"/>
  <c r="D5007" i="1"/>
  <c r="E5007" i="1"/>
  <c r="F5007" i="1"/>
  <c r="H5007" i="1"/>
  <c r="A5008" i="1"/>
  <c r="B5008" i="1"/>
  <c r="C5008" i="1"/>
  <c r="D5008" i="1"/>
  <c r="E5008" i="1"/>
  <c r="F5008" i="1"/>
  <c r="H5008" i="1"/>
  <c r="A5009" i="1"/>
  <c r="B5009" i="1"/>
  <c r="C5009" i="1"/>
  <c r="D5009" i="1"/>
  <c r="E5009" i="1"/>
  <c r="F5009" i="1"/>
  <c r="H5009" i="1"/>
  <c r="A5010" i="1"/>
  <c r="B5010" i="1"/>
  <c r="C5010" i="1"/>
  <c r="D5010" i="1"/>
  <c r="E5010" i="1"/>
  <c r="F5010" i="1"/>
  <c r="H5010" i="1"/>
  <c r="A5011" i="1"/>
  <c r="B5011" i="1"/>
  <c r="C5011" i="1"/>
  <c r="D5011" i="1"/>
  <c r="E5011" i="1"/>
  <c r="F5011" i="1"/>
  <c r="H5011" i="1"/>
  <c r="A5012" i="1"/>
  <c r="B5012" i="1"/>
  <c r="C5012" i="1"/>
  <c r="D5012" i="1"/>
  <c r="E5012" i="1"/>
  <c r="F5012" i="1"/>
  <c r="H5012" i="1"/>
  <c r="A5013" i="1"/>
  <c r="B5013" i="1"/>
  <c r="C5013" i="1"/>
  <c r="D5013" i="1"/>
  <c r="E5013" i="1"/>
  <c r="F5013" i="1"/>
  <c r="H5013" i="1"/>
  <c r="A5014" i="1"/>
  <c r="B5014" i="1"/>
  <c r="C5014" i="1"/>
  <c r="D5014" i="1"/>
  <c r="E5014" i="1"/>
  <c r="F5014" i="1"/>
  <c r="H5014" i="1"/>
  <c r="A5015" i="1"/>
  <c r="B5015" i="1"/>
  <c r="C5015" i="1"/>
  <c r="D5015" i="1"/>
  <c r="E5015" i="1"/>
  <c r="F5015" i="1"/>
  <c r="H5015" i="1"/>
  <c r="A5016" i="1"/>
  <c r="B5016" i="1"/>
  <c r="C5016" i="1"/>
  <c r="D5016" i="1"/>
  <c r="E5016" i="1"/>
  <c r="F5016" i="1"/>
  <c r="H5016" i="1"/>
  <c r="A5017" i="1"/>
  <c r="B5017" i="1"/>
  <c r="C5017" i="1"/>
  <c r="D5017" i="1"/>
  <c r="E5017" i="1"/>
  <c r="F5017" i="1"/>
  <c r="H5017" i="1"/>
  <c r="A5018" i="1"/>
  <c r="B5018" i="1"/>
  <c r="C5018" i="1"/>
  <c r="D5018" i="1"/>
  <c r="E5018" i="1"/>
  <c r="F5018" i="1"/>
  <c r="H5018" i="1"/>
  <c r="A5019" i="1"/>
  <c r="B5019" i="1"/>
  <c r="C5019" i="1"/>
  <c r="D5019" i="1"/>
  <c r="E5019" i="1"/>
  <c r="F5019" i="1"/>
  <c r="H5019" i="1"/>
  <c r="A5020" i="1"/>
  <c r="B5020" i="1"/>
  <c r="C5020" i="1"/>
  <c r="D5020" i="1"/>
  <c r="E5020" i="1"/>
  <c r="F5020" i="1"/>
  <c r="H5020" i="1"/>
  <c r="A5021" i="1"/>
  <c r="B5021" i="1"/>
  <c r="C5021" i="1"/>
  <c r="D5021" i="1"/>
  <c r="E5021" i="1"/>
  <c r="F5021" i="1"/>
  <c r="H5021" i="1"/>
  <c r="A5022" i="1"/>
  <c r="B5022" i="1"/>
  <c r="C5022" i="1"/>
  <c r="D5022" i="1"/>
  <c r="E5022" i="1"/>
  <c r="F5022" i="1"/>
  <c r="H5022" i="1"/>
  <c r="A5023" i="1"/>
  <c r="B5023" i="1"/>
  <c r="C5023" i="1"/>
  <c r="D5023" i="1"/>
  <c r="E5023" i="1"/>
  <c r="F5023" i="1"/>
  <c r="H5023" i="1"/>
  <c r="A5024" i="1"/>
  <c r="B5024" i="1"/>
  <c r="C5024" i="1"/>
  <c r="D5024" i="1"/>
  <c r="E5024" i="1"/>
  <c r="F5024" i="1"/>
  <c r="H5024" i="1"/>
  <c r="A5025" i="1"/>
  <c r="B5025" i="1"/>
  <c r="C5025" i="1"/>
  <c r="D5025" i="1"/>
  <c r="E5025" i="1"/>
  <c r="F5025" i="1"/>
  <c r="H5025" i="1"/>
  <c r="A5026" i="1"/>
  <c r="B5026" i="1"/>
  <c r="C5026" i="1"/>
  <c r="D5026" i="1"/>
  <c r="E5026" i="1"/>
  <c r="F5026" i="1"/>
  <c r="H5026" i="1"/>
  <c r="A5027" i="1"/>
  <c r="B5027" i="1"/>
  <c r="C5027" i="1"/>
  <c r="D5027" i="1"/>
  <c r="E5027" i="1"/>
  <c r="F5027" i="1"/>
  <c r="H5027" i="1"/>
  <c r="A5028" i="1"/>
  <c r="B5028" i="1"/>
  <c r="C5028" i="1"/>
  <c r="D5028" i="1"/>
  <c r="E5028" i="1"/>
  <c r="F5028" i="1"/>
  <c r="H5028" i="1"/>
  <c r="A5029" i="1"/>
  <c r="B5029" i="1"/>
  <c r="C5029" i="1"/>
  <c r="D5029" i="1"/>
  <c r="E5029" i="1"/>
  <c r="F5029" i="1"/>
  <c r="H5029" i="1"/>
  <c r="A5030" i="1"/>
  <c r="B5030" i="1"/>
  <c r="C5030" i="1"/>
  <c r="D5030" i="1"/>
  <c r="E5030" i="1"/>
  <c r="F5030" i="1"/>
  <c r="H5030" i="1"/>
  <c r="A5031" i="1"/>
  <c r="B5031" i="1"/>
  <c r="C5031" i="1"/>
  <c r="D5031" i="1"/>
  <c r="E5031" i="1"/>
  <c r="F5031" i="1"/>
  <c r="H5031" i="1"/>
  <c r="A5032" i="1"/>
  <c r="B5032" i="1"/>
  <c r="C5032" i="1"/>
  <c r="D5032" i="1"/>
  <c r="E5032" i="1"/>
  <c r="F5032" i="1"/>
  <c r="H5032" i="1"/>
  <c r="A5033" i="1"/>
  <c r="B5033" i="1"/>
  <c r="C5033" i="1"/>
  <c r="D5033" i="1"/>
  <c r="E5033" i="1"/>
  <c r="F5033" i="1"/>
  <c r="H5033" i="1"/>
  <c r="A5034" i="1"/>
  <c r="B5034" i="1"/>
  <c r="C5034" i="1"/>
  <c r="D5034" i="1"/>
  <c r="E5034" i="1"/>
  <c r="F5034" i="1"/>
  <c r="H5034" i="1"/>
  <c r="A5035" i="1"/>
  <c r="B5035" i="1"/>
  <c r="C5035" i="1"/>
  <c r="D5035" i="1"/>
  <c r="E5035" i="1"/>
  <c r="F5035" i="1"/>
  <c r="H5035" i="1"/>
  <c r="A5036" i="1"/>
  <c r="B5036" i="1"/>
  <c r="C5036" i="1"/>
  <c r="D5036" i="1"/>
  <c r="E5036" i="1"/>
  <c r="F5036" i="1"/>
  <c r="H5036" i="1"/>
  <c r="A5037" i="1"/>
  <c r="B5037" i="1"/>
  <c r="C5037" i="1"/>
  <c r="D5037" i="1"/>
  <c r="E5037" i="1"/>
  <c r="F5037" i="1"/>
  <c r="H5037" i="1"/>
  <c r="A5038" i="1"/>
  <c r="B5038" i="1"/>
  <c r="C5038" i="1"/>
  <c r="D5038" i="1"/>
  <c r="E5038" i="1"/>
  <c r="F5038" i="1"/>
  <c r="H5038" i="1"/>
  <c r="A5039" i="1"/>
  <c r="B5039" i="1"/>
  <c r="C5039" i="1"/>
  <c r="D5039" i="1"/>
  <c r="E5039" i="1"/>
  <c r="F5039" i="1"/>
  <c r="H5039" i="1"/>
  <c r="A5040" i="1"/>
  <c r="B5040" i="1"/>
  <c r="C5040" i="1"/>
  <c r="D5040" i="1"/>
  <c r="E5040" i="1"/>
  <c r="F5040" i="1"/>
  <c r="H5040" i="1"/>
  <c r="A5041" i="1"/>
  <c r="B5041" i="1"/>
  <c r="C5041" i="1"/>
  <c r="D5041" i="1"/>
  <c r="E5041" i="1"/>
  <c r="F5041" i="1"/>
  <c r="H5041" i="1"/>
  <c r="A5042" i="1"/>
  <c r="B5042" i="1"/>
  <c r="C5042" i="1"/>
  <c r="D5042" i="1"/>
  <c r="E5042" i="1"/>
  <c r="F5042" i="1"/>
  <c r="H5042" i="1"/>
  <c r="A5043" i="1"/>
  <c r="B5043" i="1"/>
  <c r="C5043" i="1"/>
  <c r="D5043" i="1"/>
  <c r="E5043" i="1"/>
  <c r="F5043" i="1"/>
  <c r="H5043" i="1"/>
  <c r="A5044" i="1"/>
  <c r="B5044" i="1"/>
  <c r="C5044" i="1"/>
  <c r="D5044" i="1"/>
  <c r="E5044" i="1"/>
  <c r="F5044" i="1"/>
  <c r="H5044" i="1"/>
  <c r="A5045" i="1"/>
  <c r="B5045" i="1"/>
  <c r="C5045" i="1"/>
  <c r="D5045" i="1"/>
  <c r="E5045" i="1"/>
  <c r="F5045" i="1"/>
  <c r="H5045" i="1"/>
  <c r="A5046" i="1"/>
  <c r="B5046" i="1"/>
  <c r="C5046" i="1"/>
  <c r="D5046" i="1"/>
  <c r="E5046" i="1"/>
  <c r="F5046" i="1"/>
  <c r="H5046" i="1"/>
  <c r="A5047" i="1"/>
  <c r="B5047" i="1"/>
  <c r="C5047" i="1"/>
  <c r="D5047" i="1"/>
  <c r="E5047" i="1"/>
  <c r="F5047" i="1"/>
  <c r="H5047" i="1"/>
  <c r="A5048" i="1"/>
  <c r="B5048" i="1"/>
  <c r="C5048" i="1"/>
  <c r="D5048" i="1"/>
  <c r="E5048" i="1"/>
  <c r="F5048" i="1"/>
  <c r="H5048" i="1"/>
  <c r="A5049" i="1"/>
  <c r="B5049" i="1"/>
  <c r="C5049" i="1"/>
  <c r="D5049" i="1"/>
  <c r="E5049" i="1"/>
  <c r="F5049" i="1"/>
  <c r="H5049" i="1"/>
  <c r="A5050" i="1"/>
  <c r="B5050" i="1"/>
  <c r="C5050" i="1"/>
  <c r="D5050" i="1"/>
  <c r="E5050" i="1"/>
  <c r="F5050" i="1"/>
  <c r="H5050" i="1"/>
  <c r="A5051" i="1"/>
  <c r="B5051" i="1"/>
  <c r="C5051" i="1"/>
  <c r="D5051" i="1"/>
  <c r="E5051" i="1"/>
  <c r="F5051" i="1"/>
  <c r="H5051" i="1"/>
  <c r="A5052" i="1"/>
  <c r="B5052" i="1"/>
  <c r="C5052" i="1"/>
  <c r="D5052" i="1"/>
  <c r="E5052" i="1"/>
  <c r="F5052" i="1"/>
  <c r="H5052" i="1"/>
  <c r="A5053" i="1"/>
  <c r="B5053" i="1"/>
  <c r="C5053" i="1"/>
  <c r="D5053" i="1"/>
  <c r="E5053" i="1"/>
  <c r="F5053" i="1"/>
  <c r="H5053" i="1"/>
  <c r="A5054" i="1"/>
  <c r="B5054" i="1"/>
  <c r="C5054" i="1"/>
  <c r="D5054" i="1"/>
  <c r="E5054" i="1"/>
  <c r="F5054" i="1"/>
  <c r="H5054" i="1"/>
  <c r="A5055" i="1"/>
  <c r="B5055" i="1"/>
  <c r="C5055" i="1"/>
  <c r="D5055" i="1"/>
  <c r="E5055" i="1"/>
  <c r="F5055" i="1"/>
  <c r="H5055" i="1"/>
  <c r="A5056" i="1"/>
  <c r="B5056" i="1"/>
  <c r="C5056" i="1"/>
  <c r="D5056" i="1"/>
  <c r="E5056" i="1"/>
  <c r="F5056" i="1"/>
  <c r="H5056" i="1"/>
  <c r="A5057" i="1"/>
  <c r="B5057" i="1"/>
  <c r="C5057" i="1"/>
  <c r="D5057" i="1"/>
  <c r="E5057" i="1"/>
  <c r="F5057" i="1"/>
  <c r="H5057" i="1"/>
  <c r="A5058" i="1"/>
  <c r="B5058" i="1"/>
  <c r="C5058" i="1"/>
  <c r="D5058" i="1"/>
  <c r="E5058" i="1"/>
  <c r="F5058" i="1"/>
  <c r="H5058" i="1"/>
  <c r="A5059" i="1"/>
  <c r="B5059" i="1"/>
  <c r="C5059" i="1"/>
  <c r="D5059" i="1"/>
  <c r="E5059" i="1"/>
  <c r="F5059" i="1"/>
  <c r="H5059" i="1"/>
  <c r="A5060" i="1"/>
  <c r="B5060" i="1"/>
  <c r="C5060" i="1"/>
  <c r="D5060" i="1"/>
  <c r="E5060" i="1"/>
  <c r="F5060" i="1"/>
  <c r="H5060" i="1"/>
  <c r="A5061" i="1"/>
  <c r="B5061" i="1"/>
  <c r="C5061" i="1"/>
  <c r="D5061" i="1"/>
  <c r="E5061" i="1"/>
  <c r="F5061" i="1"/>
  <c r="H5061" i="1"/>
  <c r="A5062" i="1"/>
  <c r="B5062" i="1"/>
  <c r="C5062" i="1"/>
  <c r="D5062" i="1"/>
  <c r="E5062" i="1"/>
  <c r="F5062" i="1"/>
  <c r="H5062" i="1"/>
  <c r="A5063" i="1"/>
  <c r="B5063" i="1"/>
  <c r="C5063" i="1"/>
  <c r="D5063" i="1"/>
  <c r="E5063" i="1"/>
  <c r="F5063" i="1"/>
  <c r="H5063" i="1"/>
  <c r="A5064" i="1"/>
  <c r="B5064" i="1"/>
  <c r="C5064" i="1"/>
  <c r="D5064" i="1"/>
  <c r="E5064" i="1"/>
  <c r="F5064" i="1"/>
  <c r="H5064" i="1"/>
  <c r="A5065" i="1"/>
  <c r="B5065" i="1"/>
  <c r="C5065" i="1"/>
  <c r="D5065" i="1"/>
  <c r="E5065" i="1"/>
  <c r="F5065" i="1"/>
  <c r="H5065" i="1"/>
  <c r="A5066" i="1"/>
  <c r="B5066" i="1"/>
  <c r="C5066" i="1"/>
  <c r="D5066" i="1"/>
  <c r="E5066" i="1"/>
  <c r="F5066" i="1"/>
  <c r="H5066" i="1"/>
  <c r="A5067" i="1"/>
  <c r="B5067" i="1"/>
  <c r="C5067" i="1"/>
  <c r="D5067" i="1"/>
  <c r="E5067" i="1"/>
  <c r="F5067" i="1"/>
  <c r="H5067" i="1"/>
  <c r="A5068" i="1"/>
  <c r="B5068" i="1"/>
  <c r="C5068" i="1"/>
  <c r="D5068" i="1"/>
  <c r="E5068" i="1"/>
  <c r="F5068" i="1"/>
  <c r="H5068" i="1"/>
  <c r="A5069" i="1"/>
  <c r="B5069" i="1"/>
  <c r="C5069" i="1"/>
  <c r="D5069" i="1"/>
  <c r="E5069" i="1"/>
  <c r="F5069" i="1"/>
  <c r="H5069" i="1"/>
  <c r="A5070" i="1"/>
  <c r="B5070" i="1"/>
  <c r="C5070" i="1"/>
  <c r="D5070" i="1"/>
  <c r="E5070" i="1"/>
  <c r="F5070" i="1"/>
  <c r="H5070" i="1"/>
  <c r="A5071" i="1"/>
  <c r="B5071" i="1"/>
  <c r="C5071" i="1"/>
  <c r="D5071" i="1"/>
  <c r="E5071" i="1"/>
  <c r="F5071" i="1"/>
  <c r="H5071" i="1"/>
  <c r="A5072" i="1"/>
  <c r="B5072" i="1"/>
  <c r="C5072" i="1"/>
  <c r="D5072" i="1"/>
  <c r="E5072" i="1"/>
  <c r="F5072" i="1"/>
  <c r="H5072" i="1"/>
  <c r="A5073" i="1"/>
  <c r="B5073" i="1"/>
  <c r="C5073" i="1"/>
  <c r="D5073" i="1"/>
  <c r="E5073" i="1"/>
  <c r="F5073" i="1"/>
  <c r="H5073" i="1"/>
  <c r="A5074" i="1"/>
  <c r="B5074" i="1"/>
  <c r="C5074" i="1"/>
  <c r="D5074" i="1"/>
  <c r="E5074" i="1"/>
  <c r="F5074" i="1"/>
  <c r="H5074" i="1"/>
  <c r="A5075" i="1"/>
  <c r="B5075" i="1"/>
  <c r="C5075" i="1"/>
  <c r="D5075" i="1"/>
  <c r="E5075" i="1"/>
  <c r="F5075" i="1"/>
  <c r="H5075" i="1"/>
  <c r="A5076" i="1"/>
  <c r="B5076" i="1"/>
  <c r="C5076" i="1"/>
  <c r="D5076" i="1"/>
  <c r="E5076" i="1"/>
  <c r="F5076" i="1"/>
  <c r="H5076" i="1"/>
  <c r="A5077" i="1"/>
  <c r="B5077" i="1"/>
  <c r="C5077" i="1"/>
  <c r="D5077" i="1"/>
  <c r="E5077" i="1"/>
  <c r="F5077" i="1"/>
  <c r="H5077" i="1"/>
  <c r="A5078" i="1"/>
  <c r="B5078" i="1"/>
  <c r="C5078" i="1"/>
  <c r="D5078" i="1"/>
  <c r="E5078" i="1"/>
  <c r="F5078" i="1"/>
  <c r="H5078" i="1"/>
  <c r="A5079" i="1"/>
  <c r="B5079" i="1"/>
  <c r="C5079" i="1"/>
  <c r="D5079" i="1"/>
  <c r="E5079" i="1"/>
  <c r="F5079" i="1"/>
  <c r="H5079" i="1"/>
  <c r="A5080" i="1"/>
  <c r="B5080" i="1"/>
  <c r="C5080" i="1"/>
  <c r="D5080" i="1"/>
  <c r="E5080" i="1"/>
  <c r="F5080" i="1"/>
  <c r="H5080" i="1"/>
  <c r="A5081" i="1"/>
  <c r="B5081" i="1"/>
  <c r="C5081" i="1"/>
  <c r="D5081" i="1"/>
  <c r="E5081" i="1"/>
  <c r="F5081" i="1"/>
  <c r="H5081" i="1"/>
  <c r="A5082" i="1"/>
  <c r="B5082" i="1"/>
  <c r="C5082" i="1"/>
  <c r="D5082" i="1"/>
  <c r="E5082" i="1"/>
  <c r="F5082" i="1"/>
  <c r="H5082" i="1"/>
  <c r="A5083" i="1"/>
  <c r="B5083" i="1"/>
  <c r="C5083" i="1"/>
  <c r="D5083" i="1"/>
  <c r="E5083" i="1"/>
  <c r="F5083" i="1"/>
  <c r="H5083" i="1"/>
  <c r="A5084" i="1"/>
  <c r="B5084" i="1"/>
  <c r="C5084" i="1"/>
  <c r="D5084" i="1"/>
  <c r="E5084" i="1"/>
  <c r="F5084" i="1"/>
  <c r="H5084" i="1"/>
  <c r="A5085" i="1"/>
  <c r="B5085" i="1"/>
  <c r="C5085" i="1"/>
  <c r="D5085" i="1"/>
  <c r="E5085" i="1"/>
  <c r="F5085" i="1"/>
  <c r="H5085" i="1"/>
  <c r="A5086" i="1"/>
  <c r="B5086" i="1"/>
  <c r="C5086" i="1"/>
  <c r="D5086" i="1"/>
  <c r="E5086" i="1"/>
  <c r="F5086" i="1"/>
  <c r="H5086" i="1"/>
  <c r="A5087" i="1"/>
  <c r="B5087" i="1"/>
  <c r="C5087" i="1"/>
  <c r="D5087" i="1"/>
  <c r="E5087" i="1"/>
  <c r="F5087" i="1"/>
  <c r="H5087" i="1"/>
  <c r="A5088" i="1"/>
  <c r="B5088" i="1"/>
  <c r="C5088" i="1"/>
  <c r="D5088" i="1"/>
  <c r="E5088" i="1"/>
  <c r="F5088" i="1"/>
  <c r="H5088" i="1"/>
  <c r="A5089" i="1"/>
  <c r="B5089" i="1"/>
  <c r="C5089" i="1"/>
  <c r="D5089" i="1"/>
  <c r="E5089" i="1"/>
  <c r="F5089" i="1"/>
  <c r="H5089" i="1"/>
  <c r="A5090" i="1"/>
  <c r="B5090" i="1"/>
  <c r="C5090" i="1"/>
  <c r="D5090" i="1"/>
  <c r="E5090" i="1"/>
  <c r="F5090" i="1"/>
  <c r="H5090" i="1"/>
  <c r="A5091" i="1"/>
  <c r="B5091" i="1"/>
  <c r="C5091" i="1"/>
  <c r="D5091" i="1"/>
  <c r="E5091" i="1"/>
  <c r="F5091" i="1"/>
  <c r="H5091" i="1"/>
  <c r="A5092" i="1"/>
  <c r="B5092" i="1"/>
  <c r="C5092" i="1"/>
  <c r="D5092" i="1"/>
  <c r="E5092" i="1"/>
  <c r="F5092" i="1"/>
  <c r="H5092" i="1"/>
  <c r="A5093" i="1"/>
  <c r="B5093" i="1"/>
  <c r="C5093" i="1"/>
  <c r="D5093" i="1"/>
  <c r="E5093" i="1"/>
  <c r="F5093" i="1"/>
  <c r="H5093" i="1"/>
  <c r="A5094" i="1"/>
  <c r="B5094" i="1"/>
  <c r="C5094" i="1"/>
  <c r="D5094" i="1"/>
  <c r="E5094" i="1"/>
  <c r="F5094" i="1"/>
  <c r="H5094" i="1"/>
  <c r="A5095" i="1"/>
  <c r="B5095" i="1"/>
  <c r="C5095" i="1"/>
  <c r="D5095" i="1"/>
  <c r="E5095" i="1"/>
  <c r="F5095" i="1"/>
  <c r="H5095" i="1"/>
  <c r="A5096" i="1"/>
  <c r="B5096" i="1"/>
  <c r="C5096" i="1"/>
  <c r="D5096" i="1"/>
  <c r="E5096" i="1"/>
  <c r="F5096" i="1"/>
  <c r="H5096" i="1"/>
  <c r="A5097" i="1"/>
  <c r="B5097" i="1"/>
  <c r="C5097" i="1"/>
  <c r="D5097" i="1"/>
  <c r="E5097" i="1"/>
  <c r="F5097" i="1"/>
  <c r="H5097" i="1"/>
  <c r="A5098" i="1"/>
  <c r="B5098" i="1"/>
  <c r="C5098" i="1"/>
  <c r="D5098" i="1"/>
  <c r="E5098" i="1"/>
  <c r="F5098" i="1"/>
  <c r="H5098" i="1"/>
  <c r="A5099" i="1"/>
  <c r="B5099" i="1"/>
  <c r="C5099" i="1"/>
  <c r="D5099" i="1"/>
  <c r="E5099" i="1"/>
  <c r="F5099" i="1"/>
  <c r="H5099" i="1"/>
  <c r="A5100" i="1"/>
  <c r="B5100" i="1"/>
  <c r="C5100" i="1"/>
  <c r="D5100" i="1"/>
  <c r="E5100" i="1"/>
  <c r="F5100" i="1"/>
  <c r="H5100" i="1"/>
  <c r="A5101" i="1"/>
  <c r="B5101" i="1"/>
  <c r="C5101" i="1"/>
  <c r="D5101" i="1"/>
  <c r="E5101" i="1"/>
  <c r="F5101" i="1"/>
  <c r="H5101" i="1"/>
  <c r="A5102" i="1"/>
  <c r="B5102" i="1"/>
  <c r="C5102" i="1"/>
  <c r="D5102" i="1"/>
  <c r="E5102" i="1"/>
  <c r="F5102" i="1"/>
  <c r="H5102" i="1"/>
  <c r="A5103" i="1"/>
  <c r="B5103" i="1"/>
  <c r="C5103" i="1"/>
  <c r="D5103" i="1"/>
  <c r="E5103" i="1"/>
  <c r="F5103" i="1"/>
  <c r="H5103" i="1"/>
  <c r="A5104" i="1"/>
  <c r="B5104" i="1"/>
  <c r="C5104" i="1"/>
  <c r="D5104" i="1"/>
  <c r="E5104" i="1"/>
  <c r="F5104" i="1"/>
  <c r="H5104" i="1"/>
  <c r="A5105" i="1"/>
  <c r="B5105" i="1"/>
  <c r="C5105" i="1"/>
  <c r="D5105" i="1"/>
  <c r="E5105" i="1"/>
  <c r="F5105" i="1"/>
  <c r="H5105" i="1"/>
  <c r="A5106" i="1"/>
  <c r="B5106" i="1"/>
  <c r="C5106" i="1"/>
  <c r="D5106" i="1"/>
  <c r="E5106" i="1"/>
  <c r="F5106" i="1"/>
  <c r="H5106" i="1"/>
  <c r="A5107" i="1"/>
  <c r="B5107" i="1"/>
  <c r="C5107" i="1"/>
  <c r="D5107" i="1"/>
  <c r="E5107" i="1"/>
  <c r="F5107" i="1"/>
  <c r="H5107" i="1"/>
  <c r="A5108" i="1"/>
  <c r="B5108" i="1"/>
  <c r="C5108" i="1"/>
  <c r="D5108" i="1"/>
  <c r="E5108" i="1"/>
  <c r="F5108" i="1"/>
  <c r="H5108" i="1"/>
  <c r="A5109" i="1"/>
  <c r="B5109" i="1"/>
  <c r="C5109" i="1"/>
  <c r="D5109" i="1"/>
  <c r="E5109" i="1"/>
  <c r="F5109" i="1"/>
  <c r="H5109" i="1"/>
  <c r="A5110" i="1"/>
  <c r="B5110" i="1"/>
  <c r="C5110" i="1"/>
  <c r="D5110" i="1"/>
  <c r="E5110" i="1"/>
  <c r="F5110" i="1"/>
  <c r="H5110" i="1"/>
  <c r="A5111" i="1"/>
  <c r="B5111" i="1"/>
  <c r="C5111" i="1"/>
  <c r="D5111" i="1"/>
  <c r="E5111" i="1"/>
  <c r="F5111" i="1"/>
  <c r="H5111" i="1"/>
  <c r="A5112" i="1"/>
  <c r="B5112" i="1"/>
  <c r="C5112" i="1"/>
  <c r="D5112" i="1"/>
  <c r="E5112" i="1"/>
  <c r="F5112" i="1"/>
  <c r="H5112" i="1"/>
  <c r="A5113" i="1"/>
  <c r="B5113" i="1"/>
  <c r="C5113" i="1"/>
  <c r="D5113" i="1"/>
  <c r="E5113" i="1"/>
  <c r="F5113" i="1"/>
  <c r="H5113" i="1"/>
  <c r="A5114" i="1"/>
  <c r="B5114" i="1"/>
  <c r="C5114" i="1"/>
  <c r="D5114" i="1"/>
  <c r="E5114" i="1"/>
  <c r="F5114" i="1"/>
  <c r="H5114" i="1"/>
  <c r="A5115" i="1"/>
  <c r="B5115" i="1"/>
  <c r="C5115" i="1"/>
  <c r="D5115" i="1"/>
  <c r="E5115" i="1"/>
  <c r="F5115" i="1"/>
  <c r="H5115" i="1"/>
  <c r="A5116" i="1"/>
  <c r="B5116" i="1"/>
  <c r="C5116" i="1"/>
  <c r="D5116" i="1"/>
  <c r="E5116" i="1"/>
  <c r="F5116" i="1"/>
  <c r="H5116" i="1"/>
  <c r="A5117" i="1"/>
  <c r="B5117" i="1"/>
  <c r="C5117" i="1"/>
  <c r="D5117" i="1"/>
  <c r="E5117" i="1"/>
  <c r="F5117" i="1"/>
  <c r="H5117" i="1"/>
  <c r="A5118" i="1"/>
  <c r="B5118" i="1"/>
  <c r="C5118" i="1"/>
  <c r="D5118" i="1"/>
  <c r="E5118" i="1"/>
  <c r="F5118" i="1"/>
  <c r="H5118" i="1"/>
  <c r="A5119" i="1"/>
  <c r="B5119" i="1"/>
  <c r="C5119" i="1"/>
  <c r="D5119" i="1"/>
  <c r="E5119" i="1"/>
  <c r="F5119" i="1"/>
  <c r="H5119" i="1"/>
  <c r="A5120" i="1"/>
  <c r="B5120" i="1"/>
  <c r="C5120" i="1"/>
  <c r="D5120" i="1"/>
  <c r="E5120" i="1"/>
  <c r="F5120" i="1"/>
  <c r="H5120" i="1"/>
  <c r="A5121" i="1"/>
  <c r="B5121" i="1"/>
  <c r="C5121" i="1"/>
  <c r="D5121" i="1"/>
  <c r="E5121" i="1"/>
  <c r="F5121" i="1"/>
  <c r="H5121" i="1"/>
  <c r="A5122" i="1"/>
  <c r="B5122" i="1"/>
  <c r="C5122" i="1"/>
  <c r="D5122" i="1"/>
  <c r="E5122" i="1"/>
  <c r="F5122" i="1"/>
  <c r="H5122" i="1"/>
  <c r="A5123" i="1"/>
  <c r="B5123" i="1"/>
  <c r="C5123" i="1"/>
  <c r="D5123" i="1"/>
  <c r="E5123" i="1"/>
  <c r="F5123" i="1"/>
  <c r="H5123" i="1"/>
  <c r="A5124" i="1"/>
  <c r="B5124" i="1"/>
  <c r="C5124" i="1"/>
  <c r="D5124" i="1"/>
  <c r="E5124" i="1"/>
  <c r="F5124" i="1"/>
  <c r="H5124" i="1"/>
  <c r="A5125" i="1"/>
  <c r="B5125" i="1"/>
  <c r="C5125" i="1"/>
  <c r="D5125" i="1"/>
  <c r="E5125" i="1"/>
  <c r="F5125" i="1"/>
  <c r="H5125" i="1"/>
  <c r="A5126" i="1"/>
  <c r="B5126" i="1"/>
  <c r="C5126" i="1"/>
  <c r="D5126" i="1"/>
  <c r="E5126" i="1"/>
  <c r="F5126" i="1"/>
  <c r="H5126" i="1"/>
  <c r="A5127" i="1"/>
  <c r="B5127" i="1"/>
  <c r="C5127" i="1"/>
  <c r="D5127" i="1"/>
  <c r="E5127" i="1"/>
  <c r="F5127" i="1"/>
  <c r="H5127" i="1"/>
  <c r="A5128" i="1"/>
  <c r="B5128" i="1"/>
  <c r="C5128" i="1"/>
  <c r="D5128" i="1"/>
  <c r="E5128" i="1"/>
  <c r="F5128" i="1"/>
  <c r="H5128" i="1"/>
  <c r="A5129" i="1"/>
  <c r="B5129" i="1"/>
  <c r="C5129" i="1"/>
  <c r="D5129" i="1"/>
  <c r="E5129" i="1"/>
  <c r="F5129" i="1"/>
  <c r="H5129" i="1"/>
  <c r="A5130" i="1"/>
  <c r="B5130" i="1"/>
  <c r="C5130" i="1"/>
  <c r="D5130" i="1"/>
  <c r="E5130" i="1"/>
  <c r="F5130" i="1"/>
  <c r="H5130" i="1"/>
  <c r="A5131" i="1"/>
  <c r="B5131" i="1"/>
  <c r="C5131" i="1"/>
  <c r="D5131" i="1"/>
  <c r="E5131" i="1"/>
  <c r="F5131" i="1"/>
  <c r="H5131" i="1"/>
  <c r="A5132" i="1"/>
  <c r="B5132" i="1"/>
  <c r="C5132" i="1"/>
  <c r="D5132" i="1"/>
  <c r="E5132" i="1"/>
  <c r="F5132" i="1"/>
  <c r="H5132" i="1"/>
  <c r="A5133" i="1"/>
  <c r="B5133" i="1"/>
  <c r="C5133" i="1"/>
  <c r="D5133" i="1"/>
  <c r="E5133" i="1"/>
  <c r="F5133" i="1"/>
  <c r="H5133" i="1"/>
  <c r="A5134" i="1"/>
  <c r="B5134" i="1"/>
  <c r="C5134" i="1"/>
  <c r="D5134" i="1"/>
  <c r="E5134" i="1"/>
  <c r="F5134" i="1"/>
  <c r="H5134" i="1"/>
  <c r="A5135" i="1"/>
  <c r="B5135" i="1"/>
  <c r="C5135" i="1"/>
  <c r="D5135" i="1"/>
  <c r="E5135" i="1"/>
  <c r="F5135" i="1"/>
  <c r="H5135" i="1"/>
  <c r="A5136" i="1"/>
  <c r="B5136" i="1"/>
  <c r="C5136" i="1"/>
  <c r="D5136" i="1"/>
  <c r="E5136" i="1"/>
  <c r="F5136" i="1"/>
  <c r="H5136" i="1"/>
  <c r="A5137" i="1"/>
  <c r="B5137" i="1"/>
  <c r="C5137" i="1"/>
  <c r="D5137" i="1"/>
  <c r="E5137" i="1"/>
  <c r="F5137" i="1"/>
  <c r="H5137" i="1"/>
  <c r="A5138" i="1"/>
  <c r="B5138" i="1"/>
  <c r="C5138" i="1"/>
  <c r="D5138" i="1"/>
  <c r="E5138" i="1"/>
  <c r="F5138" i="1"/>
  <c r="H5138" i="1"/>
  <c r="A5139" i="1"/>
  <c r="B5139" i="1"/>
  <c r="C5139" i="1"/>
  <c r="D5139" i="1"/>
  <c r="E5139" i="1"/>
  <c r="F5139" i="1"/>
  <c r="H5139" i="1"/>
  <c r="A5140" i="1"/>
  <c r="B5140" i="1"/>
  <c r="C5140" i="1"/>
  <c r="D5140" i="1"/>
  <c r="E5140" i="1"/>
  <c r="F5140" i="1"/>
  <c r="H5140" i="1"/>
  <c r="A5141" i="1"/>
  <c r="B5141" i="1"/>
  <c r="C5141" i="1"/>
  <c r="D5141" i="1"/>
  <c r="E5141" i="1"/>
  <c r="F5141" i="1"/>
  <c r="H5141" i="1"/>
  <c r="A5142" i="1"/>
  <c r="B5142" i="1"/>
  <c r="C5142" i="1"/>
  <c r="D5142" i="1"/>
  <c r="E5142" i="1"/>
  <c r="F5142" i="1"/>
  <c r="H5142" i="1"/>
  <c r="A5143" i="1"/>
  <c r="B5143" i="1"/>
  <c r="C5143" i="1"/>
  <c r="D5143" i="1"/>
  <c r="E5143" i="1"/>
  <c r="F5143" i="1"/>
  <c r="H5143" i="1"/>
  <c r="A5144" i="1"/>
  <c r="B5144" i="1"/>
  <c r="C5144" i="1"/>
  <c r="D5144" i="1"/>
  <c r="E5144" i="1"/>
  <c r="F5144" i="1"/>
  <c r="H5144" i="1"/>
  <c r="A5145" i="1"/>
  <c r="B5145" i="1"/>
  <c r="C5145" i="1"/>
  <c r="D5145" i="1"/>
  <c r="E5145" i="1"/>
  <c r="F5145" i="1"/>
  <c r="H5145" i="1"/>
  <c r="A5146" i="1"/>
  <c r="B5146" i="1"/>
  <c r="C5146" i="1"/>
  <c r="D5146" i="1"/>
  <c r="E5146" i="1"/>
  <c r="F5146" i="1"/>
  <c r="H5146" i="1"/>
  <c r="A5147" i="1"/>
  <c r="B5147" i="1"/>
  <c r="C5147" i="1"/>
  <c r="D5147" i="1"/>
  <c r="E5147" i="1"/>
  <c r="F5147" i="1"/>
  <c r="H5147" i="1"/>
  <c r="A5148" i="1"/>
  <c r="B5148" i="1"/>
  <c r="C5148" i="1"/>
  <c r="D5148" i="1"/>
  <c r="E5148" i="1"/>
  <c r="F5148" i="1"/>
  <c r="H5148" i="1"/>
  <c r="A5149" i="1"/>
  <c r="B5149" i="1"/>
  <c r="C5149" i="1"/>
  <c r="D5149" i="1"/>
  <c r="E5149" i="1"/>
  <c r="F5149" i="1"/>
  <c r="H5149" i="1"/>
  <c r="A5150" i="1"/>
  <c r="B5150" i="1"/>
  <c r="C5150" i="1"/>
  <c r="D5150" i="1"/>
  <c r="E5150" i="1"/>
  <c r="F5150" i="1"/>
  <c r="H5150" i="1"/>
  <c r="A5151" i="1"/>
  <c r="B5151" i="1"/>
  <c r="C5151" i="1"/>
  <c r="D5151" i="1"/>
  <c r="E5151" i="1"/>
  <c r="F5151" i="1"/>
  <c r="H5151" i="1"/>
  <c r="A5152" i="1"/>
  <c r="B5152" i="1"/>
  <c r="C5152" i="1"/>
  <c r="D5152" i="1"/>
  <c r="E5152" i="1"/>
  <c r="F5152" i="1"/>
  <c r="H5152" i="1"/>
  <c r="A5153" i="1"/>
  <c r="B5153" i="1"/>
  <c r="C5153" i="1"/>
  <c r="D5153" i="1"/>
  <c r="E5153" i="1"/>
  <c r="F5153" i="1"/>
  <c r="H5153" i="1"/>
  <c r="A5154" i="1"/>
  <c r="B5154" i="1"/>
  <c r="C5154" i="1"/>
  <c r="D5154" i="1"/>
  <c r="E5154" i="1"/>
  <c r="F5154" i="1"/>
  <c r="H5154" i="1"/>
  <c r="A5155" i="1"/>
  <c r="B5155" i="1"/>
  <c r="C5155" i="1"/>
  <c r="D5155" i="1"/>
  <c r="E5155" i="1"/>
  <c r="F5155" i="1"/>
  <c r="H5155" i="1"/>
  <c r="A5156" i="1"/>
  <c r="B5156" i="1"/>
  <c r="C5156" i="1"/>
  <c r="D5156" i="1"/>
  <c r="E5156" i="1"/>
  <c r="F5156" i="1"/>
  <c r="H5156" i="1"/>
  <c r="A5157" i="1"/>
  <c r="B5157" i="1"/>
  <c r="C5157" i="1"/>
  <c r="D5157" i="1"/>
  <c r="E5157" i="1"/>
  <c r="F5157" i="1"/>
  <c r="H5157" i="1"/>
  <c r="A5158" i="1"/>
  <c r="B5158" i="1"/>
  <c r="C5158" i="1"/>
  <c r="D5158" i="1"/>
  <c r="E5158" i="1"/>
  <c r="F5158" i="1"/>
  <c r="H5158" i="1"/>
  <c r="A5159" i="1"/>
  <c r="B5159" i="1"/>
  <c r="C5159" i="1"/>
  <c r="D5159" i="1"/>
  <c r="E5159" i="1"/>
  <c r="F5159" i="1"/>
  <c r="H5159" i="1"/>
  <c r="A5160" i="1"/>
  <c r="B5160" i="1"/>
  <c r="C5160" i="1"/>
  <c r="D5160" i="1"/>
  <c r="E5160" i="1"/>
  <c r="F5160" i="1"/>
  <c r="H5160" i="1"/>
  <c r="A5161" i="1"/>
  <c r="B5161" i="1"/>
  <c r="C5161" i="1"/>
  <c r="D5161" i="1"/>
  <c r="E5161" i="1"/>
  <c r="F5161" i="1"/>
  <c r="H5161" i="1"/>
  <c r="A5162" i="1"/>
  <c r="B5162" i="1"/>
  <c r="C5162" i="1"/>
  <c r="D5162" i="1"/>
  <c r="E5162" i="1"/>
  <c r="F5162" i="1"/>
  <c r="H5162" i="1"/>
  <c r="A5163" i="1"/>
  <c r="B5163" i="1"/>
  <c r="C5163" i="1"/>
  <c r="D5163" i="1"/>
  <c r="E5163" i="1"/>
  <c r="F5163" i="1"/>
  <c r="H5163" i="1"/>
  <c r="A5164" i="1"/>
  <c r="B5164" i="1"/>
  <c r="C5164" i="1"/>
  <c r="D5164" i="1"/>
  <c r="E5164" i="1"/>
  <c r="F5164" i="1"/>
  <c r="H5164" i="1"/>
  <c r="A5165" i="1"/>
  <c r="B5165" i="1"/>
  <c r="C5165" i="1"/>
  <c r="D5165" i="1"/>
  <c r="E5165" i="1"/>
  <c r="F5165" i="1"/>
  <c r="H5165" i="1"/>
  <c r="A5166" i="1"/>
  <c r="B5166" i="1"/>
  <c r="C5166" i="1"/>
  <c r="D5166" i="1"/>
  <c r="E5166" i="1"/>
  <c r="F5166" i="1"/>
  <c r="H5166" i="1"/>
  <c r="A5167" i="1"/>
  <c r="B5167" i="1"/>
  <c r="C5167" i="1"/>
  <c r="D5167" i="1"/>
  <c r="E5167" i="1"/>
  <c r="F5167" i="1"/>
  <c r="H5167" i="1"/>
  <c r="A5168" i="1"/>
  <c r="B5168" i="1"/>
  <c r="C5168" i="1"/>
  <c r="D5168" i="1"/>
  <c r="E5168" i="1"/>
  <c r="F5168" i="1"/>
  <c r="H5168" i="1"/>
  <c r="A5169" i="1"/>
  <c r="B5169" i="1"/>
  <c r="C5169" i="1"/>
  <c r="D5169" i="1"/>
  <c r="E5169" i="1"/>
  <c r="F5169" i="1"/>
  <c r="H5169" i="1"/>
  <c r="A5170" i="1"/>
  <c r="B5170" i="1"/>
  <c r="C5170" i="1"/>
  <c r="D5170" i="1"/>
  <c r="E5170" i="1"/>
  <c r="F5170" i="1"/>
  <c r="H5170" i="1"/>
  <c r="A5171" i="1"/>
  <c r="B5171" i="1"/>
  <c r="C5171" i="1"/>
  <c r="D5171" i="1"/>
  <c r="E5171" i="1"/>
  <c r="F5171" i="1"/>
  <c r="H5171" i="1"/>
  <c r="A5172" i="1"/>
  <c r="B5172" i="1"/>
  <c r="C5172" i="1"/>
  <c r="D5172" i="1"/>
  <c r="E5172" i="1"/>
  <c r="F5172" i="1"/>
  <c r="H5172" i="1"/>
  <c r="A5173" i="1"/>
  <c r="B5173" i="1"/>
  <c r="C5173" i="1"/>
  <c r="D5173" i="1"/>
  <c r="E5173" i="1"/>
  <c r="F5173" i="1"/>
  <c r="H5173" i="1"/>
  <c r="A5174" i="1"/>
  <c r="B5174" i="1"/>
  <c r="C5174" i="1"/>
  <c r="D5174" i="1"/>
  <c r="E5174" i="1"/>
  <c r="F5174" i="1"/>
  <c r="H5174" i="1"/>
  <c r="A5175" i="1"/>
  <c r="B5175" i="1"/>
  <c r="C5175" i="1"/>
  <c r="D5175" i="1"/>
  <c r="E5175" i="1"/>
  <c r="F5175" i="1"/>
  <c r="H5175" i="1"/>
  <c r="A5176" i="1"/>
  <c r="B5176" i="1"/>
  <c r="C5176" i="1"/>
  <c r="D5176" i="1"/>
  <c r="E5176" i="1"/>
  <c r="F5176" i="1"/>
  <c r="H5176" i="1"/>
  <c r="A5177" i="1"/>
  <c r="B5177" i="1"/>
  <c r="C5177" i="1"/>
  <c r="D5177" i="1"/>
  <c r="E5177" i="1"/>
  <c r="F5177" i="1"/>
  <c r="H5177" i="1"/>
  <c r="A5178" i="1"/>
  <c r="B5178" i="1"/>
  <c r="C5178" i="1"/>
  <c r="D5178" i="1"/>
  <c r="E5178" i="1"/>
  <c r="F5178" i="1"/>
  <c r="H5178" i="1"/>
  <c r="A5179" i="1"/>
  <c r="B5179" i="1"/>
  <c r="C5179" i="1"/>
  <c r="D5179" i="1"/>
  <c r="E5179" i="1"/>
  <c r="F5179" i="1"/>
  <c r="H5179" i="1"/>
  <c r="A5180" i="1"/>
  <c r="B5180" i="1"/>
  <c r="C5180" i="1"/>
  <c r="D5180" i="1"/>
  <c r="E5180" i="1"/>
  <c r="F5180" i="1"/>
  <c r="H5180" i="1"/>
  <c r="A5181" i="1"/>
  <c r="B5181" i="1"/>
  <c r="C5181" i="1"/>
  <c r="D5181" i="1"/>
  <c r="E5181" i="1"/>
  <c r="F5181" i="1"/>
  <c r="H5181" i="1"/>
  <c r="A5182" i="1"/>
  <c r="B5182" i="1"/>
  <c r="C5182" i="1"/>
  <c r="D5182" i="1"/>
  <c r="E5182" i="1"/>
  <c r="F5182" i="1"/>
  <c r="H5182" i="1"/>
  <c r="A5183" i="1"/>
  <c r="B5183" i="1"/>
  <c r="C5183" i="1"/>
  <c r="D5183" i="1"/>
  <c r="E5183" i="1"/>
  <c r="F5183" i="1"/>
  <c r="H5183" i="1"/>
  <c r="A5184" i="1"/>
  <c r="B5184" i="1"/>
  <c r="C5184" i="1"/>
  <c r="D5184" i="1"/>
  <c r="E5184" i="1"/>
  <c r="F5184" i="1"/>
  <c r="H5184" i="1"/>
  <c r="A5185" i="1"/>
  <c r="B5185" i="1"/>
  <c r="C5185" i="1"/>
  <c r="D5185" i="1"/>
  <c r="E5185" i="1"/>
  <c r="F5185" i="1"/>
  <c r="H5185" i="1"/>
  <c r="A5186" i="1"/>
  <c r="B5186" i="1"/>
  <c r="C5186" i="1"/>
  <c r="D5186" i="1"/>
  <c r="E5186" i="1"/>
  <c r="F5186" i="1"/>
  <c r="H5186" i="1"/>
  <c r="A5187" i="1"/>
  <c r="B5187" i="1"/>
  <c r="C5187" i="1"/>
  <c r="D5187" i="1"/>
  <c r="E5187" i="1"/>
  <c r="F5187" i="1"/>
  <c r="H5187" i="1"/>
  <c r="A5188" i="1"/>
  <c r="B5188" i="1"/>
  <c r="C5188" i="1"/>
  <c r="D5188" i="1"/>
  <c r="E5188" i="1"/>
  <c r="F5188" i="1"/>
  <c r="H5188" i="1"/>
  <c r="A5189" i="1"/>
  <c r="B5189" i="1"/>
  <c r="C5189" i="1"/>
  <c r="D5189" i="1"/>
  <c r="E5189" i="1"/>
  <c r="F5189" i="1"/>
  <c r="H5189" i="1"/>
  <c r="A5190" i="1"/>
  <c r="B5190" i="1"/>
  <c r="C5190" i="1"/>
  <c r="D5190" i="1"/>
  <c r="E5190" i="1"/>
  <c r="F5190" i="1"/>
  <c r="H5190" i="1"/>
  <c r="A5191" i="1"/>
  <c r="B5191" i="1"/>
  <c r="C5191" i="1"/>
  <c r="D5191" i="1"/>
  <c r="E5191" i="1"/>
  <c r="F5191" i="1"/>
  <c r="H5191" i="1"/>
  <c r="A5192" i="1"/>
  <c r="B5192" i="1"/>
  <c r="C5192" i="1"/>
  <c r="D5192" i="1"/>
  <c r="E5192" i="1"/>
  <c r="F5192" i="1"/>
  <c r="H5192" i="1"/>
  <c r="A5193" i="1"/>
  <c r="B5193" i="1"/>
  <c r="C5193" i="1"/>
  <c r="D5193" i="1"/>
  <c r="E5193" i="1"/>
  <c r="F5193" i="1"/>
  <c r="H5193" i="1"/>
  <c r="A5194" i="1"/>
  <c r="B5194" i="1"/>
  <c r="C5194" i="1"/>
  <c r="D5194" i="1"/>
  <c r="E5194" i="1"/>
  <c r="F5194" i="1"/>
  <c r="H5194" i="1"/>
  <c r="A5195" i="1"/>
  <c r="B5195" i="1"/>
  <c r="C5195" i="1"/>
  <c r="D5195" i="1"/>
  <c r="E5195" i="1"/>
  <c r="F5195" i="1"/>
  <c r="H5195" i="1"/>
  <c r="A5196" i="1"/>
  <c r="B5196" i="1"/>
  <c r="C5196" i="1"/>
  <c r="D5196" i="1"/>
  <c r="E5196" i="1"/>
  <c r="F5196" i="1"/>
  <c r="H5196" i="1"/>
  <c r="A5197" i="1"/>
  <c r="B5197" i="1"/>
  <c r="C5197" i="1"/>
  <c r="D5197" i="1"/>
  <c r="E5197" i="1"/>
  <c r="F5197" i="1"/>
  <c r="H5197" i="1"/>
  <c r="A5198" i="1"/>
  <c r="B5198" i="1"/>
  <c r="C5198" i="1"/>
  <c r="D5198" i="1"/>
  <c r="E5198" i="1"/>
  <c r="F5198" i="1"/>
  <c r="H5198" i="1"/>
  <c r="A5199" i="1"/>
  <c r="B5199" i="1"/>
  <c r="C5199" i="1"/>
  <c r="D5199" i="1"/>
  <c r="E5199" i="1"/>
  <c r="F5199" i="1"/>
  <c r="H5199" i="1"/>
  <c r="A5200" i="1"/>
  <c r="B5200" i="1"/>
  <c r="C5200" i="1"/>
  <c r="D5200" i="1"/>
  <c r="E5200" i="1"/>
  <c r="F5200" i="1"/>
  <c r="H5200" i="1"/>
  <c r="A5201" i="1"/>
  <c r="B5201" i="1"/>
  <c r="C5201" i="1"/>
  <c r="D5201" i="1"/>
  <c r="E5201" i="1"/>
  <c r="F5201" i="1"/>
  <c r="H5201" i="1"/>
  <c r="A5202" i="1"/>
  <c r="B5202" i="1"/>
  <c r="C5202" i="1"/>
  <c r="D5202" i="1"/>
  <c r="E5202" i="1"/>
  <c r="F5202" i="1"/>
  <c r="H5202" i="1"/>
  <c r="A5203" i="1"/>
  <c r="B5203" i="1"/>
  <c r="C5203" i="1"/>
  <c r="D5203" i="1"/>
  <c r="E5203" i="1"/>
  <c r="F5203" i="1"/>
  <c r="H5203" i="1"/>
  <c r="A5204" i="1"/>
  <c r="B5204" i="1"/>
  <c r="C5204" i="1"/>
  <c r="D5204" i="1"/>
  <c r="E5204" i="1"/>
  <c r="F5204" i="1"/>
  <c r="H5204" i="1"/>
  <c r="A5205" i="1"/>
  <c r="B5205" i="1"/>
  <c r="C5205" i="1"/>
  <c r="D5205" i="1"/>
  <c r="E5205" i="1"/>
  <c r="F5205" i="1"/>
  <c r="H5205" i="1"/>
  <c r="A5206" i="1"/>
  <c r="B5206" i="1"/>
  <c r="C5206" i="1"/>
  <c r="D5206" i="1"/>
  <c r="E5206" i="1"/>
  <c r="F5206" i="1"/>
  <c r="H5206" i="1"/>
  <c r="A5207" i="1"/>
  <c r="B5207" i="1"/>
  <c r="C5207" i="1"/>
  <c r="D5207" i="1"/>
  <c r="E5207" i="1"/>
  <c r="F5207" i="1"/>
  <c r="H5207" i="1"/>
  <c r="A5208" i="1"/>
  <c r="B5208" i="1"/>
  <c r="C5208" i="1"/>
  <c r="D5208" i="1"/>
  <c r="E5208" i="1"/>
  <c r="F5208" i="1"/>
  <c r="H5208" i="1"/>
  <c r="A5209" i="1"/>
  <c r="B5209" i="1"/>
  <c r="C5209" i="1"/>
  <c r="D5209" i="1"/>
  <c r="E5209" i="1"/>
  <c r="F5209" i="1"/>
  <c r="H5209" i="1"/>
  <c r="A5210" i="1"/>
  <c r="B5210" i="1"/>
  <c r="C5210" i="1"/>
  <c r="D5210" i="1"/>
  <c r="E5210" i="1"/>
  <c r="F5210" i="1"/>
  <c r="H5210" i="1"/>
  <c r="A5211" i="1"/>
  <c r="B5211" i="1"/>
  <c r="C5211" i="1"/>
  <c r="D5211" i="1"/>
  <c r="E5211" i="1"/>
  <c r="F5211" i="1"/>
  <c r="H5211" i="1"/>
  <c r="A5212" i="1"/>
  <c r="B5212" i="1"/>
  <c r="C5212" i="1"/>
  <c r="D5212" i="1"/>
  <c r="E5212" i="1"/>
  <c r="F5212" i="1"/>
  <c r="H5212" i="1"/>
  <c r="A5213" i="1"/>
  <c r="B5213" i="1"/>
  <c r="C5213" i="1"/>
  <c r="D5213" i="1"/>
  <c r="E5213" i="1"/>
  <c r="F5213" i="1"/>
  <c r="H5213" i="1"/>
  <c r="A5214" i="1"/>
  <c r="B5214" i="1"/>
  <c r="C5214" i="1"/>
  <c r="D5214" i="1"/>
  <c r="E5214" i="1"/>
  <c r="F5214" i="1"/>
  <c r="H5214" i="1"/>
  <c r="A5215" i="1"/>
  <c r="B5215" i="1"/>
  <c r="C5215" i="1"/>
  <c r="D5215" i="1"/>
  <c r="E5215" i="1"/>
  <c r="F5215" i="1"/>
  <c r="H5215" i="1"/>
  <c r="A5216" i="1"/>
  <c r="B5216" i="1"/>
  <c r="C5216" i="1"/>
  <c r="D5216" i="1"/>
  <c r="E5216" i="1"/>
  <c r="F5216" i="1"/>
  <c r="H5216" i="1"/>
  <c r="A5217" i="1"/>
  <c r="B5217" i="1"/>
  <c r="C5217" i="1"/>
  <c r="D5217" i="1"/>
  <c r="E5217" i="1"/>
  <c r="F5217" i="1"/>
  <c r="H5217" i="1"/>
  <c r="A5218" i="1"/>
  <c r="B5218" i="1"/>
  <c r="C5218" i="1"/>
  <c r="D5218" i="1"/>
  <c r="E5218" i="1"/>
  <c r="F5218" i="1"/>
  <c r="H5218" i="1"/>
  <c r="A5219" i="1"/>
  <c r="B5219" i="1"/>
  <c r="C5219" i="1"/>
  <c r="D5219" i="1"/>
  <c r="E5219" i="1"/>
  <c r="F5219" i="1"/>
  <c r="H5219" i="1"/>
  <c r="A5220" i="1"/>
  <c r="B5220" i="1"/>
  <c r="C5220" i="1"/>
  <c r="D5220" i="1"/>
  <c r="E5220" i="1"/>
  <c r="F5220" i="1"/>
  <c r="H5220" i="1"/>
  <c r="A5221" i="1"/>
  <c r="B5221" i="1"/>
  <c r="C5221" i="1"/>
  <c r="D5221" i="1"/>
  <c r="E5221" i="1"/>
  <c r="F5221" i="1"/>
  <c r="H5221" i="1"/>
  <c r="A5222" i="1"/>
  <c r="B5222" i="1"/>
  <c r="C5222" i="1"/>
  <c r="D5222" i="1"/>
  <c r="E5222" i="1"/>
  <c r="F5222" i="1"/>
  <c r="H5222" i="1"/>
  <c r="A5223" i="1"/>
  <c r="B5223" i="1"/>
  <c r="C5223" i="1"/>
  <c r="D5223" i="1"/>
  <c r="E5223" i="1"/>
  <c r="F5223" i="1"/>
  <c r="H5223" i="1"/>
  <c r="A5224" i="1"/>
  <c r="B5224" i="1"/>
  <c r="C5224" i="1"/>
  <c r="D5224" i="1"/>
  <c r="E5224" i="1"/>
  <c r="F5224" i="1"/>
  <c r="H5224" i="1"/>
  <c r="A5225" i="1"/>
  <c r="B5225" i="1"/>
  <c r="C5225" i="1"/>
  <c r="D5225" i="1"/>
  <c r="E5225" i="1"/>
  <c r="F5225" i="1"/>
  <c r="H5225" i="1"/>
  <c r="A5226" i="1"/>
  <c r="B5226" i="1"/>
  <c r="C5226" i="1"/>
  <c r="D5226" i="1"/>
  <c r="E5226" i="1"/>
  <c r="F5226" i="1"/>
  <c r="H5226" i="1"/>
  <c r="A5227" i="1"/>
  <c r="B5227" i="1"/>
  <c r="C5227" i="1"/>
  <c r="D5227" i="1"/>
  <c r="E5227" i="1"/>
  <c r="F5227" i="1"/>
  <c r="H5227" i="1"/>
  <c r="A5228" i="1"/>
  <c r="B5228" i="1"/>
  <c r="C5228" i="1"/>
  <c r="D5228" i="1"/>
  <c r="E5228" i="1"/>
  <c r="F5228" i="1"/>
  <c r="H5228" i="1"/>
  <c r="A5229" i="1"/>
  <c r="B5229" i="1"/>
  <c r="C5229" i="1"/>
  <c r="D5229" i="1"/>
  <c r="E5229" i="1"/>
  <c r="F5229" i="1"/>
  <c r="H5229" i="1"/>
  <c r="A5230" i="1"/>
  <c r="B5230" i="1"/>
  <c r="C5230" i="1"/>
  <c r="D5230" i="1"/>
  <c r="E5230" i="1"/>
  <c r="F5230" i="1"/>
  <c r="H5230" i="1"/>
  <c r="A5231" i="1"/>
  <c r="B5231" i="1"/>
  <c r="C5231" i="1"/>
  <c r="D5231" i="1"/>
  <c r="E5231" i="1"/>
  <c r="F5231" i="1"/>
  <c r="H5231" i="1"/>
  <c r="A5232" i="1"/>
  <c r="B5232" i="1"/>
  <c r="C5232" i="1"/>
  <c r="D5232" i="1"/>
  <c r="E5232" i="1"/>
  <c r="F5232" i="1"/>
  <c r="H5232" i="1"/>
  <c r="A5233" i="1"/>
  <c r="B5233" i="1"/>
  <c r="C5233" i="1"/>
  <c r="D5233" i="1"/>
  <c r="E5233" i="1"/>
  <c r="F5233" i="1"/>
  <c r="H5233" i="1"/>
  <c r="A5234" i="1"/>
  <c r="B5234" i="1"/>
  <c r="C5234" i="1"/>
  <c r="D5234" i="1"/>
  <c r="E5234" i="1"/>
  <c r="F5234" i="1"/>
  <c r="H5234" i="1"/>
  <c r="A5235" i="1"/>
  <c r="B5235" i="1"/>
  <c r="C5235" i="1"/>
  <c r="D5235" i="1"/>
  <c r="E5235" i="1"/>
  <c r="F5235" i="1"/>
  <c r="H5235" i="1"/>
  <c r="A5236" i="1"/>
  <c r="B5236" i="1"/>
  <c r="C5236" i="1"/>
  <c r="D5236" i="1"/>
  <c r="E5236" i="1"/>
  <c r="F5236" i="1"/>
  <c r="H5236" i="1"/>
  <c r="A5237" i="1"/>
  <c r="B5237" i="1"/>
  <c r="C5237" i="1"/>
  <c r="D5237" i="1"/>
  <c r="E5237" i="1"/>
  <c r="F5237" i="1"/>
  <c r="H5237" i="1"/>
  <c r="A5238" i="1"/>
  <c r="B5238" i="1"/>
  <c r="C5238" i="1"/>
  <c r="D5238" i="1"/>
  <c r="E5238" i="1"/>
  <c r="F5238" i="1"/>
  <c r="H5238" i="1"/>
  <c r="A5239" i="1"/>
  <c r="B5239" i="1"/>
  <c r="C5239" i="1"/>
  <c r="D5239" i="1"/>
  <c r="E5239" i="1"/>
  <c r="F5239" i="1"/>
  <c r="H5239" i="1"/>
  <c r="A5240" i="1"/>
  <c r="B5240" i="1"/>
  <c r="C5240" i="1"/>
  <c r="D5240" i="1"/>
  <c r="E5240" i="1"/>
  <c r="F5240" i="1"/>
  <c r="H5240" i="1"/>
  <c r="A5241" i="1"/>
  <c r="B5241" i="1"/>
  <c r="C5241" i="1"/>
  <c r="D5241" i="1"/>
  <c r="E5241" i="1"/>
  <c r="F5241" i="1"/>
  <c r="H5241" i="1"/>
  <c r="A5242" i="1"/>
  <c r="B5242" i="1"/>
  <c r="C5242" i="1"/>
  <c r="D5242" i="1"/>
  <c r="E5242" i="1"/>
  <c r="F5242" i="1"/>
  <c r="H5242" i="1"/>
  <c r="A5243" i="1"/>
  <c r="B5243" i="1"/>
  <c r="C5243" i="1"/>
  <c r="D5243" i="1"/>
  <c r="E5243" i="1"/>
  <c r="F5243" i="1"/>
  <c r="H5243" i="1"/>
  <c r="A5244" i="1"/>
  <c r="B5244" i="1"/>
  <c r="C5244" i="1"/>
  <c r="D5244" i="1"/>
  <c r="E5244" i="1"/>
  <c r="F5244" i="1"/>
  <c r="H5244" i="1"/>
  <c r="A5245" i="1"/>
  <c r="B5245" i="1"/>
  <c r="C5245" i="1"/>
  <c r="D5245" i="1"/>
  <c r="E5245" i="1"/>
  <c r="F5245" i="1"/>
  <c r="H5245" i="1"/>
  <c r="A5246" i="1"/>
  <c r="B5246" i="1"/>
  <c r="C5246" i="1"/>
  <c r="D5246" i="1"/>
  <c r="E5246" i="1"/>
  <c r="F5246" i="1"/>
  <c r="H5246" i="1"/>
  <c r="A5247" i="1"/>
  <c r="B5247" i="1"/>
  <c r="C5247" i="1"/>
  <c r="D5247" i="1"/>
  <c r="E5247" i="1"/>
  <c r="F5247" i="1"/>
  <c r="H5247" i="1"/>
  <c r="A5248" i="1"/>
  <c r="B5248" i="1"/>
  <c r="C5248" i="1"/>
  <c r="D5248" i="1"/>
  <c r="E5248" i="1"/>
  <c r="F5248" i="1"/>
  <c r="H5248" i="1"/>
  <c r="A5249" i="1"/>
  <c r="B5249" i="1"/>
  <c r="C5249" i="1"/>
  <c r="D5249" i="1"/>
  <c r="E5249" i="1"/>
  <c r="F5249" i="1"/>
  <c r="H5249" i="1"/>
  <c r="A5250" i="1"/>
  <c r="B5250" i="1"/>
  <c r="C5250" i="1"/>
  <c r="D5250" i="1"/>
  <c r="E5250" i="1"/>
  <c r="F5250" i="1"/>
  <c r="H5250" i="1"/>
  <c r="A5251" i="1"/>
  <c r="B5251" i="1"/>
  <c r="C5251" i="1"/>
  <c r="D5251" i="1"/>
  <c r="E5251" i="1"/>
  <c r="F5251" i="1"/>
  <c r="H5251" i="1"/>
  <c r="A5252" i="1"/>
  <c r="B5252" i="1"/>
  <c r="C5252" i="1"/>
  <c r="D5252" i="1"/>
  <c r="E5252" i="1"/>
  <c r="F5252" i="1"/>
  <c r="H5252" i="1"/>
  <c r="A5253" i="1"/>
  <c r="B5253" i="1"/>
  <c r="C5253" i="1"/>
  <c r="D5253" i="1"/>
  <c r="E5253" i="1"/>
  <c r="F5253" i="1"/>
  <c r="H5253" i="1"/>
  <c r="A5254" i="1"/>
  <c r="B5254" i="1"/>
  <c r="C5254" i="1"/>
  <c r="D5254" i="1"/>
  <c r="E5254" i="1"/>
  <c r="F5254" i="1"/>
  <c r="H5254" i="1"/>
  <c r="A5255" i="1"/>
  <c r="B5255" i="1"/>
  <c r="C5255" i="1"/>
  <c r="D5255" i="1"/>
  <c r="E5255" i="1"/>
  <c r="F5255" i="1"/>
  <c r="H5255" i="1"/>
  <c r="A5256" i="1"/>
  <c r="B5256" i="1"/>
  <c r="C5256" i="1"/>
  <c r="D5256" i="1"/>
  <c r="E5256" i="1"/>
  <c r="F5256" i="1"/>
  <c r="H5256" i="1"/>
  <c r="A5257" i="1"/>
  <c r="B5257" i="1"/>
  <c r="C5257" i="1"/>
  <c r="D5257" i="1"/>
  <c r="E5257" i="1"/>
  <c r="F5257" i="1"/>
  <c r="H5257" i="1"/>
  <c r="A5258" i="1"/>
  <c r="B5258" i="1"/>
  <c r="C5258" i="1"/>
  <c r="D5258" i="1"/>
  <c r="E5258" i="1"/>
  <c r="F5258" i="1"/>
  <c r="H5258" i="1"/>
  <c r="A5259" i="1"/>
  <c r="B5259" i="1"/>
  <c r="C5259" i="1"/>
  <c r="D5259" i="1"/>
  <c r="E5259" i="1"/>
  <c r="F5259" i="1"/>
  <c r="H5259" i="1"/>
  <c r="A5260" i="1"/>
  <c r="B5260" i="1"/>
  <c r="C5260" i="1"/>
  <c r="D5260" i="1"/>
  <c r="E5260" i="1"/>
  <c r="F5260" i="1"/>
  <c r="H5260" i="1"/>
  <c r="A5261" i="1"/>
  <c r="B5261" i="1"/>
  <c r="C5261" i="1"/>
  <c r="D5261" i="1"/>
  <c r="E5261" i="1"/>
  <c r="F5261" i="1"/>
  <c r="H5261" i="1"/>
  <c r="A5262" i="1"/>
  <c r="B5262" i="1"/>
  <c r="C5262" i="1"/>
  <c r="D5262" i="1"/>
  <c r="E5262" i="1"/>
  <c r="F5262" i="1"/>
  <c r="H5262" i="1"/>
  <c r="A5263" i="1"/>
  <c r="B5263" i="1"/>
  <c r="C5263" i="1"/>
  <c r="D5263" i="1"/>
  <c r="E5263" i="1"/>
  <c r="F5263" i="1"/>
  <c r="H5263" i="1"/>
  <c r="A5264" i="1"/>
  <c r="B5264" i="1"/>
  <c r="C5264" i="1"/>
  <c r="D5264" i="1"/>
  <c r="E5264" i="1"/>
  <c r="F5264" i="1"/>
  <c r="H5264" i="1"/>
  <c r="A5265" i="1"/>
  <c r="B5265" i="1"/>
  <c r="C5265" i="1"/>
  <c r="D5265" i="1"/>
  <c r="E5265" i="1"/>
  <c r="F5265" i="1"/>
  <c r="H5265" i="1"/>
  <c r="A5266" i="1"/>
  <c r="B5266" i="1"/>
  <c r="C5266" i="1"/>
  <c r="D5266" i="1"/>
  <c r="E5266" i="1"/>
  <c r="F5266" i="1"/>
  <c r="H5266" i="1"/>
  <c r="A5267" i="1"/>
  <c r="B5267" i="1"/>
  <c r="C5267" i="1"/>
  <c r="D5267" i="1"/>
  <c r="E5267" i="1"/>
  <c r="F5267" i="1"/>
  <c r="H5267" i="1"/>
  <c r="A5268" i="1"/>
  <c r="B5268" i="1"/>
  <c r="C5268" i="1"/>
  <c r="D5268" i="1"/>
  <c r="E5268" i="1"/>
  <c r="F5268" i="1"/>
  <c r="H5268" i="1"/>
  <c r="A5269" i="1"/>
  <c r="B5269" i="1"/>
  <c r="C5269" i="1"/>
  <c r="D5269" i="1"/>
  <c r="E5269" i="1"/>
  <c r="F5269" i="1"/>
  <c r="H5269" i="1"/>
  <c r="A5270" i="1"/>
  <c r="B5270" i="1"/>
  <c r="C5270" i="1"/>
  <c r="D5270" i="1"/>
  <c r="E5270" i="1"/>
  <c r="F5270" i="1"/>
  <c r="H5270" i="1"/>
  <c r="A5271" i="1"/>
  <c r="B5271" i="1"/>
  <c r="C5271" i="1"/>
  <c r="D5271" i="1"/>
  <c r="E5271" i="1"/>
  <c r="F5271" i="1"/>
  <c r="H5271" i="1"/>
  <c r="A5272" i="1"/>
  <c r="B5272" i="1"/>
  <c r="C5272" i="1"/>
  <c r="D5272" i="1"/>
  <c r="E5272" i="1"/>
  <c r="F5272" i="1"/>
  <c r="H5272" i="1"/>
  <c r="A5273" i="1"/>
  <c r="B5273" i="1"/>
  <c r="C5273" i="1"/>
  <c r="D5273" i="1"/>
  <c r="E5273" i="1"/>
  <c r="F5273" i="1"/>
  <c r="H5273" i="1"/>
  <c r="A5274" i="1"/>
  <c r="B5274" i="1"/>
  <c r="C5274" i="1"/>
  <c r="D5274" i="1"/>
  <c r="E5274" i="1"/>
  <c r="F5274" i="1"/>
  <c r="H5274" i="1"/>
  <c r="A5275" i="1"/>
  <c r="B5275" i="1"/>
  <c r="C5275" i="1"/>
  <c r="D5275" i="1"/>
  <c r="E5275" i="1"/>
  <c r="F5275" i="1"/>
  <c r="H5275" i="1"/>
  <c r="A5276" i="1"/>
  <c r="B5276" i="1"/>
  <c r="C5276" i="1"/>
  <c r="D5276" i="1"/>
  <c r="E5276" i="1"/>
  <c r="F5276" i="1"/>
  <c r="H5276" i="1"/>
  <c r="A5277" i="1"/>
  <c r="B5277" i="1"/>
  <c r="C5277" i="1"/>
  <c r="D5277" i="1"/>
  <c r="E5277" i="1"/>
  <c r="F5277" i="1"/>
  <c r="H5277" i="1"/>
  <c r="A5278" i="1"/>
  <c r="B5278" i="1"/>
  <c r="C5278" i="1"/>
  <c r="D5278" i="1"/>
  <c r="E5278" i="1"/>
  <c r="F5278" i="1"/>
  <c r="H5278" i="1"/>
  <c r="A5279" i="1"/>
  <c r="B5279" i="1"/>
  <c r="C5279" i="1"/>
  <c r="D5279" i="1"/>
  <c r="E5279" i="1"/>
  <c r="F5279" i="1"/>
  <c r="H5279" i="1"/>
  <c r="A5280" i="1"/>
  <c r="B5280" i="1"/>
  <c r="C5280" i="1"/>
  <c r="D5280" i="1"/>
  <c r="E5280" i="1"/>
  <c r="F5280" i="1"/>
  <c r="H5280" i="1"/>
  <c r="A5281" i="1"/>
  <c r="B5281" i="1"/>
  <c r="C5281" i="1"/>
  <c r="D5281" i="1"/>
  <c r="E5281" i="1"/>
  <c r="F5281" i="1"/>
  <c r="H5281" i="1"/>
  <c r="A5282" i="1"/>
  <c r="B5282" i="1"/>
  <c r="C5282" i="1"/>
  <c r="D5282" i="1"/>
  <c r="E5282" i="1"/>
  <c r="F5282" i="1"/>
  <c r="H5282" i="1"/>
  <c r="A5283" i="1"/>
  <c r="B5283" i="1"/>
  <c r="C5283" i="1"/>
  <c r="D5283" i="1"/>
  <c r="E5283" i="1"/>
  <c r="F5283" i="1"/>
  <c r="H5283" i="1"/>
  <c r="A5284" i="1"/>
  <c r="B5284" i="1"/>
  <c r="C5284" i="1"/>
  <c r="D5284" i="1"/>
  <c r="E5284" i="1"/>
  <c r="F5284" i="1"/>
  <c r="H5284" i="1"/>
  <c r="A5285" i="1"/>
  <c r="B5285" i="1"/>
  <c r="C5285" i="1"/>
  <c r="D5285" i="1"/>
  <c r="E5285" i="1"/>
  <c r="F5285" i="1"/>
  <c r="H5285" i="1"/>
  <c r="A5286" i="1"/>
  <c r="B5286" i="1"/>
  <c r="C5286" i="1"/>
  <c r="D5286" i="1"/>
  <c r="E5286" i="1"/>
  <c r="F5286" i="1"/>
  <c r="H5286" i="1"/>
  <c r="A5287" i="1"/>
  <c r="B5287" i="1"/>
  <c r="C5287" i="1"/>
  <c r="D5287" i="1"/>
  <c r="E5287" i="1"/>
  <c r="F5287" i="1"/>
  <c r="H5287" i="1"/>
  <c r="A5288" i="1"/>
  <c r="B5288" i="1"/>
  <c r="C5288" i="1"/>
  <c r="D5288" i="1"/>
  <c r="E5288" i="1"/>
  <c r="F5288" i="1"/>
  <c r="H5288" i="1"/>
  <c r="A5289" i="1"/>
  <c r="B5289" i="1"/>
  <c r="C5289" i="1"/>
  <c r="D5289" i="1"/>
  <c r="E5289" i="1"/>
  <c r="F5289" i="1"/>
  <c r="H5289" i="1"/>
  <c r="A5290" i="1"/>
  <c r="B5290" i="1"/>
  <c r="C5290" i="1"/>
  <c r="D5290" i="1"/>
  <c r="E5290" i="1"/>
  <c r="F5290" i="1"/>
  <c r="H5290" i="1"/>
  <c r="A5291" i="1"/>
  <c r="B5291" i="1"/>
  <c r="C5291" i="1"/>
  <c r="D5291" i="1"/>
  <c r="E5291" i="1"/>
  <c r="F5291" i="1"/>
  <c r="H5291" i="1"/>
  <c r="A5292" i="1"/>
  <c r="B5292" i="1"/>
  <c r="C5292" i="1"/>
  <c r="D5292" i="1"/>
  <c r="E5292" i="1"/>
  <c r="F5292" i="1"/>
  <c r="H5292" i="1"/>
  <c r="A5293" i="1"/>
  <c r="B5293" i="1"/>
  <c r="C5293" i="1"/>
  <c r="D5293" i="1"/>
  <c r="E5293" i="1"/>
  <c r="F5293" i="1"/>
  <c r="H5293" i="1"/>
  <c r="A5294" i="1"/>
  <c r="B5294" i="1"/>
  <c r="C5294" i="1"/>
  <c r="D5294" i="1"/>
  <c r="E5294" i="1"/>
  <c r="F5294" i="1"/>
  <c r="H5294" i="1"/>
  <c r="A5295" i="1"/>
  <c r="B5295" i="1"/>
  <c r="C5295" i="1"/>
  <c r="D5295" i="1"/>
  <c r="E5295" i="1"/>
  <c r="F5295" i="1"/>
  <c r="H5295" i="1"/>
  <c r="A5296" i="1"/>
  <c r="B5296" i="1"/>
  <c r="C5296" i="1"/>
  <c r="D5296" i="1"/>
  <c r="E5296" i="1"/>
  <c r="F5296" i="1"/>
  <c r="H5296" i="1"/>
  <c r="A5297" i="1"/>
  <c r="B5297" i="1"/>
  <c r="C5297" i="1"/>
  <c r="D5297" i="1"/>
  <c r="E5297" i="1"/>
  <c r="F5297" i="1"/>
  <c r="H5297" i="1"/>
  <c r="A5298" i="1"/>
  <c r="B5298" i="1"/>
  <c r="C5298" i="1"/>
  <c r="D5298" i="1"/>
  <c r="E5298" i="1"/>
  <c r="F5298" i="1"/>
  <c r="H5298" i="1"/>
  <c r="A5299" i="1"/>
  <c r="B5299" i="1"/>
  <c r="C5299" i="1"/>
  <c r="D5299" i="1"/>
  <c r="E5299" i="1"/>
  <c r="F5299" i="1"/>
  <c r="H5299" i="1"/>
  <c r="A5300" i="1"/>
  <c r="B5300" i="1"/>
  <c r="C5300" i="1"/>
  <c r="D5300" i="1"/>
  <c r="E5300" i="1"/>
  <c r="F5300" i="1"/>
  <c r="H5300" i="1"/>
  <c r="A5301" i="1"/>
  <c r="B5301" i="1"/>
  <c r="C5301" i="1"/>
  <c r="D5301" i="1"/>
  <c r="E5301" i="1"/>
  <c r="F5301" i="1"/>
  <c r="H5301" i="1"/>
  <c r="A5302" i="1"/>
  <c r="B5302" i="1"/>
  <c r="C5302" i="1"/>
  <c r="D5302" i="1"/>
  <c r="E5302" i="1"/>
  <c r="F5302" i="1"/>
  <c r="H5302" i="1"/>
  <c r="A5303" i="1"/>
  <c r="B5303" i="1"/>
  <c r="C5303" i="1"/>
  <c r="D5303" i="1"/>
  <c r="E5303" i="1"/>
  <c r="F5303" i="1"/>
  <c r="H5303" i="1"/>
  <c r="A5304" i="1"/>
  <c r="B5304" i="1"/>
  <c r="C5304" i="1"/>
  <c r="D5304" i="1"/>
  <c r="E5304" i="1"/>
  <c r="F5304" i="1"/>
  <c r="H5304" i="1"/>
  <c r="A5305" i="1"/>
  <c r="B5305" i="1"/>
  <c r="C5305" i="1"/>
  <c r="D5305" i="1"/>
  <c r="E5305" i="1"/>
  <c r="F5305" i="1"/>
  <c r="H5305" i="1"/>
  <c r="A5306" i="1"/>
  <c r="B5306" i="1"/>
  <c r="C5306" i="1"/>
  <c r="D5306" i="1"/>
  <c r="E5306" i="1"/>
  <c r="F5306" i="1"/>
  <c r="H5306" i="1"/>
  <c r="A5307" i="1"/>
  <c r="B5307" i="1"/>
  <c r="C5307" i="1"/>
  <c r="D5307" i="1"/>
  <c r="E5307" i="1"/>
  <c r="F5307" i="1"/>
  <c r="H5307" i="1"/>
  <c r="A5308" i="1"/>
  <c r="B5308" i="1"/>
  <c r="C5308" i="1"/>
  <c r="D5308" i="1"/>
  <c r="E5308" i="1"/>
  <c r="F5308" i="1"/>
  <c r="H5308" i="1"/>
  <c r="A5309" i="1"/>
  <c r="B5309" i="1"/>
  <c r="C5309" i="1"/>
  <c r="D5309" i="1"/>
  <c r="E5309" i="1"/>
  <c r="F5309" i="1"/>
  <c r="H5309" i="1"/>
  <c r="A5310" i="1"/>
  <c r="B5310" i="1"/>
  <c r="C5310" i="1"/>
  <c r="D5310" i="1"/>
  <c r="E5310" i="1"/>
  <c r="F5310" i="1"/>
  <c r="H5310" i="1"/>
  <c r="A5311" i="1"/>
  <c r="B5311" i="1"/>
  <c r="C5311" i="1"/>
  <c r="D5311" i="1"/>
  <c r="E5311" i="1"/>
  <c r="F5311" i="1"/>
  <c r="H5311" i="1"/>
  <c r="A5312" i="1"/>
  <c r="B5312" i="1"/>
  <c r="C5312" i="1"/>
  <c r="D5312" i="1"/>
  <c r="E5312" i="1"/>
  <c r="F5312" i="1"/>
  <c r="H5312" i="1"/>
  <c r="A5313" i="1"/>
  <c r="B5313" i="1"/>
  <c r="C5313" i="1"/>
  <c r="D5313" i="1"/>
  <c r="E5313" i="1"/>
  <c r="F5313" i="1"/>
  <c r="H5313" i="1"/>
  <c r="A5314" i="1"/>
  <c r="B5314" i="1"/>
  <c r="C5314" i="1"/>
  <c r="D5314" i="1"/>
  <c r="E5314" i="1"/>
  <c r="F5314" i="1"/>
  <c r="H5314" i="1"/>
  <c r="A5315" i="1"/>
  <c r="B5315" i="1"/>
  <c r="C5315" i="1"/>
  <c r="D5315" i="1"/>
  <c r="E5315" i="1"/>
  <c r="F5315" i="1"/>
  <c r="H5315" i="1"/>
  <c r="A5316" i="1"/>
  <c r="B5316" i="1"/>
  <c r="C5316" i="1"/>
  <c r="D5316" i="1"/>
  <c r="E5316" i="1"/>
  <c r="F5316" i="1"/>
  <c r="H5316" i="1"/>
  <c r="A5317" i="1"/>
  <c r="B5317" i="1"/>
  <c r="C5317" i="1"/>
  <c r="D5317" i="1"/>
  <c r="E5317" i="1"/>
  <c r="F5317" i="1"/>
  <c r="H5317" i="1"/>
  <c r="A5318" i="1"/>
  <c r="B5318" i="1"/>
  <c r="C5318" i="1"/>
  <c r="D5318" i="1"/>
  <c r="E5318" i="1"/>
  <c r="F5318" i="1"/>
  <c r="H5318" i="1"/>
  <c r="A5319" i="1"/>
  <c r="B5319" i="1"/>
  <c r="C5319" i="1"/>
  <c r="D5319" i="1"/>
  <c r="E5319" i="1"/>
  <c r="F5319" i="1"/>
  <c r="H5319" i="1"/>
  <c r="A5320" i="1"/>
  <c r="B5320" i="1"/>
  <c r="C5320" i="1"/>
  <c r="D5320" i="1"/>
  <c r="E5320" i="1"/>
  <c r="F5320" i="1"/>
  <c r="H5320" i="1"/>
  <c r="A5321" i="1"/>
  <c r="B5321" i="1"/>
  <c r="C5321" i="1"/>
  <c r="D5321" i="1"/>
  <c r="E5321" i="1"/>
  <c r="F5321" i="1"/>
  <c r="H5321" i="1"/>
  <c r="A5322" i="1"/>
  <c r="B5322" i="1"/>
  <c r="C5322" i="1"/>
  <c r="D5322" i="1"/>
  <c r="E5322" i="1"/>
  <c r="F5322" i="1"/>
  <c r="H5322" i="1"/>
  <c r="A5323" i="1"/>
  <c r="B5323" i="1"/>
  <c r="C5323" i="1"/>
  <c r="D5323" i="1"/>
  <c r="E5323" i="1"/>
  <c r="F5323" i="1"/>
  <c r="H5323" i="1"/>
  <c r="A5324" i="1"/>
  <c r="B5324" i="1"/>
  <c r="C5324" i="1"/>
  <c r="D5324" i="1"/>
  <c r="E5324" i="1"/>
  <c r="F5324" i="1"/>
  <c r="H5324" i="1"/>
  <c r="A5325" i="1"/>
  <c r="B5325" i="1"/>
  <c r="C5325" i="1"/>
  <c r="D5325" i="1"/>
  <c r="E5325" i="1"/>
  <c r="F5325" i="1"/>
  <c r="H5325" i="1"/>
  <c r="A5326" i="1"/>
  <c r="B5326" i="1"/>
  <c r="C5326" i="1"/>
  <c r="D5326" i="1"/>
  <c r="E5326" i="1"/>
  <c r="F5326" i="1"/>
  <c r="H5326" i="1"/>
  <c r="A5327" i="1"/>
  <c r="B5327" i="1"/>
  <c r="C5327" i="1"/>
  <c r="D5327" i="1"/>
  <c r="E5327" i="1"/>
  <c r="F5327" i="1"/>
  <c r="H5327" i="1"/>
  <c r="A5328" i="1"/>
  <c r="B5328" i="1"/>
  <c r="C5328" i="1"/>
  <c r="D5328" i="1"/>
  <c r="E5328" i="1"/>
  <c r="F5328" i="1"/>
  <c r="H5328" i="1"/>
  <c r="A5329" i="1"/>
  <c r="B5329" i="1"/>
  <c r="C5329" i="1"/>
  <c r="D5329" i="1"/>
  <c r="E5329" i="1"/>
  <c r="F5329" i="1"/>
  <c r="H5329" i="1"/>
  <c r="A5330" i="1"/>
  <c r="B5330" i="1"/>
  <c r="C5330" i="1"/>
  <c r="D5330" i="1"/>
  <c r="E5330" i="1"/>
  <c r="F5330" i="1"/>
  <c r="H5330" i="1"/>
  <c r="A5331" i="1"/>
  <c r="B5331" i="1"/>
  <c r="C5331" i="1"/>
  <c r="D5331" i="1"/>
  <c r="E5331" i="1"/>
  <c r="F5331" i="1"/>
  <c r="H5331" i="1"/>
  <c r="A5332" i="1"/>
  <c r="B5332" i="1"/>
  <c r="C5332" i="1"/>
  <c r="D5332" i="1"/>
  <c r="E5332" i="1"/>
  <c r="F5332" i="1"/>
  <c r="H5332" i="1"/>
  <c r="A5333" i="1"/>
  <c r="B5333" i="1"/>
  <c r="C5333" i="1"/>
  <c r="D5333" i="1"/>
  <c r="E5333" i="1"/>
  <c r="F5333" i="1"/>
  <c r="H5333" i="1"/>
  <c r="A5334" i="1"/>
  <c r="B5334" i="1"/>
  <c r="C5334" i="1"/>
  <c r="D5334" i="1"/>
  <c r="E5334" i="1"/>
  <c r="F5334" i="1"/>
  <c r="H5334" i="1"/>
  <c r="A5335" i="1"/>
  <c r="B5335" i="1"/>
  <c r="C5335" i="1"/>
  <c r="D5335" i="1"/>
  <c r="E5335" i="1"/>
  <c r="F5335" i="1"/>
  <c r="H5335" i="1"/>
  <c r="A5336" i="1"/>
  <c r="B5336" i="1"/>
  <c r="C5336" i="1"/>
  <c r="D5336" i="1"/>
  <c r="E5336" i="1"/>
  <c r="F5336" i="1"/>
  <c r="H5336" i="1"/>
  <c r="A5337" i="1"/>
  <c r="B5337" i="1"/>
  <c r="C5337" i="1"/>
  <c r="D5337" i="1"/>
  <c r="E5337" i="1"/>
  <c r="F5337" i="1"/>
  <c r="H5337" i="1"/>
  <c r="A5338" i="1"/>
  <c r="B5338" i="1"/>
  <c r="C5338" i="1"/>
  <c r="D5338" i="1"/>
  <c r="E5338" i="1"/>
  <c r="F5338" i="1"/>
  <c r="H5338" i="1"/>
  <c r="A5339" i="1"/>
  <c r="B5339" i="1"/>
  <c r="C5339" i="1"/>
  <c r="D5339" i="1"/>
  <c r="E5339" i="1"/>
  <c r="F5339" i="1"/>
  <c r="H5339" i="1"/>
  <c r="A5340" i="1"/>
  <c r="B5340" i="1"/>
  <c r="C5340" i="1"/>
  <c r="D5340" i="1"/>
  <c r="E5340" i="1"/>
  <c r="F5340" i="1"/>
  <c r="H5340" i="1"/>
  <c r="A5341" i="1"/>
  <c r="B5341" i="1"/>
  <c r="C5341" i="1"/>
  <c r="D5341" i="1"/>
  <c r="E5341" i="1"/>
  <c r="F5341" i="1"/>
  <c r="H5341" i="1"/>
  <c r="A5342" i="1"/>
  <c r="B5342" i="1"/>
  <c r="C5342" i="1"/>
  <c r="D5342" i="1"/>
  <c r="E5342" i="1"/>
  <c r="F5342" i="1"/>
  <c r="H5342" i="1"/>
  <c r="A5343" i="1"/>
  <c r="B5343" i="1"/>
  <c r="C5343" i="1"/>
  <c r="D5343" i="1"/>
  <c r="E5343" i="1"/>
  <c r="F5343" i="1"/>
  <c r="H5343" i="1"/>
  <c r="A5344" i="1"/>
  <c r="B5344" i="1"/>
  <c r="C5344" i="1"/>
  <c r="D5344" i="1"/>
  <c r="E5344" i="1"/>
  <c r="F5344" i="1"/>
  <c r="H5344" i="1"/>
  <c r="A5345" i="1"/>
  <c r="B5345" i="1"/>
  <c r="C5345" i="1"/>
  <c r="D5345" i="1"/>
  <c r="E5345" i="1"/>
  <c r="F5345" i="1"/>
  <c r="H5345" i="1"/>
  <c r="A5346" i="1"/>
  <c r="B5346" i="1"/>
  <c r="C5346" i="1"/>
  <c r="D5346" i="1"/>
  <c r="E5346" i="1"/>
  <c r="F5346" i="1"/>
  <c r="H5346" i="1"/>
  <c r="A5347" i="1"/>
  <c r="B5347" i="1"/>
  <c r="C5347" i="1"/>
  <c r="D5347" i="1"/>
  <c r="E5347" i="1"/>
  <c r="F5347" i="1"/>
  <c r="H5347" i="1"/>
  <c r="A5348" i="1"/>
  <c r="B5348" i="1"/>
  <c r="C5348" i="1"/>
  <c r="D5348" i="1"/>
  <c r="E5348" i="1"/>
  <c r="F5348" i="1"/>
  <c r="H5348" i="1"/>
  <c r="A5349" i="1"/>
  <c r="B5349" i="1"/>
  <c r="C5349" i="1"/>
  <c r="D5349" i="1"/>
  <c r="E5349" i="1"/>
  <c r="F5349" i="1"/>
  <c r="H5349" i="1"/>
  <c r="A5350" i="1"/>
  <c r="B5350" i="1"/>
  <c r="C5350" i="1"/>
  <c r="D5350" i="1"/>
  <c r="E5350" i="1"/>
  <c r="F5350" i="1"/>
  <c r="H5350" i="1"/>
  <c r="A5351" i="1"/>
  <c r="B5351" i="1"/>
  <c r="C5351" i="1"/>
  <c r="D5351" i="1"/>
  <c r="E5351" i="1"/>
  <c r="F5351" i="1"/>
  <c r="H5351" i="1"/>
  <c r="A5352" i="1"/>
  <c r="B5352" i="1"/>
  <c r="C5352" i="1"/>
  <c r="D5352" i="1"/>
  <c r="E5352" i="1"/>
  <c r="F5352" i="1"/>
  <c r="H5352" i="1"/>
  <c r="A5353" i="1"/>
  <c r="B5353" i="1"/>
  <c r="C5353" i="1"/>
  <c r="D5353" i="1"/>
  <c r="E5353" i="1"/>
  <c r="F5353" i="1"/>
  <c r="H5353" i="1"/>
  <c r="A5354" i="1"/>
  <c r="B5354" i="1"/>
  <c r="C5354" i="1"/>
  <c r="D5354" i="1"/>
  <c r="E5354" i="1"/>
  <c r="F5354" i="1"/>
  <c r="H5354" i="1"/>
  <c r="A5355" i="1"/>
  <c r="B5355" i="1"/>
  <c r="C5355" i="1"/>
  <c r="D5355" i="1"/>
  <c r="E5355" i="1"/>
  <c r="F5355" i="1"/>
  <c r="H5355" i="1"/>
  <c r="A5356" i="1"/>
  <c r="B5356" i="1"/>
  <c r="C5356" i="1"/>
  <c r="D5356" i="1"/>
  <c r="E5356" i="1"/>
  <c r="F5356" i="1"/>
  <c r="H5356" i="1"/>
  <c r="A5357" i="1"/>
  <c r="B5357" i="1"/>
  <c r="C5357" i="1"/>
  <c r="D5357" i="1"/>
  <c r="E5357" i="1"/>
  <c r="F5357" i="1"/>
  <c r="H5357" i="1"/>
  <c r="A5358" i="1"/>
  <c r="B5358" i="1"/>
  <c r="C5358" i="1"/>
  <c r="D5358" i="1"/>
  <c r="E5358" i="1"/>
  <c r="F5358" i="1"/>
  <c r="H5358" i="1"/>
  <c r="A5359" i="1"/>
  <c r="B5359" i="1"/>
  <c r="C5359" i="1"/>
  <c r="D5359" i="1"/>
  <c r="E5359" i="1"/>
  <c r="F5359" i="1"/>
  <c r="H5359" i="1"/>
  <c r="A5360" i="1"/>
  <c r="B5360" i="1"/>
  <c r="C5360" i="1"/>
  <c r="D5360" i="1"/>
  <c r="E5360" i="1"/>
  <c r="F5360" i="1"/>
  <c r="H5360" i="1"/>
  <c r="A5361" i="1"/>
  <c r="B5361" i="1"/>
  <c r="C5361" i="1"/>
  <c r="D5361" i="1"/>
  <c r="E5361" i="1"/>
  <c r="F5361" i="1"/>
  <c r="H5361" i="1"/>
  <c r="A5362" i="1"/>
  <c r="B5362" i="1"/>
  <c r="C5362" i="1"/>
  <c r="D5362" i="1"/>
  <c r="E5362" i="1"/>
  <c r="F5362" i="1"/>
  <c r="H5362" i="1"/>
  <c r="A5363" i="1"/>
  <c r="B5363" i="1"/>
  <c r="C5363" i="1"/>
  <c r="D5363" i="1"/>
  <c r="E5363" i="1"/>
  <c r="F5363" i="1"/>
  <c r="H5363" i="1"/>
  <c r="A5364" i="1"/>
  <c r="B5364" i="1"/>
  <c r="C5364" i="1"/>
  <c r="D5364" i="1"/>
  <c r="E5364" i="1"/>
  <c r="F5364" i="1"/>
  <c r="H5364" i="1"/>
  <c r="A5365" i="1"/>
  <c r="B5365" i="1"/>
  <c r="C5365" i="1"/>
  <c r="D5365" i="1"/>
  <c r="E5365" i="1"/>
  <c r="F5365" i="1"/>
  <c r="H5365" i="1"/>
  <c r="A5366" i="1"/>
  <c r="B5366" i="1"/>
  <c r="C5366" i="1"/>
  <c r="D5366" i="1"/>
  <c r="E5366" i="1"/>
  <c r="F5366" i="1"/>
  <c r="H5366" i="1"/>
  <c r="A5367" i="1"/>
  <c r="B5367" i="1"/>
  <c r="C5367" i="1"/>
  <c r="D5367" i="1"/>
  <c r="E5367" i="1"/>
  <c r="F5367" i="1"/>
  <c r="H5367" i="1"/>
  <c r="A5368" i="1"/>
  <c r="B5368" i="1"/>
  <c r="C5368" i="1"/>
  <c r="D5368" i="1"/>
  <c r="E5368" i="1"/>
  <c r="F5368" i="1"/>
  <c r="H5368" i="1"/>
  <c r="A5369" i="1"/>
  <c r="B5369" i="1"/>
  <c r="C5369" i="1"/>
  <c r="D5369" i="1"/>
  <c r="E5369" i="1"/>
  <c r="F5369" i="1"/>
  <c r="H5369" i="1"/>
  <c r="A5370" i="1"/>
  <c r="B5370" i="1"/>
  <c r="C5370" i="1"/>
  <c r="D5370" i="1"/>
  <c r="E5370" i="1"/>
  <c r="F5370" i="1"/>
  <c r="H5370" i="1"/>
  <c r="A5371" i="1"/>
  <c r="B5371" i="1"/>
  <c r="C5371" i="1"/>
  <c r="D5371" i="1"/>
  <c r="E5371" i="1"/>
  <c r="F5371" i="1"/>
  <c r="H5371" i="1"/>
  <c r="A5372" i="1"/>
  <c r="B5372" i="1"/>
  <c r="C5372" i="1"/>
  <c r="D5372" i="1"/>
  <c r="E5372" i="1"/>
  <c r="F5372" i="1"/>
  <c r="H5372" i="1"/>
  <c r="A5373" i="1"/>
  <c r="B5373" i="1"/>
  <c r="C5373" i="1"/>
  <c r="D5373" i="1"/>
  <c r="E5373" i="1"/>
  <c r="F5373" i="1"/>
  <c r="H5373" i="1"/>
  <c r="A5374" i="1"/>
  <c r="B5374" i="1"/>
  <c r="C5374" i="1"/>
  <c r="D5374" i="1"/>
  <c r="E5374" i="1"/>
  <c r="F5374" i="1"/>
  <c r="H5374" i="1"/>
  <c r="A5375" i="1"/>
  <c r="B5375" i="1"/>
  <c r="C5375" i="1"/>
  <c r="D5375" i="1"/>
  <c r="E5375" i="1"/>
  <c r="F5375" i="1"/>
  <c r="H5375" i="1"/>
  <c r="A5376" i="1"/>
  <c r="B5376" i="1"/>
  <c r="C5376" i="1"/>
  <c r="D5376" i="1"/>
  <c r="E5376" i="1"/>
  <c r="F5376" i="1"/>
  <c r="H5376" i="1"/>
  <c r="A5377" i="1"/>
  <c r="B5377" i="1"/>
  <c r="C5377" i="1"/>
  <c r="D5377" i="1"/>
  <c r="E5377" i="1"/>
  <c r="F5377" i="1"/>
  <c r="H5377" i="1"/>
  <c r="A5378" i="1"/>
  <c r="B5378" i="1"/>
  <c r="C5378" i="1"/>
  <c r="D5378" i="1"/>
  <c r="E5378" i="1"/>
  <c r="F5378" i="1"/>
  <c r="H5378" i="1"/>
  <c r="A5379" i="1"/>
  <c r="B5379" i="1"/>
  <c r="C5379" i="1"/>
  <c r="D5379" i="1"/>
  <c r="E5379" i="1"/>
  <c r="F5379" i="1"/>
  <c r="H5379" i="1"/>
  <c r="A5380" i="1"/>
  <c r="B5380" i="1"/>
  <c r="C5380" i="1"/>
  <c r="D5380" i="1"/>
  <c r="E5380" i="1"/>
  <c r="F5380" i="1"/>
  <c r="H5380" i="1"/>
  <c r="A5381" i="1"/>
  <c r="B5381" i="1"/>
  <c r="C5381" i="1"/>
  <c r="D5381" i="1"/>
  <c r="E5381" i="1"/>
  <c r="F5381" i="1"/>
  <c r="H5381" i="1"/>
  <c r="A5382" i="1"/>
  <c r="B5382" i="1"/>
  <c r="C5382" i="1"/>
  <c r="D5382" i="1"/>
  <c r="E5382" i="1"/>
  <c r="F5382" i="1"/>
  <c r="H5382" i="1"/>
  <c r="A5383" i="1"/>
  <c r="B5383" i="1"/>
  <c r="C5383" i="1"/>
  <c r="D5383" i="1"/>
  <c r="E5383" i="1"/>
  <c r="F5383" i="1"/>
  <c r="H5383" i="1"/>
  <c r="A5384" i="1"/>
  <c r="B5384" i="1"/>
  <c r="C5384" i="1"/>
  <c r="D5384" i="1"/>
  <c r="E5384" i="1"/>
  <c r="F5384" i="1"/>
  <c r="H5384" i="1"/>
  <c r="A5385" i="1"/>
  <c r="B5385" i="1"/>
  <c r="C5385" i="1"/>
  <c r="D5385" i="1"/>
  <c r="E5385" i="1"/>
  <c r="F5385" i="1"/>
  <c r="H5385" i="1"/>
  <c r="A5386" i="1"/>
  <c r="B5386" i="1"/>
  <c r="C5386" i="1"/>
  <c r="D5386" i="1"/>
  <c r="E5386" i="1"/>
  <c r="F5386" i="1"/>
  <c r="H5386" i="1"/>
  <c r="A5387" i="1"/>
  <c r="B5387" i="1"/>
  <c r="C5387" i="1"/>
  <c r="D5387" i="1"/>
  <c r="E5387" i="1"/>
  <c r="F5387" i="1"/>
  <c r="H5387" i="1"/>
  <c r="A5388" i="1"/>
  <c r="B5388" i="1"/>
  <c r="C5388" i="1"/>
  <c r="D5388" i="1"/>
  <c r="E5388" i="1"/>
  <c r="F5388" i="1"/>
  <c r="H5388" i="1"/>
  <c r="A5389" i="1"/>
  <c r="B5389" i="1"/>
  <c r="C5389" i="1"/>
  <c r="D5389" i="1"/>
  <c r="E5389" i="1"/>
  <c r="F5389" i="1"/>
  <c r="H5389" i="1"/>
  <c r="A5390" i="1"/>
  <c r="B5390" i="1"/>
  <c r="C5390" i="1"/>
  <c r="D5390" i="1"/>
  <c r="E5390" i="1"/>
  <c r="F5390" i="1"/>
  <c r="H5390" i="1"/>
  <c r="A5391" i="1"/>
  <c r="B5391" i="1"/>
  <c r="C5391" i="1"/>
  <c r="D5391" i="1"/>
  <c r="E5391" i="1"/>
  <c r="F5391" i="1"/>
  <c r="H5391" i="1"/>
  <c r="A5392" i="1"/>
  <c r="B5392" i="1"/>
  <c r="C5392" i="1"/>
  <c r="D5392" i="1"/>
  <c r="E5392" i="1"/>
  <c r="F5392" i="1"/>
  <c r="H5392" i="1"/>
  <c r="A5393" i="1"/>
  <c r="B5393" i="1"/>
  <c r="C5393" i="1"/>
  <c r="D5393" i="1"/>
  <c r="E5393" i="1"/>
  <c r="F5393" i="1"/>
  <c r="H5393" i="1"/>
  <c r="A5394" i="1"/>
  <c r="B5394" i="1"/>
  <c r="C5394" i="1"/>
  <c r="D5394" i="1"/>
  <c r="E5394" i="1"/>
  <c r="F5394" i="1"/>
  <c r="H5394" i="1"/>
  <c r="A5395" i="1"/>
  <c r="B5395" i="1"/>
  <c r="C5395" i="1"/>
  <c r="D5395" i="1"/>
  <c r="E5395" i="1"/>
  <c r="F5395" i="1"/>
  <c r="H5395" i="1"/>
  <c r="A5396" i="1"/>
  <c r="B5396" i="1"/>
  <c r="C5396" i="1"/>
  <c r="D5396" i="1"/>
  <c r="E5396" i="1"/>
  <c r="F5396" i="1"/>
  <c r="H5396" i="1"/>
  <c r="A5397" i="1"/>
  <c r="B5397" i="1"/>
  <c r="C5397" i="1"/>
  <c r="D5397" i="1"/>
  <c r="E5397" i="1"/>
  <c r="F5397" i="1"/>
  <c r="H5397" i="1"/>
  <c r="A5398" i="1"/>
  <c r="B5398" i="1"/>
  <c r="C5398" i="1"/>
  <c r="D5398" i="1"/>
  <c r="E5398" i="1"/>
  <c r="F5398" i="1"/>
  <c r="H5398" i="1"/>
  <c r="A5399" i="1"/>
  <c r="B5399" i="1"/>
  <c r="C5399" i="1"/>
  <c r="D5399" i="1"/>
  <c r="E5399" i="1"/>
  <c r="F5399" i="1"/>
  <c r="H5399" i="1"/>
  <c r="A5400" i="1"/>
  <c r="B5400" i="1"/>
  <c r="C5400" i="1"/>
  <c r="D5400" i="1"/>
  <c r="E5400" i="1"/>
  <c r="F5400" i="1"/>
  <c r="H5400" i="1"/>
  <c r="A5401" i="1"/>
  <c r="B5401" i="1"/>
  <c r="C5401" i="1"/>
  <c r="D5401" i="1"/>
  <c r="E5401" i="1"/>
  <c r="F5401" i="1"/>
  <c r="H5401" i="1"/>
  <c r="A5402" i="1"/>
  <c r="B5402" i="1"/>
  <c r="C5402" i="1"/>
  <c r="D5402" i="1"/>
  <c r="E5402" i="1"/>
  <c r="F5402" i="1"/>
  <c r="H5402" i="1"/>
  <c r="A5403" i="1"/>
  <c r="B5403" i="1"/>
  <c r="C5403" i="1"/>
  <c r="D5403" i="1"/>
  <c r="E5403" i="1"/>
  <c r="F5403" i="1"/>
  <c r="H5403" i="1"/>
  <c r="A5404" i="1"/>
  <c r="B5404" i="1"/>
  <c r="C5404" i="1"/>
  <c r="D5404" i="1"/>
  <c r="E5404" i="1"/>
  <c r="F5404" i="1"/>
  <c r="H5404" i="1"/>
  <c r="A5405" i="1"/>
  <c r="B5405" i="1"/>
  <c r="C5405" i="1"/>
  <c r="D5405" i="1"/>
  <c r="E5405" i="1"/>
  <c r="F5405" i="1"/>
  <c r="H5405" i="1"/>
  <c r="A5406" i="1"/>
  <c r="B5406" i="1"/>
  <c r="C5406" i="1"/>
  <c r="D5406" i="1"/>
  <c r="E5406" i="1"/>
  <c r="F5406" i="1"/>
  <c r="H5406" i="1"/>
  <c r="A5407" i="1"/>
  <c r="B5407" i="1"/>
  <c r="C5407" i="1"/>
  <c r="D5407" i="1"/>
  <c r="E5407" i="1"/>
  <c r="F5407" i="1"/>
  <c r="H5407" i="1"/>
  <c r="A5408" i="1"/>
  <c r="B5408" i="1"/>
  <c r="C5408" i="1"/>
  <c r="D5408" i="1"/>
  <c r="E5408" i="1"/>
  <c r="F5408" i="1"/>
  <c r="H5408" i="1"/>
  <c r="A5409" i="1"/>
  <c r="B5409" i="1"/>
  <c r="C5409" i="1"/>
  <c r="D5409" i="1"/>
  <c r="E5409" i="1"/>
  <c r="F5409" i="1"/>
  <c r="H5409" i="1"/>
  <c r="A5410" i="1"/>
  <c r="B5410" i="1"/>
  <c r="C5410" i="1"/>
  <c r="D5410" i="1"/>
  <c r="E5410" i="1"/>
  <c r="F5410" i="1"/>
  <c r="H5410" i="1"/>
  <c r="A5411" i="1"/>
  <c r="B5411" i="1"/>
  <c r="C5411" i="1"/>
  <c r="D5411" i="1"/>
  <c r="E5411" i="1"/>
  <c r="F5411" i="1"/>
  <c r="H5411" i="1"/>
  <c r="A5412" i="1"/>
  <c r="B5412" i="1"/>
  <c r="C5412" i="1"/>
  <c r="D5412" i="1"/>
  <c r="E5412" i="1"/>
  <c r="F5412" i="1"/>
  <c r="H5412" i="1"/>
  <c r="A5413" i="1"/>
  <c r="B5413" i="1"/>
  <c r="C5413" i="1"/>
  <c r="D5413" i="1"/>
  <c r="E5413" i="1"/>
  <c r="F5413" i="1"/>
  <c r="H5413" i="1"/>
  <c r="A5414" i="1"/>
  <c r="B5414" i="1"/>
  <c r="C5414" i="1"/>
  <c r="D5414" i="1"/>
  <c r="E5414" i="1"/>
  <c r="F5414" i="1"/>
  <c r="H5414" i="1"/>
  <c r="A5415" i="1"/>
  <c r="B5415" i="1"/>
  <c r="C5415" i="1"/>
  <c r="D5415" i="1"/>
  <c r="E5415" i="1"/>
  <c r="F5415" i="1"/>
  <c r="H5415" i="1"/>
  <c r="A5416" i="1"/>
  <c r="B5416" i="1"/>
  <c r="C5416" i="1"/>
  <c r="D5416" i="1"/>
  <c r="E5416" i="1"/>
  <c r="F5416" i="1"/>
  <c r="H5416" i="1"/>
  <c r="A5417" i="1"/>
  <c r="B5417" i="1"/>
  <c r="C5417" i="1"/>
  <c r="D5417" i="1"/>
  <c r="E5417" i="1"/>
  <c r="F5417" i="1"/>
  <c r="H5417" i="1"/>
  <c r="A5418" i="1"/>
  <c r="B5418" i="1"/>
  <c r="C5418" i="1"/>
  <c r="D5418" i="1"/>
  <c r="E5418" i="1"/>
  <c r="F5418" i="1"/>
  <c r="H5418" i="1"/>
  <c r="A5419" i="1"/>
  <c r="B5419" i="1"/>
  <c r="C5419" i="1"/>
  <c r="D5419" i="1"/>
  <c r="E5419" i="1"/>
  <c r="F5419" i="1"/>
  <c r="H5419" i="1"/>
  <c r="A5420" i="1"/>
  <c r="B5420" i="1"/>
  <c r="C5420" i="1"/>
  <c r="D5420" i="1"/>
  <c r="E5420" i="1"/>
  <c r="F5420" i="1"/>
  <c r="H5420" i="1"/>
  <c r="A5421" i="1"/>
  <c r="B5421" i="1"/>
  <c r="C5421" i="1"/>
  <c r="D5421" i="1"/>
  <c r="E5421" i="1"/>
  <c r="F5421" i="1"/>
  <c r="H5421" i="1"/>
  <c r="A5422" i="1"/>
  <c r="B5422" i="1"/>
  <c r="C5422" i="1"/>
  <c r="D5422" i="1"/>
  <c r="E5422" i="1"/>
  <c r="F5422" i="1"/>
  <c r="H5422" i="1"/>
  <c r="A5423" i="1"/>
  <c r="B5423" i="1"/>
  <c r="C5423" i="1"/>
  <c r="D5423" i="1"/>
  <c r="E5423" i="1"/>
  <c r="F5423" i="1"/>
  <c r="H5423" i="1"/>
  <c r="A5424" i="1"/>
  <c r="B5424" i="1"/>
  <c r="C5424" i="1"/>
  <c r="D5424" i="1"/>
  <c r="E5424" i="1"/>
  <c r="F5424" i="1"/>
  <c r="H5424" i="1"/>
  <c r="A5425" i="1"/>
  <c r="B5425" i="1"/>
  <c r="C5425" i="1"/>
  <c r="D5425" i="1"/>
  <c r="E5425" i="1"/>
  <c r="F5425" i="1"/>
  <c r="H5425" i="1"/>
  <c r="A5426" i="1"/>
  <c r="B5426" i="1"/>
  <c r="C5426" i="1"/>
  <c r="D5426" i="1"/>
  <c r="E5426" i="1"/>
  <c r="F5426" i="1"/>
  <c r="H5426" i="1"/>
  <c r="A5427" i="1"/>
  <c r="B5427" i="1"/>
  <c r="C5427" i="1"/>
  <c r="D5427" i="1"/>
  <c r="E5427" i="1"/>
  <c r="F5427" i="1"/>
  <c r="H5427" i="1"/>
  <c r="A5428" i="1"/>
  <c r="B5428" i="1"/>
  <c r="C5428" i="1"/>
  <c r="D5428" i="1"/>
  <c r="E5428" i="1"/>
  <c r="F5428" i="1"/>
  <c r="H5428" i="1"/>
  <c r="A5429" i="1"/>
  <c r="B5429" i="1"/>
  <c r="C5429" i="1"/>
  <c r="D5429" i="1"/>
  <c r="E5429" i="1"/>
  <c r="F5429" i="1"/>
  <c r="H5429" i="1"/>
  <c r="A5430" i="1"/>
  <c r="B5430" i="1"/>
  <c r="C5430" i="1"/>
  <c r="D5430" i="1"/>
  <c r="E5430" i="1"/>
  <c r="F5430" i="1"/>
  <c r="H5430" i="1"/>
  <c r="A5431" i="1"/>
  <c r="B5431" i="1"/>
  <c r="C5431" i="1"/>
  <c r="D5431" i="1"/>
  <c r="E5431" i="1"/>
  <c r="F5431" i="1"/>
  <c r="H5431" i="1"/>
  <c r="A5432" i="1"/>
  <c r="B5432" i="1"/>
  <c r="C5432" i="1"/>
  <c r="D5432" i="1"/>
  <c r="E5432" i="1"/>
  <c r="F5432" i="1"/>
  <c r="H5432" i="1"/>
  <c r="A5433" i="1"/>
  <c r="B5433" i="1"/>
  <c r="C5433" i="1"/>
  <c r="D5433" i="1"/>
  <c r="E5433" i="1"/>
  <c r="F5433" i="1"/>
  <c r="H5433" i="1"/>
  <c r="A5434" i="1"/>
  <c r="B5434" i="1"/>
  <c r="C5434" i="1"/>
  <c r="D5434" i="1"/>
  <c r="E5434" i="1"/>
  <c r="F5434" i="1"/>
  <c r="H5434" i="1"/>
  <c r="A5435" i="1"/>
  <c r="B5435" i="1"/>
  <c r="C5435" i="1"/>
  <c r="D5435" i="1"/>
  <c r="E5435" i="1"/>
  <c r="F5435" i="1"/>
  <c r="H5435" i="1"/>
  <c r="A5436" i="1"/>
  <c r="B5436" i="1"/>
  <c r="C5436" i="1"/>
  <c r="D5436" i="1"/>
  <c r="E5436" i="1"/>
  <c r="F5436" i="1"/>
  <c r="H5436" i="1"/>
  <c r="A5437" i="1"/>
  <c r="B5437" i="1"/>
  <c r="C5437" i="1"/>
  <c r="D5437" i="1"/>
  <c r="E5437" i="1"/>
  <c r="F5437" i="1"/>
  <c r="H5437" i="1"/>
  <c r="A5438" i="1"/>
  <c r="B5438" i="1"/>
  <c r="C5438" i="1"/>
  <c r="D5438" i="1"/>
  <c r="E5438" i="1"/>
  <c r="F5438" i="1"/>
  <c r="H5438" i="1"/>
  <c r="A5439" i="1"/>
  <c r="B5439" i="1"/>
  <c r="C5439" i="1"/>
  <c r="D5439" i="1"/>
  <c r="E5439" i="1"/>
  <c r="F5439" i="1"/>
  <c r="H5439" i="1"/>
  <c r="A5440" i="1"/>
  <c r="B5440" i="1"/>
  <c r="C5440" i="1"/>
  <c r="D5440" i="1"/>
  <c r="E5440" i="1"/>
  <c r="F5440" i="1"/>
  <c r="H5440" i="1"/>
  <c r="A5441" i="1"/>
  <c r="B5441" i="1"/>
  <c r="C5441" i="1"/>
  <c r="D5441" i="1"/>
  <c r="E5441" i="1"/>
  <c r="F5441" i="1"/>
  <c r="H5441" i="1"/>
  <c r="A5442" i="1"/>
  <c r="B5442" i="1"/>
  <c r="C5442" i="1"/>
  <c r="D5442" i="1"/>
  <c r="E5442" i="1"/>
  <c r="F5442" i="1"/>
  <c r="H5442" i="1"/>
  <c r="A5443" i="1"/>
  <c r="B5443" i="1"/>
  <c r="C5443" i="1"/>
  <c r="D5443" i="1"/>
  <c r="E5443" i="1"/>
  <c r="F5443" i="1"/>
  <c r="H5443" i="1"/>
  <c r="A5444" i="1"/>
  <c r="B5444" i="1"/>
  <c r="C5444" i="1"/>
  <c r="D5444" i="1"/>
  <c r="E5444" i="1"/>
  <c r="F5444" i="1"/>
  <c r="H5444" i="1"/>
  <c r="A5445" i="1"/>
  <c r="B5445" i="1"/>
  <c r="C5445" i="1"/>
  <c r="D5445" i="1"/>
  <c r="E5445" i="1"/>
  <c r="F5445" i="1"/>
  <c r="H5445" i="1"/>
  <c r="A5446" i="1"/>
  <c r="B5446" i="1"/>
  <c r="C5446" i="1"/>
  <c r="D5446" i="1"/>
  <c r="E5446" i="1"/>
  <c r="F5446" i="1"/>
  <c r="H5446" i="1"/>
  <c r="A5447" i="1"/>
  <c r="B5447" i="1"/>
  <c r="C5447" i="1"/>
  <c r="D5447" i="1"/>
  <c r="E5447" i="1"/>
  <c r="F5447" i="1"/>
  <c r="H5447" i="1"/>
  <c r="A5448" i="1"/>
  <c r="B5448" i="1"/>
  <c r="C5448" i="1"/>
  <c r="D5448" i="1"/>
  <c r="E5448" i="1"/>
  <c r="F5448" i="1"/>
  <c r="H5448" i="1"/>
  <c r="A5449" i="1"/>
  <c r="B5449" i="1"/>
  <c r="C5449" i="1"/>
  <c r="D5449" i="1"/>
  <c r="E5449" i="1"/>
  <c r="F5449" i="1"/>
  <c r="H5449" i="1"/>
  <c r="A5450" i="1"/>
  <c r="B5450" i="1"/>
  <c r="C5450" i="1"/>
  <c r="D5450" i="1"/>
  <c r="E5450" i="1"/>
  <c r="F5450" i="1"/>
  <c r="H5450" i="1"/>
  <c r="A5451" i="1"/>
  <c r="B5451" i="1"/>
  <c r="C5451" i="1"/>
  <c r="D5451" i="1"/>
  <c r="E5451" i="1"/>
  <c r="F5451" i="1"/>
  <c r="H5451" i="1"/>
  <c r="A5452" i="1"/>
  <c r="B5452" i="1"/>
  <c r="C5452" i="1"/>
  <c r="D5452" i="1"/>
  <c r="E5452" i="1"/>
  <c r="F5452" i="1"/>
  <c r="H5452" i="1"/>
  <c r="A5453" i="1"/>
  <c r="B5453" i="1"/>
  <c r="C5453" i="1"/>
  <c r="D5453" i="1"/>
  <c r="E5453" i="1"/>
  <c r="F5453" i="1"/>
  <c r="H5453" i="1"/>
  <c r="A5454" i="1"/>
  <c r="B5454" i="1"/>
  <c r="C5454" i="1"/>
  <c r="D5454" i="1"/>
  <c r="E5454" i="1"/>
  <c r="F5454" i="1"/>
  <c r="H5454" i="1"/>
  <c r="A5455" i="1"/>
  <c r="B5455" i="1"/>
  <c r="C5455" i="1"/>
  <c r="D5455" i="1"/>
  <c r="E5455" i="1"/>
  <c r="F5455" i="1"/>
  <c r="H5455" i="1"/>
  <c r="A5456" i="1"/>
  <c r="B5456" i="1"/>
  <c r="C5456" i="1"/>
  <c r="D5456" i="1"/>
  <c r="E5456" i="1"/>
  <c r="F5456" i="1"/>
  <c r="H5456" i="1"/>
  <c r="A5457" i="1"/>
  <c r="B5457" i="1"/>
  <c r="C5457" i="1"/>
  <c r="D5457" i="1"/>
  <c r="E5457" i="1"/>
  <c r="F5457" i="1"/>
  <c r="H5457" i="1"/>
  <c r="A5458" i="1"/>
  <c r="B5458" i="1"/>
  <c r="C5458" i="1"/>
  <c r="D5458" i="1"/>
  <c r="E5458" i="1"/>
  <c r="F5458" i="1"/>
  <c r="H5458" i="1"/>
  <c r="A5459" i="1"/>
  <c r="B5459" i="1"/>
  <c r="C5459" i="1"/>
  <c r="D5459" i="1"/>
  <c r="E5459" i="1"/>
  <c r="F5459" i="1"/>
  <c r="H5459" i="1"/>
  <c r="A5460" i="1"/>
  <c r="B5460" i="1"/>
  <c r="C5460" i="1"/>
  <c r="D5460" i="1"/>
  <c r="E5460" i="1"/>
  <c r="F5460" i="1"/>
  <c r="H5460" i="1"/>
  <c r="A5461" i="1"/>
  <c r="B5461" i="1"/>
  <c r="C5461" i="1"/>
  <c r="D5461" i="1"/>
  <c r="E5461" i="1"/>
  <c r="F5461" i="1"/>
  <c r="H5461" i="1"/>
  <c r="A5462" i="1"/>
  <c r="B5462" i="1"/>
  <c r="C5462" i="1"/>
  <c r="D5462" i="1"/>
  <c r="E5462" i="1"/>
  <c r="F5462" i="1"/>
  <c r="H5462" i="1"/>
  <c r="A5463" i="1"/>
  <c r="B5463" i="1"/>
  <c r="C5463" i="1"/>
  <c r="D5463" i="1"/>
  <c r="E5463" i="1"/>
  <c r="F5463" i="1"/>
  <c r="H5463" i="1"/>
  <c r="A5464" i="1"/>
  <c r="B5464" i="1"/>
  <c r="C5464" i="1"/>
  <c r="D5464" i="1"/>
  <c r="E5464" i="1"/>
  <c r="F5464" i="1"/>
  <c r="H5464" i="1"/>
  <c r="A5465" i="1"/>
  <c r="B5465" i="1"/>
  <c r="C5465" i="1"/>
  <c r="D5465" i="1"/>
  <c r="E5465" i="1"/>
  <c r="F5465" i="1"/>
  <c r="H5465" i="1"/>
  <c r="A5466" i="1"/>
  <c r="B5466" i="1"/>
  <c r="C5466" i="1"/>
  <c r="D5466" i="1"/>
  <c r="E5466" i="1"/>
  <c r="F5466" i="1"/>
  <c r="H5466" i="1"/>
  <c r="A5467" i="1"/>
  <c r="B5467" i="1"/>
  <c r="C5467" i="1"/>
  <c r="D5467" i="1"/>
  <c r="E5467" i="1"/>
  <c r="F5467" i="1"/>
  <c r="H5467" i="1"/>
  <c r="A5468" i="1"/>
  <c r="B5468" i="1"/>
  <c r="C5468" i="1"/>
  <c r="D5468" i="1"/>
  <c r="E5468" i="1"/>
  <c r="F5468" i="1"/>
  <c r="H5468" i="1"/>
  <c r="A5469" i="1"/>
  <c r="B5469" i="1"/>
  <c r="C5469" i="1"/>
  <c r="D5469" i="1"/>
  <c r="E5469" i="1"/>
  <c r="F5469" i="1"/>
  <c r="H5469" i="1"/>
  <c r="A5470" i="1"/>
  <c r="B5470" i="1"/>
  <c r="C5470" i="1"/>
  <c r="D5470" i="1"/>
  <c r="E5470" i="1"/>
  <c r="F5470" i="1"/>
  <c r="H5470" i="1"/>
  <c r="A5471" i="1"/>
  <c r="B5471" i="1"/>
  <c r="C5471" i="1"/>
  <c r="D5471" i="1"/>
  <c r="E5471" i="1"/>
  <c r="F5471" i="1"/>
  <c r="H5471" i="1"/>
  <c r="A5472" i="1"/>
  <c r="B5472" i="1"/>
  <c r="C5472" i="1"/>
  <c r="D5472" i="1"/>
  <c r="E5472" i="1"/>
  <c r="F5472" i="1"/>
  <c r="H5472" i="1"/>
  <c r="A5473" i="1"/>
  <c r="B5473" i="1"/>
  <c r="C5473" i="1"/>
  <c r="D5473" i="1"/>
  <c r="E5473" i="1"/>
  <c r="F5473" i="1"/>
  <c r="H5473" i="1"/>
  <c r="A5474" i="1"/>
  <c r="B5474" i="1"/>
  <c r="C5474" i="1"/>
  <c r="D5474" i="1"/>
  <c r="E5474" i="1"/>
  <c r="F5474" i="1"/>
  <c r="H5474" i="1"/>
  <c r="A5475" i="1"/>
  <c r="B5475" i="1"/>
  <c r="C5475" i="1"/>
  <c r="D5475" i="1"/>
  <c r="E5475" i="1"/>
  <c r="F5475" i="1"/>
  <c r="H5475" i="1"/>
  <c r="A5476" i="1"/>
  <c r="B5476" i="1"/>
  <c r="C5476" i="1"/>
  <c r="D5476" i="1"/>
  <c r="E5476" i="1"/>
  <c r="F5476" i="1"/>
  <c r="H5476" i="1"/>
  <c r="A5477" i="1"/>
  <c r="B5477" i="1"/>
  <c r="C5477" i="1"/>
  <c r="D5477" i="1"/>
  <c r="E5477" i="1"/>
  <c r="F5477" i="1"/>
  <c r="H5477" i="1"/>
  <c r="A5478" i="1"/>
  <c r="B5478" i="1"/>
  <c r="C5478" i="1"/>
  <c r="D5478" i="1"/>
  <c r="E5478" i="1"/>
  <c r="F5478" i="1"/>
  <c r="H5478" i="1"/>
  <c r="A5479" i="1"/>
  <c r="B5479" i="1"/>
  <c r="C5479" i="1"/>
  <c r="D5479" i="1"/>
  <c r="E5479" i="1"/>
  <c r="F5479" i="1"/>
  <c r="H5479" i="1"/>
  <c r="A5480" i="1"/>
  <c r="B5480" i="1"/>
  <c r="C5480" i="1"/>
  <c r="D5480" i="1"/>
  <c r="E5480" i="1"/>
  <c r="F5480" i="1"/>
  <c r="H5480" i="1"/>
  <c r="A5481" i="1"/>
  <c r="B5481" i="1"/>
  <c r="C5481" i="1"/>
  <c r="D5481" i="1"/>
  <c r="E5481" i="1"/>
  <c r="F5481" i="1"/>
  <c r="H5481" i="1"/>
  <c r="A5482" i="1"/>
  <c r="B5482" i="1"/>
  <c r="C5482" i="1"/>
  <c r="D5482" i="1"/>
  <c r="E5482" i="1"/>
  <c r="F5482" i="1"/>
  <c r="H5482" i="1"/>
  <c r="A5483" i="1"/>
  <c r="B5483" i="1"/>
  <c r="C5483" i="1"/>
  <c r="D5483" i="1"/>
  <c r="E5483" i="1"/>
  <c r="F5483" i="1"/>
  <c r="H5483" i="1"/>
  <c r="A5484" i="1"/>
  <c r="B5484" i="1"/>
  <c r="C5484" i="1"/>
  <c r="D5484" i="1"/>
  <c r="E5484" i="1"/>
  <c r="F5484" i="1"/>
  <c r="H5484" i="1"/>
  <c r="A5485" i="1"/>
  <c r="B5485" i="1"/>
  <c r="C5485" i="1"/>
  <c r="D5485" i="1"/>
  <c r="E5485" i="1"/>
  <c r="F5485" i="1"/>
  <c r="H5485" i="1"/>
  <c r="A5486" i="1"/>
  <c r="B5486" i="1"/>
  <c r="C5486" i="1"/>
  <c r="D5486" i="1"/>
  <c r="E5486" i="1"/>
  <c r="F5486" i="1"/>
  <c r="H5486" i="1"/>
  <c r="A5487" i="1"/>
  <c r="B5487" i="1"/>
  <c r="C5487" i="1"/>
  <c r="D5487" i="1"/>
  <c r="E5487" i="1"/>
  <c r="F5487" i="1"/>
  <c r="H5487" i="1"/>
  <c r="A5488" i="1"/>
  <c r="B5488" i="1"/>
  <c r="C5488" i="1"/>
  <c r="D5488" i="1"/>
  <c r="E5488" i="1"/>
  <c r="F5488" i="1"/>
  <c r="H5488" i="1"/>
  <c r="A5489" i="1"/>
  <c r="B5489" i="1"/>
  <c r="C5489" i="1"/>
  <c r="D5489" i="1"/>
  <c r="E5489" i="1"/>
  <c r="F5489" i="1"/>
  <c r="H5489" i="1"/>
  <c r="A5490" i="1"/>
  <c r="B5490" i="1"/>
  <c r="C5490" i="1"/>
  <c r="D5490" i="1"/>
  <c r="E5490" i="1"/>
  <c r="F5490" i="1"/>
  <c r="H5490" i="1"/>
  <c r="A5491" i="1"/>
  <c r="B5491" i="1"/>
  <c r="C5491" i="1"/>
  <c r="D5491" i="1"/>
  <c r="E5491" i="1"/>
  <c r="F5491" i="1"/>
  <c r="H5491" i="1"/>
  <c r="A5492" i="1"/>
  <c r="B5492" i="1"/>
  <c r="C5492" i="1"/>
  <c r="D5492" i="1"/>
  <c r="E5492" i="1"/>
  <c r="F5492" i="1"/>
  <c r="H5492" i="1"/>
  <c r="A5493" i="1"/>
  <c r="B5493" i="1"/>
  <c r="C5493" i="1"/>
  <c r="D5493" i="1"/>
  <c r="E5493" i="1"/>
  <c r="F5493" i="1"/>
  <c r="H5493" i="1"/>
  <c r="A5494" i="1"/>
  <c r="B5494" i="1"/>
  <c r="C5494" i="1"/>
  <c r="D5494" i="1"/>
  <c r="E5494" i="1"/>
  <c r="F5494" i="1"/>
  <c r="H5494" i="1"/>
  <c r="A5495" i="1"/>
  <c r="B5495" i="1"/>
  <c r="C5495" i="1"/>
  <c r="D5495" i="1"/>
  <c r="E5495" i="1"/>
  <c r="F5495" i="1"/>
  <c r="H5495" i="1"/>
  <c r="A5496" i="1"/>
  <c r="B5496" i="1"/>
  <c r="C5496" i="1"/>
  <c r="D5496" i="1"/>
  <c r="E5496" i="1"/>
  <c r="F5496" i="1"/>
  <c r="H5496" i="1"/>
  <c r="A5497" i="1"/>
  <c r="B5497" i="1"/>
  <c r="C5497" i="1"/>
  <c r="D5497" i="1"/>
  <c r="E5497" i="1"/>
  <c r="F5497" i="1"/>
  <c r="H5497" i="1"/>
  <c r="A5498" i="1"/>
  <c r="B5498" i="1"/>
  <c r="C5498" i="1"/>
  <c r="D5498" i="1"/>
  <c r="E5498" i="1"/>
  <c r="F5498" i="1"/>
  <c r="H5498" i="1"/>
  <c r="A5499" i="1"/>
  <c r="B5499" i="1"/>
  <c r="C5499" i="1"/>
  <c r="D5499" i="1"/>
  <c r="E5499" i="1"/>
  <c r="F5499" i="1"/>
  <c r="H5499" i="1"/>
  <c r="A5500" i="1"/>
  <c r="B5500" i="1"/>
  <c r="C5500" i="1"/>
  <c r="D5500" i="1"/>
  <c r="E5500" i="1"/>
  <c r="F5500" i="1"/>
  <c r="H5500" i="1"/>
  <c r="A5501" i="1"/>
  <c r="B5501" i="1"/>
  <c r="C5501" i="1"/>
  <c r="D5501" i="1"/>
  <c r="E5501" i="1"/>
  <c r="F5501" i="1"/>
  <c r="H5501" i="1"/>
  <c r="A5502" i="1"/>
  <c r="B5502" i="1"/>
  <c r="C5502" i="1"/>
  <c r="D5502" i="1"/>
  <c r="E5502" i="1"/>
  <c r="F5502" i="1"/>
  <c r="H5502" i="1"/>
  <c r="A5503" i="1"/>
  <c r="B5503" i="1"/>
  <c r="C5503" i="1"/>
  <c r="D5503" i="1"/>
  <c r="E5503" i="1"/>
  <c r="F5503" i="1"/>
  <c r="H5503" i="1"/>
  <c r="A5504" i="1"/>
  <c r="B5504" i="1"/>
  <c r="C5504" i="1"/>
  <c r="D5504" i="1"/>
  <c r="E5504" i="1"/>
  <c r="F5504" i="1"/>
  <c r="H5504" i="1"/>
  <c r="A5505" i="1"/>
  <c r="B5505" i="1"/>
  <c r="C5505" i="1"/>
  <c r="D5505" i="1"/>
  <c r="E5505" i="1"/>
  <c r="F5505" i="1"/>
  <c r="H5505" i="1"/>
  <c r="A5506" i="1"/>
  <c r="B5506" i="1"/>
  <c r="C5506" i="1"/>
  <c r="D5506" i="1"/>
  <c r="E5506" i="1"/>
  <c r="F5506" i="1"/>
  <c r="H5506" i="1"/>
  <c r="A5507" i="1"/>
  <c r="B5507" i="1"/>
  <c r="C5507" i="1"/>
  <c r="D5507" i="1"/>
  <c r="E5507" i="1"/>
  <c r="F5507" i="1"/>
  <c r="H5507" i="1"/>
  <c r="A5508" i="1"/>
  <c r="B5508" i="1"/>
  <c r="C5508" i="1"/>
  <c r="D5508" i="1"/>
  <c r="E5508" i="1"/>
  <c r="F5508" i="1"/>
  <c r="H5508" i="1"/>
  <c r="A5509" i="1"/>
  <c r="B5509" i="1"/>
  <c r="C5509" i="1"/>
  <c r="D5509" i="1"/>
  <c r="E5509" i="1"/>
  <c r="F5509" i="1"/>
  <c r="H5509" i="1"/>
  <c r="A5510" i="1"/>
  <c r="B5510" i="1"/>
  <c r="C5510" i="1"/>
  <c r="D5510" i="1"/>
  <c r="E5510" i="1"/>
  <c r="F5510" i="1"/>
  <c r="H5510" i="1"/>
  <c r="A5511" i="1"/>
  <c r="B5511" i="1"/>
  <c r="C5511" i="1"/>
  <c r="D5511" i="1"/>
  <c r="E5511" i="1"/>
  <c r="F5511" i="1"/>
  <c r="H5511" i="1"/>
  <c r="A5512" i="1"/>
  <c r="B5512" i="1"/>
  <c r="C5512" i="1"/>
  <c r="D5512" i="1"/>
  <c r="E5512" i="1"/>
  <c r="F5512" i="1"/>
  <c r="H5512" i="1"/>
  <c r="A5513" i="1"/>
  <c r="B5513" i="1"/>
  <c r="C5513" i="1"/>
  <c r="D5513" i="1"/>
  <c r="E5513" i="1"/>
  <c r="F5513" i="1"/>
  <c r="H5513" i="1"/>
  <c r="A5514" i="1"/>
  <c r="B5514" i="1"/>
  <c r="C5514" i="1"/>
  <c r="D5514" i="1"/>
  <c r="E5514" i="1"/>
  <c r="F5514" i="1"/>
  <c r="H5514" i="1"/>
  <c r="A5515" i="1"/>
  <c r="B5515" i="1"/>
  <c r="C5515" i="1"/>
  <c r="D5515" i="1"/>
  <c r="E5515" i="1"/>
  <c r="F5515" i="1"/>
  <c r="H5515" i="1"/>
  <c r="A5516" i="1"/>
  <c r="B5516" i="1"/>
  <c r="C5516" i="1"/>
  <c r="D5516" i="1"/>
  <c r="E5516" i="1"/>
  <c r="F5516" i="1"/>
  <c r="H5516" i="1"/>
  <c r="A5517" i="1"/>
  <c r="B5517" i="1"/>
  <c r="C5517" i="1"/>
  <c r="D5517" i="1"/>
  <c r="E5517" i="1"/>
  <c r="F5517" i="1"/>
  <c r="H5517" i="1"/>
  <c r="A5518" i="1"/>
  <c r="B5518" i="1"/>
  <c r="C5518" i="1"/>
  <c r="D5518" i="1"/>
  <c r="E5518" i="1"/>
  <c r="F5518" i="1"/>
  <c r="H5518" i="1"/>
  <c r="A5519" i="1"/>
  <c r="B5519" i="1"/>
  <c r="C5519" i="1"/>
  <c r="D5519" i="1"/>
  <c r="E5519" i="1"/>
  <c r="F5519" i="1"/>
  <c r="H5519" i="1"/>
  <c r="A5520" i="1"/>
  <c r="B5520" i="1"/>
  <c r="C5520" i="1"/>
  <c r="D5520" i="1"/>
  <c r="E5520" i="1"/>
  <c r="F5520" i="1"/>
  <c r="H5520" i="1"/>
  <c r="A5521" i="1"/>
  <c r="B5521" i="1"/>
  <c r="C5521" i="1"/>
  <c r="D5521" i="1"/>
  <c r="E5521" i="1"/>
  <c r="F5521" i="1"/>
  <c r="H5521" i="1"/>
  <c r="A5522" i="1"/>
  <c r="B5522" i="1"/>
  <c r="C5522" i="1"/>
  <c r="D5522" i="1"/>
  <c r="E5522" i="1"/>
  <c r="F5522" i="1"/>
  <c r="H5522" i="1"/>
  <c r="A5523" i="1"/>
  <c r="B5523" i="1"/>
  <c r="C5523" i="1"/>
  <c r="D5523" i="1"/>
  <c r="E5523" i="1"/>
  <c r="F5523" i="1"/>
  <c r="H5523" i="1"/>
  <c r="A5524" i="1"/>
  <c r="B5524" i="1"/>
  <c r="C5524" i="1"/>
  <c r="D5524" i="1"/>
  <c r="E5524" i="1"/>
  <c r="F5524" i="1"/>
  <c r="H5524" i="1"/>
  <c r="A5525" i="1"/>
  <c r="B5525" i="1"/>
  <c r="C5525" i="1"/>
  <c r="D5525" i="1"/>
  <c r="E5525" i="1"/>
  <c r="F5525" i="1"/>
  <c r="H5525" i="1"/>
  <c r="A5526" i="1"/>
  <c r="B5526" i="1"/>
  <c r="C5526" i="1"/>
  <c r="D5526" i="1"/>
  <c r="E5526" i="1"/>
  <c r="F5526" i="1"/>
  <c r="H5526" i="1"/>
  <c r="A5527" i="1"/>
  <c r="B5527" i="1"/>
  <c r="C5527" i="1"/>
  <c r="D5527" i="1"/>
  <c r="E5527" i="1"/>
  <c r="F5527" i="1"/>
  <c r="H5527" i="1"/>
  <c r="A5528" i="1"/>
  <c r="B5528" i="1"/>
  <c r="C5528" i="1"/>
  <c r="D5528" i="1"/>
  <c r="E5528" i="1"/>
  <c r="F5528" i="1"/>
  <c r="H5528" i="1"/>
  <c r="A5529" i="1"/>
  <c r="B5529" i="1"/>
  <c r="C5529" i="1"/>
  <c r="D5529" i="1"/>
  <c r="E5529" i="1"/>
  <c r="F5529" i="1"/>
  <c r="H5529" i="1"/>
  <c r="A5530" i="1"/>
  <c r="B5530" i="1"/>
  <c r="C5530" i="1"/>
  <c r="D5530" i="1"/>
  <c r="E5530" i="1"/>
  <c r="F5530" i="1"/>
  <c r="H5530" i="1"/>
  <c r="A5531" i="1"/>
  <c r="B5531" i="1"/>
  <c r="C5531" i="1"/>
  <c r="D5531" i="1"/>
  <c r="E5531" i="1"/>
  <c r="F5531" i="1"/>
  <c r="H5531" i="1"/>
  <c r="A5532" i="1"/>
  <c r="B5532" i="1"/>
  <c r="C5532" i="1"/>
  <c r="D5532" i="1"/>
  <c r="E5532" i="1"/>
  <c r="F5532" i="1"/>
  <c r="H5532" i="1"/>
  <c r="A5533" i="1"/>
  <c r="B5533" i="1"/>
  <c r="C5533" i="1"/>
  <c r="D5533" i="1"/>
  <c r="E5533" i="1"/>
  <c r="F5533" i="1"/>
  <c r="H5533" i="1"/>
  <c r="A5534" i="1"/>
  <c r="B5534" i="1"/>
  <c r="C5534" i="1"/>
  <c r="D5534" i="1"/>
  <c r="E5534" i="1"/>
  <c r="F5534" i="1"/>
  <c r="H5534" i="1"/>
  <c r="A5535" i="1"/>
  <c r="B5535" i="1"/>
  <c r="C5535" i="1"/>
  <c r="D5535" i="1"/>
  <c r="E5535" i="1"/>
  <c r="F5535" i="1"/>
  <c r="H5535" i="1"/>
  <c r="A5536" i="1"/>
  <c r="B5536" i="1"/>
  <c r="C5536" i="1"/>
  <c r="D5536" i="1"/>
  <c r="E5536" i="1"/>
  <c r="F5536" i="1"/>
  <c r="H5536" i="1"/>
  <c r="A5537" i="1"/>
  <c r="B5537" i="1"/>
  <c r="C5537" i="1"/>
  <c r="D5537" i="1"/>
  <c r="E5537" i="1"/>
  <c r="F5537" i="1"/>
  <c r="H5537" i="1"/>
  <c r="A5538" i="1"/>
  <c r="B5538" i="1"/>
  <c r="C5538" i="1"/>
  <c r="D5538" i="1"/>
  <c r="E5538" i="1"/>
  <c r="F5538" i="1"/>
  <c r="H5538" i="1"/>
  <c r="A5539" i="1"/>
  <c r="B5539" i="1"/>
  <c r="C5539" i="1"/>
  <c r="D5539" i="1"/>
  <c r="E5539" i="1"/>
  <c r="F5539" i="1"/>
  <c r="H5539" i="1"/>
  <c r="A5540" i="1"/>
  <c r="B5540" i="1"/>
  <c r="C5540" i="1"/>
  <c r="D5540" i="1"/>
  <c r="E5540" i="1"/>
  <c r="F5540" i="1"/>
  <c r="H5540" i="1"/>
  <c r="A5541" i="1"/>
  <c r="B5541" i="1"/>
  <c r="C5541" i="1"/>
  <c r="D5541" i="1"/>
  <c r="E5541" i="1"/>
  <c r="F5541" i="1"/>
  <c r="H5541" i="1"/>
  <c r="A5542" i="1"/>
  <c r="B5542" i="1"/>
  <c r="C5542" i="1"/>
  <c r="D5542" i="1"/>
  <c r="E5542" i="1"/>
  <c r="F5542" i="1"/>
  <c r="H5542" i="1"/>
  <c r="A5543" i="1"/>
  <c r="B5543" i="1"/>
  <c r="C5543" i="1"/>
  <c r="D5543" i="1"/>
  <c r="E5543" i="1"/>
  <c r="F5543" i="1"/>
  <c r="H5543" i="1"/>
  <c r="A5544" i="1"/>
  <c r="B5544" i="1"/>
  <c r="C5544" i="1"/>
  <c r="D5544" i="1"/>
  <c r="E5544" i="1"/>
  <c r="F5544" i="1"/>
  <c r="H5544" i="1"/>
  <c r="A5545" i="1"/>
  <c r="B5545" i="1"/>
  <c r="C5545" i="1"/>
  <c r="D5545" i="1"/>
  <c r="E5545" i="1"/>
  <c r="F5545" i="1"/>
  <c r="H5545" i="1"/>
  <c r="A5546" i="1"/>
  <c r="B5546" i="1"/>
  <c r="C5546" i="1"/>
  <c r="D5546" i="1"/>
  <c r="E5546" i="1"/>
  <c r="F5546" i="1"/>
  <c r="H5546" i="1"/>
  <c r="A5547" i="1"/>
  <c r="B5547" i="1"/>
  <c r="C5547" i="1"/>
  <c r="D5547" i="1"/>
  <c r="E5547" i="1"/>
  <c r="F5547" i="1"/>
  <c r="H5547" i="1"/>
  <c r="A5548" i="1"/>
  <c r="B5548" i="1"/>
  <c r="C5548" i="1"/>
  <c r="D5548" i="1"/>
  <c r="E5548" i="1"/>
  <c r="F5548" i="1"/>
  <c r="H5548" i="1"/>
  <c r="A5549" i="1"/>
  <c r="B5549" i="1"/>
  <c r="C5549" i="1"/>
  <c r="D5549" i="1"/>
  <c r="E5549" i="1"/>
  <c r="F5549" i="1"/>
  <c r="H5549" i="1"/>
  <c r="A5550" i="1"/>
  <c r="B5550" i="1"/>
  <c r="C5550" i="1"/>
  <c r="D5550" i="1"/>
  <c r="E5550" i="1"/>
  <c r="F5550" i="1"/>
  <c r="H5550" i="1"/>
  <c r="A5551" i="1"/>
  <c r="B5551" i="1"/>
  <c r="C5551" i="1"/>
  <c r="D5551" i="1"/>
  <c r="E5551" i="1"/>
  <c r="F5551" i="1"/>
  <c r="H5551" i="1"/>
  <c r="A5552" i="1"/>
  <c r="B5552" i="1"/>
  <c r="C5552" i="1"/>
  <c r="D5552" i="1"/>
  <c r="E5552" i="1"/>
  <c r="F5552" i="1"/>
  <c r="H5552" i="1"/>
  <c r="A5553" i="1"/>
  <c r="B5553" i="1"/>
  <c r="C5553" i="1"/>
  <c r="D5553" i="1"/>
  <c r="E5553" i="1"/>
  <c r="F5553" i="1"/>
  <c r="H5553" i="1"/>
  <c r="A5554" i="1"/>
  <c r="B5554" i="1"/>
  <c r="C5554" i="1"/>
  <c r="D5554" i="1"/>
  <c r="E5554" i="1"/>
  <c r="F5554" i="1"/>
  <c r="H5554" i="1"/>
  <c r="A5555" i="1"/>
  <c r="B5555" i="1"/>
  <c r="C5555" i="1"/>
  <c r="D5555" i="1"/>
  <c r="E5555" i="1"/>
  <c r="F5555" i="1"/>
  <c r="H5555" i="1"/>
  <c r="A5556" i="1"/>
  <c r="B5556" i="1"/>
  <c r="C5556" i="1"/>
  <c r="D5556" i="1"/>
  <c r="E5556" i="1"/>
  <c r="F5556" i="1"/>
  <c r="H5556" i="1"/>
  <c r="A5557" i="1"/>
  <c r="B5557" i="1"/>
  <c r="C5557" i="1"/>
  <c r="D5557" i="1"/>
  <c r="E5557" i="1"/>
  <c r="F5557" i="1"/>
  <c r="H5557" i="1"/>
  <c r="A5558" i="1"/>
  <c r="B5558" i="1"/>
  <c r="C5558" i="1"/>
  <c r="D5558" i="1"/>
  <c r="E5558" i="1"/>
  <c r="F5558" i="1"/>
  <c r="H5558" i="1"/>
  <c r="A5559" i="1"/>
  <c r="B5559" i="1"/>
  <c r="C5559" i="1"/>
  <c r="D5559" i="1"/>
  <c r="E5559" i="1"/>
  <c r="F5559" i="1"/>
  <c r="H5559" i="1"/>
  <c r="A5560" i="1"/>
  <c r="B5560" i="1"/>
  <c r="C5560" i="1"/>
  <c r="D5560" i="1"/>
  <c r="E5560" i="1"/>
  <c r="F5560" i="1"/>
  <c r="H5560" i="1"/>
  <c r="A5561" i="1"/>
  <c r="B5561" i="1"/>
  <c r="C5561" i="1"/>
  <c r="D5561" i="1"/>
  <c r="E5561" i="1"/>
  <c r="F5561" i="1"/>
  <c r="H5561" i="1"/>
  <c r="A5562" i="1"/>
  <c r="B5562" i="1"/>
  <c r="C5562" i="1"/>
  <c r="D5562" i="1"/>
  <c r="E5562" i="1"/>
  <c r="F5562" i="1"/>
  <c r="H5562" i="1"/>
  <c r="A5563" i="1"/>
  <c r="B5563" i="1"/>
  <c r="C5563" i="1"/>
  <c r="D5563" i="1"/>
  <c r="E5563" i="1"/>
  <c r="F5563" i="1"/>
  <c r="H5563" i="1"/>
  <c r="A5564" i="1"/>
  <c r="B5564" i="1"/>
  <c r="C5564" i="1"/>
  <c r="D5564" i="1"/>
  <c r="E5564" i="1"/>
  <c r="F5564" i="1"/>
  <c r="H5564" i="1"/>
  <c r="A5565" i="1"/>
  <c r="B5565" i="1"/>
  <c r="C5565" i="1"/>
  <c r="D5565" i="1"/>
  <c r="E5565" i="1"/>
  <c r="F5565" i="1"/>
  <c r="H5565" i="1"/>
  <c r="A5566" i="1"/>
  <c r="B5566" i="1"/>
  <c r="C5566" i="1"/>
  <c r="D5566" i="1"/>
  <c r="E5566" i="1"/>
  <c r="F5566" i="1"/>
  <c r="H5566" i="1"/>
  <c r="A5567" i="1"/>
  <c r="B5567" i="1"/>
  <c r="C5567" i="1"/>
  <c r="D5567" i="1"/>
  <c r="E5567" i="1"/>
  <c r="F5567" i="1"/>
  <c r="H5567" i="1"/>
  <c r="A5568" i="1"/>
  <c r="B5568" i="1"/>
  <c r="C5568" i="1"/>
  <c r="D5568" i="1"/>
  <c r="E5568" i="1"/>
  <c r="F5568" i="1"/>
  <c r="H5568" i="1"/>
  <c r="A5569" i="1"/>
  <c r="B5569" i="1"/>
  <c r="C5569" i="1"/>
  <c r="D5569" i="1"/>
  <c r="E5569" i="1"/>
  <c r="F5569" i="1"/>
  <c r="H5569" i="1"/>
  <c r="A5570" i="1"/>
  <c r="B5570" i="1"/>
  <c r="C5570" i="1"/>
  <c r="D5570" i="1"/>
  <c r="E5570" i="1"/>
  <c r="F5570" i="1"/>
  <c r="H5570" i="1"/>
  <c r="A5571" i="1"/>
  <c r="B5571" i="1"/>
  <c r="C5571" i="1"/>
  <c r="D5571" i="1"/>
  <c r="E5571" i="1"/>
  <c r="F5571" i="1"/>
  <c r="H5571" i="1"/>
  <c r="A5572" i="1"/>
  <c r="B5572" i="1"/>
  <c r="C5572" i="1"/>
  <c r="D5572" i="1"/>
  <c r="E5572" i="1"/>
  <c r="F5572" i="1"/>
  <c r="H5572" i="1"/>
  <c r="A5573" i="1"/>
  <c r="B5573" i="1"/>
  <c r="C5573" i="1"/>
  <c r="D5573" i="1"/>
  <c r="E5573" i="1"/>
  <c r="F5573" i="1"/>
  <c r="H5573" i="1"/>
  <c r="A5574" i="1"/>
  <c r="B5574" i="1"/>
  <c r="C5574" i="1"/>
  <c r="D5574" i="1"/>
  <c r="E5574" i="1"/>
  <c r="F5574" i="1"/>
  <c r="H5574" i="1"/>
  <c r="A5575" i="1"/>
  <c r="B5575" i="1"/>
  <c r="C5575" i="1"/>
  <c r="D5575" i="1"/>
  <c r="E5575" i="1"/>
  <c r="F5575" i="1"/>
  <c r="H5575" i="1"/>
  <c r="A5576" i="1"/>
  <c r="B5576" i="1"/>
  <c r="C5576" i="1"/>
  <c r="D5576" i="1"/>
  <c r="E5576" i="1"/>
  <c r="F5576" i="1"/>
  <c r="H5576" i="1"/>
  <c r="A5577" i="1"/>
  <c r="B5577" i="1"/>
  <c r="C5577" i="1"/>
  <c r="D5577" i="1"/>
  <c r="E5577" i="1"/>
  <c r="F5577" i="1"/>
  <c r="H5577" i="1"/>
  <c r="A5578" i="1"/>
  <c r="B5578" i="1"/>
  <c r="C5578" i="1"/>
  <c r="D5578" i="1"/>
  <c r="E5578" i="1"/>
  <c r="F5578" i="1"/>
  <c r="H5578" i="1"/>
  <c r="A5579" i="1"/>
  <c r="B5579" i="1"/>
  <c r="C5579" i="1"/>
  <c r="D5579" i="1"/>
  <c r="E5579" i="1"/>
  <c r="F5579" i="1"/>
  <c r="H5579" i="1"/>
  <c r="A5580" i="1"/>
  <c r="B5580" i="1"/>
  <c r="C5580" i="1"/>
  <c r="D5580" i="1"/>
  <c r="E5580" i="1"/>
  <c r="F5580" i="1"/>
  <c r="H5580" i="1"/>
  <c r="A5581" i="1"/>
  <c r="B5581" i="1"/>
  <c r="C5581" i="1"/>
  <c r="D5581" i="1"/>
  <c r="E5581" i="1"/>
  <c r="F5581" i="1"/>
  <c r="H5581" i="1"/>
  <c r="A5582" i="1"/>
  <c r="B5582" i="1"/>
  <c r="C5582" i="1"/>
  <c r="D5582" i="1"/>
  <c r="E5582" i="1"/>
  <c r="F5582" i="1"/>
  <c r="H5582" i="1"/>
  <c r="A5583" i="1"/>
  <c r="B5583" i="1"/>
  <c r="C5583" i="1"/>
  <c r="D5583" i="1"/>
  <c r="E5583" i="1"/>
  <c r="F5583" i="1"/>
  <c r="H5583" i="1"/>
  <c r="A5584" i="1"/>
  <c r="B5584" i="1"/>
  <c r="C5584" i="1"/>
  <c r="D5584" i="1"/>
  <c r="E5584" i="1"/>
  <c r="F5584" i="1"/>
  <c r="H5584" i="1"/>
  <c r="A5585" i="1"/>
  <c r="B5585" i="1"/>
  <c r="C5585" i="1"/>
  <c r="D5585" i="1"/>
  <c r="E5585" i="1"/>
  <c r="F5585" i="1"/>
  <c r="H5585" i="1"/>
  <c r="A5586" i="1"/>
  <c r="B5586" i="1"/>
  <c r="C5586" i="1"/>
  <c r="D5586" i="1"/>
  <c r="E5586" i="1"/>
  <c r="F5586" i="1"/>
  <c r="H5586" i="1"/>
  <c r="A5587" i="1"/>
  <c r="B5587" i="1"/>
  <c r="C5587" i="1"/>
  <c r="D5587" i="1"/>
  <c r="E5587" i="1"/>
  <c r="F5587" i="1"/>
  <c r="H5587" i="1"/>
  <c r="A5588" i="1"/>
  <c r="B5588" i="1"/>
  <c r="C5588" i="1"/>
  <c r="D5588" i="1"/>
  <c r="E5588" i="1"/>
  <c r="F5588" i="1"/>
  <c r="H5588" i="1"/>
  <c r="A5589" i="1"/>
  <c r="B5589" i="1"/>
  <c r="C5589" i="1"/>
  <c r="D5589" i="1"/>
  <c r="E5589" i="1"/>
  <c r="F5589" i="1"/>
  <c r="H5589" i="1"/>
  <c r="A5590" i="1"/>
  <c r="B5590" i="1"/>
  <c r="C5590" i="1"/>
  <c r="D5590" i="1"/>
  <c r="E5590" i="1"/>
  <c r="F5590" i="1"/>
  <c r="H5590" i="1"/>
  <c r="A5591" i="1"/>
  <c r="B5591" i="1"/>
  <c r="C5591" i="1"/>
  <c r="D5591" i="1"/>
  <c r="E5591" i="1"/>
  <c r="F5591" i="1"/>
  <c r="H5591" i="1"/>
  <c r="A5592" i="1"/>
  <c r="B5592" i="1"/>
  <c r="C5592" i="1"/>
  <c r="D5592" i="1"/>
  <c r="E5592" i="1"/>
  <c r="F5592" i="1"/>
  <c r="H5592" i="1"/>
  <c r="A5593" i="1"/>
  <c r="B5593" i="1"/>
  <c r="C5593" i="1"/>
  <c r="D5593" i="1"/>
  <c r="E5593" i="1"/>
  <c r="F5593" i="1"/>
  <c r="H5593" i="1"/>
  <c r="A5594" i="1"/>
  <c r="B5594" i="1"/>
  <c r="C5594" i="1"/>
  <c r="D5594" i="1"/>
  <c r="E5594" i="1"/>
  <c r="F5594" i="1"/>
  <c r="H5594" i="1"/>
  <c r="A5595" i="1"/>
  <c r="B5595" i="1"/>
  <c r="C5595" i="1"/>
  <c r="D5595" i="1"/>
  <c r="E5595" i="1"/>
  <c r="F5595" i="1"/>
  <c r="H5595" i="1"/>
  <c r="A5596" i="1"/>
  <c r="B5596" i="1"/>
  <c r="C5596" i="1"/>
  <c r="D5596" i="1"/>
  <c r="E5596" i="1"/>
  <c r="F5596" i="1"/>
  <c r="H5596" i="1"/>
  <c r="A5597" i="1"/>
  <c r="B5597" i="1"/>
  <c r="C5597" i="1"/>
  <c r="D5597" i="1"/>
  <c r="E5597" i="1"/>
  <c r="F5597" i="1"/>
  <c r="H5597" i="1"/>
  <c r="A5598" i="1"/>
  <c r="B5598" i="1"/>
  <c r="C5598" i="1"/>
  <c r="D5598" i="1"/>
  <c r="E5598" i="1"/>
  <c r="F5598" i="1"/>
  <c r="H5598" i="1"/>
  <c r="A5599" i="1"/>
  <c r="B5599" i="1"/>
  <c r="C5599" i="1"/>
  <c r="D5599" i="1"/>
  <c r="E5599" i="1"/>
  <c r="F5599" i="1"/>
  <c r="H5599" i="1"/>
  <c r="A5600" i="1"/>
  <c r="B5600" i="1"/>
  <c r="C5600" i="1"/>
  <c r="D5600" i="1"/>
  <c r="E5600" i="1"/>
  <c r="F5600" i="1"/>
  <c r="H5600" i="1"/>
  <c r="A5601" i="1"/>
  <c r="B5601" i="1"/>
  <c r="C5601" i="1"/>
  <c r="D5601" i="1"/>
  <c r="E5601" i="1"/>
  <c r="F5601" i="1"/>
  <c r="H5601" i="1"/>
  <c r="A5602" i="1"/>
  <c r="B5602" i="1"/>
  <c r="C5602" i="1"/>
  <c r="D5602" i="1"/>
  <c r="E5602" i="1"/>
  <c r="F5602" i="1"/>
  <c r="H5602" i="1"/>
  <c r="A5603" i="1"/>
  <c r="B5603" i="1"/>
  <c r="C5603" i="1"/>
  <c r="D5603" i="1"/>
  <c r="E5603" i="1"/>
  <c r="F5603" i="1"/>
  <c r="H5603" i="1"/>
  <c r="A5604" i="1"/>
  <c r="B5604" i="1"/>
  <c r="C5604" i="1"/>
  <c r="D5604" i="1"/>
  <c r="E5604" i="1"/>
  <c r="F5604" i="1"/>
  <c r="H5604" i="1"/>
  <c r="A5605" i="1"/>
  <c r="B5605" i="1"/>
  <c r="C5605" i="1"/>
  <c r="D5605" i="1"/>
  <c r="E5605" i="1"/>
  <c r="F5605" i="1"/>
  <c r="H5605" i="1"/>
  <c r="A5606" i="1"/>
  <c r="B5606" i="1"/>
  <c r="C5606" i="1"/>
  <c r="D5606" i="1"/>
  <c r="E5606" i="1"/>
  <c r="F5606" i="1"/>
  <c r="H5606" i="1"/>
  <c r="A5607" i="1"/>
  <c r="B5607" i="1"/>
  <c r="C5607" i="1"/>
  <c r="D5607" i="1"/>
  <c r="E5607" i="1"/>
  <c r="F5607" i="1"/>
  <c r="H5607" i="1"/>
  <c r="A5608" i="1"/>
  <c r="B5608" i="1"/>
  <c r="C5608" i="1"/>
  <c r="D5608" i="1"/>
  <c r="E5608" i="1"/>
  <c r="F5608" i="1"/>
  <c r="H5608" i="1"/>
  <c r="A5609" i="1"/>
  <c r="B5609" i="1"/>
  <c r="C5609" i="1"/>
  <c r="D5609" i="1"/>
  <c r="E5609" i="1"/>
  <c r="F5609" i="1"/>
  <c r="H5609" i="1"/>
  <c r="A5610" i="1"/>
  <c r="B5610" i="1"/>
  <c r="C5610" i="1"/>
  <c r="D5610" i="1"/>
  <c r="E5610" i="1"/>
  <c r="F5610" i="1"/>
  <c r="H5610" i="1"/>
  <c r="A5611" i="1"/>
  <c r="B5611" i="1"/>
  <c r="C5611" i="1"/>
  <c r="D5611" i="1"/>
  <c r="E5611" i="1"/>
  <c r="F5611" i="1"/>
  <c r="H5611" i="1"/>
  <c r="A5612" i="1"/>
  <c r="B5612" i="1"/>
  <c r="C5612" i="1"/>
  <c r="D5612" i="1"/>
  <c r="E5612" i="1"/>
  <c r="F5612" i="1"/>
  <c r="H5612" i="1"/>
  <c r="A5613" i="1"/>
  <c r="B5613" i="1"/>
  <c r="C5613" i="1"/>
  <c r="D5613" i="1"/>
  <c r="E5613" i="1"/>
  <c r="F5613" i="1"/>
  <c r="H5613" i="1"/>
  <c r="A5614" i="1"/>
  <c r="B5614" i="1"/>
  <c r="C5614" i="1"/>
  <c r="D5614" i="1"/>
  <c r="E5614" i="1"/>
  <c r="F5614" i="1"/>
  <c r="H5614" i="1"/>
  <c r="A5615" i="1"/>
  <c r="B5615" i="1"/>
  <c r="C5615" i="1"/>
  <c r="D5615" i="1"/>
  <c r="E5615" i="1"/>
  <c r="F5615" i="1"/>
  <c r="H5615" i="1"/>
  <c r="A5616" i="1"/>
  <c r="B5616" i="1"/>
  <c r="C5616" i="1"/>
  <c r="D5616" i="1"/>
  <c r="E5616" i="1"/>
  <c r="F5616" i="1"/>
  <c r="H5616" i="1"/>
  <c r="A5617" i="1"/>
  <c r="B5617" i="1"/>
  <c r="C5617" i="1"/>
  <c r="D5617" i="1"/>
  <c r="E5617" i="1"/>
  <c r="F5617" i="1"/>
  <c r="H5617" i="1"/>
  <c r="A5618" i="1"/>
  <c r="B5618" i="1"/>
  <c r="C5618" i="1"/>
  <c r="D5618" i="1"/>
  <c r="E5618" i="1"/>
  <c r="F5618" i="1"/>
  <c r="H5618" i="1"/>
  <c r="A5619" i="1"/>
  <c r="B5619" i="1"/>
  <c r="C5619" i="1"/>
  <c r="D5619" i="1"/>
  <c r="E5619" i="1"/>
  <c r="F5619" i="1"/>
  <c r="H5619" i="1"/>
  <c r="A5620" i="1"/>
  <c r="B5620" i="1"/>
  <c r="C5620" i="1"/>
  <c r="D5620" i="1"/>
  <c r="E5620" i="1"/>
  <c r="F5620" i="1"/>
  <c r="H5620" i="1"/>
  <c r="A5621" i="1"/>
  <c r="B5621" i="1"/>
  <c r="C5621" i="1"/>
  <c r="D5621" i="1"/>
  <c r="E5621" i="1"/>
  <c r="F5621" i="1"/>
  <c r="H5621" i="1"/>
  <c r="A5622" i="1"/>
  <c r="B5622" i="1"/>
  <c r="C5622" i="1"/>
  <c r="D5622" i="1"/>
  <c r="E5622" i="1"/>
  <c r="F5622" i="1"/>
  <c r="H5622" i="1"/>
  <c r="A5623" i="1"/>
  <c r="B5623" i="1"/>
  <c r="C5623" i="1"/>
  <c r="D5623" i="1"/>
  <c r="E5623" i="1"/>
  <c r="F5623" i="1"/>
  <c r="H5623" i="1"/>
  <c r="A5624" i="1"/>
  <c r="B5624" i="1"/>
  <c r="C5624" i="1"/>
  <c r="D5624" i="1"/>
  <c r="E5624" i="1"/>
  <c r="F5624" i="1"/>
  <c r="H5624" i="1"/>
  <c r="A5625" i="1"/>
  <c r="B5625" i="1"/>
  <c r="C5625" i="1"/>
  <c r="D5625" i="1"/>
  <c r="E5625" i="1"/>
  <c r="F5625" i="1"/>
  <c r="H5625" i="1"/>
  <c r="A5626" i="1"/>
  <c r="B5626" i="1"/>
  <c r="C5626" i="1"/>
  <c r="D5626" i="1"/>
  <c r="E5626" i="1"/>
  <c r="F5626" i="1"/>
  <c r="H5626" i="1"/>
  <c r="A5627" i="1"/>
  <c r="B5627" i="1"/>
  <c r="C5627" i="1"/>
  <c r="D5627" i="1"/>
  <c r="E5627" i="1"/>
  <c r="F5627" i="1"/>
  <c r="H5627" i="1"/>
  <c r="A5628" i="1"/>
  <c r="B5628" i="1"/>
  <c r="C5628" i="1"/>
  <c r="D5628" i="1"/>
  <c r="E5628" i="1"/>
  <c r="F5628" i="1"/>
  <c r="H5628" i="1"/>
  <c r="A5629" i="1"/>
  <c r="B5629" i="1"/>
  <c r="C5629" i="1"/>
  <c r="D5629" i="1"/>
  <c r="E5629" i="1"/>
  <c r="F5629" i="1"/>
  <c r="H5629" i="1"/>
  <c r="A5630" i="1"/>
  <c r="B5630" i="1"/>
  <c r="C5630" i="1"/>
  <c r="D5630" i="1"/>
  <c r="E5630" i="1"/>
  <c r="F5630" i="1"/>
  <c r="H5630" i="1"/>
  <c r="A5631" i="1"/>
  <c r="B5631" i="1"/>
  <c r="C5631" i="1"/>
  <c r="D5631" i="1"/>
  <c r="E5631" i="1"/>
  <c r="F5631" i="1"/>
  <c r="H5631" i="1"/>
  <c r="A5632" i="1"/>
  <c r="B5632" i="1"/>
  <c r="C5632" i="1"/>
  <c r="D5632" i="1"/>
  <c r="E5632" i="1"/>
  <c r="F5632" i="1"/>
  <c r="H5632" i="1"/>
  <c r="A5633" i="1"/>
  <c r="B5633" i="1"/>
  <c r="C5633" i="1"/>
  <c r="D5633" i="1"/>
  <c r="E5633" i="1"/>
  <c r="F5633" i="1"/>
  <c r="H5633" i="1"/>
  <c r="A5634" i="1"/>
  <c r="B5634" i="1"/>
  <c r="C5634" i="1"/>
  <c r="D5634" i="1"/>
  <c r="E5634" i="1"/>
  <c r="F5634" i="1"/>
  <c r="H5634" i="1"/>
  <c r="A5635" i="1"/>
  <c r="B5635" i="1"/>
  <c r="C5635" i="1"/>
  <c r="D5635" i="1"/>
  <c r="E5635" i="1"/>
  <c r="F5635" i="1"/>
  <c r="H5635" i="1"/>
  <c r="A5636" i="1"/>
  <c r="B5636" i="1"/>
  <c r="C5636" i="1"/>
  <c r="D5636" i="1"/>
  <c r="E5636" i="1"/>
  <c r="F5636" i="1"/>
  <c r="H5636" i="1"/>
  <c r="A5637" i="1"/>
  <c r="B5637" i="1"/>
  <c r="C5637" i="1"/>
  <c r="D5637" i="1"/>
  <c r="E5637" i="1"/>
  <c r="F5637" i="1"/>
  <c r="H5637" i="1"/>
  <c r="A5638" i="1"/>
  <c r="B5638" i="1"/>
  <c r="C5638" i="1"/>
  <c r="D5638" i="1"/>
  <c r="E5638" i="1"/>
  <c r="F5638" i="1"/>
  <c r="H5638" i="1"/>
  <c r="A5639" i="1"/>
  <c r="B5639" i="1"/>
  <c r="C5639" i="1"/>
  <c r="D5639" i="1"/>
  <c r="E5639" i="1"/>
  <c r="F5639" i="1"/>
  <c r="H5639" i="1"/>
  <c r="A5640" i="1"/>
  <c r="B5640" i="1"/>
  <c r="C5640" i="1"/>
  <c r="D5640" i="1"/>
  <c r="E5640" i="1"/>
  <c r="F5640" i="1"/>
  <c r="H5640" i="1"/>
  <c r="A5641" i="1"/>
  <c r="B5641" i="1"/>
  <c r="C5641" i="1"/>
  <c r="D5641" i="1"/>
  <c r="E5641" i="1"/>
  <c r="F5641" i="1"/>
  <c r="H5641" i="1"/>
  <c r="A5642" i="1"/>
  <c r="B5642" i="1"/>
  <c r="C5642" i="1"/>
  <c r="D5642" i="1"/>
  <c r="E5642" i="1"/>
  <c r="F5642" i="1"/>
  <c r="H5642" i="1"/>
  <c r="A5643" i="1"/>
  <c r="B5643" i="1"/>
  <c r="C5643" i="1"/>
  <c r="D5643" i="1"/>
  <c r="E5643" i="1"/>
  <c r="F5643" i="1"/>
  <c r="H5643" i="1"/>
  <c r="A5644" i="1"/>
  <c r="B5644" i="1"/>
  <c r="C5644" i="1"/>
  <c r="D5644" i="1"/>
  <c r="E5644" i="1"/>
  <c r="F5644" i="1"/>
  <c r="H5644" i="1"/>
  <c r="A5645" i="1"/>
  <c r="B5645" i="1"/>
  <c r="C5645" i="1"/>
  <c r="D5645" i="1"/>
  <c r="E5645" i="1"/>
  <c r="F5645" i="1"/>
  <c r="H5645" i="1"/>
  <c r="A5646" i="1"/>
  <c r="B5646" i="1"/>
  <c r="C5646" i="1"/>
  <c r="D5646" i="1"/>
  <c r="E5646" i="1"/>
  <c r="F5646" i="1"/>
  <c r="H5646" i="1"/>
  <c r="A5647" i="1"/>
  <c r="B5647" i="1"/>
  <c r="C5647" i="1"/>
  <c r="D5647" i="1"/>
  <c r="E5647" i="1"/>
  <c r="F5647" i="1"/>
  <c r="H5647" i="1"/>
  <c r="A5648" i="1"/>
  <c r="B5648" i="1"/>
  <c r="C5648" i="1"/>
  <c r="D5648" i="1"/>
  <c r="E5648" i="1"/>
  <c r="F5648" i="1"/>
  <c r="H5648" i="1"/>
  <c r="A5649" i="1"/>
  <c r="B5649" i="1"/>
  <c r="C5649" i="1"/>
  <c r="D5649" i="1"/>
  <c r="E5649" i="1"/>
  <c r="F5649" i="1"/>
  <c r="H5649" i="1"/>
  <c r="A5650" i="1"/>
  <c r="B5650" i="1"/>
  <c r="C5650" i="1"/>
  <c r="D5650" i="1"/>
  <c r="E5650" i="1"/>
  <c r="F5650" i="1"/>
  <c r="H5650" i="1"/>
  <c r="A5651" i="1"/>
  <c r="B5651" i="1"/>
  <c r="C5651" i="1"/>
  <c r="D5651" i="1"/>
  <c r="E5651" i="1"/>
  <c r="F5651" i="1"/>
  <c r="H5651" i="1"/>
  <c r="A5652" i="1"/>
  <c r="B5652" i="1"/>
  <c r="C5652" i="1"/>
  <c r="D5652" i="1"/>
  <c r="E5652" i="1"/>
  <c r="F5652" i="1"/>
  <c r="H5652" i="1"/>
  <c r="A5653" i="1"/>
  <c r="B5653" i="1"/>
  <c r="C5653" i="1"/>
  <c r="D5653" i="1"/>
  <c r="E5653" i="1"/>
  <c r="F5653" i="1"/>
  <c r="H5653" i="1"/>
  <c r="A5654" i="1"/>
  <c r="B5654" i="1"/>
  <c r="C5654" i="1"/>
  <c r="D5654" i="1"/>
  <c r="E5654" i="1"/>
  <c r="F5654" i="1"/>
  <c r="H5654" i="1"/>
  <c r="A5655" i="1"/>
  <c r="B5655" i="1"/>
  <c r="C5655" i="1"/>
  <c r="D5655" i="1"/>
  <c r="E5655" i="1"/>
  <c r="F5655" i="1"/>
  <c r="H5655" i="1"/>
  <c r="A5656" i="1"/>
  <c r="B5656" i="1"/>
  <c r="C5656" i="1"/>
  <c r="D5656" i="1"/>
  <c r="E5656" i="1"/>
  <c r="F5656" i="1"/>
  <c r="H5656" i="1"/>
  <c r="A5657" i="1"/>
  <c r="B5657" i="1"/>
  <c r="C5657" i="1"/>
  <c r="D5657" i="1"/>
  <c r="E5657" i="1"/>
  <c r="F5657" i="1"/>
  <c r="H5657" i="1"/>
  <c r="A5658" i="1"/>
  <c r="B5658" i="1"/>
  <c r="C5658" i="1"/>
  <c r="D5658" i="1"/>
  <c r="E5658" i="1"/>
  <c r="F5658" i="1"/>
  <c r="H5658" i="1"/>
  <c r="A5659" i="1"/>
  <c r="B5659" i="1"/>
  <c r="C5659" i="1"/>
  <c r="D5659" i="1"/>
  <c r="E5659" i="1"/>
  <c r="F5659" i="1"/>
  <c r="H5659" i="1"/>
  <c r="A5660" i="1"/>
  <c r="B5660" i="1"/>
  <c r="C5660" i="1"/>
  <c r="D5660" i="1"/>
  <c r="E5660" i="1"/>
  <c r="F5660" i="1"/>
  <c r="H5660" i="1"/>
  <c r="A5661" i="1"/>
  <c r="B5661" i="1"/>
  <c r="C5661" i="1"/>
  <c r="D5661" i="1"/>
  <c r="E5661" i="1"/>
  <c r="F5661" i="1"/>
  <c r="H5661" i="1"/>
  <c r="A5662" i="1"/>
  <c r="B5662" i="1"/>
  <c r="C5662" i="1"/>
  <c r="D5662" i="1"/>
  <c r="E5662" i="1"/>
  <c r="F5662" i="1"/>
  <c r="H5662" i="1"/>
  <c r="A5663" i="1"/>
  <c r="B5663" i="1"/>
  <c r="C5663" i="1"/>
  <c r="D5663" i="1"/>
  <c r="E5663" i="1"/>
  <c r="F5663" i="1"/>
  <c r="H5663" i="1"/>
  <c r="A5664" i="1"/>
  <c r="B5664" i="1"/>
  <c r="C5664" i="1"/>
  <c r="D5664" i="1"/>
  <c r="E5664" i="1"/>
  <c r="F5664" i="1"/>
  <c r="H5664" i="1"/>
  <c r="A5665" i="1"/>
  <c r="B5665" i="1"/>
  <c r="C5665" i="1"/>
  <c r="D5665" i="1"/>
  <c r="E5665" i="1"/>
  <c r="F5665" i="1"/>
  <c r="H5665" i="1"/>
  <c r="A5666" i="1"/>
  <c r="B5666" i="1"/>
  <c r="C5666" i="1"/>
  <c r="D5666" i="1"/>
  <c r="E5666" i="1"/>
  <c r="F5666" i="1"/>
  <c r="H5666" i="1"/>
  <c r="A5667" i="1"/>
  <c r="B5667" i="1"/>
  <c r="C5667" i="1"/>
  <c r="D5667" i="1"/>
  <c r="E5667" i="1"/>
  <c r="F5667" i="1"/>
  <c r="H5667" i="1"/>
  <c r="A5668" i="1"/>
  <c r="B5668" i="1"/>
  <c r="C5668" i="1"/>
  <c r="D5668" i="1"/>
  <c r="E5668" i="1"/>
  <c r="F5668" i="1"/>
  <c r="H5668" i="1"/>
  <c r="A5669" i="1"/>
  <c r="B5669" i="1"/>
  <c r="C5669" i="1"/>
  <c r="D5669" i="1"/>
  <c r="E5669" i="1"/>
  <c r="F5669" i="1"/>
  <c r="H5669" i="1"/>
  <c r="A5670" i="1"/>
  <c r="B5670" i="1"/>
  <c r="C5670" i="1"/>
  <c r="D5670" i="1"/>
  <c r="E5670" i="1"/>
  <c r="F5670" i="1"/>
  <c r="H5670" i="1"/>
  <c r="A5671" i="1"/>
  <c r="B5671" i="1"/>
  <c r="C5671" i="1"/>
  <c r="D5671" i="1"/>
  <c r="E5671" i="1"/>
  <c r="F5671" i="1"/>
  <c r="H5671" i="1"/>
  <c r="A5672" i="1"/>
  <c r="B5672" i="1"/>
  <c r="C5672" i="1"/>
  <c r="D5672" i="1"/>
  <c r="E5672" i="1"/>
  <c r="F5672" i="1"/>
  <c r="H5672" i="1"/>
  <c r="A5673" i="1"/>
  <c r="B5673" i="1"/>
  <c r="C5673" i="1"/>
  <c r="D5673" i="1"/>
  <c r="E5673" i="1"/>
  <c r="F5673" i="1"/>
  <c r="H5673" i="1"/>
  <c r="A5674" i="1"/>
  <c r="B5674" i="1"/>
  <c r="C5674" i="1"/>
  <c r="D5674" i="1"/>
  <c r="E5674" i="1"/>
  <c r="F5674" i="1"/>
  <c r="H5674" i="1"/>
  <c r="A5675" i="1"/>
  <c r="B5675" i="1"/>
  <c r="C5675" i="1"/>
  <c r="D5675" i="1"/>
  <c r="E5675" i="1"/>
  <c r="F5675" i="1"/>
  <c r="H5675" i="1"/>
  <c r="A5676" i="1"/>
  <c r="B5676" i="1"/>
  <c r="C5676" i="1"/>
  <c r="D5676" i="1"/>
  <c r="E5676" i="1"/>
  <c r="F5676" i="1"/>
  <c r="H5676" i="1"/>
  <c r="A5677" i="1"/>
  <c r="B5677" i="1"/>
  <c r="C5677" i="1"/>
  <c r="D5677" i="1"/>
  <c r="E5677" i="1"/>
  <c r="F5677" i="1"/>
  <c r="H5677" i="1"/>
  <c r="A5678" i="1"/>
  <c r="B5678" i="1"/>
  <c r="C5678" i="1"/>
  <c r="D5678" i="1"/>
  <c r="E5678" i="1"/>
  <c r="F5678" i="1"/>
  <c r="H5678" i="1"/>
  <c r="A5679" i="1"/>
  <c r="B5679" i="1"/>
  <c r="C5679" i="1"/>
  <c r="D5679" i="1"/>
  <c r="E5679" i="1"/>
  <c r="F5679" i="1"/>
  <c r="H5679" i="1"/>
  <c r="A5680" i="1"/>
  <c r="B5680" i="1"/>
  <c r="C5680" i="1"/>
  <c r="D5680" i="1"/>
  <c r="E5680" i="1"/>
  <c r="F5680" i="1"/>
  <c r="H5680" i="1"/>
  <c r="A5681" i="1"/>
  <c r="B5681" i="1"/>
  <c r="C5681" i="1"/>
  <c r="D5681" i="1"/>
  <c r="E5681" i="1"/>
  <c r="F5681" i="1"/>
  <c r="H5681" i="1"/>
  <c r="A5682" i="1"/>
  <c r="B5682" i="1"/>
  <c r="C5682" i="1"/>
  <c r="D5682" i="1"/>
  <c r="E5682" i="1"/>
  <c r="F5682" i="1"/>
  <c r="H5682" i="1"/>
  <c r="A5683" i="1"/>
  <c r="B5683" i="1"/>
  <c r="C5683" i="1"/>
  <c r="D5683" i="1"/>
  <c r="E5683" i="1"/>
  <c r="F5683" i="1"/>
  <c r="H5683" i="1"/>
  <c r="A5684" i="1"/>
  <c r="B5684" i="1"/>
  <c r="C5684" i="1"/>
  <c r="D5684" i="1"/>
  <c r="E5684" i="1"/>
  <c r="F5684" i="1"/>
  <c r="H5684" i="1"/>
  <c r="A5685" i="1"/>
  <c r="B5685" i="1"/>
  <c r="C5685" i="1"/>
  <c r="D5685" i="1"/>
  <c r="E5685" i="1"/>
  <c r="F5685" i="1"/>
  <c r="H5685" i="1"/>
  <c r="A5686" i="1"/>
  <c r="B5686" i="1"/>
  <c r="C5686" i="1"/>
  <c r="D5686" i="1"/>
  <c r="E5686" i="1"/>
  <c r="F5686" i="1"/>
  <c r="H5686" i="1"/>
  <c r="A5687" i="1"/>
  <c r="B5687" i="1"/>
  <c r="C5687" i="1"/>
  <c r="D5687" i="1"/>
  <c r="E5687" i="1"/>
  <c r="F5687" i="1"/>
  <c r="H5687" i="1"/>
  <c r="A5688" i="1"/>
  <c r="B5688" i="1"/>
  <c r="C5688" i="1"/>
  <c r="D5688" i="1"/>
  <c r="E5688" i="1"/>
  <c r="F5688" i="1"/>
  <c r="H5688" i="1"/>
  <c r="A5689" i="1"/>
  <c r="B5689" i="1"/>
  <c r="C5689" i="1"/>
  <c r="D5689" i="1"/>
  <c r="E5689" i="1"/>
  <c r="F5689" i="1"/>
  <c r="H5689" i="1"/>
  <c r="A5690" i="1"/>
  <c r="B5690" i="1"/>
  <c r="C5690" i="1"/>
  <c r="D5690" i="1"/>
  <c r="E5690" i="1"/>
  <c r="F5690" i="1"/>
  <c r="H5690" i="1"/>
  <c r="A5691" i="1"/>
  <c r="B5691" i="1"/>
  <c r="C5691" i="1"/>
  <c r="D5691" i="1"/>
  <c r="E5691" i="1"/>
  <c r="F5691" i="1"/>
  <c r="H5691" i="1"/>
  <c r="A5692" i="1"/>
  <c r="B5692" i="1"/>
  <c r="C5692" i="1"/>
  <c r="D5692" i="1"/>
  <c r="E5692" i="1"/>
  <c r="F5692" i="1"/>
  <c r="H5692" i="1"/>
  <c r="A5693" i="1"/>
  <c r="B5693" i="1"/>
  <c r="C5693" i="1"/>
  <c r="D5693" i="1"/>
  <c r="E5693" i="1"/>
  <c r="F5693" i="1"/>
  <c r="H5693" i="1"/>
  <c r="A5694" i="1"/>
  <c r="B5694" i="1"/>
  <c r="C5694" i="1"/>
  <c r="D5694" i="1"/>
  <c r="E5694" i="1"/>
  <c r="F5694" i="1"/>
  <c r="H5694" i="1"/>
  <c r="A5695" i="1"/>
  <c r="B5695" i="1"/>
  <c r="C5695" i="1"/>
  <c r="D5695" i="1"/>
  <c r="E5695" i="1"/>
  <c r="F5695" i="1"/>
  <c r="H5695" i="1"/>
  <c r="A5696" i="1"/>
  <c r="B5696" i="1"/>
  <c r="C5696" i="1"/>
  <c r="D5696" i="1"/>
  <c r="E5696" i="1"/>
  <c r="F5696" i="1"/>
  <c r="H5696" i="1"/>
  <c r="A5697" i="1"/>
  <c r="B5697" i="1"/>
  <c r="C5697" i="1"/>
  <c r="D5697" i="1"/>
  <c r="E5697" i="1"/>
  <c r="F5697" i="1"/>
  <c r="H5697" i="1"/>
  <c r="A5698" i="1"/>
  <c r="B5698" i="1"/>
  <c r="C5698" i="1"/>
  <c r="D5698" i="1"/>
  <c r="E5698" i="1"/>
  <c r="F5698" i="1"/>
  <c r="H5698" i="1"/>
  <c r="A5699" i="1"/>
  <c r="B5699" i="1"/>
  <c r="C5699" i="1"/>
  <c r="D5699" i="1"/>
  <c r="E5699" i="1"/>
  <c r="F5699" i="1"/>
  <c r="H5699" i="1"/>
  <c r="A5700" i="1"/>
  <c r="B5700" i="1"/>
  <c r="C5700" i="1"/>
  <c r="D5700" i="1"/>
  <c r="E5700" i="1"/>
  <c r="F5700" i="1"/>
  <c r="H5700" i="1"/>
  <c r="A5701" i="1"/>
  <c r="B5701" i="1"/>
  <c r="C5701" i="1"/>
  <c r="D5701" i="1"/>
  <c r="E5701" i="1"/>
  <c r="F5701" i="1"/>
  <c r="H5701" i="1"/>
  <c r="A5702" i="1"/>
  <c r="B5702" i="1"/>
  <c r="C5702" i="1"/>
  <c r="D5702" i="1"/>
  <c r="E5702" i="1"/>
  <c r="F5702" i="1"/>
  <c r="H5702" i="1"/>
  <c r="A5703" i="1"/>
  <c r="B5703" i="1"/>
  <c r="C5703" i="1"/>
  <c r="D5703" i="1"/>
  <c r="E5703" i="1"/>
  <c r="F5703" i="1"/>
  <c r="H5703" i="1"/>
  <c r="A5704" i="1"/>
  <c r="B5704" i="1"/>
  <c r="C5704" i="1"/>
  <c r="D5704" i="1"/>
  <c r="E5704" i="1"/>
  <c r="F5704" i="1"/>
  <c r="H5704" i="1"/>
  <c r="A5705" i="1"/>
  <c r="B5705" i="1"/>
  <c r="C5705" i="1"/>
  <c r="D5705" i="1"/>
  <c r="E5705" i="1"/>
  <c r="F5705" i="1"/>
  <c r="H5705" i="1"/>
  <c r="A5706" i="1"/>
  <c r="B5706" i="1"/>
  <c r="C5706" i="1"/>
  <c r="D5706" i="1"/>
  <c r="E5706" i="1"/>
  <c r="F5706" i="1"/>
  <c r="H5706" i="1"/>
  <c r="A5707" i="1"/>
  <c r="B5707" i="1"/>
  <c r="C5707" i="1"/>
  <c r="D5707" i="1"/>
  <c r="E5707" i="1"/>
  <c r="F5707" i="1"/>
  <c r="H5707" i="1"/>
  <c r="A5708" i="1"/>
  <c r="B5708" i="1"/>
  <c r="C5708" i="1"/>
  <c r="D5708" i="1"/>
  <c r="E5708" i="1"/>
  <c r="F5708" i="1"/>
  <c r="H5708" i="1"/>
  <c r="A5709" i="1"/>
  <c r="B5709" i="1"/>
  <c r="C5709" i="1"/>
  <c r="D5709" i="1"/>
  <c r="E5709" i="1"/>
  <c r="F5709" i="1"/>
  <c r="H5709" i="1"/>
  <c r="A5710" i="1"/>
  <c r="B5710" i="1"/>
  <c r="C5710" i="1"/>
  <c r="D5710" i="1"/>
  <c r="E5710" i="1"/>
  <c r="F5710" i="1"/>
  <c r="H5710" i="1"/>
  <c r="A5711" i="1"/>
  <c r="B5711" i="1"/>
  <c r="C5711" i="1"/>
  <c r="D5711" i="1"/>
  <c r="E5711" i="1"/>
  <c r="F5711" i="1"/>
  <c r="H5711" i="1"/>
  <c r="A5712" i="1"/>
  <c r="B5712" i="1"/>
  <c r="C5712" i="1"/>
  <c r="D5712" i="1"/>
  <c r="E5712" i="1"/>
  <c r="F5712" i="1"/>
  <c r="H5712" i="1"/>
  <c r="A5713" i="1"/>
  <c r="B5713" i="1"/>
  <c r="C5713" i="1"/>
  <c r="D5713" i="1"/>
  <c r="E5713" i="1"/>
  <c r="F5713" i="1"/>
  <c r="H5713" i="1"/>
  <c r="A5714" i="1"/>
  <c r="B5714" i="1"/>
  <c r="C5714" i="1"/>
  <c r="D5714" i="1"/>
  <c r="E5714" i="1"/>
  <c r="F5714" i="1"/>
  <c r="H5714" i="1"/>
  <c r="A5715" i="1"/>
  <c r="B5715" i="1"/>
  <c r="C5715" i="1"/>
  <c r="D5715" i="1"/>
  <c r="E5715" i="1"/>
  <c r="F5715" i="1"/>
  <c r="H5715" i="1"/>
  <c r="A5716" i="1"/>
  <c r="B5716" i="1"/>
  <c r="C5716" i="1"/>
  <c r="D5716" i="1"/>
  <c r="E5716" i="1"/>
  <c r="F5716" i="1"/>
  <c r="H5716" i="1"/>
  <c r="A5717" i="1"/>
  <c r="B5717" i="1"/>
  <c r="C5717" i="1"/>
  <c r="D5717" i="1"/>
  <c r="E5717" i="1"/>
  <c r="F5717" i="1"/>
  <c r="H5717" i="1"/>
  <c r="A5718" i="1"/>
  <c r="B5718" i="1"/>
  <c r="C5718" i="1"/>
  <c r="D5718" i="1"/>
  <c r="E5718" i="1"/>
  <c r="F5718" i="1"/>
  <c r="H5718" i="1"/>
  <c r="A5719" i="1"/>
  <c r="B5719" i="1"/>
  <c r="C5719" i="1"/>
  <c r="D5719" i="1"/>
  <c r="E5719" i="1"/>
  <c r="F5719" i="1"/>
  <c r="H5719" i="1"/>
  <c r="A5720" i="1"/>
  <c r="B5720" i="1"/>
  <c r="C5720" i="1"/>
  <c r="D5720" i="1"/>
  <c r="E5720" i="1"/>
  <c r="F5720" i="1"/>
  <c r="H5720" i="1"/>
  <c r="A5721" i="1"/>
  <c r="B5721" i="1"/>
  <c r="C5721" i="1"/>
  <c r="D5721" i="1"/>
  <c r="E5721" i="1"/>
  <c r="F5721" i="1"/>
  <c r="H5721" i="1"/>
  <c r="A5722" i="1"/>
  <c r="B5722" i="1"/>
  <c r="C5722" i="1"/>
  <c r="D5722" i="1"/>
  <c r="E5722" i="1"/>
  <c r="F5722" i="1"/>
  <c r="H5722" i="1"/>
  <c r="A5723" i="1"/>
  <c r="B5723" i="1"/>
  <c r="C5723" i="1"/>
  <c r="D5723" i="1"/>
  <c r="E5723" i="1"/>
  <c r="F5723" i="1"/>
  <c r="H5723" i="1"/>
  <c r="A5724" i="1"/>
  <c r="B5724" i="1"/>
  <c r="C5724" i="1"/>
  <c r="D5724" i="1"/>
  <c r="E5724" i="1"/>
  <c r="F5724" i="1"/>
  <c r="H5724" i="1"/>
  <c r="A5725" i="1"/>
  <c r="B5725" i="1"/>
  <c r="C5725" i="1"/>
  <c r="D5725" i="1"/>
  <c r="E5725" i="1"/>
  <c r="F5725" i="1"/>
  <c r="H5725" i="1"/>
  <c r="A5726" i="1"/>
  <c r="B5726" i="1"/>
  <c r="C5726" i="1"/>
  <c r="D5726" i="1"/>
  <c r="E5726" i="1"/>
  <c r="F5726" i="1"/>
  <c r="H5726" i="1"/>
  <c r="A5727" i="1"/>
  <c r="B5727" i="1"/>
  <c r="C5727" i="1"/>
  <c r="D5727" i="1"/>
  <c r="E5727" i="1"/>
  <c r="F5727" i="1"/>
  <c r="H5727" i="1"/>
  <c r="A5728" i="1"/>
  <c r="B5728" i="1"/>
  <c r="C5728" i="1"/>
  <c r="D5728" i="1"/>
  <c r="E5728" i="1"/>
  <c r="F5728" i="1"/>
  <c r="H5728" i="1"/>
  <c r="A5729" i="1"/>
  <c r="B5729" i="1"/>
  <c r="C5729" i="1"/>
  <c r="D5729" i="1"/>
  <c r="E5729" i="1"/>
  <c r="F5729" i="1"/>
  <c r="H5729" i="1"/>
  <c r="A5730" i="1"/>
  <c r="B5730" i="1"/>
  <c r="C5730" i="1"/>
  <c r="D5730" i="1"/>
  <c r="E5730" i="1"/>
  <c r="F5730" i="1"/>
  <c r="H5730" i="1"/>
  <c r="A5731" i="1"/>
  <c r="B5731" i="1"/>
  <c r="C5731" i="1"/>
  <c r="D5731" i="1"/>
  <c r="E5731" i="1"/>
  <c r="F5731" i="1"/>
  <c r="H5731" i="1"/>
  <c r="A5732" i="1"/>
  <c r="B5732" i="1"/>
  <c r="C5732" i="1"/>
  <c r="D5732" i="1"/>
  <c r="E5732" i="1"/>
  <c r="F5732" i="1"/>
  <c r="H5732" i="1"/>
  <c r="A5733" i="1"/>
  <c r="B5733" i="1"/>
  <c r="C5733" i="1"/>
  <c r="D5733" i="1"/>
  <c r="E5733" i="1"/>
  <c r="F5733" i="1"/>
  <c r="H5733" i="1"/>
  <c r="A5734" i="1"/>
  <c r="B5734" i="1"/>
  <c r="C5734" i="1"/>
  <c r="D5734" i="1"/>
  <c r="E5734" i="1"/>
  <c r="F5734" i="1"/>
  <c r="H5734" i="1"/>
  <c r="A5735" i="1"/>
  <c r="B5735" i="1"/>
  <c r="C5735" i="1"/>
  <c r="D5735" i="1"/>
  <c r="E5735" i="1"/>
  <c r="F5735" i="1"/>
  <c r="H5735" i="1"/>
  <c r="A5736" i="1"/>
  <c r="B5736" i="1"/>
  <c r="C5736" i="1"/>
  <c r="D5736" i="1"/>
  <c r="E5736" i="1"/>
  <c r="F5736" i="1"/>
  <c r="H5736" i="1"/>
  <c r="A5737" i="1"/>
  <c r="B5737" i="1"/>
  <c r="C5737" i="1"/>
  <c r="D5737" i="1"/>
  <c r="E5737" i="1"/>
  <c r="F5737" i="1"/>
  <c r="H5737" i="1"/>
  <c r="A5738" i="1"/>
  <c r="B5738" i="1"/>
  <c r="C5738" i="1"/>
  <c r="D5738" i="1"/>
  <c r="E5738" i="1"/>
  <c r="F5738" i="1"/>
  <c r="H5738" i="1"/>
  <c r="A5739" i="1"/>
  <c r="B5739" i="1"/>
  <c r="C5739" i="1"/>
  <c r="D5739" i="1"/>
  <c r="E5739" i="1"/>
  <c r="F5739" i="1"/>
  <c r="H5739" i="1"/>
  <c r="A5740" i="1"/>
  <c r="B5740" i="1"/>
  <c r="C5740" i="1"/>
  <c r="D5740" i="1"/>
  <c r="E5740" i="1"/>
  <c r="F5740" i="1"/>
  <c r="H5740" i="1"/>
  <c r="A5741" i="1"/>
  <c r="B5741" i="1"/>
  <c r="C5741" i="1"/>
  <c r="D5741" i="1"/>
  <c r="E5741" i="1"/>
  <c r="F5741" i="1"/>
  <c r="H5741" i="1"/>
  <c r="A5742" i="1"/>
  <c r="B5742" i="1"/>
  <c r="C5742" i="1"/>
  <c r="D5742" i="1"/>
  <c r="E5742" i="1"/>
  <c r="F5742" i="1"/>
  <c r="H5742" i="1"/>
  <c r="A5743" i="1"/>
  <c r="B5743" i="1"/>
  <c r="C5743" i="1"/>
  <c r="D5743" i="1"/>
  <c r="E5743" i="1"/>
  <c r="F5743" i="1"/>
  <c r="H5743" i="1"/>
  <c r="A5744" i="1"/>
  <c r="B5744" i="1"/>
  <c r="C5744" i="1"/>
  <c r="D5744" i="1"/>
  <c r="E5744" i="1"/>
  <c r="F5744" i="1"/>
  <c r="H5744" i="1"/>
  <c r="A5745" i="1"/>
  <c r="B5745" i="1"/>
  <c r="C5745" i="1"/>
  <c r="D5745" i="1"/>
  <c r="E5745" i="1"/>
  <c r="F5745" i="1"/>
  <c r="H5745" i="1"/>
  <c r="A5746" i="1"/>
  <c r="B5746" i="1"/>
  <c r="C5746" i="1"/>
  <c r="D5746" i="1"/>
  <c r="E5746" i="1"/>
  <c r="F5746" i="1"/>
  <c r="H5746" i="1"/>
  <c r="A5747" i="1"/>
  <c r="B5747" i="1"/>
  <c r="C5747" i="1"/>
  <c r="D5747" i="1"/>
  <c r="E5747" i="1"/>
  <c r="F5747" i="1"/>
  <c r="H5747" i="1"/>
  <c r="A5748" i="1"/>
  <c r="B5748" i="1"/>
  <c r="C5748" i="1"/>
  <c r="D5748" i="1"/>
  <c r="E5748" i="1"/>
  <c r="F5748" i="1"/>
  <c r="H5748" i="1"/>
  <c r="A5749" i="1"/>
  <c r="B5749" i="1"/>
  <c r="C5749" i="1"/>
  <c r="D5749" i="1"/>
  <c r="E5749" i="1"/>
  <c r="F5749" i="1"/>
  <c r="H5749" i="1"/>
  <c r="A5750" i="1"/>
  <c r="B5750" i="1"/>
  <c r="C5750" i="1"/>
  <c r="D5750" i="1"/>
  <c r="E5750" i="1"/>
  <c r="F5750" i="1"/>
  <c r="H5750" i="1"/>
  <c r="A5751" i="1"/>
  <c r="B5751" i="1"/>
  <c r="C5751" i="1"/>
  <c r="D5751" i="1"/>
  <c r="E5751" i="1"/>
  <c r="F5751" i="1"/>
  <c r="H5751" i="1"/>
  <c r="A5752" i="1"/>
  <c r="B5752" i="1"/>
  <c r="C5752" i="1"/>
  <c r="D5752" i="1"/>
  <c r="E5752" i="1"/>
  <c r="F5752" i="1"/>
  <c r="H5752" i="1"/>
  <c r="A5753" i="1"/>
  <c r="B5753" i="1"/>
  <c r="C5753" i="1"/>
  <c r="D5753" i="1"/>
  <c r="E5753" i="1"/>
  <c r="F5753" i="1"/>
  <c r="H5753" i="1"/>
  <c r="A5754" i="1"/>
  <c r="B5754" i="1"/>
  <c r="C5754" i="1"/>
  <c r="D5754" i="1"/>
  <c r="E5754" i="1"/>
  <c r="F5754" i="1"/>
  <c r="H5754" i="1"/>
  <c r="A5755" i="1"/>
  <c r="B5755" i="1"/>
  <c r="C5755" i="1"/>
  <c r="D5755" i="1"/>
  <c r="E5755" i="1"/>
  <c r="F5755" i="1"/>
  <c r="H5755" i="1"/>
  <c r="A5756" i="1"/>
  <c r="B5756" i="1"/>
  <c r="C5756" i="1"/>
  <c r="D5756" i="1"/>
  <c r="E5756" i="1"/>
  <c r="F5756" i="1"/>
  <c r="H5756" i="1"/>
  <c r="A5757" i="1"/>
  <c r="B5757" i="1"/>
  <c r="C5757" i="1"/>
  <c r="D5757" i="1"/>
  <c r="E5757" i="1"/>
  <c r="F5757" i="1"/>
  <c r="H5757" i="1"/>
  <c r="A5758" i="1"/>
  <c r="B5758" i="1"/>
  <c r="C5758" i="1"/>
  <c r="D5758" i="1"/>
  <c r="E5758" i="1"/>
  <c r="F5758" i="1"/>
  <c r="H5758" i="1"/>
  <c r="A5759" i="1"/>
  <c r="B5759" i="1"/>
  <c r="C5759" i="1"/>
  <c r="D5759" i="1"/>
  <c r="E5759" i="1"/>
  <c r="F5759" i="1"/>
  <c r="H5759" i="1"/>
  <c r="A5760" i="1"/>
  <c r="B5760" i="1"/>
  <c r="C5760" i="1"/>
  <c r="D5760" i="1"/>
  <c r="E5760" i="1"/>
  <c r="F5760" i="1"/>
  <c r="H5760" i="1"/>
  <c r="A5761" i="1"/>
  <c r="B5761" i="1"/>
  <c r="C5761" i="1"/>
  <c r="D5761" i="1"/>
  <c r="E5761" i="1"/>
  <c r="F5761" i="1"/>
  <c r="H5761" i="1"/>
  <c r="A5762" i="1"/>
  <c r="B5762" i="1"/>
  <c r="C5762" i="1"/>
  <c r="D5762" i="1"/>
  <c r="E5762" i="1"/>
  <c r="F5762" i="1"/>
  <c r="H5762" i="1"/>
  <c r="A5763" i="1"/>
  <c r="B5763" i="1"/>
  <c r="C5763" i="1"/>
  <c r="D5763" i="1"/>
  <c r="E5763" i="1"/>
  <c r="F5763" i="1"/>
  <c r="H5763" i="1"/>
  <c r="A5764" i="1"/>
  <c r="B5764" i="1"/>
  <c r="C5764" i="1"/>
  <c r="D5764" i="1"/>
  <c r="E5764" i="1"/>
  <c r="F5764" i="1"/>
  <c r="H5764" i="1"/>
  <c r="A5765" i="1"/>
  <c r="B5765" i="1"/>
  <c r="C5765" i="1"/>
  <c r="D5765" i="1"/>
  <c r="E5765" i="1"/>
  <c r="F5765" i="1"/>
  <c r="H5765" i="1"/>
  <c r="A5766" i="1"/>
  <c r="B5766" i="1"/>
  <c r="C5766" i="1"/>
  <c r="D5766" i="1"/>
  <c r="E5766" i="1"/>
  <c r="F5766" i="1"/>
  <c r="H5766" i="1"/>
  <c r="A5767" i="1"/>
  <c r="B5767" i="1"/>
  <c r="C5767" i="1"/>
  <c r="D5767" i="1"/>
  <c r="E5767" i="1"/>
  <c r="F5767" i="1"/>
  <c r="H5767" i="1"/>
  <c r="A5768" i="1"/>
  <c r="B5768" i="1"/>
  <c r="C5768" i="1"/>
  <c r="D5768" i="1"/>
  <c r="E5768" i="1"/>
  <c r="F5768" i="1"/>
  <c r="H5768" i="1"/>
  <c r="A5769" i="1"/>
  <c r="B5769" i="1"/>
  <c r="C5769" i="1"/>
  <c r="D5769" i="1"/>
  <c r="E5769" i="1"/>
  <c r="F5769" i="1"/>
  <c r="H5769" i="1"/>
  <c r="A5770" i="1"/>
  <c r="B5770" i="1"/>
  <c r="C5770" i="1"/>
  <c r="D5770" i="1"/>
  <c r="E5770" i="1"/>
  <c r="F5770" i="1"/>
  <c r="H5770" i="1"/>
  <c r="A5771" i="1"/>
  <c r="B5771" i="1"/>
  <c r="C5771" i="1"/>
  <c r="D5771" i="1"/>
  <c r="E5771" i="1"/>
  <c r="F5771" i="1"/>
  <c r="H5771" i="1"/>
  <c r="A5772" i="1"/>
  <c r="B5772" i="1"/>
  <c r="C5772" i="1"/>
  <c r="D5772" i="1"/>
  <c r="E5772" i="1"/>
  <c r="F5772" i="1"/>
  <c r="H5772" i="1"/>
  <c r="A5773" i="1"/>
  <c r="B5773" i="1"/>
  <c r="C5773" i="1"/>
  <c r="D5773" i="1"/>
  <c r="E5773" i="1"/>
  <c r="F5773" i="1"/>
  <c r="H5773" i="1"/>
  <c r="A5774" i="1"/>
  <c r="B5774" i="1"/>
  <c r="C5774" i="1"/>
  <c r="D5774" i="1"/>
  <c r="E5774" i="1"/>
  <c r="F5774" i="1"/>
  <c r="H5774" i="1"/>
  <c r="A5775" i="1"/>
  <c r="B5775" i="1"/>
  <c r="C5775" i="1"/>
  <c r="D5775" i="1"/>
  <c r="E5775" i="1"/>
  <c r="F5775" i="1"/>
  <c r="H5775" i="1"/>
  <c r="A5776" i="1"/>
  <c r="B5776" i="1"/>
  <c r="C5776" i="1"/>
  <c r="D5776" i="1"/>
  <c r="E5776" i="1"/>
  <c r="F5776" i="1"/>
  <c r="H5776" i="1"/>
  <c r="A5777" i="1"/>
  <c r="B5777" i="1"/>
  <c r="C5777" i="1"/>
  <c r="D5777" i="1"/>
  <c r="E5777" i="1"/>
  <c r="F5777" i="1"/>
  <c r="H5777" i="1"/>
  <c r="A5778" i="1"/>
  <c r="B5778" i="1"/>
  <c r="C5778" i="1"/>
  <c r="D5778" i="1"/>
  <c r="E5778" i="1"/>
  <c r="F5778" i="1"/>
  <c r="H5778" i="1"/>
  <c r="A5779" i="1"/>
  <c r="B5779" i="1"/>
  <c r="C5779" i="1"/>
  <c r="D5779" i="1"/>
  <c r="E5779" i="1"/>
  <c r="F5779" i="1"/>
  <c r="H5779" i="1"/>
  <c r="A5780" i="1"/>
  <c r="B5780" i="1"/>
  <c r="C5780" i="1"/>
  <c r="D5780" i="1"/>
  <c r="E5780" i="1"/>
  <c r="F5780" i="1"/>
  <c r="H5780" i="1"/>
  <c r="A5781" i="1"/>
  <c r="B5781" i="1"/>
  <c r="C5781" i="1"/>
  <c r="D5781" i="1"/>
  <c r="E5781" i="1"/>
  <c r="F5781" i="1"/>
  <c r="H5781" i="1"/>
  <c r="A5782" i="1"/>
  <c r="B5782" i="1"/>
  <c r="C5782" i="1"/>
  <c r="D5782" i="1"/>
  <c r="E5782" i="1"/>
  <c r="F5782" i="1"/>
  <c r="H5782" i="1"/>
  <c r="A5783" i="1"/>
  <c r="B5783" i="1"/>
  <c r="C5783" i="1"/>
  <c r="D5783" i="1"/>
  <c r="E5783" i="1"/>
  <c r="F5783" i="1"/>
  <c r="H5783" i="1"/>
  <c r="A5784" i="1"/>
  <c r="B5784" i="1"/>
  <c r="C5784" i="1"/>
  <c r="D5784" i="1"/>
  <c r="E5784" i="1"/>
  <c r="F5784" i="1"/>
  <c r="H5784" i="1"/>
  <c r="A5785" i="1"/>
  <c r="B5785" i="1"/>
  <c r="C5785" i="1"/>
  <c r="D5785" i="1"/>
  <c r="E5785" i="1"/>
  <c r="F5785" i="1"/>
  <c r="H5785" i="1"/>
  <c r="A5786" i="1"/>
  <c r="B5786" i="1"/>
  <c r="C5786" i="1"/>
  <c r="D5786" i="1"/>
  <c r="E5786" i="1"/>
  <c r="F5786" i="1"/>
  <c r="H5786" i="1"/>
  <c r="A5787" i="1"/>
  <c r="B5787" i="1"/>
  <c r="C5787" i="1"/>
  <c r="D5787" i="1"/>
  <c r="E5787" i="1"/>
  <c r="F5787" i="1"/>
  <c r="H5787" i="1"/>
  <c r="A5788" i="1"/>
  <c r="B5788" i="1"/>
  <c r="C5788" i="1"/>
  <c r="D5788" i="1"/>
  <c r="E5788" i="1"/>
  <c r="F5788" i="1"/>
  <c r="H5788" i="1"/>
  <c r="A5789" i="1"/>
  <c r="B5789" i="1"/>
  <c r="C5789" i="1"/>
  <c r="D5789" i="1"/>
  <c r="E5789" i="1"/>
  <c r="F5789" i="1"/>
  <c r="H5789" i="1"/>
  <c r="A5790" i="1"/>
  <c r="B5790" i="1"/>
  <c r="C5790" i="1"/>
  <c r="D5790" i="1"/>
  <c r="E5790" i="1"/>
  <c r="F5790" i="1"/>
  <c r="H5790" i="1"/>
  <c r="A5791" i="1"/>
  <c r="B5791" i="1"/>
  <c r="C5791" i="1"/>
  <c r="D5791" i="1"/>
  <c r="E5791" i="1"/>
  <c r="F5791" i="1"/>
  <c r="H5791" i="1"/>
  <c r="A5792" i="1"/>
  <c r="B5792" i="1"/>
  <c r="C5792" i="1"/>
  <c r="D5792" i="1"/>
  <c r="E5792" i="1"/>
  <c r="F5792" i="1"/>
  <c r="H5792" i="1"/>
  <c r="A5793" i="1"/>
  <c r="B5793" i="1"/>
  <c r="C5793" i="1"/>
  <c r="D5793" i="1"/>
  <c r="E5793" i="1"/>
  <c r="F5793" i="1"/>
  <c r="H5793" i="1"/>
  <c r="A5794" i="1"/>
  <c r="B5794" i="1"/>
  <c r="C5794" i="1"/>
  <c r="D5794" i="1"/>
  <c r="E5794" i="1"/>
  <c r="F5794" i="1"/>
  <c r="H5794" i="1"/>
  <c r="A5795" i="1"/>
  <c r="B5795" i="1"/>
  <c r="C5795" i="1"/>
  <c r="D5795" i="1"/>
  <c r="E5795" i="1"/>
  <c r="F5795" i="1"/>
  <c r="H5795" i="1"/>
  <c r="A5796" i="1"/>
  <c r="B5796" i="1"/>
  <c r="C5796" i="1"/>
  <c r="D5796" i="1"/>
  <c r="E5796" i="1"/>
  <c r="F5796" i="1"/>
  <c r="H5796" i="1"/>
  <c r="A5797" i="1"/>
  <c r="B5797" i="1"/>
  <c r="C5797" i="1"/>
  <c r="D5797" i="1"/>
  <c r="E5797" i="1"/>
  <c r="F5797" i="1"/>
  <c r="H5797" i="1"/>
  <c r="A5798" i="1"/>
  <c r="B5798" i="1"/>
  <c r="C5798" i="1"/>
  <c r="D5798" i="1"/>
  <c r="E5798" i="1"/>
  <c r="F5798" i="1"/>
  <c r="H5798" i="1"/>
  <c r="A5799" i="1"/>
  <c r="B5799" i="1"/>
  <c r="C5799" i="1"/>
  <c r="D5799" i="1"/>
  <c r="E5799" i="1"/>
  <c r="F5799" i="1"/>
  <c r="H5799" i="1"/>
  <c r="A5800" i="1"/>
  <c r="B5800" i="1"/>
  <c r="C5800" i="1"/>
  <c r="D5800" i="1"/>
  <c r="E5800" i="1"/>
  <c r="F5800" i="1"/>
  <c r="H5800" i="1"/>
  <c r="A5801" i="1"/>
  <c r="B5801" i="1"/>
  <c r="C5801" i="1"/>
  <c r="D5801" i="1"/>
  <c r="E5801" i="1"/>
  <c r="F5801" i="1"/>
  <c r="H5801" i="1"/>
  <c r="A5802" i="1"/>
  <c r="B5802" i="1"/>
  <c r="C5802" i="1"/>
  <c r="D5802" i="1"/>
  <c r="E5802" i="1"/>
  <c r="F5802" i="1"/>
  <c r="H5802" i="1"/>
  <c r="A5803" i="1"/>
  <c r="B5803" i="1"/>
  <c r="C5803" i="1"/>
  <c r="D5803" i="1"/>
  <c r="E5803" i="1"/>
  <c r="F5803" i="1"/>
  <c r="H5803" i="1"/>
  <c r="A5804" i="1"/>
  <c r="B5804" i="1"/>
  <c r="C5804" i="1"/>
  <c r="D5804" i="1"/>
  <c r="E5804" i="1"/>
  <c r="F5804" i="1"/>
  <c r="H5804" i="1"/>
  <c r="A5805" i="1"/>
  <c r="B5805" i="1"/>
  <c r="C5805" i="1"/>
  <c r="D5805" i="1"/>
  <c r="E5805" i="1"/>
  <c r="F5805" i="1"/>
  <c r="H5805" i="1"/>
  <c r="A5806" i="1"/>
  <c r="B5806" i="1"/>
  <c r="C5806" i="1"/>
  <c r="D5806" i="1"/>
  <c r="E5806" i="1"/>
  <c r="F5806" i="1"/>
  <c r="H5806" i="1"/>
  <c r="A5807" i="1"/>
  <c r="B5807" i="1"/>
  <c r="C5807" i="1"/>
  <c r="D5807" i="1"/>
  <c r="E5807" i="1"/>
  <c r="F5807" i="1"/>
  <c r="H5807" i="1"/>
  <c r="A5808" i="1"/>
  <c r="B5808" i="1"/>
  <c r="C5808" i="1"/>
  <c r="D5808" i="1"/>
  <c r="E5808" i="1"/>
  <c r="F5808" i="1"/>
  <c r="H5808" i="1"/>
  <c r="A5809" i="1"/>
  <c r="B5809" i="1"/>
  <c r="C5809" i="1"/>
  <c r="D5809" i="1"/>
  <c r="E5809" i="1"/>
  <c r="F5809" i="1"/>
  <c r="H5809" i="1"/>
  <c r="A5810" i="1"/>
  <c r="B5810" i="1"/>
  <c r="C5810" i="1"/>
  <c r="D5810" i="1"/>
  <c r="E5810" i="1"/>
  <c r="F5810" i="1"/>
  <c r="H5810" i="1"/>
  <c r="A5811" i="1"/>
  <c r="B5811" i="1"/>
  <c r="C5811" i="1"/>
  <c r="D5811" i="1"/>
  <c r="E5811" i="1"/>
  <c r="F5811" i="1"/>
  <c r="H5811" i="1"/>
  <c r="A5812" i="1"/>
  <c r="B5812" i="1"/>
  <c r="C5812" i="1"/>
  <c r="D5812" i="1"/>
  <c r="E5812" i="1"/>
  <c r="F5812" i="1"/>
  <c r="H5812" i="1"/>
  <c r="A5813" i="1"/>
  <c r="B5813" i="1"/>
  <c r="C5813" i="1"/>
  <c r="D5813" i="1"/>
  <c r="E5813" i="1"/>
  <c r="F5813" i="1"/>
  <c r="H5813" i="1"/>
  <c r="A5814" i="1"/>
  <c r="B5814" i="1"/>
  <c r="C5814" i="1"/>
  <c r="D5814" i="1"/>
  <c r="E5814" i="1"/>
  <c r="F5814" i="1"/>
  <c r="H5814" i="1"/>
  <c r="A5815" i="1"/>
  <c r="B5815" i="1"/>
  <c r="C5815" i="1"/>
  <c r="D5815" i="1"/>
  <c r="E5815" i="1"/>
  <c r="F5815" i="1"/>
  <c r="H5815" i="1"/>
  <c r="A5816" i="1"/>
  <c r="B5816" i="1"/>
  <c r="C5816" i="1"/>
  <c r="D5816" i="1"/>
  <c r="E5816" i="1"/>
  <c r="F5816" i="1"/>
  <c r="H5816" i="1"/>
  <c r="A5817" i="1"/>
  <c r="B5817" i="1"/>
  <c r="C5817" i="1"/>
  <c r="D5817" i="1"/>
  <c r="E5817" i="1"/>
  <c r="F5817" i="1"/>
  <c r="H5817" i="1"/>
  <c r="A5818" i="1"/>
  <c r="B5818" i="1"/>
  <c r="C5818" i="1"/>
  <c r="D5818" i="1"/>
  <c r="E5818" i="1"/>
  <c r="F5818" i="1"/>
  <c r="H5818" i="1"/>
  <c r="A5819" i="1"/>
  <c r="B5819" i="1"/>
  <c r="C5819" i="1"/>
  <c r="D5819" i="1"/>
  <c r="E5819" i="1"/>
  <c r="F5819" i="1"/>
  <c r="H5819" i="1"/>
  <c r="A5820" i="1"/>
  <c r="B5820" i="1"/>
  <c r="C5820" i="1"/>
  <c r="D5820" i="1"/>
  <c r="E5820" i="1"/>
  <c r="F5820" i="1"/>
  <c r="H5820" i="1"/>
  <c r="A5821" i="1"/>
  <c r="B5821" i="1"/>
  <c r="C5821" i="1"/>
  <c r="D5821" i="1"/>
  <c r="E5821" i="1"/>
  <c r="F5821" i="1"/>
  <c r="H5821" i="1"/>
  <c r="A5822" i="1"/>
  <c r="B5822" i="1"/>
  <c r="C5822" i="1"/>
  <c r="D5822" i="1"/>
  <c r="E5822" i="1"/>
  <c r="F5822" i="1"/>
  <c r="H5822" i="1"/>
  <c r="A5823" i="1"/>
  <c r="B5823" i="1"/>
  <c r="C5823" i="1"/>
  <c r="D5823" i="1"/>
  <c r="E5823" i="1"/>
  <c r="F5823" i="1"/>
  <c r="H5823" i="1"/>
  <c r="A5824" i="1"/>
  <c r="B5824" i="1"/>
  <c r="C5824" i="1"/>
  <c r="D5824" i="1"/>
  <c r="E5824" i="1"/>
  <c r="F5824" i="1"/>
  <c r="H5824" i="1"/>
  <c r="A5825" i="1"/>
  <c r="B5825" i="1"/>
  <c r="C5825" i="1"/>
  <c r="D5825" i="1"/>
  <c r="E5825" i="1"/>
  <c r="F5825" i="1"/>
  <c r="H5825" i="1"/>
  <c r="A5826" i="1"/>
  <c r="B5826" i="1"/>
  <c r="C5826" i="1"/>
  <c r="D5826" i="1"/>
  <c r="E5826" i="1"/>
  <c r="F5826" i="1"/>
  <c r="H5826" i="1"/>
  <c r="A5827" i="1"/>
  <c r="B5827" i="1"/>
  <c r="C5827" i="1"/>
  <c r="D5827" i="1"/>
  <c r="E5827" i="1"/>
  <c r="F5827" i="1"/>
  <c r="H5827" i="1"/>
  <c r="A5828" i="1"/>
  <c r="B5828" i="1"/>
  <c r="C5828" i="1"/>
  <c r="D5828" i="1"/>
  <c r="E5828" i="1"/>
  <c r="F5828" i="1"/>
  <c r="H5828" i="1"/>
  <c r="A5829" i="1"/>
  <c r="B5829" i="1"/>
  <c r="C5829" i="1"/>
  <c r="D5829" i="1"/>
  <c r="E5829" i="1"/>
  <c r="F5829" i="1"/>
  <c r="H5829" i="1"/>
  <c r="A5830" i="1"/>
  <c r="B5830" i="1"/>
  <c r="C5830" i="1"/>
  <c r="D5830" i="1"/>
  <c r="E5830" i="1"/>
  <c r="F5830" i="1"/>
  <c r="H5830" i="1"/>
  <c r="A5831" i="1"/>
  <c r="B5831" i="1"/>
  <c r="C5831" i="1"/>
  <c r="D5831" i="1"/>
  <c r="E5831" i="1"/>
  <c r="F5831" i="1"/>
  <c r="H5831" i="1"/>
  <c r="A5832" i="1"/>
  <c r="B5832" i="1"/>
  <c r="C5832" i="1"/>
  <c r="D5832" i="1"/>
  <c r="E5832" i="1"/>
  <c r="F5832" i="1"/>
  <c r="H5832" i="1"/>
  <c r="A5833" i="1"/>
  <c r="B5833" i="1"/>
  <c r="C5833" i="1"/>
  <c r="D5833" i="1"/>
  <c r="E5833" i="1"/>
  <c r="F5833" i="1"/>
  <c r="H5833" i="1"/>
  <c r="A5834" i="1"/>
  <c r="B5834" i="1"/>
  <c r="C5834" i="1"/>
  <c r="D5834" i="1"/>
  <c r="E5834" i="1"/>
  <c r="F5834" i="1"/>
  <c r="H5834" i="1"/>
  <c r="A5835" i="1"/>
  <c r="B5835" i="1"/>
  <c r="C5835" i="1"/>
  <c r="D5835" i="1"/>
  <c r="E5835" i="1"/>
  <c r="F5835" i="1"/>
  <c r="H5835" i="1"/>
  <c r="A5836" i="1"/>
  <c r="B5836" i="1"/>
  <c r="C5836" i="1"/>
  <c r="D5836" i="1"/>
  <c r="E5836" i="1"/>
  <c r="F5836" i="1"/>
  <c r="H5836" i="1"/>
  <c r="A5837" i="1"/>
  <c r="B5837" i="1"/>
  <c r="C5837" i="1"/>
  <c r="D5837" i="1"/>
  <c r="E5837" i="1"/>
  <c r="F5837" i="1"/>
  <c r="H5837" i="1"/>
  <c r="A5838" i="1"/>
  <c r="B5838" i="1"/>
  <c r="C5838" i="1"/>
  <c r="D5838" i="1"/>
  <c r="E5838" i="1"/>
  <c r="F5838" i="1"/>
  <c r="H5838" i="1"/>
  <c r="A5839" i="1"/>
  <c r="B5839" i="1"/>
  <c r="C5839" i="1"/>
  <c r="D5839" i="1"/>
  <c r="E5839" i="1"/>
  <c r="F5839" i="1"/>
  <c r="H5839" i="1"/>
  <c r="A5840" i="1"/>
  <c r="B5840" i="1"/>
  <c r="C5840" i="1"/>
  <c r="D5840" i="1"/>
  <c r="E5840" i="1"/>
  <c r="F5840" i="1"/>
  <c r="H5840" i="1"/>
  <c r="A5841" i="1"/>
  <c r="B5841" i="1"/>
  <c r="C5841" i="1"/>
  <c r="D5841" i="1"/>
  <c r="E5841" i="1"/>
  <c r="F5841" i="1"/>
  <c r="H5841" i="1"/>
  <c r="A5842" i="1"/>
  <c r="B5842" i="1"/>
  <c r="C5842" i="1"/>
  <c r="D5842" i="1"/>
  <c r="E5842" i="1"/>
  <c r="F5842" i="1"/>
  <c r="H5842" i="1"/>
  <c r="A5843" i="1"/>
  <c r="B5843" i="1"/>
  <c r="C5843" i="1"/>
  <c r="D5843" i="1"/>
  <c r="E5843" i="1"/>
  <c r="F5843" i="1"/>
  <c r="H5843" i="1"/>
  <c r="A5844" i="1"/>
  <c r="B5844" i="1"/>
  <c r="C5844" i="1"/>
  <c r="D5844" i="1"/>
  <c r="E5844" i="1"/>
  <c r="F5844" i="1"/>
  <c r="H5844" i="1"/>
  <c r="A5845" i="1"/>
  <c r="B5845" i="1"/>
  <c r="C5845" i="1"/>
  <c r="D5845" i="1"/>
  <c r="E5845" i="1"/>
  <c r="F5845" i="1"/>
  <c r="H5845" i="1"/>
  <c r="A5846" i="1"/>
  <c r="B5846" i="1"/>
  <c r="C5846" i="1"/>
  <c r="D5846" i="1"/>
  <c r="E5846" i="1"/>
  <c r="F5846" i="1"/>
  <c r="H5846" i="1"/>
  <c r="A5847" i="1"/>
  <c r="B5847" i="1"/>
  <c r="C5847" i="1"/>
  <c r="D5847" i="1"/>
  <c r="E5847" i="1"/>
  <c r="F5847" i="1"/>
  <c r="H5847" i="1"/>
  <c r="A5848" i="1"/>
  <c r="B5848" i="1"/>
  <c r="C5848" i="1"/>
  <c r="D5848" i="1"/>
  <c r="E5848" i="1"/>
  <c r="F5848" i="1"/>
  <c r="H5848" i="1"/>
  <c r="A5849" i="1"/>
  <c r="B5849" i="1"/>
  <c r="C5849" i="1"/>
  <c r="D5849" i="1"/>
  <c r="E5849" i="1"/>
  <c r="F5849" i="1"/>
  <c r="H5849" i="1"/>
  <c r="A5850" i="1"/>
  <c r="B5850" i="1"/>
  <c r="C5850" i="1"/>
  <c r="D5850" i="1"/>
  <c r="E5850" i="1"/>
  <c r="F5850" i="1"/>
  <c r="H5850" i="1"/>
  <c r="A5851" i="1"/>
  <c r="B5851" i="1"/>
  <c r="C5851" i="1"/>
  <c r="D5851" i="1"/>
  <c r="E5851" i="1"/>
  <c r="F5851" i="1"/>
  <c r="H5851" i="1"/>
  <c r="A5852" i="1"/>
  <c r="B5852" i="1"/>
  <c r="C5852" i="1"/>
  <c r="D5852" i="1"/>
  <c r="E5852" i="1"/>
  <c r="F5852" i="1"/>
  <c r="H5852" i="1"/>
  <c r="A5853" i="1"/>
  <c r="B5853" i="1"/>
  <c r="C5853" i="1"/>
  <c r="D5853" i="1"/>
  <c r="E5853" i="1"/>
  <c r="F5853" i="1"/>
  <c r="H5853" i="1"/>
  <c r="A5854" i="1"/>
  <c r="B5854" i="1"/>
  <c r="C5854" i="1"/>
  <c r="D5854" i="1"/>
  <c r="E5854" i="1"/>
  <c r="F5854" i="1"/>
  <c r="H5854" i="1"/>
  <c r="A5855" i="1"/>
  <c r="B5855" i="1"/>
  <c r="C5855" i="1"/>
  <c r="D5855" i="1"/>
  <c r="E5855" i="1"/>
  <c r="F5855" i="1"/>
  <c r="H5855" i="1"/>
  <c r="A5856" i="1"/>
  <c r="B5856" i="1"/>
  <c r="C5856" i="1"/>
  <c r="D5856" i="1"/>
  <c r="E5856" i="1"/>
  <c r="F5856" i="1"/>
  <c r="H5856" i="1"/>
  <c r="A5857" i="1"/>
  <c r="B5857" i="1"/>
  <c r="C5857" i="1"/>
  <c r="D5857" i="1"/>
  <c r="E5857" i="1"/>
  <c r="F5857" i="1"/>
  <c r="H5857" i="1"/>
  <c r="A5858" i="1"/>
  <c r="B5858" i="1"/>
  <c r="C5858" i="1"/>
  <c r="D5858" i="1"/>
  <c r="E5858" i="1"/>
  <c r="F5858" i="1"/>
  <c r="H5858" i="1"/>
  <c r="A5859" i="1"/>
  <c r="B5859" i="1"/>
  <c r="C5859" i="1"/>
  <c r="D5859" i="1"/>
  <c r="E5859" i="1"/>
  <c r="F5859" i="1"/>
  <c r="H5859" i="1"/>
  <c r="A5860" i="1"/>
  <c r="B5860" i="1"/>
  <c r="C5860" i="1"/>
  <c r="D5860" i="1"/>
  <c r="E5860" i="1"/>
  <c r="F5860" i="1"/>
  <c r="H5860" i="1"/>
  <c r="A5861" i="1"/>
  <c r="B5861" i="1"/>
  <c r="C5861" i="1"/>
  <c r="D5861" i="1"/>
  <c r="E5861" i="1"/>
  <c r="F5861" i="1"/>
  <c r="H5861" i="1"/>
  <c r="A5862" i="1"/>
  <c r="B5862" i="1"/>
  <c r="C5862" i="1"/>
  <c r="D5862" i="1"/>
  <c r="E5862" i="1"/>
  <c r="F5862" i="1"/>
  <c r="H5862" i="1"/>
  <c r="A5863" i="1"/>
  <c r="B5863" i="1"/>
  <c r="C5863" i="1"/>
  <c r="D5863" i="1"/>
  <c r="E5863" i="1"/>
  <c r="F5863" i="1"/>
  <c r="H5863" i="1"/>
  <c r="A5864" i="1"/>
  <c r="B5864" i="1"/>
  <c r="C5864" i="1"/>
  <c r="D5864" i="1"/>
  <c r="E5864" i="1"/>
  <c r="F5864" i="1"/>
  <c r="H5864" i="1"/>
  <c r="A5865" i="1"/>
  <c r="B5865" i="1"/>
  <c r="C5865" i="1"/>
  <c r="D5865" i="1"/>
  <c r="E5865" i="1"/>
  <c r="F5865" i="1"/>
  <c r="H5865" i="1"/>
  <c r="A5866" i="1"/>
  <c r="B5866" i="1"/>
  <c r="C5866" i="1"/>
  <c r="D5866" i="1"/>
  <c r="E5866" i="1"/>
  <c r="F5866" i="1"/>
  <c r="H5866" i="1"/>
  <c r="A5867" i="1"/>
  <c r="B5867" i="1"/>
  <c r="C5867" i="1"/>
  <c r="D5867" i="1"/>
  <c r="E5867" i="1"/>
  <c r="F5867" i="1"/>
  <c r="H5867" i="1"/>
  <c r="A5868" i="1"/>
  <c r="B5868" i="1"/>
  <c r="C5868" i="1"/>
  <c r="D5868" i="1"/>
  <c r="E5868" i="1"/>
  <c r="F5868" i="1"/>
  <c r="H5868" i="1"/>
  <c r="A5869" i="1"/>
  <c r="B5869" i="1"/>
  <c r="C5869" i="1"/>
  <c r="D5869" i="1"/>
  <c r="E5869" i="1"/>
  <c r="F5869" i="1"/>
  <c r="H5869" i="1"/>
  <c r="A5870" i="1"/>
  <c r="B5870" i="1"/>
  <c r="C5870" i="1"/>
  <c r="D5870" i="1"/>
  <c r="E5870" i="1"/>
  <c r="F5870" i="1"/>
  <c r="H5870" i="1"/>
  <c r="A5871" i="1"/>
  <c r="B5871" i="1"/>
  <c r="C5871" i="1"/>
  <c r="D5871" i="1"/>
  <c r="E5871" i="1"/>
  <c r="F5871" i="1"/>
  <c r="H5871" i="1"/>
  <c r="A5872" i="1"/>
  <c r="B5872" i="1"/>
  <c r="C5872" i="1"/>
  <c r="D5872" i="1"/>
  <c r="E5872" i="1"/>
  <c r="F5872" i="1"/>
  <c r="H5872" i="1"/>
  <c r="A5873" i="1"/>
  <c r="B5873" i="1"/>
  <c r="C5873" i="1"/>
  <c r="D5873" i="1"/>
  <c r="E5873" i="1"/>
  <c r="F5873" i="1"/>
  <c r="H5873" i="1"/>
  <c r="A5874" i="1"/>
  <c r="B5874" i="1"/>
  <c r="C5874" i="1"/>
  <c r="D5874" i="1"/>
  <c r="E5874" i="1"/>
  <c r="F5874" i="1"/>
  <c r="H5874" i="1"/>
  <c r="A5875" i="1"/>
  <c r="B5875" i="1"/>
  <c r="C5875" i="1"/>
  <c r="D5875" i="1"/>
  <c r="E5875" i="1"/>
  <c r="F5875" i="1"/>
  <c r="H5875" i="1"/>
  <c r="A5876" i="1"/>
  <c r="B5876" i="1"/>
  <c r="C5876" i="1"/>
  <c r="D5876" i="1"/>
  <c r="E5876" i="1"/>
  <c r="F5876" i="1"/>
  <c r="H5876" i="1"/>
  <c r="A5877" i="1"/>
  <c r="B5877" i="1"/>
  <c r="C5877" i="1"/>
  <c r="D5877" i="1"/>
  <c r="E5877" i="1"/>
  <c r="F5877" i="1"/>
  <c r="H5877" i="1"/>
  <c r="A5878" i="1"/>
  <c r="B5878" i="1"/>
  <c r="C5878" i="1"/>
  <c r="D5878" i="1"/>
  <c r="E5878" i="1"/>
  <c r="F5878" i="1"/>
  <c r="H5878" i="1"/>
  <c r="A5879" i="1"/>
  <c r="B5879" i="1"/>
  <c r="C5879" i="1"/>
  <c r="D5879" i="1"/>
  <c r="E5879" i="1"/>
  <c r="F5879" i="1"/>
  <c r="H5879" i="1"/>
  <c r="A5880" i="1"/>
  <c r="B5880" i="1"/>
  <c r="C5880" i="1"/>
  <c r="D5880" i="1"/>
  <c r="E5880" i="1"/>
  <c r="F5880" i="1"/>
  <c r="H5880" i="1"/>
  <c r="A5881" i="1"/>
  <c r="B5881" i="1"/>
  <c r="C5881" i="1"/>
  <c r="D5881" i="1"/>
  <c r="E5881" i="1"/>
  <c r="F5881" i="1"/>
  <c r="H5881" i="1"/>
  <c r="A5882" i="1"/>
  <c r="B5882" i="1"/>
  <c r="C5882" i="1"/>
  <c r="D5882" i="1"/>
  <c r="E5882" i="1"/>
  <c r="F5882" i="1"/>
  <c r="H5882" i="1"/>
  <c r="A5883" i="1"/>
  <c r="B5883" i="1"/>
  <c r="C5883" i="1"/>
  <c r="D5883" i="1"/>
  <c r="E5883" i="1"/>
  <c r="F5883" i="1"/>
  <c r="H5883" i="1"/>
  <c r="A5884" i="1"/>
  <c r="B5884" i="1"/>
  <c r="C5884" i="1"/>
  <c r="D5884" i="1"/>
  <c r="E5884" i="1"/>
  <c r="F5884" i="1"/>
  <c r="H5884" i="1"/>
  <c r="A5885" i="1"/>
  <c r="B5885" i="1"/>
  <c r="C5885" i="1"/>
  <c r="D5885" i="1"/>
  <c r="E5885" i="1"/>
  <c r="F5885" i="1"/>
  <c r="H5885" i="1"/>
  <c r="A5886" i="1"/>
  <c r="B5886" i="1"/>
  <c r="C5886" i="1"/>
  <c r="D5886" i="1"/>
  <c r="E5886" i="1"/>
  <c r="F5886" i="1"/>
  <c r="H5886" i="1"/>
  <c r="A5887" i="1"/>
  <c r="B5887" i="1"/>
  <c r="C5887" i="1"/>
  <c r="D5887" i="1"/>
  <c r="E5887" i="1"/>
  <c r="F5887" i="1"/>
  <c r="H5887" i="1"/>
  <c r="A5888" i="1"/>
  <c r="B5888" i="1"/>
  <c r="C5888" i="1"/>
  <c r="D5888" i="1"/>
  <c r="E5888" i="1"/>
  <c r="F5888" i="1"/>
  <c r="H5888" i="1"/>
  <c r="A5889" i="1"/>
  <c r="B5889" i="1"/>
  <c r="C5889" i="1"/>
  <c r="D5889" i="1"/>
  <c r="E5889" i="1"/>
  <c r="F5889" i="1"/>
  <c r="H5889" i="1"/>
  <c r="A5890" i="1"/>
  <c r="B5890" i="1"/>
  <c r="C5890" i="1"/>
  <c r="D5890" i="1"/>
  <c r="E5890" i="1"/>
  <c r="F5890" i="1"/>
  <c r="H5890" i="1"/>
  <c r="A5891" i="1"/>
  <c r="B5891" i="1"/>
  <c r="C5891" i="1"/>
  <c r="D5891" i="1"/>
  <c r="E5891" i="1"/>
  <c r="F5891" i="1"/>
  <c r="H5891" i="1"/>
  <c r="A5892" i="1"/>
  <c r="B5892" i="1"/>
  <c r="C5892" i="1"/>
  <c r="D5892" i="1"/>
  <c r="E5892" i="1"/>
  <c r="F5892" i="1"/>
  <c r="H5892" i="1"/>
  <c r="A5893" i="1"/>
  <c r="B5893" i="1"/>
  <c r="C5893" i="1"/>
  <c r="D5893" i="1"/>
  <c r="E5893" i="1"/>
  <c r="F5893" i="1"/>
  <c r="H5893" i="1"/>
  <c r="A5894" i="1"/>
  <c r="B5894" i="1"/>
  <c r="C5894" i="1"/>
  <c r="D5894" i="1"/>
  <c r="E5894" i="1"/>
  <c r="F5894" i="1"/>
  <c r="H5894" i="1"/>
  <c r="A5895" i="1"/>
  <c r="B5895" i="1"/>
  <c r="C5895" i="1"/>
  <c r="D5895" i="1"/>
  <c r="E5895" i="1"/>
  <c r="F5895" i="1"/>
  <c r="H5895" i="1"/>
  <c r="A5896" i="1"/>
  <c r="B5896" i="1"/>
  <c r="C5896" i="1"/>
  <c r="D5896" i="1"/>
  <c r="E5896" i="1"/>
  <c r="F5896" i="1"/>
  <c r="H5896" i="1"/>
  <c r="A5897" i="1"/>
  <c r="B5897" i="1"/>
  <c r="C5897" i="1"/>
  <c r="D5897" i="1"/>
  <c r="E5897" i="1"/>
  <c r="F5897" i="1"/>
  <c r="H5897" i="1"/>
  <c r="A5898" i="1"/>
  <c r="B5898" i="1"/>
  <c r="C5898" i="1"/>
  <c r="D5898" i="1"/>
  <c r="E5898" i="1"/>
  <c r="F5898" i="1"/>
  <c r="H5898" i="1"/>
  <c r="A5899" i="1"/>
  <c r="B5899" i="1"/>
  <c r="C5899" i="1"/>
  <c r="D5899" i="1"/>
  <c r="E5899" i="1"/>
  <c r="F5899" i="1"/>
  <c r="H5899" i="1"/>
  <c r="A5900" i="1"/>
  <c r="B5900" i="1"/>
  <c r="C5900" i="1"/>
  <c r="D5900" i="1"/>
  <c r="E5900" i="1"/>
  <c r="F5900" i="1"/>
  <c r="H5900" i="1"/>
  <c r="A5901" i="1"/>
  <c r="B5901" i="1"/>
  <c r="C5901" i="1"/>
  <c r="D5901" i="1"/>
  <c r="E5901" i="1"/>
  <c r="F5901" i="1"/>
  <c r="H5901" i="1"/>
  <c r="A5902" i="1"/>
  <c r="B5902" i="1"/>
  <c r="C5902" i="1"/>
  <c r="D5902" i="1"/>
  <c r="E5902" i="1"/>
  <c r="F5902" i="1"/>
  <c r="H5902" i="1"/>
  <c r="A5903" i="1"/>
  <c r="B5903" i="1"/>
  <c r="C5903" i="1"/>
  <c r="D5903" i="1"/>
  <c r="E5903" i="1"/>
  <c r="F5903" i="1"/>
  <c r="H5903" i="1"/>
  <c r="A5904" i="1"/>
  <c r="B5904" i="1"/>
  <c r="C5904" i="1"/>
  <c r="D5904" i="1"/>
  <c r="E5904" i="1"/>
  <c r="F5904" i="1"/>
  <c r="H5904" i="1"/>
  <c r="A5905" i="1"/>
  <c r="B5905" i="1"/>
  <c r="C5905" i="1"/>
  <c r="D5905" i="1"/>
  <c r="E5905" i="1"/>
  <c r="F5905" i="1"/>
  <c r="H5905" i="1"/>
  <c r="A5906" i="1"/>
  <c r="B5906" i="1"/>
  <c r="C5906" i="1"/>
  <c r="D5906" i="1"/>
  <c r="E5906" i="1"/>
  <c r="F5906" i="1"/>
  <c r="H5906" i="1"/>
  <c r="A5907" i="1"/>
  <c r="B5907" i="1"/>
  <c r="C5907" i="1"/>
  <c r="D5907" i="1"/>
  <c r="E5907" i="1"/>
  <c r="F5907" i="1"/>
  <c r="H5907" i="1"/>
  <c r="A5908" i="1"/>
  <c r="B5908" i="1"/>
  <c r="C5908" i="1"/>
  <c r="D5908" i="1"/>
  <c r="E5908" i="1"/>
  <c r="F5908" i="1"/>
  <c r="H5908" i="1"/>
  <c r="A5909" i="1"/>
  <c r="B5909" i="1"/>
  <c r="C5909" i="1"/>
  <c r="D5909" i="1"/>
  <c r="E5909" i="1"/>
  <c r="F5909" i="1"/>
  <c r="H5909" i="1"/>
  <c r="A5910" i="1"/>
  <c r="B5910" i="1"/>
  <c r="C5910" i="1"/>
  <c r="D5910" i="1"/>
  <c r="E5910" i="1"/>
  <c r="F5910" i="1"/>
  <c r="H5910" i="1"/>
  <c r="A5911" i="1"/>
  <c r="B5911" i="1"/>
  <c r="C5911" i="1"/>
  <c r="D5911" i="1"/>
  <c r="E5911" i="1"/>
  <c r="F5911" i="1"/>
  <c r="H5911" i="1"/>
  <c r="A5912" i="1"/>
  <c r="B5912" i="1"/>
  <c r="C5912" i="1"/>
  <c r="D5912" i="1"/>
  <c r="E5912" i="1"/>
  <c r="F5912" i="1"/>
  <c r="H5912" i="1"/>
  <c r="A5913" i="1"/>
  <c r="B5913" i="1"/>
  <c r="C5913" i="1"/>
  <c r="D5913" i="1"/>
  <c r="E5913" i="1"/>
  <c r="F5913" i="1"/>
  <c r="H5913" i="1"/>
  <c r="A5914" i="1"/>
  <c r="B5914" i="1"/>
  <c r="C5914" i="1"/>
  <c r="D5914" i="1"/>
  <c r="E5914" i="1"/>
  <c r="F5914" i="1"/>
  <c r="H5914" i="1"/>
  <c r="A5915" i="1"/>
  <c r="B5915" i="1"/>
  <c r="C5915" i="1"/>
  <c r="D5915" i="1"/>
  <c r="E5915" i="1"/>
  <c r="F5915" i="1"/>
  <c r="H5915" i="1"/>
  <c r="A5916" i="1"/>
  <c r="B5916" i="1"/>
  <c r="C5916" i="1"/>
  <c r="D5916" i="1"/>
  <c r="E5916" i="1"/>
  <c r="F5916" i="1"/>
  <c r="H5916" i="1"/>
  <c r="A5917" i="1"/>
  <c r="B5917" i="1"/>
  <c r="C5917" i="1"/>
  <c r="D5917" i="1"/>
  <c r="E5917" i="1"/>
  <c r="F5917" i="1"/>
  <c r="H5917" i="1"/>
  <c r="A5918" i="1"/>
  <c r="B5918" i="1"/>
  <c r="C5918" i="1"/>
  <c r="D5918" i="1"/>
  <c r="E5918" i="1"/>
  <c r="F5918" i="1"/>
  <c r="H5918" i="1"/>
  <c r="A5919" i="1"/>
  <c r="B5919" i="1"/>
  <c r="C5919" i="1"/>
  <c r="D5919" i="1"/>
  <c r="E5919" i="1"/>
  <c r="F5919" i="1"/>
  <c r="H5919" i="1"/>
  <c r="A5920" i="1"/>
  <c r="B5920" i="1"/>
  <c r="C5920" i="1"/>
  <c r="D5920" i="1"/>
  <c r="E5920" i="1"/>
  <c r="F5920" i="1"/>
  <c r="H5920" i="1"/>
  <c r="A5921" i="1"/>
  <c r="B5921" i="1"/>
  <c r="C5921" i="1"/>
  <c r="D5921" i="1"/>
  <c r="E5921" i="1"/>
  <c r="F5921" i="1"/>
  <c r="H5921" i="1"/>
  <c r="A5922" i="1"/>
  <c r="B5922" i="1"/>
  <c r="C5922" i="1"/>
  <c r="D5922" i="1"/>
  <c r="E5922" i="1"/>
  <c r="F5922" i="1"/>
  <c r="H5922" i="1"/>
  <c r="A5923" i="1"/>
  <c r="B5923" i="1"/>
  <c r="C5923" i="1"/>
  <c r="D5923" i="1"/>
  <c r="E5923" i="1"/>
  <c r="F5923" i="1"/>
  <c r="H5923" i="1"/>
  <c r="A5924" i="1"/>
  <c r="B5924" i="1"/>
  <c r="C5924" i="1"/>
  <c r="D5924" i="1"/>
  <c r="E5924" i="1"/>
  <c r="F5924" i="1"/>
  <c r="H5924" i="1"/>
  <c r="A5925" i="1"/>
  <c r="B5925" i="1"/>
  <c r="C5925" i="1"/>
  <c r="D5925" i="1"/>
  <c r="E5925" i="1"/>
  <c r="F5925" i="1"/>
  <c r="H5925" i="1"/>
  <c r="A5926" i="1"/>
  <c r="B5926" i="1"/>
  <c r="C5926" i="1"/>
  <c r="D5926" i="1"/>
  <c r="E5926" i="1"/>
  <c r="F5926" i="1"/>
  <c r="H5926" i="1"/>
  <c r="A5927" i="1"/>
  <c r="B5927" i="1"/>
  <c r="C5927" i="1"/>
  <c r="D5927" i="1"/>
  <c r="E5927" i="1"/>
  <c r="F5927" i="1"/>
  <c r="H5927" i="1"/>
  <c r="A5928" i="1"/>
  <c r="B5928" i="1"/>
  <c r="C5928" i="1"/>
  <c r="D5928" i="1"/>
  <c r="E5928" i="1"/>
  <c r="F5928" i="1"/>
  <c r="H5928" i="1"/>
  <c r="A5929" i="1"/>
  <c r="B5929" i="1"/>
  <c r="C5929" i="1"/>
  <c r="D5929" i="1"/>
  <c r="E5929" i="1"/>
  <c r="F5929" i="1"/>
  <c r="H5929" i="1"/>
  <c r="A5930" i="1"/>
  <c r="B5930" i="1"/>
  <c r="C5930" i="1"/>
  <c r="D5930" i="1"/>
  <c r="E5930" i="1"/>
  <c r="F5930" i="1"/>
  <c r="H5930" i="1"/>
  <c r="A5931" i="1"/>
  <c r="B5931" i="1"/>
  <c r="C5931" i="1"/>
  <c r="D5931" i="1"/>
  <c r="E5931" i="1"/>
  <c r="F5931" i="1"/>
  <c r="H5931" i="1"/>
  <c r="A5932" i="1"/>
  <c r="B5932" i="1"/>
  <c r="C5932" i="1"/>
  <c r="D5932" i="1"/>
  <c r="E5932" i="1"/>
  <c r="F5932" i="1"/>
  <c r="H5932" i="1"/>
  <c r="A5933" i="1"/>
  <c r="B5933" i="1"/>
  <c r="C5933" i="1"/>
  <c r="D5933" i="1"/>
  <c r="E5933" i="1"/>
  <c r="F5933" i="1"/>
  <c r="H5933" i="1"/>
  <c r="A5934" i="1"/>
  <c r="B5934" i="1"/>
  <c r="C5934" i="1"/>
  <c r="D5934" i="1"/>
  <c r="E5934" i="1"/>
  <c r="F5934" i="1"/>
  <c r="H5934" i="1"/>
  <c r="A5935" i="1"/>
  <c r="B5935" i="1"/>
  <c r="C5935" i="1"/>
  <c r="D5935" i="1"/>
  <c r="E5935" i="1"/>
  <c r="F5935" i="1"/>
  <c r="H5935" i="1"/>
  <c r="A5936" i="1"/>
  <c r="B5936" i="1"/>
  <c r="C5936" i="1"/>
  <c r="D5936" i="1"/>
  <c r="E5936" i="1"/>
  <c r="F5936" i="1"/>
  <c r="H5936" i="1"/>
  <c r="A5937" i="1"/>
  <c r="B5937" i="1"/>
  <c r="C5937" i="1"/>
  <c r="D5937" i="1"/>
  <c r="E5937" i="1"/>
  <c r="F5937" i="1"/>
  <c r="H5937" i="1"/>
  <c r="A5938" i="1"/>
  <c r="B5938" i="1"/>
  <c r="C5938" i="1"/>
  <c r="D5938" i="1"/>
  <c r="E5938" i="1"/>
  <c r="F5938" i="1"/>
  <c r="H5938" i="1"/>
  <c r="A5939" i="1"/>
  <c r="B5939" i="1"/>
  <c r="C5939" i="1"/>
  <c r="D5939" i="1"/>
  <c r="E5939" i="1"/>
  <c r="F5939" i="1"/>
  <c r="H5939" i="1"/>
  <c r="A5940" i="1"/>
  <c r="B5940" i="1"/>
  <c r="C5940" i="1"/>
  <c r="D5940" i="1"/>
  <c r="E5940" i="1"/>
  <c r="F5940" i="1"/>
  <c r="H5940" i="1"/>
  <c r="A5941" i="1"/>
  <c r="B5941" i="1"/>
  <c r="C5941" i="1"/>
  <c r="D5941" i="1"/>
  <c r="E5941" i="1"/>
  <c r="F5941" i="1"/>
  <c r="H5941" i="1"/>
  <c r="A5942" i="1"/>
  <c r="B5942" i="1"/>
  <c r="C5942" i="1"/>
  <c r="D5942" i="1"/>
  <c r="E5942" i="1"/>
  <c r="F5942" i="1"/>
  <c r="H5942" i="1"/>
  <c r="A5943" i="1"/>
  <c r="B5943" i="1"/>
  <c r="C5943" i="1"/>
  <c r="D5943" i="1"/>
  <c r="E5943" i="1"/>
  <c r="F5943" i="1"/>
  <c r="H5943" i="1"/>
  <c r="A5944" i="1"/>
  <c r="B5944" i="1"/>
  <c r="C5944" i="1"/>
  <c r="D5944" i="1"/>
  <c r="E5944" i="1"/>
  <c r="F5944" i="1"/>
  <c r="H5944" i="1"/>
  <c r="A5945" i="1"/>
  <c r="B5945" i="1"/>
  <c r="C5945" i="1"/>
  <c r="D5945" i="1"/>
  <c r="E5945" i="1"/>
  <c r="F5945" i="1"/>
  <c r="H5945" i="1"/>
  <c r="A5946" i="1"/>
  <c r="B5946" i="1"/>
  <c r="C5946" i="1"/>
  <c r="D5946" i="1"/>
  <c r="E5946" i="1"/>
  <c r="F5946" i="1"/>
  <c r="H5946" i="1"/>
  <c r="A5947" i="1"/>
  <c r="B5947" i="1"/>
  <c r="C5947" i="1"/>
  <c r="D5947" i="1"/>
  <c r="E5947" i="1"/>
  <c r="F5947" i="1"/>
  <c r="H5947" i="1"/>
  <c r="A5948" i="1"/>
  <c r="B5948" i="1"/>
  <c r="C5948" i="1"/>
  <c r="D5948" i="1"/>
  <c r="E5948" i="1"/>
  <c r="F5948" i="1"/>
  <c r="H5948" i="1"/>
  <c r="A5949" i="1"/>
  <c r="B5949" i="1"/>
  <c r="C5949" i="1"/>
  <c r="D5949" i="1"/>
  <c r="E5949" i="1"/>
  <c r="F5949" i="1"/>
  <c r="H5949" i="1"/>
  <c r="A5950" i="1"/>
  <c r="B5950" i="1"/>
  <c r="C5950" i="1"/>
  <c r="D5950" i="1"/>
  <c r="E5950" i="1"/>
  <c r="F5950" i="1"/>
  <c r="H5950" i="1"/>
  <c r="A5951" i="1"/>
  <c r="B5951" i="1"/>
  <c r="C5951" i="1"/>
  <c r="D5951" i="1"/>
  <c r="E5951" i="1"/>
  <c r="F5951" i="1"/>
  <c r="H5951" i="1"/>
  <c r="A5952" i="1"/>
  <c r="B5952" i="1"/>
  <c r="C5952" i="1"/>
  <c r="D5952" i="1"/>
  <c r="E5952" i="1"/>
  <c r="F5952" i="1"/>
  <c r="H5952" i="1"/>
  <c r="A5953" i="1"/>
  <c r="B5953" i="1"/>
  <c r="C5953" i="1"/>
  <c r="D5953" i="1"/>
  <c r="E5953" i="1"/>
  <c r="F5953" i="1"/>
  <c r="H5953" i="1"/>
  <c r="A5954" i="1"/>
  <c r="B5954" i="1"/>
  <c r="C5954" i="1"/>
  <c r="D5954" i="1"/>
  <c r="E5954" i="1"/>
  <c r="F5954" i="1"/>
  <c r="H5954" i="1"/>
  <c r="A5955" i="1"/>
  <c r="B5955" i="1"/>
  <c r="C5955" i="1"/>
  <c r="D5955" i="1"/>
  <c r="E5955" i="1"/>
  <c r="F5955" i="1"/>
  <c r="H5955" i="1"/>
  <c r="A5956" i="1"/>
  <c r="B5956" i="1"/>
  <c r="C5956" i="1"/>
  <c r="D5956" i="1"/>
  <c r="E5956" i="1"/>
  <c r="F5956" i="1"/>
  <c r="H5956" i="1"/>
  <c r="A5957" i="1"/>
  <c r="B5957" i="1"/>
  <c r="C5957" i="1"/>
  <c r="D5957" i="1"/>
  <c r="E5957" i="1"/>
  <c r="F5957" i="1"/>
  <c r="H5957" i="1"/>
  <c r="A5958" i="1"/>
  <c r="B5958" i="1"/>
  <c r="C5958" i="1"/>
  <c r="D5958" i="1"/>
  <c r="E5958" i="1"/>
  <c r="F5958" i="1"/>
  <c r="H5958" i="1"/>
  <c r="A5959" i="1"/>
  <c r="B5959" i="1"/>
  <c r="C5959" i="1"/>
  <c r="D5959" i="1"/>
  <c r="E5959" i="1"/>
  <c r="F5959" i="1"/>
  <c r="H5959" i="1"/>
  <c r="A5960" i="1"/>
  <c r="B5960" i="1"/>
  <c r="C5960" i="1"/>
  <c r="D5960" i="1"/>
  <c r="E5960" i="1"/>
  <c r="F5960" i="1"/>
  <c r="H5960" i="1"/>
  <c r="A5961" i="1"/>
  <c r="B5961" i="1"/>
  <c r="C5961" i="1"/>
  <c r="D5961" i="1"/>
  <c r="E5961" i="1"/>
  <c r="F5961" i="1"/>
  <c r="H5961" i="1"/>
  <c r="A5962" i="1"/>
  <c r="B5962" i="1"/>
  <c r="C5962" i="1"/>
  <c r="D5962" i="1"/>
  <c r="E5962" i="1"/>
  <c r="F5962" i="1"/>
  <c r="H5962" i="1"/>
  <c r="A5963" i="1"/>
  <c r="B5963" i="1"/>
  <c r="C5963" i="1"/>
  <c r="D5963" i="1"/>
  <c r="E5963" i="1"/>
  <c r="F5963" i="1"/>
  <c r="H5963" i="1"/>
  <c r="A5964" i="1"/>
  <c r="B5964" i="1"/>
  <c r="C5964" i="1"/>
  <c r="D5964" i="1"/>
  <c r="E5964" i="1"/>
  <c r="F5964" i="1"/>
  <c r="H5964" i="1"/>
  <c r="A5965" i="1"/>
  <c r="B5965" i="1"/>
  <c r="C5965" i="1"/>
  <c r="D5965" i="1"/>
  <c r="E5965" i="1"/>
  <c r="F5965" i="1"/>
  <c r="H5965" i="1"/>
  <c r="A5966" i="1"/>
  <c r="B5966" i="1"/>
  <c r="C5966" i="1"/>
  <c r="D5966" i="1"/>
  <c r="E5966" i="1"/>
  <c r="F5966" i="1"/>
  <c r="H5966" i="1"/>
  <c r="A5967" i="1"/>
  <c r="B5967" i="1"/>
  <c r="C5967" i="1"/>
  <c r="D5967" i="1"/>
  <c r="E5967" i="1"/>
  <c r="F5967" i="1"/>
  <c r="H5967" i="1"/>
  <c r="A5968" i="1"/>
  <c r="B5968" i="1"/>
  <c r="C5968" i="1"/>
  <c r="D5968" i="1"/>
  <c r="E5968" i="1"/>
  <c r="F5968" i="1"/>
  <c r="H5968" i="1"/>
  <c r="A5969" i="1"/>
  <c r="B5969" i="1"/>
  <c r="C5969" i="1"/>
  <c r="D5969" i="1"/>
  <c r="E5969" i="1"/>
  <c r="F5969" i="1"/>
  <c r="H5969" i="1"/>
  <c r="A5970" i="1"/>
  <c r="B5970" i="1"/>
  <c r="C5970" i="1"/>
  <c r="D5970" i="1"/>
  <c r="E5970" i="1"/>
  <c r="F5970" i="1"/>
  <c r="H5970" i="1"/>
  <c r="A5971" i="1"/>
  <c r="B5971" i="1"/>
  <c r="C5971" i="1"/>
  <c r="D5971" i="1"/>
  <c r="E5971" i="1"/>
  <c r="F5971" i="1"/>
  <c r="H5971" i="1"/>
  <c r="A5972" i="1"/>
  <c r="B5972" i="1"/>
  <c r="C5972" i="1"/>
  <c r="D5972" i="1"/>
  <c r="E5972" i="1"/>
  <c r="F5972" i="1"/>
  <c r="H5972" i="1"/>
  <c r="A5973" i="1"/>
  <c r="B5973" i="1"/>
  <c r="C5973" i="1"/>
  <c r="D5973" i="1"/>
  <c r="E5973" i="1"/>
  <c r="F5973" i="1"/>
  <c r="H5973" i="1"/>
  <c r="A5974" i="1"/>
  <c r="B5974" i="1"/>
  <c r="C5974" i="1"/>
  <c r="D5974" i="1"/>
  <c r="E5974" i="1"/>
  <c r="F5974" i="1"/>
  <c r="H5974" i="1"/>
  <c r="A5975" i="1"/>
  <c r="B5975" i="1"/>
  <c r="C5975" i="1"/>
  <c r="D5975" i="1"/>
  <c r="E5975" i="1"/>
  <c r="F5975" i="1"/>
  <c r="H5975" i="1"/>
  <c r="A5976" i="1"/>
  <c r="B5976" i="1"/>
  <c r="C5976" i="1"/>
  <c r="D5976" i="1"/>
  <c r="E5976" i="1"/>
  <c r="F5976" i="1"/>
  <c r="H5976" i="1"/>
  <c r="A5977" i="1"/>
  <c r="B5977" i="1"/>
  <c r="C5977" i="1"/>
  <c r="D5977" i="1"/>
  <c r="E5977" i="1"/>
  <c r="F5977" i="1"/>
  <c r="H5977" i="1"/>
  <c r="A5978" i="1"/>
  <c r="B5978" i="1"/>
  <c r="C5978" i="1"/>
  <c r="D5978" i="1"/>
  <c r="E5978" i="1"/>
  <c r="F5978" i="1"/>
  <c r="H5978" i="1"/>
  <c r="A5979" i="1"/>
  <c r="B5979" i="1"/>
  <c r="C5979" i="1"/>
  <c r="D5979" i="1"/>
  <c r="E5979" i="1"/>
  <c r="F5979" i="1"/>
  <c r="H5979" i="1"/>
  <c r="A5980" i="1"/>
  <c r="B5980" i="1"/>
  <c r="C5980" i="1"/>
  <c r="D5980" i="1"/>
  <c r="E5980" i="1"/>
  <c r="F5980" i="1"/>
  <c r="H5980" i="1"/>
  <c r="A5981" i="1"/>
  <c r="B5981" i="1"/>
  <c r="C5981" i="1"/>
  <c r="D5981" i="1"/>
  <c r="E5981" i="1"/>
  <c r="F5981" i="1"/>
  <c r="H5981" i="1"/>
  <c r="A5982" i="1"/>
  <c r="B5982" i="1"/>
  <c r="C5982" i="1"/>
  <c r="D5982" i="1"/>
  <c r="E5982" i="1"/>
  <c r="F5982" i="1"/>
  <c r="H5982" i="1"/>
  <c r="A5983" i="1"/>
  <c r="B5983" i="1"/>
  <c r="C5983" i="1"/>
  <c r="D5983" i="1"/>
  <c r="E5983" i="1"/>
  <c r="F5983" i="1"/>
  <c r="H5983" i="1"/>
  <c r="A5984" i="1"/>
  <c r="B5984" i="1"/>
  <c r="C5984" i="1"/>
  <c r="D5984" i="1"/>
  <c r="E5984" i="1"/>
  <c r="F5984" i="1"/>
  <c r="H5984" i="1"/>
  <c r="A5985" i="1"/>
  <c r="B5985" i="1"/>
  <c r="C5985" i="1"/>
  <c r="D5985" i="1"/>
  <c r="E5985" i="1"/>
  <c r="F5985" i="1"/>
  <c r="H5985" i="1"/>
  <c r="A5986" i="1"/>
  <c r="B5986" i="1"/>
  <c r="C5986" i="1"/>
  <c r="D5986" i="1"/>
  <c r="E5986" i="1"/>
  <c r="F5986" i="1"/>
  <c r="H5986" i="1"/>
  <c r="A5987" i="1"/>
  <c r="B5987" i="1"/>
  <c r="C5987" i="1"/>
  <c r="D5987" i="1"/>
  <c r="E5987" i="1"/>
  <c r="F5987" i="1"/>
  <c r="H5987" i="1"/>
  <c r="A5988" i="1"/>
  <c r="B5988" i="1"/>
  <c r="C5988" i="1"/>
  <c r="D5988" i="1"/>
  <c r="E5988" i="1"/>
  <c r="F5988" i="1"/>
  <c r="H5988" i="1"/>
  <c r="A5989" i="1"/>
  <c r="B5989" i="1"/>
  <c r="C5989" i="1"/>
  <c r="D5989" i="1"/>
  <c r="E5989" i="1"/>
  <c r="F5989" i="1"/>
  <c r="H5989" i="1"/>
  <c r="A5990" i="1"/>
  <c r="B5990" i="1"/>
  <c r="C5990" i="1"/>
  <c r="D5990" i="1"/>
  <c r="E5990" i="1"/>
  <c r="F5990" i="1"/>
  <c r="H5990" i="1"/>
  <c r="A5991" i="1"/>
  <c r="B5991" i="1"/>
  <c r="C5991" i="1"/>
  <c r="D5991" i="1"/>
  <c r="E5991" i="1"/>
  <c r="F5991" i="1"/>
  <c r="H5991" i="1"/>
  <c r="A5992" i="1"/>
  <c r="B5992" i="1"/>
  <c r="C5992" i="1"/>
  <c r="D5992" i="1"/>
  <c r="E5992" i="1"/>
  <c r="F5992" i="1"/>
  <c r="H5992" i="1"/>
  <c r="A5993" i="1"/>
  <c r="B5993" i="1"/>
  <c r="C5993" i="1"/>
  <c r="D5993" i="1"/>
  <c r="E5993" i="1"/>
  <c r="F5993" i="1"/>
  <c r="H5993" i="1"/>
  <c r="A5994" i="1"/>
  <c r="B5994" i="1"/>
  <c r="C5994" i="1"/>
  <c r="D5994" i="1"/>
  <c r="E5994" i="1"/>
  <c r="F5994" i="1"/>
  <c r="H5994" i="1"/>
  <c r="A5995" i="1"/>
  <c r="B5995" i="1"/>
  <c r="C5995" i="1"/>
  <c r="D5995" i="1"/>
  <c r="E5995" i="1"/>
  <c r="F5995" i="1"/>
  <c r="H5995" i="1"/>
  <c r="A5996" i="1"/>
  <c r="B5996" i="1"/>
  <c r="C5996" i="1"/>
  <c r="D5996" i="1"/>
  <c r="E5996" i="1"/>
  <c r="F5996" i="1"/>
  <c r="H5996" i="1"/>
  <c r="A5997" i="1"/>
  <c r="B5997" i="1"/>
  <c r="C5997" i="1"/>
  <c r="D5997" i="1"/>
  <c r="E5997" i="1"/>
  <c r="F5997" i="1"/>
  <c r="H5997" i="1"/>
  <c r="A5998" i="1"/>
  <c r="B5998" i="1"/>
  <c r="C5998" i="1"/>
  <c r="D5998" i="1"/>
  <c r="E5998" i="1"/>
  <c r="F5998" i="1"/>
  <c r="H5998" i="1"/>
  <c r="A5999" i="1"/>
  <c r="B5999" i="1"/>
  <c r="C5999" i="1"/>
  <c r="D5999" i="1"/>
  <c r="E5999" i="1"/>
  <c r="F5999" i="1"/>
  <c r="H5999" i="1"/>
  <c r="A6000" i="1"/>
  <c r="B6000" i="1"/>
  <c r="C6000" i="1"/>
  <c r="D6000" i="1"/>
  <c r="E6000" i="1"/>
  <c r="F6000" i="1"/>
  <c r="H6000" i="1"/>
  <c r="A6001" i="1"/>
  <c r="B6001" i="1"/>
  <c r="C6001" i="1"/>
  <c r="D6001" i="1"/>
  <c r="E6001" i="1"/>
  <c r="F6001" i="1"/>
  <c r="H6001" i="1"/>
  <c r="A6002" i="1"/>
  <c r="B6002" i="1"/>
  <c r="C6002" i="1"/>
  <c r="D6002" i="1"/>
  <c r="E6002" i="1"/>
  <c r="F6002" i="1"/>
  <c r="H6002" i="1"/>
  <c r="A6003" i="1"/>
  <c r="B6003" i="1"/>
  <c r="C6003" i="1"/>
  <c r="D6003" i="1"/>
  <c r="E6003" i="1"/>
  <c r="F6003" i="1"/>
  <c r="H6003" i="1"/>
  <c r="A6004" i="1"/>
  <c r="B6004" i="1"/>
  <c r="C6004" i="1"/>
  <c r="D6004" i="1"/>
  <c r="E6004" i="1"/>
  <c r="F6004" i="1"/>
  <c r="H6004" i="1"/>
  <c r="A6005" i="1"/>
  <c r="B6005" i="1"/>
  <c r="C6005" i="1"/>
  <c r="D6005" i="1"/>
  <c r="E6005" i="1"/>
  <c r="F6005" i="1"/>
  <c r="H6005" i="1"/>
  <c r="A6006" i="1"/>
  <c r="B6006" i="1"/>
  <c r="C6006" i="1"/>
  <c r="D6006" i="1"/>
  <c r="E6006" i="1"/>
  <c r="F6006" i="1"/>
  <c r="H6006" i="1"/>
  <c r="A6007" i="1"/>
  <c r="B6007" i="1"/>
  <c r="C6007" i="1"/>
  <c r="D6007" i="1"/>
  <c r="E6007" i="1"/>
  <c r="F6007" i="1"/>
  <c r="H6007" i="1"/>
  <c r="A6008" i="1"/>
  <c r="B6008" i="1"/>
  <c r="C6008" i="1"/>
  <c r="D6008" i="1"/>
  <c r="E6008" i="1"/>
  <c r="F6008" i="1"/>
  <c r="H6008" i="1"/>
  <c r="A6009" i="1"/>
  <c r="B6009" i="1"/>
  <c r="C6009" i="1"/>
  <c r="D6009" i="1"/>
  <c r="E6009" i="1"/>
  <c r="F6009" i="1"/>
  <c r="H6009" i="1"/>
  <c r="A6010" i="1"/>
  <c r="B6010" i="1"/>
  <c r="C6010" i="1"/>
  <c r="D6010" i="1"/>
  <c r="E6010" i="1"/>
  <c r="F6010" i="1"/>
  <c r="H6010" i="1"/>
  <c r="A6011" i="1"/>
  <c r="B6011" i="1"/>
  <c r="C6011" i="1"/>
  <c r="D6011" i="1"/>
  <c r="E6011" i="1"/>
  <c r="F6011" i="1"/>
  <c r="H6011" i="1"/>
  <c r="A6012" i="1"/>
  <c r="B6012" i="1"/>
  <c r="C6012" i="1"/>
  <c r="D6012" i="1"/>
  <c r="E6012" i="1"/>
  <c r="F6012" i="1"/>
  <c r="H6012" i="1"/>
  <c r="A6013" i="1"/>
  <c r="B6013" i="1"/>
  <c r="C6013" i="1"/>
  <c r="D6013" i="1"/>
  <c r="E6013" i="1"/>
  <c r="F6013" i="1"/>
  <c r="H6013" i="1"/>
  <c r="A6014" i="1"/>
  <c r="B6014" i="1"/>
  <c r="C6014" i="1"/>
  <c r="D6014" i="1"/>
  <c r="E6014" i="1"/>
  <c r="F6014" i="1"/>
  <c r="H6014" i="1"/>
  <c r="A6015" i="1"/>
  <c r="B6015" i="1"/>
  <c r="C6015" i="1"/>
  <c r="D6015" i="1"/>
  <c r="E6015" i="1"/>
  <c r="F6015" i="1"/>
  <c r="H6015" i="1"/>
  <c r="A6016" i="1"/>
  <c r="B6016" i="1"/>
  <c r="C6016" i="1"/>
  <c r="D6016" i="1"/>
  <c r="E6016" i="1"/>
  <c r="F6016" i="1"/>
  <c r="H6016" i="1"/>
  <c r="A6017" i="1"/>
  <c r="B6017" i="1"/>
  <c r="C6017" i="1"/>
  <c r="D6017" i="1"/>
  <c r="E6017" i="1"/>
  <c r="F6017" i="1"/>
  <c r="H6017" i="1"/>
  <c r="A6018" i="1"/>
  <c r="B6018" i="1"/>
  <c r="C6018" i="1"/>
  <c r="D6018" i="1"/>
  <c r="E6018" i="1"/>
  <c r="F6018" i="1"/>
  <c r="H6018" i="1"/>
  <c r="A6019" i="1"/>
  <c r="B6019" i="1"/>
  <c r="C6019" i="1"/>
  <c r="D6019" i="1"/>
  <c r="E6019" i="1"/>
  <c r="F6019" i="1"/>
  <c r="H6019" i="1"/>
  <c r="A6020" i="1"/>
  <c r="B6020" i="1"/>
  <c r="C6020" i="1"/>
  <c r="D6020" i="1"/>
  <c r="E6020" i="1"/>
  <c r="F6020" i="1"/>
  <c r="H6020" i="1"/>
  <c r="A6021" i="1"/>
  <c r="B6021" i="1"/>
  <c r="C6021" i="1"/>
  <c r="D6021" i="1"/>
  <c r="E6021" i="1"/>
  <c r="F6021" i="1"/>
  <c r="H6021" i="1"/>
  <c r="A6022" i="1"/>
  <c r="B6022" i="1"/>
  <c r="C6022" i="1"/>
  <c r="D6022" i="1"/>
  <c r="E6022" i="1"/>
  <c r="F6022" i="1"/>
  <c r="H6022" i="1"/>
  <c r="A6023" i="1"/>
  <c r="B6023" i="1"/>
  <c r="C6023" i="1"/>
  <c r="D6023" i="1"/>
  <c r="E6023" i="1"/>
  <c r="F6023" i="1"/>
  <c r="H6023" i="1"/>
  <c r="A6024" i="1"/>
  <c r="B6024" i="1"/>
  <c r="C6024" i="1"/>
  <c r="D6024" i="1"/>
  <c r="E6024" i="1"/>
  <c r="F6024" i="1"/>
  <c r="H6024" i="1"/>
  <c r="A6025" i="1"/>
  <c r="B6025" i="1"/>
  <c r="C6025" i="1"/>
  <c r="D6025" i="1"/>
  <c r="E6025" i="1"/>
  <c r="F6025" i="1"/>
  <c r="H6025" i="1"/>
  <c r="A6026" i="1"/>
  <c r="B6026" i="1"/>
  <c r="C6026" i="1"/>
  <c r="D6026" i="1"/>
  <c r="E6026" i="1"/>
  <c r="F6026" i="1"/>
  <c r="H6026" i="1"/>
  <c r="A6027" i="1"/>
  <c r="B6027" i="1"/>
  <c r="C6027" i="1"/>
  <c r="D6027" i="1"/>
  <c r="E6027" i="1"/>
  <c r="F6027" i="1"/>
  <c r="H6027" i="1"/>
  <c r="A6028" i="1"/>
  <c r="B6028" i="1"/>
  <c r="C6028" i="1"/>
  <c r="D6028" i="1"/>
  <c r="E6028" i="1"/>
  <c r="F6028" i="1"/>
  <c r="H6028" i="1"/>
  <c r="A6029" i="1"/>
  <c r="B6029" i="1"/>
  <c r="C6029" i="1"/>
  <c r="D6029" i="1"/>
  <c r="E6029" i="1"/>
  <c r="F6029" i="1"/>
  <c r="H6029" i="1"/>
  <c r="A6030" i="1"/>
  <c r="B6030" i="1"/>
  <c r="C6030" i="1"/>
  <c r="D6030" i="1"/>
  <c r="E6030" i="1"/>
  <c r="F6030" i="1"/>
  <c r="H6030" i="1"/>
  <c r="A6031" i="1"/>
  <c r="B6031" i="1"/>
  <c r="C6031" i="1"/>
  <c r="D6031" i="1"/>
  <c r="E6031" i="1"/>
  <c r="F6031" i="1"/>
  <c r="H6031" i="1"/>
  <c r="A6032" i="1"/>
  <c r="B6032" i="1"/>
  <c r="C6032" i="1"/>
  <c r="D6032" i="1"/>
  <c r="E6032" i="1"/>
  <c r="F6032" i="1"/>
  <c r="H6032" i="1"/>
  <c r="A6033" i="1"/>
  <c r="B6033" i="1"/>
  <c r="C6033" i="1"/>
  <c r="D6033" i="1"/>
  <c r="E6033" i="1"/>
  <c r="F6033" i="1"/>
  <c r="H6033" i="1"/>
  <c r="A6034" i="1"/>
  <c r="B6034" i="1"/>
  <c r="C6034" i="1"/>
  <c r="D6034" i="1"/>
  <c r="E6034" i="1"/>
  <c r="F6034" i="1"/>
  <c r="H6034" i="1"/>
  <c r="A6035" i="1"/>
  <c r="B6035" i="1"/>
  <c r="C6035" i="1"/>
  <c r="D6035" i="1"/>
  <c r="E6035" i="1"/>
  <c r="F6035" i="1"/>
  <c r="H6035" i="1"/>
  <c r="A6036" i="1"/>
  <c r="B6036" i="1"/>
  <c r="C6036" i="1"/>
  <c r="D6036" i="1"/>
  <c r="E6036" i="1"/>
  <c r="F6036" i="1"/>
  <c r="H6036" i="1"/>
  <c r="A6037" i="1"/>
  <c r="B6037" i="1"/>
  <c r="C6037" i="1"/>
  <c r="D6037" i="1"/>
  <c r="E6037" i="1"/>
  <c r="F6037" i="1"/>
  <c r="H6037" i="1"/>
  <c r="A6038" i="1"/>
  <c r="B6038" i="1"/>
  <c r="C6038" i="1"/>
  <c r="D6038" i="1"/>
  <c r="E6038" i="1"/>
  <c r="F6038" i="1"/>
  <c r="H6038" i="1"/>
  <c r="A6039" i="1"/>
  <c r="B6039" i="1"/>
  <c r="C6039" i="1"/>
  <c r="D6039" i="1"/>
  <c r="E6039" i="1"/>
  <c r="F6039" i="1"/>
  <c r="H6039" i="1"/>
  <c r="A6040" i="1"/>
  <c r="B6040" i="1"/>
  <c r="C6040" i="1"/>
  <c r="D6040" i="1"/>
  <c r="E6040" i="1"/>
  <c r="F6040" i="1"/>
  <c r="H6040" i="1"/>
  <c r="A6041" i="1"/>
  <c r="B6041" i="1"/>
  <c r="C6041" i="1"/>
  <c r="D6041" i="1"/>
  <c r="E6041" i="1"/>
  <c r="F6041" i="1"/>
  <c r="H6041" i="1"/>
  <c r="A6042" i="1"/>
  <c r="B6042" i="1"/>
  <c r="C6042" i="1"/>
  <c r="D6042" i="1"/>
  <c r="E6042" i="1"/>
  <c r="F6042" i="1"/>
  <c r="H6042" i="1"/>
  <c r="A6043" i="1"/>
  <c r="B6043" i="1"/>
  <c r="C6043" i="1"/>
  <c r="D6043" i="1"/>
  <c r="E6043" i="1"/>
  <c r="F6043" i="1"/>
  <c r="H6043" i="1"/>
  <c r="A6044" i="1"/>
  <c r="B6044" i="1"/>
  <c r="C6044" i="1"/>
  <c r="D6044" i="1"/>
  <c r="E6044" i="1"/>
  <c r="F6044" i="1"/>
  <c r="H6044" i="1"/>
  <c r="A6045" i="1"/>
  <c r="B6045" i="1"/>
  <c r="C6045" i="1"/>
  <c r="D6045" i="1"/>
  <c r="E6045" i="1"/>
  <c r="F6045" i="1"/>
  <c r="H6045" i="1"/>
  <c r="A6046" i="1"/>
  <c r="B6046" i="1"/>
  <c r="C6046" i="1"/>
  <c r="D6046" i="1"/>
  <c r="E6046" i="1"/>
  <c r="F6046" i="1"/>
  <c r="H6046" i="1"/>
  <c r="A6047" i="1"/>
  <c r="B6047" i="1"/>
  <c r="C6047" i="1"/>
  <c r="D6047" i="1"/>
  <c r="E6047" i="1"/>
  <c r="F6047" i="1"/>
  <c r="H6047" i="1"/>
  <c r="A6048" i="1"/>
  <c r="B6048" i="1"/>
  <c r="C6048" i="1"/>
  <c r="D6048" i="1"/>
  <c r="E6048" i="1"/>
  <c r="F6048" i="1"/>
  <c r="H6048" i="1"/>
  <c r="A6049" i="1"/>
  <c r="B6049" i="1"/>
  <c r="C6049" i="1"/>
  <c r="D6049" i="1"/>
  <c r="E6049" i="1"/>
  <c r="F6049" i="1"/>
  <c r="H6049" i="1"/>
  <c r="A6050" i="1"/>
  <c r="B6050" i="1"/>
  <c r="C6050" i="1"/>
  <c r="D6050" i="1"/>
  <c r="E6050" i="1"/>
  <c r="F6050" i="1"/>
  <c r="H6050" i="1"/>
  <c r="A6051" i="1"/>
  <c r="B6051" i="1"/>
  <c r="C6051" i="1"/>
  <c r="D6051" i="1"/>
  <c r="E6051" i="1"/>
  <c r="F6051" i="1"/>
  <c r="H6051" i="1"/>
  <c r="A6052" i="1"/>
  <c r="B6052" i="1"/>
  <c r="C6052" i="1"/>
  <c r="D6052" i="1"/>
  <c r="E6052" i="1"/>
  <c r="F6052" i="1"/>
  <c r="H6052" i="1"/>
  <c r="A6053" i="1"/>
  <c r="B6053" i="1"/>
  <c r="C6053" i="1"/>
  <c r="D6053" i="1"/>
  <c r="E6053" i="1"/>
  <c r="F6053" i="1"/>
  <c r="H6053" i="1"/>
  <c r="A6054" i="1"/>
  <c r="B6054" i="1"/>
  <c r="C6054" i="1"/>
  <c r="D6054" i="1"/>
  <c r="E6054" i="1"/>
  <c r="F6054" i="1"/>
  <c r="H6054" i="1"/>
  <c r="A6055" i="1"/>
  <c r="B6055" i="1"/>
  <c r="C6055" i="1"/>
  <c r="D6055" i="1"/>
  <c r="E6055" i="1"/>
  <c r="F6055" i="1"/>
  <c r="H6055" i="1"/>
  <c r="A6056" i="1"/>
  <c r="B6056" i="1"/>
  <c r="C6056" i="1"/>
  <c r="D6056" i="1"/>
  <c r="E6056" i="1"/>
  <c r="F6056" i="1"/>
  <c r="H6056" i="1"/>
  <c r="A6057" i="1"/>
  <c r="B6057" i="1"/>
  <c r="C6057" i="1"/>
  <c r="D6057" i="1"/>
  <c r="E6057" i="1"/>
  <c r="F6057" i="1"/>
  <c r="H6057" i="1"/>
  <c r="A6058" i="1"/>
  <c r="B6058" i="1"/>
  <c r="C6058" i="1"/>
  <c r="D6058" i="1"/>
  <c r="E6058" i="1"/>
  <c r="F6058" i="1"/>
  <c r="H6058" i="1"/>
  <c r="A6059" i="1"/>
  <c r="B6059" i="1"/>
  <c r="C6059" i="1"/>
  <c r="D6059" i="1"/>
  <c r="E6059" i="1"/>
  <c r="F6059" i="1"/>
  <c r="H6059" i="1"/>
  <c r="A6060" i="1"/>
  <c r="B6060" i="1"/>
  <c r="C6060" i="1"/>
  <c r="D6060" i="1"/>
  <c r="E6060" i="1"/>
  <c r="F6060" i="1"/>
  <c r="H6060" i="1"/>
  <c r="A6061" i="1"/>
  <c r="B6061" i="1"/>
  <c r="C6061" i="1"/>
  <c r="D6061" i="1"/>
  <c r="E6061" i="1"/>
  <c r="F6061" i="1"/>
  <c r="H6061" i="1"/>
  <c r="A6062" i="1"/>
  <c r="B6062" i="1"/>
  <c r="C6062" i="1"/>
  <c r="D6062" i="1"/>
  <c r="E6062" i="1"/>
  <c r="F6062" i="1"/>
  <c r="H6062" i="1"/>
  <c r="A6063" i="1"/>
  <c r="B6063" i="1"/>
  <c r="C6063" i="1"/>
  <c r="D6063" i="1"/>
  <c r="E6063" i="1"/>
  <c r="F6063" i="1"/>
  <c r="H6063" i="1"/>
  <c r="A6064" i="1"/>
  <c r="B6064" i="1"/>
  <c r="C6064" i="1"/>
  <c r="D6064" i="1"/>
  <c r="E6064" i="1"/>
  <c r="F6064" i="1"/>
  <c r="H6064" i="1"/>
  <c r="A6065" i="1"/>
  <c r="B6065" i="1"/>
  <c r="C6065" i="1"/>
  <c r="D6065" i="1"/>
  <c r="E6065" i="1"/>
  <c r="F6065" i="1"/>
  <c r="H6065" i="1"/>
  <c r="A6066" i="1"/>
  <c r="B6066" i="1"/>
  <c r="C6066" i="1"/>
  <c r="D6066" i="1"/>
  <c r="E6066" i="1"/>
  <c r="F6066" i="1"/>
  <c r="H6066" i="1"/>
  <c r="A6067" i="1"/>
  <c r="B6067" i="1"/>
  <c r="C6067" i="1"/>
  <c r="D6067" i="1"/>
  <c r="E6067" i="1"/>
  <c r="F6067" i="1"/>
  <c r="H6067" i="1"/>
  <c r="A6068" i="1"/>
  <c r="B6068" i="1"/>
  <c r="C6068" i="1"/>
  <c r="D6068" i="1"/>
  <c r="E6068" i="1"/>
  <c r="F6068" i="1"/>
  <c r="H6068" i="1"/>
  <c r="A6069" i="1"/>
  <c r="B6069" i="1"/>
  <c r="C6069" i="1"/>
  <c r="D6069" i="1"/>
  <c r="E6069" i="1"/>
  <c r="F6069" i="1"/>
  <c r="H6069" i="1"/>
  <c r="A6070" i="1"/>
  <c r="B6070" i="1"/>
  <c r="C6070" i="1"/>
  <c r="D6070" i="1"/>
  <c r="E6070" i="1"/>
  <c r="F6070" i="1"/>
  <c r="H6070" i="1"/>
  <c r="A6071" i="1"/>
  <c r="B6071" i="1"/>
  <c r="C6071" i="1"/>
  <c r="D6071" i="1"/>
  <c r="E6071" i="1"/>
  <c r="F6071" i="1"/>
  <c r="H6071" i="1"/>
  <c r="A6072" i="1"/>
  <c r="B6072" i="1"/>
  <c r="C6072" i="1"/>
  <c r="D6072" i="1"/>
  <c r="E6072" i="1"/>
  <c r="F6072" i="1"/>
  <c r="H6072" i="1"/>
  <c r="A6073" i="1"/>
  <c r="B6073" i="1"/>
  <c r="C6073" i="1"/>
  <c r="D6073" i="1"/>
  <c r="E6073" i="1"/>
  <c r="F6073" i="1"/>
  <c r="H6073" i="1"/>
  <c r="A6074" i="1"/>
  <c r="B6074" i="1"/>
  <c r="C6074" i="1"/>
  <c r="D6074" i="1"/>
  <c r="E6074" i="1"/>
  <c r="F6074" i="1"/>
  <c r="H6074" i="1"/>
  <c r="A6075" i="1"/>
  <c r="B6075" i="1"/>
  <c r="C6075" i="1"/>
  <c r="D6075" i="1"/>
  <c r="E6075" i="1"/>
  <c r="F6075" i="1"/>
  <c r="H6075" i="1"/>
  <c r="A6076" i="1"/>
  <c r="B6076" i="1"/>
  <c r="C6076" i="1"/>
  <c r="D6076" i="1"/>
  <c r="E6076" i="1"/>
  <c r="F6076" i="1"/>
  <c r="H6076" i="1"/>
  <c r="A6077" i="1"/>
  <c r="B6077" i="1"/>
  <c r="C6077" i="1"/>
  <c r="D6077" i="1"/>
  <c r="E6077" i="1"/>
  <c r="F6077" i="1"/>
  <c r="H6077" i="1"/>
  <c r="A6078" i="1"/>
  <c r="B6078" i="1"/>
  <c r="C6078" i="1"/>
  <c r="D6078" i="1"/>
  <c r="E6078" i="1"/>
  <c r="F6078" i="1"/>
  <c r="H6078" i="1"/>
  <c r="A6079" i="1"/>
  <c r="B6079" i="1"/>
  <c r="C6079" i="1"/>
  <c r="D6079" i="1"/>
  <c r="E6079" i="1"/>
  <c r="F6079" i="1"/>
  <c r="H6079" i="1"/>
  <c r="A6080" i="1"/>
  <c r="B6080" i="1"/>
  <c r="C6080" i="1"/>
  <c r="D6080" i="1"/>
  <c r="E6080" i="1"/>
  <c r="F6080" i="1"/>
  <c r="H6080" i="1"/>
  <c r="A6081" i="1"/>
  <c r="B6081" i="1"/>
  <c r="C6081" i="1"/>
  <c r="D6081" i="1"/>
  <c r="E6081" i="1"/>
  <c r="F6081" i="1"/>
  <c r="H6081" i="1"/>
  <c r="A6082" i="1"/>
  <c r="B6082" i="1"/>
  <c r="C6082" i="1"/>
  <c r="D6082" i="1"/>
  <c r="E6082" i="1"/>
  <c r="F6082" i="1"/>
  <c r="H6082" i="1"/>
  <c r="A6083" i="1"/>
  <c r="B6083" i="1"/>
  <c r="C6083" i="1"/>
  <c r="D6083" i="1"/>
  <c r="E6083" i="1"/>
  <c r="F6083" i="1"/>
  <c r="H6083" i="1"/>
  <c r="A6084" i="1"/>
  <c r="B6084" i="1"/>
  <c r="C6084" i="1"/>
  <c r="D6084" i="1"/>
  <c r="E6084" i="1"/>
  <c r="F6084" i="1"/>
  <c r="H6084" i="1"/>
  <c r="A6085" i="1"/>
  <c r="B6085" i="1"/>
  <c r="C6085" i="1"/>
  <c r="D6085" i="1"/>
  <c r="E6085" i="1"/>
  <c r="F6085" i="1"/>
  <c r="H6085" i="1"/>
  <c r="A6086" i="1"/>
  <c r="B6086" i="1"/>
  <c r="C6086" i="1"/>
  <c r="D6086" i="1"/>
  <c r="E6086" i="1"/>
  <c r="F6086" i="1"/>
  <c r="H6086" i="1"/>
  <c r="A6087" i="1"/>
  <c r="B6087" i="1"/>
  <c r="C6087" i="1"/>
  <c r="D6087" i="1"/>
  <c r="E6087" i="1"/>
  <c r="F6087" i="1"/>
  <c r="H6087" i="1"/>
  <c r="A6088" i="1"/>
  <c r="B6088" i="1"/>
  <c r="C6088" i="1"/>
  <c r="D6088" i="1"/>
  <c r="E6088" i="1"/>
  <c r="F6088" i="1"/>
  <c r="H6088" i="1"/>
  <c r="A6089" i="1"/>
  <c r="B6089" i="1"/>
  <c r="C6089" i="1"/>
  <c r="D6089" i="1"/>
  <c r="E6089" i="1"/>
  <c r="F6089" i="1"/>
  <c r="H6089" i="1"/>
  <c r="A6090" i="1"/>
  <c r="B6090" i="1"/>
  <c r="C6090" i="1"/>
  <c r="D6090" i="1"/>
  <c r="E6090" i="1"/>
  <c r="F6090" i="1"/>
  <c r="H6090" i="1"/>
  <c r="A6091" i="1"/>
  <c r="B6091" i="1"/>
  <c r="C6091" i="1"/>
  <c r="D6091" i="1"/>
  <c r="E6091" i="1"/>
  <c r="F6091" i="1"/>
  <c r="H6091" i="1"/>
  <c r="A6092" i="1"/>
  <c r="B6092" i="1"/>
  <c r="C6092" i="1"/>
  <c r="D6092" i="1"/>
  <c r="E6092" i="1"/>
  <c r="F6092" i="1"/>
  <c r="H6092" i="1"/>
  <c r="A6093" i="1"/>
  <c r="B6093" i="1"/>
  <c r="C6093" i="1"/>
  <c r="D6093" i="1"/>
  <c r="E6093" i="1"/>
  <c r="F6093" i="1"/>
  <c r="H6093" i="1"/>
  <c r="A6094" i="1"/>
  <c r="B6094" i="1"/>
  <c r="C6094" i="1"/>
  <c r="D6094" i="1"/>
  <c r="E6094" i="1"/>
  <c r="F6094" i="1"/>
  <c r="H6094" i="1"/>
  <c r="A6095" i="1"/>
  <c r="B6095" i="1"/>
  <c r="C6095" i="1"/>
  <c r="D6095" i="1"/>
  <c r="E6095" i="1"/>
  <c r="F6095" i="1"/>
  <c r="H6095" i="1"/>
  <c r="A6096" i="1"/>
  <c r="B6096" i="1"/>
  <c r="C6096" i="1"/>
  <c r="D6096" i="1"/>
  <c r="E6096" i="1"/>
  <c r="F6096" i="1"/>
  <c r="H6096" i="1"/>
  <c r="A6097" i="1"/>
  <c r="B6097" i="1"/>
  <c r="C6097" i="1"/>
  <c r="D6097" i="1"/>
  <c r="E6097" i="1"/>
  <c r="F6097" i="1"/>
  <c r="H6097" i="1"/>
  <c r="A6098" i="1"/>
  <c r="B6098" i="1"/>
  <c r="C6098" i="1"/>
  <c r="D6098" i="1"/>
  <c r="E6098" i="1"/>
  <c r="F6098" i="1"/>
  <c r="H6098" i="1"/>
  <c r="A6099" i="1"/>
  <c r="B6099" i="1"/>
  <c r="C6099" i="1"/>
  <c r="D6099" i="1"/>
  <c r="E6099" i="1"/>
  <c r="F6099" i="1"/>
  <c r="H6099" i="1"/>
  <c r="A6100" i="1"/>
  <c r="B6100" i="1"/>
  <c r="C6100" i="1"/>
  <c r="D6100" i="1"/>
  <c r="E6100" i="1"/>
  <c r="F6100" i="1"/>
  <c r="H6100" i="1"/>
  <c r="A6101" i="1"/>
  <c r="B6101" i="1"/>
  <c r="C6101" i="1"/>
  <c r="D6101" i="1"/>
  <c r="E6101" i="1"/>
  <c r="F6101" i="1"/>
  <c r="H6101" i="1"/>
  <c r="A6102" i="1"/>
  <c r="B6102" i="1"/>
  <c r="C6102" i="1"/>
  <c r="D6102" i="1"/>
  <c r="E6102" i="1"/>
  <c r="F6102" i="1"/>
  <c r="H6102" i="1"/>
  <c r="A6103" i="1"/>
  <c r="B6103" i="1"/>
  <c r="C6103" i="1"/>
  <c r="D6103" i="1"/>
  <c r="E6103" i="1"/>
  <c r="F6103" i="1"/>
  <c r="H6103" i="1"/>
  <c r="A6104" i="1"/>
  <c r="B6104" i="1"/>
  <c r="C6104" i="1"/>
  <c r="D6104" i="1"/>
  <c r="E6104" i="1"/>
  <c r="F6104" i="1"/>
  <c r="H6104" i="1"/>
  <c r="A6105" i="1"/>
  <c r="B6105" i="1"/>
  <c r="C6105" i="1"/>
  <c r="D6105" i="1"/>
  <c r="E6105" i="1"/>
  <c r="F6105" i="1"/>
  <c r="H6105" i="1"/>
  <c r="A6106" i="1"/>
  <c r="B6106" i="1"/>
  <c r="C6106" i="1"/>
  <c r="D6106" i="1"/>
  <c r="E6106" i="1"/>
  <c r="F6106" i="1"/>
  <c r="H6106" i="1"/>
  <c r="A6107" i="1"/>
  <c r="B6107" i="1"/>
  <c r="C6107" i="1"/>
  <c r="D6107" i="1"/>
  <c r="E6107" i="1"/>
  <c r="F6107" i="1"/>
  <c r="H6107" i="1"/>
  <c r="A6108" i="1"/>
  <c r="B6108" i="1"/>
  <c r="C6108" i="1"/>
  <c r="D6108" i="1"/>
  <c r="E6108" i="1"/>
  <c r="F6108" i="1"/>
  <c r="H6108" i="1"/>
  <c r="A6109" i="1"/>
  <c r="B6109" i="1"/>
  <c r="C6109" i="1"/>
  <c r="D6109" i="1"/>
  <c r="E6109" i="1"/>
  <c r="F6109" i="1"/>
  <c r="H6109" i="1"/>
  <c r="A6110" i="1"/>
  <c r="B6110" i="1"/>
  <c r="C6110" i="1"/>
  <c r="D6110" i="1"/>
  <c r="E6110" i="1"/>
  <c r="F6110" i="1"/>
  <c r="H6110" i="1"/>
  <c r="A6111" i="1"/>
  <c r="B6111" i="1"/>
  <c r="C6111" i="1"/>
  <c r="D6111" i="1"/>
  <c r="E6111" i="1"/>
  <c r="F6111" i="1"/>
  <c r="H6111" i="1"/>
  <c r="A6112" i="1"/>
  <c r="B6112" i="1"/>
  <c r="C6112" i="1"/>
  <c r="D6112" i="1"/>
  <c r="E6112" i="1"/>
  <c r="F6112" i="1"/>
  <c r="H6112" i="1"/>
  <c r="A6113" i="1"/>
  <c r="B6113" i="1"/>
  <c r="C6113" i="1"/>
  <c r="D6113" i="1"/>
  <c r="E6113" i="1"/>
  <c r="F6113" i="1"/>
  <c r="H6113" i="1"/>
  <c r="A6114" i="1"/>
  <c r="B6114" i="1"/>
  <c r="C6114" i="1"/>
  <c r="D6114" i="1"/>
  <c r="E6114" i="1"/>
  <c r="F6114" i="1"/>
  <c r="H6114" i="1"/>
  <c r="A6115" i="1"/>
  <c r="B6115" i="1"/>
  <c r="C6115" i="1"/>
  <c r="D6115" i="1"/>
  <c r="E6115" i="1"/>
  <c r="F6115" i="1"/>
  <c r="H6115" i="1"/>
  <c r="A6116" i="1"/>
  <c r="B6116" i="1"/>
  <c r="C6116" i="1"/>
  <c r="D6116" i="1"/>
  <c r="E6116" i="1"/>
  <c r="F6116" i="1"/>
  <c r="H6116" i="1"/>
  <c r="A6117" i="1"/>
  <c r="B6117" i="1"/>
  <c r="C6117" i="1"/>
  <c r="D6117" i="1"/>
  <c r="E6117" i="1"/>
  <c r="F6117" i="1"/>
  <c r="H6117" i="1"/>
  <c r="A6118" i="1"/>
  <c r="B6118" i="1"/>
  <c r="C6118" i="1"/>
  <c r="D6118" i="1"/>
  <c r="E6118" i="1"/>
  <c r="F6118" i="1"/>
  <c r="H6118" i="1"/>
  <c r="A6119" i="1"/>
  <c r="B6119" i="1"/>
  <c r="C6119" i="1"/>
  <c r="D6119" i="1"/>
  <c r="E6119" i="1"/>
  <c r="F6119" i="1"/>
  <c r="H6119" i="1"/>
  <c r="A6120" i="1"/>
  <c r="B6120" i="1"/>
  <c r="C6120" i="1"/>
  <c r="D6120" i="1"/>
  <c r="E6120" i="1"/>
  <c r="F6120" i="1"/>
  <c r="H6120" i="1"/>
  <c r="A6121" i="1"/>
  <c r="B6121" i="1"/>
  <c r="C6121" i="1"/>
  <c r="D6121" i="1"/>
  <c r="E6121" i="1"/>
  <c r="F6121" i="1"/>
  <c r="H6121" i="1"/>
  <c r="A6122" i="1"/>
  <c r="B6122" i="1"/>
  <c r="C6122" i="1"/>
  <c r="D6122" i="1"/>
  <c r="E6122" i="1"/>
  <c r="F6122" i="1"/>
  <c r="H6122" i="1"/>
  <c r="A6123" i="1"/>
  <c r="B6123" i="1"/>
  <c r="C6123" i="1"/>
  <c r="D6123" i="1"/>
  <c r="E6123" i="1"/>
  <c r="F6123" i="1"/>
  <c r="H6123" i="1"/>
  <c r="A6124" i="1"/>
  <c r="B6124" i="1"/>
  <c r="C6124" i="1"/>
  <c r="D6124" i="1"/>
  <c r="E6124" i="1"/>
  <c r="F6124" i="1"/>
  <c r="H6124" i="1"/>
  <c r="A6125" i="1"/>
  <c r="B6125" i="1"/>
  <c r="C6125" i="1"/>
  <c r="D6125" i="1"/>
  <c r="E6125" i="1"/>
  <c r="F6125" i="1"/>
  <c r="H6125" i="1"/>
  <c r="A6126" i="1"/>
  <c r="B6126" i="1"/>
  <c r="C6126" i="1"/>
  <c r="D6126" i="1"/>
  <c r="E6126" i="1"/>
  <c r="F6126" i="1"/>
  <c r="H6126" i="1"/>
  <c r="A6127" i="1"/>
  <c r="B6127" i="1"/>
  <c r="C6127" i="1"/>
  <c r="D6127" i="1"/>
  <c r="E6127" i="1"/>
  <c r="F6127" i="1"/>
  <c r="H6127" i="1"/>
  <c r="A6128" i="1"/>
  <c r="B6128" i="1"/>
  <c r="C6128" i="1"/>
  <c r="D6128" i="1"/>
  <c r="E6128" i="1"/>
  <c r="F6128" i="1"/>
  <c r="H6128" i="1"/>
  <c r="A6129" i="1"/>
  <c r="B6129" i="1"/>
  <c r="C6129" i="1"/>
  <c r="D6129" i="1"/>
  <c r="E6129" i="1"/>
  <c r="F6129" i="1"/>
  <c r="H6129" i="1"/>
  <c r="A6130" i="1"/>
  <c r="B6130" i="1"/>
  <c r="C6130" i="1"/>
  <c r="D6130" i="1"/>
  <c r="E6130" i="1"/>
  <c r="F6130" i="1"/>
  <c r="H6130" i="1"/>
  <c r="A6131" i="1"/>
  <c r="B6131" i="1"/>
  <c r="C6131" i="1"/>
  <c r="D6131" i="1"/>
  <c r="E6131" i="1"/>
  <c r="F6131" i="1"/>
  <c r="H6131" i="1"/>
  <c r="A6132" i="1"/>
  <c r="B6132" i="1"/>
  <c r="C6132" i="1"/>
  <c r="D6132" i="1"/>
  <c r="E6132" i="1"/>
  <c r="F6132" i="1"/>
  <c r="H6132" i="1"/>
  <c r="A6133" i="1"/>
  <c r="B6133" i="1"/>
  <c r="C6133" i="1"/>
  <c r="D6133" i="1"/>
  <c r="E6133" i="1"/>
  <c r="F6133" i="1"/>
  <c r="H6133" i="1"/>
  <c r="A6134" i="1"/>
  <c r="B6134" i="1"/>
  <c r="C6134" i="1"/>
  <c r="D6134" i="1"/>
  <c r="E6134" i="1"/>
  <c r="F6134" i="1"/>
  <c r="H6134" i="1"/>
  <c r="A6135" i="1"/>
  <c r="B6135" i="1"/>
  <c r="C6135" i="1"/>
  <c r="D6135" i="1"/>
  <c r="E6135" i="1"/>
  <c r="F6135" i="1"/>
  <c r="H6135" i="1"/>
  <c r="A6136" i="1"/>
  <c r="B6136" i="1"/>
  <c r="C6136" i="1"/>
  <c r="D6136" i="1"/>
  <c r="E6136" i="1"/>
  <c r="F6136" i="1"/>
  <c r="H6136" i="1"/>
  <c r="A6137" i="1"/>
  <c r="B6137" i="1"/>
  <c r="C6137" i="1"/>
  <c r="D6137" i="1"/>
  <c r="E6137" i="1"/>
  <c r="F6137" i="1"/>
  <c r="H6137" i="1"/>
  <c r="A6138" i="1"/>
  <c r="B6138" i="1"/>
  <c r="C6138" i="1"/>
  <c r="D6138" i="1"/>
  <c r="E6138" i="1"/>
  <c r="F6138" i="1"/>
  <c r="H6138" i="1"/>
  <c r="A6139" i="1"/>
  <c r="B6139" i="1"/>
  <c r="C6139" i="1"/>
  <c r="D6139" i="1"/>
  <c r="E6139" i="1"/>
  <c r="F6139" i="1"/>
  <c r="H6139" i="1"/>
  <c r="A6140" i="1"/>
  <c r="B6140" i="1"/>
  <c r="C6140" i="1"/>
  <c r="D6140" i="1"/>
  <c r="E6140" i="1"/>
  <c r="F6140" i="1"/>
  <c r="H6140" i="1"/>
  <c r="A6141" i="1"/>
  <c r="B6141" i="1"/>
  <c r="C6141" i="1"/>
  <c r="D6141" i="1"/>
  <c r="E6141" i="1"/>
  <c r="F6141" i="1"/>
  <c r="H6141" i="1"/>
  <c r="A6142" i="1"/>
  <c r="B6142" i="1"/>
  <c r="C6142" i="1"/>
  <c r="D6142" i="1"/>
  <c r="E6142" i="1"/>
  <c r="F6142" i="1"/>
  <c r="H6142" i="1"/>
  <c r="A6143" i="1"/>
  <c r="B6143" i="1"/>
  <c r="C6143" i="1"/>
  <c r="D6143" i="1"/>
  <c r="E6143" i="1"/>
  <c r="F6143" i="1"/>
  <c r="H6143" i="1"/>
  <c r="A6144" i="1"/>
  <c r="B6144" i="1"/>
  <c r="C6144" i="1"/>
  <c r="D6144" i="1"/>
  <c r="E6144" i="1"/>
  <c r="F6144" i="1"/>
  <c r="H6144" i="1"/>
  <c r="A6145" i="1"/>
  <c r="B6145" i="1"/>
  <c r="C6145" i="1"/>
  <c r="D6145" i="1"/>
  <c r="E6145" i="1"/>
  <c r="F6145" i="1"/>
  <c r="H6145" i="1"/>
  <c r="A6146" i="1"/>
  <c r="B6146" i="1"/>
  <c r="C6146" i="1"/>
  <c r="D6146" i="1"/>
  <c r="E6146" i="1"/>
  <c r="F6146" i="1"/>
  <c r="H6146" i="1"/>
  <c r="A6147" i="1"/>
  <c r="B6147" i="1"/>
  <c r="C6147" i="1"/>
  <c r="D6147" i="1"/>
  <c r="E6147" i="1"/>
  <c r="F6147" i="1"/>
  <c r="H6147" i="1"/>
  <c r="A6148" i="1"/>
  <c r="B6148" i="1"/>
  <c r="C6148" i="1"/>
  <c r="D6148" i="1"/>
  <c r="E6148" i="1"/>
  <c r="F6148" i="1"/>
  <c r="H6148" i="1"/>
  <c r="A6149" i="1"/>
  <c r="B6149" i="1"/>
  <c r="C6149" i="1"/>
  <c r="D6149" i="1"/>
  <c r="E6149" i="1"/>
  <c r="F6149" i="1"/>
  <c r="H6149" i="1"/>
  <c r="A6150" i="1"/>
  <c r="B6150" i="1"/>
  <c r="C6150" i="1"/>
  <c r="D6150" i="1"/>
  <c r="E6150" i="1"/>
  <c r="F6150" i="1"/>
  <c r="H6150" i="1"/>
  <c r="A6151" i="1"/>
  <c r="B6151" i="1"/>
  <c r="C6151" i="1"/>
  <c r="D6151" i="1"/>
  <c r="E6151" i="1"/>
  <c r="F6151" i="1"/>
  <c r="H6151" i="1"/>
  <c r="A6152" i="1"/>
  <c r="B6152" i="1"/>
  <c r="C6152" i="1"/>
  <c r="D6152" i="1"/>
  <c r="E6152" i="1"/>
  <c r="F6152" i="1"/>
  <c r="H6152" i="1"/>
  <c r="A6153" i="1"/>
  <c r="B6153" i="1"/>
  <c r="C6153" i="1"/>
  <c r="D6153" i="1"/>
  <c r="E6153" i="1"/>
  <c r="F6153" i="1"/>
  <c r="H6153" i="1"/>
  <c r="A6154" i="1"/>
  <c r="B6154" i="1"/>
  <c r="C6154" i="1"/>
  <c r="D6154" i="1"/>
  <c r="E6154" i="1"/>
  <c r="F6154" i="1"/>
  <c r="H6154" i="1"/>
  <c r="A6155" i="1"/>
  <c r="B6155" i="1"/>
  <c r="C6155" i="1"/>
  <c r="D6155" i="1"/>
  <c r="E6155" i="1"/>
  <c r="F6155" i="1"/>
  <c r="H6155" i="1"/>
  <c r="A6156" i="1"/>
  <c r="B6156" i="1"/>
  <c r="C6156" i="1"/>
  <c r="D6156" i="1"/>
  <c r="E6156" i="1"/>
  <c r="F6156" i="1"/>
  <c r="H6156" i="1"/>
  <c r="A6157" i="1"/>
  <c r="B6157" i="1"/>
  <c r="C6157" i="1"/>
  <c r="D6157" i="1"/>
  <c r="E6157" i="1"/>
  <c r="F6157" i="1"/>
  <c r="H6157" i="1"/>
  <c r="A6158" i="1"/>
  <c r="B6158" i="1"/>
  <c r="C6158" i="1"/>
  <c r="D6158" i="1"/>
  <c r="E6158" i="1"/>
  <c r="F6158" i="1"/>
  <c r="H6158" i="1"/>
  <c r="A6159" i="1"/>
  <c r="B6159" i="1"/>
  <c r="C6159" i="1"/>
  <c r="D6159" i="1"/>
  <c r="E6159" i="1"/>
  <c r="F6159" i="1"/>
  <c r="H6159" i="1"/>
  <c r="A6160" i="1"/>
  <c r="B6160" i="1"/>
  <c r="C6160" i="1"/>
  <c r="D6160" i="1"/>
  <c r="E6160" i="1"/>
  <c r="F6160" i="1"/>
  <c r="H6160" i="1"/>
  <c r="A6161" i="1"/>
  <c r="B6161" i="1"/>
  <c r="C6161" i="1"/>
  <c r="D6161" i="1"/>
  <c r="E6161" i="1"/>
  <c r="F6161" i="1"/>
  <c r="H6161" i="1"/>
  <c r="A6162" i="1"/>
  <c r="B6162" i="1"/>
  <c r="C6162" i="1"/>
  <c r="D6162" i="1"/>
  <c r="E6162" i="1"/>
  <c r="F6162" i="1"/>
  <c r="H6162" i="1"/>
  <c r="A6163" i="1"/>
  <c r="B6163" i="1"/>
  <c r="C6163" i="1"/>
  <c r="D6163" i="1"/>
  <c r="E6163" i="1"/>
  <c r="F6163" i="1"/>
  <c r="H6163" i="1"/>
  <c r="A6164" i="1"/>
  <c r="B6164" i="1"/>
  <c r="C6164" i="1"/>
  <c r="D6164" i="1"/>
  <c r="E6164" i="1"/>
  <c r="F6164" i="1"/>
  <c r="H6164" i="1"/>
  <c r="A6165" i="1"/>
  <c r="B6165" i="1"/>
  <c r="C6165" i="1"/>
  <c r="D6165" i="1"/>
  <c r="E6165" i="1"/>
  <c r="F6165" i="1"/>
  <c r="H6165" i="1"/>
  <c r="A6166" i="1"/>
  <c r="B6166" i="1"/>
  <c r="C6166" i="1"/>
  <c r="D6166" i="1"/>
  <c r="E6166" i="1"/>
  <c r="F6166" i="1"/>
  <c r="H6166" i="1"/>
  <c r="A6167" i="1"/>
  <c r="B6167" i="1"/>
  <c r="C6167" i="1"/>
  <c r="D6167" i="1"/>
  <c r="E6167" i="1"/>
  <c r="F6167" i="1"/>
  <c r="H6167" i="1"/>
  <c r="A6168" i="1"/>
  <c r="B6168" i="1"/>
  <c r="C6168" i="1"/>
  <c r="D6168" i="1"/>
  <c r="E6168" i="1"/>
  <c r="F6168" i="1"/>
  <c r="H6168" i="1"/>
  <c r="A6169" i="1"/>
  <c r="B6169" i="1"/>
  <c r="C6169" i="1"/>
  <c r="D6169" i="1"/>
  <c r="E6169" i="1"/>
  <c r="F6169" i="1"/>
  <c r="H6169" i="1"/>
  <c r="A6170" i="1"/>
  <c r="B6170" i="1"/>
  <c r="C6170" i="1"/>
  <c r="D6170" i="1"/>
  <c r="E6170" i="1"/>
  <c r="F6170" i="1"/>
  <c r="H6170" i="1"/>
  <c r="A6171" i="1"/>
  <c r="B6171" i="1"/>
  <c r="C6171" i="1"/>
  <c r="D6171" i="1"/>
  <c r="E6171" i="1"/>
  <c r="F6171" i="1"/>
  <c r="H6171" i="1"/>
  <c r="A6172" i="1"/>
  <c r="B6172" i="1"/>
  <c r="C6172" i="1"/>
  <c r="D6172" i="1"/>
  <c r="E6172" i="1"/>
  <c r="F6172" i="1"/>
  <c r="H6172" i="1"/>
  <c r="A6173" i="1"/>
  <c r="B6173" i="1"/>
  <c r="C6173" i="1"/>
  <c r="D6173" i="1"/>
  <c r="E6173" i="1"/>
  <c r="F6173" i="1"/>
  <c r="H6173" i="1"/>
  <c r="A6174" i="1"/>
  <c r="B6174" i="1"/>
  <c r="C6174" i="1"/>
  <c r="D6174" i="1"/>
  <c r="E6174" i="1"/>
  <c r="F6174" i="1"/>
  <c r="H6174" i="1"/>
  <c r="A6175" i="1"/>
  <c r="B6175" i="1"/>
  <c r="C6175" i="1"/>
  <c r="D6175" i="1"/>
  <c r="E6175" i="1"/>
  <c r="F6175" i="1"/>
  <c r="H6175" i="1"/>
  <c r="A6176" i="1"/>
  <c r="B6176" i="1"/>
  <c r="C6176" i="1"/>
  <c r="D6176" i="1"/>
  <c r="E6176" i="1"/>
  <c r="F6176" i="1"/>
  <c r="H6176" i="1"/>
  <c r="A6177" i="1"/>
  <c r="B6177" i="1"/>
  <c r="C6177" i="1"/>
  <c r="D6177" i="1"/>
  <c r="E6177" i="1"/>
  <c r="F6177" i="1"/>
  <c r="H6177" i="1"/>
  <c r="A6178" i="1"/>
  <c r="B6178" i="1"/>
  <c r="C6178" i="1"/>
  <c r="D6178" i="1"/>
  <c r="E6178" i="1"/>
  <c r="F6178" i="1"/>
  <c r="H6178" i="1"/>
  <c r="A6179" i="1"/>
  <c r="B6179" i="1"/>
  <c r="C6179" i="1"/>
  <c r="D6179" i="1"/>
  <c r="E6179" i="1"/>
  <c r="F6179" i="1"/>
  <c r="H6179" i="1"/>
  <c r="A6180" i="1"/>
  <c r="B6180" i="1"/>
  <c r="C6180" i="1"/>
  <c r="D6180" i="1"/>
  <c r="E6180" i="1"/>
  <c r="F6180" i="1"/>
  <c r="H6180" i="1"/>
  <c r="A6181" i="1"/>
  <c r="B6181" i="1"/>
  <c r="C6181" i="1"/>
  <c r="D6181" i="1"/>
  <c r="E6181" i="1"/>
  <c r="F6181" i="1"/>
  <c r="H6181" i="1"/>
  <c r="A6182" i="1"/>
  <c r="B6182" i="1"/>
  <c r="C6182" i="1"/>
  <c r="D6182" i="1"/>
  <c r="E6182" i="1"/>
  <c r="F6182" i="1"/>
  <c r="H6182" i="1"/>
  <c r="A6183" i="1"/>
  <c r="B6183" i="1"/>
  <c r="C6183" i="1"/>
  <c r="D6183" i="1"/>
  <c r="E6183" i="1"/>
  <c r="F6183" i="1"/>
  <c r="H6183" i="1"/>
  <c r="A6184" i="1"/>
  <c r="B6184" i="1"/>
  <c r="C6184" i="1"/>
  <c r="D6184" i="1"/>
  <c r="E6184" i="1"/>
  <c r="F6184" i="1"/>
  <c r="H6184" i="1"/>
  <c r="A6185" i="1"/>
  <c r="B6185" i="1"/>
  <c r="C6185" i="1"/>
  <c r="D6185" i="1"/>
  <c r="E6185" i="1"/>
  <c r="F6185" i="1"/>
  <c r="H6185" i="1"/>
  <c r="A6186" i="1"/>
  <c r="B6186" i="1"/>
  <c r="C6186" i="1"/>
  <c r="D6186" i="1"/>
  <c r="E6186" i="1"/>
  <c r="F6186" i="1"/>
  <c r="H6186" i="1"/>
  <c r="A6187" i="1"/>
  <c r="B6187" i="1"/>
  <c r="C6187" i="1"/>
  <c r="D6187" i="1"/>
  <c r="E6187" i="1"/>
  <c r="F6187" i="1"/>
  <c r="H6187" i="1"/>
  <c r="A6188" i="1"/>
  <c r="B6188" i="1"/>
  <c r="C6188" i="1"/>
  <c r="D6188" i="1"/>
  <c r="E6188" i="1"/>
  <c r="F6188" i="1"/>
  <c r="H6188" i="1"/>
  <c r="A6189" i="1"/>
  <c r="B6189" i="1"/>
  <c r="C6189" i="1"/>
  <c r="D6189" i="1"/>
  <c r="E6189" i="1"/>
  <c r="F6189" i="1"/>
  <c r="H6189" i="1"/>
  <c r="A6190" i="1"/>
  <c r="B6190" i="1"/>
  <c r="C6190" i="1"/>
  <c r="D6190" i="1"/>
  <c r="E6190" i="1"/>
  <c r="F6190" i="1"/>
  <c r="H6190" i="1"/>
  <c r="A6191" i="1"/>
  <c r="B6191" i="1"/>
  <c r="C6191" i="1"/>
  <c r="D6191" i="1"/>
  <c r="E6191" i="1"/>
  <c r="F6191" i="1"/>
  <c r="H6191" i="1"/>
  <c r="A6192" i="1"/>
  <c r="B6192" i="1"/>
  <c r="C6192" i="1"/>
  <c r="D6192" i="1"/>
  <c r="E6192" i="1"/>
  <c r="F6192" i="1"/>
  <c r="H6192" i="1"/>
  <c r="A6193" i="1"/>
  <c r="B6193" i="1"/>
  <c r="C6193" i="1"/>
  <c r="D6193" i="1"/>
  <c r="E6193" i="1"/>
  <c r="F6193" i="1"/>
  <c r="H6193" i="1"/>
  <c r="A6194" i="1"/>
  <c r="B6194" i="1"/>
  <c r="C6194" i="1"/>
  <c r="D6194" i="1"/>
  <c r="E6194" i="1"/>
  <c r="F6194" i="1"/>
  <c r="H6194" i="1"/>
  <c r="A6195" i="1"/>
  <c r="B6195" i="1"/>
  <c r="C6195" i="1"/>
  <c r="D6195" i="1"/>
  <c r="E6195" i="1"/>
  <c r="F6195" i="1"/>
  <c r="H6195" i="1"/>
  <c r="A6196" i="1"/>
  <c r="B6196" i="1"/>
  <c r="C6196" i="1"/>
  <c r="D6196" i="1"/>
  <c r="E6196" i="1"/>
  <c r="F6196" i="1"/>
  <c r="H6196" i="1"/>
  <c r="A6197" i="1"/>
  <c r="B6197" i="1"/>
  <c r="C6197" i="1"/>
  <c r="D6197" i="1"/>
  <c r="E6197" i="1"/>
  <c r="F6197" i="1"/>
  <c r="H6197" i="1"/>
  <c r="A6198" i="1"/>
  <c r="B6198" i="1"/>
  <c r="C6198" i="1"/>
  <c r="D6198" i="1"/>
  <c r="E6198" i="1"/>
  <c r="F6198" i="1"/>
  <c r="H6198" i="1"/>
  <c r="A6199" i="1"/>
  <c r="B6199" i="1"/>
  <c r="C6199" i="1"/>
  <c r="D6199" i="1"/>
  <c r="E6199" i="1"/>
  <c r="F6199" i="1"/>
  <c r="H6199" i="1"/>
  <c r="A6200" i="1"/>
  <c r="B6200" i="1"/>
  <c r="C6200" i="1"/>
  <c r="D6200" i="1"/>
  <c r="E6200" i="1"/>
  <c r="F6200" i="1"/>
  <c r="H6200" i="1"/>
  <c r="A6201" i="1"/>
  <c r="B6201" i="1"/>
  <c r="C6201" i="1"/>
  <c r="D6201" i="1"/>
  <c r="E6201" i="1"/>
  <c r="F6201" i="1"/>
  <c r="H6201" i="1"/>
  <c r="A6202" i="1"/>
  <c r="B6202" i="1"/>
  <c r="C6202" i="1"/>
  <c r="D6202" i="1"/>
  <c r="E6202" i="1"/>
  <c r="F6202" i="1"/>
  <c r="H6202" i="1"/>
  <c r="A6203" i="1"/>
  <c r="B6203" i="1"/>
  <c r="C6203" i="1"/>
  <c r="D6203" i="1"/>
  <c r="E6203" i="1"/>
  <c r="F6203" i="1"/>
  <c r="H6203" i="1"/>
  <c r="A6204" i="1"/>
  <c r="B6204" i="1"/>
  <c r="C6204" i="1"/>
  <c r="D6204" i="1"/>
  <c r="E6204" i="1"/>
  <c r="F6204" i="1"/>
  <c r="H6204" i="1"/>
  <c r="A6205" i="1"/>
  <c r="B6205" i="1"/>
  <c r="C6205" i="1"/>
  <c r="D6205" i="1"/>
  <c r="E6205" i="1"/>
  <c r="F6205" i="1"/>
  <c r="H6205" i="1"/>
  <c r="A6206" i="1"/>
  <c r="B6206" i="1"/>
  <c r="C6206" i="1"/>
  <c r="D6206" i="1"/>
  <c r="E6206" i="1"/>
  <c r="F6206" i="1"/>
  <c r="H6206" i="1"/>
  <c r="A6207" i="1"/>
  <c r="B6207" i="1"/>
  <c r="C6207" i="1"/>
  <c r="D6207" i="1"/>
  <c r="E6207" i="1"/>
  <c r="F6207" i="1"/>
  <c r="H6207" i="1"/>
  <c r="A6208" i="1"/>
  <c r="B6208" i="1"/>
  <c r="C6208" i="1"/>
  <c r="D6208" i="1"/>
  <c r="E6208" i="1"/>
  <c r="F6208" i="1"/>
  <c r="H6208" i="1"/>
  <c r="A6209" i="1"/>
  <c r="B6209" i="1"/>
  <c r="C6209" i="1"/>
  <c r="D6209" i="1"/>
  <c r="E6209" i="1"/>
  <c r="F6209" i="1"/>
  <c r="H6209" i="1"/>
  <c r="A6210" i="1"/>
  <c r="B6210" i="1"/>
  <c r="C6210" i="1"/>
  <c r="D6210" i="1"/>
  <c r="E6210" i="1"/>
  <c r="F6210" i="1"/>
  <c r="H6210" i="1"/>
  <c r="A6211" i="1"/>
  <c r="B6211" i="1"/>
  <c r="C6211" i="1"/>
  <c r="D6211" i="1"/>
  <c r="E6211" i="1"/>
  <c r="F6211" i="1"/>
  <c r="H6211" i="1"/>
  <c r="A6212" i="1"/>
  <c r="B6212" i="1"/>
  <c r="C6212" i="1"/>
  <c r="D6212" i="1"/>
  <c r="E6212" i="1"/>
  <c r="F6212" i="1"/>
  <c r="H6212" i="1"/>
  <c r="A6213" i="1"/>
  <c r="B6213" i="1"/>
  <c r="C6213" i="1"/>
  <c r="D6213" i="1"/>
  <c r="E6213" i="1"/>
  <c r="F6213" i="1"/>
  <c r="H6213" i="1"/>
  <c r="A6214" i="1"/>
  <c r="B6214" i="1"/>
  <c r="C6214" i="1"/>
  <c r="D6214" i="1"/>
  <c r="E6214" i="1"/>
  <c r="F6214" i="1"/>
  <c r="H6214" i="1"/>
  <c r="A6215" i="1"/>
  <c r="B6215" i="1"/>
  <c r="C6215" i="1"/>
  <c r="D6215" i="1"/>
  <c r="E6215" i="1"/>
  <c r="F6215" i="1"/>
  <c r="H6215" i="1"/>
  <c r="A6216" i="1"/>
  <c r="B6216" i="1"/>
  <c r="C6216" i="1"/>
  <c r="D6216" i="1"/>
  <c r="E6216" i="1"/>
  <c r="F6216" i="1"/>
  <c r="H6216" i="1"/>
  <c r="A6217" i="1"/>
  <c r="B6217" i="1"/>
  <c r="C6217" i="1"/>
  <c r="D6217" i="1"/>
  <c r="E6217" i="1"/>
  <c r="F6217" i="1"/>
  <c r="H6217" i="1"/>
  <c r="A6218" i="1"/>
  <c r="B6218" i="1"/>
  <c r="C6218" i="1"/>
  <c r="D6218" i="1"/>
  <c r="E6218" i="1"/>
  <c r="F6218" i="1"/>
  <c r="H6218" i="1"/>
  <c r="A6219" i="1"/>
  <c r="B6219" i="1"/>
  <c r="C6219" i="1"/>
  <c r="D6219" i="1"/>
  <c r="E6219" i="1"/>
  <c r="F6219" i="1"/>
  <c r="H6219" i="1"/>
  <c r="A6220" i="1"/>
  <c r="B6220" i="1"/>
  <c r="C6220" i="1"/>
  <c r="D6220" i="1"/>
  <c r="E6220" i="1"/>
  <c r="F6220" i="1"/>
  <c r="H6220" i="1"/>
  <c r="A6221" i="1"/>
  <c r="B6221" i="1"/>
  <c r="C6221" i="1"/>
  <c r="D6221" i="1"/>
  <c r="E6221" i="1"/>
  <c r="F6221" i="1"/>
  <c r="H6221" i="1"/>
  <c r="A6222" i="1"/>
  <c r="B6222" i="1"/>
  <c r="C6222" i="1"/>
  <c r="D6222" i="1"/>
  <c r="E6222" i="1"/>
  <c r="F6222" i="1"/>
  <c r="H6222" i="1"/>
  <c r="A6223" i="1"/>
  <c r="B6223" i="1"/>
  <c r="C6223" i="1"/>
  <c r="D6223" i="1"/>
  <c r="E6223" i="1"/>
  <c r="F6223" i="1"/>
  <c r="H6223" i="1"/>
  <c r="A6224" i="1"/>
  <c r="B6224" i="1"/>
  <c r="C6224" i="1"/>
  <c r="D6224" i="1"/>
  <c r="E6224" i="1"/>
  <c r="F6224" i="1"/>
  <c r="H6224" i="1"/>
  <c r="A6225" i="1"/>
  <c r="B6225" i="1"/>
  <c r="C6225" i="1"/>
  <c r="D6225" i="1"/>
  <c r="E6225" i="1"/>
  <c r="F6225" i="1"/>
  <c r="H6225" i="1"/>
  <c r="A6226" i="1"/>
  <c r="B6226" i="1"/>
  <c r="C6226" i="1"/>
  <c r="D6226" i="1"/>
  <c r="E6226" i="1"/>
  <c r="F6226" i="1"/>
  <c r="H6226" i="1"/>
  <c r="A6227" i="1"/>
  <c r="B6227" i="1"/>
  <c r="C6227" i="1"/>
  <c r="D6227" i="1"/>
  <c r="E6227" i="1"/>
  <c r="F6227" i="1"/>
  <c r="H6227" i="1"/>
  <c r="A6228" i="1"/>
  <c r="B6228" i="1"/>
  <c r="C6228" i="1"/>
  <c r="D6228" i="1"/>
  <c r="E6228" i="1"/>
  <c r="F6228" i="1"/>
  <c r="H6228" i="1"/>
  <c r="A6229" i="1"/>
  <c r="B6229" i="1"/>
  <c r="C6229" i="1"/>
  <c r="D6229" i="1"/>
  <c r="E6229" i="1"/>
  <c r="F6229" i="1"/>
  <c r="H6229" i="1"/>
  <c r="A6230" i="1"/>
  <c r="B6230" i="1"/>
  <c r="C6230" i="1"/>
  <c r="D6230" i="1"/>
  <c r="E6230" i="1"/>
  <c r="F6230" i="1"/>
  <c r="H6230" i="1"/>
  <c r="A6231" i="1"/>
  <c r="B6231" i="1"/>
  <c r="C6231" i="1"/>
  <c r="D6231" i="1"/>
  <c r="E6231" i="1"/>
  <c r="F6231" i="1"/>
  <c r="H6231" i="1"/>
  <c r="A6232" i="1"/>
  <c r="B6232" i="1"/>
  <c r="C6232" i="1"/>
  <c r="D6232" i="1"/>
  <c r="E6232" i="1"/>
  <c r="F6232" i="1"/>
  <c r="H6232" i="1"/>
  <c r="A6233" i="1"/>
  <c r="B6233" i="1"/>
  <c r="C6233" i="1"/>
  <c r="D6233" i="1"/>
  <c r="E6233" i="1"/>
  <c r="F6233" i="1"/>
  <c r="H6233" i="1"/>
  <c r="A6234" i="1"/>
  <c r="B6234" i="1"/>
  <c r="C6234" i="1"/>
  <c r="D6234" i="1"/>
  <c r="E6234" i="1"/>
  <c r="F6234" i="1"/>
  <c r="H6234" i="1"/>
  <c r="A6235" i="1"/>
  <c r="B6235" i="1"/>
  <c r="C6235" i="1"/>
  <c r="D6235" i="1"/>
  <c r="E6235" i="1"/>
  <c r="F6235" i="1"/>
  <c r="H6235" i="1"/>
  <c r="A6236" i="1"/>
  <c r="B6236" i="1"/>
  <c r="C6236" i="1"/>
  <c r="D6236" i="1"/>
  <c r="E6236" i="1"/>
  <c r="F6236" i="1"/>
  <c r="H6236" i="1"/>
  <c r="A6237" i="1"/>
  <c r="B6237" i="1"/>
  <c r="C6237" i="1"/>
  <c r="D6237" i="1"/>
  <c r="E6237" i="1"/>
  <c r="F6237" i="1"/>
  <c r="H6237" i="1"/>
  <c r="A6238" i="1"/>
  <c r="B6238" i="1"/>
  <c r="C6238" i="1"/>
  <c r="D6238" i="1"/>
  <c r="E6238" i="1"/>
  <c r="F6238" i="1"/>
  <c r="H6238" i="1"/>
  <c r="A6239" i="1"/>
  <c r="B6239" i="1"/>
  <c r="C6239" i="1"/>
  <c r="D6239" i="1"/>
  <c r="E6239" i="1"/>
  <c r="F6239" i="1"/>
  <c r="H6239" i="1"/>
  <c r="A6240" i="1"/>
  <c r="B6240" i="1"/>
  <c r="C6240" i="1"/>
  <c r="D6240" i="1"/>
  <c r="E6240" i="1"/>
  <c r="F6240" i="1"/>
  <c r="H6240" i="1"/>
  <c r="A6241" i="1"/>
  <c r="B6241" i="1"/>
  <c r="C6241" i="1"/>
  <c r="D6241" i="1"/>
  <c r="E6241" i="1"/>
  <c r="F6241" i="1"/>
  <c r="H6241" i="1"/>
  <c r="A6242" i="1"/>
  <c r="B6242" i="1"/>
  <c r="C6242" i="1"/>
  <c r="D6242" i="1"/>
  <c r="E6242" i="1"/>
  <c r="F6242" i="1"/>
  <c r="H6242" i="1"/>
  <c r="A6243" i="1"/>
  <c r="B6243" i="1"/>
  <c r="C6243" i="1"/>
  <c r="D6243" i="1"/>
  <c r="E6243" i="1"/>
  <c r="F6243" i="1"/>
  <c r="H6243" i="1"/>
  <c r="A6244" i="1"/>
  <c r="B6244" i="1"/>
  <c r="C6244" i="1"/>
  <c r="D6244" i="1"/>
  <c r="E6244" i="1"/>
  <c r="F6244" i="1"/>
  <c r="H6244" i="1"/>
  <c r="A6245" i="1"/>
  <c r="B6245" i="1"/>
  <c r="C6245" i="1"/>
  <c r="D6245" i="1"/>
  <c r="E6245" i="1"/>
  <c r="F6245" i="1"/>
  <c r="H6245" i="1"/>
  <c r="A6246" i="1"/>
  <c r="B6246" i="1"/>
  <c r="C6246" i="1"/>
  <c r="D6246" i="1"/>
  <c r="E6246" i="1"/>
  <c r="F6246" i="1"/>
  <c r="H6246" i="1"/>
  <c r="A6247" i="1"/>
  <c r="B6247" i="1"/>
  <c r="C6247" i="1"/>
  <c r="D6247" i="1"/>
  <c r="E6247" i="1"/>
  <c r="F6247" i="1"/>
  <c r="H6247" i="1"/>
  <c r="A6248" i="1"/>
  <c r="B6248" i="1"/>
  <c r="C6248" i="1"/>
  <c r="D6248" i="1"/>
  <c r="E6248" i="1"/>
  <c r="F6248" i="1"/>
  <c r="H6248" i="1"/>
  <c r="A6249" i="1"/>
  <c r="B6249" i="1"/>
  <c r="C6249" i="1"/>
  <c r="D6249" i="1"/>
  <c r="E6249" i="1"/>
  <c r="F6249" i="1"/>
  <c r="H6249" i="1"/>
  <c r="A6250" i="1"/>
  <c r="B6250" i="1"/>
  <c r="C6250" i="1"/>
  <c r="D6250" i="1"/>
  <c r="E6250" i="1"/>
  <c r="F6250" i="1"/>
  <c r="H6250" i="1"/>
  <c r="A6251" i="1"/>
  <c r="B6251" i="1"/>
  <c r="C6251" i="1"/>
  <c r="D6251" i="1"/>
  <c r="E6251" i="1"/>
  <c r="F6251" i="1"/>
  <c r="H6251" i="1"/>
  <c r="A6252" i="1"/>
  <c r="B6252" i="1"/>
  <c r="C6252" i="1"/>
  <c r="D6252" i="1"/>
  <c r="E6252" i="1"/>
  <c r="F6252" i="1"/>
  <c r="H6252" i="1"/>
  <c r="A6253" i="1"/>
  <c r="B6253" i="1"/>
  <c r="C6253" i="1"/>
  <c r="D6253" i="1"/>
  <c r="E6253" i="1"/>
  <c r="F6253" i="1"/>
  <c r="H6253" i="1"/>
  <c r="A6254" i="1"/>
  <c r="B6254" i="1"/>
  <c r="C6254" i="1"/>
  <c r="D6254" i="1"/>
  <c r="E6254" i="1"/>
  <c r="F6254" i="1"/>
  <c r="H6254" i="1"/>
  <c r="A6255" i="1"/>
  <c r="B6255" i="1"/>
  <c r="C6255" i="1"/>
  <c r="D6255" i="1"/>
  <c r="E6255" i="1"/>
  <c r="F6255" i="1"/>
  <c r="H6255" i="1"/>
  <c r="A6256" i="1"/>
  <c r="B6256" i="1"/>
  <c r="C6256" i="1"/>
  <c r="D6256" i="1"/>
  <c r="E6256" i="1"/>
  <c r="F6256" i="1"/>
  <c r="H6256" i="1"/>
  <c r="A6257" i="1"/>
  <c r="B6257" i="1"/>
  <c r="C6257" i="1"/>
  <c r="D6257" i="1"/>
  <c r="E6257" i="1"/>
  <c r="F6257" i="1"/>
  <c r="H6257" i="1"/>
  <c r="A6258" i="1"/>
  <c r="B6258" i="1"/>
  <c r="C6258" i="1"/>
  <c r="D6258" i="1"/>
  <c r="E6258" i="1"/>
  <c r="F6258" i="1"/>
  <c r="H6258" i="1"/>
  <c r="A6259" i="1"/>
  <c r="B6259" i="1"/>
  <c r="C6259" i="1"/>
  <c r="D6259" i="1"/>
  <c r="E6259" i="1"/>
  <c r="F6259" i="1"/>
  <c r="H6259" i="1"/>
  <c r="A6260" i="1"/>
  <c r="B6260" i="1"/>
  <c r="C6260" i="1"/>
  <c r="D6260" i="1"/>
  <c r="E6260" i="1"/>
  <c r="F6260" i="1"/>
  <c r="H6260" i="1"/>
  <c r="A6261" i="1"/>
  <c r="B6261" i="1"/>
  <c r="C6261" i="1"/>
  <c r="D6261" i="1"/>
  <c r="E6261" i="1"/>
  <c r="F6261" i="1"/>
  <c r="H6261" i="1"/>
  <c r="A6262" i="1"/>
  <c r="B6262" i="1"/>
  <c r="C6262" i="1"/>
  <c r="D6262" i="1"/>
  <c r="E6262" i="1"/>
  <c r="F6262" i="1"/>
  <c r="H6262" i="1"/>
  <c r="A6263" i="1"/>
  <c r="B6263" i="1"/>
  <c r="C6263" i="1"/>
  <c r="D6263" i="1"/>
  <c r="E6263" i="1"/>
  <c r="F6263" i="1"/>
  <c r="H6263" i="1"/>
  <c r="A6264" i="1"/>
  <c r="B6264" i="1"/>
  <c r="C6264" i="1"/>
  <c r="D6264" i="1"/>
  <c r="E6264" i="1"/>
  <c r="F6264" i="1"/>
  <c r="H6264" i="1"/>
  <c r="A6265" i="1"/>
  <c r="B6265" i="1"/>
  <c r="C6265" i="1"/>
  <c r="D6265" i="1"/>
  <c r="E6265" i="1"/>
  <c r="F6265" i="1"/>
  <c r="H6265" i="1"/>
  <c r="A6266" i="1"/>
  <c r="B6266" i="1"/>
  <c r="C6266" i="1"/>
  <c r="D6266" i="1"/>
  <c r="E6266" i="1"/>
  <c r="F6266" i="1"/>
  <c r="H6266" i="1"/>
  <c r="A6267" i="1"/>
  <c r="B6267" i="1"/>
  <c r="C6267" i="1"/>
  <c r="D6267" i="1"/>
  <c r="E6267" i="1"/>
  <c r="F6267" i="1"/>
  <c r="H6267" i="1"/>
  <c r="A6268" i="1"/>
  <c r="B6268" i="1"/>
  <c r="C6268" i="1"/>
  <c r="D6268" i="1"/>
  <c r="E6268" i="1"/>
  <c r="F6268" i="1"/>
  <c r="H6268" i="1"/>
  <c r="A6269" i="1"/>
  <c r="B6269" i="1"/>
  <c r="C6269" i="1"/>
  <c r="D6269" i="1"/>
  <c r="E6269" i="1"/>
  <c r="F6269" i="1"/>
  <c r="H6269" i="1"/>
  <c r="A6270" i="1"/>
  <c r="B6270" i="1"/>
  <c r="C6270" i="1"/>
  <c r="D6270" i="1"/>
  <c r="E6270" i="1"/>
  <c r="F6270" i="1"/>
  <c r="H6270" i="1"/>
  <c r="A6271" i="1"/>
  <c r="B6271" i="1"/>
  <c r="C6271" i="1"/>
  <c r="D6271" i="1"/>
  <c r="E6271" i="1"/>
  <c r="F6271" i="1"/>
  <c r="H6271" i="1"/>
  <c r="A6272" i="1"/>
  <c r="B6272" i="1"/>
  <c r="C6272" i="1"/>
  <c r="D6272" i="1"/>
  <c r="E6272" i="1"/>
  <c r="F6272" i="1"/>
  <c r="H6272" i="1"/>
  <c r="A6273" i="1"/>
  <c r="B6273" i="1"/>
  <c r="C6273" i="1"/>
  <c r="D6273" i="1"/>
  <c r="E6273" i="1"/>
  <c r="F6273" i="1"/>
  <c r="H6273" i="1"/>
  <c r="A6274" i="1"/>
  <c r="B6274" i="1"/>
  <c r="C6274" i="1"/>
  <c r="D6274" i="1"/>
  <c r="E6274" i="1"/>
  <c r="F6274" i="1"/>
  <c r="H6274" i="1"/>
  <c r="A6275" i="1"/>
  <c r="B6275" i="1"/>
  <c r="C6275" i="1"/>
  <c r="D6275" i="1"/>
  <c r="E6275" i="1"/>
  <c r="F6275" i="1"/>
  <c r="H6275" i="1"/>
  <c r="A6276" i="1"/>
  <c r="B6276" i="1"/>
  <c r="C6276" i="1"/>
  <c r="D6276" i="1"/>
  <c r="E6276" i="1"/>
  <c r="F6276" i="1"/>
  <c r="H6276" i="1"/>
  <c r="A6277" i="1"/>
  <c r="B6277" i="1"/>
  <c r="C6277" i="1"/>
  <c r="D6277" i="1"/>
  <c r="E6277" i="1"/>
  <c r="F6277" i="1"/>
  <c r="H6277" i="1"/>
  <c r="A6278" i="1"/>
  <c r="B6278" i="1"/>
  <c r="C6278" i="1"/>
  <c r="D6278" i="1"/>
  <c r="E6278" i="1"/>
  <c r="F6278" i="1"/>
  <c r="H6278" i="1"/>
  <c r="A6279" i="1"/>
  <c r="B6279" i="1"/>
  <c r="C6279" i="1"/>
  <c r="D6279" i="1"/>
  <c r="E6279" i="1"/>
  <c r="F6279" i="1"/>
  <c r="H6279" i="1"/>
  <c r="A6280" i="1"/>
  <c r="B6280" i="1"/>
  <c r="C6280" i="1"/>
  <c r="D6280" i="1"/>
  <c r="E6280" i="1"/>
  <c r="F6280" i="1"/>
  <c r="H6280" i="1"/>
  <c r="A6281" i="1"/>
  <c r="B6281" i="1"/>
  <c r="C6281" i="1"/>
  <c r="D6281" i="1"/>
  <c r="E6281" i="1"/>
  <c r="F6281" i="1"/>
  <c r="H6281" i="1"/>
  <c r="A6282" i="1"/>
  <c r="B6282" i="1"/>
  <c r="C6282" i="1"/>
  <c r="D6282" i="1"/>
  <c r="E6282" i="1"/>
  <c r="F6282" i="1"/>
  <c r="H6282" i="1"/>
  <c r="A6283" i="1"/>
  <c r="B6283" i="1"/>
  <c r="C6283" i="1"/>
  <c r="D6283" i="1"/>
  <c r="E6283" i="1"/>
  <c r="F6283" i="1"/>
  <c r="H6283" i="1"/>
  <c r="A6284" i="1"/>
  <c r="B6284" i="1"/>
  <c r="C6284" i="1"/>
  <c r="D6284" i="1"/>
  <c r="E6284" i="1"/>
  <c r="F6284" i="1"/>
  <c r="H6284" i="1"/>
  <c r="A6285" i="1"/>
  <c r="B6285" i="1"/>
  <c r="C6285" i="1"/>
  <c r="D6285" i="1"/>
  <c r="E6285" i="1"/>
  <c r="F6285" i="1"/>
  <c r="H6285" i="1"/>
  <c r="A6286" i="1"/>
  <c r="B6286" i="1"/>
  <c r="C6286" i="1"/>
  <c r="D6286" i="1"/>
  <c r="E6286" i="1"/>
  <c r="F6286" i="1"/>
  <c r="H6286" i="1"/>
  <c r="A6287" i="1"/>
  <c r="B6287" i="1"/>
  <c r="C6287" i="1"/>
  <c r="D6287" i="1"/>
  <c r="E6287" i="1"/>
  <c r="F6287" i="1"/>
  <c r="H6287" i="1"/>
  <c r="A6288" i="1"/>
  <c r="B6288" i="1"/>
  <c r="C6288" i="1"/>
  <c r="D6288" i="1"/>
  <c r="E6288" i="1"/>
  <c r="F6288" i="1"/>
  <c r="H6288" i="1"/>
  <c r="A6289" i="1"/>
  <c r="B6289" i="1"/>
  <c r="C6289" i="1"/>
  <c r="D6289" i="1"/>
  <c r="E6289" i="1"/>
  <c r="F6289" i="1"/>
  <c r="H6289" i="1"/>
  <c r="A6290" i="1"/>
  <c r="B6290" i="1"/>
  <c r="C6290" i="1"/>
  <c r="D6290" i="1"/>
  <c r="E6290" i="1"/>
  <c r="F6290" i="1"/>
  <c r="H6290" i="1"/>
  <c r="A6291" i="1"/>
  <c r="B6291" i="1"/>
  <c r="C6291" i="1"/>
  <c r="D6291" i="1"/>
  <c r="E6291" i="1"/>
  <c r="F6291" i="1"/>
  <c r="H6291" i="1"/>
  <c r="A6292" i="1"/>
  <c r="B6292" i="1"/>
  <c r="C6292" i="1"/>
  <c r="D6292" i="1"/>
  <c r="E6292" i="1"/>
  <c r="F6292" i="1"/>
  <c r="H6292" i="1"/>
  <c r="A6293" i="1"/>
  <c r="B6293" i="1"/>
  <c r="C6293" i="1"/>
  <c r="D6293" i="1"/>
  <c r="E6293" i="1"/>
  <c r="F6293" i="1"/>
  <c r="H6293" i="1"/>
  <c r="A6294" i="1"/>
  <c r="B6294" i="1"/>
  <c r="C6294" i="1"/>
  <c r="D6294" i="1"/>
  <c r="E6294" i="1"/>
  <c r="F6294" i="1"/>
  <c r="H6294" i="1"/>
  <c r="A6295" i="1"/>
  <c r="B6295" i="1"/>
  <c r="C6295" i="1"/>
  <c r="D6295" i="1"/>
  <c r="E6295" i="1"/>
  <c r="F6295" i="1"/>
  <c r="H6295" i="1"/>
  <c r="A6296" i="1"/>
  <c r="B6296" i="1"/>
  <c r="C6296" i="1"/>
  <c r="D6296" i="1"/>
  <c r="E6296" i="1"/>
  <c r="F6296" i="1"/>
  <c r="H6296" i="1"/>
  <c r="A6297" i="1"/>
  <c r="B6297" i="1"/>
  <c r="C6297" i="1"/>
  <c r="D6297" i="1"/>
  <c r="E6297" i="1"/>
  <c r="F6297" i="1"/>
  <c r="H6297" i="1"/>
  <c r="A6298" i="1"/>
  <c r="B6298" i="1"/>
  <c r="C6298" i="1"/>
  <c r="D6298" i="1"/>
  <c r="E6298" i="1"/>
  <c r="F6298" i="1"/>
  <c r="H6298" i="1"/>
  <c r="A6299" i="1"/>
  <c r="B6299" i="1"/>
  <c r="C6299" i="1"/>
  <c r="D6299" i="1"/>
  <c r="E6299" i="1"/>
  <c r="F6299" i="1"/>
  <c r="H6299" i="1"/>
  <c r="A6300" i="1"/>
  <c r="B6300" i="1"/>
  <c r="C6300" i="1"/>
  <c r="D6300" i="1"/>
  <c r="E6300" i="1"/>
  <c r="F6300" i="1"/>
  <c r="H6300" i="1"/>
  <c r="A6301" i="1"/>
  <c r="B6301" i="1"/>
  <c r="C6301" i="1"/>
  <c r="D6301" i="1"/>
  <c r="E6301" i="1"/>
  <c r="F6301" i="1"/>
  <c r="H6301" i="1"/>
  <c r="A6302" i="1"/>
  <c r="B6302" i="1"/>
  <c r="C6302" i="1"/>
  <c r="D6302" i="1"/>
  <c r="E6302" i="1"/>
  <c r="F6302" i="1"/>
  <c r="H6302" i="1"/>
  <c r="A6303" i="1"/>
  <c r="B6303" i="1"/>
  <c r="C6303" i="1"/>
  <c r="D6303" i="1"/>
  <c r="E6303" i="1"/>
  <c r="F6303" i="1"/>
  <c r="H6303" i="1"/>
  <c r="A6304" i="1"/>
  <c r="B6304" i="1"/>
  <c r="C6304" i="1"/>
  <c r="D6304" i="1"/>
  <c r="E6304" i="1"/>
  <c r="F6304" i="1"/>
  <c r="H6304" i="1"/>
  <c r="A6305" i="1"/>
  <c r="B6305" i="1"/>
  <c r="C6305" i="1"/>
  <c r="D6305" i="1"/>
  <c r="E6305" i="1"/>
  <c r="F6305" i="1"/>
  <c r="H6305" i="1"/>
  <c r="A6306" i="1"/>
  <c r="B6306" i="1"/>
  <c r="C6306" i="1"/>
  <c r="D6306" i="1"/>
  <c r="E6306" i="1"/>
  <c r="F6306" i="1"/>
  <c r="H6306" i="1"/>
  <c r="A6307" i="1"/>
  <c r="B6307" i="1"/>
  <c r="C6307" i="1"/>
  <c r="D6307" i="1"/>
  <c r="E6307" i="1"/>
  <c r="F6307" i="1"/>
  <c r="H6307" i="1"/>
  <c r="A6308" i="1"/>
  <c r="B6308" i="1"/>
  <c r="C6308" i="1"/>
  <c r="D6308" i="1"/>
  <c r="E6308" i="1"/>
  <c r="F6308" i="1"/>
  <c r="H6308" i="1"/>
  <c r="A6309" i="1"/>
  <c r="B6309" i="1"/>
  <c r="C6309" i="1"/>
  <c r="D6309" i="1"/>
  <c r="E6309" i="1"/>
  <c r="F6309" i="1"/>
  <c r="H6309" i="1"/>
  <c r="A6310" i="1"/>
  <c r="B6310" i="1"/>
  <c r="C6310" i="1"/>
  <c r="D6310" i="1"/>
  <c r="E6310" i="1"/>
  <c r="F6310" i="1"/>
  <c r="H6310" i="1"/>
  <c r="A6311" i="1"/>
  <c r="B6311" i="1"/>
  <c r="C6311" i="1"/>
  <c r="D6311" i="1"/>
  <c r="E6311" i="1"/>
  <c r="F6311" i="1"/>
  <c r="H6311" i="1"/>
  <c r="A6312" i="1"/>
  <c r="B6312" i="1"/>
  <c r="C6312" i="1"/>
  <c r="D6312" i="1"/>
  <c r="E6312" i="1"/>
  <c r="F6312" i="1"/>
  <c r="H6312" i="1"/>
  <c r="A6313" i="1"/>
  <c r="B6313" i="1"/>
  <c r="C6313" i="1"/>
  <c r="D6313" i="1"/>
  <c r="E6313" i="1"/>
  <c r="F6313" i="1"/>
  <c r="H6313" i="1"/>
  <c r="A6314" i="1"/>
  <c r="B6314" i="1"/>
  <c r="C6314" i="1"/>
  <c r="D6314" i="1"/>
  <c r="E6314" i="1"/>
  <c r="F6314" i="1"/>
  <c r="H6314" i="1"/>
  <c r="A6315" i="1"/>
  <c r="B6315" i="1"/>
  <c r="C6315" i="1"/>
  <c r="D6315" i="1"/>
  <c r="E6315" i="1"/>
  <c r="F6315" i="1"/>
  <c r="H6315" i="1"/>
  <c r="A6316" i="1"/>
  <c r="B6316" i="1"/>
  <c r="C6316" i="1"/>
  <c r="D6316" i="1"/>
  <c r="E6316" i="1"/>
  <c r="F6316" i="1"/>
  <c r="H6316" i="1"/>
  <c r="A6317" i="1"/>
  <c r="B6317" i="1"/>
  <c r="C6317" i="1"/>
  <c r="D6317" i="1"/>
  <c r="E6317" i="1"/>
  <c r="F6317" i="1"/>
  <c r="H6317" i="1"/>
  <c r="A6318" i="1"/>
  <c r="B6318" i="1"/>
  <c r="C6318" i="1"/>
  <c r="D6318" i="1"/>
  <c r="E6318" i="1"/>
  <c r="F6318" i="1"/>
  <c r="H6318" i="1"/>
  <c r="A6319" i="1"/>
  <c r="B6319" i="1"/>
  <c r="C6319" i="1"/>
  <c r="D6319" i="1"/>
  <c r="E6319" i="1"/>
  <c r="F6319" i="1"/>
  <c r="H6319" i="1"/>
  <c r="A6320" i="1"/>
  <c r="B6320" i="1"/>
  <c r="C6320" i="1"/>
  <c r="D6320" i="1"/>
  <c r="E6320" i="1"/>
  <c r="F6320" i="1"/>
  <c r="H6320" i="1"/>
  <c r="A6321" i="1"/>
  <c r="B6321" i="1"/>
  <c r="C6321" i="1"/>
  <c r="D6321" i="1"/>
  <c r="E6321" i="1"/>
  <c r="F6321" i="1"/>
  <c r="H6321" i="1"/>
  <c r="A6322" i="1"/>
  <c r="B6322" i="1"/>
  <c r="C6322" i="1"/>
  <c r="D6322" i="1"/>
  <c r="E6322" i="1"/>
  <c r="F6322" i="1"/>
  <c r="H6322" i="1"/>
  <c r="A6323" i="1"/>
  <c r="B6323" i="1"/>
  <c r="C6323" i="1"/>
  <c r="D6323" i="1"/>
  <c r="E6323" i="1"/>
  <c r="F6323" i="1"/>
  <c r="H6323" i="1"/>
  <c r="A6324" i="1"/>
  <c r="B6324" i="1"/>
  <c r="C6324" i="1"/>
  <c r="D6324" i="1"/>
  <c r="E6324" i="1"/>
  <c r="F6324" i="1"/>
  <c r="H6324" i="1"/>
  <c r="A6325" i="1"/>
  <c r="B6325" i="1"/>
  <c r="C6325" i="1"/>
  <c r="D6325" i="1"/>
  <c r="E6325" i="1"/>
  <c r="F6325" i="1"/>
  <c r="H6325" i="1"/>
  <c r="A6326" i="1"/>
  <c r="B6326" i="1"/>
  <c r="C6326" i="1"/>
  <c r="D6326" i="1"/>
  <c r="E6326" i="1"/>
  <c r="F6326" i="1"/>
  <c r="H6326" i="1"/>
  <c r="A6327" i="1"/>
  <c r="B6327" i="1"/>
  <c r="C6327" i="1"/>
  <c r="D6327" i="1"/>
  <c r="E6327" i="1"/>
  <c r="F6327" i="1"/>
  <c r="H6327" i="1"/>
  <c r="A6328" i="1"/>
  <c r="B6328" i="1"/>
  <c r="C6328" i="1"/>
  <c r="D6328" i="1"/>
  <c r="E6328" i="1"/>
  <c r="F6328" i="1"/>
  <c r="H6328" i="1"/>
  <c r="A6329" i="1"/>
  <c r="B6329" i="1"/>
  <c r="C6329" i="1"/>
  <c r="D6329" i="1"/>
  <c r="E6329" i="1"/>
  <c r="F6329" i="1"/>
  <c r="H6329" i="1"/>
  <c r="A6330" i="1"/>
  <c r="B6330" i="1"/>
  <c r="C6330" i="1"/>
  <c r="D6330" i="1"/>
  <c r="E6330" i="1"/>
  <c r="F6330" i="1"/>
  <c r="H6330" i="1"/>
  <c r="A6331" i="1"/>
  <c r="B6331" i="1"/>
  <c r="C6331" i="1"/>
  <c r="D6331" i="1"/>
  <c r="E6331" i="1"/>
  <c r="F6331" i="1"/>
  <c r="H6331" i="1"/>
  <c r="A6332" i="1"/>
  <c r="B6332" i="1"/>
  <c r="C6332" i="1"/>
  <c r="D6332" i="1"/>
  <c r="E6332" i="1"/>
  <c r="F6332" i="1"/>
  <c r="H6332" i="1"/>
  <c r="A6333" i="1"/>
  <c r="B6333" i="1"/>
  <c r="C6333" i="1"/>
  <c r="D6333" i="1"/>
  <c r="E6333" i="1"/>
  <c r="F6333" i="1"/>
  <c r="H6333" i="1"/>
  <c r="A6334" i="1"/>
  <c r="B6334" i="1"/>
  <c r="C6334" i="1"/>
  <c r="D6334" i="1"/>
  <c r="E6334" i="1"/>
  <c r="F6334" i="1"/>
  <c r="H6334" i="1"/>
  <c r="A6335" i="1"/>
  <c r="B6335" i="1"/>
  <c r="C6335" i="1"/>
  <c r="D6335" i="1"/>
  <c r="E6335" i="1"/>
  <c r="F6335" i="1"/>
  <c r="H6335" i="1"/>
  <c r="A6336" i="1"/>
  <c r="B6336" i="1"/>
  <c r="C6336" i="1"/>
  <c r="D6336" i="1"/>
  <c r="E6336" i="1"/>
  <c r="F6336" i="1"/>
  <c r="H6336" i="1"/>
  <c r="A6337" i="1"/>
  <c r="B6337" i="1"/>
  <c r="C6337" i="1"/>
  <c r="D6337" i="1"/>
  <c r="E6337" i="1"/>
  <c r="F6337" i="1"/>
  <c r="H6337" i="1"/>
  <c r="A6338" i="1"/>
  <c r="B6338" i="1"/>
  <c r="C6338" i="1"/>
  <c r="D6338" i="1"/>
  <c r="E6338" i="1"/>
  <c r="F6338" i="1"/>
  <c r="H6338" i="1"/>
  <c r="A6339" i="1"/>
  <c r="B6339" i="1"/>
  <c r="C6339" i="1"/>
  <c r="D6339" i="1"/>
  <c r="E6339" i="1"/>
  <c r="F6339" i="1"/>
  <c r="H6339" i="1"/>
  <c r="A6340" i="1"/>
  <c r="B6340" i="1"/>
  <c r="C6340" i="1"/>
  <c r="D6340" i="1"/>
  <c r="E6340" i="1"/>
  <c r="F6340" i="1"/>
  <c r="H6340" i="1"/>
  <c r="A6341" i="1"/>
  <c r="B6341" i="1"/>
  <c r="C6341" i="1"/>
  <c r="D6341" i="1"/>
  <c r="E6341" i="1"/>
  <c r="F6341" i="1"/>
  <c r="H6341" i="1"/>
  <c r="A6342" i="1"/>
  <c r="B6342" i="1"/>
  <c r="C6342" i="1"/>
  <c r="D6342" i="1"/>
  <c r="E6342" i="1"/>
  <c r="F6342" i="1"/>
  <c r="H6342" i="1"/>
  <c r="A6343" i="1"/>
  <c r="B6343" i="1"/>
  <c r="C6343" i="1"/>
  <c r="D6343" i="1"/>
  <c r="E6343" i="1"/>
  <c r="F6343" i="1"/>
  <c r="H6343" i="1"/>
  <c r="A6344" i="1"/>
  <c r="B6344" i="1"/>
  <c r="C6344" i="1"/>
  <c r="D6344" i="1"/>
  <c r="E6344" i="1"/>
  <c r="F6344" i="1"/>
  <c r="H6344" i="1"/>
  <c r="A6345" i="1"/>
  <c r="B6345" i="1"/>
  <c r="C6345" i="1"/>
  <c r="D6345" i="1"/>
  <c r="E6345" i="1"/>
  <c r="F6345" i="1"/>
  <c r="H6345" i="1"/>
  <c r="A6346" i="1"/>
  <c r="B6346" i="1"/>
  <c r="C6346" i="1"/>
  <c r="D6346" i="1"/>
  <c r="E6346" i="1"/>
  <c r="F6346" i="1"/>
  <c r="H6346" i="1"/>
  <c r="A6347" i="1"/>
  <c r="B6347" i="1"/>
  <c r="C6347" i="1"/>
  <c r="D6347" i="1"/>
  <c r="E6347" i="1"/>
  <c r="F6347" i="1"/>
  <c r="H6347" i="1"/>
  <c r="A6348" i="1"/>
  <c r="B6348" i="1"/>
  <c r="C6348" i="1"/>
  <c r="D6348" i="1"/>
  <c r="E6348" i="1"/>
  <c r="F6348" i="1"/>
  <c r="H6348" i="1"/>
  <c r="A6349" i="1"/>
  <c r="B6349" i="1"/>
  <c r="C6349" i="1"/>
  <c r="D6349" i="1"/>
  <c r="E6349" i="1"/>
  <c r="F6349" i="1"/>
  <c r="H6349" i="1"/>
  <c r="A6350" i="1"/>
  <c r="B6350" i="1"/>
  <c r="C6350" i="1"/>
  <c r="D6350" i="1"/>
  <c r="E6350" i="1"/>
  <c r="F6350" i="1"/>
  <c r="H6350" i="1"/>
  <c r="A6351" i="1"/>
  <c r="B6351" i="1"/>
  <c r="C6351" i="1"/>
  <c r="D6351" i="1"/>
  <c r="E6351" i="1"/>
  <c r="F6351" i="1"/>
  <c r="H6351" i="1"/>
  <c r="A6352" i="1"/>
  <c r="B6352" i="1"/>
  <c r="C6352" i="1"/>
  <c r="D6352" i="1"/>
  <c r="E6352" i="1"/>
  <c r="F6352" i="1"/>
  <c r="H6352" i="1"/>
  <c r="A6353" i="1"/>
  <c r="B6353" i="1"/>
  <c r="C6353" i="1"/>
  <c r="D6353" i="1"/>
  <c r="E6353" i="1"/>
  <c r="F6353" i="1"/>
  <c r="H6353" i="1"/>
  <c r="A6354" i="1"/>
  <c r="B6354" i="1"/>
  <c r="C6354" i="1"/>
  <c r="D6354" i="1"/>
  <c r="E6354" i="1"/>
  <c r="F6354" i="1"/>
  <c r="H6354" i="1"/>
  <c r="A6355" i="1"/>
  <c r="B6355" i="1"/>
  <c r="C6355" i="1"/>
  <c r="D6355" i="1"/>
  <c r="E6355" i="1"/>
  <c r="F6355" i="1"/>
  <c r="H6355" i="1"/>
  <c r="A6356" i="1"/>
  <c r="B6356" i="1"/>
  <c r="C6356" i="1"/>
  <c r="D6356" i="1"/>
  <c r="E6356" i="1"/>
  <c r="F6356" i="1"/>
  <c r="H6356" i="1"/>
  <c r="A6357" i="1"/>
  <c r="B6357" i="1"/>
  <c r="C6357" i="1"/>
  <c r="D6357" i="1"/>
  <c r="E6357" i="1"/>
  <c r="F6357" i="1"/>
  <c r="H6357" i="1"/>
  <c r="A6358" i="1"/>
  <c r="B6358" i="1"/>
  <c r="C6358" i="1"/>
  <c r="D6358" i="1"/>
  <c r="E6358" i="1"/>
  <c r="F6358" i="1"/>
  <c r="H6358" i="1"/>
  <c r="A6359" i="1"/>
  <c r="B6359" i="1"/>
  <c r="C6359" i="1"/>
  <c r="D6359" i="1"/>
  <c r="E6359" i="1"/>
  <c r="F6359" i="1"/>
  <c r="H6359" i="1"/>
  <c r="A6360" i="1"/>
  <c r="B6360" i="1"/>
  <c r="C6360" i="1"/>
  <c r="D6360" i="1"/>
  <c r="E6360" i="1"/>
  <c r="F6360" i="1"/>
  <c r="H6360" i="1"/>
  <c r="A6361" i="1"/>
  <c r="B6361" i="1"/>
  <c r="C6361" i="1"/>
  <c r="D6361" i="1"/>
  <c r="E6361" i="1"/>
  <c r="F6361" i="1"/>
  <c r="H6361" i="1"/>
  <c r="A6362" i="1"/>
  <c r="B6362" i="1"/>
  <c r="C6362" i="1"/>
  <c r="D6362" i="1"/>
  <c r="E6362" i="1"/>
  <c r="F6362" i="1"/>
  <c r="H6362" i="1"/>
  <c r="A6363" i="1"/>
  <c r="B6363" i="1"/>
  <c r="C6363" i="1"/>
  <c r="D6363" i="1"/>
  <c r="E6363" i="1"/>
  <c r="F6363" i="1"/>
  <c r="H6363" i="1"/>
  <c r="A6364" i="1"/>
  <c r="B6364" i="1"/>
  <c r="C6364" i="1"/>
  <c r="D6364" i="1"/>
  <c r="E6364" i="1"/>
  <c r="F6364" i="1"/>
  <c r="H6364" i="1"/>
  <c r="A6365" i="1"/>
  <c r="B6365" i="1"/>
  <c r="C6365" i="1"/>
  <c r="D6365" i="1"/>
  <c r="E6365" i="1"/>
  <c r="F6365" i="1"/>
  <c r="H6365" i="1"/>
  <c r="A6366" i="1"/>
  <c r="B6366" i="1"/>
  <c r="C6366" i="1"/>
  <c r="D6366" i="1"/>
  <c r="E6366" i="1"/>
  <c r="F6366" i="1"/>
  <c r="H6366" i="1"/>
  <c r="A6367" i="1"/>
  <c r="B6367" i="1"/>
  <c r="C6367" i="1"/>
  <c r="D6367" i="1"/>
  <c r="E6367" i="1"/>
  <c r="F6367" i="1"/>
  <c r="H6367" i="1"/>
  <c r="A6368" i="1"/>
  <c r="B6368" i="1"/>
  <c r="C6368" i="1"/>
  <c r="D6368" i="1"/>
  <c r="E6368" i="1"/>
  <c r="F6368" i="1"/>
  <c r="H6368" i="1"/>
  <c r="A6369" i="1"/>
  <c r="B6369" i="1"/>
  <c r="C6369" i="1"/>
  <c r="D6369" i="1"/>
  <c r="E6369" i="1"/>
  <c r="F6369" i="1"/>
  <c r="H6369" i="1"/>
  <c r="A6370" i="1"/>
  <c r="B6370" i="1"/>
  <c r="C6370" i="1"/>
  <c r="D6370" i="1"/>
  <c r="E6370" i="1"/>
  <c r="F6370" i="1"/>
  <c r="H6370" i="1"/>
  <c r="A6371" i="1"/>
  <c r="B6371" i="1"/>
  <c r="C6371" i="1"/>
  <c r="D6371" i="1"/>
  <c r="E6371" i="1"/>
  <c r="F6371" i="1"/>
  <c r="H6371" i="1"/>
  <c r="A6372" i="1"/>
  <c r="B6372" i="1"/>
  <c r="C6372" i="1"/>
  <c r="D6372" i="1"/>
  <c r="E6372" i="1"/>
  <c r="F6372" i="1"/>
  <c r="H6372" i="1"/>
  <c r="A6373" i="1"/>
  <c r="B6373" i="1"/>
  <c r="C6373" i="1"/>
  <c r="D6373" i="1"/>
  <c r="E6373" i="1"/>
  <c r="F6373" i="1"/>
  <c r="H6373" i="1"/>
  <c r="A6374" i="1"/>
  <c r="B6374" i="1"/>
  <c r="C6374" i="1"/>
  <c r="D6374" i="1"/>
  <c r="E6374" i="1"/>
  <c r="F6374" i="1"/>
  <c r="H6374" i="1"/>
  <c r="A6375" i="1"/>
  <c r="B6375" i="1"/>
  <c r="C6375" i="1"/>
  <c r="D6375" i="1"/>
  <c r="E6375" i="1"/>
  <c r="F6375" i="1"/>
  <c r="H6375" i="1"/>
  <c r="A6376" i="1"/>
  <c r="B6376" i="1"/>
  <c r="C6376" i="1"/>
  <c r="D6376" i="1"/>
  <c r="E6376" i="1"/>
  <c r="F6376" i="1"/>
  <c r="H6376" i="1"/>
  <c r="A6377" i="1"/>
  <c r="B6377" i="1"/>
  <c r="C6377" i="1"/>
  <c r="D6377" i="1"/>
  <c r="E6377" i="1"/>
  <c r="F6377" i="1"/>
  <c r="H6377" i="1"/>
  <c r="A6378" i="1"/>
  <c r="B6378" i="1"/>
  <c r="C6378" i="1"/>
  <c r="D6378" i="1"/>
  <c r="E6378" i="1"/>
  <c r="F6378" i="1"/>
  <c r="H6378" i="1"/>
  <c r="A6379" i="1"/>
  <c r="B6379" i="1"/>
  <c r="C6379" i="1"/>
  <c r="D6379" i="1"/>
  <c r="E6379" i="1"/>
  <c r="F6379" i="1"/>
  <c r="H6379" i="1"/>
  <c r="A6380" i="1"/>
  <c r="B6380" i="1"/>
  <c r="C6380" i="1"/>
  <c r="D6380" i="1"/>
  <c r="E6380" i="1"/>
  <c r="F6380" i="1"/>
  <c r="H6380" i="1"/>
  <c r="A6381" i="1"/>
  <c r="B6381" i="1"/>
  <c r="C6381" i="1"/>
  <c r="D6381" i="1"/>
  <c r="E6381" i="1"/>
  <c r="F6381" i="1"/>
  <c r="H6381" i="1"/>
  <c r="A6382" i="1"/>
  <c r="B6382" i="1"/>
  <c r="C6382" i="1"/>
  <c r="D6382" i="1"/>
  <c r="E6382" i="1"/>
  <c r="F6382" i="1"/>
  <c r="H6382" i="1"/>
  <c r="A6383" i="1"/>
  <c r="B6383" i="1"/>
  <c r="C6383" i="1"/>
  <c r="D6383" i="1"/>
  <c r="E6383" i="1"/>
  <c r="F6383" i="1"/>
  <c r="H6383" i="1"/>
  <c r="A6384" i="1"/>
  <c r="B6384" i="1"/>
  <c r="C6384" i="1"/>
  <c r="D6384" i="1"/>
  <c r="E6384" i="1"/>
  <c r="F6384" i="1"/>
  <c r="H6384" i="1"/>
  <c r="A6385" i="1"/>
  <c r="B6385" i="1"/>
  <c r="C6385" i="1"/>
  <c r="D6385" i="1"/>
  <c r="E6385" i="1"/>
  <c r="F6385" i="1"/>
  <c r="H6385" i="1"/>
  <c r="A6386" i="1"/>
  <c r="B6386" i="1"/>
  <c r="C6386" i="1"/>
  <c r="D6386" i="1"/>
  <c r="E6386" i="1"/>
  <c r="F6386" i="1"/>
  <c r="H6386" i="1"/>
  <c r="A6387" i="1"/>
  <c r="B6387" i="1"/>
  <c r="C6387" i="1"/>
  <c r="D6387" i="1"/>
  <c r="E6387" i="1"/>
  <c r="F6387" i="1"/>
  <c r="H6387" i="1"/>
  <c r="A6388" i="1"/>
  <c r="B6388" i="1"/>
  <c r="C6388" i="1"/>
  <c r="D6388" i="1"/>
  <c r="E6388" i="1"/>
  <c r="F6388" i="1"/>
  <c r="H6388" i="1"/>
  <c r="A6389" i="1"/>
  <c r="B6389" i="1"/>
  <c r="C6389" i="1"/>
  <c r="D6389" i="1"/>
  <c r="E6389" i="1"/>
  <c r="F6389" i="1"/>
  <c r="H6389" i="1"/>
  <c r="A6390" i="1"/>
  <c r="B6390" i="1"/>
  <c r="C6390" i="1"/>
  <c r="D6390" i="1"/>
  <c r="E6390" i="1"/>
  <c r="F6390" i="1"/>
  <c r="H6390" i="1"/>
  <c r="A6391" i="1"/>
  <c r="B6391" i="1"/>
  <c r="C6391" i="1"/>
  <c r="D6391" i="1"/>
  <c r="E6391" i="1"/>
  <c r="F6391" i="1"/>
  <c r="H6391" i="1"/>
  <c r="A6392" i="1"/>
  <c r="B6392" i="1"/>
  <c r="C6392" i="1"/>
  <c r="D6392" i="1"/>
  <c r="E6392" i="1"/>
  <c r="F6392" i="1"/>
  <c r="H6392" i="1"/>
  <c r="A6393" i="1"/>
  <c r="B6393" i="1"/>
  <c r="C6393" i="1"/>
  <c r="D6393" i="1"/>
  <c r="E6393" i="1"/>
  <c r="F6393" i="1"/>
  <c r="H6393" i="1"/>
  <c r="A6394" i="1"/>
  <c r="B6394" i="1"/>
  <c r="C6394" i="1"/>
  <c r="D6394" i="1"/>
  <c r="E6394" i="1"/>
  <c r="F6394" i="1"/>
  <c r="H6394" i="1"/>
  <c r="A6395" i="1"/>
  <c r="B6395" i="1"/>
  <c r="C6395" i="1"/>
  <c r="D6395" i="1"/>
  <c r="E6395" i="1"/>
  <c r="F6395" i="1"/>
  <c r="H6395" i="1"/>
  <c r="A6396" i="1"/>
  <c r="B6396" i="1"/>
  <c r="C6396" i="1"/>
  <c r="D6396" i="1"/>
  <c r="E6396" i="1"/>
  <c r="F6396" i="1"/>
  <c r="H6396" i="1"/>
  <c r="A6397" i="1"/>
  <c r="B6397" i="1"/>
  <c r="C6397" i="1"/>
  <c r="D6397" i="1"/>
  <c r="E6397" i="1"/>
  <c r="F6397" i="1"/>
  <c r="H6397" i="1"/>
  <c r="A6398" i="1"/>
  <c r="B6398" i="1"/>
  <c r="C6398" i="1"/>
  <c r="D6398" i="1"/>
  <c r="E6398" i="1"/>
  <c r="F6398" i="1"/>
  <c r="H6398" i="1"/>
  <c r="A6399" i="1"/>
  <c r="B6399" i="1"/>
  <c r="C6399" i="1"/>
  <c r="D6399" i="1"/>
  <c r="E6399" i="1"/>
  <c r="F6399" i="1"/>
  <c r="H6399" i="1"/>
  <c r="A6400" i="1"/>
  <c r="B6400" i="1"/>
  <c r="C6400" i="1"/>
  <c r="D6400" i="1"/>
  <c r="E6400" i="1"/>
  <c r="F6400" i="1"/>
  <c r="H6400" i="1"/>
  <c r="A6401" i="1"/>
  <c r="B6401" i="1"/>
  <c r="C6401" i="1"/>
  <c r="D6401" i="1"/>
  <c r="E6401" i="1"/>
  <c r="F6401" i="1"/>
  <c r="H6401" i="1"/>
  <c r="A6402" i="1"/>
  <c r="B6402" i="1"/>
  <c r="C6402" i="1"/>
  <c r="D6402" i="1"/>
  <c r="E6402" i="1"/>
  <c r="F6402" i="1"/>
  <c r="H6402" i="1"/>
  <c r="A6403" i="1"/>
  <c r="B6403" i="1"/>
  <c r="C6403" i="1"/>
  <c r="D6403" i="1"/>
  <c r="E6403" i="1"/>
  <c r="F6403" i="1"/>
  <c r="H6403" i="1"/>
  <c r="A6404" i="1"/>
  <c r="B6404" i="1"/>
  <c r="C6404" i="1"/>
  <c r="D6404" i="1"/>
  <c r="E6404" i="1"/>
  <c r="F6404" i="1"/>
  <c r="H6404" i="1"/>
  <c r="A6405" i="1"/>
  <c r="B6405" i="1"/>
  <c r="C6405" i="1"/>
  <c r="D6405" i="1"/>
  <c r="E6405" i="1"/>
  <c r="F6405" i="1"/>
  <c r="H6405" i="1"/>
  <c r="A6406" i="1"/>
  <c r="B6406" i="1"/>
  <c r="C6406" i="1"/>
  <c r="D6406" i="1"/>
  <c r="E6406" i="1"/>
  <c r="F6406" i="1"/>
  <c r="H6406" i="1"/>
  <c r="A6407" i="1"/>
  <c r="B6407" i="1"/>
  <c r="C6407" i="1"/>
  <c r="D6407" i="1"/>
  <c r="E6407" i="1"/>
  <c r="F6407" i="1"/>
  <c r="H6407" i="1"/>
  <c r="A6408" i="1"/>
  <c r="B6408" i="1"/>
  <c r="C6408" i="1"/>
  <c r="D6408" i="1"/>
  <c r="E6408" i="1"/>
  <c r="F6408" i="1"/>
  <c r="H6408" i="1"/>
  <c r="A6409" i="1"/>
  <c r="B6409" i="1"/>
  <c r="C6409" i="1"/>
  <c r="D6409" i="1"/>
  <c r="E6409" i="1"/>
  <c r="F6409" i="1"/>
  <c r="H6409" i="1"/>
  <c r="A6410" i="1"/>
  <c r="B6410" i="1"/>
  <c r="C6410" i="1"/>
  <c r="D6410" i="1"/>
  <c r="E6410" i="1"/>
  <c r="F6410" i="1"/>
  <c r="H6410" i="1"/>
  <c r="A6411" i="1"/>
  <c r="B6411" i="1"/>
  <c r="C6411" i="1"/>
  <c r="D6411" i="1"/>
  <c r="E6411" i="1"/>
  <c r="F6411" i="1"/>
  <c r="H6411" i="1"/>
  <c r="A6412" i="1"/>
  <c r="B6412" i="1"/>
  <c r="C6412" i="1"/>
  <c r="D6412" i="1"/>
  <c r="E6412" i="1"/>
  <c r="F6412" i="1"/>
  <c r="H6412" i="1"/>
  <c r="A6413" i="1"/>
  <c r="B6413" i="1"/>
  <c r="C6413" i="1"/>
  <c r="D6413" i="1"/>
  <c r="E6413" i="1"/>
  <c r="F6413" i="1"/>
  <c r="H6413" i="1"/>
  <c r="A6414" i="1"/>
  <c r="B6414" i="1"/>
  <c r="C6414" i="1"/>
  <c r="D6414" i="1"/>
  <c r="E6414" i="1"/>
  <c r="F6414" i="1"/>
  <c r="H6414" i="1"/>
  <c r="A6415" i="1"/>
  <c r="B6415" i="1"/>
  <c r="C6415" i="1"/>
  <c r="D6415" i="1"/>
  <c r="E6415" i="1"/>
  <c r="F6415" i="1"/>
  <c r="H6415" i="1"/>
  <c r="A6416" i="1"/>
  <c r="B6416" i="1"/>
  <c r="C6416" i="1"/>
  <c r="D6416" i="1"/>
  <c r="E6416" i="1"/>
  <c r="F6416" i="1"/>
  <c r="H6416" i="1"/>
  <c r="A6417" i="1"/>
  <c r="B6417" i="1"/>
  <c r="C6417" i="1"/>
  <c r="D6417" i="1"/>
  <c r="E6417" i="1"/>
  <c r="F6417" i="1"/>
  <c r="H6417" i="1"/>
  <c r="A6418" i="1"/>
  <c r="B6418" i="1"/>
  <c r="C6418" i="1"/>
  <c r="D6418" i="1"/>
  <c r="E6418" i="1"/>
  <c r="F6418" i="1"/>
  <c r="H6418" i="1"/>
  <c r="A6419" i="1"/>
  <c r="B6419" i="1"/>
  <c r="C6419" i="1"/>
  <c r="D6419" i="1"/>
  <c r="E6419" i="1"/>
  <c r="F6419" i="1"/>
  <c r="H6419" i="1"/>
  <c r="A6420" i="1"/>
  <c r="B6420" i="1"/>
  <c r="C6420" i="1"/>
  <c r="D6420" i="1"/>
  <c r="E6420" i="1"/>
  <c r="F6420" i="1"/>
  <c r="H6420" i="1"/>
  <c r="A6421" i="1"/>
  <c r="B6421" i="1"/>
  <c r="C6421" i="1"/>
  <c r="D6421" i="1"/>
  <c r="E6421" i="1"/>
  <c r="F6421" i="1"/>
  <c r="H6421" i="1"/>
  <c r="A6422" i="1"/>
  <c r="B6422" i="1"/>
  <c r="C6422" i="1"/>
  <c r="D6422" i="1"/>
  <c r="E6422" i="1"/>
  <c r="F6422" i="1"/>
  <c r="H6422" i="1"/>
  <c r="A6423" i="1"/>
  <c r="B6423" i="1"/>
  <c r="C6423" i="1"/>
  <c r="D6423" i="1"/>
  <c r="E6423" i="1"/>
  <c r="F6423" i="1"/>
  <c r="H6423" i="1"/>
  <c r="A6424" i="1"/>
  <c r="B6424" i="1"/>
  <c r="C6424" i="1"/>
  <c r="D6424" i="1"/>
  <c r="E6424" i="1"/>
  <c r="F6424" i="1"/>
  <c r="H6424" i="1"/>
  <c r="A6425" i="1"/>
  <c r="B6425" i="1"/>
  <c r="C6425" i="1"/>
  <c r="D6425" i="1"/>
  <c r="E6425" i="1"/>
  <c r="F6425" i="1"/>
  <c r="H6425" i="1"/>
  <c r="A6426" i="1"/>
  <c r="B6426" i="1"/>
  <c r="C6426" i="1"/>
  <c r="D6426" i="1"/>
  <c r="E6426" i="1"/>
  <c r="F6426" i="1"/>
  <c r="H6426" i="1"/>
  <c r="A6427" i="1"/>
  <c r="B6427" i="1"/>
  <c r="C6427" i="1"/>
  <c r="D6427" i="1"/>
  <c r="E6427" i="1"/>
  <c r="F6427" i="1"/>
  <c r="H6427" i="1"/>
  <c r="A6428" i="1"/>
  <c r="B6428" i="1"/>
  <c r="C6428" i="1"/>
  <c r="D6428" i="1"/>
  <c r="E6428" i="1"/>
  <c r="F6428" i="1"/>
  <c r="H6428" i="1"/>
  <c r="A6429" i="1"/>
  <c r="B6429" i="1"/>
  <c r="C6429" i="1"/>
  <c r="D6429" i="1"/>
  <c r="E6429" i="1"/>
  <c r="F6429" i="1"/>
  <c r="H6429" i="1"/>
  <c r="A6430" i="1"/>
  <c r="B6430" i="1"/>
  <c r="C6430" i="1"/>
  <c r="D6430" i="1"/>
  <c r="E6430" i="1"/>
  <c r="F6430" i="1"/>
  <c r="H6430" i="1"/>
  <c r="A6431" i="1"/>
  <c r="B6431" i="1"/>
  <c r="C6431" i="1"/>
  <c r="D6431" i="1"/>
  <c r="E6431" i="1"/>
  <c r="F6431" i="1"/>
  <c r="H6431" i="1"/>
  <c r="A6432" i="1"/>
  <c r="B6432" i="1"/>
  <c r="C6432" i="1"/>
  <c r="D6432" i="1"/>
  <c r="E6432" i="1"/>
  <c r="F6432" i="1"/>
  <c r="H6432" i="1"/>
  <c r="A6433" i="1"/>
  <c r="B6433" i="1"/>
  <c r="C6433" i="1"/>
  <c r="D6433" i="1"/>
  <c r="E6433" i="1"/>
  <c r="F6433" i="1"/>
  <c r="H6433" i="1"/>
  <c r="A6434" i="1"/>
  <c r="B6434" i="1"/>
  <c r="C6434" i="1"/>
  <c r="D6434" i="1"/>
  <c r="E6434" i="1"/>
  <c r="F6434" i="1"/>
  <c r="H6434" i="1"/>
  <c r="A6435" i="1"/>
  <c r="B6435" i="1"/>
  <c r="C6435" i="1"/>
  <c r="D6435" i="1"/>
  <c r="E6435" i="1"/>
  <c r="F6435" i="1"/>
  <c r="H6435" i="1"/>
  <c r="A6436" i="1"/>
  <c r="B6436" i="1"/>
  <c r="C6436" i="1"/>
  <c r="D6436" i="1"/>
  <c r="E6436" i="1"/>
  <c r="F6436" i="1"/>
  <c r="H6436" i="1"/>
  <c r="A6437" i="1"/>
  <c r="B6437" i="1"/>
  <c r="C6437" i="1"/>
  <c r="D6437" i="1"/>
  <c r="E6437" i="1"/>
  <c r="F6437" i="1"/>
  <c r="H6437" i="1"/>
  <c r="A6438" i="1"/>
  <c r="B6438" i="1"/>
  <c r="C6438" i="1"/>
  <c r="D6438" i="1"/>
  <c r="E6438" i="1"/>
  <c r="F6438" i="1"/>
  <c r="H6438" i="1"/>
  <c r="A6439" i="1"/>
  <c r="B6439" i="1"/>
  <c r="C6439" i="1"/>
  <c r="D6439" i="1"/>
  <c r="E6439" i="1"/>
  <c r="F6439" i="1"/>
  <c r="H6439" i="1"/>
  <c r="A6440" i="1"/>
  <c r="B6440" i="1"/>
  <c r="C6440" i="1"/>
  <c r="D6440" i="1"/>
  <c r="E6440" i="1"/>
  <c r="F6440" i="1"/>
  <c r="H6440" i="1"/>
  <c r="A6441" i="1"/>
  <c r="B6441" i="1"/>
  <c r="C6441" i="1"/>
  <c r="D6441" i="1"/>
  <c r="E6441" i="1"/>
  <c r="F6441" i="1"/>
  <c r="H6441" i="1"/>
  <c r="A6442" i="1"/>
  <c r="B6442" i="1"/>
  <c r="C6442" i="1"/>
  <c r="D6442" i="1"/>
  <c r="E6442" i="1"/>
  <c r="F6442" i="1"/>
  <c r="H6442" i="1"/>
  <c r="A6443" i="1"/>
  <c r="B6443" i="1"/>
  <c r="C6443" i="1"/>
  <c r="D6443" i="1"/>
  <c r="E6443" i="1"/>
  <c r="F6443" i="1"/>
  <c r="H6443" i="1"/>
  <c r="A6444" i="1"/>
  <c r="B6444" i="1"/>
  <c r="C6444" i="1"/>
  <c r="D6444" i="1"/>
  <c r="E6444" i="1"/>
  <c r="F6444" i="1"/>
  <c r="H6444" i="1"/>
  <c r="A6445" i="1"/>
  <c r="B6445" i="1"/>
  <c r="C6445" i="1"/>
  <c r="D6445" i="1"/>
  <c r="E6445" i="1"/>
  <c r="F6445" i="1"/>
  <c r="H6445" i="1"/>
  <c r="A6446" i="1"/>
  <c r="B6446" i="1"/>
  <c r="C6446" i="1"/>
  <c r="D6446" i="1"/>
  <c r="E6446" i="1"/>
  <c r="F6446" i="1"/>
  <c r="H6446" i="1"/>
  <c r="A6447" i="1"/>
  <c r="B6447" i="1"/>
  <c r="C6447" i="1"/>
  <c r="D6447" i="1"/>
  <c r="E6447" i="1"/>
  <c r="F6447" i="1"/>
  <c r="H6447" i="1"/>
  <c r="A6448" i="1"/>
  <c r="B6448" i="1"/>
  <c r="C6448" i="1"/>
  <c r="D6448" i="1"/>
  <c r="E6448" i="1"/>
  <c r="F6448" i="1"/>
  <c r="H6448" i="1"/>
  <c r="A6449" i="1"/>
  <c r="B6449" i="1"/>
  <c r="C6449" i="1"/>
  <c r="D6449" i="1"/>
  <c r="E6449" i="1"/>
  <c r="F6449" i="1"/>
  <c r="H6449" i="1"/>
  <c r="A6450" i="1"/>
  <c r="B6450" i="1"/>
  <c r="C6450" i="1"/>
  <c r="D6450" i="1"/>
  <c r="E6450" i="1"/>
  <c r="F6450" i="1"/>
  <c r="H6450" i="1"/>
  <c r="A6451" i="1"/>
  <c r="B6451" i="1"/>
  <c r="C6451" i="1"/>
  <c r="D6451" i="1"/>
  <c r="E6451" i="1"/>
  <c r="F6451" i="1"/>
  <c r="H6451" i="1"/>
  <c r="A6452" i="1"/>
  <c r="B6452" i="1"/>
  <c r="C6452" i="1"/>
  <c r="D6452" i="1"/>
  <c r="E6452" i="1"/>
  <c r="F6452" i="1"/>
  <c r="H6452" i="1"/>
  <c r="A6453" i="1"/>
  <c r="B6453" i="1"/>
  <c r="C6453" i="1"/>
  <c r="D6453" i="1"/>
  <c r="E6453" i="1"/>
  <c r="F6453" i="1"/>
  <c r="H6453" i="1"/>
  <c r="A6454" i="1"/>
  <c r="B6454" i="1"/>
  <c r="C6454" i="1"/>
  <c r="D6454" i="1"/>
  <c r="E6454" i="1"/>
  <c r="F6454" i="1"/>
  <c r="H6454" i="1"/>
  <c r="A6455" i="1"/>
  <c r="B6455" i="1"/>
  <c r="C6455" i="1"/>
  <c r="D6455" i="1"/>
  <c r="E6455" i="1"/>
  <c r="F6455" i="1"/>
  <c r="H6455" i="1"/>
  <c r="A6456" i="1"/>
  <c r="B6456" i="1"/>
  <c r="C6456" i="1"/>
  <c r="D6456" i="1"/>
  <c r="E6456" i="1"/>
  <c r="F6456" i="1"/>
  <c r="H6456" i="1"/>
  <c r="A6457" i="1"/>
  <c r="B6457" i="1"/>
  <c r="C6457" i="1"/>
  <c r="D6457" i="1"/>
  <c r="E6457" i="1"/>
  <c r="F6457" i="1"/>
  <c r="H6457" i="1"/>
  <c r="A6458" i="1"/>
  <c r="B6458" i="1"/>
  <c r="C6458" i="1"/>
  <c r="D6458" i="1"/>
  <c r="E6458" i="1"/>
  <c r="F6458" i="1"/>
  <c r="H6458" i="1"/>
  <c r="A6459" i="1"/>
  <c r="B6459" i="1"/>
  <c r="C6459" i="1"/>
  <c r="D6459" i="1"/>
  <c r="E6459" i="1"/>
  <c r="F6459" i="1"/>
  <c r="H6459" i="1"/>
  <c r="A6460" i="1"/>
  <c r="B6460" i="1"/>
  <c r="C6460" i="1"/>
  <c r="D6460" i="1"/>
  <c r="E6460" i="1"/>
  <c r="F6460" i="1"/>
  <c r="H6460" i="1"/>
  <c r="A6461" i="1"/>
  <c r="B6461" i="1"/>
  <c r="C6461" i="1"/>
  <c r="D6461" i="1"/>
  <c r="E6461" i="1"/>
  <c r="F6461" i="1"/>
  <c r="H6461" i="1"/>
  <c r="A6462" i="1"/>
  <c r="B6462" i="1"/>
  <c r="C6462" i="1"/>
  <c r="D6462" i="1"/>
  <c r="E6462" i="1"/>
  <c r="F6462" i="1"/>
  <c r="H6462" i="1"/>
  <c r="A6463" i="1"/>
  <c r="B6463" i="1"/>
  <c r="C6463" i="1"/>
  <c r="D6463" i="1"/>
  <c r="E6463" i="1"/>
  <c r="F6463" i="1"/>
  <c r="H6463" i="1"/>
  <c r="A6464" i="1"/>
  <c r="B6464" i="1"/>
  <c r="C6464" i="1"/>
  <c r="D6464" i="1"/>
  <c r="E6464" i="1"/>
  <c r="F6464" i="1"/>
  <c r="H6464" i="1"/>
  <c r="A6465" i="1"/>
  <c r="B6465" i="1"/>
  <c r="C6465" i="1"/>
  <c r="D6465" i="1"/>
  <c r="E6465" i="1"/>
  <c r="F6465" i="1"/>
  <c r="H6465" i="1"/>
  <c r="A6466" i="1"/>
  <c r="B6466" i="1"/>
  <c r="C6466" i="1"/>
  <c r="D6466" i="1"/>
  <c r="E6466" i="1"/>
  <c r="F6466" i="1"/>
  <c r="H6466" i="1"/>
  <c r="A6467" i="1"/>
  <c r="B6467" i="1"/>
  <c r="C6467" i="1"/>
  <c r="D6467" i="1"/>
  <c r="E6467" i="1"/>
  <c r="F6467" i="1"/>
  <c r="H6467" i="1"/>
  <c r="A6468" i="1"/>
  <c r="B6468" i="1"/>
  <c r="C6468" i="1"/>
  <c r="D6468" i="1"/>
  <c r="E6468" i="1"/>
  <c r="F6468" i="1"/>
  <c r="H6468" i="1"/>
  <c r="A6469" i="1"/>
  <c r="B6469" i="1"/>
  <c r="C6469" i="1"/>
  <c r="D6469" i="1"/>
  <c r="E6469" i="1"/>
  <c r="F6469" i="1"/>
  <c r="H6469" i="1"/>
  <c r="A6470" i="1"/>
  <c r="B6470" i="1"/>
  <c r="C6470" i="1"/>
  <c r="D6470" i="1"/>
  <c r="E6470" i="1"/>
  <c r="F6470" i="1"/>
  <c r="H6470" i="1"/>
  <c r="A6471" i="1"/>
  <c r="B6471" i="1"/>
  <c r="C6471" i="1"/>
  <c r="D6471" i="1"/>
  <c r="E6471" i="1"/>
  <c r="F6471" i="1"/>
  <c r="H6471" i="1"/>
  <c r="A6472" i="1"/>
  <c r="B6472" i="1"/>
  <c r="C6472" i="1"/>
  <c r="D6472" i="1"/>
  <c r="E6472" i="1"/>
  <c r="F6472" i="1"/>
  <c r="H6472" i="1"/>
  <c r="A6473" i="1"/>
  <c r="B6473" i="1"/>
  <c r="C6473" i="1"/>
  <c r="D6473" i="1"/>
  <c r="E6473" i="1"/>
  <c r="F6473" i="1"/>
  <c r="H6473" i="1"/>
  <c r="A6474" i="1"/>
  <c r="B6474" i="1"/>
  <c r="C6474" i="1"/>
  <c r="D6474" i="1"/>
  <c r="E6474" i="1"/>
  <c r="F6474" i="1"/>
  <c r="H6474" i="1"/>
  <c r="A6475" i="1"/>
  <c r="B6475" i="1"/>
  <c r="C6475" i="1"/>
  <c r="D6475" i="1"/>
  <c r="E6475" i="1"/>
  <c r="F6475" i="1"/>
  <c r="H6475" i="1"/>
  <c r="A6476" i="1"/>
  <c r="B6476" i="1"/>
  <c r="C6476" i="1"/>
  <c r="D6476" i="1"/>
  <c r="E6476" i="1"/>
  <c r="F6476" i="1"/>
  <c r="H6476" i="1"/>
  <c r="A6477" i="1"/>
  <c r="B6477" i="1"/>
  <c r="C6477" i="1"/>
  <c r="D6477" i="1"/>
  <c r="E6477" i="1"/>
  <c r="F6477" i="1"/>
  <c r="H6477" i="1"/>
  <c r="A6478" i="1"/>
  <c r="B6478" i="1"/>
  <c r="C6478" i="1"/>
  <c r="D6478" i="1"/>
  <c r="E6478" i="1"/>
  <c r="F6478" i="1"/>
  <c r="H6478" i="1"/>
  <c r="A6479" i="1"/>
  <c r="B6479" i="1"/>
  <c r="C6479" i="1"/>
  <c r="D6479" i="1"/>
  <c r="E6479" i="1"/>
  <c r="F6479" i="1"/>
  <c r="H6479" i="1"/>
  <c r="A6480" i="1"/>
  <c r="B6480" i="1"/>
  <c r="C6480" i="1"/>
  <c r="D6480" i="1"/>
  <c r="E6480" i="1"/>
  <c r="F6480" i="1"/>
  <c r="H6480" i="1"/>
  <c r="A6481" i="1"/>
  <c r="B6481" i="1"/>
  <c r="C6481" i="1"/>
  <c r="D6481" i="1"/>
  <c r="E6481" i="1"/>
  <c r="F6481" i="1"/>
  <c r="H6481" i="1"/>
  <c r="A6482" i="1"/>
  <c r="B6482" i="1"/>
  <c r="C6482" i="1"/>
  <c r="D6482" i="1"/>
  <c r="E6482" i="1"/>
  <c r="F6482" i="1"/>
  <c r="H6482" i="1"/>
  <c r="A6483" i="1"/>
  <c r="B6483" i="1"/>
  <c r="C6483" i="1"/>
  <c r="D6483" i="1"/>
  <c r="E6483" i="1"/>
  <c r="F6483" i="1"/>
  <c r="H6483" i="1"/>
  <c r="A6484" i="1"/>
  <c r="B6484" i="1"/>
  <c r="C6484" i="1"/>
  <c r="D6484" i="1"/>
  <c r="E6484" i="1"/>
  <c r="F6484" i="1"/>
  <c r="H6484" i="1"/>
  <c r="A6485" i="1"/>
  <c r="B6485" i="1"/>
  <c r="C6485" i="1"/>
  <c r="D6485" i="1"/>
  <c r="E6485" i="1"/>
  <c r="F6485" i="1"/>
  <c r="H6485" i="1"/>
  <c r="A6486" i="1"/>
  <c r="B6486" i="1"/>
  <c r="C6486" i="1"/>
  <c r="D6486" i="1"/>
  <c r="E6486" i="1"/>
  <c r="F6486" i="1"/>
  <c r="H6486" i="1"/>
  <c r="A6487" i="1"/>
  <c r="B6487" i="1"/>
  <c r="C6487" i="1"/>
  <c r="D6487" i="1"/>
  <c r="E6487" i="1"/>
  <c r="F6487" i="1"/>
  <c r="H6487" i="1"/>
  <c r="A6488" i="1"/>
  <c r="B6488" i="1"/>
  <c r="C6488" i="1"/>
  <c r="D6488" i="1"/>
  <c r="E6488" i="1"/>
  <c r="F6488" i="1"/>
  <c r="H6488" i="1"/>
  <c r="A6489" i="1"/>
  <c r="B6489" i="1"/>
  <c r="C6489" i="1"/>
  <c r="D6489" i="1"/>
  <c r="E6489" i="1"/>
  <c r="F6489" i="1"/>
  <c r="H6489" i="1"/>
  <c r="A6490" i="1"/>
  <c r="B6490" i="1"/>
  <c r="C6490" i="1"/>
  <c r="D6490" i="1"/>
  <c r="E6490" i="1"/>
  <c r="F6490" i="1"/>
  <c r="H6490" i="1"/>
  <c r="A6491" i="1"/>
  <c r="B6491" i="1"/>
  <c r="C6491" i="1"/>
  <c r="D6491" i="1"/>
  <c r="E6491" i="1"/>
  <c r="F6491" i="1"/>
  <c r="H6491" i="1"/>
  <c r="A6492" i="1"/>
  <c r="B6492" i="1"/>
  <c r="C6492" i="1"/>
  <c r="D6492" i="1"/>
  <c r="E6492" i="1"/>
  <c r="F6492" i="1"/>
  <c r="H6492" i="1"/>
  <c r="A6493" i="1"/>
  <c r="B6493" i="1"/>
  <c r="C6493" i="1"/>
  <c r="D6493" i="1"/>
  <c r="E6493" i="1"/>
  <c r="F6493" i="1"/>
  <c r="H6493" i="1"/>
  <c r="A6494" i="1"/>
  <c r="B6494" i="1"/>
  <c r="C6494" i="1"/>
  <c r="D6494" i="1"/>
  <c r="E6494" i="1"/>
  <c r="F6494" i="1"/>
  <c r="H6494" i="1"/>
  <c r="A6495" i="1"/>
  <c r="B6495" i="1"/>
  <c r="C6495" i="1"/>
  <c r="D6495" i="1"/>
  <c r="E6495" i="1"/>
  <c r="F6495" i="1"/>
  <c r="H6495" i="1"/>
  <c r="A6496" i="1"/>
  <c r="B6496" i="1"/>
  <c r="C6496" i="1"/>
  <c r="D6496" i="1"/>
  <c r="E6496" i="1"/>
  <c r="F6496" i="1"/>
  <c r="H6496" i="1"/>
  <c r="A6497" i="1"/>
  <c r="B6497" i="1"/>
  <c r="C6497" i="1"/>
  <c r="D6497" i="1"/>
  <c r="E6497" i="1"/>
  <c r="F6497" i="1"/>
  <c r="H6497" i="1"/>
  <c r="A6498" i="1"/>
  <c r="B6498" i="1"/>
  <c r="C6498" i="1"/>
  <c r="D6498" i="1"/>
  <c r="E6498" i="1"/>
  <c r="F6498" i="1"/>
  <c r="H6498" i="1"/>
  <c r="A6499" i="1"/>
  <c r="B6499" i="1"/>
  <c r="C6499" i="1"/>
  <c r="D6499" i="1"/>
  <c r="E6499" i="1"/>
  <c r="F6499" i="1"/>
  <c r="H6499" i="1"/>
  <c r="A6500" i="1"/>
  <c r="B6500" i="1"/>
  <c r="C6500" i="1"/>
  <c r="D6500" i="1"/>
  <c r="E6500" i="1"/>
  <c r="F6500" i="1"/>
  <c r="H6500" i="1"/>
  <c r="A6501" i="1"/>
  <c r="B6501" i="1"/>
  <c r="C6501" i="1"/>
  <c r="D6501" i="1"/>
  <c r="E6501" i="1"/>
  <c r="F6501" i="1"/>
  <c r="H6501" i="1"/>
  <c r="A6502" i="1"/>
  <c r="B6502" i="1"/>
  <c r="C6502" i="1"/>
  <c r="D6502" i="1"/>
  <c r="E6502" i="1"/>
  <c r="F6502" i="1"/>
  <c r="H6502" i="1"/>
  <c r="A6503" i="1"/>
  <c r="B6503" i="1"/>
  <c r="C6503" i="1"/>
  <c r="D6503" i="1"/>
  <c r="E6503" i="1"/>
  <c r="F6503" i="1"/>
  <c r="H6503" i="1"/>
  <c r="A6504" i="1"/>
  <c r="B6504" i="1"/>
  <c r="C6504" i="1"/>
  <c r="D6504" i="1"/>
  <c r="E6504" i="1"/>
  <c r="F6504" i="1"/>
  <c r="H6504" i="1"/>
  <c r="A6505" i="1"/>
  <c r="B6505" i="1"/>
  <c r="C6505" i="1"/>
  <c r="D6505" i="1"/>
  <c r="E6505" i="1"/>
  <c r="F6505" i="1"/>
  <c r="H6505" i="1"/>
  <c r="A6506" i="1"/>
  <c r="B6506" i="1"/>
  <c r="C6506" i="1"/>
  <c r="D6506" i="1"/>
  <c r="E6506" i="1"/>
  <c r="F6506" i="1"/>
  <c r="H6506" i="1"/>
  <c r="A6507" i="1"/>
  <c r="B6507" i="1"/>
  <c r="C6507" i="1"/>
  <c r="D6507" i="1"/>
  <c r="E6507" i="1"/>
  <c r="F6507" i="1"/>
  <c r="H6507" i="1"/>
  <c r="A6508" i="1"/>
  <c r="B6508" i="1"/>
  <c r="C6508" i="1"/>
  <c r="D6508" i="1"/>
  <c r="E6508" i="1"/>
  <c r="F6508" i="1"/>
  <c r="H6508" i="1"/>
  <c r="A6509" i="1"/>
  <c r="B6509" i="1"/>
  <c r="C6509" i="1"/>
  <c r="D6509" i="1"/>
  <c r="E6509" i="1"/>
  <c r="F6509" i="1"/>
  <c r="H6509" i="1"/>
  <c r="A6510" i="1"/>
  <c r="B6510" i="1"/>
  <c r="C6510" i="1"/>
  <c r="D6510" i="1"/>
  <c r="E6510" i="1"/>
  <c r="F6510" i="1"/>
  <c r="H6510" i="1"/>
  <c r="A6511" i="1"/>
  <c r="B6511" i="1"/>
  <c r="C6511" i="1"/>
  <c r="D6511" i="1"/>
  <c r="E6511" i="1"/>
  <c r="F6511" i="1"/>
  <c r="H6511" i="1"/>
  <c r="A6512" i="1"/>
  <c r="B6512" i="1"/>
  <c r="C6512" i="1"/>
  <c r="D6512" i="1"/>
  <c r="E6512" i="1"/>
  <c r="F6512" i="1"/>
  <c r="H6512" i="1"/>
  <c r="A6513" i="1"/>
  <c r="B6513" i="1"/>
  <c r="C6513" i="1"/>
  <c r="D6513" i="1"/>
  <c r="E6513" i="1"/>
  <c r="F6513" i="1"/>
  <c r="H6513" i="1"/>
  <c r="A6514" i="1"/>
  <c r="B6514" i="1"/>
  <c r="C6514" i="1"/>
  <c r="D6514" i="1"/>
  <c r="E6514" i="1"/>
  <c r="F6514" i="1"/>
  <c r="H6514" i="1"/>
  <c r="A6515" i="1"/>
  <c r="B6515" i="1"/>
  <c r="C6515" i="1"/>
  <c r="D6515" i="1"/>
  <c r="E6515" i="1"/>
  <c r="F6515" i="1"/>
  <c r="H6515" i="1"/>
  <c r="A6516" i="1"/>
  <c r="B6516" i="1"/>
  <c r="C6516" i="1"/>
  <c r="D6516" i="1"/>
  <c r="E6516" i="1"/>
  <c r="F6516" i="1"/>
  <c r="H6516" i="1"/>
  <c r="A6517" i="1"/>
  <c r="B6517" i="1"/>
  <c r="C6517" i="1"/>
  <c r="D6517" i="1"/>
  <c r="E6517" i="1"/>
  <c r="F6517" i="1"/>
  <c r="H6517" i="1"/>
  <c r="A6518" i="1"/>
  <c r="B6518" i="1"/>
  <c r="C6518" i="1"/>
  <c r="D6518" i="1"/>
  <c r="E6518" i="1"/>
  <c r="F6518" i="1"/>
  <c r="H6518" i="1"/>
  <c r="A6519" i="1"/>
  <c r="B6519" i="1"/>
  <c r="C6519" i="1"/>
  <c r="D6519" i="1"/>
  <c r="E6519" i="1"/>
  <c r="F6519" i="1"/>
  <c r="H6519" i="1"/>
  <c r="A6520" i="1"/>
  <c r="B6520" i="1"/>
  <c r="C6520" i="1"/>
  <c r="D6520" i="1"/>
  <c r="E6520" i="1"/>
  <c r="F6520" i="1"/>
  <c r="H6520" i="1"/>
  <c r="A6521" i="1"/>
  <c r="B6521" i="1"/>
  <c r="C6521" i="1"/>
  <c r="D6521" i="1"/>
  <c r="E6521" i="1"/>
  <c r="F6521" i="1"/>
  <c r="H6521" i="1"/>
  <c r="A6522" i="1"/>
  <c r="B6522" i="1"/>
  <c r="C6522" i="1"/>
  <c r="D6522" i="1"/>
  <c r="E6522" i="1"/>
  <c r="F6522" i="1"/>
  <c r="H6522" i="1"/>
  <c r="A6523" i="1"/>
  <c r="B6523" i="1"/>
  <c r="C6523" i="1"/>
  <c r="D6523" i="1"/>
  <c r="E6523" i="1"/>
  <c r="F6523" i="1"/>
  <c r="H6523" i="1"/>
  <c r="A6524" i="1"/>
  <c r="B6524" i="1"/>
  <c r="C6524" i="1"/>
  <c r="D6524" i="1"/>
  <c r="E6524" i="1"/>
  <c r="F6524" i="1"/>
  <c r="H6524" i="1"/>
  <c r="A6525" i="1"/>
  <c r="B6525" i="1"/>
  <c r="C6525" i="1"/>
  <c r="D6525" i="1"/>
  <c r="E6525" i="1"/>
  <c r="F6525" i="1"/>
  <c r="H6525" i="1"/>
  <c r="A6526" i="1"/>
  <c r="B6526" i="1"/>
  <c r="C6526" i="1"/>
  <c r="D6526" i="1"/>
  <c r="E6526" i="1"/>
  <c r="F6526" i="1"/>
  <c r="H6526" i="1"/>
  <c r="A6527" i="1"/>
  <c r="B6527" i="1"/>
  <c r="C6527" i="1"/>
  <c r="D6527" i="1"/>
  <c r="E6527" i="1"/>
  <c r="F6527" i="1"/>
  <c r="H6527" i="1"/>
  <c r="A6528" i="1"/>
  <c r="B6528" i="1"/>
  <c r="C6528" i="1"/>
  <c r="D6528" i="1"/>
  <c r="E6528" i="1"/>
  <c r="F6528" i="1"/>
  <c r="H6528" i="1"/>
  <c r="A6529" i="1"/>
  <c r="B6529" i="1"/>
  <c r="C6529" i="1"/>
  <c r="D6529" i="1"/>
  <c r="E6529" i="1"/>
  <c r="F6529" i="1"/>
  <c r="H6529" i="1"/>
  <c r="A6530" i="1"/>
  <c r="B6530" i="1"/>
  <c r="C6530" i="1"/>
  <c r="D6530" i="1"/>
  <c r="E6530" i="1"/>
  <c r="F6530" i="1"/>
  <c r="H6530" i="1"/>
  <c r="A6531" i="1"/>
  <c r="B6531" i="1"/>
  <c r="C6531" i="1"/>
  <c r="D6531" i="1"/>
  <c r="E6531" i="1"/>
  <c r="F6531" i="1"/>
  <c r="H6531" i="1"/>
  <c r="A6532" i="1"/>
  <c r="B6532" i="1"/>
  <c r="C6532" i="1"/>
  <c r="D6532" i="1"/>
  <c r="E6532" i="1"/>
  <c r="F6532" i="1"/>
  <c r="H6532" i="1"/>
  <c r="A6533" i="1"/>
  <c r="B6533" i="1"/>
  <c r="C6533" i="1"/>
  <c r="D6533" i="1"/>
  <c r="E6533" i="1"/>
  <c r="F6533" i="1"/>
  <c r="H6533" i="1"/>
  <c r="A6534" i="1"/>
  <c r="B6534" i="1"/>
  <c r="C6534" i="1"/>
  <c r="D6534" i="1"/>
  <c r="E6534" i="1"/>
  <c r="F6534" i="1"/>
  <c r="H6534" i="1"/>
  <c r="A6535" i="1"/>
  <c r="B6535" i="1"/>
  <c r="C6535" i="1"/>
  <c r="D6535" i="1"/>
  <c r="E6535" i="1"/>
  <c r="F6535" i="1"/>
  <c r="H6535" i="1"/>
  <c r="A6536" i="1"/>
  <c r="B6536" i="1"/>
  <c r="C6536" i="1"/>
  <c r="D6536" i="1"/>
  <c r="E6536" i="1"/>
  <c r="F6536" i="1"/>
  <c r="H6536" i="1"/>
  <c r="A6537" i="1"/>
  <c r="B6537" i="1"/>
  <c r="C6537" i="1"/>
  <c r="D6537" i="1"/>
  <c r="E6537" i="1"/>
  <c r="F6537" i="1"/>
  <c r="H6537" i="1"/>
  <c r="A6538" i="1"/>
  <c r="B6538" i="1"/>
  <c r="C6538" i="1"/>
  <c r="D6538" i="1"/>
  <c r="E6538" i="1"/>
  <c r="F6538" i="1"/>
  <c r="H6538" i="1"/>
  <c r="A6539" i="1"/>
  <c r="B6539" i="1"/>
  <c r="C6539" i="1"/>
  <c r="D6539" i="1"/>
  <c r="E6539" i="1"/>
  <c r="F6539" i="1"/>
  <c r="H6539" i="1"/>
  <c r="A6540" i="1"/>
  <c r="B6540" i="1"/>
  <c r="C6540" i="1"/>
  <c r="D6540" i="1"/>
  <c r="E6540" i="1"/>
  <c r="F6540" i="1"/>
  <c r="H6540" i="1"/>
  <c r="A6541" i="1"/>
  <c r="B6541" i="1"/>
  <c r="C6541" i="1"/>
  <c r="D6541" i="1"/>
  <c r="E6541" i="1"/>
  <c r="F6541" i="1"/>
  <c r="H6541" i="1"/>
  <c r="A6542" i="1"/>
  <c r="B6542" i="1"/>
  <c r="C6542" i="1"/>
  <c r="D6542" i="1"/>
  <c r="E6542" i="1"/>
  <c r="F6542" i="1"/>
  <c r="H6542" i="1"/>
  <c r="A6543" i="1"/>
  <c r="B6543" i="1"/>
  <c r="C6543" i="1"/>
  <c r="D6543" i="1"/>
  <c r="E6543" i="1"/>
  <c r="F6543" i="1"/>
  <c r="H6543" i="1"/>
  <c r="A6544" i="1"/>
  <c r="B6544" i="1"/>
  <c r="C6544" i="1"/>
  <c r="D6544" i="1"/>
  <c r="E6544" i="1"/>
  <c r="F6544" i="1"/>
  <c r="H6544" i="1"/>
  <c r="A6545" i="1"/>
  <c r="B6545" i="1"/>
  <c r="C6545" i="1"/>
  <c r="D6545" i="1"/>
  <c r="E6545" i="1"/>
  <c r="F6545" i="1"/>
  <c r="H6545" i="1"/>
  <c r="A6546" i="1"/>
  <c r="B6546" i="1"/>
  <c r="C6546" i="1"/>
  <c r="D6546" i="1"/>
  <c r="E6546" i="1"/>
  <c r="F6546" i="1"/>
  <c r="H6546" i="1"/>
  <c r="A6547" i="1"/>
  <c r="B6547" i="1"/>
  <c r="C6547" i="1"/>
  <c r="D6547" i="1"/>
  <c r="E6547" i="1"/>
  <c r="F6547" i="1"/>
  <c r="H6547" i="1"/>
  <c r="A6548" i="1"/>
  <c r="B6548" i="1"/>
  <c r="C6548" i="1"/>
  <c r="D6548" i="1"/>
  <c r="E6548" i="1"/>
  <c r="F6548" i="1"/>
  <c r="H6548" i="1"/>
  <c r="A6549" i="1"/>
  <c r="B6549" i="1"/>
  <c r="C6549" i="1"/>
  <c r="D6549" i="1"/>
  <c r="E6549" i="1"/>
  <c r="F6549" i="1"/>
  <c r="H6549" i="1"/>
  <c r="A6550" i="1"/>
  <c r="B6550" i="1"/>
  <c r="C6550" i="1"/>
  <c r="D6550" i="1"/>
  <c r="E6550" i="1"/>
  <c r="F6550" i="1"/>
  <c r="H6550" i="1"/>
  <c r="A6551" i="1"/>
  <c r="B6551" i="1"/>
  <c r="C6551" i="1"/>
  <c r="D6551" i="1"/>
  <c r="E6551" i="1"/>
  <c r="F6551" i="1"/>
  <c r="H6551" i="1"/>
  <c r="A6552" i="1"/>
  <c r="B6552" i="1"/>
  <c r="C6552" i="1"/>
  <c r="D6552" i="1"/>
  <c r="E6552" i="1"/>
  <c r="F6552" i="1"/>
  <c r="H6552" i="1"/>
  <c r="A6553" i="1"/>
  <c r="B6553" i="1"/>
  <c r="C6553" i="1"/>
  <c r="D6553" i="1"/>
  <c r="E6553" i="1"/>
  <c r="F6553" i="1"/>
  <c r="H6553" i="1"/>
  <c r="A6554" i="1"/>
  <c r="B6554" i="1"/>
  <c r="C6554" i="1"/>
  <c r="D6554" i="1"/>
  <c r="E6554" i="1"/>
  <c r="F6554" i="1"/>
  <c r="H6554" i="1"/>
  <c r="A6555" i="1"/>
  <c r="B6555" i="1"/>
  <c r="C6555" i="1"/>
  <c r="D6555" i="1"/>
  <c r="E6555" i="1"/>
  <c r="F6555" i="1"/>
  <c r="H6555" i="1"/>
  <c r="A6556" i="1"/>
  <c r="B6556" i="1"/>
  <c r="C6556" i="1"/>
  <c r="D6556" i="1"/>
  <c r="E6556" i="1"/>
  <c r="F6556" i="1"/>
  <c r="H6556" i="1"/>
  <c r="A6557" i="1"/>
  <c r="B6557" i="1"/>
  <c r="C6557" i="1"/>
  <c r="D6557" i="1"/>
  <c r="E6557" i="1"/>
  <c r="F6557" i="1"/>
  <c r="H6557" i="1"/>
  <c r="A6558" i="1"/>
  <c r="B6558" i="1"/>
  <c r="C6558" i="1"/>
  <c r="D6558" i="1"/>
  <c r="E6558" i="1"/>
  <c r="F6558" i="1"/>
  <c r="H6558" i="1"/>
  <c r="A6559" i="1"/>
  <c r="B6559" i="1"/>
  <c r="C6559" i="1"/>
  <c r="D6559" i="1"/>
  <c r="E6559" i="1"/>
  <c r="F6559" i="1"/>
  <c r="H6559" i="1"/>
  <c r="A6560" i="1"/>
  <c r="B6560" i="1"/>
  <c r="C6560" i="1"/>
  <c r="D6560" i="1"/>
  <c r="E6560" i="1"/>
  <c r="F6560" i="1"/>
  <c r="H6560" i="1"/>
  <c r="A6561" i="1"/>
  <c r="B6561" i="1"/>
  <c r="C6561" i="1"/>
  <c r="D6561" i="1"/>
  <c r="E6561" i="1"/>
  <c r="F6561" i="1"/>
  <c r="H6561" i="1"/>
  <c r="A6562" i="1"/>
  <c r="B6562" i="1"/>
  <c r="C6562" i="1"/>
  <c r="D6562" i="1"/>
  <c r="E6562" i="1"/>
  <c r="F6562" i="1"/>
  <c r="H6562" i="1"/>
  <c r="A6563" i="1"/>
  <c r="B6563" i="1"/>
  <c r="C6563" i="1"/>
  <c r="D6563" i="1"/>
  <c r="E6563" i="1"/>
  <c r="F6563" i="1"/>
  <c r="H6563" i="1"/>
  <c r="A6564" i="1"/>
  <c r="B6564" i="1"/>
  <c r="C6564" i="1"/>
  <c r="D6564" i="1"/>
  <c r="E6564" i="1"/>
  <c r="F6564" i="1"/>
  <c r="H6564" i="1"/>
  <c r="A6565" i="1"/>
  <c r="B6565" i="1"/>
  <c r="C6565" i="1"/>
  <c r="D6565" i="1"/>
  <c r="E6565" i="1"/>
  <c r="F6565" i="1"/>
  <c r="H6565" i="1"/>
  <c r="A6566" i="1"/>
  <c r="B6566" i="1"/>
  <c r="C6566" i="1"/>
  <c r="D6566" i="1"/>
  <c r="E6566" i="1"/>
  <c r="F6566" i="1"/>
  <c r="H6566" i="1"/>
  <c r="A6567" i="1"/>
  <c r="B6567" i="1"/>
  <c r="C6567" i="1"/>
  <c r="D6567" i="1"/>
  <c r="E6567" i="1"/>
  <c r="F6567" i="1"/>
  <c r="H6567" i="1"/>
  <c r="A6568" i="1"/>
  <c r="B6568" i="1"/>
  <c r="C6568" i="1"/>
  <c r="D6568" i="1"/>
  <c r="E6568" i="1"/>
  <c r="F6568" i="1"/>
  <c r="H6568" i="1"/>
  <c r="A6569" i="1"/>
  <c r="B6569" i="1"/>
  <c r="C6569" i="1"/>
  <c r="D6569" i="1"/>
  <c r="E6569" i="1"/>
  <c r="F6569" i="1"/>
  <c r="H6569" i="1"/>
  <c r="A6570" i="1"/>
  <c r="B6570" i="1"/>
  <c r="C6570" i="1"/>
  <c r="D6570" i="1"/>
  <c r="E6570" i="1"/>
  <c r="F6570" i="1"/>
  <c r="H6570" i="1"/>
  <c r="A6571" i="1"/>
  <c r="B6571" i="1"/>
  <c r="C6571" i="1"/>
  <c r="D6571" i="1"/>
  <c r="E6571" i="1"/>
  <c r="F6571" i="1"/>
  <c r="H6571" i="1"/>
  <c r="A6572" i="1"/>
  <c r="B6572" i="1"/>
  <c r="C6572" i="1"/>
  <c r="D6572" i="1"/>
  <c r="E6572" i="1"/>
  <c r="F6572" i="1"/>
  <c r="H6572" i="1"/>
  <c r="A6573" i="1"/>
  <c r="B6573" i="1"/>
  <c r="C6573" i="1"/>
  <c r="D6573" i="1"/>
  <c r="E6573" i="1"/>
  <c r="F6573" i="1"/>
  <c r="H6573" i="1"/>
  <c r="A6574" i="1"/>
  <c r="B6574" i="1"/>
  <c r="C6574" i="1"/>
  <c r="D6574" i="1"/>
  <c r="E6574" i="1"/>
  <c r="F6574" i="1"/>
  <c r="H6574" i="1"/>
  <c r="A6575" i="1"/>
  <c r="B6575" i="1"/>
  <c r="C6575" i="1"/>
  <c r="D6575" i="1"/>
  <c r="E6575" i="1"/>
  <c r="F6575" i="1"/>
  <c r="H6575" i="1"/>
  <c r="A6576" i="1"/>
  <c r="B6576" i="1"/>
  <c r="C6576" i="1"/>
  <c r="D6576" i="1"/>
  <c r="E6576" i="1"/>
  <c r="F6576" i="1"/>
  <c r="H6576" i="1"/>
  <c r="A6577" i="1"/>
  <c r="B6577" i="1"/>
  <c r="C6577" i="1"/>
  <c r="D6577" i="1"/>
  <c r="E6577" i="1"/>
  <c r="F6577" i="1"/>
  <c r="H6577" i="1"/>
  <c r="A6578" i="1"/>
  <c r="B6578" i="1"/>
  <c r="C6578" i="1"/>
  <c r="D6578" i="1"/>
  <c r="E6578" i="1"/>
  <c r="F6578" i="1"/>
  <c r="H6578" i="1"/>
  <c r="A6579" i="1"/>
  <c r="B6579" i="1"/>
  <c r="C6579" i="1"/>
  <c r="D6579" i="1"/>
  <c r="E6579" i="1"/>
  <c r="F6579" i="1"/>
  <c r="H6579" i="1"/>
  <c r="A6580" i="1"/>
  <c r="B6580" i="1"/>
  <c r="C6580" i="1"/>
  <c r="D6580" i="1"/>
  <c r="E6580" i="1"/>
  <c r="F6580" i="1"/>
  <c r="H6580" i="1"/>
  <c r="A6581" i="1"/>
  <c r="B6581" i="1"/>
  <c r="C6581" i="1"/>
  <c r="D6581" i="1"/>
  <c r="E6581" i="1"/>
  <c r="F6581" i="1"/>
  <c r="H6581" i="1"/>
  <c r="A6582" i="1"/>
  <c r="B6582" i="1"/>
  <c r="C6582" i="1"/>
  <c r="D6582" i="1"/>
  <c r="E6582" i="1"/>
  <c r="F6582" i="1"/>
  <c r="H6582" i="1"/>
  <c r="A6583" i="1"/>
  <c r="B6583" i="1"/>
  <c r="C6583" i="1"/>
  <c r="D6583" i="1"/>
  <c r="E6583" i="1"/>
  <c r="F6583" i="1"/>
  <c r="H6583" i="1"/>
  <c r="A6584" i="1"/>
  <c r="B6584" i="1"/>
  <c r="C6584" i="1"/>
  <c r="D6584" i="1"/>
  <c r="E6584" i="1"/>
  <c r="F6584" i="1"/>
  <c r="H6584" i="1"/>
  <c r="A6585" i="1"/>
  <c r="B6585" i="1"/>
  <c r="C6585" i="1"/>
  <c r="D6585" i="1"/>
  <c r="E6585" i="1"/>
  <c r="F6585" i="1"/>
  <c r="H6585" i="1"/>
  <c r="A6586" i="1"/>
  <c r="B6586" i="1"/>
  <c r="C6586" i="1"/>
  <c r="D6586" i="1"/>
  <c r="E6586" i="1"/>
  <c r="F6586" i="1"/>
  <c r="H6586" i="1"/>
  <c r="A6587" i="1"/>
  <c r="B6587" i="1"/>
  <c r="C6587" i="1"/>
  <c r="D6587" i="1"/>
  <c r="E6587" i="1"/>
  <c r="F6587" i="1"/>
  <c r="H6587" i="1"/>
  <c r="A6588" i="1"/>
  <c r="B6588" i="1"/>
  <c r="C6588" i="1"/>
  <c r="D6588" i="1"/>
  <c r="E6588" i="1"/>
  <c r="F6588" i="1"/>
  <c r="H6588" i="1"/>
  <c r="A6589" i="1"/>
  <c r="B6589" i="1"/>
  <c r="C6589" i="1"/>
  <c r="D6589" i="1"/>
  <c r="E6589" i="1"/>
  <c r="F6589" i="1"/>
  <c r="H6589" i="1"/>
  <c r="A6590" i="1"/>
  <c r="B6590" i="1"/>
  <c r="C6590" i="1"/>
  <c r="D6590" i="1"/>
  <c r="E6590" i="1"/>
  <c r="F6590" i="1"/>
  <c r="H6590" i="1"/>
  <c r="A6591" i="1"/>
  <c r="B6591" i="1"/>
  <c r="C6591" i="1"/>
  <c r="D6591" i="1"/>
  <c r="E6591" i="1"/>
  <c r="F6591" i="1"/>
  <c r="H6591" i="1"/>
  <c r="A6592" i="1"/>
  <c r="B6592" i="1"/>
  <c r="C6592" i="1"/>
  <c r="D6592" i="1"/>
  <c r="E6592" i="1"/>
  <c r="F6592" i="1"/>
  <c r="H6592" i="1"/>
  <c r="A6593" i="1"/>
  <c r="B6593" i="1"/>
  <c r="C6593" i="1"/>
  <c r="D6593" i="1"/>
  <c r="E6593" i="1"/>
  <c r="F6593" i="1"/>
  <c r="H6593" i="1"/>
  <c r="A6594" i="1"/>
  <c r="B6594" i="1"/>
  <c r="C6594" i="1"/>
  <c r="D6594" i="1"/>
  <c r="E6594" i="1"/>
  <c r="F6594" i="1"/>
  <c r="H6594" i="1"/>
  <c r="A6595" i="1"/>
  <c r="B6595" i="1"/>
  <c r="C6595" i="1"/>
  <c r="D6595" i="1"/>
  <c r="E6595" i="1"/>
  <c r="F6595" i="1"/>
  <c r="H6595" i="1"/>
  <c r="A6596" i="1"/>
  <c r="B6596" i="1"/>
  <c r="C6596" i="1"/>
  <c r="D6596" i="1"/>
  <c r="E6596" i="1"/>
  <c r="F6596" i="1"/>
  <c r="H6596" i="1"/>
  <c r="A6597" i="1"/>
  <c r="B6597" i="1"/>
  <c r="C6597" i="1"/>
  <c r="D6597" i="1"/>
  <c r="E6597" i="1"/>
  <c r="F6597" i="1"/>
  <c r="H6597" i="1"/>
  <c r="A6598" i="1"/>
  <c r="B6598" i="1"/>
  <c r="C6598" i="1"/>
  <c r="D6598" i="1"/>
  <c r="E6598" i="1"/>
  <c r="F6598" i="1"/>
  <c r="H6598" i="1"/>
  <c r="A6599" i="1"/>
  <c r="B6599" i="1"/>
  <c r="C6599" i="1"/>
  <c r="D6599" i="1"/>
  <c r="E6599" i="1"/>
  <c r="F6599" i="1"/>
  <c r="H6599" i="1"/>
  <c r="A6600" i="1"/>
  <c r="B6600" i="1"/>
  <c r="C6600" i="1"/>
  <c r="D6600" i="1"/>
  <c r="E6600" i="1"/>
  <c r="F6600" i="1"/>
  <c r="H6600" i="1"/>
  <c r="A6601" i="1"/>
  <c r="B6601" i="1"/>
  <c r="C6601" i="1"/>
  <c r="D6601" i="1"/>
  <c r="E6601" i="1"/>
  <c r="F6601" i="1"/>
  <c r="H6601" i="1"/>
  <c r="A6602" i="1"/>
  <c r="B6602" i="1"/>
  <c r="C6602" i="1"/>
  <c r="D6602" i="1"/>
  <c r="E6602" i="1"/>
  <c r="F6602" i="1"/>
  <c r="H6602" i="1"/>
  <c r="A6603" i="1"/>
  <c r="B6603" i="1"/>
  <c r="C6603" i="1"/>
  <c r="D6603" i="1"/>
  <c r="E6603" i="1"/>
  <c r="F6603" i="1"/>
  <c r="H6603" i="1"/>
  <c r="A6604" i="1"/>
  <c r="B6604" i="1"/>
  <c r="C6604" i="1"/>
  <c r="D6604" i="1"/>
  <c r="E6604" i="1"/>
  <c r="F6604" i="1"/>
  <c r="H6604" i="1"/>
  <c r="A6605" i="1"/>
  <c r="B6605" i="1"/>
  <c r="C6605" i="1"/>
  <c r="D6605" i="1"/>
  <c r="E6605" i="1"/>
  <c r="F6605" i="1"/>
  <c r="H6605" i="1"/>
  <c r="A6606" i="1"/>
  <c r="B6606" i="1"/>
  <c r="C6606" i="1"/>
  <c r="D6606" i="1"/>
  <c r="E6606" i="1"/>
  <c r="F6606" i="1"/>
  <c r="H6606" i="1"/>
  <c r="A6607" i="1"/>
  <c r="B6607" i="1"/>
  <c r="C6607" i="1"/>
  <c r="D6607" i="1"/>
  <c r="E6607" i="1"/>
  <c r="F6607" i="1"/>
  <c r="H6607" i="1"/>
  <c r="A6608" i="1"/>
  <c r="B6608" i="1"/>
  <c r="C6608" i="1"/>
  <c r="D6608" i="1"/>
  <c r="E6608" i="1"/>
  <c r="F6608" i="1"/>
  <c r="H6608" i="1"/>
  <c r="A6609" i="1"/>
  <c r="B6609" i="1"/>
  <c r="C6609" i="1"/>
  <c r="D6609" i="1"/>
  <c r="E6609" i="1"/>
  <c r="F6609" i="1"/>
  <c r="H6609" i="1"/>
  <c r="A6610" i="1"/>
  <c r="B6610" i="1"/>
  <c r="C6610" i="1"/>
  <c r="D6610" i="1"/>
  <c r="E6610" i="1"/>
  <c r="F6610" i="1"/>
  <c r="H6610" i="1"/>
  <c r="A6611" i="1"/>
  <c r="B6611" i="1"/>
  <c r="C6611" i="1"/>
  <c r="D6611" i="1"/>
  <c r="E6611" i="1"/>
  <c r="F6611" i="1"/>
  <c r="H6611" i="1"/>
  <c r="A6612" i="1"/>
  <c r="B6612" i="1"/>
  <c r="C6612" i="1"/>
  <c r="D6612" i="1"/>
  <c r="E6612" i="1"/>
  <c r="F6612" i="1"/>
  <c r="H6612" i="1"/>
  <c r="A6613" i="1"/>
  <c r="B6613" i="1"/>
  <c r="C6613" i="1"/>
  <c r="D6613" i="1"/>
  <c r="E6613" i="1"/>
  <c r="F6613" i="1"/>
  <c r="H6613" i="1"/>
  <c r="A6614" i="1"/>
  <c r="B6614" i="1"/>
  <c r="C6614" i="1"/>
  <c r="D6614" i="1"/>
  <c r="E6614" i="1"/>
  <c r="F6614" i="1"/>
  <c r="H6614" i="1"/>
  <c r="A6615" i="1"/>
  <c r="B6615" i="1"/>
  <c r="C6615" i="1"/>
  <c r="D6615" i="1"/>
  <c r="E6615" i="1"/>
  <c r="F6615" i="1"/>
  <c r="H6615" i="1"/>
  <c r="A6616" i="1"/>
  <c r="B6616" i="1"/>
  <c r="C6616" i="1"/>
  <c r="D6616" i="1"/>
  <c r="E6616" i="1"/>
  <c r="F6616" i="1"/>
  <c r="H6616" i="1"/>
  <c r="A6617" i="1"/>
  <c r="B6617" i="1"/>
  <c r="C6617" i="1"/>
  <c r="D6617" i="1"/>
  <c r="E6617" i="1"/>
  <c r="F6617" i="1"/>
  <c r="H6617" i="1"/>
  <c r="A6618" i="1"/>
  <c r="B6618" i="1"/>
  <c r="C6618" i="1"/>
  <c r="D6618" i="1"/>
  <c r="E6618" i="1"/>
  <c r="F6618" i="1"/>
  <c r="H6618" i="1"/>
  <c r="A6619" i="1"/>
  <c r="B6619" i="1"/>
  <c r="C6619" i="1"/>
  <c r="D6619" i="1"/>
  <c r="E6619" i="1"/>
  <c r="F6619" i="1"/>
  <c r="H6619" i="1"/>
  <c r="A6620" i="1"/>
  <c r="B6620" i="1"/>
  <c r="C6620" i="1"/>
  <c r="D6620" i="1"/>
  <c r="E6620" i="1"/>
  <c r="F6620" i="1"/>
  <c r="H6620" i="1"/>
  <c r="A6621" i="1"/>
  <c r="B6621" i="1"/>
  <c r="C6621" i="1"/>
  <c r="D6621" i="1"/>
  <c r="E6621" i="1"/>
  <c r="F6621" i="1"/>
  <c r="H6621" i="1"/>
  <c r="A6622" i="1"/>
  <c r="B6622" i="1"/>
  <c r="C6622" i="1"/>
  <c r="D6622" i="1"/>
  <c r="E6622" i="1"/>
  <c r="F6622" i="1"/>
  <c r="H6622" i="1"/>
  <c r="A6623" i="1"/>
  <c r="B6623" i="1"/>
  <c r="C6623" i="1"/>
  <c r="D6623" i="1"/>
  <c r="E6623" i="1"/>
  <c r="F6623" i="1"/>
  <c r="H6623" i="1"/>
  <c r="A6624" i="1"/>
  <c r="B6624" i="1"/>
  <c r="C6624" i="1"/>
  <c r="D6624" i="1"/>
  <c r="E6624" i="1"/>
  <c r="F6624" i="1"/>
  <c r="H6624" i="1"/>
  <c r="A6625" i="1"/>
  <c r="B6625" i="1"/>
  <c r="C6625" i="1"/>
  <c r="D6625" i="1"/>
  <c r="E6625" i="1"/>
  <c r="F6625" i="1"/>
  <c r="H6625" i="1"/>
  <c r="A6626" i="1"/>
  <c r="B6626" i="1"/>
  <c r="C6626" i="1"/>
  <c r="D6626" i="1"/>
  <c r="E6626" i="1"/>
  <c r="F6626" i="1"/>
  <c r="H6626" i="1"/>
  <c r="A6627" i="1"/>
  <c r="B6627" i="1"/>
  <c r="C6627" i="1"/>
  <c r="D6627" i="1"/>
  <c r="E6627" i="1"/>
  <c r="F6627" i="1"/>
  <c r="H6627" i="1"/>
  <c r="A6628" i="1"/>
  <c r="B6628" i="1"/>
  <c r="C6628" i="1"/>
  <c r="D6628" i="1"/>
  <c r="E6628" i="1"/>
  <c r="F6628" i="1"/>
  <c r="H6628" i="1"/>
  <c r="A6629" i="1"/>
  <c r="B6629" i="1"/>
  <c r="C6629" i="1"/>
  <c r="D6629" i="1"/>
  <c r="E6629" i="1"/>
  <c r="F6629" i="1"/>
  <c r="H6629" i="1"/>
  <c r="A6630" i="1"/>
  <c r="B6630" i="1"/>
  <c r="C6630" i="1"/>
  <c r="D6630" i="1"/>
  <c r="E6630" i="1"/>
  <c r="F6630" i="1"/>
  <c r="H6630" i="1"/>
  <c r="A6631" i="1"/>
  <c r="B6631" i="1"/>
  <c r="C6631" i="1"/>
  <c r="D6631" i="1"/>
  <c r="E6631" i="1"/>
  <c r="F6631" i="1"/>
  <c r="H6631" i="1"/>
  <c r="A6632" i="1"/>
  <c r="B6632" i="1"/>
  <c r="C6632" i="1"/>
  <c r="D6632" i="1"/>
  <c r="E6632" i="1"/>
  <c r="F6632" i="1"/>
  <c r="H6632" i="1"/>
  <c r="A6633" i="1"/>
  <c r="B6633" i="1"/>
  <c r="C6633" i="1"/>
  <c r="D6633" i="1"/>
  <c r="E6633" i="1"/>
  <c r="F6633" i="1"/>
  <c r="H6633" i="1"/>
  <c r="A6634" i="1"/>
  <c r="B6634" i="1"/>
  <c r="C6634" i="1"/>
  <c r="D6634" i="1"/>
  <c r="E6634" i="1"/>
  <c r="F6634" i="1"/>
  <c r="H6634" i="1"/>
  <c r="A6635" i="1"/>
  <c r="B6635" i="1"/>
  <c r="C6635" i="1"/>
  <c r="D6635" i="1"/>
  <c r="E6635" i="1"/>
  <c r="F6635" i="1"/>
  <c r="H6635" i="1"/>
  <c r="A6636" i="1"/>
  <c r="B6636" i="1"/>
  <c r="C6636" i="1"/>
  <c r="D6636" i="1"/>
  <c r="E6636" i="1"/>
  <c r="F6636" i="1"/>
  <c r="H6636" i="1"/>
  <c r="A6637" i="1"/>
  <c r="B6637" i="1"/>
  <c r="C6637" i="1"/>
  <c r="D6637" i="1"/>
  <c r="E6637" i="1"/>
  <c r="F6637" i="1"/>
  <c r="H6637" i="1"/>
  <c r="A6638" i="1"/>
  <c r="B6638" i="1"/>
  <c r="C6638" i="1"/>
  <c r="D6638" i="1"/>
  <c r="E6638" i="1"/>
  <c r="F6638" i="1"/>
  <c r="H6638" i="1"/>
  <c r="A6639" i="1"/>
  <c r="B6639" i="1"/>
  <c r="C6639" i="1"/>
  <c r="D6639" i="1"/>
  <c r="E6639" i="1"/>
  <c r="F6639" i="1"/>
  <c r="H6639" i="1"/>
  <c r="A6640" i="1"/>
  <c r="B6640" i="1"/>
  <c r="C6640" i="1"/>
  <c r="D6640" i="1"/>
  <c r="E6640" i="1"/>
  <c r="F6640" i="1"/>
  <c r="H6640" i="1"/>
  <c r="A6641" i="1"/>
  <c r="B6641" i="1"/>
  <c r="C6641" i="1"/>
  <c r="D6641" i="1"/>
  <c r="E6641" i="1"/>
  <c r="F6641" i="1"/>
  <c r="H6641" i="1"/>
  <c r="A6642" i="1"/>
  <c r="B6642" i="1"/>
  <c r="C6642" i="1"/>
  <c r="D6642" i="1"/>
  <c r="E6642" i="1"/>
  <c r="F6642" i="1"/>
  <c r="H6642" i="1"/>
  <c r="A6643" i="1"/>
  <c r="B6643" i="1"/>
  <c r="C6643" i="1"/>
  <c r="D6643" i="1"/>
  <c r="E6643" i="1"/>
  <c r="F6643" i="1"/>
  <c r="H6643" i="1"/>
  <c r="A6644" i="1"/>
  <c r="B6644" i="1"/>
  <c r="C6644" i="1"/>
  <c r="D6644" i="1"/>
  <c r="E6644" i="1"/>
  <c r="F6644" i="1"/>
  <c r="H6644" i="1"/>
  <c r="A6645" i="1"/>
  <c r="B6645" i="1"/>
  <c r="C6645" i="1"/>
  <c r="D6645" i="1"/>
  <c r="E6645" i="1"/>
  <c r="F6645" i="1"/>
  <c r="H6645" i="1"/>
  <c r="A6646" i="1"/>
  <c r="B6646" i="1"/>
  <c r="C6646" i="1"/>
  <c r="D6646" i="1"/>
  <c r="E6646" i="1"/>
  <c r="F6646" i="1"/>
  <c r="H6646" i="1"/>
  <c r="A6647" i="1"/>
  <c r="B6647" i="1"/>
  <c r="C6647" i="1"/>
  <c r="D6647" i="1"/>
  <c r="E6647" i="1"/>
  <c r="F6647" i="1"/>
  <c r="H6647" i="1"/>
  <c r="A6648" i="1"/>
  <c r="B6648" i="1"/>
  <c r="C6648" i="1"/>
  <c r="D6648" i="1"/>
  <c r="E6648" i="1"/>
  <c r="F6648" i="1"/>
  <c r="H6648" i="1"/>
  <c r="A6649" i="1"/>
  <c r="B6649" i="1"/>
  <c r="C6649" i="1"/>
  <c r="D6649" i="1"/>
  <c r="E6649" i="1"/>
  <c r="F6649" i="1"/>
  <c r="H6649" i="1"/>
  <c r="A6650" i="1"/>
  <c r="B6650" i="1"/>
  <c r="C6650" i="1"/>
  <c r="D6650" i="1"/>
  <c r="E6650" i="1"/>
  <c r="F6650" i="1"/>
  <c r="H6650" i="1"/>
  <c r="A6651" i="1"/>
  <c r="B6651" i="1"/>
  <c r="C6651" i="1"/>
  <c r="D6651" i="1"/>
  <c r="E6651" i="1"/>
  <c r="F6651" i="1"/>
  <c r="H6651" i="1"/>
  <c r="A6652" i="1"/>
  <c r="B6652" i="1"/>
  <c r="C6652" i="1"/>
  <c r="D6652" i="1"/>
  <c r="E6652" i="1"/>
  <c r="F6652" i="1"/>
  <c r="H6652" i="1"/>
  <c r="A6653" i="1"/>
  <c r="B6653" i="1"/>
  <c r="C6653" i="1"/>
  <c r="D6653" i="1"/>
  <c r="E6653" i="1"/>
  <c r="F6653" i="1"/>
  <c r="H6653" i="1"/>
  <c r="A6654" i="1"/>
  <c r="B6654" i="1"/>
  <c r="C6654" i="1"/>
  <c r="D6654" i="1"/>
  <c r="E6654" i="1"/>
  <c r="F6654" i="1"/>
  <c r="H6654" i="1"/>
  <c r="A6655" i="1"/>
  <c r="B6655" i="1"/>
  <c r="C6655" i="1"/>
  <c r="D6655" i="1"/>
  <c r="E6655" i="1"/>
  <c r="F6655" i="1"/>
  <c r="H6655" i="1"/>
  <c r="A6656" i="1"/>
  <c r="B6656" i="1"/>
  <c r="C6656" i="1"/>
  <c r="D6656" i="1"/>
  <c r="E6656" i="1"/>
  <c r="F6656" i="1"/>
  <c r="H6656" i="1"/>
  <c r="A6657" i="1"/>
  <c r="B6657" i="1"/>
  <c r="C6657" i="1"/>
  <c r="D6657" i="1"/>
  <c r="E6657" i="1"/>
  <c r="F6657" i="1"/>
  <c r="H6657" i="1"/>
  <c r="A6658" i="1"/>
  <c r="B6658" i="1"/>
  <c r="C6658" i="1"/>
  <c r="D6658" i="1"/>
  <c r="E6658" i="1"/>
  <c r="F6658" i="1"/>
  <c r="H6658" i="1"/>
  <c r="A6659" i="1"/>
  <c r="B6659" i="1"/>
  <c r="C6659" i="1"/>
  <c r="D6659" i="1"/>
  <c r="E6659" i="1"/>
  <c r="F6659" i="1"/>
  <c r="H6659" i="1"/>
  <c r="A6660" i="1"/>
  <c r="B6660" i="1"/>
  <c r="C6660" i="1"/>
  <c r="D6660" i="1"/>
  <c r="E6660" i="1"/>
  <c r="F6660" i="1"/>
  <c r="H6660" i="1"/>
  <c r="A6661" i="1"/>
  <c r="B6661" i="1"/>
  <c r="C6661" i="1"/>
  <c r="D6661" i="1"/>
  <c r="E6661" i="1"/>
  <c r="F6661" i="1"/>
  <c r="H6661" i="1"/>
  <c r="A6662" i="1"/>
  <c r="B6662" i="1"/>
  <c r="C6662" i="1"/>
  <c r="D6662" i="1"/>
  <c r="E6662" i="1"/>
  <c r="F6662" i="1"/>
  <c r="H6662" i="1"/>
  <c r="A6663" i="1"/>
  <c r="B6663" i="1"/>
  <c r="C6663" i="1"/>
  <c r="D6663" i="1"/>
  <c r="E6663" i="1"/>
  <c r="F6663" i="1"/>
  <c r="H6663" i="1"/>
  <c r="A6664" i="1"/>
  <c r="B6664" i="1"/>
  <c r="C6664" i="1"/>
  <c r="D6664" i="1"/>
  <c r="E6664" i="1"/>
  <c r="F6664" i="1"/>
  <c r="H6664" i="1"/>
  <c r="A6665" i="1"/>
  <c r="B6665" i="1"/>
  <c r="C6665" i="1"/>
  <c r="D6665" i="1"/>
  <c r="E6665" i="1"/>
  <c r="F6665" i="1"/>
  <c r="H6665" i="1"/>
  <c r="A6666" i="1"/>
  <c r="B6666" i="1"/>
  <c r="C6666" i="1"/>
  <c r="D6666" i="1"/>
  <c r="E6666" i="1"/>
  <c r="F6666" i="1"/>
  <c r="H6666" i="1"/>
  <c r="A6667" i="1"/>
  <c r="B6667" i="1"/>
  <c r="C6667" i="1"/>
  <c r="D6667" i="1"/>
  <c r="E6667" i="1"/>
  <c r="F6667" i="1"/>
  <c r="H6667" i="1"/>
  <c r="A6668" i="1"/>
  <c r="B6668" i="1"/>
  <c r="C6668" i="1"/>
  <c r="D6668" i="1"/>
  <c r="E6668" i="1"/>
  <c r="F6668" i="1"/>
  <c r="H6668" i="1"/>
  <c r="A6669" i="1"/>
  <c r="B6669" i="1"/>
  <c r="C6669" i="1"/>
  <c r="D6669" i="1"/>
  <c r="E6669" i="1"/>
  <c r="F6669" i="1"/>
  <c r="H6669" i="1"/>
  <c r="A6670" i="1"/>
  <c r="B6670" i="1"/>
  <c r="C6670" i="1"/>
  <c r="D6670" i="1"/>
  <c r="E6670" i="1"/>
  <c r="F6670" i="1"/>
  <c r="H6670" i="1"/>
  <c r="A6671" i="1"/>
  <c r="B6671" i="1"/>
  <c r="C6671" i="1"/>
  <c r="D6671" i="1"/>
  <c r="E6671" i="1"/>
  <c r="F6671" i="1"/>
  <c r="H6671" i="1"/>
  <c r="A6672" i="1"/>
  <c r="B6672" i="1"/>
  <c r="C6672" i="1"/>
  <c r="D6672" i="1"/>
  <c r="E6672" i="1"/>
  <c r="F6672" i="1"/>
  <c r="H6672" i="1"/>
  <c r="A6673" i="1"/>
  <c r="B6673" i="1"/>
  <c r="C6673" i="1"/>
  <c r="D6673" i="1"/>
  <c r="E6673" i="1"/>
  <c r="F6673" i="1"/>
  <c r="H6673" i="1"/>
  <c r="A6674" i="1"/>
  <c r="B6674" i="1"/>
  <c r="C6674" i="1"/>
  <c r="D6674" i="1"/>
  <c r="E6674" i="1"/>
  <c r="F6674" i="1"/>
  <c r="H6674" i="1"/>
  <c r="A6675" i="1"/>
  <c r="B6675" i="1"/>
  <c r="C6675" i="1"/>
  <c r="D6675" i="1"/>
  <c r="E6675" i="1"/>
  <c r="F6675" i="1"/>
  <c r="H6675" i="1"/>
  <c r="A6676" i="1"/>
  <c r="B6676" i="1"/>
  <c r="C6676" i="1"/>
  <c r="D6676" i="1"/>
  <c r="E6676" i="1"/>
  <c r="F6676" i="1"/>
  <c r="H6676" i="1"/>
  <c r="A6677" i="1"/>
  <c r="B6677" i="1"/>
  <c r="C6677" i="1"/>
  <c r="D6677" i="1"/>
  <c r="E6677" i="1"/>
  <c r="F6677" i="1"/>
  <c r="H6677" i="1"/>
  <c r="A6678" i="1"/>
  <c r="B6678" i="1"/>
  <c r="C6678" i="1"/>
  <c r="D6678" i="1"/>
  <c r="E6678" i="1"/>
  <c r="F6678" i="1"/>
  <c r="H6678" i="1"/>
  <c r="A6679" i="1"/>
  <c r="B6679" i="1"/>
  <c r="C6679" i="1"/>
  <c r="D6679" i="1"/>
  <c r="E6679" i="1"/>
  <c r="F6679" i="1"/>
  <c r="H6679" i="1"/>
  <c r="A6680" i="1"/>
  <c r="B6680" i="1"/>
  <c r="C6680" i="1"/>
  <c r="D6680" i="1"/>
  <c r="E6680" i="1"/>
  <c r="F6680" i="1"/>
  <c r="H6680" i="1"/>
  <c r="A6681" i="1"/>
  <c r="B6681" i="1"/>
  <c r="C6681" i="1"/>
  <c r="D6681" i="1"/>
  <c r="E6681" i="1"/>
  <c r="F6681" i="1"/>
  <c r="H6681" i="1"/>
  <c r="A6682" i="1"/>
  <c r="B6682" i="1"/>
  <c r="C6682" i="1"/>
  <c r="D6682" i="1"/>
  <c r="E6682" i="1"/>
  <c r="F6682" i="1"/>
  <c r="H6682" i="1"/>
  <c r="A6683" i="1"/>
  <c r="B6683" i="1"/>
  <c r="C6683" i="1"/>
  <c r="D6683" i="1"/>
  <c r="E6683" i="1"/>
  <c r="F6683" i="1"/>
  <c r="H6683" i="1"/>
  <c r="A6684" i="1"/>
  <c r="B6684" i="1"/>
  <c r="C6684" i="1"/>
  <c r="D6684" i="1"/>
  <c r="E6684" i="1"/>
  <c r="F6684" i="1"/>
  <c r="H6684" i="1"/>
  <c r="A6685" i="1"/>
  <c r="B6685" i="1"/>
  <c r="C6685" i="1"/>
  <c r="D6685" i="1"/>
  <c r="E6685" i="1"/>
  <c r="F6685" i="1"/>
  <c r="H6685" i="1"/>
  <c r="A6686" i="1"/>
  <c r="B6686" i="1"/>
  <c r="C6686" i="1"/>
  <c r="D6686" i="1"/>
  <c r="E6686" i="1"/>
  <c r="F6686" i="1"/>
  <c r="H6686" i="1"/>
  <c r="A6687" i="1"/>
  <c r="B6687" i="1"/>
  <c r="C6687" i="1"/>
  <c r="D6687" i="1"/>
  <c r="E6687" i="1"/>
  <c r="F6687" i="1"/>
  <c r="H6687" i="1"/>
  <c r="A6688" i="1"/>
  <c r="B6688" i="1"/>
  <c r="C6688" i="1"/>
  <c r="D6688" i="1"/>
  <c r="E6688" i="1"/>
  <c r="F6688" i="1"/>
  <c r="H6688" i="1"/>
  <c r="A6689" i="1"/>
  <c r="B6689" i="1"/>
  <c r="C6689" i="1"/>
  <c r="D6689" i="1"/>
  <c r="E6689" i="1"/>
  <c r="F6689" i="1"/>
  <c r="H6689" i="1"/>
  <c r="A6690" i="1"/>
  <c r="B6690" i="1"/>
  <c r="C6690" i="1"/>
  <c r="D6690" i="1"/>
  <c r="E6690" i="1"/>
  <c r="F6690" i="1"/>
  <c r="H6690" i="1"/>
  <c r="A6691" i="1"/>
  <c r="B6691" i="1"/>
  <c r="C6691" i="1"/>
  <c r="D6691" i="1"/>
  <c r="E6691" i="1"/>
  <c r="F6691" i="1"/>
  <c r="H6691" i="1"/>
  <c r="A6692" i="1"/>
  <c r="B6692" i="1"/>
  <c r="C6692" i="1"/>
  <c r="D6692" i="1"/>
  <c r="E6692" i="1"/>
  <c r="F6692" i="1"/>
  <c r="H6692" i="1"/>
  <c r="A6693" i="1"/>
  <c r="B6693" i="1"/>
  <c r="C6693" i="1"/>
  <c r="D6693" i="1"/>
  <c r="E6693" i="1"/>
  <c r="F6693" i="1"/>
  <c r="H6693" i="1"/>
  <c r="A6694" i="1"/>
  <c r="B6694" i="1"/>
  <c r="C6694" i="1"/>
  <c r="D6694" i="1"/>
  <c r="E6694" i="1"/>
  <c r="F6694" i="1"/>
  <c r="H6694" i="1"/>
  <c r="A6695" i="1"/>
  <c r="B6695" i="1"/>
  <c r="C6695" i="1"/>
  <c r="D6695" i="1"/>
  <c r="E6695" i="1"/>
  <c r="F6695" i="1"/>
  <c r="H6695" i="1"/>
  <c r="A6696" i="1"/>
  <c r="B6696" i="1"/>
  <c r="C6696" i="1"/>
  <c r="D6696" i="1"/>
  <c r="E6696" i="1"/>
  <c r="F6696" i="1"/>
  <c r="H6696" i="1"/>
  <c r="A6697" i="1"/>
  <c r="B6697" i="1"/>
  <c r="C6697" i="1"/>
  <c r="D6697" i="1"/>
  <c r="E6697" i="1"/>
  <c r="F6697" i="1"/>
  <c r="H6697" i="1"/>
  <c r="A6698" i="1"/>
  <c r="B6698" i="1"/>
  <c r="C6698" i="1"/>
  <c r="D6698" i="1"/>
  <c r="E6698" i="1"/>
  <c r="F6698" i="1"/>
  <c r="H6698" i="1"/>
  <c r="A6699" i="1"/>
  <c r="B6699" i="1"/>
  <c r="C6699" i="1"/>
  <c r="D6699" i="1"/>
  <c r="E6699" i="1"/>
  <c r="F6699" i="1"/>
  <c r="H6699" i="1"/>
  <c r="A6700" i="1"/>
  <c r="B6700" i="1"/>
  <c r="C6700" i="1"/>
  <c r="D6700" i="1"/>
  <c r="E6700" i="1"/>
  <c r="F6700" i="1"/>
  <c r="H6700" i="1"/>
  <c r="A6701" i="1"/>
  <c r="B6701" i="1"/>
  <c r="C6701" i="1"/>
  <c r="D6701" i="1"/>
  <c r="E6701" i="1"/>
  <c r="F6701" i="1"/>
  <c r="H6701" i="1"/>
  <c r="A6702" i="1"/>
  <c r="B6702" i="1"/>
  <c r="C6702" i="1"/>
  <c r="D6702" i="1"/>
  <c r="E6702" i="1"/>
  <c r="F6702" i="1"/>
  <c r="H6702" i="1"/>
  <c r="A6703" i="1"/>
  <c r="B6703" i="1"/>
  <c r="C6703" i="1"/>
  <c r="D6703" i="1"/>
  <c r="E6703" i="1"/>
  <c r="F6703" i="1"/>
  <c r="H6703" i="1"/>
  <c r="A6704" i="1"/>
  <c r="B6704" i="1"/>
  <c r="C6704" i="1"/>
  <c r="D6704" i="1"/>
  <c r="E6704" i="1"/>
  <c r="F6704" i="1"/>
  <c r="H6704" i="1"/>
  <c r="A6705" i="1"/>
  <c r="B6705" i="1"/>
  <c r="C6705" i="1"/>
  <c r="D6705" i="1"/>
  <c r="E6705" i="1"/>
  <c r="F6705" i="1"/>
  <c r="H6705" i="1"/>
  <c r="A6706" i="1"/>
  <c r="B6706" i="1"/>
  <c r="C6706" i="1"/>
  <c r="D6706" i="1"/>
  <c r="E6706" i="1"/>
  <c r="F6706" i="1"/>
  <c r="H6706" i="1"/>
  <c r="A6707" i="1"/>
  <c r="B6707" i="1"/>
  <c r="C6707" i="1"/>
  <c r="D6707" i="1"/>
  <c r="E6707" i="1"/>
  <c r="F6707" i="1"/>
  <c r="H6707" i="1"/>
  <c r="A6708" i="1"/>
  <c r="B6708" i="1"/>
  <c r="C6708" i="1"/>
  <c r="D6708" i="1"/>
  <c r="E6708" i="1"/>
  <c r="F6708" i="1"/>
  <c r="H6708" i="1"/>
  <c r="A6709" i="1"/>
  <c r="B6709" i="1"/>
  <c r="C6709" i="1"/>
  <c r="D6709" i="1"/>
  <c r="E6709" i="1"/>
  <c r="F6709" i="1"/>
  <c r="H6709" i="1"/>
  <c r="A6710" i="1"/>
  <c r="B6710" i="1"/>
  <c r="C6710" i="1"/>
  <c r="D6710" i="1"/>
  <c r="E6710" i="1"/>
  <c r="F6710" i="1"/>
  <c r="H6710" i="1"/>
  <c r="A6711" i="1"/>
  <c r="B6711" i="1"/>
  <c r="C6711" i="1"/>
  <c r="D6711" i="1"/>
  <c r="E6711" i="1"/>
  <c r="F6711" i="1"/>
  <c r="H6711" i="1"/>
  <c r="A6712" i="1"/>
  <c r="B6712" i="1"/>
  <c r="C6712" i="1"/>
  <c r="D6712" i="1"/>
  <c r="E6712" i="1"/>
  <c r="F6712" i="1"/>
  <c r="H6712" i="1"/>
  <c r="A6713" i="1"/>
  <c r="B6713" i="1"/>
  <c r="C6713" i="1"/>
  <c r="D6713" i="1"/>
  <c r="E6713" i="1"/>
  <c r="F6713" i="1"/>
  <c r="H6713" i="1"/>
  <c r="A6714" i="1"/>
  <c r="B6714" i="1"/>
  <c r="C6714" i="1"/>
  <c r="D6714" i="1"/>
  <c r="E6714" i="1"/>
  <c r="F6714" i="1"/>
  <c r="H6714" i="1"/>
  <c r="A6715" i="1"/>
  <c r="B6715" i="1"/>
  <c r="C6715" i="1"/>
  <c r="D6715" i="1"/>
  <c r="E6715" i="1"/>
  <c r="F6715" i="1"/>
  <c r="H6715" i="1"/>
  <c r="A6716" i="1"/>
  <c r="B6716" i="1"/>
  <c r="C6716" i="1"/>
  <c r="D6716" i="1"/>
  <c r="E6716" i="1"/>
  <c r="F6716" i="1"/>
  <c r="H6716" i="1"/>
  <c r="A6717" i="1"/>
  <c r="B6717" i="1"/>
  <c r="C6717" i="1"/>
  <c r="D6717" i="1"/>
  <c r="E6717" i="1"/>
  <c r="F6717" i="1"/>
  <c r="H6717" i="1"/>
  <c r="A6718" i="1"/>
  <c r="B6718" i="1"/>
  <c r="C6718" i="1"/>
  <c r="D6718" i="1"/>
  <c r="E6718" i="1"/>
  <c r="F6718" i="1"/>
  <c r="H6718" i="1"/>
  <c r="A6719" i="1"/>
  <c r="B6719" i="1"/>
  <c r="C6719" i="1"/>
  <c r="D6719" i="1"/>
  <c r="E6719" i="1"/>
  <c r="F6719" i="1"/>
  <c r="H6719" i="1"/>
  <c r="A6720" i="1"/>
  <c r="B6720" i="1"/>
  <c r="C6720" i="1"/>
  <c r="D6720" i="1"/>
  <c r="E6720" i="1"/>
  <c r="F6720" i="1"/>
  <c r="H6720" i="1"/>
  <c r="A6721" i="1"/>
  <c r="B6721" i="1"/>
  <c r="C6721" i="1"/>
  <c r="D6721" i="1"/>
  <c r="E6721" i="1"/>
  <c r="F6721" i="1"/>
  <c r="H6721" i="1"/>
  <c r="A6722" i="1"/>
  <c r="B6722" i="1"/>
  <c r="C6722" i="1"/>
  <c r="D6722" i="1"/>
  <c r="E6722" i="1"/>
  <c r="F6722" i="1"/>
  <c r="H6722" i="1"/>
  <c r="A6723" i="1"/>
  <c r="B6723" i="1"/>
  <c r="C6723" i="1"/>
  <c r="D6723" i="1"/>
  <c r="E6723" i="1"/>
  <c r="F6723" i="1"/>
  <c r="H6723" i="1"/>
  <c r="A6724" i="1"/>
  <c r="B6724" i="1"/>
  <c r="C6724" i="1"/>
  <c r="D6724" i="1"/>
  <c r="E6724" i="1"/>
  <c r="F6724" i="1"/>
  <c r="H6724" i="1"/>
  <c r="A6725" i="1"/>
  <c r="B6725" i="1"/>
  <c r="C6725" i="1"/>
  <c r="D6725" i="1"/>
  <c r="E6725" i="1"/>
  <c r="F6725" i="1"/>
  <c r="H6725" i="1"/>
  <c r="A6726" i="1"/>
  <c r="B6726" i="1"/>
  <c r="C6726" i="1"/>
  <c r="D6726" i="1"/>
  <c r="E6726" i="1"/>
  <c r="F6726" i="1"/>
  <c r="H6726" i="1"/>
  <c r="A6727" i="1"/>
  <c r="B6727" i="1"/>
  <c r="C6727" i="1"/>
  <c r="D6727" i="1"/>
  <c r="E6727" i="1"/>
  <c r="F6727" i="1"/>
  <c r="H6727" i="1"/>
  <c r="A6728" i="1"/>
  <c r="B6728" i="1"/>
  <c r="C6728" i="1"/>
  <c r="D6728" i="1"/>
  <c r="E6728" i="1"/>
  <c r="F6728" i="1"/>
  <c r="H6728" i="1"/>
  <c r="A6729" i="1"/>
  <c r="B6729" i="1"/>
  <c r="C6729" i="1"/>
  <c r="D6729" i="1"/>
  <c r="E6729" i="1"/>
  <c r="F6729" i="1"/>
  <c r="H6729" i="1"/>
  <c r="A6730" i="1"/>
  <c r="B6730" i="1"/>
  <c r="C6730" i="1"/>
  <c r="D6730" i="1"/>
  <c r="E6730" i="1"/>
  <c r="F6730" i="1"/>
  <c r="H6730" i="1"/>
  <c r="A6731" i="1"/>
  <c r="B6731" i="1"/>
  <c r="C6731" i="1"/>
  <c r="D6731" i="1"/>
  <c r="E6731" i="1"/>
  <c r="F6731" i="1"/>
  <c r="H6731" i="1"/>
  <c r="A6732" i="1"/>
  <c r="B6732" i="1"/>
  <c r="C6732" i="1"/>
  <c r="D6732" i="1"/>
  <c r="E6732" i="1"/>
  <c r="F6732" i="1"/>
  <c r="H6732" i="1"/>
  <c r="A6733" i="1"/>
  <c r="B6733" i="1"/>
  <c r="C6733" i="1"/>
  <c r="D6733" i="1"/>
  <c r="E6733" i="1"/>
  <c r="F6733" i="1"/>
  <c r="H6733" i="1"/>
  <c r="A6734" i="1"/>
  <c r="B6734" i="1"/>
  <c r="C6734" i="1"/>
  <c r="D6734" i="1"/>
  <c r="E6734" i="1"/>
  <c r="F6734" i="1"/>
  <c r="H6734" i="1"/>
  <c r="A6735" i="1"/>
  <c r="B6735" i="1"/>
  <c r="C6735" i="1"/>
  <c r="D6735" i="1"/>
  <c r="E6735" i="1"/>
  <c r="F6735" i="1"/>
  <c r="H6735" i="1"/>
  <c r="A6736" i="1"/>
  <c r="B6736" i="1"/>
  <c r="C6736" i="1"/>
  <c r="D6736" i="1"/>
  <c r="E6736" i="1"/>
  <c r="F6736" i="1"/>
  <c r="H6736" i="1"/>
  <c r="A6737" i="1"/>
  <c r="B6737" i="1"/>
  <c r="C6737" i="1"/>
  <c r="D6737" i="1"/>
  <c r="E6737" i="1"/>
  <c r="F6737" i="1"/>
  <c r="H6737" i="1"/>
  <c r="A6738" i="1"/>
  <c r="B6738" i="1"/>
  <c r="C6738" i="1"/>
  <c r="D6738" i="1"/>
  <c r="E6738" i="1"/>
  <c r="F6738" i="1"/>
  <c r="H6738" i="1"/>
  <c r="A6739" i="1"/>
  <c r="B6739" i="1"/>
  <c r="C6739" i="1"/>
  <c r="D6739" i="1"/>
  <c r="E6739" i="1"/>
  <c r="F6739" i="1"/>
  <c r="H6739" i="1"/>
  <c r="A6740" i="1"/>
  <c r="B6740" i="1"/>
  <c r="C6740" i="1"/>
  <c r="D6740" i="1"/>
  <c r="E6740" i="1"/>
  <c r="F6740" i="1"/>
  <c r="H6740" i="1"/>
  <c r="A6741" i="1"/>
  <c r="B6741" i="1"/>
  <c r="C6741" i="1"/>
  <c r="D6741" i="1"/>
  <c r="E6741" i="1"/>
  <c r="F6741" i="1"/>
  <c r="H6741" i="1"/>
  <c r="A6742" i="1"/>
  <c r="B6742" i="1"/>
  <c r="C6742" i="1"/>
  <c r="D6742" i="1"/>
  <c r="E6742" i="1"/>
  <c r="F6742" i="1"/>
  <c r="H6742" i="1"/>
  <c r="A6743" i="1"/>
  <c r="B6743" i="1"/>
  <c r="C6743" i="1"/>
  <c r="D6743" i="1"/>
  <c r="E6743" i="1"/>
  <c r="F6743" i="1"/>
  <c r="H6743" i="1"/>
  <c r="A6744" i="1"/>
  <c r="B6744" i="1"/>
  <c r="C6744" i="1"/>
  <c r="D6744" i="1"/>
  <c r="E6744" i="1"/>
  <c r="F6744" i="1"/>
  <c r="H6744" i="1"/>
  <c r="A6745" i="1"/>
  <c r="B6745" i="1"/>
  <c r="C6745" i="1"/>
  <c r="D6745" i="1"/>
  <c r="E6745" i="1"/>
  <c r="F6745" i="1"/>
  <c r="H6745" i="1"/>
  <c r="A6746" i="1"/>
  <c r="B6746" i="1"/>
  <c r="C6746" i="1"/>
  <c r="D6746" i="1"/>
  <c r="E6746" i="1"/>
  <c r="F6746" i="1"/>
  <c r="H6746" i="1"/>
  <c r="A6747" i="1"/>
  <c r="B6747" i="1"/>
  <c r="C6747" i="1"/>
  <c r="D6747" i="1"/>
  <c r="E6747" i="1"/>
  <c r="F6747" i="1"/>
  <c r="H6747" i="1"/>
  <c r="A6748" i="1"/>
  <c r="B6748" i="1"/>
  <c r="C6748" i="1"/>
  <c r="D6748" i="1"/>
  <c r="E6748" i="1"/>
  <c r="F6748" i="1"/>
  <c r="H6748" i="1"/>
  <c r="A6749" i="1"/>
  <c r="B6749" i="1"/>
  <c r="C6749" i="1"/>
  <c r="D6749" i="1"/>
  <c r="E6749" i="1"/>
  <c r="F6749" i="1"/>
  <c r="H6749" i="1"/>
  <c r="A6750" i="1"/>
  <c r="B6750" i="1"/>
  <c r="C6750" i="1"/>
  <c r="D6750" i="1"/>
  <c r="E6750" i="1"/>
  <c r="F6750" i="1"/>
  <c r="H6750" i="1"/>
  <c r="A6751" i="1"/>
  <c r="B6751" i="1"/>
  <c r="C6751" i="1"/>
  <c r="D6751" i="1"/>
  <c r="E6751" i="1"/>
  <c r="F6751" i="1"/>
  <c r="H6751" i="1"/>
  <c r="A6752" i="1"/>
  <c r="B6752" i="1"/>
  <c r="C6752" i="1"/>
  <c r="D6752" i="1"/>
  <c r="E6752" i="1"/>
  <c r="F6752" i="1"/>
  <c r="H6752" i="1"/>
  <c r="A6753" i="1"/>
  <c r="B6753" i="1"/>
  <c r="C6753" i="1"/>
  <c r="D6753" i="1"/>
  <c r="E6753" i="1"/>
  <c r="F6753" i="1"/>
  <c r="H6753" i="1"/>
  <c r="A6754" i="1"/>
  <c r="B6754" i="1"/>
  <c r="C6754" i="1"/>
  <c r="D6754" i="1"/>
  <c r="E6754" i="1"/>
  <c r="F6754" i="1"/>
  <c r="H6754" i="1"/>
  <c r="A6755" i="1"/>
  <c r="B6755" i="1"/>
  <c r="C6755" i="1"/>
  <c r="D6755" i="1"/>
  <c r="E6755" i="1"/>
  <c r="F6755" i="1"/>
  <c r="H6755" i="1"/>
  <c r="A6756" i="1"/>
  <c r="B6756" i="1"/>
  <c r="C6756" i="1"/>
  <c r="D6756" i="1"/>
  <c r="E6756" i="1"/>
  <c r="F6756" i="1"/>
  <c r="H6756" i="1"/>
  <c r="A6757" i="1"/>
  <c r="B6757" i="1"/>
  <c r="C6757" i="1"/>
  <c r="D6757" i="1"/>
  <c r="E6757" i="1"/>
  <c r="F6757" i="1"/>
  <c r="H6757" i="1"/>
  <c r="A6758" i="1"/>
  <c r="B6758" i="1"/>
  <c r="C6758" i="1"/>
  <c r="D6758" i="1"/>
  <c r="E6758" i="1"/>
  <c r="F6758" i="1"/>
  <c r="H6758" i="1"/>
  <c r="A6759" i="1"/>
  <c r="B6759" i="1"/>
  <c r="C6759" i="1"/>
  <c r="D6759" i="1"/>
  <c r="E6759" i="1"/>
  <c r="F6759" i="1"/>
  <c r="H6759" i="1"/>
  <c r="A6760" i="1"/>
  <c r="B6760" i="1"/>
  <c r="C6760" i="1"/>
  <c r="D6760" i="1"/>
  <c r="E6760" i="1"/>
  <c r="F6760" i="1"/>
  <c r="H6760" i="1"/>
  <c r="A6761" i="1"/>
  <c r="B6761" i="1"/>
  <c r="C6761" i="1"/>
  <c r="D6761" i="1"/>
  <c r="E6761" i="1"/>
  <c r="F6761" i="1"/>
  <c r="H6761" i="1"/>
  <c r="A6762" i="1"/>
  <c r="B6762" i="1"/>
  <c r="C6762" i="1"/>
  <c r="D6762" i="1"/>
  <c r="E6762" i="1"/>
  <c r="F6762" i="1"/>
  <c r="H6762" i="1"/>
  <c r="A6763" i="1"/>
  <c r="B6763" i="1"/>
  <c r="C6763" i="1"/>
  <c r="D6763" i="1"/>
  <c r="E6763" i="1"/>
  <c r="F6763" i="1"/>
  <c r="H6763" i="1"/>
  <c r="A6764" i="1"/>
  <c r="B6764" i="1"/>
  <c r="C6764" i="1"/>
  <c r="D6764" i="1"/>
  <c r="E6764" i="1"/>
  <c r="F6764" i="1"/>
  <c r="H6764" i="1"/>
  <c r="A6765" i="1"/>
  <c r="B6765" i="1"/>
  <c r="C6765" i="1"/>
  <c r="D6765" i="1"/>
  <c r="E6765" i="1"/>
  <c r="F6765" i="1"/>
  <c r="H6765" i="1"/>
  <c r="A6766" i="1"/>
  <c r="B6766" i="1"/>
  <c r="C6766" i="1"/>
  <c r="D6766" i="1"/>
  <c r="E6766" i="1"/>
  <c r="F6766" i="1"/>
  <c r="H6766" i="1"/>
  <c r="A6767" i="1"/>
  <c r="B6767" i="1"/>
  <c r="C6767" i="1"/>
  <c r="D6767" i="1"/>
  <c r="E6767" i="1"/>
  <c r="F6767" i="1"/>
  <c r="H6767" i="1"/>
  <c r="A6768" i="1"/>
  <c r="B6768" i="1"/>
  <c r="C6768" i="1"/>
  <c r="D6768" i="1"/>
  <c r="E6768" i="1"/>
  <c r="F6768" i="1"/>
  <c r="H6768" i="1"/>
  <c r="A6769" i="1"/>
  <c r="B6769" i="1"/>
  <c r="C6769" i="1"/>
  <c r="D6769" i="1"/>
  <c r="E6769" i="1"/>
  <c r="F6769" i="1"/>
  <c r="H6769" i="1"/>
  <c r="A6770" i="1"/>
  <c r="B6770" i="1"/>
  <c r="C6770" i="1"/>
  <c r="D6770" i="1"/>
  <c r="E6770" i="1"/>
  <c r="F6770" i="1"/>
  <c r="H6770" i="1"/>
  <c r="A6771" i="1"/>
  <c r="B6771" i="1"/>
  <c r="C6771" i="1"/>
  <c r="D6771" i="1"/>
  <c r="E6771" i="1"/>
  <c r="F6771" i="1"/>
  <c r="H6771" i="1"/>
  <c r="A6772" i="1"/>
  <c r="B6772" i="1"/>
  <c r="C6772" i="1"/>
  <c r="D6772" i="1"/>
  <c r="E6772" i="1"/>
  <c r="F6772" i="1"/>
  <c r="H6772" i="1"/>
  <c r="A6773" i="1"/>
  <c r="B6773" i="1"/>
  <c r="C6773" i="1"/>
  <c r="D6773" i="1"/>
  <c r="E6773" i="1"/>
  <c r="F6773" i="1"/>
  <c r="H6773" i="1"/>
  <c r="A6774" i="1"/>
  <c r="B6774" i="1"/>
  <c r="C6774" i="1"/>
  <c r="D6774" i="1"/>
  <c r="E6774" i="1"/>
  <c r="F6774" i="1"/>
  <c r="H6774" i="1"/>
  <c r="A6775" i="1"/>
  <c r="B6775" i="1"/>
  <c r="C6775" i="1"/>
  <c r="D6775" i="1"/>
  <c r="E6775" i="1"/>
  <c r="F6775" i="1"/>
  <c r="H6775" i="1"/>
  <c r="A6776" i="1"/>
  <c r="B6776" i="1"/>
  <c r="C6776" i="1"/>
  <c r="D6776" i="1"/>
  <c r="E6776" i="1"/>
  <c r="F6776" i="1"/>
  <c r="H6776" i="1"/>
  <c r="A6777" i="1"/>
  <c r="B6777" i="1"/>
  <c r="C6777" i="1"/>
  <c r="D6777" i="1"/>
  <c r="E6777" i="1"/>
  <c r="F6777" i="1"/>
  <c r="H6777" i="1"/>
  <c r="A6778" i="1"/>
  <c r="B6778" i="1"/>
  <c r="C6778" i="1"/>
  <c r="D6778" i="1"/>
  <c r="E6778" i="1"/>
  <c r="F6778" i="1"/>
  <c r="H6778" i="1"/>
  <c r="A6779" i="1"/>
  <c r="B6779" i="1"/>
  <c r="C6779" i="1"/>
  <c r="D6779" i="1"/>
  <c r="E6779" i="1"/>
  <c r="F6779" i="1"/>
  <c r="H6779" i="1"/>
  <c r="A6780" i="1"/>
  <c r="B6780" i="1"/>
  <c r="C6780" i="1"/>
  <c r="D6780" i="1"/>
  <c r="E6780" i="1"/>
  <c r="F6780" i="1"/>
  <c r="H6780" i="1"/>
  <c r="A6781" i="1"/>
  <c r="B6781" i="1"/>
  <c r="C6781" i="1"/>
  <c r="D6781" i="1"/>
  <c r="E6781" i="1"/>
  <c r="F6781" i="1"/>
  <c r="H6781" i="1"/>
  <c r="A6782" i="1"/>
  <c r="B6782" i="1"/>
  <c r="C6782" i="1"/>
  <c r="D6782" i="1"/>
  <c r="E6782" i="1"/>
  <c r="F6782" i="1"/>
  <c r="H6782" i="1"/>
  <c r="A6783" i="1"/>
  <c r="B6783" i="1"/>
  <c r="C6783" i="1"/>
  <c r="D6783" i="1"/>
  <c r="E6783" i="1"/>
  <c r="F6783" i="1"/>
  <c r="H6783" i="1"/>
  <c r="A6784" i="1"/>
  <c r="B6784" i="1"/>
  <c r="C6784" i="1"/>
  <c r="D6784" i="1"/>
  <c r="E6784" i="1"/>
  <c r="F6784" i="1"/>
  <c r="H6784" i="1"/>
  <c r="A6785" i="1"/>
  <c r="B6785" i="1"/>
  <c r="C6785" i="1"/>
  <c r="D6785" i="1"/>
  <c r="E6785" i="1"/>
  <c r="F6785" i="1"/>
  <c r="H6785" i="1"/>
  <c r="A6786" i="1"/>
  <c r="B6786" i="1"/>
  <c r="C6786" i="1"/>
  <c r="D6786" i="1"/>
  <c r="E6786" i="1"/>
  <c r="F6786" i="1"/>
  <c r="H6786" i="1"/>
  <c r="A6787" i="1"/>
  <c r="B6787" i="1"/>
  <c r="C6787" i="1"/>
  <c r="D6787" i="1"/>
  <c r="E6787" i="1"/>
  <c r="F6787" i="1"/>
  <c r="H6787" i="1"/>
  <c r="A6788" i="1"/>
  <c r="B6788" i="1"/>
  <c r="C6788" i="1"/>
  <c r="D6788" i="1"/>
  <c r="E6788" i="1"/>
  <c r="F6788" i="1"/>
  <c r="H6788" i="1"/>
  <c r="A6789" i="1"/>
  <c r="B6789" i="1"/>
  <c r="C6789" i="1"/>
  <c r="D6789" i="1"/>
  <c r="E6789" i="1"/>
  <c r="F6789" i="1"/>
  <c r="H6789" i="1"/>
  <c r="A6790" i="1"/>
  <c r="B6790" i="1"/>
  <c r="C6790" i="1"/>
  <c r="D6790" i="1"/>
  <c r="E6790" i="1"/>
  <c r="F6790" i="1"/>
  <c r="H6790" i="1"/>
  <c r="A6791" i="1"/>
  <c r="B6791" i="1"/>
  <c r="C6791" i="1"/>
  <c r="D6791" i="1"/>
  <c r="E6791" i="1"/>
  <c r="F6791" i="1"/>
  <c r="H6791" i="1"/>
  <c r="A6792" i="1"/>
  <c r="B6792" i="1"/>
  <c r="C6792" i="1"/>
  <c r="D6792" i="1"/>
  <c r="E6792" i="1"/>
  <c r="F6792" i="1"/>
  <c r="H6792" i="1"/>
  <c r="A6793" i="1"/>
  <c r="B6793" i="1"/>
  <c r="C6793" i="1"/>
  <c r="D6793" i="1"/>
  <c r="E6793" i="1"/>
  <c r="F6793" i="1"/>
  <c r="H6793" i="1"/>
  <c r="A6794" i="1"/>
  <c r="B6794" i="1"/>
  <c r="C6794" i="1"/>
  <c r="D6794" i="1"/>
  <c r="E6794" i="1"/>
  <c r="F6794" i="1"/>
  <c r="H6794" i="1"/>
  <c r="A6795" i="1"/>
  <c r="B6795" i="1"/>
  <c r="C6795" i="1"/>
  <c r="D6795" i="1"/>
  <c r="E6795" i="1"/>
  <c r="F6795" i="1"/>
  <c r="H6795" i="1"/>
  <c r="A6796" i="1"/>
  <c r="B6796" i="1"/>
  <c r="C6796" i="1"/>
  <c r="D6796" i="1"/>
  <c r="E6796" i="1"/>
  <c r="F6796" i="1"/>
  <c r="H6796" i="1"/>
  <c r="A6797" i="1"/>
  <c r="B6797" i="1"/>
  <c r="C6797" i="1"/>
  <c r="D6797" i="1"/>
  <c r="E6797" i="1"/>
  <c r="F6797" i="1"/>
  <c r="H6797" i="1"/>
  <c r="A6798" i="1"/>
  <c r="B6798" i="1"/>
  <c r="C6798" i="1"/>
  <c r="D6798" i="1"/>
  <c r="E6798" i="1"/>
  <c r="F6798" i="1"/>
  <c r="H6798" i="1"/>
  <c r="A6799" i="1"/>
  <c r="B6799" i="1"/>
  <c r="C6799" i="1"/>
  <c r="D6799" i="1"/>
  <c r="E6799" i="1"/>
  <c r="F6799" i="1"/>
  <c r="H6799" i="1"/>
  <c r="A6800" i="1"/>
  <c r="B6800" i="1"/>
  <c r="C6800" i="1"/>
  <c r="D6800" i="1"/>
  <c r="E6800" i="1"/>
  <c r="F6800" i="1"/>
  <c r="H6800" i="1"/>
  <c r="A6801" i="1"/>
  <c r="B6801" i="1"/>
  <c r="C6801" i="1"/>
  <c r="D6801" i="1"/>
  <c r="E6801" i="1"/>
  <c r="F6801" i="1"/>
  <c r="H6801" i="1"/>
  <c r="A6802" i="1"/>
  <c r="B6802" i="1"/>
  <c r="C6802" i="1"/>
  <c r="D6802" i="1"/>
  <c r="E6802" i="1"/>
  <c r="F6802" i="1"/>
  <c r="H6802" i="1"/>
  <c r="A6803" i="1"/>
  <c r="B6803" i="1"/>
  <c r="C6803" i="1"/>
  <c r="D6803" i="1"/>
  <c r="E6803" i="1"/>
  <c r="F6803" i="1"/>
  <c r="H6803" i="1"/>
  <c r="A6804" i="1"/>
  <c r="B6804" i="1"/>
  <c r="C6804" i="1"/>
  <c r="D6804" i="1"/>
  <c r="E6804" i="1"/>
  <c r="F6804" i="1"/>
  <c r="H6804" i="1"/>
  <c r="A6805" i="1"/>
  <c r="B6805" i="1"/>
  <c r="C6805" i="1"/>
  <c r="D6805" i="1"/>
  <c r="E6805" i="1"/>
  <c r="F6805" i="1"/>
  <c r="H6805" i="1"/>
  <c r="A6806" i="1"/>
  <c r="B6806" i="1"/>
  <c r="C6806" i="1"/>
  <c r="D6806" i="1"/>
  <c r="E6806" i="1"/>
  <c r="F6806" i="1"/>
  <c r="H6806" i="1"/>
  <c r="A6807" i="1"/>
  <c r="B6807" i="1"/>
  <c r="C6807" i="1"/>
  <c r="D6807" i="1"/>
  <c r="E6807" i="1"/>
  <c r="F6807" i="1"/>
  <c r="H6807" i="1"/>
  <c r="A6808" i="1"/>
  <c r="B6808" i="1"/>
  <c r="C6808" i="1"/>
  <c r="D6808" i="1"/>
  <c r="E6808" i="1"/>
  <c r="F6808" i="1"/>
  <c r="H6808" i="1"/>
  <c r="A6809" i="1"/>
  <c r="B6809" i="1"/>
  <c r="C6809" i="1"/>
  <c r="D6809" i="1"/>
  <c r="E6809" i="1"/>
  <c r="F6809" i="1"/>
  <c r="H6809" i="1"/>
  <c r="A6810" i="1"/>
  <c r="B6810" i="1"/>
  <c r="C6810" i="1"/>
  <c r="D6810" i="1"/>
  <c r="E6810" i="1"/>
  <c r="F6810" i="1"/>
  <c r="H6810" i="1"/>
  <c r="A6811" i="1"/>
  <c r="B6811" i="1"/>
  <c r="C6811" i="1"/>
  <c r="D6811" i="1"/>
  <c r="E6811" i="1"/>
  <c r="F6811" i="1"/>
  <c r="H6811" i="1"/>
  <c r="A6812" i="1"/>
  <c r="B6812" i="1"/>
  <c r="C6812" i="1"/>
  <c r="D6812" i="1"/>
  <c r="E6812" i="1"/>
  <c r="F6812" i="1"/>
  <c r="H6812" i="1"/>
  <c r="A6813" i="1"/>
  <c r="B6813" i="1"/>
  <c r="C6813" i="1"/>
  <c r="D6813" i="1"/>
  <c r="E6813" i="1"/>
  <c r="F6813" i="1"/>
  <c r="H6813" i="1"/>
  <c r="A6814" i="1"/>
  <c r="B6814" i="1"/>
  <c r="C6814" i="1"/>
  <c r="D6814" i="1"/>
  <c r="E6814" i="1"/>
  <c r="F6814" i="1"/>
  <c r="H6814" i="1"/>
  <c r="A6815" i="1"/>
  <c r="B6815" i="1"/>
  <c r="C6815" i="1"/>
  <c r="D6815" i="1"/>
  <c r="E6815" i="1"/>
  <c r="F6815" i="1"/>
  <c r="H6815" i="1"/>
  <c r="A6816" i="1"/>
  <c r="B6816" i="1"/>
  <c r="C6816" i="1"/>
  <c r="D6816" i="1"/>
  <c r="E6816" i="1"/>
  <c r="F6816" i="1"/>
  <c r="H6816" i="1"/>
  <c r="A6817" i="1"/>
  <c r="B6817" i="1"/>
  <c r="C6817" i="1"/>
  <c r="D6817" i="1"/>
  <c r="E6817" i="1"/>
  <c r="F6817" i="1"/>
  <c r="H6817" i="1"/>
  <c r="A6818" i="1"/>
  <c r="B6818" i="1"/>
  <c r="C6818" i="1"/>
  <c r="D6818" i="1"/>
  <c r="E6818" i="1"/>
  <c r="F6818" i="1"/>
  <c r="H6818" i="1"/>
  <c r="A6819" i="1"/>
  <c r="B6819" i="1"/>
  <c r="C6819" i="1"/>
  <c r="D6819" i="1"/>
  <c r="E6819" i="1"/>
  <c r="F6819" i="1"/>
  <c r="H6819" i="1"/>
  <c r="A6820" i="1"/>
  <c r="B6820" i="1"/>
  <c r="C6820" i="1"/>
  <c r="D6820" i="1"/>
  <c r="E6820" i="1"/>
  <c r="F6820" i="1"/>
  <c r="H6820" i="1"/>
  <c r="A6821" i="1"/>
  <c r="B6821" i="1"/>
  <c r="C6821" i="1"/>
  <c r="D6821" i="1"/>
  <c r="E6821" i="1"/>
  <c r="F6821" i="1"/>
  <c r="H6821" i="1"/>
  <c r="A6822" i="1"/>
  <c r="B6822" i="1"/>
  <c r="C6822" i="1"/>
  <c r="D6822" i="1"/>
  <c r="E6822" i="1"/>
  <c r="F6822" i="1"/>
  <c r="H6822" i="1"/>
  <c r="A6823" i="1"/>
  <c r="B6823" i="1"/>
  <c r="C6823" i="1"/>
  <c r="D6823" i="1"/>
  <c r="E6823" i="1"/>
  <c r="F6823" i="1"/>
  <c r="H6823" i="1"/>
  <c r="A6824" i="1"/>
  <c r="B6824" i="1"/>
  <c r="C6824" i="1"/>
  <c r="D6824" i="1"/>
  <c r="E6824" i="1"/>
  <c r="F6824" i="1"/>
  <c r="H6824" i="1"/>
  <c r="A6825" i="1"/>
  <c r="B6825" i="1"/>
  <c r="C6825" i="1"/>
  <c r="D6825" i="1"/>
  <c r="E6825" i="1"/>
  <c r="F6825" i="1"/>
  <c r="H6825" i="1"/>
  <c r="A6826" i="1"/>
  <c r="B6826" i="1"/>
  <c r="C6826" i="1"/>
  <c r="D6826" i="1"/>
  <c r="E6826" i="1"/>
  <c r="F6826" i="1"/>
  <c r="H6826" i="1"/>
  <c r="A6827" i="1"/>
  <c r="B6827" i="1"/>
  <c r="C6827" i="1"/>
  <c r="D6827" i="1"/>
  <c r="E6827" i="1"/>
  <c r="F6827" i="1"/>
  <c r="H6827" i="1"/>
  <c r="A6828" i="1"/>
  <c r="B6828" i="1"/>
  <c r="C6828" i="1"/>
  <c r="D6828" i="1"/>
  <c r="E6828" i="1"/>
  <c r="F6828" i="1"/>
  <c r="H6828" i="1"/>
  <c r="A6829" i="1"/>
  <c r="B6829" i="1"/>
  <c r="C6829" i="1"/>
  <c r="D6829" i="1"/>
  <c r="E6829" i="1"/>
  <c r="F6829" i="1"/>
  <c r="H6829" i="1"/>
  <c r="A6830" i="1"/>
  <c r="B6830" i="1"/>
  <c r="C6830" i="1"/>
  <c r="D6830" i="1"/>
  <c r="E6830" i="1"/>
  <c r="F6830" i="1"/>
  <c r="H6830" i="1"/>
  <c r="A6831" i="1"/>
  <c r="B6831" i="1"/>
  <c r="C6831" i="1"/>
  <c r="D6831" i="1"/>
  <c r="E6831" i="1"/>
  <c r="F6831" i="1"/>
  <c r="H6831" i="1"/>
  <c r="A6832" i="1"/>
  <c r="B6832" i="1"/>
  <c r="C6832" i="1"/>
  <c r="D6832" i="1"/>
  <c r="E6832" i="1"/>
  <c r="F6832" i="1"/>
  <c r="H6832" i="1"/>
  <c r="A6833" i="1"/>
  <c r="B6833" i="1"/>
  <c r="C6833" i="1"/>
  <c r="D6833" i="1"/>
  <c r="E6833" i="1"/>
  <c r="F6833" i="1"/>
  <c r="H6833" i="1"/>
  <c r="A6834" i="1"/>
  <c r="B6834" i="1"/>
  <c r="C6834" i="1"/>
  <c r="D6834" i="1"/>
  <c r="E6834" i="1"/>
  <c r="F6834" i="1"/>
  <c r="H6834" i="1"/>
  <c r="A6835" i="1"/>
  <c r="B6835" i="1"/>
  <c r="C6835" i="1"/>
  <c r="D6835" i="1"/>
  <c r="E6835" i="1"/>
  <c r="F6835" i="1"/>
  <c r="H6835" i="1"/>
  <c r="A6836" i="1"/>
  <c r="B6836" i="1"/>
  <c r="C6836" i="1"/>
  <c r="D6836" i="1"/>
  <c r="E6836" i="1"/>
  <c r="F6836" i="1"/>
  <c r="H6836" i="1"/>
  <c r="A6837" i="1"/>
  <c r="B6837" i="1"/>
  <c r="C6837" i="1"/>
  <c r="D6837" i="1"/>
  <c r="E6837" i="1"/>
  <c r="F6837" i="1"/>
  <c r="H6837" i="1"/>
  <c r="A6838" i="1"/>
  <c r="B6838" i="1"/>
  <c r="C6838" i="1"/>
  <c r="D6838" i="1"/>
  <c r="E6838" i="1"/>
  <c r="F6838" i="1"/>
  <c r="H6838" i="1"/>
  <c r="A6839" i="1"/>
  <c r="B6839" i="1"/>
  <c r="C6839" i="1"/>
  <c r="D6839" i="1"/>
  <c r="E6839" i="1"/>
  <c r="F6839" i="1"/>
  <c r="H6839" i="1"/>
  <c r="A6840" i="1"/>
  <c r="B6840" i="1"/>
  <c r="C6840" i="1"/>
  <c r="D6840" i="1"/>
  <c r="E6840" i="1"/>
  <c r="F6840" i="1"/>
  <c r="H6840" i="1"/>
  <c r="A6841" i="1"/>
  <c r="B6841" i="1"/>
  <c r="C6841" i="1"/>
  <c r="D6841" i="1"/>
  <c r="E6841" i="1"/>
  <c r="F6841" i="1"/>
  <c r="H6841" i="1"/>
  <c r="A6842" i="1"/>
  <c r="B6842" i="1"/>
  <c r="C6842" i="1"/>
  <c r="D6842" i="1"/>
  <c r="E6842" i="1"/>
  <c r="F6842" i="1"/>
  <c r="H6842" i="1"/>
  <c r="A6843" i="1"/>
  <c r="B6843" i="1"/>
  <c r="C6843" i="1"/>
  <c r="D6843" i="1"/>
  <c r="E6843" i="1"/>
  <c r="F6843" i="1"/>
  <c r="H6843" i="1"/>
  <c r="A6844" i="1"/>
  <c r="B6844" i="1"/>
  <c r="C6844" i="1"/>
  <c r="D6844" i="1"/>
  <c r="E6844" i="1"/>
  <c r="F6844" i="1"/>
  <c r="H6844" i="1"/>
  <c r="A6845" i="1"/>
  <c r="B6845" i="1"/>
  <c r="C6845" i="1"/>
  <c r="D6845" i="1"/>
  <c r="E6845" i="1"/>
  <c r="F6845" i="1"/>
  <c r="H6845" i="1"/>
  <c r="A6846" i="1"/>
  <c r="B6846" i="1"/>
  <c r="C6846" i="1"/>
  <c r="D6846" i="1"/>
  <c r="E6846" i="1"/>
  <c r="F6846" i="1"/>
  <c r="H6846" i="1"/>
  <c r="A6847" i="1"/>
  <c r="B6847" i="1"/>
  <c r="C6847" i="1"/>
  <c r="D6847" i="1"/>
  <c r="E6847" i="1"/>
  <c r="F6847" i="1"/>
  <c r="H6847" i="1"/>
  <c r="A6848" i="1"/>
  <c r="B6848" i="1"/>
  <c r="C6848" i="1"/>
  <c r="D6848" i="1"/>
  <c r="E6848" i="1"/>
  <c r="F6848" i="1"/>
  <c r="H6848" i="1"/>
  <c r="A6849" i="1"/>
  <c r="B6849" i="1"/>
  <c r="C6849" i="1"/>
  <c r="D6849" i="1"/>
  <c r="E6849" i="1"/>
  <c r="F6849" i="1"/>
  <c r="H6849" i="1"/>
  <c r="A6850" i="1"/>
  <c r="B6850" i="1"/>
  <c r="C6850" i="1"/>
  <c r="D6850" i="1"/>
  <c r="E6850" i="1"/>
  <c r="F6850" i="1"/>
  <c r="H6850" i="1"/>
  <c r="A6851" i="1"/>
  <c r="B6851" i="1"/>
  <c r="C6851" i="1"/>
  <c r="D6851" i="1"/>
  <c r="E6851" i="1"/>
  <c r="F6851" i="1"/>
  <c r="H6851" i="1"/>
  <c r="A6852" i="1"/>
  <c r="B6852" i="1"/>
  <c r="C6852" i="1"/>
  <c r="D6852" i="1"/>
  <c r="E6852" i="1"/>
  <c r="F6852" i="1"/>
  <c r="H6852" i="1"/>
  <c r="A6853" i="1"/>
  <c r="B6853" i="1"/>
  <c r="C6853" i="1"/>
  <c r="D6853" i="1"/>
  <c r="E6853" i="1"/>
  <c r="F6853" i="1"/>
  <c r="H6853" i="1"/>
  <c r="A6854" i="1"/>
  <c r="B6854" i="1"/>
  <c r="C6854" i="1"/>
  <c r="D6854" i="1"/>
  <c r="E6854" i="1"/>
  <c r="F6854" i="1"/>
  <c r="H6854" i="1"/>
  <c r="A6855" i="1"/>
  <c r="B6855" i="1"/>
  <c r="C6855" i="1"/>
  <c r="D6855" i="1"/>
  <c r="E6855" i="1"/>
  <c r="F6855" i="1"/>
  <c r="H6855" i="1"/>
  <c r="A6856" i="1"/>
  <c r="B6856" i="1"/>
  <c r="C6856" i="1"/>
  <c r="D6856" i="1"/>
  <c r="E6856" i="1"/>
  <c r="F6856" i="1"/>
  <c r="H6856" i="1"/>
  <c r="A6857" i="1"/>
  <c r="B6857" i="1"/>
  <c r="C6857" i="1"/>
  <c r="D6857" i="1"/>
  <c r="E6857" i="1"/>
  <c r="F6857" i="1"/>
  <c r="H6857" i="1"/>
  <c r="A6858" i="1"/>
  <c r="B6858" i="1"/>
  <c r="C6858" i="1"/>
  <c r="D6858" i="1"/>
  <c r="E6858" i="1"/>
  <c r="F6858" i="1"/>
  <c r="H6858" i="1"/>
  <c r="A6859" i="1"/>
  <c r="B6859" i="1"/>
  <c r="C6859" i="1"/>
  <c r="D6859" i="1"/>
  <c r="E6859" i="1"/>
  <c r="F6859" i="1"/>
  <c r="H6859" i="1"/>
  <c r="A6860" i="1"/>
  <c r="B6860" i="1"/>
  <c r="C6860" i="1"/>
  <c r="D6860" i="1"/>
  <c r="E6860" i="1"/>
  <c r="F6860" i="1"/>
  <c r="H6860" i="1"/>
  <c r="A6861" i="1"/>
  <c r="B6861" i="1"/>
  <c r="C6861" i="1"/>
  <c r="D6861" i="1"/>
  <c r="E6861" i="1"/>
  <c r="F6861" i="1"/>
  <c r="H6861" i="1"/>
  <c r="A6862" i="1"/>
  <c r="B6862" i="1"/>
  <c r="C6862" i="1"/>
  <c r="D6862" i="1"/>
  <c r="E6862" i="1"/>
  <c r="F6862" i="1"/>
  <c r="H6862" i="1"/>
  <c r="A6863" i="1"/>
  <c r="B6863" i="1"/>
  <c r="C6863" i="1"/>
  <c r="D6863" i="1"/>
  <c r="E6863" i="1"/>
  <c r="F6863" i="1"/>
  <c r="H6863" i="1"/>
  <c r="A6864" i="1"/>
  <c r="B6864" i="1"/>
  <c r="C6864" i="1"/>
  <c r="D6864" i="1"/>
  <c r="E6864" i="1"/>
  <c r="F6864" i="1"/>
  <c r="H6864" i="1"/>
  <c r="A6865" i="1"/>
  <c r="B6865" i="1"/>
  <c r="C6865" i="1"/>
  <c r="D6865" i="1"/>
  <c r="E6865" i="1"/>
  <c r="F6865" i="1"/>
  <c r="H6865" i="1"/>
  <c r="A6866" i="1"/>
  <c r="B6866" i="1"/>
  <c r="C6866" i="1"/>
  <c r="D6866" i="1"/>
  <c r="E6866" i="1"/>
  <c r="F6866" i="1"/>
  <c r="H6866" i="1"/>
  <c r="A6867" i="1"/>
  <c r="B6867" i="1"/>
  <c r="C6867" i="1"/>
  <c r="D6867" i="1"/>
  <c r="E6867" i="1"/>
  <c r="F6867" i="1"/>
  <c r="H6867" i="1"/>
  <c r="A6868" i="1"/>
  <c r="B6868" i="1"/>
  <c r="C6868" i="1"/>
  <c r="D6868" i="1"/>
  <c r="E6868" i="1"/>
  <c r="F6868" i="1"/>
  <c r="H6868" i="1"/>
  <c r="A6869" i="1"/>
  <c r="B6869" i="1"/>
  <c r="C6869" i="1"/>
  <c r="D6869" i="1"/>
  <c r="E6869" i="1"/>
  <c r="F6869" i="1"/>
  <c r="H6869" i="1"/>
  <c r="A6870" i="1"/>
  <c r="B6870" i="1"/>
  <c r="C6870" i="1"/>
  <c r="D6870" i="1"/>
  <c r="E6870" i="1"/>
  <c r="F6870" i="1"/>
  <c r="H6870" i="1"/>
  <c r="A6871" i="1"/>
  <c r="B6871" i="1"/>
  <c r="C6871" i="1"/>
  <c r="D6871" i="1"/>
  <c r="E6871" i="1"/>
  <c r="F6871" i="1"/>
  <c r="H6871" i="1"/>
  <c r="A6872" i="1"/>
  <c r="B6872" i="1"/>
  <c r="C6872" i="1"/>
  <c r="D6872" i="1"/>
  <c r="E6872" i="1"/>
  <c r="F6872" i="1"/>
  <c r="H6872" i="1"/>
  <c r="A6873" i="1"/>
  <c r="B6873" i="1"/>
  <c r="C6873" i="1"/>
  <c r="D6873" i="1"/>
  <c r="E6873" i="1"/>
  <c r="F6873" i="1"/>
  <c r="H6873" i="1"/>
  <c r="A6874" i="1"/>
  <c r="B6874" i="1"/>
  <c r="C6874" i="1"/>
  <c r="D6874" i="1"/>
  <c r="E6874" i="1"/>
  <c r="F6874" i="1"/>
  <c r="H6874" i="1"/>
  <c r="A6875" i="1"/>
  <c r="B6875" i="1"/>
  <c r="C6875" i="1"/>
  <c r="D6875" i="1"/>
  <c r="E6875" i="1"/>
  <c r="F6875" i="1"/>
  <c r="H6875" i="1"/>
  <c r="A6876" i="1"/>
  <c r="B6876" i="1"/>
  <c r="C6876" i="1"/>
  <c r="D6876" i="1"/>
  <c r="E6876" i="1"/>
  <c r="F6876" i="1"/>
  <c r="H6876" i="1"/>
  <c r="A6877" i="1"/>
  <c r="B6877" i="1"/>
  <c r="C6877" i="1"/>
  <c r="D6877" i="1"/>
  <c r="E6877" i="1"/>
  <c r="F6877" i="1"/>
  <c r="H6877" i="1"/>
  <c r="A6878" i="1"/>
  <c r="B6878" i="1"/>
  <c r="C6878" i="1"/>
  <c r="D6878" i="1"/>
  <c r="E6878" i="1"/>
  <c r="F6878" i="1"/>
  <c r="H6878" i="1"/>
  <c r="A6879" i="1"/>
  <c r="B6879" i="1"/>
  <c r="C6879" i="1"/>
  <c r="D6879" i="1"/>
  <c r="E6879" i="1"/>
  <c r="F6879" i="1"/>
  <c r="H6879" i="1"/>
  <c r="A6880" i="1"/>
  <c r="B6880" i="1"/>
  <c r="C6880" i="1"/>
  <c r="D6880" i="1"/>
  <c r="E6880" i="1"/>
  <c r="F6880" i="1"/>
  <c r="H6880" i="1"/>
  <c r="A6881" i="1"/>
  <c r="B6881" i="1"/>
  <c r="C6881" i="1"/>
  <c r="D6881" i="1"/>
  <c r="E6881" i="1"/>
  <c r="F6881" i="1"/>
  <c r="H6881" i="1"/>
  <c r="A6882" i="1"/>
  <c r="B6882" i="1"/>
  <c r="C6882" i="1"/>
  <c r="D6882" i="1"/>
  <c r="E6882" i="1"/>
  <c r="F6882" i="1"/>
  <c r="H6882" i="1"/>
  <c r="A6883" i="1"/>
  <c r="B6883" i="1"/>
  <c r="C6883" i="1"/>
  <c r="D6883" i="1"/>
  <c r="E6883" i="1"/>
  <c r="F6883" i="1"/>
  <c r="H6883" i="1"/>
  <c r="A6884" i="1"/>
  <c r="B6884" i="1"/>
  <c r="C6884" i="1"/>
  <c r="D6884" i="1"/>
  <c r="E6884" i="1"/>
  <c r="F6884" i="1"/>
  <c r="H6884" i="1"/>
  <c r="A6885" i="1"/>
  <c r="B6885" i="1"/>
  <c r="C6885" i="1"/>
  <c r="D6885" i="1"/>
  <c r="E6885" i="1"/>
  <c r="F6885" i="1"/>
  <c r="H6885" i="1"/>
  <c r="A6886" i="1"/>
  <c r="B6886" i="1"/>
  <c r="C6886" i="1"/>
  <c r="D6886" i="1"/>
  <c r="E6886" i="1"/>
  <c r="F6886" i="1"/>
  <c r="H6886" i="1"/>
  <c r="A6887" i="1"/>
  <c r="B6887" i="1"/>
  <c r="C6887" i="1"/>
  <c r="D6887" i="1"/>
  <c r="E6887" i="1"/>
  <c r="F6887" i="1"/>
  <c r="H6887" i="1"/>
  <c r="A6888" i="1"/>
  <c r="B6888" i="1"/>
  <c r="C6888" i="1"/>
  <c r="D6888" i="1"/>
  <c r="E6888" i="1"/>
  <c r="F6888" i="1"/>
  <c r="H6888" i="1"/>
  <c r="A6889" i="1"/>
  <c r="B6889" i="1"/>
  <c r="C6889" i="1"/>
  <c r="D6889" i="1"/>
  <c r="E6889" i="1"/>
  <c r="F6889" i="1"/>
  <c r="H6889" i="1"/>
  <c r="A6890" i="1"/>
  <c r="B6890" i="1"/>
  <c r="C6890" i="1"/>
  <c r="D6890" i="1"/>
  <c r="E6890" i="1"/>
  <c r="F6890" i="1"/>
  <c r="H6890" i="1"/>
  <c r="A6891" i="1"/>
  <c r="B6891" i="1"/>
  <c r="C6891" i="1"/>
  <c r="D6891" i="1"/>
  <c r="E6891" i="1"/>
  <c r="F6891" i="1"/>
  <c r="H6891" i="1"/>
  <c r="A6892" i="1"/>
  <c r="B6892" i="1"/>
  <c r="C6892" i="1"/>
  <c r="D6892" i="1"/>
  <c r="E6892" i="1"/>
  <c r="F6892" i="1"/>
  <c r="H6892" i="1"/>
  <c r="A6893" i="1"/>
  <c r="B6893" i="1"/>
  <c r="C6893" i="1"/>
  <c r="D6893" i="1"/>
  <c r="E6893" i="1"/>
  <c r="F6893" i="1"/>
  <c r="H6893" i="1"/>
  <c r="A6894" i="1"/>
  <c r="B6894" i="1"/>
  <c r="C6894" i="1"/>
  <c r="D6894" i="1"/>
  <c r="E6894" i="1"/>
  <c r="F6894" i="1"/>
  <c r="H6894" i="1"/>
  <c r="A6895" i="1"/>
  <c r="B6895" i="1"/>
  <c r="C6895" i="1"/>
  <c r="D6895" i="1"/>
  <c r="E6895" i="1"/>
  <c r="F6895" i="1"/>
  <c r="H6895" i="1"/>
  <c r="A6896" i="1"/>
  <c r="B6896" i="1"/>
  <c r="C6896" i="1"/>
  <c r="D6896" i="1"/>
  <c r="E6896" i="1"/>
  <c r="F6896" i="1"/>
  <c r="H6896" i="1"/>
  <c r="A6897" i="1"/>
  <c r="B6897" i="1"/>
  <c r="C6897" i="1"/>
  <c r="D6897" i="1"/>
  <c r="E6897" i="1"/>
  <c r="F6897" i="1"/>
  <c r="H6897" i="1"/>
  <c r="A6898" i="1"/>
  <c r="B6898" i="1"/>
  <c r="C6898" i="1"/>
  <c r="D6898" i="1"/>
  <c r="E6898" i="1"/>
  <c r="F6898" i="1"/>
  <c r="H6898" i="1"/>
  <c r="A6899" i="1"/>
  <c r="B6899" i="1"/>
  <c r="C6899" i="1"/>
  <c r="D6899" i="1"/>
  <c r="E6899" i="1"/>
  <c r="F6899" i="1"/>
  <c r="H6899" i="1"/>
  <c r="A6900" i="1"/>
  <c r="B6900" i="1"/>
  <c r="C6900" i="1"/>
  <c r="D6900" i="1"/>
  <c r="E6900" i="1"/>
  <c r="F6900" i="1"/>
  <c r="H6900" i="1"/>
  <c r="A6901" i="1"/>
  <c r="B6901" i="1"/>
  <c r="C6901" i="1"/>
  <c r="D6901" i="1"/>
  <c r="E6901" i="1"/>
  <c r="F6901" i="1"/>
  <c r="H6901" i="1"/>
  <c r="A6902" i="1"/>
  <c r="B6902" i="1"/>
  <c r="C6902" i="1"/>
  <c r="D6902" i="1"/>
  <c r="E6902" i="1"/>
  <c r="F6902" i="1"/>
  <c r="H6902" i="1"/>
  <c r="A6903" i="1"/>
  <c r="B6903" i="1"/>
  <c r="C6903" i="1"/>
  <c r="D6903" i="1"/>
  <c r="E6903" i="1"/>
  <c r="F6903" i="1"/>
  <c r="H6903" i="1"/>
  <c r="A6904" i="1"/>
  <c r="B6904" i="1"/>
  <c r="C6904" i="1"/>
  <c r="D6904" i="1"/>
  <c r="E6904" i="1"/>
  <c r="F6904" i="1"/>
  <c r="H6904" i="1"/>
  <c r="A6905" i="1"/>
  <c r="B6905" i="1"/>
  <c r="C6905" i="1"/>
  <c r="D6905" i="1"/>
  <c r="E6905" i="1"/>
  <c r="F6905" i="1"/>
  <c r="H6905" i="1"/>
  <c r="A6906" i="1"/>
  <c r="B6906" i="1"/>
  <c r="C6906" i="1"/>
  <c r="D6906" i="1"/>
  <c r="E6906" i="1"/>
  <c r="F6906" i="1"/>
  <c r="H6906" i="1"/>
  <c r="A6907" i="1"/>
  <c r="B6907" i="1"/>
  <c r="C6907" i="1"/>
  <c r="D6907" i="1"/>
  <c r="E6907" i="1"/>
  <c r="F6907" i="1"/>
  <c r="H6907" i="1"/>
  <c r="A6908" i="1"/>
  <c r="B6908" i="1"/>
  <c r="C6908" i="1"/>
  <c r="D6908" i="1"/>
  <c r="E6908" i="1"/>
  <c r="F6908" i="1"/>
  <c r="H6908" i="1"/>
  <c r="A6909" i="1"/>
  <c r="B6909" i="1"/>
  <c r="C6909" i="1"/>
  <c r="D6909" i="1"/>
  <c r="E6909" i="1"/>
  <c r="F6909" i="1"/>
  <c r="H6909" i="1"/>
  <c r="A6910" i="1"/>
  <c r="B6910" i="1"/>
  <c r="C6910" i="1"/>
  <c r="D6910" i="1"/>
  <c r="E6910" i="1"/>
  <c r="F6910" i="1"/>
  <c r="H6910" i="1"/>
  <c r="A6911" i="1"/>
  <c r="B6911" i="1"/>
  <c r="C6911" i="1"/>
  <c r="D6911" i="1"/>
  <c r="E6911" i="1"/>
  <c r="F6911" i="1"/>
  <c r="H6911" i="1"/>
  <c r="A6912" i="1"/>
  <c r="B6912" i="1"/>
  <c r="C6912" i="1"/>
  <c r="D6912" i="1"/>
  <c r="E6912" i="1"/>
  <c r="F6912" i="1"/>
  <c r="H6912" i="1"/>
  <c r="A6913" i="1"/>
  <c r="B6913" i="1"/>
  <c r="C6913" i="1"/>
  <c r="D6913" i="1"/>
  <c r="E6913" i="1"/>
  <c r="F6913" i="1"/>
  <c r="H6913" i="1"/>
  <c r="A6914" i="1"/>
  <c r="B6914" i="1"/>
  <c r="C6914" i="1"/>
  <c r="D6914" i="1"/>
  <c r="E6914" i="1"/>
  <c r="F6914" i="1"/>
  <c r="H6914" i="1"/>
  <c r="A6915" i="1"/>
  <c r="B6915" i="1"/>
  <c r="C6915" i="1"/>
  <c r="D6915" i="1"/>
  <c r="E6915" i="1"/>
  <c r="F6915" i="1"/>
  <c r="H6915" i="1"/>
  <c r="A6916" i="1"/>
  <c r="B6916" i="1"/>
  <c r="C6916" i="1"/>
  <c r="D6916" i="1"/>
  <c r="E6916" i="1"/>
  <c r="F6916" i="1"/>
  <c r="H6916" i="1"/>
  <c r="A6917" i="1"/>
  <c r="B6917" i="1"/>
  <c r="C6917" i="1"/>
  <c r="D6917" i="1"/>
  <c r="E6917" i="1"/>
  <c r="F6917" i="1"/>
  <c r="H6917" i="1"/>
  <c r="A6918" i="1"/>
  <c r="B6918" i="1"/>
  <c r="C6918" i="1"/>
  <c r="D6918" i="1"/>
  <c r="E6918" i="1"/>
  <c r="F6918" i="1"/>
  <c r="H6918" i="1"/>
  <c r="A6919" i="1"/>
  <c r="B6919" i="1"/>
  <c r="C6919" i="1"/>
  <c r="D6919" i="1"/>
  <c r="E6919" i="1"/>
  <c r="F6919" i="1"/>
  <c r="H6919" i="1"/>
  <c r="A6920" i="1"/>
  <c r="B6920" i="1"/>
  <c r="C6920" i="1"/>
  <c r="D6920" i="1"/>
  <c r="E6920" i="1"/>
  <c r="F6920" i="1"/>
  <c r="H6920" i="1"/>
  <c r="A6921" i="1"/>
  <c r="B6921" i="1"/>
  <c r="C6921" i="1"/>
  <c r="D6921" i="1"/>
  <c r="E6921" i="1"/>
  <c r="F6921" i="1"/>
  <c r="H6921" i="1"/>
  <c r="A6922" i="1"/>
  <c r="B6922" i="1"/>
  <c r="C6922" i="1"/>
  <c r="D6922" i="1"/>
  <c r="E6922" i="1"/>
  <c r="F6922" i="1"/>
  <c r="H6922" i="1"/>
  <c r="A6923" i="1"/>
  <c r="B6923" i="1"/>
  <c r="C6923" i="1"/>
  <c r="D6923" i="1"/>
  <c r="E6923" i="1"/>
  <c r="F6923" i="1"/>
  <c r="H6923" i="1"/>
  <c r="A6924" i="1"/>
  <c r="B6924" i="1"/>
  <c r="C6924" i="1"/>
  <c r="D6924" i="1"/>
  <c r="E6924" i="1"/>
  <c r="F6924" i="1"/>
  <c r="H6924" i="1"/>
  <c r="A6925" i="1"/>
  <c r="B6925" i="1"/>
  <c r="C6925" i="1"/>
  <c r="D6925" i="1"/>
  <c r="E6925" i="1"/>
  <c r="F6925" i="1"/>
  <c r="H6925" i="1"/>
  <c r="A6926" i="1"/>
  <c r="B6926" i="1"/>
  <c r="C6926" i="1"/>
  <c r="D6926" i="1"/>
  <c r="E6926" i="1"/>
  <c r="F6926" i="1"/>
  <c r="H6926" i="1"/>
  <c r="A6927" i="1"/>
  <c r="B6927" i="1"/>
  <c r="C6927" i="1"/>
  <c r="D6927" i="1"/>
  <c r="E6927" i="1"/>
  <c r="F6927" i="1"/>
  <c r="H6927" i="1"/>
  <c r="A6928" i="1"/>
  <c r="B6928" i="1"/>
  <c r="C6928" i="1"/>
  <c r="D6928" i="1"/>
  <c r="E6928" i="1"/>
  <c r="F6928" i="1"/>
  <c r="H6928" i="1"/>
  <c r="A6929" i="1"/>
  <c r="B6929" i="1"/>
  <c r="C6929" i="1"/>
  <c r="D6929" i="1"/>
  <c r="E6929" i="1"/>
  <c r="F6929" i="1"/>
  <c r="H6929" i="1"/>
  <c r="A6930" i="1"/>
  <c r="B6930" i="1"/>
  <c r="C6930" i="1"/>
  <c r="D6930" i="1"/>
  <c r="E6930" i="1"/>
  <c r="F6930" i="1"/>
  <c r="H6930" i="1"/>
  <c r="A6931" i="1"/>
  <c r="B6931" i="1"/>
  <c r="C6931" i="1"/>
  <c r="D6931" i="1"/>
  <c r="E6931" i="1"/>
  <c r="F6931" i="1"/>
  <c r="H6931" i="1"/>
  <c r="A6932" i="1"/>
  <c r="B6932" i="1"/>
  <c r="C6932" i="1"/>
  <c r="D6932" i="1"/>
  <c r="E6932" i="1"/>
  <c r="F6932" i="1"/>
  <c r="H6932" i="1"/>
  <c r="A6933" i="1"/>
  <c r="B6933" i="1"/>
  <c r="C6933" i="1"/>
  <c r="D6933" i="1"/>
  <c r="E6933" i="1"/>
  <c r="F6933" i="1"/>
  <c r="H6933" i="1"/>
  <c r="A6934" i="1"/>
  <c r="B6934" i="1"/>
  <c r="C6934" i="1"/>
  <c r="D6934" i="1"/>
  <c r="E6934" i="1"/>
  <c r="F6934" i="1"/>
  <c r="H6934" i="1"/>
  <c r="A6935" i="1"/>
  <c r="B6935" i="1"/>
  <c r="C6935" i="1"/>
  <c r="D6935" i="1"/>
  <c r="E6935" i="1"/>
  <c r="F6935" i="1"/>
  <c r="H6935" i="1"/>
  <c r="A6936" i="1"/>
  <c r="B6936" i="1"/>
  <c r="C6936" i="1"/>
  <c r="D6936" i="1"/>
  <c r="E6936" i="1"/>
  <c r="F6936" i="1"/>
  <c r="H6936" i="1"/>
  <c r="A6937" i="1"/>
  <c r="B6937" i="1"/>
  <c r="C6937" i="1"/>
  <c r="D6937" i="1"/>
  <c r="E6937" i="1"/>
  <c r="F6937" i="1"/>
  <c r="H6937" i="1"/>
  <c r="A6938" i="1"/>
  <c r="B6938" i="1"/>
  <c r="C6938" i="1"/>
  <c r="D6938" i="1"/>
  <c r="E6938" i="1"/>
  <c r="F6938" i="1"/>
  <c r="H6938" i="1"/>
  <c r="A6939" i="1"/>
  <c r="B6939" i="1"/>
  <c r="C6939" i="1"/>
  <c r="D6939" i="1"/>
  <c r="E6939" i="1"/>
  <c r="F6939" i="1"/>
  <c r="H6939" i="1"/>
  <c r="A6940" i="1"/>
  <c r="B6940" i="1"/>
  <c r="C6940" i="1"/>
  <c r="D6940" i="1"/>
  <c r="E6940" i="1"/>
  <c r="F6940" i="1"/>
  <c r="H6940" i="1"/>
  <c r="A6941" i="1"/>
  <c r="B6941" i="1"/>
  <c r="C6941" i="1"/>
  <c r="D6941" i="1"/>
  <c r="E6941" i="1"/>
  <c r="F6941" i="1"/>
  <c r="H6941" i="1"/>
  <c r="A6942" i="1"/>
  <c r="B6942" i="1"/>
  <c r="C6942" i="1"/>
  <c r="D6942" i="1"/>
  <c r="E6942" i="1"/>
  <c r="F6942" i="1"/>
  <c r="H6942" i="1"/>
  <c r="A6943" i="1"/>
  <c r="B6943" i="1"/>
  <c r="C6943" i="1"/>
  <c r="D6943" i="1"/>
  <c r="E6943" i="1"/>
  <c r="F6943" i="1"/>
  <c r="H6943" i="1"/>
  <c r="A6944" i="1"/>
  <c r="B6944" i="1"/>
  <c r="C6944" i="1"/>
  <c r="D6944" i="1"/>
  <c r="E6944" i="1"/>
  <c r="F6944" i="1"/>
  <c r="H6944" i="1"/>
  <c r="A6945" i="1"/>
  <c r="B6945" i="1"/>
  <c r="C6945" i="1"/>
  <c r="D6945" i="1"/>
  <c r="E6945" i="1"/>
  <c r="F6945" i="1"/>
  <c r="H6945" i="1"/>
  <c r="A6946" i="1"/>
  <c r="B6946" i="1"/>
  <c r="C6946" i="1"/>
  <c r="D6946" i="1"/>
  <c r="E6946" i="1"/>
  <c r="F6946" i="1"/>
  <c r="H6946" i="1"/>
  <c r="A6947" i="1"/>
  <c r="B6947" i="1"/>
  <c r="C6947" i="1"/>
  <c r="D6947" i="1"/>
  <c r="E6947" i="1"/>
  <c r="F6947" i="1"/>
  <c r="H6947" i="1"/>
  <c r="A6948" i="1"/>
  <c r="B6948" i="1"/>
  <c r="C6948" i="1"/>
  <c r="D6948" i="1"/>
  <c r="E6948" i="1"/>
  <c r="F6948" i="1"/>
  <c r="H6948" i="1"/>
  <c r="A6949" i="1"/>
  <c r="B6949" i="1"/>
  <c r="C6949" i="1"/>
  <c r="D6949" i="1"/>
  <c r="E6949" i="1"/>
  <c r="F6949" i="1"/>
  <c r="H6949" i="1"/>
  <c r="A6950" i="1"/>
  <c r="B6950" i="1"/>
  <c r="C6950" i="1"/>
  <c r="D6950" i="1"/>
  <c r="E6950" i="1"/>
  <c r="F6950" i="1"/>
  <c r="H6950" i="1"/>
  <c r="A6951" i="1"/>
  <c r="B6951" i="1"/>
  <c r="C6951" i="1"/>
  <c r="D6951" i="1"/>
  <c r="E6951" i="1"/>
  <c r="F6951" i="1"/>
  <c r="H6951" i="1"/>
  <c r="A6952" i="1"/>
  <c r="B6952" i="1"/>
  <c r="C6952" i="1"/>
  <c r="D6952" i="1"/>
  <c r="E6952" i="1"/>
  <c r="F6952" i="1"/>
  <c r="H6952" i="1"/>
  <c r="A6953" i="1"/>
  <c r="B6953" i="1"/>
  <c r="C6953" i="1"/>
  <c r="D6953" i="1"/>
  <c r="E6953" i="1"/>
  <c r="F6953" i="1"/>
  <c r="H6953" i="1"/>
  <c r="A6954" i="1"/>
  <c r="B6954" i="1"/>
  <c r="C6954" i="1"/>
  <c r="D6954" i="1"/>
  <c r="E6954" i="1"/>
  <c r="F6954" i="1"/>
  <c r="H6954" i="1"/>
  <c r="A6955" i="1"/>
  <c r="B6955" i="1"/>
  <c r="C6955" i="1"/>
  <c r="D6955" i="1"/>
  <c r="E6955" i="1"/>
  <c r="F6955" i="1"/>
  <c r="H6955" i="1"/>
  <c r="A6956" i="1"/>
  <c r="B6956" i="1"/>
  <c r="C6956" i="1"/>
  <c r="D6956" i="1"/>
  <c r="E6956" i="1"/>
  <c r="F6956" i="1"/>
  <c r="H6956" i="1"/>
  <c r="A6957" i="1"/>
  <c r="B6957" i="1"/>
  <c r="C6957" i="1"/>
  <c r="D6957" i="1"/>
  <c r="E6957" i="1"/>
  <c r="F6957" i="1"/>
  <c r="H6957" i="1"/>
  <c r="A6958" i="1"/>
  <c r="B6958" i="1"/>
  <c r="C6958" i="1"/>
  <c r="D6958" i="1"/>
  <c r="E6958" i="1"/>
  <c r="F6958" i="1"/>
  <c r="H6958" i="1"/>
  <c r="A6959" i="1"/>
  <c r="B6959" i="1"/>
  <c r="C6959" i="1"/>
  <c r="D6959" i="1"/>
  <c r="E6959" i="1"/>
  <c r="F6959" i="1"/>
  <c r="H6959" i="1"/>
  <c r="A6960" i="1"/>
  <c r="B6960" i="1"/>
  <c r="C6960" i="1"/>
  <c r="D6960" i="1"/>
  <c r="E6960" i="1"/>
  <c r="F6960" i="1"/>
  <c r="H6960" i="1"/>
  <c r="A6961" i="1"/>
  <c r="B6961" i="1"/>
  <c r="C6961" i="1"/>
  <c r="D6961" i="1"/>
  <c r="E6961" i="1"/>
  <c r="F6961" i="1"/>
  <c r="H6961" i="1"/>
  <c r="A6962" i="1"/>
  <c r="B6962" i="1"/>
  <c r="C6962" i="1"/>
  <c r="D6962" i="1"/>
  <c r="E6962" i="1"/>
  <c r="F6962" i="1"/>
  <c r="H6962" i="1"/>
  <c r="A6963" i="1"/>
  <c r="B6963" i="1"/>
  <c r="C6963" i="1"/>
  <c r="D6963" i="1"/>
  <c r="E6963" i="1"/>
  <c r="F6963" i="1"/>
  <c r="H6963" i="1"/>
  <c r="A6964" i="1"/>
  <c r="B6964" i="1"/>
  <c r="C6964" i="1"/>
  <c r="D6964" i="1"/>
  <c r="E6964" i="1"/>
  <c r="F6964" i="1"/>
  <c r="H6964" i="1"/>
  <c r="A6965" i="1"/>
  <c r="B6965" i="1"/>
  <c r="C6965" i="1"/>
  <c r="D6965" i="1"/>
  <c r="E6965" i="1"/>
  <c r="F6965" i="1"/>
  <c r="H6965" i="1"/>
  <c r="A6966" i="1"/>
  <c r="B6966" i="1"/>
  <c r="C6966" i="1"/>
  <c r="D6966" i="1"/>
  <c r="E6966" i="1"/>
  <c r="F6966" i="1"/>
  <c r="H6966" i="1"/>
  <c r="A6967" i="1"/>
  <c r="B6967" i="1"/>
  <c r="C6967" i="1"/>
  <c r="D6967" i="1"/>
  <c r="E6967" i="1"/>
  <c r="F6967" i="1"/>
  <c r="H6967" i="1"/>
  <c r="A6968" i="1"/>
  <c r="B6968" i="1"/>
  <c r="C6968" i="1"/>
  <c r="D6968" i="1"/>
  <c r="E6968" i="1"/>
  <c r="F6968" i="1"/>
  <c r="H6968" i="1"/>
  <c r="A6969" i="1"/>
  <c r="B6969" i="1"/>
  <c r="C6969" i="1"/>
  <c r="D6969" i="1"/>
  <c r="E6969" i="1"/>
  <c r="F6969" i="1"/>
  <c r="H6969" i="1"/>
  <c r="A6970" i="1"/>
  <c r="B6970" i="1"/>
  <c r="C6970" i="1"/>
  <c r="D6970" i="1"/>
  <c r="E6970" i="1"/>
  <c r="F6970" i="1"/>
  <c r="H6970" i="1"/>
  <c r="A6971" i="1"/>
  <c r="B6971" i="1"/>
  <c r="C6971" i="1"/>
  <c r="D6971" i="1"/>
  <c r="E6971" i="1"/>
  <c r="F6971" i="1"/>
  <c r="H6971" i="1"/>
  <c r="A6972" i="1"/>
  <c r="B6972" i="1"/>
  <c r="C6972" i="1"/>
  <c r="D6972" i="1"/>
  <c r="E6972" i="1"/>
  <c r="F6972" i="1"/>
  <c r="H6972" i="1"/>
  <c r="A6973" i="1"/>
  <c r="B6973" i="1"/>
  <c r="C6973" i="1"/>
  <c r="D6973" i="1"/>
  <c r="E6973" i="1"/>
  <c r="F6973" i="1"/>
  <c r="H6973" i="1"/>
  <c r="A6974" i="1"/>
  <c r="B6974" i="1"/>
  <c r="C6974" i="1"/>
  <c r="D6974" i="1"/>
  <c r="E6974" i="1"/>
  <c r="F6974" i="1"/>
  <c r="H6974" i="1"/>
  <c r="A6975" i="1"/>
  <c r="B6975" i="1"/>
  <c r="C6975" i="1"/>
  <c r="D6975" i="1"/>
  <c r="E6975" i="1"/>
  <c r="F6975" i="1"/>
  <c r="H6975" i="1"/>
  <c r="A6976" i="1"/>
  <c r="B6976" i="1"/>
  <c r="C6976" i="1"/>
  <c r="D6976" i="1"/>
  <c r="E6976" i="1"/>
  <c r="F6976" i="1"/>
  <c r="H6976" i="1"/>
  <c r="A6977" i="1"/>
  <c r="B6977" i="1"/>
  <c r="C6977" i="1"/>
  <c r="D6977" i="1"/>
  <c r="E6977" i="1"/>
  <c r="F6977" i="1"/>
  <c r="H6977" i="1"/>
  <c r="A6978" i="1"/>
  <c r="B6978" i="1"/>
  <c r="C6978" i="1"/>
  <c r="D6978" i="1"/>
  <c r="E6978" i="1"/>
  <c r="F6978" i="1"/>
  <c r="H6978" i="1"/>
  <c r="A6979" i="1"/>
  <c r="B6979" i="1"/>
  <c r="C6979" i="1"/>
  <c r="D6979" i="1"/>
  <c r="E6979" i="1"/>
  <c r="F6979" i="1"/>
  <c r="H6979" i="1"/>
  <c r="A6980" i="1"/>
  <c r="B6980" i="1"/>
  <c r="C6980" i="1"/>
  <c r="D6980" i="1"/>
  <c r="E6980" i="1"/>
  <c r="F6980" i="1"/>
  <c r="H6980" i="1"/>
  <c r="A6981" i="1"/>
  <c r="B6981" i="1"/>
  <c r="C6981" i="1"/>
  <c r="D6981" i="1"/>
  <c r="E6981" i="1"/>
  <c r="F6981" i="1"/>
  <c r="H6981" i="1"/>
  <c r="A6982" i="1"/>
  <c r="B6982" i="1"/>
  <c r="C6982" i="1"/>
  <c r="D6982" i="1"/>
  <c r="E6982" i="1"/>
  <c r="F6982" i="1"/>
  <c r="H6982" i="1"/>
  <c r="A6983" i="1"/>
  <c r="B6983" i="1"/>
  <c r="C6983" i="1"/>
  <c r="D6983" i="1"/>
  <c r="E6983" i="1"/>
  <c r="F6983" i="1"/>
  <c r="H6983" i="1"/>
  <c r="A6984" i="1"/>
  <c r="B6984" i="1"/>
  <c r="C6984" i="1"/>
  <c r="D6984" i="1"/>
  <c r="E6984" i="1"/>
  <c r="F6984" i="1"/>
  <c r="H6984" i="1"/>
  <c r="A6985" i="1"/>
  <c r="B6985" i="1"/>
  <c r="C6985" i="1"/>
  <c r="D6985" i="1"/>
  <c r="E6985" i="1"/>
  <c r="F6985" i="1"/>
  <c r="H6985" i="1"/>
  <c r="A6986" i="1"/>
  <c r="B6986" i="1"/>
  <c r="C6986" i="1"/>
  <c r="D6986" i="1"/>
  <c r="E6986" i="1"/>
  <c r="F6986" i="1"/>
  <c r="H6986" i="1"/>
  <c r="A6987" i="1"/>
  <c r="B6987" i="1"/>
  <c r="C6987" i="1"/>
  <c r="D6987" i="1"/>
  <c r="E6987" i="1"/>
  <c r="F6987" i="1"/>
  <c r="H6987" i="1"/>
  <c r="A6988" i="1"/>
  <c r="B6988" i="1"/>
  <c r="C6988" i="1"/>
  <c r="D6988" i="1"/>
  <c r="E6988" i="1"/>
  <c r="F6988" i="1"/>
  <c r="H6988" i="1"/>
  <c r="A6989" i="1"/>
  <c r="B6989" i="1"/>
  <c r="C6989" i="1"/>
  <c r="D6989" i="1"/>
  <c r="E6989" i="1"/>
  <c r="F6989" i="1"/>
  <c r="H6989" i="1"/>
  <c r="A6990" i="1"/>
  <c r="B6990" i="1"/>
  <c r="C6990" i="1"/>
  <c r="D6990" i="1"/>
  <c r="E6990" i="1"/>
  <c r="F6990" i="1"/>
  <c r="H6990" i="1"/>
  <c r="A6991" i="1"/>
  <c r="B6991" i="1"/>
  <c r="C6991" i="1"/>
  <c r="D6991" i="1"/>
  <c r="E6991" i="1"/>
  <c r="F6991" i="1"/>
  <c r="H6991" i="1"/>
  <c r="A6992" i="1"/>
  <c r="B6992" i="1"/>
  <c r="C6992" i="1"/>
  <c r="D6992" i="1"/>
  <c r="E6992" i="1"/>
  <c r="F6992" i="1"/>
  <c r="H6992" i="1"/>
  <c r="A6993" i="1"/>
  <c r="B6993" i="1"/>
  <c r="C6993" i="1"/>
  <c r="D6993" i="1"/>
  <c r="E6993" i="1"/>
  <c r="F6993" i="1"/>
  <c r="H6993" i="1"/>
  <c r="A6994" i="1"/>
  <c r="B6994" i="1"/>
  <c r="C6994" i="1"/>
  <c r="D6994" i="1"/>
  <c r="E6994" i="1"/>
  <c r="F6994" i="1"/>
  <c r="H6994" i="1"/>
  <c r="A6995" i="1"/>
  <c r="B6995" i="1"/>
  <c r="C6995" i="1"/>
  <c r="D6995" i="1"/>
  <c r="E6995" i="1"/>
  <c r="F6995" i="1"/>
  <c r="H6995" i="1"/>
  <c r="A6996" i="1"/>
  <c r="B6996" i="1"/>
  <c r="C6996" i="1"/>
  <c r="D6996" i="1"/>
  <c r="E6996" i="1"/>
  <c r="F6996" i="1"/>
  <c r="H6996" i="1"/>
  <c r="A6997" i="1"/>
  <c r="B6997" i="1"/>
  <c r="C6997" i="1"/>
  <c r="D6997" i="1"/>
  <c r="E6997" i="1"/>
  <c r="F6997" i="1"/>
  <c r="H6997" i="1"/>
  <c r="A6998" i="1"/>
  <c r="B6998" i="1"/>
  <c r="C6998" i="1"/>
  <c r="D6998" i="1"/>
  <c r="E6998" i="1"/>
  <c r="F6998" i="1"/>
  <c r="H6998" i="1"/>
  <c r="A6999" i="1"/>
  <c r="B6999" i="1"/>
  <c r="C6999" i="1"/>
  <c r="D6999" i="1"/>
  <c r="E6999" i="1"/>
  <c r="F6999" i="1"/>
  <c r="H6999" i="1"/>
  <c r="A7000" i="1"/>
  <c r="B7000" i="1"/>
  <c r="C7000" i="1"/>
  <c r="D7000" i="1"/>
  <c r="E7000" i="1"/>
  <c r="F7000" i="1"/>
  <c r="H7000" i="1"/>
  <c r="A7001" i="1"/>
  <c r="B7001" i="1"/>
  <c r="C7001" i="1"/>
  <c r="D7001" i="1"/>
  <c r="E7001" i="1"/>
  <c r="F7001" i="1"/>
  <c r="H7001" i="1"/>
  <c r="A7002" i="1"/>
  <c r="B7002" i="1"/>
  <c r="C7002" i="1"/>
  <c r="D7002" i="1"/>
  <c r="E7002" i="1"/>
  <c r="F7002" i="1"/>
  <c r="H7002" i="1"/>
  <c r="A7003" i="1"/>
  <c r="B7003" i="1"/>
  <c r="C7003" i="1"/>
  <c r="D7003" i="1"/>
  <c r="E7003" i="1"/>
  <c r="F7003" i="1"/>
  <c r="H7003" i="1"/>
  <c r="A7004" i="1"/>
  <c r="B7004" i="1"/>
  <c r="C7004" i="1"/>
  <c r="D7004" i="1"/>
  <c r="E7004" i="1"/>
  <c r="F7004" i="1"/>
  <c r="H7004" i="1"/>
  <c r="A7005" i="1"/>
  <c r="B7005" i="1"/>
  <c r="C7005" i="1"/>
  <c r="D7005" i="1"/>
  <c r="E7005" i="1"/>
  <c r="F7005" i="1"/>
  <c r="H7005" i="1"/>
  <c r="A7006" i="1"/>
  <c r="B7006" i="1"/>
  <c r="C7006" i="1"/>
  <c r="D7006" i="1"/>
  <c r="E7006" i="1"/>
  <c r="F7006" i="1"/>
  <c r="H7006" i="1"/>
  <c r="A7007" i="1"/>
  <c r="B7007" i="1"/>
  <c r="C7007" i="1"/>
  <c r="D7007" i="1"/>
  <c r="E7007" i="1"/>
  <c r="F7007" i="1"/>
  <c r="H7007" i="1"/>
  <c r="A7008" i="1"/>
  <c r="B7008" i="1"/>
  <c r="C7008" i="1"/>
  <c r="D7008" i="1"/>
  <c r="E7008" i="1"/>
  <c r="F7008" i="1"/>
  <c r="H7008" i="1"/>
  <c r="A7009" i="1"/>
  <c r="B7009" i="1"/>
  <c r="C7009" i="1"/>
  <c r="D7009" i="1"/>
  <c r="E7009" i="1"/>
  <c r="F7009" i="1"/>
  <c r="H7009" i="1"/>
  <c r="A7010" i="1"/>
  <c r="B7010" i="1"/>
  <c r="C7010" i="1"/>
  <c r="D7010" i="1"/>
  <c r="E7010" i="1"/>
  <c r="F7010" i="1"/>
  <c r="H7010" i="1"/>
  <c r="A7011" i="1"/>
  <c r="B7011" i="1"/>
  <c r="C7011" i="1"/>
  <c r="D7011" i="1"/>
  <c r="E7011" i="1"/>
  <c r="F7011" i="1"/>
  <c r="H7011" i="1"/>
  <c r="A7012" i="1"/>
  <c r="B7012" i="1"/>
  <c r="C7012" i="1"/>
  <c r="D7012" i="1"/>
  <c r="E7012" i="1"/>
  <c r="F7012" i="1"/>
  <c r="H7012" i="1"/>
  <c r="A7013" i="1"/>
  <c r="B7013" i="1"/>
  <c r="C7013" i="1"/>
  <c r="D7013" i="1"/>
  <c r="E7013" i="1"/>
  <c r="F7013" i="1"/>
  <c r="H7013" i="1"/>
  <c r="A7014" i="1"/>
  <c r="B7014" i="1"/>
  <c r="C7014" i="1"/>
  <c r="D7014" i="1"/>
  <c r="E7014" i="1"/>
  <c r="F7014" i="1"/>
  <c r="H7014" i="1"/>
  <c r="A7015" i="1"/>
  <c r="B7015" i="1"/>
  <c r="C7015" i="1"/>
  <c r="D7015" i="1"/>
  <c r="E7015" i="1"/>
  <c r="F7015" i="1"/>
  <c r="H7015" i="1"/>
  <c r="A7016" i="1"/>
  <c r="B7016" i="1"/>
  <c r="C7016" i="1"/>
  <c r="D7016" i="1"/>
  <c r="E7016" i="1"/>
  <c r="F7016" i="1"/>
  <c r="H7016" i="1"/>
  <c r="A7017" i="1"/>
  <c r="B7017" i="1"/>
  <c r="C7017" i="1"/>
  <c r="D7017" i="1"/>
  <c r="E7017" i="1"/>
  <c r="F7017" i="1"/>
  <c r="H7017" i="1"/>
  <c r="A7018" i="1"/>
  <c r="B7018" i="1"/>
  <c r="C7018" i="1"/>
  <c r="D7018" i="1"/>
  <c r="E7018" i="1"/>
  <c r="F7018" i="1"/>
  <c r="H7018" i="1"/>
  <c r="A7019" i="1"/>
  <c r="B7019" i="1"/>
  <c r="C7019" i="1"/>
  <c r="D7019" i="1"/>
  <c r="E7019" i="1"/>
  <c r="F7019" i="1"/>
  <c r="H7019" i="1"/>
  <c r="A7020" i="1"/>
  <c r="B7020" i="1"/>
  <c r="C7020" i="1"/>
  <c r="D7020" i="1"/>
  <c r="E7020" i="1"/>
  <c r="F7020" i="1"/>
  <c r="H7020" i="1"/>
  <c r="A7021" i="1"/>
  <c r="B7021" i="1"/>
  <c r="C7021" i="1"/>
  <c r="D7021" i="1"/>
  <c r="E7021" i="1"/>
  <c r="F7021" i="1"/>
  <c r="H7021" i="1"/>
  <c r="A7022" i="1"/>
  <c r="B7022" i="1"/>
  <c r="C7022" i="1"/>
  <c r="D7022" i="1"/>
  <c r="E7022" i="1"/>
  <c r="F7022" i="1"/>
  <c r="H7022" i="1"/>
  <c r="A7023" i="1"/>
  <c r="B7023" i="1"/>
  <c r="C7023" i="1"/>
  <c r="D7023" i="1"/>
  <c r="E7023" i="1"/>
  <c r="F7023" i="1"/>
  <c r="H7023" i="1"/>
  <c r="A7024" i="1"/>
  <c r="B7024" i="1"/>
  <c r="C7024" i="1"/>
  <c r="D7024" i="1"/>
  <c r="E7024" i="1"/>
  <c r="F7024" i="1"/>
  <c r="H7024" i="1"/>
  <c r="A7025" i="1"/>
  <c r="B7025" i="1"/>
  <c r="C7025" i="1"/>
  <c r="D7025" i="1"/>
  <c r="E7025" i="1"/>
  <c r="F7025" i="1"/>
  <c r="H7025" i="1"/>
  <c r="A7026" i="1"/>
  <c r="B7026" i="1"/>
  <c r="C7026" i="1"/>
  <c r="D7026" i="1"/>
  <c r="E7026" i="1"/>
  <c r="F7026" i="1"/>
  <c r="H7026" i="1"/>
  <c r="A7027" i="1"/>
  <c r="B7027" i="1"/>
  <c r="C7027" i="1"/>
  <c r="D7027" i="1"/>
  <c r="E7027" i="1"/>
  <c r="F7027" i="1"/>
  <c r="H7027" i="1"/>
  <c r="A7028" i="1"/>
  <c r="B7028" i="1"/>
  <c r="C7028" i="1"/>
  <c r="D7028" i="1"/>
  <c r="E7028" i="1"/>
  <c r="F7028" i="1"/>
  <c r="H7028" i="1"/>
  <c r="A7029" i="1"/>
  <c r="B7029" i="1"/>
  <c r="C7029" i="1"/>
  <c r="D7029" i="1"/>
  <c r="E7029" i="1"/>
  <c r="F7029" i="1"/>
  <c r="H7029" i="1"/>
  <c r="A7030" i="1"/>
  <c r="B7030" i="1"/>
  <c r="C7030" i="1"/>
  <c r="D7030" i="1"/>
  <c r="E7030" i="1"/>
  <c r="F7030" i="1"/>
  <c r="H7030" i="1"/>
  <c r="A7031" i="1"/>
  <c r="B7031" i="1"/>
  <c r="C7031" i="1"/>
  <c r="D7031" i="1"/>
  <c r="E7031" i="1"/>
  <c r="F7031" i="1"/>
  <c r="H7031" i="1"/>
  <c r="A7032" i="1"/>
  <c r="B7032" i="1"/>
  <c r="C7032" i="1"/>
  <c r="D7032" i="1"/>
  <c r="E7032" i="1"/>
  <c r="F7032" i="1"/>
  <c r="H7032" i="1"/>
  <c r="A7033" i="1"/>
  <c r="B7033" i="1"/>
  <c r="C7033" i="1"/>
  <c r="D7033" i="1"/>
  <c r="E7033" i="1"/>
  <c r="F7033" i="1"/>
  <c r="H7033" i="1"/>
  <c r="A7034" i="1"/>
  <c r="B7034" i="1"/>
  <c r="C7034" i="1"/>
  <c r="D7034" i="1"/>
  <c r="E7034" i="1"/>
  <c r="F7034" i="1"/>
  <c r="H7034" i="1"/>
  <c r="A7035" i="1"/>
  <c r="B7035" i="1"/>
  <c r="C7035" i="1"/>
  <c r="D7035" i="1"/>
  <c r="E7035" i="1"/>
  <c r="F7035" i="1"/>
  <c r="H7035" i="1"/>
  <c r="A7036" i="1"/>
  <c r="B7036" i="1"/>
  <c r="C7036" i="1"/>
  <c r="D7036" i="1"/>
  <c r="E7036" i="1"/>
  <c r="F7036" i="1"/>
  <c r="H7036" i="1"/>
  <c r="A7037" i="1"/>
  <c r="B7037" i="1"/>
  <c r="C7037" i="1"/>
  <c r="D7037" i="1"/>
  <c r="E7037" i="1"/>
  <c r="F7037" i="1"/>
  <c r="H7037" i="1"/>
  <c r="A7038" i="1"/>
  <c r="B7038" i="1"/>
  <c r="C7038" i="1"/>
  <c r="D7038" i="1"/>
  <c r="E7038" i="1"/>
  <c r="F7038" i="1"/>
  <c r="H7038" i="1"/>
  <c r="A7039" i="1"/>
  <c r="B7039" i="1"/>
  <c r="C7039" i="1"/>
  <c r="D7039" i="1"/>
  <c r="E7039" i="1"/>
  <c r="F7039" i="1"/>
  <c r="H7039" i="1"/>
  <c r="A7040" i="1"/>
  <c r="B7040" i="1"/>
  <c r="C7040" i="1"/>
  <c r="D7040" i="1"/>
  <c r="E7040" i="1"/>
  <c r="F7040" i="1"/>
  <c r="H7040" i="1"/>
  <c r="A7041" i="1"/>
  <c r="B7041" i="1"/>
  <c r="C7041" i="1"/>
  <c r="D7041" i="1"/>
  <c r="E7041" i="1"/>
  <c r="F7041" i="1"/>
  <c r="H7041" i="1"/>
  <c r="A7042" i="1"/>
  <c r="B7042" i="1"/>
  <c r="C7042" i="1"/>
  <c r="D7042" i="1"/>
  <c r="E7042" i="1"/>
  <c r="F7042" i="1"/>
  <c r="H7042" i="1"/>
  <c r="A7043" i="1"/>
  <c r="B7043" i="1"/>
  <c r="C7043" i="1"/>
  <c r="D7043" i="1"/>
  <c r="E7043" i="1"/>
  <c r="F7043" i="1"/>
  <c r="H7043" i="1"/>
  <c r="A7044" i="1"/>
  <c r="B7044" i="1"/>
  <c r="C7044" i="1"/>
  <c r="D7044" i="1"/>
  <c r="E7044" i="1"/>
  <c r="F7044" i="1"/>
  <c r="H7044" i="1"/>
  <c r="A7045" i="1"/>
  <c r="B7045" i="1"/>
  <c r="C7045" i="1"/>
  <c r="D7045" i="1"/>
  <c r="E7045" i="1"/>
  <c r="F7045" i="1"/>
  <c r="H7045" i="1"/>
  <c r="A7046" i="1"/>
  <c r="B7046" i="1"/>
  <c r="C7046" i="1"/>
  <c r="D7046" i="1"/>
  <c r="E7046" i="1"/>
  <c r="F7046" i="1"/>
  <c r="H7046" i="1"/>
  <c r="A7047" i="1"/>
  <c r="B7047" i="1"/>
  <c r="C7047" i="1"/>
  <c r="D7047" i="1"/>
  <c r="E7047" i="1"/>
  <c r="F7047" i="1"/>
  <c r="H7047" i="1"/>
  <c r="A7048" i="1"/>
  <c r="B7048" i="1"/>
  <c r="C7048" i="1"/>
  <c r="D7048" i="1"/>
  <c r="E7048" i="1"/>
  <c r="F7048" i="1"/>
  <c r="H7048" i="1"/>
  <c r="A7049" i="1"/>
  <c r="B7049" i="1"/>
  <c r="C7049" i="1"/>
  <c r="D7049" i="1"/>
  <c r="E7049" i="1"/>
  <c r="F7049" i="1"/>
  <c r="H7049" i="1"/>
  <c r="A7050" i="1"/>
  <c r="B7050" i="1"/>
  <c r="C7050" i="1"/>
  <c r="D7050" i="1"/>
  <c r="E7050" i="1"/>
  <c r="F7050" i="1"/>
  <c r="H7050" i="1"/>
  <c r="A7051" i="1"/>
  <c r="B7051" i="1"/>
  <c r="C7051" i="1"/>
  <c r="D7051" i="1"/>
  <c r="E7051" i="1"/>
  <c r="F7051" i="1"/>
  <c r="H7051" i="1"/>
  <c r="A7052" i="1"/>
  <c r="B7052" i="1"/>
  <c r="C7052" i="1"/>
  <c r="D7052" i="1"/>
  <c r="E7052" i="1"/>
  <c r="F7052" i="1"/>
  <c r="H7052" i="1"/>
  <c r="A7053" i="1"/>
  <c r="B7053" i="1"/>
  <c r="C7053" i="1"/>
  <c r="D7053" i="1"/>
  <c r="E7053" i="1"/>
  <c r="F7053" i="1"/>
  <c r="H7053" i="1"/>
  <c r="A7054" i="1"/>
  <c r="B7054" i="1"/>
  <c r="C7054" i="1"/>
  <c r="D7054" i="1"/>
  <c r="E7054" i="1"/>
  <c r="F7054" i="1"/>
  <c r="H7054" i="1"/>
  <c r="A7055" i="1"/>
  <c r="B7055" i="1"/>
  <c r="C7055" i="1"/>
  <c r="D7055" i="1"/>
  <c r="E7055" i="1"/>
  <c r="F7055" i="1"/>
  <c r="H7055" i="1"/>
  <c r="A7056" i="1"/>
  <c r="B7056" i="1"/>
  <c r="C7056" i="1"/>
  <c r="D7056" i="1"/>
  <c r="E7056" i="1"/>
  <c r="F7056" i="1"/>
  <c r="H7056" i="1"/>
  <c r="A7057" i="1"/>
  <c r="B7057" i="1"/>
  <c r="C7057" i="1"/>
  <c r="D7057" i="1"/>
  <c r="E7057" i="1"/>
  <c r="F7057" i="1"/>
  <c r="H7057" i="1"/>
  <c r="A7058" i="1"/>
  <c r="B7058" i="1"/>
  <c r="C7058" i="1"/>
  <c r="D7058" i="1"/>
  <c r="E7058" i="1"/>
  <c r="F7058" i="1"/>
  <c r="H7058" i="1"/>
  <c r="A7059" i="1"/>
  <c r="B7059" i="1"/>
  <c r="C7059" i="1"/>
  <c r="D7059" i="1"/>
  <c r="E7059" i="1"/>
  <c r="F7059" i="1"/>
  <c r="H7059" i="1"/>
  <c r="A7060" i="1"/>
  <c r="B7060" i="1"/>
  <c r="C7060" i="1"/>
  <c r="D7060" i="1"/>
  <c r="E7060" i="1"/>
  <c r="F7060" i="1"/>
  <c r="H7060" i="1"/>
  <c r="A7061" i="1"/>
  <c r="B7061" i="1"/>
  <c r="C7061" i="1"/>
  <c r="D7061" i="1"/>
  <c r="E7061" i="1"/>
  <c r="F7061" i="1"/>
  <c r="H7061" i="1"/>
  <c r="A7062" i="1"/>
  <c r="B7062" i="1"/>
  <c r="C7062" i="1"/>
  <c r="D7062" i="1"/>
  <c r="E7062" i="1"/>
  <c r="F7062" i="1"/>
  <c r="H7062" i="1"/>
  <c r="A7063" i="1"/>
  <c r="B7063" i="1"/>
  <c r="C7063" i="1"/>
  <c r="D7063" i="1"/>
  <c r="E7063" i="1"/>
  <c r="F7063" i="1"/>
  <c r="H7063" i="1"/>
  <c r="A7064" i="1"/>
  <c r="B7064" i="1"/>
  <c r="C7064" i="1"/>
  <c r="D7064" i="1"/>
  <c r="E7064" i="1"/>
  <c r="F7064" i="1"/>
  <c r="H7064" i="1"/>
  <c r="A7065" i="1"/>
  <c r="B7065" i="1"/>
  <c r="C7065" i="1"/>
  <c r="D7065" i="1"/>
  <c r="E7065" i="1"/>
  <c r="F7065" i="1"/>
  <c r="H7065" i="1"/>
  <c r="A7066" i="1"/>
  <c r="B7066" i="1"/>
  <c r="C7066" i="1"/>
  <c r="D7066" i="1"/>
  <c r="E7066" i="1"/>
  <c r="F7066" i="1"/>
  <c r="H7066" i="1"/>
  <c r="A7067" i="1"/>
  <c r="B7067" i="1"/>
  <c r="C7067" i="1"/>
  <c r="D7067" i="1"/>
  <c r="E7067" i="1"/>
  <c r="F7067" i="1"/>
  <c r="H7067" i="1"/>
  <c r="A7068" i="1"/>
  <c r="B7068" i="1"/>
  <c r="C7068" i="1"/>
  <c r="D7068" i="1"/>
  <c r="E7068" i="1"/>
  <c r="F7068" i="1"/>
  <c r="H7068" i="1"/>
  <c r="A7069" i="1"/>
  <c r="B7069" i="1"/>
  <c r="C7069" i="1"/>
  <c r="D7069" i="1"/>
  <c r="E7069" i="1"/>
  <c r="F7069" i="1"/>
  <c r="H7069" i="1"/>
  <c r="A7070" i="1"/>
  <c r="B7070" i="1"/>
  <c r="C7070" i="1"/>
  <c r="D7070" i="1"/>
  <c r="E7070" i="1"/>
  <c r="F7070" i="1"/>
  <c r="H7070" i="1"/>
  <c r="A7071" i="1"/>
  <c r="B7071" i="1"/>
  <c r="C7071" i="1"/>
  <c r="D7071" i="1"/>
  <c r="E7071" i="1"/>
  <c r="F7071" i="1"/>
  <c r="H7071" i="1"/>
  <c r="A7072" i="1"/>
  <c r="B7072" i="1"/>
  <c r="C7072" i="1"/>
  <c r="D7072" i="1"/>
  <c r="E7072" i="1"/>
  <c r="F7072" i="1"/>
  <c r="H7072" i="1"/>
  <c r="A7073" i="1"/>
  <c r="B7073" i="1"/>
  <c r="C7073" i="1"/>
  <c r="D7073" i="1"/>
  <c r="E7073" i="1"/>
  <c r="F7073" i="1"/>
  <c r="H7073" i="1"/>
  <c r="A7074" i="1"/>
  <c r="B7074" i="1"/>
  <c r="C7074" i="1"/>
  <c r="D7074" i="1"/>
  <c r="E7074" i="1"/>
  <c r="F7074" i="1"/>
  <c r="H7074" i="1"/>
  <c r="A7075" i="1"/>
  <c r="B7075" i="1"/>
  <c r="C7075" i="1"/>
  <c r="D7075" i="1"/>
  <c r="E7075" i="1"/>
  <c r="F7075" i="1"/>
  <c r="H7075" i="1"/>
  <c r="A7076" i="1"/>
  <c r="B7076" i="1"/>
  <c r="C7076" i="1"/>
  <c r="D7076" i="1"/>
  <c r="E7076" i="1"/>
  <c r="F7076" i="1"/>
  <c r="H7076" i="1"/>
  <c r="A7077" i="1"/>
  <c r="B7077" i="1"/>
  <c r="C7077" i="1"/>
  <c r="D7077" i="1"/>
  <c r="E7077" i="1"/>
  <c r="F7077" i="1"/>
  <c r="H7077" i="1"/>
  <c r="A7078" i="1"/>
  <c r="B7078" i="1"/>
  <c r="C7078" i="1"/>
  <c r="D7078" i="1"/>
  <c r="E7078" i="1"/>
  <c r="F7078" i="1"/>
  <c r="H7078" i="1"/>
  <c r="A7079" i="1"/>
  <c r="B7079" i="1"/>
  <c r="C7079" i="1"/>
  <c r="D7079" i="1"/>
  <c r="E7079" i="1"/>
  <c r="F7079" i="1"/>
  <c r="H7079" i="1"/>
  <c r="A7080" i="1"/>
  <c r="B7080" i="1"/>
  <c r="C7080" i="1"/>
  <c r="D7080" i="1"/>
  <c r="E7080" i="1"/>
  <c r="F7080" i="1"/>
  <c r="H7080" i="1"/>
  <c r="A7081" i="1"/>
  <c r="B7081" i="1"/>
  <c r="C7081" i="1"/>
  <c r="D7081" i="1"/>
  <c r="E7081" i="1"/>
  <c r="F7081" i="1"/>
  <c r="H7081" i="1"/>
  <c r="A7082" i="1"/>
  <c r="B7082" i="1"/>
  <c r="C7082" i="1"/>
  <c r="D7082" i="1"/>
  <c r="E7082" i="1"/>
  <c r="F7082" i="1"/>
  <c r="H7082" i="1"/>
  <c r="A7083" i="1"/>
  <c r="B7083" i="1"/>
  <c r="C7083" i="1"/>
  <c r="D7083" i="1"/>
  <c r="E7083" i="1"/>
  <c r="F7083" i="1"/>
  <c r="H7083" i="1"/>
  <c r="A7084" i="1"/>
  <c r="B7084" i="1"/>
  <c r="C7084" i="1"/>
  <c r="D7084" i="1"/>
  <c r="E7084" i="1"/>
  <c r="F7084" i="1"/>
  <c r="H7084" i="1"/>
  <c r="A7085" i="1"/>
  <c r="B7085" i="1"/>
  <c r="C7085" i="1"/>
  <c r="D7085" i="1"/>
  <c r="E7085" i="1"/>
  <c r="F7085" i="1"/>
  <c r="H7085" i="1"/>
  <c r="A7086" i="1"/>
  <c r="B7086" i="1"/>
  <c r="C7086" i="1"/>
  <c r="D7086" i="1"/>
  <c r="E7086" i="1"/>
  <c r="F7086" i="1"/>
  <c r="H7086" i="1"/>
  <c r="A7087" i="1"/>
  <c r="B7087" i="1"/>
  <c r="C7087" i="1"/>
  <c r="D7087" i="1"/>
  <c r="E7087" i="1"/>
  <c r="F7087" i="1"/>
  <c r="H7087" i="1"/>
  <c r="A7088" i="1"/>
  <c r="B7088" i="1"/>
  <c r="C7088" i="1"/>
  <c r="D7088" i="1"/>
  <c r="E7088" i="1"/>
  <c r="F7088" i="1"/>
  <c r="H7088" i="1"/>
  <c r="A7089" i="1"/>
  <c r="B7089" i="1"/>
  <c r="C7089" i="1"/>
  <c r="D7089" i="1"/>
  <c r="E7089" i="1"/>
  <c r="F7089" i="1"/>
  <c r="H7089" i="1"/>
  <c r="A7090" i="1"/>
  <c r="B7090" i="1"/>
  <c r="C7090" i="1"/>
  <c r="D7090" i="1"/>
  <c r="E7090" i="1"/>
  <c r="F7090" i="1"/>
  <c r="H7090" i="1"/>
  <c r="A7091" i="1"/>
  <c r="B7091" i="1"/>
  <c r="C7091" i="1"/>
  <c r="D7091" i="1"/>
  <c r="E7091" i="1"/>
  <c r="F7091" i="1"/>
  <c r="H7091" i="1"/>
  <c r="A7092" i="1"/>
  <c r="B7092" i="1"/>
  <c r="C7092" i="1"/>
  <c r="D7092" i="1"/>
  <c r="E7092" i="1"/>
  <c r="F7092" i="1"/>
  <c r="H7092" i="1"/>
  <c r="A7093" i="1"/>
  <c r="B7093" i="1"/>
  <c r="C7093" i="1"/>
  <c r="D7093" i="1"/>
  <c r="E7093" i="1"/>
  <c r="F7093" i="1"/>
  <c r="H7093" i="1"/>
  <c r="A7094" i="1"/>
  <c r="B7094" i="1"/>
  <c r="C7094" i="1"/>
  <c r="D7094" i="1"/>
  <c r="E7094" i="1"/>
  <c r="F7094" i="1"/>
  <c r="H7094" i="1"/>
  <c r="A7095" i="1"/>
  <c r="B7095" i="1"/>
  <c r="C7095" i="1"/>
  <c r="D7095" i="1"/>
  <c r="E7095" i="1"/>
  <c r="F7095" i="1"/>
  <c r="H7095" i="1"/>
  <c r="A7096" i="1"/>
  <c r="B7096" i="1"/>
  <c r="C7096" i="1"/>
  <c r="D7096" i="1"/>
  <c r="E7096" i="1"/>
  <c r="F7096" i="1"/>
  <c r="H7096" i="1"/>
  <c r="A7097" i="1"/>
  <c r="B7097" i="1"/>
  <c r="C7097" i="1"/>
  <c r="D7097" i="1"/>
  <c r="E7097" i="1"/>
  <c r="F7097" i="1"/>
  <c r="H7097" i="1"/>
  <c r="A7098" i="1"/>
  <c r="B7098" i="1"/>
  <c r="C7098" i="1"/>
  <c r="D7098" i="1"/>
  <c r="E7098" i="1"/>
  <c r="F7098" i="1"/>
  <c r="H7098" i="1"/>
  <c r="A7099" i="1"/>
  <c r="B7099" i="1"/>
  <c r="C7099" i="1"/>
  <c r="D7099" i="1"/>
  <c r="E7099" i="1"/>
  <c r="F7099" i="1"/>
  <c r="H7099" i="1"/>
  <c r="A7100" i="1"/>
  <c r="B7100" i="1"/>
  <c r="C7100" i="1"/>
  <c r="D7100" i="1"/>
  <c r="E7100" i="1"/>
  <c r="F7100" i="1"/>
  <c r="H7100" i="1"/>
  <c r="A7101" i="1"/>
  <c r="B7101" i="1"/>
  <c r="C7101" i="1"/>
  <c r="D7101" i="1"/>
  <c r="E7101" i="1"/>
  <c r="F7101" i="1"/>
  <c r="H7101" i="1"/>
  <c r="A7102" i="1"/>
  <c r="B7102" i="1"/>
  <c r="C7102" i="1"/>
  <c r="D7102" i="1"/>
  <c r="E7102" i="1"/>
  <c r="F7102" i="1"/>
  <c r="H7102" i="1"/>
  <c r="A7103" i="1"/>
  <c r="B7103" i="1"/>
  <c r="C7103" i="1"/>
  <c r="D7103" i="1"/>
  <c r="E7103" i="1"/>
  <c r="F7103" i="1"/>
  <c r="H7103" i="1"/>
  <c r="A7104" i="1"/>
  <c r="B7104" i="1"/>
  <c r="C7104" i="1"/>
  <c r="D7104" i="1"/>
  <c r="E7104" i="1"/>
  <c r="F7104" i="1"/>
  <c r="H7104" i="1"/>
  <c r="A7105" i="1"/>
  <c r="B7105" i="1"/>
  <c r="C7105" i="1"/>
  <c r="D7105" i="1"/>
  <c r="E7105" i="1"/>
  <c r="F7105" i="1"/>
  <c r="H7105" i="1"/>
  <c r="A7106" i="1"/>
  <c r="B7106" i="1"/>
  <c r="C7106" i="1"/>
  <c r="D7106" i="1"/>
  <c r="E7106" i="1"/>
  <c r="F7106" i="1"/>
  <c r="H7106" i="1"/>
  <c r="A7107" i="1"/>
  <c r="B7107" i="1"/>
  <c r="C7107" i="1"/>
  <c r="D7107" i="1"/>
  <c r="E7107" i="1"/>
  <c r="F7107" i="1"/>
  <c r="H7107" i="1"/>
  <c r="A7108" i="1"/>
  <c r="B7108" i="1"/>
  <c r="C7108" i="1"/>
  <c r="D7108" i="1"/>
  <c r="E7108" i="1"/>
  <c r="F7108" i="1"/>
  <c r="H7108" i="1"/>
  <c r="A7109" i="1"/>
  <c r="B7109" i="1"/>
  <c r="C7109" i="1"/>
  <c r="D7109" i="1"/>
  <c r="E7109" i="1"/>
  <c r="F7109" i="1"/>
  <c r="H7109" i="1"/>
  <c r="A7110" i="1"/>
  <c r="B7110" i="1"/>
  <c r="C7110" i="1"/>
  <c r="D7110" i="1"/>
  <c r="E7110" i="1"/>
  <c r="F7110" i="1"/>
  <c r="H7110" i="1"/>
  <c r="A7111" i="1"/>
  <c r="B7111" i="1"/>
  <c r="C7111" i="1"/>
  <c r="D7111" i="1"/>
  <c r="E7111" i="1"/>
  <c r="F7111" i="1"/>
  <c r="H7111" i="1"/>
  <c r="A7112" i="1"/>
  <c r="B7112" i="1"/>
  <c r="C7112" i="1"/>
  <c r="D7112" i="1"/>
  <c r="E7112" i="1"/>
  <c r="F7112" i="1"/>
  <c r="H7112" i="1"/>
  <c r="A7113" i="1"/>
  <c r="B7113" i="1"/>
  <c r="C7113" i="1"/>
  <c r="D7113" i="1"/>
  <c r="E7113" i="1"/>
  <c r="F7113" i="1"/>
  <c r="H7113" i="1"/>
  <c r="A7114" i="1"/>
  <c r="B7114" i="1"/>
  <c r="C7114" i="1"/>
  <c r="D7114" i="1"/>
  <c r="E7114" i="1"/>
  <c r="F7114" i="1"/>
  <c r="H7114" i="1"/>
  <c r="A7115" i="1"/>
  <c r="B7115" i="1"/>
  <c r="C7115" i="1"/>
  <c r="D7115" i="1"/>
  <c r="E7115" i="1"/>
  <c r="F7115" i="1"/>
  <c r="H7115" i="1"/>
  <c r="A7116" i="1"/>
  <c r="B7116" i="1"/>
  <c r="C7116" i="1"/>
  <c r="D7116" i="1"/>
  <c r="E7116" i="1"/>
  <c r="F7116" i="1"/>
  <c r="H7116" i="1"/>
  <c r="A7117" i="1"/>
  <c r="B7117" i="1"/>
  <c r="C7117" i="1"/>
  <c r="D7117" i="1"/>
  <c r="E7117" i="1"/>
  <c r="F7117" i="1"/>
  <c r="H7117" i="1"/>
  <c r="A7118" i="1"/>
  <c r="B7118" i="1"/>
  <c r="C7118" i="1"/>
  <c r="D7118" i="1"/>
  <c r="E7118" i="1"/>
  <c r="F7118" i="1"/>
  <c r="H7118" i="1"/>
  <c r="A7119" i="1"/>
  <c r="B7119" i="1"/>
  <c r="C7119" i="1"/>
  <c r="D7119" i="1"/>
  <c r="E7119" i="1"/>
  <c r="F7119" i="1"/>
  <c r="H7119" i="1"/>
  <c r="A7120" i="1"/>
  <c r="B7120" i="1"/>
  <c r="C7120" i="1"/>
  <c r="D7120" i="1"/>
  <c r="E7120" i="1"/>
  <c r="F7120" i="1"/>
  <c r="H7120" i="1"/>
  <c r="A7121" i="1"/>
  <c r="B7121" i="1"/>
  <c r="C7121" i="1"/>
  <c r="D7121" i="1"/>
  <c r="E7121" i="1"/>
  <c r="F7121" i="1"/>
  <c r="H7121" i="1"/>
  <c r="A7122" i="1"/>
  <c r="B7122" i="1"/>
  <c r="C7122" i="1"/>
  <c r="D7122" i="1"/>
  <c r="E7122" i="1"/>
  <c r="F7122" i="1"/>
  <c r="H7122" i="1"/>
  <c r="A7123" i="1"/>
  <c r="B7123" i="1"/>
  <c r="C7123" i="1"/>
  <c r="D7123" i="1"/>
  <c r="E7123" i="1"/>
  <c r="F7123" i="1"/>
  <c r="H7123" i="1"/>
  <c r="A7124" i="1"/>
  <c r="B7124" i="1"/>
  <c r="C7124" i="1"/>
  <c r="D7124" i="1"/>
  <c r="E7124" i="1"/>
  <c r="F7124" i="1"/>
  <c r="H7124" i="1"/>
  <c r="A7125" i="1"/>
  <c r="B7125" i="1"/>
  <c r="C7125" i="1"/>
  <c r="D7125" i="1"/>
  <c r="E7125" i="1"/>
  <c r="F7125" i="1"/>
  <c r="H7125" i="1"/>
  <c r="A7126" i="1"/>
  <c r="B7126" i="1"/>
  <c r="C7126" i="1"/>
  <c r="D7126" i="1"/>
  <c r="E7126" i="1"/>
  <c r="F7126" i="1"/>
  <c r="H7126" i="1"/>
  <c r="A7127" i="1"/>
  <c r="B7127" i="1"/>
  <c r="C7127" i="1"/>
  <c r="D7127" i="1"/>
  <c r="E7127" i="1"/>
  <c r="F7127" i="1"/>
  <c r="H7127" i="1"/>
  <c r="A7128" i="1"/>
  <c r="B7128" i="1"/>
  <c r="C7128" i="1"/>
  <c r="D7128" i="1"/>
  <c r="E7128" i="1"/>
  <c r="F7128" i="1"/>
  <c r="H7128" i="1"/>
  <c r="A7129" i="1"/>
  <c r="B7129" i="1"/>
  <c r="C7129" i="1"/>
  <c r="D7129" i="1"/>
  <c r="E7129" i="1"/>
  <c r="F7129" i="1"/>
  <c r="H7129" i="1"/>
  <c r="A7130" i="1"/>
  <c r="B7130" i="1"/>
  <c r="C7130" i="1"/>
  <c r="D7130" i="1"/>
  <c r="E7130" i="1"/>
  <c r="F7130" i="1"/>
  <c r="H7130" i="1"/>
  <c r="A7131" i="1"/>
  <c r="B7131" i="1"/>
  <c r="C7131" i="1"/>
  <c r="D7131" i="1"/>
  <c r="E7131" i="1"/>
  <c r="F7131" i="1"/>
  <c r="H7131" i="1"/>
  <c r="A7132" i="1"/>
  <c r="B7132" i="1"/>
  <c r="C7132" i="1"/>
  <c r="D7132" i="1"/>
  <c r="E7132" i="1"/>
  <c r="F7132" i="1"/>
  <c r="H7132" i="1"/>
  <c r="A7133" i="1"/>
  <c r="B7133" i="1"/>
  <c r="C7133" i="1"/>
  <c r="D7133" i="1"/>
  <c r="E7133" i="1"/>
  <c r="F7133" i="1"/>
  <c r="H7133" i="1"/>
  <c r="A7134" i="1"/>
  <c r="B7134" i="1"/>
  <c r="C7134" i="1"/>
  <c r="D7134" i="1"/>
  <c r="E7134" i="1"/>
  <c r="F7134" i="1"/>
  <c r="H7134" i="1"/>
  <c r="A7135" i="1"/>
  <c r="B7135" i="1"/>
  <c r="C7135" i="1"/>
  <c r="D7135" i="1"/>
  <c r="E7135" i="1"/>
  <c r="F7135" i="1"/>
  <c r="H7135" i="1"/>
  <c r="A7136" i="1"/>
  <c r="B7136" i="1"/>
  <c r="C7136" i="1"/>
  <c r="D7136" i="1"/>
  <c r="E7136" i="1"/>
  <c r="F7136" i="1"/>
  <c r="H7136" i="1"/>
  <c r="A7137" i="1"/>
  <c r="B7137" i="1"/>
  <c r="C7137" i="1"/>
  <c r="D7137" i="1"/>
  <c r="E7137" i="1"/>
  <c r="F7137" i="1"/>
  <c r="H7137" i="1"/>
  <c r="A7138" i="1"/>
  <c r="B7138" i="1"/>
  <c r="C7138" i="1"/>
  <c r="D7138" i="1"/>
  <c r="E7138" i="1"/>
  <c r="F7138" i="1"/>
  <c r="H7138" i="1"/>
  <c r="A7139" i="1"/>
  <c r="B7139" i="1"/>
  <c r="C7139" i="1"/>
  <c r="D7139" i="1"/>
  <c r="E7139" i="1"/>
  <c r="F7139" i="1"/>
  <c r="H7139" i="1"/>
  <c r="A7140" i="1"/>
  <c r="B7140" i="1"/>
  <c r="C7140" i="1"/>
  <c r="D7140" i="1"/>
  <c r="E7140" i="1"/>
  <c r="F7140" i="1"/>
  <c r="H7140" i="1"/>
  <c r="A7141" i="1"/>
  <c r="B7141" i="1"/>
  <c r="C7141" i="1"/>
  <c r="D7141" i="1"/>
  <c r="E7141" i="1"/>
  <c r="F7141" i="1"/>
  <c r="H7141" i="1"/>
  <c r="A7142" i="1"/>
  <c r="B7142" i="1"/>
  <c r="C7142" i="1"/>
  <c r="D7142" i="1"/>
  <c r="E7142" i="1"/>
  <c r="F7142" i="1"/>
  <c r="H7142" i="1"/>
  <c r="A7143" i="1"/>
  <c r="B7143" i="1"/>
  <c r="C7143" i="1"/>
  <c r="D7143" i="1"/>
  <c r="E7143" i="1"/>
  <c r="F7143" i="1"/>
  <c r="H7143" i="1"/>
  <c r="A7144" i="1"/>
  <c r="B7144" i="1"/>
  <c r="C7144" i="1"/>
  <c r="D7144" i="1"/>
  <c r="E7144" i="1"/>
  <c r="F7144" i="1"/>
  <c r="H7144" i="1"/>
  <c r="A7145" i="1"/>
  <c r="B7145" i="1"/>
  <c r="C7145" i="1"/>
  <c r="D7145" i="1"/>
  <c r="E7145" i="1"/>
  <c r="F7145" i="1"/>
  <c r="H7145" i="1"/>
  <c r="A7146" i="1"/>
  <c r="B7146" i="1"/>
  <c r="C7146" i="1"/>
  <c r="D7146" i="1"/>
  <c r="E7146" i="1"/>
  <c r="F7146" i="1"/>
  <c r="H7146" i="1"/>
  <c r="A7147" i="1"/>
  <c r="B7147" i="1"/>
  <c r="C7147" i="1"/>
  <c r="D7147" i="1"/>
  <c r="E7147" i="1"/>
  <c r="F7147" i="1"/>
  <c r="H7147" i="1"/>
  <c r="A7148" i="1"/>
  <c r="B7148" i="1"/>
  <c r="C7148" i="1"/>
  <c r="D7148" i="1"/>
  <c r="E7148" i="1"/>
  <c r="F7148" i="1"/>
  <c r="H7148" i="1"/>
  <c r="A7149" i="1"/>
  <c r="B7149" i="1"/>
  <c r="C7149" i="1"/>
  <c r="D7149" i="1"/>
  <c r="E7149" i="1"/>
  <c r="F7149" i="1"/>
  <c r="H7149" i="1"/>
  <c r="A7150" i="1"/>
  <c r="B7150" i="1"/>
  <c r="C7150" i="1"/>
  <c r="D7150" i="1"/>
  <c r="E7150" i="1"/>
  <c r="F7150" i="1"/>
  <c r="H7150" i="1"/>
  <c r="A7151" i="1"/>
  <c r="B7151" i="1"/>
  <c r="C7151" i="1"/>
  <c r="D7151" i="1"/>
  <c r="E7151" i="1"/>
  <c r="F7151" i="1"/>
  <c r="H7151" i="1"/>
  <c r="A7152" i="1"/>
  <c r="B7152" i="1"/>
  <c r="C7152" i="1"/>
  <c r="D7152" i="1"/>
  <c r="E7152" i="1"/>
  <c r="F7152" i="1"/>
  <c r="H7152" i="1"/>
  <c r="A7153" i="1"/>
  <c r="B7153" i="1"/>
  <c r="C7153" i="1"/>
  <c r="D7153" i="1"/>
  <c r="E7153" i="1"/>
  <c r="F7153" i="1"/>
  <c r="H7153" i="1"/>
  <c r="A7154" i="1"/>
  <c r="B7154" i="1"/>
  <c r="C7154" i="1"/>
  <c r="D7154" i="1"/>
  <c r="E7154" i="1"/>
  <c r="F7154" i="1"/>
  <c r="H7154" i="1"/>
  <c r="A7155" i="1"/>
  <c r="B7155" i="1"/>
  <c r="C7155" i="1"/>
  <c r="D7155" i="1"/>
  <c r="E7155" i="1"/>
  <c r="F7155" i="1"/>
  <c r="H7155" i="1"/>
  <c r="A7156" i="1"/>
  <c r="B7156" i="1"/>
  <c r="C7156" i="1"/>
  <c r="D7156" i="1"/>
  <c r="E7156" i="1"/>
  <c r="F7156" i="1"/>
  <c r="H7156" i="1"/>
  <c r="A7157" i="1"/>
  <c r="B7157" i="1"/>
  <c r="C7157" i="1"/>
  <c r="D7157" i="1"/>
  <c r="E7157" i="1"/>
  <c r="F7157" i="1"/>
  <c r="H7157" i="1"/>
  <c r="A7158" i="1"/>
  <c r="B7158" i="1"/>
  <c r="C7158" i="1"/>
  <c r="D7158" i="1"/>
  <c r="E7158" i="1"/>
  <c r="F7158" i="1"/>
  <c r="H7158" i="1"/>
  <c r="A7159" i="1"/>
  <c r="B7159" i="1"/>
  <c r="C7159" i="1"/>
  <c r="D7159" i="1"/>
  <c r="E7159" i="1"/>
  <c r="F7159" i="1"/>
  <c r="H7159" i="1"/>
  <c r="A7160" i="1"/>
  <c r="B7160" i="1"/>
  <c r="C7160" i="1"/>
  <c r="D7160" i="1"/>
  <c r="E7160" i="1"/>
  <c r="F7160" i="1"/>
  <c r="H7160" i="1"/>
  <c r="A7161" i="1"/>
  <c r="B7161" i="1"/>
  <c r="C7161" i="1"/>
  <c r="D7161" i="1"/>
  <c r="E7161" i="1"/>
  <c r="F7161" i="1"/>
  <c r="H7161" i="1"/>
  <c r="A7162" i="1"/>
  <c r="B7162" i="1"/>
  <c r="C7162" i="1"/>
  <c r="D7162" i="1"/>
  <c r="E7162" i="1"/>
  <c r="F7162" i="1"/>
  <c r="H7162" i="1"/>
  <c r="A7163" i="1"/>
  <c r="B7163" i="1"/>
  <c r="C7163" i="1"/>
  <c r="D7163" i="1"/>
  <c r="E7163" i="1"/>
  <c r="F7163" i="1"/>
  <c r="H7163" i="1"/>
  <c r="A7164" i="1"/>
  <c r="B7164" i="1"/>
  <c r="C7164" i="1"/>
  <c r="D7164" i="1"/>
  <c r="E7164" i="1"/>
  <c r="F7164" i="1"/>
  <c r="H7164" i="1"/>
  <c r="A7165" i="1"/>
  <c r="B7165" i="1"/>
  <c r="C7165" i="1"/>
  <c r="D7165" i="1"/>
  <c r="E7165" i="1"/>
  <c r="F7165" i="1"/>
  <c r="H7165" i="1"/>
  <c r="A7166" i="1"/>
  <c r="B7166" i="1"/>
  <c r="C7166" i="1"/>
  <c r="D7166" i="1"/>
  <c r="E7166" i="1"/>
  <c r="F7166" i="1"/>
  <c r="H7166" i="1"/>
  <c r="A7167" i="1"/>
  <c r="B7167" i="1"/>
  <c r="C7167" i="1"/>
  <c r="D7167" i="1"/>
  <c r="E7167" i="1"/>
  <c r="F7167" i="1"/>
  <c r="H7167" i="1"/>
  <c r="A7168" i="1"/>
  <c r="B7168" i="1"/>
  <c r="C7168" i="1"/>
  <c r="D7168" i="1"/>
  <c r="E7168" i="1"/>
  <c r="F7168" i="1"/>
  <c r="H7168" i="1"/>
  <c r="A7169" i="1"/>
  <c r="B7169" i="1"/>
  <c r="C7169" i="1"/>
  <c r="D7169" i="1"/>
  <c r="E7169" i="1"/>
  <c r="F7169" i="1"/>
  <c r="H7169" i="1"/>
  <c r="A7170" i="1"/>
  <c r="B7170" i="1"/>
  <c r="C7170" i="1"/>
  <c r="D7170" i="1"/>
  <c r="E7170" i="1"/>
  <c r="F7170" i="1"/>
  <c r="H7170" i="1"/>
  <c r="A7171" i="1"/>
  <c r="B7171" i="1"/>
  <c r="C7171" i="1"/>
  <c r="D7171" i="1"/>
  <c r="E7171" i="1"/>
  <c r="F7171" i="1"/>
  <c r="H7171" i="1"/>
  <c r="A7172" i="1"/>
  <c r="B7172" i="1"/>
  <c r="C7172" i="1"/>
  <c r="D7172" i="1"/>
  <c r="E7172" i="1"/>
  <c r="F7172" i="1"/>
  <c r="H7172" i="1"/>
  <c r="A7173" i="1"/>
  <c r="B7173" i="1"/>
  <c r="C7173" i="1"/>
  <c r="D7173" i="1"/>
  <c r="E7173" i="1"/>
  <c r="F7173" i="1"/>
  <c r="H7173" i="1"/>
  <c r="A7174" i="1"/>
  <c r="B7174" i="1"/>
  <c r="C7174" i="1"/>
  <c r="D7174" i="1"/>
  <c r="E7174" i="1"/>
  <c r="F7174" i="1"/>
  <c r="H7174" i="1"/>
  <c r="A7175" i="1"/>
  <c r="B7175" i="1"/>
  <c r="C7175" i="1"/>
  <c r="D7175" i="1"/>
  <c r="E7175" i="1"/>
  <c r="F7175" i="1"/>
  <c r="H7175" i="1"/>
  <c r="A7176" i="1"/>
  <c r="B7176" i="1"/>
  <c r="C7176" i="1"/>
  <c r="D7176" i="1"/>
  <c r="E7176" i="1"/>
  <c r="F7176" i="1"/>
  <c r="H7176" i="1"/>
  <c r="A7177" i="1"/>
  <c r="B7177" i="1"/>
  <c r="C7177" i="1"/>
  <c r="D7177" i="1"/>
  <c r="E7177" i="1"/>
  <c r="F7177" i="1"/>
  <c r="H7177" i="1"/>
  <c r="A7178" i="1"/>
  <c r="B7178" i="1"/>
  <c r="C7178" i="1"/>
  <c r="D7178" i="1"/>
  <c r="E7178" i="1"/>
  <c r="F7178" i="1"/>
  <c r="H7178" i="1"/>
  <c r="A7179" i="1"/>
  <c r="B7179" i="1"/>
  <c r="C7179" i="1"/>
  <c r="D7179" i="1"/>
  <c r="E7179" i="1"/>
  <c r="F7179" i="1"/>
  <c r="H7179" i="1"/>
  <c r="A7180" i="1"/>
  <c r="B7180" i="1"/>
  <c r="C7180" i="1"/>
  <c r="D7180" i="1"/>
  <c r="E7180" i="1"/>
  <c r="F7180" i="1"/>
  <c r="H7180" i="1"/>
  <c r="A7181" i="1"/>
  <c r="B7181" i="1"/>
  <c r="C7181" i="1"/>
  <c r="D7181" i="1"/>
  <c r="E7181" i="1"/>
  <c r="F7181" i="1"/>
  <c r="H7181" i="1"/>
  <c r="A7182" i="1"/>
  <c r="B7182" i="1"/>
  <c r="C7182" i="1"/>
  <c r="D7182" i="1"/>
  <c r="E7182" i="1"/>
  <c r="F7182" i="1"/>
  <c r="H7182" i="1"/>
  <c r="A7183" i="1"/>
  <c r="B7183" i="1"/>
  <c r="C7183" i="1"/>
  <c r="D7183" i="1"/>
  <c r="E7183" i="1"/>
  <c r="F7183" i="1"/>
  <c r="H7183" i="1"/>
  <c r="A7184" i="1"/>
  <c r="B7184" i="1"/>
  <c r="C7184" i="1"/>
  <c r="D7184" i="1"/>
  <c r="E7184" i="1"/>
  <c r="F7184" i="1"/>
  <c r="H7184" i="1"/>
  <c r="A7185" i="1"/>
  <c r="B7185" i="1"/>
  <c r="C7185" i="1"/>
  <c r="D7185" i="1"/>
  <c r="E7185" i="1"/>
  <c r="F7185" i="1"/>
  <c r="H7185" i="1"/>
  <c r="A7186" i="1"/>
  <c r="B7186" i="1"/>
  <c r="C7186" i="1"/>
  <c r="D7186" i="1"/>
  <c r="E7186" i="1"/>
  <c r="F7186" i="1"/>
  <c r="H7186" i="1"/>
  <c r="A7187" i="1"/>
  <c r="B7187" i="1"/>
  <c r="C7187" i="1"/>
  <c r="D7187" i="1"/>
  <c r="E7187" i="1"/>
  <c r="F7187" i="1"/>
  <c r="H7187" i="1"/>
  <c r="A7188" i="1"/>
  <c r="B7188" i="1"/>
  <c r="C7188" i="1"/>
  <c r="D7188" i="1"/>
  <c r="E7188" i="1"/>
  <c r="F7188" i="1"/>
  <c r="H7188" i="1"/>
  <c r="A7189" i="1"/>
  <c r="B7189" i="1"/>
  <c r="C7189" i="1"/>
  <c r="D7189" i="1"/>
  <c r="E7189" i="1"/>
  <c r="F7189" i="1"/>
  <c r="H7189" i="1"/>
  <c r="A7190" i="1"/>
  <c r="B7190" i="1"/>
  <c r="C7190" i="1"/>
  <c r="D7190" i="1"/>
  <c r="E7190" i="1"/>
  <c r="F7190" i="1"/>
  <c r="H7190" i="1"/>
  <c r="A7191" i="1"/>
  <c r="B7191" i="1"/>
  <c r="C7191" i="1"/>
  <c r="D7191" i="1"/>
  <c r="E7191" i="1"/>
  <c r="F7191" i="1"/>
  <c r="H7191" i="1"/>
  <c r="A7192" i="1"/>
  <c r="B7192" i="1"/>
  <c r="C7192" i="1"/>
  <c r="D7192" i="1"/>
  <c r="E7192" i="1"/>
  <c r="F7192" i="1"/>
  <c r="H7192" i="1"/>
  <c r="A7193" i="1"/>
  <c r="B7193" i="1"/>
  <c r="C7193" i="1"/>
  <c r="D7193" i="1"/>
  <c r="E7193" i="1"/>
  <c r="F7193" i="1"/>
  <c r="H7193" i="1"/>
  <c r="A7194" i="1"/>
  <c r="B7194" i="1"/>
  <c r="C7194" i="1"/>
  <c r="D7194" i="1"/>
  <c r="E7194" i="1"/>
  <c r="F7194" i="1"/>
  <c r="H7194" i="1"/>
  <c r="A7195" i="1"/>
  <c r="B7195" i="1"/>
  <c r="C7195" i="1"/>
  <c r="D7195" i="1"/>
  <c r="E7195" i="1"/>
  <c r="F7195" i="1"/>
  <c r="H7195" i="1"/>
  <c r="A7196" i="1"/>
  <c r="B7196" i="1"/>
  <c r="C7196" i="1"/>
  <c r="D7196" i="1"/>
  <c r="E7196" i="1"/>
  <c r="F7196" i="1"/>
  <c r="H7196" i="1"/>
  <c r="A7197" i="1"/>
  <c r="B7197" i="1"/>
  <c r="C7197" i="1"/>
  <c r="D7197" i="1"/>
  <c r="E7197" i="1"/>
  <c r="F7197" i="1"/>
  <c r="H7197" i="1"/>
  <c r="A7198" i="1"/>
  <c r="B7198" i="1"/>
  <c r="C7198" i="1"/>
  <c r="D7198" i="1"/>
  <c r="E7198" i="1"/>
  <c r="F7198" i="1"/>
  <c r="H7198" i="1"/>
  <c r="A7199" i="1"/>
  <c r="B7199" i="1"/>
  <c r="C7199" i="1"/>
  <c r="D7199" i="1"/>
  <c r="E7199" i="1"/>
  <c r="F7199" i="1"/>
  <c r="H7199" i="1"/>
  <c r="A7200" i="1"/>
  <c r="B7200" i="1"/>
  <c r="C7200" i="1"/>
  <c r="D7200" i="1"/>
  <c r="E7200" i="1"/>
  <c r="F7200" i="1"/>
  <c r="H7200" i="1"/>
  <c r="A7201" i="1"/>
  <c r="B7201" i="1"/>
  <c r="C7201" i="1"/>
  <c r="D7201" i="1"/>
  <c r="E7201" i="1"/>
  <c r="F7201" i="1"/>
  <c r="H7201" i="1"/>
  <c r="A7202" i="1"/>
  <c r="B7202" i="1"/>
  <c r="C7202" i="1"/>
  <c r="D7202" i="1"/>
  <c r="E7202" i="1"/>
  <c r="F7202" i="1"/>
  <c r="H7202" i="1"/>
  <c r="A7203" i="1"/>
  <c r="B7203" i="1"/>
  <c r="C7203" i="1"/>
  <c r="D7203" i="1"/>
  <c r="E7203" i="1"/>
  <c r="F7203" i="1"/>
  <c r="H7203" i="1"/>
  <c r="A7204" i="1"/>
  <c r="B7204" i="1"/>
  <c r="C7204" i="1"/>
  <c r="D7204" i="1"/>
  <c r="E7204" i="1"/>
  <c r="F7204" i="1"/>
  <c r="H7204" i="1"/>
  <c r="A7205" i="1"/>
  <c r="B7205" i="1"/>
  <c r="C7205" i="1"/>
  <c r="D7205" i="1"/>
  <c r="E7205" i="1"/>
  <c r="F7205" i="1"/>
  <c r="H7205" i="1"/>
  <c r="A7206" i="1"/>
  <c r="B7206" i="1"/>
  <c r="C7206" i="1"/>
  <c r="D7206" i="1"/>
  <c r="E7206" i="1"/>
  <c r="F7206" i="1"/>
  <c r="H7206" i="1"/>
  <c r="A7207" i="1"/>
  <c r="B7207" i="1"/>
  <c r="C7207" i="1"/>
  <c r="D7207" i="1"/>
  <c r="E7207" i="1"/>
  <c r="F7207" i="1"/>
  <c r="H7207" i="1"/>
  <c r="A7208" i="1"/>
  <c r="B7208" i="1"/>
  <c r="C7208" i="1"/>
  <c r="D7208" i="1"/>
  <c r="E7208" i="1"/>
  <c r="F7208" i="1"/>
  <c r="H7208" i="1"/>
  <c r="A7209" i="1"/>
  <c r="B7209" i="1"/>
  <c r="C7209" i="1"/>
  <c r="D7209" i="1"/>
  <c r="E7209" i="1"/>
  <c r="F7209" i="1"/>
  <c r="H7209" i="1"/>
  <c r="A7210" i="1"/>
  <c r="B7210" i="1"/>
  <c r="C7210" i="1"/>
  <c r="D7210" i="1"/>
  <c r="E7210" i="1"/>
  <c r="F7210" i="1"/>
  <c r="H7210" i="1"/>
  <c r="A7211" i="1"/>
  <c r="B7211" i="1"/>
  <c r="C7211" i="1"/>
  <c r="D7211" i="1"/>
  <c r="E7211" i="1"/>
  <c r="F7211" i="1"/>
  <c r="H7211" i="1"/>
  <c r="A7212" i="1"/>
  <c r="B7212" i="1"/>
  <c r="C7212" i="1"/>
  <c r="D7212" i="1"/>
  <c r="E7212" i="1"/>
  <c r="F7212" i="1"/>
  <c r="H7212" i="1"/>
  <c r="A7213" i="1"/>
  <c r="B7213" i="1"/>
  <c r="C7213" i="1"/>
  <c r="D7213" i="1"/>
  <c r="E7213" i="1"/>
  <c r="F7213" i="1"/>
  <c r="H7213" i="1"/>
  <c r="A7214" i="1"/>
  <c r="B7214" i="1"/>
  <c r="C7214" i="1"/>
  <c r="D7214" i="1"/>
  <c r="E7214" i="1"/>
  <c r="F7214" i="1"/>
  <c r="H7214" i="1"/>
  <c r="A7215" i="1"/>
  <c r="B7215" i="1"/>
  <c r="C7215" i="1"/>
  <c r="D7215" i="1"/>
  <c r="E7215" i="1"/>
  <c r="F7215" i="1"/>
  <c r="H7215" i="1"/>
  <c r="A7216" i="1"/>
  <c r="B7216" i="1"/>
  <c r="C7216" i="1"/>
  <c r="D7216" i="1"/>
  <c r="E7216" i="1"/>
  <c r="F7216" i="1"/>
  <c r="H7216" i="1"/>
  <c r="A7217" i="1"/>
  <c r="B7217" i="1"/>
  <c r="C7217" i="1"/>
  <c r="D7217" i="1"/>
  <c r="E7217" i="1"/>
  <c r="F7217" i="1"/>
  <c r="H7217" i="1"/>
  <c r="A7218" i="1"/>
  <c r="B7218" i="1"/>
  <c r="C7218" i="1"/>
  <c r="D7218" i="1"/>
  <c r="E7218" i="1"/>
  <c r="F7218" i="1"/>
  <c r="H7218" i="1"/>
  <c r="A7219" i="1"/>
  <c r="B7219" i="1"/>
  <c r="C7219" i="1"/>
  <c r="D7219" i="1"/>
  <c r="E7219" i="1"/>
  <c r="F7219" i="1"/>
  <c r="H7219" i="1"/>
  <c r="A7220" i="1"/>
  <c r="B7220" i="1"/>
  <c r="C7220" i="1"/>
  <c r="D7220" i="1"/>
  <c r="E7220" i="1"/>
  <c r="F7220" i="1"/>
  <c r="H7220" i="1"/>
  <c r="A7221" i="1"/>
  <c r="B7221" i="1"/>
  <c r="C7221" i="1"/>
  <c r="D7221" i="1"/>
  <c r="E7221" i="1"/>
  <c r="F7221" i="1"/>
  <c r="H7221" i="1"/>
  <c r="A7222" i="1"/>
  <c r="B7222" i="1"/>
  <c r="C7222" i="1"/>
  <c r="D7222" i="1"/>
  <c r="E7222" i="1"/>
  <c r="F7222" i="1"/>
  <c r="H7222" i="1"/>
  <c r="A7223" i="1"/>
  <c r="B7223" i="1"/>
  <c r="C7223" i="1"/>
  <c r="D7223" i="1"/>
  <c r="E7223" i="1"/>
  <c r="F7223" i="1"/>
  <c r="H7223" i="1"/>
  <c r="A7224" i="1"/>
  <c r="B7224" i="1"/>
  <c r="C7224" i="1"/>
  <c r="D7224" i="1"/>
  <c r="E7224" i="1"/>
  <c r="F7224" i="1"/>
  <c r="H7224" i="1"/>
  <c r="A7225" i="1"/>
  <c r="B7225" i="1"/>
  <c r="C7225" i="1"/>
  <c r="D7225" i="1"/>
  <c r="E7225" i="1"/>
  <c r="F7225" i="1"/>
  <c r="H7225" i="1"/>
  <c r="A7226" i="1"/>
  <c r="B7226" i="1"/>
  <c r="C7226" i="1"/>
  <c r="D7226" i="1"/>
  <c r="E7226" i="1"/>
  <c r="F7226" i="1"/>
  <c r="H7226" i="1"/>
  <c r="A7227" i="1"/>
  <c r="B7227" i="1"/>
  <c r="C7227" i="1"/>
  <c r="D7227" i="1"/>
  <c r="E7227" i="1"/>
  <c r="F7227" i="1"/>
  <c r="H7227" i="1"/>
  <c r="A7228" i="1"/>
  <c r="B7228" i="1"/>
  <c r="C7228" i="1"/>
  <c r="D7228" i="1"/>
  <c r="E7228" i="1"/>
  <c r="F7228" i="1"/>
  <c r="H7228" i="1"/>
  <c r="A7229" i="1"/>
  <c r="B7229" i="1"/>
  <c r="C7229" i="1"/>
  <c r="D7229" i="1"/>
  <c r="E7229" i="1"/>
  <c r="F7229" i="1"/>
  <c r="H7229" i="1"/>
  <c r="A7230" i="1"/>
  <c r="B7230" i="1"/>
  <c r="C7230" i="1"/>
  <c r="D7230" i="1"/>
  <c r="E7230" i="1"/>
  <c r="F7230" i="1"/>
  <c r="H7230" i="1"/>
  <c r="A7231" i="1"/>
  <c r="B7231" i="1"/>
  <c r="C7231" i="1"/>
  <c r="D7231" i="1"/>
  <c r="E7231" i="1"/>
  <c r="F7231" i="1"/>
  <c r="H7231" i="1"/>
  <c r="A7232" i="1"/>
  <c r="B7232" i="1"/>
  <c r="C7232" i="1"/>
  <c r="D7232" i="1"/>
  <c r="E7232" i="1"/>
  <c r="F7232" i="1"/>
  <c r="H7232" i="1"/>
  <c r="A7233" i="1"/>
  <c r="B7233" i="1"/>
  <c r="C7233" i="1"/>
  <c r="D7233" i="1"/>
  <c r="E7233" i="1"/>
  <c r="F7233" i="1"/>
  <c r="H7233" i="1"/>
  <c r="A7234" i="1"/>
  <c r="B7234" i="1"/>
  <c r="C7234" i="1"/>
  <c r="D7234" i="1"/>
  <c r="E7234" i="1"/>
  <c r="F7234" i="1"/>
  <c r="H7234" i="1"/>
  <c r="A7235" i="1"/>
  <c r="B7235" i="1"/>
  <c r="C7235" i="1"/>
  <c r="D7235" i="1"/>
  <c r="E7235" i="1"/>
  <c r="F7235" i="1"/>
  <c r="H7235" i="1"/>
  <c r="A7236" i="1"/>
  <c r="B7236" i="1"/>
  <c r="C7236" i="1"/>
  <c r="D7236" i="1"/>
  <c r="E7236" i="1"/>
  <c r="F7236" i="1"/>
  <c r="H7236" i="1"/>
  <c r="A7237" i="1"/>
  <c r="B7237" i="1"/>
  <c r="C7237" i="1"/>
  <c r="D7237" i="1"/>
  <c r="E7237" i="1"/>
  <c r="F7237" i="1"/>
  <c r="H7237" i="1"/>
  <c r="A7238" i="1"/>
  <c r="B7238" i="1"/>
  <c r="C7238" i="1"/>
  <c r="D7238" i="1"/>
  <c r="E7238" i="1"/>
  <c r="F7238" i="1"/>
  <c r="H7238" i="1"/>
  <c r="A7239" i="1"/>
  <c r="B7239" i="1"/>
  <c r="C7239" i="1"/>
  <c r="D7239" i="1"/>
  <c r="E7239" i="1"/>
  <c r="F7239" i="1"/>
  <c r="H7239" i="1"/>
  <c r="A7240" i="1"/>
  <c r="B7240" i="1"/>
  <c r="C7240" i="1"/>
  <c r="D7240" i="1"/>
  <c r="E7240" i="1"/>
  <c r="F7240" i="1"/>
  <c r="H7240" i="1"/>
  <c r="A7241" i="1"/>
  <c r="B7241" i="1"/>
  <c r="C7241" i="1"/>
  <c r="D7241" i="1"/>
  <c r="E7241" i="1"/>
  <c r="F7241" i="1"/>
  <c r="H7241" i="1"/>
  <c r="A7242" i="1"/>
  <c r="B7242" i="1"/>
  <c r="C7242" i="1"/>
  <c r="D7242" i="1"/>
  <c r="E7242" i="1"/>
  <c r="F7242" i="1"/>
  <c r="H7242" i="1"/>
  <c r="A7243" i="1"/>
  <c r="B7243" i="1"/>
  <c r="C7243" i="1"/>
  <c r="D7243" i="1"/>
  <c r="E7243" i="1"/>
  <c r="F7243" i="1"/>
  <c r="H7243" i="1"/>
  <c r="A7244" i="1"/>
  <c r="B7244" i="1"/>
  <c r="C7244" i="1"/>
  <c r="D7244" i="1"/>
  <c r="E7244" i="1"/>
  <c r="F7244" i="1"/>
  <c r="H7244" i="1"/>
  <c r="A7245" i="1"/>
  <c r="B7245" i="1"/>
  <c r="C7245" i="1"/>
  <c r="D7245" i="1"/>
  <c r="E7245" i="1"/>
  <c r="F7245" i="1"/>
  <c r="H7245" i="1"/>
  <c r="A7246" i="1"/>
  <c r="B7246" i="1"/>
  <c r="C7246" i="1"/>
  <c r="D7246" i="1"/>
  <c r="E7246" i="1"/>
  <c r="F7246" i="1"/>
  <c r="H7246" i="1"/>
  <c r="A7247" i="1"/>
  <c r="B7247" i="1"/>
  <c r="C7247" i="1"/>
  <c r="D7247" i="1"/>
  <c r="E7247" i="1"/>
  <c r="F7247" i="1"/>
  <c r="H7247" i="1"/>
  <c r="A7248" i="1"/>
  <c r="B7248" i="1"/>
  <c r="C7248" i="1"/>
  <c r="D7248" i="1"/>
  <c r="E7248" i="1"/>
  <c r="F7248" i="1"/>
  <c r="H7248" i="1"/>
  <c r="A7249" i="1"/>
  <c r="B7249" i="1"/>
  <c r="C7249" i="1"/>
  <c r="D7249" i="1"/>
  <c r="E7249" i="1"/>
  <c r="F7249" i="1"/>
  <c r="H7249" i="1"/>
  <c r="A7250" i="1"/>
  <c r="B7250" i="1"/>
  <c r="C7250" i="1"/>
  <c r="D7250" i="1"/>
  <c r="E7250" i="1"/>
  <c r="F7250" i="1"/>
  <c r="H7250" i="1"/>
  <c r="A7251" i="1"/>
  <c r="B7251" i="1"/>
  <c r="C7251" i="1"/>
  <c r="D7251" i="1"/>
  <c r="E7251" i="1"/>
  <c r="F7251" i="1"/>
  <c r="H7251" i="1"/>
  <c r="A7252" i="1"/>
  <c r="B7252" i="1"/>
  <c r="C7252" i="1"/>
  <c r="D7252" i="1"/>
  <c r="E7252" i="1"/>
  <c r="F7252" i="1"/>
  <c r="H7252" i="1"/>
  <c r="A7253" i="1"/>
  <c r="B7253" i="1"/>
  <c r="C7253" i="1"/>
  <c r="D7253" i="1"/>
  <c r="E7253" i="1"/>
  <c r="F7253" i="1"/>
  <c r="H7253" i="1"/>
  <c r="A7254" i="1"/>
  <c r="B7254" i="1"/>
  <c r="C7254" i="1"/>
  <c r="D7254" i="1"/>
  <c r="E7254" i="1"/>
  <c r="F7254" i="1"/>
  <c r="H7254" i="1"/>
  <c r="A7255" i="1"/>
  <c r="B7255" i="1"/>
  <c r="C7255" i="1"/>
  <c r="D7255" i="1"/>
  <c r="E7255" i="1"/>
  <c r="F7255" i="1"/>
  <c r="H7255" i="1"/>
  <c r="A7256" i="1"/>
  <c r="B7256" i="1"/>
  <c r="C7256" i="1"/>
  <c r="D7256" i="1"/>
  <c r="E7256" i="1"/>
  <c r="F7256" i="1"/>
  <c r="H7256" i="1"/>
  <c r="A7257" i="1"/>
  <c r="B7257" i="1"/>
  <c r="C7257" i="1"/>
  <c r="D7257" i="1"/>
  <c r="E7257" i="1"/>
  <c r="F7257" i="1"/>
  <c r="H7257" i="1"/>
  <c r="A7258" i="1"/>
  <c r="B7258" i="1"/>
  <c r="C7258" i="1"/>
  <c r="D7258" i="1"/>
  <c r="E7258" i="1"/>
  <c r="F7258" i="1"/>
  <c r="H7258" i="1"/>
  <c r="A7259" i="1"/>
  <c r="B7259" i="1"/>
  <c r="C7259" i="1"/>
  <c r="D7259" i="1"/>
  <c r="E7259" i="1"/>
  <c r="F7259" i="1"/>
  <c r="H7259" i="1"/>
  <c r="A7260" i="1"/>
  <c r="B7260" i="1"/>
  <c r="C7260" i="1"/>
  <c r="D7260" i="1"/>
  <c r="E7260" i="1"/>
  <c r="F7260" i="1"/>
  <c r="H7260" i="1"/>
  <c r="A7261" i="1"/>
  <c r="B7261" i="1"/>
  <c r="C7261" i="1"/>
  <c r="D7261" i="1"/>
  <c r="E7261" i="1"/>
  <c r="F7261" i="1"/>
  <c r="H7261" i="1"/>
  <c r="A7262" i="1"/>
  <c r="B7262" i="1"/>
  <c r="C7262" i="1"/>
  <c r="D7262" i="1"/>
  <c r="E7262" i="1"/>
  <c r="F7262" i="1"/>
  <c r="H7262" i="1"/>
  <c r="A7263" i="1"/>
  <c r="B7263" i="1"/>
  <c r="C7263" i="1"/>
  <c r="D7263" i="1"/>
  <c r="E7263" i="1"/>
  <c r="F7263" i="1"/>
  <c r="H7263" i="1"/>
  <c r="A7264" i="1"/>
  <c r="B7264" i="1"/>
  <c r="C7264" i="1"/>
  <c r="D7264" i="1"/>
  <c r="E7264" i="1"/>
  <c r="F7264" i="1"/>
  <c r="H7264" i="1"/>
  <c r="A7265" i="1"/>
  <c r="B7265" i="1"/>
  <c r="C7265" i="1"/>
  <c r="D7265" i="1"/>
  <c r="E7265" i="1"/>
  <c r="F7265" i="1"/>
  <c r="H7265" i="1"/>
  <c r="A7266" i="1"/>
  <c r="B7266" i="1"/>
  <c r="C7266" i="1"/>
  <c r="D7266" i="1"/>
  <c r="E7266" i="1"/>
  <c r="F7266" i="1"/>
  <c r="H7266" i="1"/>
  <c r="A7267" i="1"/>
  <c r="B7267" i="1"/>
  <c r="C7267" i="1"/>
  <c r="D7267" i="1"/>
  <c r="E7267" i="1"/>
  <c r="F7267" i="1"/>
  <c r="H7267" i="1"/>
  <c r="A7268" i="1"/>
  <c r="B7268" i="1"/>
  <c r="C7268" i="1"/>
  <c r="D7268" i="1"/>
  <c r="E7268" i="1"/>
  <c r="F7268" i="1"/>
  <c r="H7268" i="1"/>
  <c r="A7269" i="1"/>
  <c r="B7269" i="1"/>
  <c r="C7269" i="1"/>
  <c r="D7269" i="1"/>
  <c r="E7269" i="1"/>
  <c r="F7269" i="1"/>
  <c r="H7269" i="1"/>
  <c r="A7270" i="1"/>
  <c r="B7270" i="1"/>
  <c r="C7270" i="1"/>
  <c r="D7270" i="1"/>
  <c r="E7270" i="1"/>
  <c r="F7270" i="1"/>
  <c r="H7270" i="1"/>
  <c r="A7271" i="1"/>
  <c r="B7271" i="1"/>
  <c r="C7271" i="1"/>
  <c r="D7271" i="1"/>
  <c r="E7271" i="1"/>
  <c r="F7271" i="1"/>
  <c r="H7271" i="1"/>
  <c r="A7272" i="1"/>
  <c r="B7272" i="1"/>
  <c r="C7272" i="1"/>
  <c r="D7272" i="1"/>
  <c r="E7272" i="1"/>
  <c r="F7272" i="1"/>
  <c r="H7272" i="1"/>
  <c r="A7273" i="1"/>
  <c r="B7273" i="1"/>
  <c r="C7273" i="1"/>
  <c r="D7273" i="1"/>
  <c r="E7273" i="1"/>
  <c r="F7273" i="1"/>
  <c r="H7273" i="1"/>
  <c r="A7274" i="1"/>
  <c r="B7274" i="1"/>
  <c r="C7274" i="1"/>
  <c r="D7274" i="1"/>
  <c r="E7274" i="1"/>
  <c r="F7274" i="1"/>
  <c r="H7274" i="1"/>
  <c r="A7275" i="1"/>
  <c r="B7275" i="1"/>
  <c r="C7275" i="1"/>
  <c r="D7275" i="1"/>
  <c r="E7275" i="1"/>
  <c r="F7275" i="1"/>
  <c r="H7275" i="1"/>
  <c r="A7276" i="1"/>
  <c r="B7276" i="1"/>
  <c r="C7276" i="1"/>
  <c r="D7276" i="1"/>
  <c r="E7276" i="1"/>
  <c r="F7276" i="1"/>
  <c r="H7276" i="1"/>
  <c r="A7277" i="1"/>
  <c r="B7277" i="1"/>
  <c r="C7277" i="1"/>
  <c r="D7277" i="1"/>
  <c r="E7277" i="1"/>
  <c r="F7277" i="1"/>
  <c r="H7277" i="1"/>
  <c r="A7278" i="1"/>
  <c r="B7278" i="1"/>
  <c r="C7278" i="1"/>
  <c r="D7278" i="1"/>
  <c r="E7278" i="1"/>
  <c r="F7278" i="1"/>
  <c r="H7278" i="1"/>
  <c r="A7279" i="1"/>
  <c r="B7279" i="1"/>
  <c r="C7279" i="1"/>
  <c r="D7279" i="1"/>
  <c r="E7279" i="1"/>
  <c r="F7279" i="1"/>
  <c r="H7279" i="1"/>
  <c r="A7280" i="1"/>
  <c r="B7280" i="1"/>
  <c r="C7280" i="1"/>
  <c r="D7280" i="1"/>
  <c r="E7280" i="1"/>
  <c r="F7280" i="1"/>
  <c r="H7280" i="1"/>
  <c r="A7281" i="1"/>
  <c r="B7281" i="1"/>
  <c r="C7281" i="1"/>
  <c r="D7281" i="1"/>
  <c r="E7281" i="1"/>
  <c r="F7281" i="1"/>
  <c r="H7281" i="1"/>
  <c r="A7282" i="1"/>
  <c r="B7282" i="1"/>
  <c r="C7282" i="1"/>
  <c r="D7282" i="1"/>
  <c r="E7282" i="1"/>
  <c r="F7282" i="1"/>
  <c r="H7282" i="1"/>
  <c r="A7283" i="1"/>
  <c r="B7283" i="1"/>
  <c r="C7283" i="1"/>
  <c r="D7283" i="1"/>
  <c r="E7283" i="1"/>
  <c r="F7283" i="1"/>
  <c r="H7283" i="1"/>
  <c r="A7284" i="1"/>
  <c r="B7284" i="1"/>
  <c r="C7284" i="1"/>
  <c r="D7284" i="1"/>
  <c r="E7284" i="1"/>
  <c r="F7284" i="1"/>
  <c r="H7284" i="1"/>
  <c r="A7285" i="1"/>
  <c r="B7285" i="1"/>
  <c r="C7285" i="1"/>
  <c r="D7285" i="1"/>
  <c r="E7285" i="1"/>
  <c r="F7285" i="1"/>
  <c r="H7285" i="1"/>
  <c r="A7286" i="1"/>
  <c r="B7286" i="1"/>
  <c r="C7286" i="1"/>
  <c r="D7286" i="1"/>
  <c r="E7286" i="1"/>
  <c r="F7286" i="1"/>
  <c r="H7286" i="1"/>
  <c r="A7287" i="1"/>
  <c r="B7287" i="1"/>
  <c r="C7287" i="1"/>
  <c r="D7287" i="1"/>
  <c r="E7287" i="1"/>
  <c r="F7287" i="1"/>
  <c r="H7287" i="1"/>
  <c r="A7288" i="1"/>
  <c r="B7288" i="1"/>
  <c r="C7288" i="1"/>
  <c r="D7288" i="1"/>
  <c r="E7288" i="1"/>
  <c r="F7288" i="1"/>
  <c r="H7288" i="1"/>
  <c r="A7289" i="1"/>
  <c r="B7289" i="1"/>
  <c r="C7289" i="1"/>
  <c r="D7289" i="1"/>
  <c r="E7289" i="1"/>
  <c r="F7289" i="1"/>
  <c r="H7289" i="1"/>
  <c r="A7290" i="1"/>
  <c r="B7290" i="1"/>
  <c r="C7290" i="1"/>
  <c r="D7290" i="1"/>
  <c r="E7290" i="1"/>
  <c r="F7290" i="1"/>
  <c r="H7290" i="1"/>
  <c r="A7291" i="1"/>
  <c r="B7291" i="1"/>
  <c r="C7291" i="1"/>
  <c r="D7291" i="1"/>
  <c r="E7291" i="1"/>
  <c r="F7291" i="1"/>
  <c r="H7291" i="1"/>
  <c r="A7292" i="1"/>
  <c r="B7292" i="1"/>
  <c r="C7292" i="1"/>
  <c r="D7292" i="1"/>
  <c r="E7292" i="1"/>
  <c r="F7292" i="1"/>
  <c r="H7292" i="1"/>
  <c r="A7293" i="1"/>
  <c r="B7293" i="1"/>
  <c r="C7293" i="1"/>
  <c r="D7293" i="1"/>
  <c r="E7293" i="1"/>
  <c r="F7293" i="1"/>
  <c r="H7293" i="1"/>
  <c r="A7294" i="1"/>
  <c r="B7294" i="1"/>
  <c r="C7294" i="1"/>
  <c r="D7294" i="1"/>
  <c r="E7294" i="1"/>
  <c r="F7294" i="1"/>
  <c r="H7294" i="1"/>
  <c r="A7295" i="1"/>
  <c r="B7295" i="1"/>
  <c r="C7295" i="1"/>
  <c r="D7295" i="1"/>
  <c r="E7295" i="1"/>
  <c r="F7295" i="1"/>
  <c r="H7295" i="1"/>
  <c r="A7296" i="1"/>
  <c r="B7296" i="1"/>
  <c r="C7296" i="1"/>
  <c r="D7296" i="1"/>
  <c r="E7296" i="1"/>
  <c r="F7296" i="1"/>
  <c r="H7296" i="1"/>
  <c r="A7297" i="1"/>
  <c r="B7297" i="1"/>
  <c r="C7297" i="1"/>
  <c r="D7297" i="1"/>
  <c r="E7297" i="1"/>
  <c r="F7297" i="1"/>
  <c r="H7297" i="1"/>
  <c r="A7298" i="1"/>
  <c r="B7298" i="1"/>
  <c r="C7298" i="1"/>
  <c r="D7298" i="1"/>
  <c r="E7298" i="1"/>
  <c r="F7298" i="1"/>
  <c r="H7298" i="1"/>
  <c r="A7299" i="1"/>
  <c r="B7299" i="1"/>
  <c r="C7299" i="1"/>
  <c r="D7299" i="1"/>
  <c r="E7299" i="1"/>
  <c r="F7299" i="1"/>
  <c r="H7299" i="1"/>
  <c r="A7300" i="1"/>
  <c r="B7300" i="1"/>
  <c r="C7300" i="1"/>
  <c r="D7300" i="1"/>
  <c r="E7300" i="1"/>
  <c r="F7300" i="1"/>
  <c r="H7300" i="1"/>
  <c r="A7301" i="1"/>
  <c r="B7301" i="1"/>
  <c r="C7301" i="1"/>
  <c r="D7301" i="1"/>
  <c r="E7301" i="1"/>
  <c r="F7301" i="1"/>
  <c r="H7301" i="1"/>
  <c r="A7302" i="1"/>
  <c r="B7302" i="1"/>
  <c r="C7302" i="1"/>
  <c r="D7302" i="1"/>
  <c r="E7302" i="1"/>
  <c r="F7302" i="1"/>
  <c r="H7302" i="1"/>
  <c r="A7303" i="1"/>
  <c r="B7303" i="1"/>
  <c r="C7303" i="1"/>
  <c r="D7303" i="1"/>
  <c r="E7303" i="1"/>
  <c r="F7303" i="1"/>
  <c r="H7303" i="1"/>
  <c r="A7304" i="1"/>
  <c r="B7304" i="1"/>
  <c r="C7304" i="1"/>
  <c r="D7304" i="1"/>
  <c r="E7304" i="1"/>
  <c r="F7304" i="1"/>
  <c r="H7304" i="1"/>
  <c r="A7305" i="1"/>
  <c r="B7305" i="1"/>
  <c r="C7305" i="1"/>
  <c r="D7305" i="1"/>
  <c r="E7305" i="1"/>
  <c r="F7305" i="1"/>
  <c r="H7305" i="1"/>
  <c r="A7306" i="1"/>
  <c r="B7306" i="1"/>
  <c r="C7306" i="1"/>
  <c r="D7306" i="1"/>
  <c r="E7306" i="1"/>
  <c r="F7306" i="1"/>
  <c r="H7306" i="1"/>
  <c r="A7307" i="1"/>
  <c r="B7307" i="1"/>
  <c r="C7307" i="1"/>
  <c r="D7307" i="1"/>
  <c r="E7307" i="1"/>
  <c r="F7307" i="1"/>
  <c r="H7307" i="1"/>
  <c r="A7308" i="1"/>
  <c r="B7308" i="1"/>
  <c r="C7308" i="1"/>
  <c r="D7308" i="1"/>
  <c r="E7308" i="1"/>
  <c r="F7308" i="1"/>
  <c r="H7308" i="1"/>
  <c r="A7309" i="1"/>
  <c r="B7309" i="1"/>
  <c r="C7309" i="1"/>
  <c r="D7309" i="1"/>
  <c r="E7309" i="1"/>
  <c r="F7309" i="1"/>
  <c r="H7309" i="1"/>
  <c r="A7310" i="1"/>
  <c r="B7310" i="1"/>
  <c r="C7310" i="1"/>
  <c r="D7310" i="1"/>
  <c r="E7310" i="1"/>
  <c r="F7310" i="1"/>
  <c r="H7310" i="1"/>
  <c r="A7311" i="1"/>
  <c r="B7311" i="1"/>
  <c r="C7311" i="1"/>
  <c r="D7311" i="1"/>
  <c r="E7311" i="1"/>
  <c r="F7311" i="1"/>
  <c r="H7311" i="1"/>
  <c r="A7312" i="1"/>
  <c r="B7312" i="1"/>
  <c r="C7312" i="1"/>
  <c r="D7312" i="1"/>
  <c r="E7312" i="1"/>
  <c r="F7312" i="1"/>
  <c r="H7312" i="1"/>
  <c r="A7313" i="1"/>
  <c r="B7313" i="1"/>
  <c r="C7313" i="1"/>
  <c r="D7313" i="1"/>
  <c r="E7313" i="1"/>
  <c r="F7313" i="1"/>
  <c r="H7313" i="1"/>
  <c r="A7314" i="1"/>
  <c r="B7314" i="1"/>
  <c r="C7314" i="1"/>
  <c r="D7314" i="1"/>
  <c r="E7314" i="1"/>
  <c r="F7314" i="1"/>
  <c r="H7314" i="1"/>
  <c r="A7315" i="1"/>
  <c r="B7315" i="1"/>
  <c r="C7315" i="1"/>
  <c r="D7315" i="1"/>
  <c r="E7315" i="1"/>
  <c r="F7315" i="1"/>
  <c r="H7315" i="1"/>
  <c r="A7316" i="1"/>
  <c r="B7316" i="1"/>
  <c r="C7316" i="1"/>
  <c r="D7316" i="1"/>
  <c r="E7316" i="1"/>
  <c r="F7316" i="1"/>
  <c r="H7316" i="1"/>
  <c r="A7317" i="1"/>
  <c r="B7317" i="1"/>
  <c r="C7317" i="1"/>
  <c r="D7317" i="1"/>
  <c r="E7317" i="1"/>
  <c r="F7317" i="1"/>
  <c r="H7317" i="1"/>
  <c r="A7318" i="1"/>
  <c r="B7318" i="1"/>
  <c r="C7318" i="1"/>
  <c r="D7318" i="1"/>
  <c r="E7318" i="1"/>
  <c r="F7318" i="1"/>
  <c r="H7318" i="1"/>
  <c r="A7319" i="1"/>
  <c r="B7319" i="1"/>
  <c r="C7319" i="1"/>
  <c r="D7319" i="1"/>
  <c r="E7319" i="1"/>
  <c r="F7319" i="1"/>
  <c r="H7319" i="1"/>
  <c r="A7320" i="1"/>
  <c r="B7320" i="1"/>
  <c r="C7320" i="1"/>
  <c r="D7320" i="1"/>
  <c r="E7320" i="1"/>
  <c r="F7320" i="1"/>
  <c r="H7320" i="1"/>
  <c r="A7321" i="1"/>
  <c r="B7321" i="1"/>
  <c r="C7321" i="1"/>
  <c r="D7321" i="1"/>
  <c r="E7321" i="1"/>
  <c r="F7321" i="1"/>
  <c r="H7321" i="1"/>
  <c r="A7322" i="1"/>
  <c r="B7322" i="1"/>
  <c r="C7322" i="1"/>
  <c r="D7322" i="1"/>
  <c r="E7322" i="1"/>
  <c r="F7322" i="1"/>
  <c r="H7322" i="1"/>
  <c r="A7323" i="1"/>
  <c r="B7323" i="1"/>
  <c r="C7323" i="1"/>
  <c r="D7323" i="1"/>
  <c r="E7323" i="1"/>
  <c r="F7323" i="1"/>
  <c r="H7323" i="1"/>
  <c r="A7324" i="1"/>
  <c r="B7324" i="1"/>
  <c r="C7324" i="1"/>
  <c r="D7324" i="1"/>
  <c r="E7324" i="1"/>
  <c r="F7324" i="1"/>
  <c r="H7324" i="1"/>
  <c r="A7325" i="1"/>
  <c r="B7325" i="1"/>
  <c r="C7325" i="1"/>
  <c r="D7325" i="1"/>
  <c r="E7325" i="1"/>
  <c r="F7325" i="1"/>
  <c r="H7325" i="1"/>
  <c r="A7326" i="1"/>
  <c r="B7326" i="1"/>
  <c r="C7326" i="1"/>
  <c r="D7326" i="1"/>
  <c r="E7326" i="1"/>
  <c r="F7326" i="1"/>
  <c r="H7326" i="1"/>
  <c r="A7327" i="1"/>
  <c r="B7327" i="1"/>
  <c r="C7327" i="1"/>
  <c r="D7327" i="1"/>
  <c r="E7327" i="1"/>
  <c r="F7327" i="1"/>
  <c r="H7327" i="1"/>
  <c r="A7328" i="1"/>
  <c r="B7328" i="1"/>
  <c r="C7328" i="1"/>
  <c r="D7328" i="1"/>
  <c r="E7328" i="1"/>
  <c r="F7328" i="1"/>
  <c r="H7328" i="1"/>
  <c r="A7329" i="1"/>
  <c r="B7329" i="1"/>
  <c r="C7329" i="1"/>
  <c r="D7329" i="1"/>
  <c r="E7329" i="1"/>
  <c r="F7329" i="1"/>
  <c r="H7329" i="1"/>
  <c r="A7330" i="1"/>
  <c r="B7330" i="1"/>
  <c r="C7330" i="1"/>
  <c r="D7330" i="1"/>
  <c r="E7330" i="1"/>
  <c r="F7330" i="1"/>
  <c r="H7330" i="1"/>
  <c r="A7331" i="1"/>
  <c r="B7331" i="1"/>
  <c r="C7331" i="1"/>
  <c r="D7331" i="1"/>
  <c r="E7331" i="1"/>
  <c r="F7331" i="1"/>
  <c r="H7331" i="1"/>
  <c r="A7332" i="1"/>
  <c r="B7332" i="1"/>
  <c r="C7332" i="1"/>
  <c r="D7332" i="1"/>
  <c r="E7332" i="1"/>
  <c r="F7332" i="1"/>
  <c r="H7332" i="1"/>
  <c r="A7333" i="1"/>
  <c r="B7333" i="1"/>
  <c r="C7333" i="1"/>
  <c r="D7333" i="1"/>
  <c r="E7333" i="1"/>
  <c r="F7333" i="1"/>
  <c r="H7333" i="1"/>
  <c r="A7334" i="1"/>
  <c r="B7334" i="1"/>
  <c r="C7334" i="1"/>
  <c r="D7334" i="1"/>
  <c r="E7334" i="1"/>
  <c r="F7334" i="1"/>
  <c r="H7334" i="1"/>
  <c r="A7335" i="1"/>
  <c r="B7335" i="1"/>
  <c r="C7335" i="1"/>
  <c r="D7335" i="1"/>
  <c r="E7335" i="1"/>
  <c r="F7335" i="1"/>
  <c r="H7335" i="1"/>
  <c r="A7336" i="1"/>
  <c r="B7336" i="1"/>
  <c r="C7336" i="1"/>
  <c r="D7336" i="1"/>
  <c r="E7336" i="1"/>
  <c r="F7336" i="1"/>
  <c r="H7336" i="1"/>
  <c r="A7337" i="1"/>
  <c r="B7337" i="1"/>
  <c r="C7337" i="1"/>
  <c r="D7337" i="1"/>
  <c r="E7337" i="1"/>
  <c r="F7337" i="1"/>
  <c r="H7337" i="1"/>
  <c r="A7338" i="1"/>
  <c r="B7338" i="1"/>
  <c r="C7338" i="1"/>
  <c r="D7338" i="1"/>
  <c r="E7338" i="1"/>
  <c r="F7338" i="1"/>
  <c r="H7338" i="1"/>
  <c r="A7339" i="1"/>
  <c r="B7339" i="1"/>
  <c r="C7339" i="1"/>
  <c r="D7339" i="1"/>
  <c r="E7339" i="1"/>
  <c r="F7339" i="1"/>
  <c r="H7339" i="1"/>
  <c r="A7340" i="1"/>
  <c r="B7340" i="1"/>
  <c r="C7340" i="1"/>
  <c r="D7340" i="1"/>
  <c r="E7340" i="1"/>
  <c r="F7340" i="1"/>
  <c r="H7340" i="1"/>
  <c r="A7341" i="1"/>
  <c r="B7341" i="1"/>
  <c r="C7341" i="1"/>
  <c r="D7341" i="1"/>
  <c r="E7341" i="1"/>
  <c r="F7341" i="1"/>
  <c r="H7341" i="1"/>
  <c r="A7342" i="1"/>
  <c r="B7342" i="1"/>
  <c r="C7342" i="1"/>
  <c r="D7342" i="1"/>
  <c r="E7342" i="1"/>
  <c r="F7342" i="1"/>
  <c r="H7342" i="1"/>
  <c r="A7343" i="1"/>
  <c r="B7343" i="1"/>
  <c r="C7343" i="1"/>
  <c r="D7343" i="1"/>
  <c r="E7343" i="1"/>
  <c r="F7343" i="1"/>
  <c r="H7343" i="1"/>
  <c r="A7344" i="1"/>
  <c r="B7344" i="1"/>
  <c r="C7344" i="1"/>
  <c r="D7344" i="1"/>
  <c r="E7344" i="1"/>
  <c r="F7344" i="1"/>
  <c r="H7344" i="1"/>
  <c r="A7345" i="1"/>
  <c r="B7345" i="1"/>
  <c r="C7345" i="1"/>
  <c r="D7345" i="1"/>
  <c r="E7345" i="1"/>
  <c r="F7345" i="1"/>
  <c r="H7345" i="1"/>
  <c r="A7346" i="1"/>
  <c r="B7346" i="1"/>
  <c r="C7346" i="1"/>
  <c r="D7346" i="1"/>
  <c r="E7346" i="1"/>
  <c r="F7346" i="1"/>
  <c r="H7346" i="1"/>
  <c r="A7347" i="1"/>
  <c r="B7347" i="1"/>
  <c r="C7347" i="1"/>
  <c r="D7347" i="1"/>
  <c r="E7347" i="1"/>
  <c r="F7347" i="1"/>
  <c r="H7347" i="1"/>
  <c r="A7348" i="1"/>
  <c r="B7348" i="1"/>
  <c r="C7348" i="1"/>
  <c r="D7348" i="1"/>
  <c r="E7348" i="1"/>
  <c r="F7348" i="1"/>
  <c r="H7348" i="1"/>
  <c r="A7349" i="1"/>
  <c r="B7349" i="1"/>
  <c r="C7349" i="1"/>
  <c r="D7349" i="1"/>
  <c r="E7349" i="1"/>
  <c r="F7349" i="1"/>
  <c r="H7349" i="1"/>
  <c r="A7350" i="1"/>
  <c r="B7350" i="1"/>
  <c r="C7350" i="1"/>
  <c r="D7350" i="1"/>
  <c r="E7350" i="1"/>
  <c r="F7350" i="1"/>
  <c r="H7350" i="1"/>
  <c r="A7351" i="1"/>
  <c r="B7351" i="1"/>
  <c r="C7351" i="1"/>
  <c r="D7351" i="1"/>
  <c r="E7351" i="1"/>
  <c r="F7351" i="1"/>
  <c r="H7351" i="1"/>
  <c r="A7352" i="1"/>
  <c r="B7352" i="1"/>
  <c r="C7352" i="1"/>
  <c r="D7352" i="1"/>
  <c r="E7352" i="1"/>
  <c r="F7352" i="1"/>
  <c r="H7352" i="1"/>
  <c r="A7353" i="1"/>
  <c r="B7353" i="1"/>
  <c r="C7353" i="1"/>
  <c r="D7353" i="1"/>
  <c r="E7353" i="1"/>
  <c r="F7353" i="1"/>
  <c r="H7353" i="1"/>
  <c r="A7354" i="1"/>
  <c r="B7354" i="1"/>
  <c r="C7354" i="1"/>
  <c r="D7354" i="1"/>
  <c r="E7354" i="1"/>
  <c r="F7354" i="1"/>
  <c r="H7354" i="1"/>
  <c r="A7355" i="1"/>
  <c r="B7355" i="1"/>
  <c r="C7355" i="1"/>
  <c r="D7355" i="1"/>
  <c r="E7355" i="1"/>
  <c r="F7355" i="1"/>
  <c r="H7355" i="1"/>
  <c r="A7356" i="1"/>
  <c r="B7356" i="1"/>
  <c r="C7356" i="1"/>
  <c r="D7356" i="1"/>
  <c r="E7356" i="1"/>
  <c r="F7356" i="1"/>
  <c r="H7356" i="1"/>
  <c r="A7357" i="1"/>
  <c r="B7357" i="1"/>
  <c r="C7357" i="1"/>
  <c r="D7357" i="1"/>
  <c r="E7357" i="1"/>
  <c r="F7357" i="1"/>
  <c r="H7357" i="1"/>
  <c r="A7358" i="1"/>
  <c r="B7358" i="1"/>
  <c r="C7358" i="1"/>
  <c r="D7358" i="1"/>
  <c r="E7358" i="1"/>
  <c r="F7358" i="1"/>
  <c r="H7358" i="1"/>
  <c r="A7359" i="1"/>
  <c r="B7359" i="1"/>
  <c r="C7359" i="1"/>
  <c r="D7359" i="1"/>
  <c r="E7359" i="1"/>
  <c r="F7359" i="1"/>
  <c r="H7359" i="1"/>
  <c r="A7360" i="1"/>
  <c r="B7360" i="1"/>
  <c r="C7360" i="1"/>
  <c r="D7360" i="1"/>
  <c r="E7360" i="1"/>
  <c r="F7360" i="1"/>
  <c r="H7360" i="1"/>
  <c r="A7361" i="1"/>
  <c r="B7361" i="1"/>
  <c r="C7361" i="1"/>
  <c r="D7361" i="1"/>
  <c r="E7361" i="1"/>
  <c r="F7361" i="1"/>
  <c r="H7361" i="1"/>
  <c r="A7362" i="1"/>
  <c r="B7362" i="1"/>
  <c r="C7362" i="1"/>
  <c r="D7362" i="1"/>
  <c r="E7362" i="1"/>
  <c r="F7362" i="1"/>
  <c r="H7362" i="1"/>
  <c r="A7363" i="1"/>
  <c r="B7363" i="1"/>
  <c r="C7363" i="1"/>
  <c r="D7363" i="1"/>
  <c r="E7363" i="1"/>
  <c r="F7363" i="1"/>
  <c r="H7363" i="1"/>
  <c r="A7364" i="1"/>
  <c r="B7364" i="1"/>
  <c r="C7364" i="1"/>
  <c r="D7364" i="1"/>
  <c r="E7364" i="1"/>
  <c r="F7364" i="1"/>
  <c r="H7364" i="1"/>
  <c r="A7365" i="1"/>
  <c r="B7365" i="1"/>
  <c r="C7365" i="1"/>
  <c r="D7365" i="1"/>
  <c r="E7365" i="1"/>
  <c r="F7365" i="1"/>
  <c r="H7365" i="1"/>
  <c r="A7366" i="1"/>
  <c r="B7366" i="1"/>
  <c r="C7366" i="1"/>
  <c r="D7366" i="1"/>
  <c r="E7366" i="1"/>
  <c r="F7366" i="1"/>
  <c r="H7366" i="1"/>
  <c r="A7367" i="1"/>
  <c r="B7367" i="1"/>
  <c r="C7367" i="1"/>
  <c r="D7367" i="1"/>
  <c r="E7367" i="1"/>
  <c r="F7367" i="1"/>
  <c r="H7367" i="1"/>
  <c r="A7368" i="1"/>
  <c r="B7368" i="1"/>
  <c r="C7368" i="1"/>
  <c r="D7368" i="1"/>
  <c r="E7368" i="1"/>
  <c r="F7368" i="1"/>
  <c r="H7368" i="1"/>
  <c r="A7369" i="1"/>
  <c r="B7369" i="1"/>
  <c r="C7369" i="1"/>
  <c r="D7369" i="1"/>
  <c r="E7369" i="1"/>
  <c r="F7369" i="1"/>
  <c r="H7369" i="1"/>
  <c r="A7370" i="1"/>
  <c r="B7370" i="1"/>
  <c r="C7370" i="1"/>
  <c r="D7370" i="1"/>
  <c r="E7370" i="1"/>
  <c r="F7370" i="1"/>
  <c r="H7370" i="1"/>
  <c r="A7371" i="1"/>
  <c r="B7371" i="1"/>
  <c r="C7371" i="1"/>
  <c r="D7371" i="1"/>
  <c r="E7371" i="1"/>
  <c r="F7371" i="1"/>
  <c r="H7371" i="1"/>
  <c r="A7372" i="1"/>
  <c r="B7372" i="1"/>
  <c r="C7372" i="1"/>
  <c r="D7372" i="1"/>
  <c r="E7372" i="1"/>
  <c r="F7372" i="1"/>
  <c r="H7372" i="1"/>
  <c r="A7373" i="1"/>
  <c r="B7373" i="1"/>
  <c r="C7373" i="1"/>
  <c r="D7373" i="1"/>
  <c r="E7373" i="1"/>
  <c r="F7373" i="1"/>
  <c r="H7373" i="1"/>
  <c r="A7374" i="1"/>
  <c r="B7374" i="1"/>
  <c r="C7374" i="1"/>
  <c r="D7374" i="1"/>
  <c r="E7374" i="1"/>
  <c r="F7374" i="1"/>
  <c r="H7374" i="1"/>
  <c r="A7375" i="1"/>
  <c r="B7375" i="1"/>
  <c r="C7375" i="1"/>
  <c r="D7375" i="1"/>
  <c r="E7375" i="1"/>
  <c r="F7375" i="1"/>
  <c r="H7375" i="1"/>
  <c r="A7376" i="1"/>
  <c r="B7376" i="1"/>
  <c r="C7376" i="1"/>
  <c r="D7376" i="1"/>
  <c r="E7376" i="1"/>
  <c r="F7376" i="1"/>
  <c r="H7376" i="1"/>
  <c r="A7377" i="1"/>
  <c r="B7377" i="1"/>
  <c r="C7377" i="1"/>
  <c r="D7377" i="1"/>
  <c r="E7377" i="1"/>
  <c r="F7377" i="1"/>
  <c r="H7377" i="1"/>
  <c r="A7378" i="1"/>
  <c r="B7378" i="1"/>
  <c r="C7378" i="1"/>
  <c r="D7378" i="1"/>
  <c r="E7378" i="1"/>
  <c r="F7378" i="1"/>
  <c r="H7378" i="1"/>
  <c r="A7379" i="1"/>
  <c r="B7379" i="1"/>
  <c r="C7379" i="1"/>
  <c r="D7379" i="1"/>
  <c r="E7379" i="1"/>
  <c r="F7379" i="1"/>
  <c r="H7379" i="1"/>
  <c r="A7380" i="1"/>
  <c r="B7380" i="1"/>
  <c r="C7380" i="1"/>
  <c r="D7380" i="1"/>
  <c r="E7380" i="1"/>
  <c r="F7380" i="1"/>
  <c r="H7380" i="1"/>
  <c r="A7381" i="1"/>
  <c r="B7381" i="1"/>
  <c r="C7381" i="1"/>
  <c r="D7381" i="1"/>
  <c r="E7381" i="1"/>
  <c r="F7381" i="1"/>
  <c r="H7381" i="1"/>
  <c r="A7382" i="1"/>
  <c r="B7382" i="1"/>
  <c r="C7382" i="1"/>
  <c r="D7382" i="1"/>
  <c r="E7382" i="1"/>
  <c r="F7382" i="1"/>
  <c r="H7382" i="1"/>
  <c r="A7383" i="1"/>
  <c r="B7383" i="1"/>
  <c r="C7383" i="1"/>
  <c r="D7383" i="1"/>
  <c r="E7383" i="1"/>
  <c r="F7383" i="1"/>
  <c r="H7383" i="1"/>
  <c r="A7384" i="1"/>
  <c r="B7384" i="1"/>
  <c r="C7384" i="1"/>
  <c r="D7384" i="1"/>
  <c r="E7384" i="1"/>
  <c r="F7384" i="1"/>
  <c r="H7384" i="1"/>
  <c r="A7385" i="1"/>
  <c r="B7385" i="1"/>
  <c r="C7385" i="1"/>
  <c r="D7385" i="1"/>
  <c r="E7385" i="1"/>
  <c r="F7385" i="1"/>
  <c r="H7385" i="1"/>
  <c r="A7386" i="1"/>
  <c r="B7386" i="1"/>
  <c r="C7386" i="1"/>
  <c r="D7386" i="1"/>
  <c r="E7386" i="1"/>
  <c r="F7386" i="1"/>
  <c r="H7386" i="1"/>
  <c r="A7387" i="1"/>
  <c r="B7387" i="1"/>
  <c r="C7387" i="1"/>
  <c r="D7387" i="1"/>
  <c r="E7387" i="1"/>
  <c r="F7387" i="1"/>
  <c r="H7387" i="1"/>
  <c r="A7388" i="1"/>
  <c r="B7388" i="1"/>
  <c r="C7388" i="1"/>
  <c r="D7388" i="1"/>
  <c r="E7388" i="1"/>
  <c r="F7388" i="1"/>
  <c r="H7388" i="1"/>
  <c r="A7389" i="1"/>
  <c r="B7389" i="1"/>
  <c r="C7389" i="1"/>
  <c r="D7389" i="1"/>
  <c r="E7389" i="1"/>
  <c r="F7389" i="1"/>
  <c r="H7389" i="1"/>
  <c r="A7390" i="1"/>
  <c r="B7390" i="1"/>
  <c r="C7390" i="1"/>
  <c r="D7390" i="1"/>
  <c r="E7390" i="1"/>
  <c r="F7390" i="1"/>
  <c r="H7390" i="1"/>
  <c r="A7391" i="1"/>
  <c r="B7391" i="1"/>
  <c r="C7391" i="1"/>
  <c r="D7391" i="1"/>
  <c r="E7391" i="1"/>
  <c r="F7391" i="1"/>
  <c r="H7391" i="1"/>
  <c r="A7392" i="1"/>
  <c r="B7392" i="1"/>
  <c r="C7392" i="1"/>
  <c r="D7392" i="1"/>
  <c r="E7392" i="1"/>
  <c r="F7392" i="1"/>
  <c r="H7392" i="1"/>
  <c r="A7393" i="1"/>
  <c r="B7393" i="1"/>
  <c r="C7393" i="1"/>
  <c r="D7393" i="1"/>
  <c r="E7393" i="1"/>
  <c r="F7393" i="1"/>
  <c r="H7393" i="1"/>
  <c r="A7394" i="1"/>
  <c r="B7394" i="1"/>
  <c r="C7394" i="1"/>
  <c r="D7394" i="1"/>
  <c r="E7394" i="1"/>
  <c r="F7394" i="1"/>
  <c r="H7394" i="1"/>
  <c r="A7395" i="1"/>
  <c r="B7395" i="1"/>
  <c r="C7395" i="1"/>
  <c r="D7395" i="1"/>
  <c r="E7395" i="1"/>
  <c r="F7395" i="1"/>
  <c r="H7395" i="1"/>
  <c r="A7396" i="1"/>
  <c r="B7396" i="1"/>
  <c r="C7396" i="1"/>
  <c r="D7396" i="1"/>
  <c r="E7396" i="1"/>
  <c r="F7396" i="1"/>
  <c r="H7396" i="1"/>
  <c r="A7397" i="1"/>
  <c r="B7397" i="1"/>
  <c r="C7397" i="1"/>
  <c r="D7397" i="1"/>
  <c r="E7397" i="1"/>
  <c r="F7397" i="1"/>
  <c r="H7397" i="1"/>
  <c r="A7398" i="1"/>
  <c r="B7398" i="1"/>
  <c r="C7398" i="1"/>
  <c r="D7398" i="1"/>
  <c r="E7398" i="1"/>
  <c r="F7398" i="1"/>
  <c r="H7398" i="1"/>
  <c r="A7399" i="1"/>
  <c r="B7399" i="1"/>
  <c r="C7399" i="1"/>
  <c r="D7399" i="1"/>
  <c r="E7399" i="1"/>
  <c r="F7399" i="1"/>
  <c r="H7399" i="1"/>
  <c r="A7400" i="1"/>
  <c r="B7400" i="1"/>
  <c r="C7400" i="1"/>
  <c r="D7400" i="1"/>
  <c r="E7400" i="1"/>
  <c r="F7400" i="1"/>
  <c r="H7400" i="1"/>
  <c r="A7401" i="1"/>
  <c r="B7401" i="1"/>
  <c r="C7401" i="1"/>
  <c r="D7401" i="1"/>
  <c r="E7401" i="1"/>
  <c r="F7401" i="1"/>
  <c r="H7401" i="1"/>
  <c r="A7402" i="1"/>
  <c r="B7402" i="1"/>
  <c r="C7402" i="1"/>
  <c r="D7402" i="1"/>
  <c r="E7402" i="1"/>
  <c r="F7402" i="1"/>
  <c r="H7402" i="1"/>
  <c r="A7403" i="1"/>
  <c r="B7403" i="1"/>
  <c r="C7403" i="1"/>
  <c r="D7403" i="1"/>
  <c r="E7403" i="1"/>
  <c r="F7403" i="1"/>
  <c r="H7403" i="1"/>
  <c r="A7404" i="1"/>
  <c r="B7404" i="1"/>
  <c r="C7404" i="1"/>
  <c r="D7404" i="1"/>
  <c r="E7404" i="1"/>
  <c r="F7404" i="1"/>
  <c r="H7404" i="1"/>
  <c r="A7405" i="1"/>
  <c r="B7405" i="1"/>
  <c r="C7405" i="1"/>
  <c r="D7405" i="1"/>
  <c r="E7405" i="1"/>
  <c r="F7405" i="1"/>
  <c r="H7405" i="1"/>
  <c r="A7406" i="1"/>
  <c r="B7406" i="1"/>
  <c r="C7406" i="1"/>
  <c r="D7406" i="1"/>
  <c r="E7406" i="1"/>
  <c r="F7406" i="1"/>
  <c r="H7406" i="1"/>
  <c r="A7407" i="1"/>
  <c r="B7407" i="1"/>
  <c r="C7407" i="1"/>
  <c r="D7407" i="1"/>
  <c r="E7407" i="1"/>
  <c r="F7407" i="1"/>
  <c r="H7407" i="1"/>
  <c r="A7408" i="1"/>
  <c r="B7408" i="1"/>
  <c r="C7408" i="1"/>
  <c r="D7408" i="1"/>
  <c r="E7408" i="1"/>
  <c r="F7408" i="1"/>
  <c r="H7408" i="1"/>
  <c r="A7409" i="1"/>
  <c r="B7409" i="1"/>
  <c r="C7409" i="1"/>
  <c r="D7409" i="1"/>
  <c r="E7409" i="1"/>
  <c r="F7409" i="1"/>
  <c r="H7409" i="1"/>
  <c r="A7410" i="1"/>
  <c r="B7410" i="1"/>
  <c r="C7410" i="1"/>
  <c r="D7410" i="1"/>
  <c r="E7410" i="1"/>
  <c r="F7410" i="1"/>
  <c r="H7410" i="1"/>
  <c r="A7411" i="1"/>
  <c r="B7411" i="1"/>
  <c r="C7411" i="1"/>
  <c r="D7411" i="1"/>
  <c r="E7411" i="1"/>
  <c r="F7411" i="1"/>
  <c r="H7411" i="1"/>
  <c r="A7412" i="1"/>
  <c r="B7412" i="1"/>
  <c r="C7412" i="1"/>
  <c r="D7412" i="1"/>
  <c r="E7412" i="1"/>
  <c r="F7412" i="1"/>
  <c r="H7412" i="1"/>
  <c r="A7413" i="1"/>
  <c r="B7413" i="1"/>
  <c r="C7413" i="1"/>
  <c r="D7413" i="1"/>
  <c r="E7413" i="1"/>
  <c r="F7413" i="1"/>
  <c r="H7413" i="1"/>
  <c r="A7414" i="1"/>
  <c r="B7414" i="1"/>
  <c r="C7414" i="1"/>
  <c r="D7414" i="1"/>
  <c r="E7414" i="1"/>
  <c r="F7414" i="1"/>
  <c r="H7414" i="1"/>
  <c r="A7415" i="1"/>
  <c r="B7415" i="1"/>
  <c r="C7415" i="1"/>
  <c r="D7415" i="1"/>
  <c r="E7415" i="1"/>
  <c r="F7415" i="1"/>
  <c r="H7415" i="1"/>
  <c r="A7416" i="1"/>
  <c r="B7416" i="1"/>
  <c r="C7416" i="1"/>
  <c r="D7416" i="1"/>
  <c r="E7416" i="1"/>
  <c r="F7416" i="1"/>
  <c r="H7416" i="1"/>
  <c r="A7417" i="1"/>
  <c r="B7417" i="1"/>
  <c r="C7417" i="1"/>
  <c r="D7417" i="1"/>
  <c r="E7417" i="1"/>
  <c r="F7417" i="1"/>
  <c r="H7417" i="1"/>
  <c r="A7418" i="1"/>
  <c r="B7418" i="1"/>
  <c r="C7418" i="1"/>
  <c r="D7418" i="1"/>
  <c r="E7418" i="1"/>
  <c r="F7418" i="1"/>
  <c r="H7418" i="1"/>
  <c r="A7419" i="1"/>
  <c r="B7419" i="1"/>
  <c r="C7419" i="1"/>
  <c r="D7419" i="1"/>
  <c r="E7419" i="1"/>
  <c r="F7419" i="1"/>
  <c r="H7419" i="1"/>
  <c r="A7420" i="1"/>
  <c r="B7420" i="1"/>
  <c r="C7420" i="1"/>
  <c r="D7420" i="1"/>
  <c r="E7420" i="1"/>
  <c r="F7420" i="1"/>
  <c r="H7420" i="1"/>
  <c r="A7421" i="1"/>
  <c r="B7421" i="1"/>
  <c r="C7421" i="1"/>
  <c r="D7421" i="1"/>
  <c r="E7421" i="1"/>
  <c r="F7421" i="1"/>
  <c r="H7421" i="1"/>
  <c r="A7422" i="1"/>
  <c r="B7422" i="1"/>
  <c r="C7422" i="1"/>
  <c r="D7422" i="1"/>
  <c r="E7422" i="1"/>
  <c r="F7422" i="1"/>
  <c r="H7422" i="1"/>
  <c r="A7423" i="1"/>
  <c r="B7423" i="1"/>
  <c r="C7423" i="1"/>
  <c r="D7423" i="1"/>
  <c r="E7423" i="1"/>
  <c r="F7423" i="1"/>
  <c r="H7423" i="1"/>
  <c r="A7424" i="1"/>
  <c r="B7424" i="1"/>
  <c r="C7424" i="1"/>
  <c r="D7424" i="1"/>
  <c r="E7424" i="1"/>
  <c r="F7424" i="1"/>
  <c r="H7424" i="1"/>
  <c r="A7425" i="1"/>
  <c r="B7425" i="1"/>
  <c r="C7425" i="1"/>
  <c r="D7425" i="1"/>
  <c r="E7425" i="1"/>
  <c r="F7425" i="1"/>
  <c r="H7425" i="1"/>
  <c r="A7426" i="1"/>
  <c r="B7426" i="1"/>
  <c r="C7426" i="1"/>
  <c r="D7426" i="1"/>
  <c r="E7426" i="1"/>
  <c r="F7426" i="1"/>
  <c r="H7426" i="1"/>
  <c r="A7427" i="1"/>
  <c r="B7427" i="1"/>
  <c r="C7427" i="1"/>
  <c r="D7427" i="1"/>
  <c r="E7427" i="1"/>
  <c r="F7427" i="1"/>
  <c r="H7427" i="1"/>
  <c r="A7428" i="1"/>
  <c r="B7428" i="1"/>
  <c r="C7428" i="1"/>
  <c r="D7428" i="1"/>
  <c r="E7428" i="1"/>
  <c r="F7428" i="1"/>
  <c r="H7428" i="1"/>
  <c r="A7429" i="1"/>
  <c r="B7429" i="1"/>
  <c r="C7429" i="1"/>
  <c r="D7429" i="1"/>
  <c r="E7429" i="1"/>
  <c r="F7429" i="1"/>
  <c r="H7429" i="1"/>
  <c r="A7430" i="1"/>
  <c r="B7430" i="1"/>
  <c r="C7430" i="1"/>
  <c r="D7430" i="1"/>
  <c r="E7430" i="1"/>
  <c r="F7430" i="1"/>
  <c r="H7430" i="1"/>
  <c r="A7431" i="1"/>
  <c r="B7431" i="1"/>
  <c r="C7431" i="1"/>
  <c r="D7431" i="1"/>
  <c r="E7431" i="1"/>
  <c r="F7431" i="1"/>
  <c r="H7431" i="1"/>
  <c r="A7432" i="1"/>
  <c r="B7432" i="1"/>
  <c r="C7432" i="1"/>
  <c r="D7432" i="1"/>
  <c r="E7432" i="1"/>
  <c r="F7432" i="1"/>
  <c r="H7432" i="1"/>
  <c r="A7433" i="1"/>
  <c r="B7433" i="1"/>
  <c r="C7433" i="1"/>
  <c r="D7433" i="1"/>
  <c r="E7433" i="1"/>
  <c r="F7433" i="1"/>
  <c r="H7433" i="1"/>
  <c r="A7434" i="1"/>
  <c r="B7434" i="1"/>
  <c r="C7434" i="1"/>
  <c r="D7434" i="1"/>
  <c r="E7434" i="1"/>
  <c r="F7434" i="1"/>
  <c r="H7434" i="1"/>
  <c r="A7435" i="1"/>
  <c r="B7435" i="1"/>
  <c r="C7435" i="1"/>
  <c r="D7435" i="1"/>
  <c r="E7435" i="1"/>
  <c r="F7435" i="1"/>
  <c r="H7435" i="1"/>
  <c r="A7436" i="1"/>
  <c r="B7436" i="1"/>
  <c r="C7436" i="1"/>
  <c r="D7436" i="1"/>
  <c r="E7436" i="1"/>
  <c r="F7436" i="1"/>
  <c r="H7436" i="1"/>
  <c r="A7437" i="1"/>
  <c r="B7437" i="1"/>
  <c r="C7437" i="1"/>
  <c r="D7437" i="1"/>
  <c r="E7437" i="1"/>
  <c r="F7437" i="1"/>
  <c r="H7437" i="1"/>
  <c r="A7438" i="1"/>
  <c r="B7438" i="1"/>
  <c r="C7438" i="1"/>
  <c r="D7438" i="1"/>
  <c r="E7438" i="1"/>
  <c r="F7438" i="1"/>
  <c r="H7438" i="1"/>
  <c r="A7439" i="1"/>
  <c r="B7439" i="1"/>
  <c r="C7439" i="1"/>
  <c r="D7439" i="1"/>
  <c r="E7439" i="1"/>
  <c r="F7439" i="1"/>
  <c r="H7439" i="1"/>
  <c r="A7440" i="1"/>
  <c r="B7440" i="1"/>
  <c r="C7440" i="1"/>
  <c r="D7440" i="1"/>
  <c r="E7440" i="1"/>
  <c r="F7440" i="1"/>
  <c r="H7440" i="1"/>
  <c r="A7441" i="1"/>
  <c r="B7441" i="1"/>
  <c r="C7441" i="1"/>
  <c r="D7441" i="1"/>
  <c r="E7441" i="1"/>
  <c r="F7441" i="1"/>
  <c r="H7441" i="1"/>
  <c r="A7442" i="1"/>
  <c r="B7442" i="1"/>
  <c r="C7442" i="1"/>
  <c r="D7442" i="1"/>
  <c r="E7442" i="1"/>
  <c r="F7442" i="1"/>
  <c r="H7442" i="1"/>
  <c r="A7443" i="1"/>
  <c r="B7443" i="1"/>
  <c r="C7443" i="1"/>
  <c r="D7443" i="1"/>
  <c r="E7443" i="1"/>
  <c r="F7443" i="1"/>
  <c r="H7443" i="1"/>
  <c r="A7444" i="1"/>
  <c r="B7444" i="1"/>
  <c r="C7444" i="1"/>
  <c r="D7444" i="1"/>
  <c r="E7444" i="1"/>
  <c r="F7444" i="1"/>
  <c r="H7444" i="1"/>
  <c r="A7445" i="1"/>
  <c r="B7445" i="1"/>
  <c r="C7445" i="1"/>
  <c r="D7445" i="1"/>
  <c r="E7445" i="1"/>
  <c r="F7445" i="1"/>
  <c r="H7445" i="1"/>
  <c r="A7446" i="1"/>
  <c r="B7446" i="1"/>
  <c r="C7446" i="1"/>
  <c r="D7446" i="1"/>
  <c r="E7446" i="1"/>
  <c r="F7446" i="1"/>
  <c r="H7446" i="1"/>
  <c r="A7447" i="1"/>
  <c r="B7447" i="1"/>
  <c r="C7447" i="1"/>
  <c r="D7447" i="1"/>
  <c r="E7447" i="1"/>
  <c r="F7447" i="1"/>
  <c r="H7447" i="1"/>
  <c r="A7448" i="1"/>
  <c r="B7448" i="1"/>
  <c r="C7448" i="1"/>
  <c r="D7448" i="1"/>
  <c r="E7448" i="1"/>
  <c r="F7448" i="1"/>
  <c r="H7448" i="1"/>
  <c r="A7449" i="1"/>
  <c r="B7449" i="1"/>
  <c r="C7449" i="1"/>
  <c r="D7449" i="1"/>
  <c r="E7449" i="1"/>
  <c r="F7449" i="1"/>
  <c r="H7449" i="1"/>
  <c r="A7450" i="1"/>
  <c r="B7450" i="1"/>
  <c r="C7450" i="1"/>
  <c r="D7450" i="1"/>
  <c r="E7450" i="1"/>
  <c r="F7450" i="1"/>
  <c r="H7450" i="1"/>
  <c r="A7451" i="1"/>
  <c r="B7451" i="1"/>
  <c r="C7451" i="1"/>
  <c r="D7451" i="1"/>
  <c r="E7451" i="1"/>
  <c r="F7451" i="1"/>
  <c r="H7451" i="1"/>
  <c r="A7452" i="1"/>
  <c r="B7452" i="1"/>
  <c r="C7452" i="1"/>
  <c r="D7452" i="1"/>
  <c r="E7452" i="1"/>
  <c r="F7452" i="1"/>
  <c r="H7452" i="1"/>
  <c r="A7453" i="1"/>
  <c r="B7453" i="1"/>
  <c r="C7453" i="1"/>
  <c r="D7453" i="1"/>
  <c r="E7453" i="1"/>
  <c r="F7453" i="1"/>
  <c r="H7453" i="1"/>
  <c r="A7454" i="1"/>
  <c r="B7454" i="1"/>
  <c r="C7454" i="1"/>
  <c r="D7454" i="1"/>
  <c r="E7454" i="1"/>
  <c r="F7454" i="1"/>
  <c r="H7454" i="1"/>
  <c r="A7455" i="1"/>
  <c r="B7455" i="1"/>
  <c r="C7455" i="1"/>
  <c r="D7455" i="1"/>
  <c r="E7455" i="1"/>
  <c r="F7455" i="1"/>
  <c r="H7455" i="1"/>
  <c r="A7456" i="1"/>
  <c r="B7456" i="1"/>
  <c r="C7456" i="1"/>
  <c r="D7456" i="1"/>
  <c r="E7456" i="1"/>
  <c r="F7456" i="1"/>
  <c r="H7456" i="1"/>
  <c r="A7457" i="1"/>
  <c r="B7457" i="1"/>
  <c r="C7457" i="1"/>
  <c r="D7457" i="1"/>
  <c r="E7457" i="1"/>
  <c r="F7457" i="1"/>
  <c r="H7457" i="1"/>
  <c r="A7458" i="1"/>
  <c r="B7458" i="1"/>
  <c r="C7458" i="1"/>
  <c r="D7458" i="1"/>
  <c r="E7458" i="1"/>
  <c r="F7458" i="1"/>
  <c r="H7458" i="1"/>
  <c r="A7459" i="1"/>
  <c r="B7459" i="1"/>
  <c r="C7459" i="1"/>
  <c r="D7459" i="1"/>
  <c r="E7459" i="1"/>
  <c r="F7459" i="1"/>
  <c r="H7459" i="1"/>
  <c r="A7460" i="1"/>
  <c r="B7460" i="1"/>
  <c r="C7460" i="1"/>
  <c r="D7460" i="1"/>
  <c r="E7460" i="1"/>
  <c r="F7460" i="1"/>
  <c r="H7460" i="1"/>
  <c r="A7461" i="1"/>
  <c r="B7461" i="1"/>
  <c r="C7461" i="1"/>
  <c r="D7461" i="1"/>
  <c r="E7461" i="1"/>
  <c r="F7461" i="1"/>
  <c r="H7461" i="1"/>
  <c r="A7462" i="1"/>
  <c r="B7462" i="1"/>
  <c r="C7462" i="1"/>
  <c r="D7462" i="1"/>
  <c r="E7462" i="1"/>
  <c r="F7462" i="1"/>
  <c r="H7462" i="1"/>
  <c r="A7463" i="1"/>
  <c r="B7463" i="1"/>
  <c r="C7463" i="1"/>
  <c r="D7463" i="1"/>
  <c r="E7463" i="1"/>
  <c r="F7463" i="1"/>
  <c r="H7463" i="1"/>
  <c r="A7464" i="1"/>
  <c r="B7464" i="1"/>
  <c r="C7464" i="1"/>
  <c r="D7464" i="1"/>
  <c r="E7464" i="1"/>
  <c r="F7464" i="1"/>
  <c r="H7464" i="1"/>
  <c r="A7465" i="1"/>
  <c r="B7465" i="1"/>
  <c r="C7465" i="1"/>
  <c r="D7465" i="1"/>
  <c r="E7465" i="1"/>
  <c r="F7465" i="1"/>
  <c r="H7465" i="1"/>
  <c r="A7466" i="1"/>
  <c r="B7466" i="1"/>
  <c r="C7466" i="1"/>
  <c r="D7466" i="1"/>
  <c r="E7466" i="1"/>
  <c r="F7466" i="1"/>
  <c r="H7466" i="1"/>
  <c r="A7467" i="1"/>
  <c r="B7467" i="1"/>
  <c r="C7467" i="1"/>
  <c r="D7467" i="1"/>
  <c r="E7467" i="1"/>
  <c r="F7467" i="1"/>
  <c r="H7467" i="1"/>
  <c r="A7468" i="1"/>
  <c r="B7468" i="1"/>
  <c r="C7468" i="1"/>
  <c r="D7468" i="1"/>
  <c r="E7468" i="1"/>
  <c r="F7468" i="1"/>
  <c r="H7468" i="1"/>
  <c r="A7469" i="1"/>
  <c r="B7469" i="1"/>
  <c r="C7469" i="1"/>
  <c r="D7469" i="1"/>
  <c r="E7469" i="1"/>
  <c r="F7469" i="1"/>
  <c r="H7469" i="1"/>
  <c r="A7470" i="1"/>
  <c r="B7470" i="1"/>
  <c r="C7470" i="1"/>
  <c r="D7470" i="1"/>
  <c r="E7470" i="1"/>
  <c r="F7470" i="1"/>
  <c r="H7470" i="1"/>
  <c r="A7471" i="1"/>
  <c r="B7471" i="1"/>
  <c r="C7471" i="1"/>
  <c r="D7471" i="1"/>
  <c r="E7471" i="1"/>
  <c r="F7471" i="1"/>
  <c r="H7471" i="1"/>
  <c r="A7472" i="1"/>
  <c r="B7472" i="1"/>
  <c r="C7472" i="1"/>
  <c r="D7472" i="1"/>
  <c r="E7472" i="1"/>
  <c r="F7472" i="1"/>
  <c r="H7472" i="1"/>
  <c r="A7473" i="1"/>
  <c r="B7473" i="1"/>
  <c r="C7473" i="1"/>
  <c r="D7473" i="1"/>
  <c r="E7473" i="1"/>
  <c r="F7473" i="1"/>
  <c r="H7473" i="1"/>
  <c r="A7474" i="1"/>
  <c r="B7474" i="1"/>
  <c r="C7474" i="1"/>
  <c r="D7474" i="1"/>
  <c r="E7474" i="1"/>
  <c r="F7474" i="1"/>
  <c r="H7474" i="1"/>
  <c r="A7475" i="1"/>
  <c r="B7475" i="1"/>
  <c r="C7475" i="1"/>
  <c r="D7475" i="1"/>
  <c r="E7475" i="1"/>
  <c r="F7475" i="1"/>
  <c r="H7475" i="1"/>
  <c r="A7476" i="1"/>
  <c r="B7476" i="1"/>
  <c r="C7476" i="1"/>
  <c r="D7476" i="1"/>
  <c r="E7476" i="1"/>
  <c r="F7476" i="1"/>
  <c r="H7476" i="1"/>
  <c r="A7477" i="1"/>
  <c r="B7477" i="1"/>
  <c r="C7477" i="1"/>
  <c r="D7477" i="1"/>
  <c r="E7477" i="1"/>
  <c r="F7477" i="1"/>
  <c r="H7477" i="1"/>
  <c r="A7478" i="1"/>
  <c r="B7478" i="1"/>
  <c r="C7478" i="1"/>
  <c r="D7478" i="1"/>
  <c r="E7478" i="1"/>
  <c r="F7478" i="1"/>
  <c r="H7478" i="1"/>
  <c r="A7479" i="1"/>
  <c r="B7479" i="1"/>
  <c r="C7479" i="1"/>
  <c r="D7479" i="1"/>
  <c r="E7479" i="1"/>
  <c r="F7479" i="1"/>
  <c r="H7479" i="1"/>
  <c r="A7480" i="1"/>
  <c r="B7480" i="1"/>
  <c r="C7480" i="1"/>
  <c r="D7480" i="1"/>
  <c r="E7480" i="1"/>
  <c r="F7480" i="1"/>
  <c r="H7480" i="1"/>
  <c r="A7481" i="1"/>
  <c r="B7481" i="1"/>
  <c r="C7481" i="1"/>
  <c r="D7481" i="1"/>
  <c r="E7481" i="1"/>
  <c r="F7481" i="1"/>
  <c r="H7481" i="1"/>
  <c r="A7482" i="1"/>
  <c r="B7482" i="1"/>
  <c r="C7482" i="1"/>
  <c r="D7482" i="1"/>
  <c r="E7482" i="1"/>
  <c r="F7482" i="1"/>
  <c r="H7482" i="1"/>
  <c r="A7483" i="1"/>
  <c r="B7483" i="1"/>
  <c r="C7483" i="1"/>
  <c r="D7483" i="1"/>
  <c r="E7483" i="1"/>
  <c r="F7483" i="1"/>
  <c r="H7483" i="1"/>
  <c r="A7484" i="1"/>
  <c r="B7484" i="1"/>
  <c r="C7484" i="1"/>
  <c r="D7484" i="1"/>
  <c r="E7484" i="1"/>
  <c r="F7484" i="1"/>
  <c r="H7484" i="1"/>
  <c r="A7485" i="1"/>
  <c r="B7485" i="1"/>
  <c r="C7485" i="1"/>
  <c r="D7485" i="1"/>
  <c r="E7485" i="1"/>
  <c r="F7485" i="1"/>
  <c r="H7485" i="1"/>
  <c r="A7486" i="1"/>
  <c r="B7486" i="1"/>
  <c r="C7486" i="1"/>
  <c r="D7486" i="1"/>
  <c r="E7486" i="1"/>
  <c r="F7486" i="1"/>
  <c r="H7486" i="1"/>
  <c r="A7487" i="1"/>
  <c r="B7487" i="1"/>
  <c r="C7487" i="1"/>
  <c r="D7487" i="1"/>
  <c r="E7487" i="1"/>
  <c r="F7487" i="1"/>
  <c r="H7487" i="1"/>
  <c r="A7488" i="1"/>
  <c r="B7488" i="1"/>
  <c r="C7488" i="1"/>
  <c r="D7488" i="1"/>
  <c r="E7488" i="1"/>
  <c r="F7488" i="1"/>
  <c r="H7488" i="1"/>
  <c r="A7489" i="1"/>
  <c r="B7489" i="1"/>
  <c r="C7489" i="1"/>
  <c r="D7489" i="1"/>
  <c r="E7489" i="1"/>
  <c r="F7489" i="1"/>
  <c r="H7489" i="1"/>
  <c r="A7490" i="1"/>
  <c r="B7490" i="1"/>
  <c r="C7490" i="1"/>
  <c r="D7490" i="1"/>
  <c r="E7490" i="1"/>
  <c r="F7490" i="1"/>
  <c r="H7490" i="1"/>
  <c r="A7491" i="1"/>
  <c r="B7491" i="1"/>
  <c r="C7491" i="1"/>
  <c r="D7491" i="1"/>
  <c r="E7491" i="1"/>
  <c r="F7491" i="1"/>
  <c r="H7491" i="1"/>
  <c r="A7492" i="1"/>
  <c r="B7492" i="1"/>
  <c r="C7492" i="1"/>
  <c r="D7492" i="1"/>
  <c r="E7492" i="1"/>
  <c r="F7492" i="1"/>
  <c r="H7492" i="1"/>
  <c r="A7493" i="1"/>
  <c r="B7493" i="1"/>
  <c r="C7493" i="1"/>
  <c r="D7493" i="1"/>
  <c r="E7493" i="1"/>
  <c r="F7493" i="1"/>
  <c r="H7493" i="1"/>
  <c r="A7494" i="1"/>
  <c r="B7494" i="1"/>
  <c r="C7494" i="1"/>
  <c r="D7494" i="1"/>
  <c r="E7494" i="1"/>
  <c r="F7494" i="1"/>
  <c r="H7494" i="1"/>
  <c r="A7495" i="1"/>
  <c r="B7495" i="1"/>
  <c r="C7495" i="1"/>
  <c r="D7495" i="1"/>
  <c r="E7495" i="1"/>
  <c r="F7495" i="1"/>
  <c r="H7495" i="1"/>
  <c r="A7496" i="1"/>
  <c r="B7496" i="1"/>
  <c r="C7496" i="1"/>
  <c r="D7496" i="1"/>
  <c r="E7496" i="1"/>
  <c r="F7496" i="1"/>
  <c r="H7496" i="1"/>
  <c r="A7497" i="1"/>
  <c r="B7497" i="1"/>
  <c r="C7497" i="1"/>
  <c r="D7497" i="1"/>
  <c r="E7497" i="1"/>
  <c r="F7497" i="1"/>
  <c r="H7497" i="1"/>
  <c r="A7498" i="1"/>
  <c r="B7498" i="1"/>
  <c r="C7498" i="1"/>
  <c r="D7498" i="1"/>
  <c r="E7498" i="1"/>
  <c r="F7498" i="1"/>
  <c r="H7498" i="1"/>
  <c r="A7499" i="1"/>
  <c r="B7499" i="1"/>
  <c r="C7499" i="1"/>
  <c r="D7499" i="1"/>
  <c r="E7499" i="1"/>
  <c r="F7499" i="1"/>
  <c r="H7499" i="1"/>
  <c r="A7500" i="1"/>
  <c r="B7500" i="1"/>
  <c r="C7500" i="1"/>
  <c r="D7500" i="1"/>
  <c r="E7500" i="1"/>
  <c r="F7500" i="1"/>
  <c r="H7500" i="1"/>
  <c r="A7501" i="1"/>
  <c r="B7501" i="1"/>
  <c r="C7501" i="1"/>
  <c r="D7501" i="1"/>
  <c r="E7501" i="1"/>
  <c r="F7501" i="1"/>
  <c r="H7501" i="1"/>
  <c r="A7502" i="1"/>
  <c r="B7502" i="1"/>
  <c r="C7502" i="1"/>
  <c r="D7502" i="1"/>
  <c r="E7502" i="1"/>
  <c r="F7502" i="1"/>
  <c r="H7502" i="1"/>
  <c r="A7503" i="1"/>
  <c r="B7503" i="1"/>
  <c r="C7503" i="1"/>
  <c r="D7503" i="1"/>
  <c r="E7503" i="1"/>
  <c r="F7503" i="1"/>
  <c r="H7503" i="1"/>
  <c r="A7504" i="1"/>
  <c r="B7504" i="1"/>
  <c r="C7504" i="1"/>
  <c r="D7504" i="1"/>
  <c r="E7504" i="1"/>
  <c r="F7504" i="1"/>
  <c r="H7504" i="1"/>
  <c r="A7505" i="1"/>
  <c r="B7505" i="1"/>
  <c r="C7505" i="1"/>
  <c r="D7505" i="1"/>
  <c r="E7505" i="1"/>
  <c r="F7505" i="1"/>
  <c r="H7505" i="1"/>
  <c r="A7506" i="1"/>
  <c r="B7506" i="1"/>
  <c r="C7506" i="1"/>
  <c r="D7506" i="1"/>
  <c r="E7506" i="1"/>
  <c r="F7506" i="1"/>
  <c r="H7506" i="1"/>
  <c r="A7507" i="1"/>
  <c r="B7507" i="1"/>
  <c r="C7507" i="1"/>
  <c r="D7507" i="1"/>
  <c r="E7507" i="1"/>
  <c r="F7507" i="1"/>
  <c r="H7507" i="1"/>
  <c r="A7508" i="1"/>
  <c r="B7508" i="1"/>
  <c r="C7508" i="1"/>
  <c r="D7508" i="1"/>
  <c r="E7508" i="1"/>
  <c r="F7508" i="1"/>
  <c r="H7508" i="1"/>
  <c r="A7509" i="1"/>
  <c r="B7509" i="1"/>
  <c r="C7509" i="1"/>
  <c r="D7509" i="1"/>
  <c r="E7509" i="1"/>
  <c r="F7509" i="1"/>
  <c r="H7509" i="1"/>
  <c r="A7510" i="1"/>
  <c r="B7510" i="1"/>
  <c r="C7510" i="1"/>
  <c r="D7510" i="1"/>
  <c r="E7510" i="1"/>
  <c r="F7510" i="1"/>
  <c r="H7510" i="1"/>
  <c r="A7511" i="1"/>
  <c r="B7511" i="1"/>
  <c r="C7511" i="1"/>
  <c r="D7511" i="1"/>
  <c r="E7511" i="1"/>
  <c r="F7511" i="1"/>
  <c r="H7511" i="1"/>
  <c r="A7512" i="1"/>
  <c r="B7512" i="1"/>
  <c r="C7512" i="1"/>
  <c r="D7512" i="1"/>
  <c r="E7512" i="1"/>
  <c r="F7512" i="1"/>
  <c r="H7512" i="1"/>
  <c r="A7513" i="1"/>
  <c r="B7513" i="1"/>
  <c r="C7513" i="1"/>
  <c r="D7513" i="1"/>
  <c r="E7513" i="1"/>
  <c r="F7513" i="1"/>
  <c r="H7513" i="1"/>
  <c r="A7514" i="1"/>
  <c r="B7514" i="1"/>
  <c r="C7514" i="1"/>
  <c r="D7514" i="1"/>
  <c r="E7514" i="1"/>
  <c r="F7514" i="1"/>
  <c r="H7514" i="1"/>
  <c r="A7515" i="1"/>
  <c r="B7515" i="1"/>
  <c r="C7515" i="1"/>
  <c r="D7515" i="1"/>
  <c r="E7515" i="1"/>
  <c r="F7515" i="1"/>
  <c r="H7515" i="1"/>
  <c r="A7516" i="1"/>
  <c r="B7516" i="1"/>
  <c r="C7516" i="1"/>
  <c r="D7516" i="1"/>
  <c r="E7516" i="1"/>
  <c r="F7516" i="1"/>
  <c r="H7516" i="1"/>
  <c r="A7517" i="1"/>
  <c r="B7517" i="1"/>
  <c r="C7517" i="1"/>
  <c r="D7517" i="1"/>
  <c r="E7517" i="1"/>
  <c r="F7517" i="1"/>
  <c r="H7517" i="1"/>
  <c r="A7518" i="1"/>
  <c r="B7518" i="1"/>
  <c r="C7518" i="1"/>
  <c r="D7518" i="1"/>
  <c r="E7518" i="1"/>
  <c r="F7518" i="1"/>
  <c r="H7518" i="1"/>
  <c r="A7519" i="1"/>
  <c r="B7519" i="1"/>
  <c r="C7519" i="1"/>
  <c r="D7519" i="1"/>
  <c r="E7519" i="1"/>
  <c r="F7519" i="1"/>
  <c r="H7519" i="1"/>
  <c r="A7520" i="1"/>
  <c r="B7520" i="1"/>
  <c r="C7520" i="1"/>
  <c r="D7520" i="1"/>
  <c r="E7520" i="1"/>
  <c r="F7520" i="1"/>
  <c r="H7520" i="1"/>
  <c r="A7521" i="1"/>
  <c r="B7521" i="1"/>
  <c r="C7521" i="1"/>
  <c r="D7521" i="1"/>
  <c r="E7521" i="1"/>
  <c r="F7521" i="1"/>
  <c r="H7521" i="1"/>
  <c r="A7522" i="1"/>
  <c r="B7522" i="1"/>
  <c r="C7522" i="1"/>
  <c r="D7522" i="1"/>
  <c r="E7522" i="1"/>
  <c r="F7522" i="1"/>
  <c r="H7522" i="1"/>
  <c r="A7523" i="1"/>
  <c r="B7523" i="1"/>
  <c r="C7523" i="1"/>
  <c r="D7523" i="1"/>
  <c r="E7523" i="1"/>
  <c r="F7523" i="1"/>
  <c r="H7523" i="1"/>
  <c r="A7524" i="1"/>
  <c r="B7524" i="1"/>
  <c r="C7524" i="1"/>
  <c r="D7524" i="1"/>
  <c r="E7524" i="1"/>
  <c r="F7524" i="1"/>
  <c r="H7524" i="1"/>
  <c r="A7525" i="1"/>
  <c r="B7525" i="1"/>
  <c r="C7525" i="1"/>
  <c r="D7525" i="1"/>
  <c r="E7525" i="1"/>
  <c r="F7525" i="1"/>
  <c r="H7525" i="1"/>
  <c r="A7526" i="1"/>
  <c r="B7526" i="1"/>
  <c r="C7526" i="1"/>
  <c r="D7526" i="1"/>
  <c r="E7526" i="1"/>
  <c r="F7526" i="1"/>
  <c r="H7526" i="1"/>
  <c r="A7527" i="1"/>
  <c r="B7527" i="1"/>
  <c r="C7527" i="1"/>
  <c r="D7527" i="1"/>
  <c r="E7527" i="1"/>
  <c r="F7527" i="1"/>
  <c r="H7527" i="1"/>
  <c r="A7528" i="1"/>
  <c r="B7528" i="1"/>
  <c r="C7528" i="1"/>
  <c r="D7528" i="1"/>
  <c r="E7528" i="1"/>
  <c r="F7528" i="1"/>
  <c r="H7528" i="1"/>
  <c r="A7529" i="1"/>
  <c r="B7529" i="1"/>
  <c r="C7529" i="1"/>
  <c r="D7529" i="1"/>
  <c r="E7529" i="1"/>
  <c r="F7529" i="1"/>
  <c r="H7529" i="1"/>
  <c r="A7530" i="1"/>
  <c r="B7530" i="1"/>
  <c r="C7530" i="1"/>
  <c r="D7530" i="1"/>
  <c r="E7530" i="1"/>
  <c r="F7530" i="1"/>
  <c r="H7530" i="1"/>
  <c r="A7531" i="1"/>
  <c r="B7531" i="1"/>
  <c r="C7531" i="1"/>
  <c r="D7531" i="1"/>
  <c r="E7531" i="1"/>
  <c r="F7531" i="1"/>
  <c r="H7531" i="1"/>
  <c r="A7532" i="1"/>
  <c r="B7532" i="1"/>
  <c r="C7532" i="1"/>
  <c r="D7532" i="1"/>
  <c r="E7532" i="1"/>
  <c r="F7532" i="1"/>
  <c r="H7532" i="1"/>
  <c r="A7533" i="1"/>
  <c r="B7533" i="1"/>
  <c r="C7533" i="1"/>
  <c r="D7533" i="1"/>
  <c r="E7533" i="1"/>
  <c r="F7533" i="1"/>
  <c r="H7533" i="1"/>
  <c r="A7534" i="1"/>
  <c r="B7534" i="1"/>
  <c r="C7534" i="1"/>
  <c r="D7534" i="1"/>
  <c r="E7534" i="1"/>
  <c r="F7534" i="1"/>
  <c r="H7534" i="1"/>
  <c r="A7535" i="1"/>
  <c r="B7535" i="1"/>
  <c r="C7535" i="1"/>
  <c r="D7535" i="1"/>
  <c r="E7535" i="1"/>
  <c r="F7535" i="1"/>
  <c r="H7535" i="1"/>
  <c r="A7536" i="1"/>
  <c r="B7536" i="1"/>
  <c r="C7536" i="1"/>
  <c r="D7536" i="1"/>
  <c r="E7536" i="1"/>
  <c r="F7536" i="1"/>
  <c r="H7536" i="1"/>
  <c r="A7537" i="1"/>
  <c r="B7537" i="1"/>
  <c r="C7537" i="1"/>
  <c r="D7537" i="1"/>
  <c r="E7537" i="1"/>
  <c r="F7537" i="1"/>
  <c r="H7537" i="1"/>
  <c r="A7538" i="1"/>
  <c r="B7538" i="1"/>
  <c r="C7538" i="1"/>
  <c r="D7538" i="1"/>
  <c r="E7538" i="1"/>
  <c r="F7538" i="1"/>
  <c r="H7538" i="1"/>
  <c r="A7539" i="1"/>
  <c r="B7539" i="1"/>
  <c r="C7539" i="1"/>
  <c r="D7539" i="1"/>
  <c r="E7539" i="1"/>
  <c r="F7539" i="1"/>
  <c r="H7539" i="1"/>
  <c r="A7540" i="1"/>
  <c r="B7540" i="1"/>
  <c r="C7540" i="1"/>
  <c r="D7540" i="1"/>
  <c r="E7540" i="1"/>
  <c r="F7540" i="1"/>
  <c r="H7540" i="1"/>
  <c r="A7541" i="1"/>
  <c r="B7541" i="1"/>
  <c r="C7541" i="1"/>
  <c r="D7541" i="1"/>
  <c r="E7541" i="1"/>
  <c r="F7541" i="1"/>
  <c r="H7541" i="1"/>
  <c r="A7542" i="1"/>
  <c r="B7542" i="1"/>
  <c r="C7542" i="1"/>
  <c r="D7542" i="1"/>
  <c r="E7542" i="1"/>
  <c r="F7542" i="1"/>
  <c r="H7542" i="1"/>
  <c r="A7543" i="1"/>
  <c r="B7543" i="1"/>
  <c r="C7543" i="1"/>
  <c r="D7543" i="1"/>
  <c r="E7543" i="1"/>
  <c r="F7543" i="1"/>
  <c r="H7543" i="1"/>
  <c r="A7544" i="1"/>
  <c r="B7544" i="1"/>
  <c r="C7544" i="1"/>
  <c r="D7544" i="1"/>
  <c r="E7544" i="1"/>
  <c r="F7544" i="1"/>
  <c r="H7544" i="1"/>
  <c r="A7545" i="1"/>
  <c r="B7545" i="1"/>
  <c r="C7545" i="1"/>
  <c r="D7545" i="1"/>
  <c r="E7545" i="1"/>
  <c r="F7545" i="1"/>
  <c r="H7545" i="1"/>
  <c r="A7546" i="1"/>
  <c r="B7546" i="1"/>
  <c r="C7546" i="1"/>
  <c r="D7546" i="1"/>
  <c r="E7546" i="1"/>
  <c r="F7546" i="1"/>
  <c r="H7546" i="1"/>
  <c r="A7547" i="1"/>
  <c r="B7547" i="1"/>
  <c r="C7547" i="1"/>
  <c r="D7547" i="1"/>
  <c r="E7547" i="1"/>
  <c r="F7547" i="1"/>
  <c r="H7547" i="1"/>
  <c r="A7548" i="1"/>
  <c r="B7548" i="1"/>
  <c r="C7548" i="1"/>
  <c r="D7548" i="1"/>
  <c r="E7548" i="1"/>
  <c r="F7548" i="1"/>
  <c r="H7548" i="1"/>
  <c r="A7549" i="1"/>
  <c r="B7549" i="1"/>
  <c r="C7549" i="1"/>
  <c r="D7549" i="1"/>
  <c r="E7549" i="1"/>
  <c r="F7549" i="1"/>
  <c r="H7549" i="1"/>
  <c r="A7550" i="1"/>
  <c r="B7550" i="1"/>
  <c r="C7550" i="1"/>
  <c r="D7550" i="1"/>
  <c r="E7550" i="1"/>
  <c r="F7550" i="1"/>
  <c r="H7550" i="1"/>
  <c r="A7551" i="1"/>
  <c r="B7551" i="1"/>
  <c r="C7551" i="1"/>
  <c r="D7551" i="1"/>
  <c r="E7551" i="1"/>
  <c r="F7551" i="1"/>
  <c r="H7551" i="1"/>
  <c r="A7552" i="1"/>
  <c r="B7552" i="1"/>
  <c r="C7552" i="1"/>
  <c r="D7552" i="1"/>
  <c r="E7552" i="1"/>
  <c r="F7552" i="1"/>
  <c r="H7552" i="1"/>
  <c r="A7553" i="1"/>
  <c r="B7553" i="1"/>
  <c r="C7553" i="1"/>
  <c r="D7553" i="1"/>
  <c r="E7553" i="1"/>
  <c r="F7553" i="1"/>
  <c r="H7553" i="1"/>
  <c r="A7554" i="1"/>
  <c r="B7554" i="1"/>
  <c r="C7554" i="1"/>
  <c r="D7554" i="1"/>
  <c r="E7554" i="1"/>
  <c r="F7554" i="1"/>
  <c r="H7554" i="1"/>
  <c r="A7555" i="1"/>
  <c r="B7555" i="1"/>
  <c r="C7555" i="1"/>
  <c r="D7555" i="1"/>
  <c r="E7555" i="1"/>
  <c r="F7555" i="1"/>
  <c r="H7555" i="1"/>
  <c r="A7556" i="1"/>
  <c r="B7556" i="1"/>
  <c r="C7556" i="1"/>
  <c r="D7556" i="1"/>
  <c r="E7556" i="1"/>
  <c r="F7556" i="1"/>
  <c r="H7556" i="1"/>
  <c r="A7557" i="1"/>
  <c r="B7557" i="1"/>
  <c r="C7557" i="1"/>
  <c r="D7557" i="1"/>
  <c r="E7557" i="1"/>
  <c r="F7557" i="1"/>
  <c r="H7557" i="1"/>
  <c r="A7558" i="1"/>
  <c r="B7558" i="1"/>
  <c r="C7558" i="1"/>
  <c r="D7558" i="1"/>
  <c r="E7558" i="1"/>
  <c r="F7558" i="1"/>
  <c r="H7558" i="1"/>
  <c r="A7559" i="1"/>
  <c r="B7559" i="1"/>
  <c r="C7559" i="1"/>
  <c r="D7559" i="1"/>
  <c r="E7559" i="1"/>
  <c r="F7559" i="1"/>
  <c r="H7559" i="1"/>
  <c r="A7560" i="1"/>
  <c r="B7560" i="1"/>
  <c r="C7560" i="1"/>
  <c r="D7560" i="1"/>
  <c r="E7560" i="1"/>
  <c r="F7560" i="1"/>
  <c r="H7560" i="1"/>
  <c r="A7561" i="1"/>
  <c r="B7561" i="1"/>
  <c r="C7561" i="1"/>
  <c r="D7561" i="1"/>
  <c r="E7561" i="1"/>
  <c r="F7561" i="1"/>
  <c r="H7561" i="1"/>
  <c r="A7562" i="1"/>
  <c r="B7562" i="1"/>
  <c r="C7562" i="1"/>
  <c r="D7562" i="1"/>
  <c r="E7562" i="1"/>
  <c r="F7562" i="1"/>
  <c r="H7562" i="1"/>
  <c r="A7563" i="1"/>
  <c r="B7563" i="1"/>
  <c r="C7563" i="1"/>
  <c r="D7563" i="1"/>
  <c r="E7563" i="1"/>
  <c r="F7563" i="1"/>
  <c r="H7563" i="1"/>
  <c r="A7564" i="1"/>
  <c r="B7564" i="1"/>
  <c r="C7564" i="1"/>
  <c r="D7564" i="1"/>
  <c r="E7564" i="1"/>
  <c r="F7564" i="1"/>
  <c r="H7564" i="1"/>
  <c r="A7565" i="1"/>
  <c r="B7565" i="1"/>
  <c r="C7565" i="1"/>
  <c r="D7565" i="1"/>
  <c r="E7565" i="1"/>
  <c r="F7565" i="1"/>
  <c r="H7565" i="1"/>
  <c r="A7566" i="1"/>
  <c r="B7566" i="1"/>
  <c r="C7566" i="1"/>
  <c r="D7566" i="1"/>
  <c r="E7566" i="1"/>
  <c r="F7566" i="1"/>
  <c r="H7566" i="1"/>
  <c r="A7567" i="1"/>
  <c r="B7567" i="1"/>
  <c r="C7567" i="1"/>
  <c r="D7567" i="1"/>
  <c r="E7567" i="1"/>
  <c r="F7567" i="1"/>
  <c r="H7567" i="1"/>
  <c r="A7568" i="1"/>
  <c r="B7568" i="1"/>
  <c r="C7568" i="1"/>
  <c r="D7568" i="1"/>
  <c r="E7568" i="1"/>
  <c r="F7568" i="1"/>
  <c r="H7568" i="1"/>
  <c r="A7569" i="1"/>
  <c r="B7569" i="1"/>
  <c r="C7569" i="1"/>
  <c r="D7569" i="1"/>
  <c r="E7569" i="1"/>
  <c r="F7569" i="1"/>
  <c r="H7569" i="1"/>
  <c r="A7570" i="1"/>
  <c r="B7570" i="1"/>
  <c r="C7570" i="1"/>
  <c r="D7570" i="1"/>
  <c r="E7570" i="1"/>
  <c r="F7570" i="1"/>
  <c r="H7570" i="1"/>
  <c r="A7571" i="1"/>
  <c r="B7571" i="1"/>
  <c r="C7571" i="1"/>
  <c r="D7571" i="1"/>
  <c r="E7571" i="1"/>
  <c r="F7571" i="1"/>
  <c r="H7571" i="1"/>
  <c r="A7572" i="1"/>
  <c r="B7572" i="1"/>
  <c r="C7572" i="1"/>
  <c r="D7572" i="1"/>
  <c r="E7572" i="1"/>
  <c r="F7572" i="1"/>
  <c r="H7572" i="1"/>
  <c r="A7573" i="1"/>
  <c r="B7573" i="1"/>
  <c r="C7573" i="1"/>
  <c r="D7573" i="1"/>
  <c r="E7573" i="1"/>
  <c r="F7573" i="1"/>
  <c r="H7573" i="1"/>
  <c r="A7574" i="1"/>
  <c r="B7574" i="1"/>
  <c r="C7574" i="1"/>
  <c r="D7574" i="1"/>
  <c r="E7574" i="1"/>
  <c r="F7574" i="1"/>
  <c r="H7574" i="1"/>
  <c r="A7575" i="1"/>
  <c r="B7575" i="1"/>
  <c r="C7575" i="1"/>
  <c r="D7575" i="1"/>
  <c r="E7575" i="1"/>
  <c r="F7575" i="1"/>
  <c r="H7575" i="1"/>
  <c r="A7576" i="1"/>
  <c r="B7576" i="1"/>
  <c r="C7576" i="1"/>
  <c r="D7576" i="1"/>
  <c r="E7576" i="1"/>
  <c r="F7576" i="1"/>
  <c r="H7576" i="1"/>
  <c r="A7577" i="1"/>
  <c r="B7577" i="1"/>
  <c r="C7577" i="1"/>
  <c r="D7577" i="1"/>
  <c r="E7577" i="1"/>
  <c r="F7577" i="1"/>
  <c r="H7577" i="1"/>
  <c r="A7578" i="1"/>
  <c r="B7578" i="1"/>
  <c r="C7578" i="1"/>
  <c r="D7578" i="1"/>
  <c r="E7578" i="1"/>
  <c r="F7578" i="1"/>
  <c r="H7578" i="1"/>
  <c r="A7579" i="1"/>
  <c r="B7579" i="1"/>
  <c r="C7579" i="1"/>
  <c r="D7579" i="1"/>
  <c r="E7579" i="1"/>
  <c r="F7579" i="1"/>
  <c r="H7579" i="1"/>
  <c r="A7580" i="1"/>
  <c r="B7580" i="1"/>
  <c r="C7580" i="1"/>
  <c r="D7580" i="1"/>
  <c r="E7580" i="1"/>
  <c r="F7580" i="1"/>
  <c r="H7580" i="1"/>
  <c r="A7581" i="1"/>
  <c r="B7581" i="1"/>
  <c r="C7581" i="1"/>
  <c r="D7581" i="1"/>
  <c r="E7581" i="1"/>
  <c r="F7581" i="1"/>
  <c r="H7581" i="1"/>
  <c r="A7582" i="1"/>
  <c r="B7582" i="1"/>
  <c r="C7582" i="1"/>
  <c r="D7582" i="1"/>
  <c r="E7582" i="1"/>
  <c r="F7582" i="1"/>
  <c r="H7582" i="1"/>
  <c r="A7583" i="1"/>
  <c r="B7583" i="1"/>
  <c r="C7583" i="1"/>
  <c r="D7583" i="1"/>
  <c r="E7583" i="1"/>
  <c r="F7583" i="1"/>
  <c r="H7583" i="1"/>
  <c r="A7584" i="1"/>
  <c r="B7584" i="1"/>
  <c r="C7584" i="1"/>
  <c r="D7584" i="1"/>
  <c r="E7584" i="1"/>
  <c r="F7584" i="1"/>
  <c r="H7584" i="1"/>
  <c r="A7585" i="1"/>
  <c r="B7585" i="1"/>
  <c r="C7585" i="1"/>
  <c r="D7585" i="1"/>
  <c r="E7585" i="1"/>
  <c r="F7585" i="1"/>
  <c r="H7585" i="1"/>
  <c r="A7586" i="1"/>
  <c r="B7586" i="1"/>
  <c r="C7586" i="1"/>
  <c r="D7586" i="1"/>
  <c r="E7586" i="1"/>
  <c r="F7586" i="1"/>
  <c r="H7586" i="1"/>
  <c r="A7587" i="1"/>
  <c r="B7587" i="1"/>
  <c r="C7587" i="1"/>
  <c r="D7587" i="1"/>
  <c r="E7587" i="1"/>
  <c r="F7587" i="1"/>
  <c r="H7587" i="1"/>
  <c r="A7588" i="1"/>
  <c r="B7588" i="1"/>
  <c r="C7588" i="1"/>
  <c r="D7588" i="1"/>
  <c r="E7588" i="1"/>
  <c r="F7588" i="1"/>
  <c r="H7588" i="1"/>
  <c r="A7589" i="1"/>
  <c r="B7589" i="1"/>
  <c r="C7589" i="1"/>
  <c r="D7589" i="1"/>
  <c r="E7589" i="1"/>
  <c r="F7589" i="1"/>
  <c r="H7589" i="1"/>
  <c r="A7590" i="1"/>
  <c r="B7590" i="1"/>
  <c r="C7590" i="1"/>
  <c r="D7590" i="1"/>
  <c r="E7590" i="1"/>
  <c r="F7590" i="1"/>
  <c r="H7590" i="1"/>
  <c r="A7591" i="1"/>
  <c r="B7591" i="1"/>
  <c r="C7591" i="1"/>
  <c r="D7591" i="1"/>
  <c r="E7591" i="1"/>
  <c r="F7591" i="1"/>
  <c r="H7591" i="1"/>
  <c r="A7592" i="1"/>
  <c r="B7592" i="1"/>
  <c r="C7592" i="1"/>
  <c r="D7592" i="1"/>
  <c r="E7592" i="1"/>
  <c r="F7592" i="1"/>
  <c r="H7592" i="1"/>
  <c r="A7593" i="1"/>
  <c r="B7593" i="1"/>
  <c r="C7593" i="1"/>
  <c r="D7593" i="1"/>
  <c r="E7593" i="1"/>
  <c r="F7593" i="1"/>
  <c r="H7593" i="1"/>
  <c r="A7594" i="1"/>
  <c r="B7594" i="1"/>
  <c r="C7594" i="1"/>
  <c r="D7594" i="1"/>
  <c r="E7594" i="1"/>
  <c r="F7594" i="1"/>
  <c r="H7594" i="1"/>
  <c r="A7595" i="1"/>
  <c r="B7595" i="1"/>
  <c r="C7595" i="1"/>
  <c r="D7595" i="1"/>
  <c r="E7595" i="1"/>
  <c r="F7595" i="1"/>
  <c r="H7595" i="1"/>
  <c r="A7596" i="1"/>
  <c r="B7596" i="1"/>
  <c r="C7596" i="1"/>
  <c r="D7596" i="1"/>
  <c r="E7596" i="1"/>
  <c r="F7596" i="1"/>
  <c r="H7596" i="1"/>
  <c r="A7597" i="1"/>
  <c r="B7597" i="1"/>
  <c r="C7597" i="1"/>
  <c r="D7597" i="1"/>
  <c r="E7597" i="1"/>
  <c r="F7597" i="1"/>
  <c r="H7597" i="1"/>
  <c r="A7598" i="1"/>
  <c r="B7598" i="1"/>
  <c r="C7598" i="1"/>
  <c r="D7598" i="1"/>
  <c r="E7598" i="1"/>
  <c r="F7598" i="1"/>
  <c r="H7598" i="1"/>
  <c r="A7599" i="1"/>
  <c r="B7599" i="1"/>
  <c r="C7599" i="1"/>
  <c r="D7599" i="1"/>
  <c r="E7599" i="1"/>
  <c r="F7599" i="1"/>
  <c r="H7599" i="1"/>
  <c r="A7600" i="1"/>
  <c r="B7600" i="1"/>
  <c r="C7600" i="1"/>
  <c r="D7600" i="1"/>
  <c r="E7600" i="1"/>
  <c r="F7600" i="1"/>
  <c r="H7600" i="1"/>
  <c r="A7601" i="1"/>
  <c r="B7601" i="1"/>
  <c r="C7601" i="1"/>
  <c r="D7601" i="1"/>
  <c r="E7601" i="1"/>
  <c r="F7601" i="1"/>
  <c r="H7601" i="1"/>
  <c r="A7602" i="1"/>
  <c r="B7602" i="1"/>
  <c r="C7602" i="1"/>
  <c r="D7602" i="1"/>
  <c r="E7602" i="1"/>
  <c r="F7602" i="1"/>
  <c r="H7602" i="1"/>
  <c r="A7603" i="1"/>
  <c r="B7603" i="1"/>
  <c r="C7603" i="1"/>
  <c r="D7603" i="1"/>
  <c r="E7603" i="1"/>
  <c r="F7603" i="1"/>
  <c r="H7603" i="1"/>
  <c r="A7604" i="1"/>
  <c r="B7604" i="1"/>
  <c r="C7604" i="1"/>
  <c r="D7604" i="1"/>
  <c r="E7604" i="1"/>
  <c r="F7604" i="1"/>
  <c r="H7604" i="1"/>
  <c r="A7605" i="1"/>
  <c r="B7605" i="1"/>
  <c r="C7605" i="1"/>
  <c r="D7605" i="1"/>
  <c r="E7605" i="1"/>
  <c r="F7605" i="1"/>
  <c r="H7605" i="1"/>
  <c r="A7606" i="1"/>
  <c r="B7606" i="1"/>
  <c r="C7606" i="1"/>
  <c r="D7606" i="1"/>
  <c r="E7606" i="1"/>
  <c r="F7606" i="1"/>
  <c r="H7606" i="1"/>
  <c r="A7607" i="1"/>
  <c r="B7607" i="1"/>
  <c r="C7607" i="1"/>
  <c r="D7607" i="1"/>
  <c r="E7607" i="1"/>
  <c r="F7607" i="1"/>
  <c r="H7607" i="1"/>
  <c r="A7608" i="1"/>
  <c r="B7608" i="1"/>
  <c r="C7608" i="1"/>
  <c r="D7608" i="1"/>
  <c r="E7608" i="1"/>
  <c r="F7608" i="1"/>
  <c r="H7608" i="1"/>
  <c r="A7609" i="1"/>
  <c r="B7609" i="1"/>
  <c r="C7609" i="1"/>
  <c r="D7609" i="1"/>
  <c r="E7609" i="1"/>
  <c r="F7609" i="1"/>
  <c r="H7609" i="1"/>
  <c r="A7610" i="1"/>
  <c r="B7610" i="1"/>
  <c r="C7610" i="1"/>
  <c r="D7610" i="1"/>
  <c r="E7610" i="1"/>
  <c r="F7610" i="1"/>
  <c r="H7610" i="1"/>
  <c r="A7611" i="1"/>
  <c r="B7611" i="1"/>
  <c r="C7611" i="1"/>
  <c r="D7611" i="1"/>
  <c r="E7611" i="1"/>
  <c r="F7611" i="1"/>
  <c r="H7611" i="1"/>
  <c r="A7612" i="1"/>
  <c r="B7612" i="1"/>
  <c r="C7612" i="1"/>
  <c r="D7612" i="1"/>
  <c r="E7612" i="1"/>
  <c r="F7612" i="1"/>
  <c r="H7612" i="1"/>
  <c r="A7613" i="1"/>
  <c r="B7613" i="1"/>
  <c r="C7613" i="1"/>
  <c r="D7613" i="1"/>
  <c r="E7613" i="1"/>
  <c r="F7613" i="1"/>
  <c r="H7613" i="1"/>
  <c r="A7614" i="1"/>
  <c r="B7614" i="1"/>
  <c r="C7614" i="1"/>
  <c r="D7614" i="1"/>
  <c r="E7614" i="1"/>
  <c r="F7614" i="1"/>
  <c r="H7614" i="1"/>
  <c r="A7615" i="1"/>
  <c r="B7615" i="1"/>
  <c r="C7615" i="1"/>
  <c r="D7615" i="1"/>
  <c r="E7615" i="1"/>
  <c r="F7615" i="1"/>
  <c r="H7615" i="1"/>
  <c r="A7616" i="1"/>
  <c r="B7616" i="1"/>
  <c r="C7616" i="1"/>
  <c r="D7616" i="1"/>
  <c r="E7616" i="1"/>
  <c r="F7616" i="1"/>
  <c r="H7616" i="1"/>
  <c r="A7617" i="1"/>
  <c r="B7617" i="1"/>
  <c r="C7617" i="1"/>
  <c r="D7617" i="1"/>
  <c r="E7617" i="1"/>
  <c r="F7617" i="1"/>
  <c r="H7617" i="1"/>
  <c r="A7618" i="1"/>
  <c r="B7618" i="1"/>
  <c r="C7618" i="1"/>
  <c r="D7618" i="1"/>
  <c r="E7618" i="1"/>
  <c r="F7618" i="1"/>
  <c r="H7618" i="1"/>
  <c r="A7619" i="1"/>
  <c r="B7619" i="1"/>
  <c r="C7619" i="1"/>
  <c r="D7619" i="1"/>
  <c r="E7619" i="1"/>
  <c r="F7619" i="1"/>
  <c r="H7619" i="1"/>
  <c r="A7620" i="1"/>
  <c r="B7620" i="1"/>
  <c r="C7620" i="1"/>
  <c r="D7620" i="1"/>
  <c r="E7620" i="1"/>
  <c r="F7620" i="1"/>
  <c r="H7620" i="1"/>
  <c r="A7621" i="1"/>
  <c r="B7621" i="1"/>
  <c r="C7621" i="1"/>
  <c r="D7621" i="1"/>
  <c r="E7621" i="1"/>
  <c r="F7621" i="1"/>
  <c r="H7621" i="1"/>
  <c r="A7622" i="1"/>
  <c r="B7622" i="1"/>
  <c r="C7622" i="1"/>
  <c r="D7622" i="1"/>
  <c r="E7622" i="1"/>
  <c r="F7622" i="1"/>
  <c r="H7622" i="1"/>
  <c r="A7623" i="1"/>
  <c r="B7623" i="1"/>
  <c r="C7623" i="1"/>
  <c r="D7623" i="1"/>
  <c r="E7623" i="1"/>
  <c r="F7623" i="1"/>
  <c r="H7623" i="1"/>
  <c r="A7624" i="1"/>
  <c r="B7624" i="1"/>
  <c r="C7624" i="1"/>
  <c r="D7624" i="1"/>
  <c r="E7624" i="1"/>
  <c r="F7624" i="1"/>
  <c r="H7624" i="1"/>
  <c r="A7625" i="1"/>
  <c r="B7625" i="1"/>
  <c r="C7625" i="1"/>
  <c r="D7625" i="1"/>
  <c r="E7625" i="1"/>
  <c r="F7625" i="1"/>
  <c r="H7625" i="1"/>
  <c r="A7626" i="1"/>
  <c r="B7626" i="1"/>
  <c r="C7626" i="1"/>
  <c r="D7626" i="1"/>
  <c r="E7626" i="1"/>
  <c r="F7626" i="1"/>
  <c r="H7626" i="1"/>
  <c r="A7627" i="1"/>
  <c r="B7627" i="1"/>
  <c r="C7627" i="1"/>
  <c r="D7627" i="1"/>
  <c r="E7627" i="1"/>
  <c r="F7627" i="1"/>
  <c r="H7627" i="1"/>
  <c r="A7628" i="1"/>
  <c r="B7628" i="1"/>
  <c r="C7628" i="1"/>
  <c r="D7628" i="1"/>
  <c r="E7628" i="1"/>
  <c r="F7628" i="1"/>
  <c r="H7628" i="1"/>
  <c r="A7629" i="1"/>
  <c r="B7629" i="1"/>
  <c r="C7629" i="1"/>
  <c r="D7629" i="1"/>
  <c r="E7629" i="1"/>
  <c r="F7629" i="1"/>
  <c r="H7629" i="1"/>
  <c r="A7630" i="1"/>
  <c r="B7630" i="1"/>
  <c r="C7630" i="1"/>
  <c r="D7630" i="1"/>
  <c r="E7630" i="1"/>
  <c r="F7630" i="1"/>
  <c r="H7630" i="1"/>
  <c r="A7631" i="1"/>
  <c r="B7631" i="1"/>
  <c r="C7631" i="1"/>
  <c r="D7631" i="1"/>
  <c r="E7631" i="1"/>
  <c r="F7631" i="1"/>
  <c r="H7631" i="1"/>
  <c r="A7632" i="1"/>
  <c r="B7632" i="1"/>
  <c r="C7632" i="1"/>
  <c r="D7632" i="1"/>
  <c r="E7632" i="1"/>
  <c r="F7632" i="1"/>
  <c r="H7632" i="1"/>
  <c r="A7633" i="1"/>
  <c r="B7633" i="1"/>
  <c r="C7633" i="1"/>
  <c r="D7633" i="1"/>
  <c r="E7633" i="1"/>
  <c r="F7633" i="1"/>
  <c r="H7633" i="1"/>
  <c r="A7634" i="1"/>
  <c r="B7634" i="1"/>
  <c r="C7634" i="1"/>
  <c r="D7634" i="1"/>
  <c r="E7634" i="1"/>
  <c r="F7634" i="1"/>
  <c r="H7634" i="1"/>
  <c r="A7635" i="1"/>
  <c r="B7635" i="1"/>
  <c r="C7635" i="1"/>
  <c r="D7635" i="1"/>
  <c r="E7635" i="1"/>
  <c r="F7635" i="1"/>
  <c r="H7635" i="1"/>
  <c r="A7636" i="1"/>
  <c r="B7636" i="1"/>
  <c r="C7636" i="1"/>
  <c r="D7636" i="1"/>
  <c r="E7636" i="1"/>
  <c r="F7636" i="1"/>
  <c r="H7636" i="1"/>
  <c r="A7637" i="1"/>
  <c r="B7637" i="1"/>
  <c r="C7637" i="1"/>
  <c r="D7637" i="1"/>
  <c r="E7637" i="1"/>
  <c r="F7637" i="1"/>
  <c r="H7637" i="1"/>
  <c r="A7638" i="1"/>
  <c r="B7638" i="1"/>
  <c r="C7638" i="1"/>
  <c r="D7638" i="1"/>
  <c r="E7638" i="1"/>
  <c r="F7638" i="1"/>
  <c r="H7638" i="1"/>
  <c r="A7639" i="1"/>
  <c r="B7639" i="1"/>
  <c r="C7639" i="1"/>
  <c r="D7639" i="1"/>
  <c r="E7639" i="1"/>
  <c r="F7639" i="1"/>
  <c r="H7639" i="1"/>
  <c r="A7640" i="1"/>
  <c r="B7640" i="1"/>
  <c r="C7640" i="1"/>
  <c r="D7640" i="1"/>
  <c r="E7640" i="1"/>
  <c r="F7640" i="1"/>
  <c r="H7640" i="1"/>
  <c r="A7641" i="1"/>
  <c r="B7641" i="1"/>
  <c r="C7641" i="1"/>
  <c r="D7641" i="1"/>
  <c r="E7641" i="1"/>
  <c r="F7641" i="1"/>
  <c r="H7641" i="1"/>
  <c r="A7642" i="1"/>
  <c r="B7642" i="1"/>
  <c r="C7642" i="1"/>
  <c r="D7642" i="1"/>
  <c r="E7642" i="1"/>
  <c r="F7642" i="1"/>
  <c r="H7642" i="1"/>
  <c r="A7643" i="1"/>
  <c r="B7643" i="1"/>
  <c r="C7643" i="1"/>
  <c r="D7643" i="1"/>
  <c r="E7643" i="1"/>
  <c r="F7643" i="1"/>
  <c r="H7643" i="1"/>
  <c r="A7644" i="1"/>
  <c r="B7644" i="1"/>
  <c r="C7644" i="1"/>
  <c r="D7644" i="1"/>
  <c r="E7644" i="1"/>
  <c r="F7644" i="1"/>
  <c r="H7644" i="1"/>
  <c r="A7645" i="1"/>
  <c r="B7645" i="1"/>
  <c r="C7645" i="1"/>
  <c r="D7645" i="1"/>
  <c r="E7645" i="1"/>
  <c r="F7645" i="1"/>
  <c r="H7645" i="1"/>
  <c r="A7646" i="1"/>
  <c r="B7646" i="1"/>
  <c r="C7646" i="1"/>
  <c r="D7646" i="1"/>
  <c r="E7646" i="1"/>
  <c r="F7646" i="1"/>
  <c r="H7646" i="1"/>
  <c r="A7647" i="1"/>
  <c r="B7647" i="1"/>
  <c r="C7647" i="1"/>
  <c r="D7647" i="1"/>
  <c r="E7647" i="1"/>
  <c r="F7647" i="1"/>
  <c r="H7647" i="1"/>
  <c r="A7648" i="1"/>
  <c r="B7648" i="1"/>
  <c r="C7648" i="1"/>
  <c r="D7648" i="1"/>
  <c r="E7648" i="1"/>
  <c r="F7648" i="1"/>
  <c r="H7648" i="1"/>
  <c r="A7649" i="1"/>
  <c r="B7649" i="1"/>
  <c r="C7649" i="1"/>
  <c r="D7649" i="1"/>
  <c r="E7649" i="1"/>
  <c r="F7649" i="1"/>
  <c r="H7649" i="1"/>
  <c r="A7650" i="1"/>
  <c r="B7650" i="1"/>
  <c r="C7650" i="1"/>
  <c r="D7650" i="1"/>
  <c r="E7650" i="1"/>
  <c r="F7650" i="1"/>
  <c r="H7650" i="1"/>
  <c r="A7651" i="1"/>
  <c r="B7651" i="1"/>
  <c r="C7651" i="1"/>
  <c r="D7651" i="1"/>
  <c r="E7651" i="1"/>
  <c r="F7651" i="1"/>
  <c r="H7651" i="1"/>
  <c r="A7652" i="1"/>
  <c r="B7652" i="1"/>
  <c r="C7652" i="1"/>
  <c r="D7652" i="1"/>
  <c r="E7652" i="1"/>
  <c r="F7652" i="1"/>
  <c r="H7652" i="1"/>
  <c r="A7653" i="1"/>
  <c r="B7653" i="1"/>
  <c r="C7653" i="1"/>
  <c r="D7653" i="1"/>
  <c r="E7653" i="1"/>
  <c r="F7653" i="1"/>
  <c r="H7653" i="1"/>
  <c r="A7654" i="1"/>
  <c r="B7654" i="1"/>
  <c r="C7654" i="1"/>
  <c r="D7654" i="1"/>
  <c r="E7654" i="1"/>
  <c r="F7654" i="1"/>
  <c r="H7654" i="1"/>
  <c r="A7655" i="1"/>
  <c r="B7655" i="1"/>
  <c r="C7655" i="1"/>
  <c r="D7655" i="1"/>
  <c r="E7655" i="1"/>
  <c r="F7655" i="1"/>
  <c r="H7655" i="1"/>
  <c r="A7656" i="1"/>
  <c r="B7656" i="1"/>
  <c r="C7656" i="1"/>
  <c r="D7656" i="1"/>
  <c r="E7656" i="1"/>
  <c r="F7656" i="1"/>
  <c r="H7656" i="1"/>
  <c r="A7657" i="1"/>
  <c r="B7657" i="1"/>
  <c r="C7657" i="1"/>
  <c r="D7657" i="1"/>
  <c r="E7657" i="1"/>
  <c r="F7657" i="1"/>
  <c r="H7657" i="1"/>
  <c r="A7658" i="1"/>
  <c r="B7658" i="1"/>
  <c r="C7658" i="1"/>
  <c r="D7658" i="1"/>
  <c r="E7658" i="1"/>
  <c r="F7658" i="1"/>
  <c r="H7658" i="1"/>
  <c r="A7659" i="1"/>
  <c r="B7659" i="1"/>
  <c r="C7659" i="1"/>
  <c r="D7659" i="1"/>
  <c r="E7659" i="1"/>
  <c r="F7659" i="1"/>
  <c r="H7659" i="1"/>
  <c r="A7660" i="1"/>
  <c r="B7660" i="1"/>
  <c r="C7660" i="1"/>
  <c r="D7660" i="1"/>
  <c r="E7660" i="1"/>
  <c r="F7660" i="1"/>
  <c r="H7660" i="1"/>
  <c r="A7661" i="1"/>
  <c r="B7661" i="1"/>
  <c r="C7661" i="1"/>
  <c r="D7661" i="1"/>
  <c r="E7661" i="1"/>
  <c r="F7661" i="1"/>
  <c r="H7661" i="1"/>
  <c r="A7662" i="1"/>
  <c r="B7662" i="1"/>
  <c r="C7662" i="1"/>
  <c r="D7662" i="1"/>
  <c r="E7662" i="1"/>
  <c r="F7662" i="1"/>
  <c r="H7662" i="1"/>
  <c r="A7663" i="1"/>
  <c r="B7663" i="1"/>
  <c r="C7663" i="1"/>
  <c r="D7663" i="1"/>
  <c r="E7663" i="1"/>
  <c r="F7663" i="1"/>
  <c r="H7663" i="1"/>
  <c r="A7664" i="1"/>
  <c r="B7664" i="1"/>
  <c r="C7664" i="1"/>
  <c r="D7664" i="1"/>
  <c r="E7664" i="1"/>
  <c r="F7664" i="1"/>
  <c r="H7664" i="1"/>
  <c r="A7665" i="1"/>
  <c r="B7665" i="1"/>
  <c r="C7665" i="1"/>
  <c r="D7665" i="1"/>
  <c r="E7665" i="1"/>
  <c r="F7665" i="1"/>
  <c r="H7665" i="1"/>
  <c r="A7666" i="1"/>
  <c r="B7666" i="1"/>
  <c r="C7666" i="1"/>
  <c r="D7666" i="1"/>
  <c r="E7666" i="1"/>
  <c r="F7666" i="1"/>
  <c r="H7666" i="1"/>
  <c r="A7667" i="1"/>
  <c r="B7667" i="1"/>
  <c r="C7667" i="1"/>
  <c r="D7667" i="1"/>
  <c r="E7667" i="1"/>
  <c r="F7667" i="1"/>
  <c r="H7667" i="1"/>
  <c r="A7668" i="1"/>
  <c r="B7668" i="1"/>
  <c r="C7668" i="1"/>
  <c r="D7668" i="1"/>
  <c r="E7668" i="1"/>
  <c r="F7668" i="1"/>
  <c r="H7668" i="1"/>
  <c r="A7669" i="1"/>
  <c r="B7669" i="1"/>
  <c r="C7669" i="1"/>
  <c r="D7669" i="1"/>
  <c r="E7669" i="1"/>
  <c r="F7669" i="1"/>
  <c r="H7669" i="1"/>
  <c r="A7670" i="1"/>
  <c r="B7670" i="1"/>
  <c r="C7670" i="1"/>
  <c r="D7670" i="1"/>
  <c r="E7670" i="1"/>
  <c r="F7670" i="1"/>
  <c r="H7670" i="1"/>
  <c r="A7671" i="1"/>
  <c r="B7671" i="1"/>
  <c r="C7671" i="1"/>
  <c r="D7671" i="1"/>
  <c r="E7671" i="1"/>
  <c r="F7671" i="1"/>
  <c r="H7671" i="1"/>
  <c r="A7672" i="1"/>
  <c r="B7672" i="1"/>
  <c r="C7672" i="1"/>
  <c r="D7672" i="1"/>
  <c r="E7672" i="1"/>
  <c r="F7672" i="1"/>
  <c r="H7672" i="1"/>
  <c r="A7673" i="1"/>
  <c r="B7673" i="1"/>
  <c r="C7673" i="1"/>
  <c r="D7673" i="1"/>
  <c r="E7673" i="1"/>
  <c r="F7673" i="1"/>
  <c r="H7673" i="1"/>
  <c r="A7674" i="1"/>
  <c r="B7674" i="1"/>
  <c r="C7674" i="1"/>
  <c r="D7674" i="1"/>
  <c r="E7674" i="1"/>
  <c r="F7674" i="1"/>
  <c r="H7674" i="1"/>
  <c r="A7675" i="1"/>
  <c r="B7675" i="1"/>
  <c r="C7675" i="1"/>
  <c r="D7675" i="1"/>
  <c r="E7675" i="1"/>
  <c r="F7675" i="1"/>
  <c r="H7675" i="1"/>
  <c r="A7676" i="1"/>
  <c r="B7676" i="1"/>
  <c r="C7676" i="1"/>
  <c r="D7676" i="1"/>
  <c r="E7676" i="1"/>
  <c r="F7676" i="1"/>
  <c r="H7676" i="1"/>
  <c r="A7677" i="1"/>
  <c r="B7677" i="1"/>
  <c r="C7677" i="1"/>
  <c r="D7677" i="1"/>
  <c r="E7677" i="1"/>
  <c r="F7677" i="1"/>
  <c r="H7677" i="1"/>
  <c r="A7678" i="1"/>
  <c r="B7678" i="1"/>
  <c r="C7678" i="1"/>
  <c r="D7678" i="1"/>
  <c r="E7678" i="1"/>
  <c r="F7678" i="1"/>
  <c r="H7678" i="1"/>
  <c r="A7679" i="1"/>
  <c r="B7679" i="1"/>
  <c r="C7679" i="1"/>
  <c r="D7679" i="1"/>
  <c r="E7679" i="1"/>
  <c r="F7679" i="1"/>
  <c r="H7679" i="1"/>
  <c r="A7680" i="1"/>
  <c r="B7680" i="1"/>
  <c r="C7680" i="1"/>
  <c r="D7680" i="1"/>
  <c r="E7680" i="1"/>
  <c r="F7680" i="1"/>
  <c r="H7680" i="1"/>
  <c r="A7681" i="1"/>
  <c r="B7681" i="1"/>
  <c r="C7681" i="1"/>
  <c r="D7681" i="1"/>
  <c r="E7681" i="1"/>
  <c r="F7681" i="1"/>
  <c r="H7681" i="1"/>
  <c r="A7682" i="1"/>
  <c r="B7682" i="1"/>
  <c r="C7682" i="1"/>
  <c r="D7682" i="1"/>
  <c r="E7682" i="1"/>
  <c r="F7682" i="1"/>
  <c r="H7682" i="1"/>
  <c r="A7683" i="1"/>
  <c r="B7683" i="1"/>
  <c r="C7683" i="1"/>
  <c r="D7683" i="1"/>
  <c r="E7683" i="1"/>
  <c r="F7683" i="1"/>
  <c r="H7683" i="1"/>
  <c r="A7684" i="1"/>
  <c r="B7684" i="1"/>
  <c r="C7684" i="1"/>
  <c r="D7684" i="1"/>
  <c r="E7684" i="1"/>
  <c r="F7684" i="1"/>
  <c r="H7684" i="1"/>
  <c r="A7685" i="1"/>
  <c r="B7685" i="1"/>
  <c r="C7685" i="1"/>
  <c r="D7685" i="1"/>
  <c r="E7685" i="1"/>
  <c r="F7685" i="1"/>
  <c r="H7685" i="1"/>
  <c r="A7686" i="1"/>
  <c r="B7686" i="1"/>
  <c r="C7686" i="1"/>
  <c r="D7686" i="1"/>
  <c r="E7686" i="1"/>
  <c r="F7686" i="1"/>
  <c r="H7686" i="1"/>
  <c r="A7687" i="1"/>
  <c r="B7687" i="1"/>
  <c r="C7687" i="1"/>
  <c r="D7687" i="1"/>
  <c r="E7687" i="1"/>
  <c r="F7687" i="1"/>
  <c r="H7687" i="1"/>
  <c r="A7688" i="1"/>
  <c r="B7688" i="1"/>
  <c r="C7688" i="1"/>
  <c r="D7688" i="1"/>
  <c r="E7688" i="1"/>
  <c r="F7688" i="1"/>
  <c r="H7688" i="1"/>
  <c r="A7689" i="1"/>
  <c r="B7689" i="1"/>
  <c r="C7689" i="1"/>
  <c r="D7689" i="1"/>
  <c r="E7689" i="1"/>
  <c r="F7689" i="1"/>
  <c r="H7689" i="1"/>
  <c r="A7690" i="1"/>
  <c r="B7690" i="1"/>
  <c r="C7690" i="1"/>
  <c r="D7690" i="1"/>
  <c r="E7690" i="1"/>
  <c r="F7690" i="1"/>
  <c r="H7690" i="1"/>
  <c r="A7691" i="1"/>
  <c r="B7691" i="1"/>
  <c r="C7691" i="1"/>
  <c r="D7691" i="1"/>
  <c r="E7691" i="1"/>
  <c r="F7691" i="1"/>
  <c r="H7691" i="1"/>
  <c r="A7692" i="1"/>
  <c r="B7692" i="1"/>
  <c r="C7692" i="1"/>
  <c r="D7692" i="1"/>
  <c r="E7692" i="1"/>
  <c r="F7692" i="1"/>
  <c r="H7692" i="1"/>
  <c r="A7693" i="1"/>
  <c r="B7693" i="1"/>
  <c r="C7693" i="1"/>
  <c r="D7693" i="1"/>
  <c r="E7693" i="1"/>
  <c r="F7693" i="1"/>
  <c r="H7693" i="1"/>
  <c r="A7694" i="1"/>
  <c r="B7694" i="1"/>
  <c r="C7694" i="1"/>
  <c r="D7694" i="1"/>
  <c r="E7694" i="1"/>
  <c r="F7694" i="1"/>
  <c r="H7694" i="1"/>
  <c r="A7695" i="1"/>
  <c r="B7695" i="1"/>
  <c r="C7695" i="1"/>
  <c r="D7695" i="1"/>
  <c r="E7695" i="1"/>
  <c r="F7695" i="1"/>
  <c r="H7695" i="1"/>
  <c r="A7696" i="1"/>
  <c r="B7696" i="1"/>
  <c r="C7696" i="1"/>
  <c r="D7696" i="1"/>
  <c r="E7696" i="1"/>
  <c r="F7696" i="1"/>
  <c r="H7696" i="1"/>
  <c r="A7697" i="1"/>
  <c r="B7697" i="1"/>
  <c r="C7697" i="1"/>
  <c r="D7697" i="1"/>
  <c r="E7697" i="1"/>
  <c r="F7697" i="1"/>
  <c r="H7697" i="1"/>
  <c r="A7698" i="1"/>
  <c r="B7698" i="1"/>
  <c r="C7698" i="1"/>
  <c r="D7698" i="1"/>
  <c r="E7698" i="1"/>
  <c r="F7698" i="1"/>
  <c r="H7698" i="1"/>
  <c r="A7699" i="1"/>
  <c r="B7699" i="1"/>
  <c r="C7699" i="1"/>
  <c r="D7699" i="1"/>
  <c r="E7699" i="1"/>
  <c r="F7699" i="1"/>
  <c r="H7699" i="1"/>
  <c r="A7700" i="1"/>
  <c r="B7700" i="1"/>
  <c r="C7700" i="1"/>
  <c r="D7700" i="1"/>
  <c r="E7700" i="1"/>
  <c r="F7700" i="1"/>
  <c r="H7700" i="1"/>
  <c r="A7701" i="1"/>
  <c r="B7701" i="1"/>
  <c r="C7701" i="1"/>
  <c r="D7701" i="1"/>
  <c r="E7701" i="1"/>
  <c r="F7701" i="1"/>
  <c r="H7701" i="1"/>
  <c r="A7702" i="1"/>
  <c r="B7702" i="1"/>
  <c r="C7702" i="1"/>
  <c r="D7702" i="1"/>
  <c r="E7702" i="1"/>
  <c r="F7702" i="1"/>
  <c r="H7702" i="1"/>
  <c r="A7703" i="1"/>
  <c r="B7703" i="1"/>
  <c r="C7703" i="1"/>
  <c r="D7703" i="1"/>
  <c r="E7703" i="1"/>
  <c r="F7703" i="1"/>
  <c r="H7703" i="1"/>
  <c r="A7704" i="1"/>
  <c r="B7704" i="1"/>
  <c r="C7704" i="1"/>
  <c r="D7704" i="1"/>
  <c r="E7704" i="1"/>
  <c r="F7704" i="1"/>
  <c r="H7704" i="1"/>
  <c r="A7705" i="1"/>
  <c r="B7705" i="1"/>
  <c r="C7705" i="1"/>
  <c r="D7705" i="1"/>
  <c r="E7705" i="1"/>
  <c r="F7705" i="1"/>
  <c r="H7705" i="1"/>
  <c r="A7706" i="1"/>
  <c r="B7706" i="1"/>
  <c r="C7706" i="1"/>
  <c r="D7706" i="1"/>
  <c r="E7706" i="1"/>
  <c r="F7706" i="1"/>
  <c r="H7706" i="1"/>
  <c r="A7707" i="1"/>
  <c r="B7707" i="1"/>
  <c r="C7707" i="1"/>
  <c r="D7707" i="1"/>
  <c r="E7707" i="1"/>
  <c r="F7707" i="1"/>
  <c r="H7707" i="1"/>
  <c r="A7708" i="1"/>
  <c r="B7708" i="1"/>
  <c r="C7708" i="1"/>
  <c r="D7708" i="1"/>
  <c r="E7708" i="1"/>
  <c r="F7708" i="1"/>
  <c r="H7708" i="1"/>
  <c r="A7709" i="1"/>
  <c r="B7709" i="1"/>
  <c r="C7709" i="1"/>
  <c r="D7709" i="1"/>
  <c r="E7709" i="1"/>
  <c r="F7709" i="1"/>
  <c r="H7709" i="1"/>
  <c r="A7710" i="1"/>
  <c r="B7710" i="1"/>
  <c r="C7710" i="1"/>
  <c r="D7710" i="1"/>
  <c r="E7710" i="1"/>
  <c r="F7710" i="1"/>
  <c r="H7710" i="1"/>
  <c r="A7711" i="1"/>
  <c r="B7711" i="1"/>
  <c r="C7711" i="1"/>
  <c r="D7711" i="1"/>
  <c r="E7711" i="1"/>
  <c r="F7711" i="1"/>
  <c r="H7711" i="1"/>
  <c r="A7712" i="1"/>
  <c r="B7712" i="1"/>
  <c r="C7712" i="1"/>
  <c r="D7712" i="1"/>
  <c r="E7712" i="1"/>
  <c r="F7712" i="1"/>
  <c r="H7712" i="1"/>
  <c r="A7713" i="1"/>
  <c r="B7713" i="1"/>
  <c r="C7713" i="1"/>
  <c r="D7713" i="1"/>
  <c r="E7713" i="1"/>
  <c r="F7713" i="1"/>
  <c r="H7713" i="1"/>
  <c r="A7714" i="1"/>
  <c r="B7714" i="1"/>
  <c r="C7714" i="1"/>
  <c r="D7714" i="1"/>
  <c r="E7714" i="1"/>
  <c r="F7714" i="1"/>
  <c r="H7714" i="1"/>
  <c r="A7715" i="1"/>
  <c r="B7715" i="1"/>
  <c r="C7715" i="1"/>
  <c r="D7715" i="1"/>
  <c r="E7715" i="1"/>
  <c r="F7715" i="1"/>
  <c r="H7715" i="1"/>
  <c r="A7716" i="1"/>
  <c r="B7716" i="1"/>
  <c r="C7716" i="1"/>
  <c r="D7716" i="1"/>
  <c r="E7716" i="1"/>
  <c r="F7716" i="1"/>
  <c r="H7716" i="1"/>
  <c r="A7717" i="1"/>
  <c r="B7717" i="1"/>
  <c r="C7717" i="1"/>
  <c r="D7717" i="1"/>
  <c r="E7717" i="1"/>
  <c r="F7717" i="1"/>
  <c r="H7717" i="1"/>
  <c r="A7718" i="1"/>
  <c r="B7718" i="1"/>
  <c r="C7718" i="1"/>
  <c r="D7718" i="1"/>
  <c r="E7718" i="1"/>
  <c r="F7718" i="1"/>
  <c r="H7718" i="1"/>
  <c r="A7719" i="1"/>
  <c r="B7719" i="1"/>
  <c r="C7719" i="1"/>
  <c r="D7719" i="1"/>
  <c r="E7719" i="1"/>
  <c r="F7719" i="1"/>
  <c r="H7719" i="1"/>
  <c r="A7720" i="1"/>
  <c r="B7720" i="1"/>
  <c r="C7720" i="1"/>
  <c r="D7720" i="1"/>
  <c r="E7720" i="1"/>
  <c r="F7720" i="1"/>
  <c r="H7720" i="1"/>
  <c r="A7721" i="1"/>
  <c r="B7721" i="1"/>
  <c r="C7721" i="1"/>
  <c r="D7721" i="1"/>
  <c r="E7721" i="1"/>
  <c r="F7721" i="1"/>
  <c r="H7721" i="1"/>
  <c r="A7722" i="1"/>
  <c r="B7722" i="1"/>
  <c r="C7722" i="1"/>
  <c r="D7722" i="1"/>
  <c r="E7722" i="1"/>
  <c r="F7722" i="1"/>
  <c r="H7722" i="1"/>
  <c r="A7723" i="1"/>
  <c r="B7723" i="1"/>
  <c r="C7723" i="1"/>
  <c r="D7723" i="1"/>
  <c r="E7723" i="1"/>
  <c r="F7723" i="1"/>
  <c r="H7723" i="1"/>
  <c r="A7724" i="1"/>
  <c r="B7724" i="1"/>
  <c r="C7724" i="1"/>
  <c r="D7724" i="1"/>
  <c r="E7724" i="1"/>
  <c r="F7724" i="1"/>
  <c r="H7724" i="1"/>
  <c r="A7725" i="1"/>
  <c r="B7725" i="1"/>
  <c r="C7725" i="1"/>
  <c r="D7725" i="1"/>
  <c r="E7725" i="1"/>
  <c r="F7725" i="1"/>
  <c r="H7725" i="1"/>
  <c r="A7726" i="1"/>
  <c r="B7726" i="1"/>
  <c r="C7726" i="1"/>
  <c r="D7726" i="1"/>
  <c r="E7726" i="1"/>
  <c r="F7726" i="1"/>
  <c r="H7726" i="1"/>
  <c r="A7727" i="1"/>
  <c r="B7727" i="1"/>
  <c r="C7727" i="1"/>
  <c r="D7727" i="1"/>
  <c r="E7727" i="1"/>
  <c r="F7727" i="1"/>
  <c r="H7727" i="1"/>
  <c r="A7728" i="1"/>
  <c r="B7728" i="1"/>
  <c r="C7728" i="1"/>
  <c r="D7728" i="1"/>
  <c r="E7728" i="1"/>
  <c r="F7728" i="1"/>
  <c r="H7728" i="1"/>
  <c r="A7729" i="1"/>
  <c r="B7729" i="1"/>
  <c r="C7729" i="1"/>
  <c r="D7729" i="1"/>
  <c r="E7729" i="1"/>
  <c r="F7729" i="1"/>
  <c r="H7729" i="1"/>
  <c r="A7730" i="1"/>
  <c r="B7730" i="1"/>
  <c r="C7730" i="1"/>
  <c r="D7730" i="1"/>
  <c r="E7730" i="1"/>
  <c r="F7730" i="1"/>
  <c r="H7730" i="1"/>
  <c r="A7731" i="1"/>
  <c r="B7731" i="1"/>
  <c r="C7731" i="1"/>
  <c r="D7731" i="1"/>
  <c r="E7731" i="1"/>
  <c r="F7731" i="1"/>
  <c r="H7731" i="1"/>
  <c r="A7732" i="1"/>
  <c r="B7732" i="1"/>
  <c r="C7732" i="1"/>
  <c r="D7732" i="1"/>
  <c r="E7732" i="1"/>
  <c r="F7732" i="1"/>
  <c r="H7732" i="1"/>
  <c r="A7733" i="1"/>
  <c r="B7733" i="1"/>
  <c r="C7733" i="1"/>
  <c r="D7733" i="1"/>
  <c r="E7733" i="1"/>
  <c r="F7733" i="1"/>
  <c r="H7733" i="1"/>
  <c r="A7734" i="1"/>
  <c r="B7734" i="1"/>
  <c r="C7734" i="1"/>
  <c r="D7734" i="1"/>
  <c r="E7734" i="1"/>
  <c r="F7734" i="1"/>
  <c r="H7734" i="1"/>
  <c r="A7735" i="1"/>
  <c r="B7735" i="1"/>
  <c r="C7735" i="1"/>
  <c r="D7735" i="1"/>
  <c r="E7735" i="1"/>
  <c r="F7735" i="1"/>
  <c r="H7735" i="1"/>
  <c r="A7736" i="1"/>
  <c r="B7736" i="1"/>
  <c r="C7736" i="1"/>
  <c r="D7736" i="1"/>
  <c r="E7736" i="1"/>
  <c r="F7736" i="1"/>
  <c r="H7736" i="1"/>
  <c r="A7737" i="1"/>
  <c r="B7737" i="1"/>
  <c r="C7737" i="1"/>
  <c r="D7737" i="1"/>
  <c r="E7737" i="1"/>
  <c r="F7737" i="1"/>
  <c r="H7737" i="1"/>
  <c r="A7738" i="1"/>
  <c r="B7738" i="1"/>
  <c r="C7738" i="1"/>
  <c r="D7738" i="1"/>
  <c r="E7738" i="1"/>
  <c r="F7738" i="1"/>
  <c r="H7738" i="1"/>
  <c r="A7739" i="1"/>
  <c r="B7739" i="1"/>
  <c r="C7739" i="1"/>
  <c r="D7739" i="1"/>
  <c r="E7739" i="1"/>
  <c r="F7739" i="1"/>
  <c r="H7739" i="1"/>
  <c r="A7740" i="1"/>
  <c r="B7740" i="1"/>
  <c r="C7740" i="1"/>
  <c r="D7740" i="1"/>
  <c r="E7740" i="1"/>
  <c r="F7740" i="1"/>
  <c r="H7740" i="1"/>
  <c r="A7741" i="1"/>
  <c r="B7741" i="1"/>
  <c r="C7741" i="1"/>
  <c r="D7741" i="1"/>
  <c r="E7741" i="1"/>
  <c r="F7741" i="1"/>
  <c r="H7741" i="1"/>
  <c r="A7742" i="1"/>
  <c r="B7742" i="1"/>
  <c r="C7742" i="1"/>
  <c r="D7742" i="1"/>
  <c r="E7742" i="1"/>
  <c r="F7742" i="1"/>
  <c r="H7742" i="1"/>
  <c r="A7743" i="1"/>
  <c r="B7743" i="1"/>
  <c r="C7743" i="1"/>
  <c r="D7743" i="1"/>
  <c r="E7743" i="1"/>
  <c r="F7743" i="1"/>
  <c r="H7743" i="1"/>
  <c r="A7744" i="1"/>
  <c r="B7744" i="1"/>
  <c r="C7744" i="1"/>
  <c r="D7744" i="1"/>
  <c r="E7744" i="1"/>
  <c r="F7744" i="1"/>
  <c r="H7744" i="1"/>
  <c r="A7745" i="1"/>
  <c r="B7745" i="1"/>
  <c r="C7745" i="1"/>
  <c r="D7745" i="1"/>
  <c r="E7745" i="1"/>
  <c r="F7745" i="1"/>
  <c r="H7745" i="1"/>
  <c r="A7746" i="1"/>
  <c r="B7746" i="1"/>
  <c r="C7746" i="1"/>
  <c r="D7746" i="1"/>
  <c r="E7746" i="1"/>
  <c r="F7746" i="1"/>
  <c r="H7746" i="1"/>
  <c r="A7747" i="1"/>
  <c r="B7747" i="1"/>
  <c r="C7747" i="1"/>
  <c r="D7747" i="1"/>
  <c r="E7747" i="1"/>
  <c r="F7747" i="1"/>
  <c r="H7747" i="1"/>
  <c r="A7748" i="1"/>
  <c r="B7748" i="1"/>
  <c r="C7748" i="1"/>
  <c r="D7748" i="1"/>
  <c r="E7748" i="1"/>
  <c r="F7748" i="1"/>
  <c r="H7748" i="1"/>
  <c r="A7749" i="1"/>
  <c r="B7749" i="1"/>
  <c r="C7749" i="1"/>
  <c r="D7749" i="1"/>
  <c r="E7749" i="1"/>
  <c r="F7749" i="1"/>
  <c r="H7749" i="1"/>
  <c r="A7750" i="1"/>
  <c r="B7750" i="1"/>
  <c r="C7750" i="1"/>
  <c r="D7750" i="1"/>
  <c r="E7750" i="1"/>
  <c r="F7750" i="1"/>
  <c r="H7750" i="1"/>
  <c r="A7751" i="1"/>
  <c r="B7751" i="1"/>
  <c r="C7751" i="1"/>
  <c r="D7751" i="1"/>
  <c r="E7751" i="1"/>
  <c r="F7751" i="1"/>
  <c r="H7751" i="1"/>
  <c r="A7752" i="1"/>
  <c r="B7752" i="1"/>
  <c r="C7752" i="1"/>
  <c r="D7752" i="1"/>
  <c r="E7752" i="1"/>
  <c r="F7752" i="1"/>
  <c r="H7752" i="1"/>
  <c r="A7753" i="1"/>
  <c r="B7753" i="1"/>
  <c r="C7753" i="1"/>
  <c r="D7753" i="1"/>
  <c r="E7753" i="1"/>
  <c r="F7753" i="1"/>
  <c r="H7753" i="1"/>
  <c r="A7754" i="1"/>
  <c r="B7754" i="1"/>
  <c r="C7754" i="1"/>
  <c r="D7754" i="1"/>
  <c r="E7754" i="1"/>
  <c r="F7754" i="1"/>
  <c r="H7754" i="1"/>
  <c r="A7755" i="1"/>
  <c r="B7755" i="1"/>
  <c r="C7755" i="1"/>
  <c r="D7755" i="1"/>
  <c r="E7755" i="1"/>
  <c r="F7755" i="1"/>
  <c r="H7755" i="1"/>
  <c r="A7756" i="1"/>
  <c r="B7756" i="1"/>
  <c r="C7756" i="1"/>
  <c r="D7756" i="1"/>
  <c r="E7756" i="1"/>
  <c r="F7756" i="1"/>
  <c r="H7756" i="1"/>
  <c r="A7757" i="1"/>
  <c r="B7757" i="1"/>
  <c r="C7757" i="1"/>
  <c r="D7757" i="1"/>
  <c r="E7757" i="1"/>
  <c r="F7757" i="1"/>
  <c r="H7757" i="1"/>
  <c r="A7758" i="1"/>
  <c r="B7758" i="1"/>
  <c r="C7758" i="1"/>
  <c r="D7758" i="1"/>
  <c r="E7758" i="1"/>
  <c r="F7758" i="1"/>
  <c r="H7758" i="1"/>
  <c r="A7759" i="1"/>
  <c r="B7759" i="1"/>
  <c r="C7759" i="1"/>
  <c r="D7759" i="1"/>
  <c r="E7759" i="1"/>
  <c r="F7759" i="1"/>
  <c r="H7759" i="1"/>
  <c r="A7760" i="1"/>
  <c r="B7760" i="1"/>
  <c r="C7760" i="1"/>
  <c r="D7760" i="1"/>
  <c r="E7760" i="1"/>
  <c r="F7760" i="1"/>
  <c r="H7760" i="1"/>
  <c r="A7761" i="1"/>
  <c r="B7761" i="1"/>
  <c r="C7761" i="1"/>
  <c r="D7761" i="1"/>
  <c r="E7761" i="1"/>
  <c r="F7761" i="1"/>
  <c r="H7761" i="1"/>
  <c r="A7762" i="1"/>
  <c r="B7762" i="1"/>
  <c r="C7762" i="1"/>
  <c r="D7762" i="1"/>
  <c r="E7762" i="1"/>
  <c r="F7762" i="1"/>
  <c r="H7762" i="1"/>
  <c r="A7763" i="1"/>
  <c r="B7763" i="1"/>
  <c r="C7763" i="1"/>
  <c r="D7763" i="1"/>
  <c r="E7763" i="1"/>
  <c r="F7763" i="1"/>
  <c r="H7763" i="1"/>
  <c r="A7764" i="1"/>
  <c r="B7764" i="1"/>
  <c r="C7764" i="1"/>
  <c r="D7764" i="1"/>
  <c r="E7764" i="1"/>
  <c r="F7764" i="1"/>
  <c r="H7764" i="1"/>
  <c r="A7765" i="1"/>
  <c r="B7765" i="1"/>
  <c r="C7765" i="1"/>
  <c r="D7765" i="1"/>
  <c r="E7765" i="1"/>
  <c r="F7765" i="1"/>
  <c r="H7765" i="1"/>
  <c r="A7766" i="1"/>
  <c r="B7766" i="1"/>
  <c r="C7766" i="1"/>
  <c r="D7766" i="1"/>
  <c r="E7766" i="1"/>
  <c r="F7766" i="1"/>
  <c r="H7766" i="1"/>
  <c r="A7767" i="1"/>
  <c r="B7767" i="1"/>
  <c r="C7767" i="1"/>
  <c r="D7767" i="1"/>
  <c r="E7767" i="1"/>
  <c r="F7767" i="1"/>
  <c r="H7767" i="1"/>
  <c r="A7768" i="1"/>
  <c r="B7768" i="1"/>
  <c r="C7768" i="1"/>
  <c r="D7768" i="1"/>
  <c r="E7768" i="1"/>
  <c r="F7768" i="1"/>
  <c r="H7768" i="1"/>
  <c r="A7769" i="1"/>
  <c r="B7769" i="1"/>
  <c r="C7769" i="1"/>
  <c r="D7769" i="1"/>
  <c r="E7769" i="1"/>
  <c r="F7769" i="1"/>
  <c r="H7769" i="1"/>
  <c r="A7770" i="1"/>
  <c r="B7770" i="1"/>
  <c r="C7770" i="1"/>
  <c r="D7770" i="1"/>
  <c r="E7770" i="1"/>
  <c r="F7770" i="1"/>
  <c r="H7770" i="1"/>
  <c r="A7771" i="1"/>
  <c r="B7771" i="1"/>
  <c r="C7771" i="1"/>
  <c r="D7771" i="1"/>
  <c r="E7771" i="1"/>
  <c r="F7771" i="1"/>
  <c r="H7771" i="1"/>
  <c r="A7772" i="1"/>
  <c r="B7772" i="1"/>
  <c r="C7772" i="1"/>
  <c r="D7772" i="1"/>
  <c r="E7772" i="1"/>
  <c r="F7772" i="1"/>
  <c r="H7772" i="1"/>
  <c r="A7773" i="1"/>
  <c r="B7773" i="1"/>
  <c r="C7773" i="1"/>
  <c r="D7773" i="1"/>
  <c r="E7773" i="1"/>
  <c r="F7773" i="1"/>
  <c r="H7773" i="1"/>
  <c r="A7774" i="1"/>
  <c r="B7774" i="1"/>
  <c r="C7774" i="1"/>
  <c r="D7774" i="1"/>
  <c r="E7774" i="1"/>
  <c r="F7774" i="1"/>
  <c r="H7774" i="1"/>
  <c r="A7775" i="1"/>
  <c r="B7775" i="1"/>
  <c r="C7775" i="1"/>
  <c r="D7775" i="1"/>
  <c r="E7775" i="1"/>
  <c r="F7775" i="1"/>
  <c r="H7775" i="1"/>
  <c r="A7776" i="1"/>
  <c r="B7776" i="1"/>
  <c r="C7776" i="1"/>
  <c r="D7776" i="1"/>
  <c r="E7776" i="1"/>
  <c r="F7776" i="1"/>
  <c r="H7776" i="1"/>
  <c r="A7777" i="1"/>
  <c r="B7777" i="1"/>
  <c r="C7777" i="1"/>
  <c r="D7777" i="1"/>
  <c r="E7777" i="1"/>
  <c r="F7777" i="1"/>
  <c r="H7777" i="1"/>
  <c r="A7778" i="1"/>
  <c r="B7778" i="1"/>
  <c r="C7778" i="1"/>
  <c r="D7778" i="1"/>
  <c r="E7778" i="1"/>
  <c r="F7778" i="1"/>
  <c r="H7778" i="1"/>
  <c r="A7779" i="1"/>
  <c r="B7779" i="1"/>
  <c r="C7779" i="1"/>
  <c r="D7779" i="1"/>
  <c r="E7779" i="1"/>
  <c r="F7779" i="1"/>
  <c r="H7779" i="1"/>
  <c r="A7780" i="1"/>
  <c r="B7780" i="1"/>
  <c r="C7780" i="1"/>
  <c r="D7780" i="1"/>
  <c r="E7780" i="1"/>
  <c r="F7780" i="1"/>
  <c r="H7780" i="1"/>
  <c r="A7781" i="1"/>
  <c r="B7781" i="1"/>
  <c r="C7781" i="1"/>
  <c r="D7781" i="1"/>
  <c r="E7781" i="1"/>
  <c r="F7781" i="1"/>
  <c r="H7781" i="1"/>
  <c r="A7782" i="1"/>
  <c r="B7782" i="1"/>
  <c r="C7782" i="1"/>
  <c r="D7782" i="1"/>
  <c r="E7782" i="1"/>
  <c r="F7782" i="1"/>
  <c r="H7782" i="1"/>
  <c r="A7783" i="1"/>
  <c r="B7783" i="1"/>
  <c r="C7783" i="1"/>
  <c r="D7783" i="1"/>
  <c r="E7783" i="1"/>
  <c r="F7783" i="1"/>
  <c r="H7783" i="1"/>
  <c r="A7784" i="1"/>
  <c r="B7784" i="1"/>
  <c r="C7784" i="1"/>
  <c r="D7784" i="1"/>
  <c r="E7784" i="1"/>
  <c r="F7784" i="1"/>
  <c r="H7784" i="1"/>
  <c r="A7785" i="1"/>
  <c r="B7785" i="1"/>
  <c r="C7785" i="1"/>
  <c r="D7785" i="1"/>
  <c r="E7785" i="1"/>
  <c r="F7785" i="1"/>
  <c r="H7785" i="1"/>
  <c r="A7786" i="1"/>
  <c r="B7786" i="1"/>
  <c r="C7786" i="1"/>
  <c r="D7786" i="1"/>
  <c r="E7786" i="1"/>
  <c r="F7786" i="1"/>
  <c r="H7786" i="1"/>
  <c r="A7787" i="1"/>
  <c r="B7787" i="1"/>
  <c r="C7787" i="1"/>
  <c r="D7787" i="1"/>
  <c r="E7787" i="1"/>
  <c r="F7787" i="1"/>
  <c r="H7787" i="1"/>
  <c r="A7788" i="1"/>
  <c r="B7788" i="1"/>
  <c r="C7788" i="1"/>
  <c r="D7788" i="1"/>
  <c r="E7788" i="1"/>
  <c r="F7788" i="1"/>
  <c r="H7788" i="1"/>
  <c r="A7789" i="1"/>
  <c r="B7789" i="1"/>
  <c r="C7789" i="1"/>
  <c r="D7789" i="1"/>
  <c r="E7789" i="1"/>
  <c r="F7789" i="1"/>
  <c r="H7789" i="1"/>
  <c r="A7790" i="1"/>
  <c r="B7790" i="1"/>
  <c r="C7790" i="1"/>
  <c r="D7790" i="1"/>
  <c r="E7790" i="1"/>
  <c r="F7790" i="1"/>
  <c r="H7790" i="1"/>
  <c r="A7791" i="1"/>
  <c r="B7791" i="1"/>
  <c r="C7791" i="1"/>
  <c r="D7791" i="1"/>
  <c r="E7791" i="1"/>
  <c r="F7791" i="1"/>
  <c r="H7791" i="1"/>
  <c r="A7792" i="1"/>
  <c r="B7792" i="1"/>
  <c r="C7792" i="1"/>
  <c r="D7792" i="1"/>
  <c r="E7792" i="1"/>
  <c r="F7792" i="1"/>
  <c r="H7792" i="1"/>
  <c r="A7793" i="1"/>
  <c r="B7793" i="1"/>
  <c r="C7793" i="1"/>
  <c r="D7793" i="1"/>
  <c r="E7793" i="1"/>
  <c r="F7793" i="1"/>
  <c r="H7793" i="1"/>
  <c r="A7794" i="1"/>
  <c r="B7794" i="1"/>
  <c r="C7794" i="1"/>
  <c r="D7794" i="1"/>
  <c r="E7794" i="1"/>
  <c r="F7794" i="1"/>
  <c r="H7794" i="1"/>
  <c r="A7795" i="1"/>
  <c r="B7795" i="1"/>
  <c r="C7795" i="1"/>
  <c r="D7795" i="1"/>
  <c r="E7795" i="1"/>
  <c r="F7795" i="1"/>
  <c r="H7795" i="1"/>
  <c r="A7796" i="1"/>
  <c r="B7796" i="1"/>
  <c r="C7796" i="1"/>
  <c r="D7796" i="1"/>
  <c r="E7796" i="1"/>
  <c r="F7796" i="1"/>
  <c r="H7796" i="1"/>
  <c r="A7797" i="1"/>
  <c r="B7797" i="1"/>
  <c r="C7797" i="1"/>
  <c r="D7797" i="1"/>
  <c r="E7797" i="1"/>
  <c r="F7797" i="1"/>
  <c r="H7797" i="1"/>
  <c r="A7798" i="1"/>
  <c r="B7798" i="1"/>
  <c r="C7798" i="1"/>
  <c r="D7798" i="1"/>
  <c r="E7798" i="1"/>
  <c r="F7798" i="1"/>
  <c r="H7798" i="1"/>
  <c r="A7799" i="1"/>
  <c r="B7799" i="1"/>
  <c r="C7799" i="1"/>
  <c r="D7799" i="1"/>
  <c r="E7799" i="1"/>
  <c r="F7799" i="1"/>
  <c r="H7799" i="1"/>
  <c r="A7800" i="1"/>
  <c r="B7800" i="1"/>
  <c r="C7800" i="1"/>
  <c r="D7800" i="1"/>
  <c r="E7800" i="1"/>
  <c r="F7800" i="1"/>
  <c r="H7800" i="1"/>
  <c r="A7801" i="1"/>
  <c r="B7801" i="1"/>
  <c r="C7801" i="1"/>
  <c r="D7801" i="1"/>
  <c r="E7801" i="1"/>
  <c r="F7801" i="1"/>
  <c r="H7801" i="1"/>
  <c r="A7802" i="1"/>
  <c r="B7802" i="1"/>
  <c r="C7802" i="1"/>
  <c r="D7802" i="1"/>
  <c r="E7802" i="1"/>
  <c r="F7802" i="1"/>
  <c r="H7802" i="1"/>
  <c r="A7803" i="1"/>
  <c r="B7803" i="1"/>
  <c r="C7803" i="1"/>
  <c r="D7803" i="1"/>
  <c r="E7803" i="1"/>
  <c r="F7803" i="1"/>
  <c r="H7803" i="1"/>
  <c r="A7804" i="1"/>
  <c r="B7804" i="1"/>
  <c r="C7804" i="1"/>
  <c r="D7804" i="1"/>
  <c r="E7804" i="1"/>
  <c r="F7804" i="1"/>
  <c r="H7804" i="1"/>
  <c r="A7805" i="1"/>
  <c r="B7805" i="1"/>
  <c r="C7805" i="1"/>
  <c r="D7805" i="1"/>
  <c r="E7805" i="1"/>
  <c r="F7805" i="1"/>
  <c r="H7805" i="1"/>
  <c r="A7806" i="1"/>
  <c r="B7806" i="1"/>
  <c r="C7806" i="1"/>
  <c r="D7806" i="1"/>
  <c r="E7806" i="1"/>
  <c r="F7806" i="1"/>
  <c r="H7806" i="1"/>
  <c r="A7807" i="1"/>
  <c r="B7807" i="1"/>
  <c r="C7807" i="1"/>
  <c r="D7807" i="1"/>
  <c r="E7807" i="1"/>
  <c r="F7807" i="1"/>
  <c r="H7807" i="1"/>
  <c r="A7808" i="1"/>
  <c r="B7808" i="1"/>
  <c r="C7808" i="1"/>
  <c r="D7808" i="1"/>
  <c r="E7808" i="1"/>
  <c r="F7808" i="1"/>
  <c r="H7808" i="1"/>
  <c r="A7809" i="1"/>
  <c r="B7809" i="1"/>
  <c r="C7809" i="1"/>
  <c r="D7809" i="1"/>
  <c r="E7809" i="1"/>
  <c r="F7809" i="1"/>
  <c r="H7809" i="1"/>
  <c r="A7810" i="1"/>
  <c r="B7810" i="1"/>
  <c r="C7810" i="1"/>
  <c r="D7810" i="1"/>
  <c r="E7810" i="1"/>
  <c r="F7810" i="1"/>
  <c r="H7810" i="1"/>
  <c r="A7811" i="1"/>
  <c r="B7811" i="1"/>
  <c r="C7811" i="1"/>
  <c r="D7811" i="1"/>
  <c r="E7811" i="1"/>
  <c r="F7811" i="1"/>
  <c r="H7811" i="1"/>
  <c r="A7812" i="1"/>
  <c r="B7812" i="1"/>
  <c r="C7812" i="1"/>
  <c r="D7812" i="1"/>
  <c r="E7812" i="1"/>
  <c r="F7812" i="1"/>
  <c r="H7812" i="1"/>
  <c r="A7813" i="1"/>
  <c r="B7813" i="1"/>
  <c r="C7813" i="1"/>
  <c r="D7813" i="1"/>
  <c r="E7813" i="1"/>
  <c r="F7813" i="1"/>
  <c r="H7813" i="1"/>
  <c r="A7814" i="1"/>
  <c r="B7814" i="1"/>
  <c r="C7814" i="1"/>
  <c r="D7814" i="1"/>
  <c r="E7814" i="1"/>
  <c r="F7814" i="1"/>
  <c r="H7814" i="1"/>
  <c r="A7815" i="1"/>
  <c r="B7815" i="1"/>
  <c r="C7815" i="1"/>
  <c r="D7815" i="1"/>
  <c r="E7815" i="1"/>
  <c r="F7815" i="1"/>
  <c r="H7815" i="1"/>
  <c r="A7816" i="1"/>
  <c r="B7816" i="1"/>
  <c r="C7816" i="1"/>
  <c r="D7816" i="1"/>
  <c r="E7816" i="1"/>
  <c r="F7816" i="1"/>
  <c r="H7816" i="1"/>
  <c r="A7817" i="1"/>
  <c r="B7817" i="1"/>
  <c r="C7817" i="1"/>
  <c r="D7817" i="1"/>
  <c r="E7817" i="1"/>
  <c r="F7817" i="1"/>
  <c r="H7817" i="1"/>
  <c r="A7818" i="1"/>
  <c r="B7818" i="1"/>
  <c r="C7818" i="1"/>
  <c r="D7818" i="1"/>
  <c r="E7818" i="1"/>
  <c r="F7818" i="1"/>
  <c r="H7818" i="1"/>
  <c r="A7819" i="1"/>
  <c r="B7819" i="1"/>
  <c r="C7819" i="1"/>
  <c r="D7819" i="1"/>
  <c r="E7819" i="1"/>
  <c r="F7819" i="1"/>
  <c r="H7819" i="1"/>
  <c r="A7820" i="1"/>
  <c r="B7820" i="1"/>
  <c r="C7820" i="1"/>
  <c r="D7820" i="1"/>
  <c r="E7820" i="1"/>
  <c r="F7820" i="1"/>
  <c r="H7820" i="1"/>
  <c r="A7821" i="1"/>
  <c r="B7821" i="1"/>
  <c r="C7821" i="1"/>
  <c r="D7821" i="1"/>
  <c r="E7821" i="1"/>
  <c r="F7821" i="1"/>
  <c r="H7821" i="1"/>
  <c r="A7822" i="1"/>
  <c r="B7822" i="1"/>
  <c r="C7822" i="1"/>
  <c r="D7822" i="1"/>
  <c r="E7822" i="1"/>
  <c r="F7822" i="1"/>
  <c r="H7822" i="1"/>
  <c r="A7823" i="1"/>
  <c r="B7823" i="1"/>
  <c r="C7823" i="1"/>
  <c r="D7823" i="1"/>
  <c r="E7823" i="1"/>
  <c r="F7823" i="1"/>
  <c r="H7823" i="1"/>
  <c r="A7824" i="1"/>
  <c r="B7824" i="1"/>
  <c r="C7824" i="1"/>
  <c r="D7824" i="1"/>
  <c r="E7824" i="1"/>
  <c r="F7824" i="1"/>
  <c r="H7824" i="1"/>
  <c r="A7825" i="1"/>
  <c r="B7825" i="1"/>
  <c r="C7825" i="1"/>
  <c r="D7825" i="1"/>
  <c r="E7825" i="1"/>
  <c r="F7825" i="1"/>
  <c r="H7825" i="1"/>
  <c r="A7826" i="1"/>
  <c r="B7826" i="1"/>
  <c r="C7826" i="1"/>
  <c r="D7826" i="1"/>
  <c r="E7826" i="1"/>
  <c r="F7826" i="1"/>
  <c r="H7826" i="1"/>
  <c r="A7827" i="1"/>
  <c r="B7827" i="1"/>
  <c r="C7827" i="1"/>
  <c r="D7827" i="1"/>
  <c r="E7827" i="1"/>
  <c r="F7827" i="1"/>
  <c r="H7827" i="1"/>
  <c r="A7828" i="1"/>
  <c r="B7828" i="1"/>
  <c r="C7828" i="1"/>
  <c r="D7828" i="1"/>
  <c r="E7828" i="1"/>
  <c r="F7828" i="1"/>
  <c r="H7828" i="1"/>
  <c r="A7829" i="1"/>
  <c r="B7829" i="1"/>
  <c r="C7829" i="1"/>
  <c r="D7829" i="1"/>
  <c r="E7829" i="1"/>
  <c r="F7829" i="1"/>
  <c r="H7829" i="1"/>
  <c r="A7830" i="1"/>
  <c r="B7830" i="1"/>
  <c r="C7830" i="1"/>
  <c r="D7830" i="1"/>
  <c r="E7830" i="1"/>
  <c r="F7830" i="1"/>
  <c r="H7830" i="1"/>
  <c r="A7831" i="1"/>
  <c r="B7831" i="1"/>
  <c r="C7831" i="1"/>
  <c r="D7831" i="1"/>
  <c r="E7831" i="1"/>
  <c r="F7831" i="1"/>
  <c r="H7831" i="1"/>
  <c r="A7832" i="1"/>
  <c r="B7832" i="1"/>
  <c r="C7832" i="1"/>
  <c r="D7832" i="1"/>
  <c r="E7832" i="1"/>
  <c r="F7832" i="1"/>
  <c r="H7832" i="1"/>
  <c r="A7833" i="1"/>
  <c r="B7833" i="1"/>
  <c r="C7833" i="1"/>
  <c r="D7833" i="1"/>
  <c r="E7833" i="1"/>
  <c r="F7833" i="1"/>
  <c r="H7833" i="1"/>
  <c r="A7834" i="1"/>
  <c r="B7834" i="1"/>
  <c r="C7834" i="1"/>
  <c r="D7834" i="1"/>
  <c r="E7834" i="1"/>
  <c r="F7834" i="1"/>
  <c r="H7834" i="1"/>
  <c r="A7835" i="1"/>
  <c r="B7835" i="1"/>
  <c r="C7835" i="1"/>
  <c r="D7835" i="1"/>
  <c r="E7835" i="1"/>
  <c r="F7835" i="1"/>
  <c r="H7835" i="1"/>
  <c r="A7836" i="1"/>
  <c r="B7836" i="1"/>
  <c r="C7836" i="1"/>
  <c r="D7836" i="1"/>
  <c r="E7836" i="1"/>
  <c r="F7836" i="1"/>
  <c r="H7836" i="1"/>
  <c r="A7837" i="1"/>
  <c r="B7837" i="1"/>
  <c r="C7837" i="1"/>
  <c r="D7837" i="1"/>
  <c r="E7837" i="1"/>
  <c r="F7837" i="1"/>
  <c r="H7837" i="1"/>
  <c r="A7838" i="1"/>
  <c r="B7838" i="1"/>
  <c r="C7838" i="1"/>
  <c r="D7838" i="1"/>
  <c r="E7838" i="1"/>
  <c r="F7838" i="1"/>
  <c r="H7838" i="1"/>
  <c r="A7839" i="1"/>
  <c r="B7839" i="1"/>
  <c r="C7839" i="1"/>
  <c r="D7839" i="1"/>
  <c r="E7839" i="1"/>
  <c r="F7839" i="1"/>
  <c r="H7839" i="1"/>
  <c r="A7840" i="1"/>
  <c r="B7840" i="1"/>
  <c r="C7840" i="1"/>
  <c r="D7840" i="1"/>
  <c r="E7840" i="1"/>
  <c r="F7840" i="1"/>
  <c r="H7840" i="1"/>
  <c r="A7841" i="1"/>
  <c r="B7841" i="1"/>
  <c r="C7841" i="1"/>
  <c r="D7841" i="1"/>
  <c r="E7841" i="1"/>
  <c r="F7841" i="1"/>
  <c r="H7841" i="1"/>
  <c r="A7842" i="1"/>
  <c r="B7842" i="1"/>
  <c r="C7842" i="1"/>
  <c r="D7842" i="1"/>
  <c r="E7842" i="1"/>
  <c r="F7842" i="1"/>
  <c r="H7842" i="1"/>
  <c r="A7843" i="1"/>
  <c r="B7843" i="1"/>
  <c r="C7843" i="1"/>
  <c r="D7843" i="1"/>
  <c r="E7843" i="1"/>
  <c r="F7843" i="1"/>
  <c r="H7843" i="1"/>
  <c r="A7844" i="1"/>
  <c r="B7844" i="1"/>
  <c r="C7844" i="1"/>
  <c r="D7844" i="1"/>
  <c r="E7844" i="1"/>
  <c r="F7844" i="1"/>
  <c r="H7844" i="1"/>
  <c r="A7845" i="1"/>
  <c r="B7845" i="1"/>
  <c r="C7845" i="1"/>
  <c r="D7845" i="1"/>
  <c r="E7845" i="1"/>
  <c r="F7845" i="1"/>
  <c r="H7845" i="1"/>
  <c r="A7846" i="1"/>
  <c r="B7846" i="1"/>
  <c r="C7846" i="1"/>
  <c r="D7846" i="1"/>
  <c r="E7846" i="1"/>
  <c r="F7846" i="1"/>
  <c r="H7846" i="1"/>
  <c r="A7847" i="1"/>
  <c r="B7847" i="1"/>
  <c r="C7847" i="1"/>
  <c r="D7847" i="1"/>
  <c r="E7847" i="1"/>
  <c r="F7847" i="1"/>
  <c r="H7847" i="1"/>
  <c r="A7848" i="1"/>
  <c r="B7848" i="1"/>
  <c r="C7848" i="1"/>
  <c r="D7848" i="1"/>
  <c r="E7848" i="1"/>
  <c r="F7848" i="1"/>
  <c r="H7848" i="1"/>
  <c r="A7849" i="1"/>
  <c r="B7849" i="1"/>
  <c r="C7849" i="1"/>
  <c r="D7849" i="1"/>
  <c r="E7849" i="1"/>
  <c r="F7849" i="1"/>
  <c r="H7849" i="1"/>
  <c r="A7850" i="1"/>
  <c r="B7850" i="1"/>
  <c r="C7850" i="1"/>
  <c r="D7850" i="1"/>
  <c r="E7850" i="1"/>
  <c r="F7850" i="1"/>
  <c r="H7850" i="1"/>
  <c r="A7851" i="1"/>
  <c r="B7851" i="1"/>
  <c r="C7851" i="1"/>
  <c r="D7851" i="1"/>
  <c r="E7851" i="1"/>
  <c r="F7851" i="1"/>
  <c r="H7851" i="1"/>
  <c r="A7852" i="1"/>
  <c r="B7852" i="1"/>
  <c r="C7852" i="1"/>
  <c r="D7852" i="1"/>
  <c r="E7852" i="1"/>
  <c r="F7852" i="1"/>
  <c r="H7852" i="1"/>
  <c r="A7853" i="1"/>
  <c r="B7853" i="1"/>
  <c r="C7853" i="1"/>
  <c r="D7853" i="1"/>
  <c r="E7853" i="1"/>
  <c r="F7853" i="1"/>
  <c r="H7853" i="1"/>
  <c r="A7854" i="1"/>
  <c r="B7854" i="1"/>
  <c r="C7854" i="1"/>
  <c r="D7854" i="1"/>
  <c r="E7854" i="1"/>
  <c r="F7854" i="1"/>
  <c r="H7854" i="1"/>
  <c r="A7855" i="1"/>
  <c r="B7855" i="1"/>
  <c r="C7855" i="1"/>
  <c r="D7855" i="1"/>
  <c r="E7855" i="1"/>
  <c r="F7855" i="1"/>
  <c r="H7855" i="1"/>
  <c r="A7856" i="1"/>
  <c r="B7856" i="1"/>
  <c r="C7856" i="1"/>
  <c r="D7856" i="1"/>
  <c r="E7856" i="1"/>
  <c r="F7856" i="1"/>
  <c r="H7856" i="1"/>
  <c r="A7857" i="1"/>
  <c r="B7857" i="1"/>
  <c r="C7857" i="1"/>
  <c r="D7857" i="1"/>
  <c r="E7857" i="1"/>
  <c r="F7857" i="1"/>
  <c r="H7857" i="1"/>
  <c r="A7858" i="1"/>
  <c r="B7858" i="1"/>
  <c r="C7858" i="1"/>
  <c r="D7858" i="1"/>
  <c r="E7858" i="1"/>
  <c r="F7858" i="1"/>
  <c r="H7858" i="1"/>
  <c r="A7859" i="1"/>
  <c r="B7859" i="1"/>
  <c r="C7859" i="1"/>
  <c r="D7859" i="1"/>
  <c r="E7859" i="1"/>
  <c r="F7859" i="1"/>
  <c r="H7859" i="1"/>
  <c r="A7860" i="1"/>
  <c r="B7860" i="1"/>
  <c r="C7860" i="1"/>
  <c r="D7860" i="1"/>
  <c r="E7860" i="1"/>
  <c r="F7860" i="1"/>
  <c r="H7860" i="1"/>
  <c r="A7861" i="1"/>
  <c r="B7861" i="1"/>
  <c r="C7861" i="1"/>
  <c r="D7861" i="1"/>
  <c r="E7861" i="1"/>
  <c r="F7861" i="1"/>
  <c r="H7861" i="1"/>
  <c r="A7862" i="1"/>
  <c r="B7862" i="1"/>
  <c r="C7862" i="1"/>
  <c r="D7862" i="1"/>
  <c r="E7862" i="1"/>
  <c r="F7862" i="1"/>
  <c r="H7862" i="1"/>
  <c r="A7863" i="1"/>
  <c r="B7863" i="1"/>
  <c r="C7863" i="1"/>
  <c r="D7863" i="1"/>
  <c r="E7863" i="1"/>
  <c r="F7863" i="1"/>
  <c r="H7863" i="1"/>
  <c r="A7864" i="1"/>
  <c r="B7864" i="1"/>
  <c r="C7864" i="1"/>
  <c r="D7864" i="1"/>
  <c r="E7864" i="1"/>
  <c r="F7864" i="1"/>
  <c r="H7864" i="1"/>
  <c r="A7865" i="1"/>
  <c r="B7865" i="1"/>
  <c r="C7865" i="1"/>
  <c r="D7865" i="1"/>
  <c r="E7865" i="1"/>
  <c r="F7865" i="1"/>
  <c r="H7865" i="1"/>
  <c r="A7866" i="1"/>
  <c r="B7866" i="1"/>
  <c r="C7866" i="1"/>
  <c r="D7866" i="1"/>
  <c r="E7866" i="1"/>
  <c r="F7866" i="1"/>
  <c r="H7866" i="1"/>
  <c r="A7867" i="1"/>
  <c r="B7867" i="1"/>
  <c r="C7867" i="1"/>
  <c r="D7867" i="1"/>
  <c r="E7867" i="1"/>
  <c r="F7867" i="1"/>
  <c r="H7867" i="1"/>
  <c r="A7868" i="1"/>
  <c r="B7868" i="1"/>
  <c r="C7868" i="1"/>
  <c r="D7868" i="1"/>
  <c r="E7868" i="1"/>
  <c r="F7868" i="1"/>
  <c r="H7868" i="1"/>
  <c r="A7869" i="1"/>
  <c r="B7869" i="1"/>
  <c r="C7869" i="1"/>
  <c r="D7869" i="1"/>
  <c r="E7869" i="1"/>
  <c r="F7869" i="1"/>
  <c r="H7869" i="1"/>
  <c r="A7870" i="1"/>
  <c r="B7870" i="1"/>
  <c r="C7870" i="1"/>
  <c r="D7870" i="1"/>
  <c r="E7870" i="1"/>
  <c r="F7870" i="1"/>
  <c r="H7870" i="1"/>
  <c r="A7871" i="1"/>
  <c r="B7871" i="1"/>
  <c r="C7871" i="1"/>
  <c r="D7871" i="1"/>
  <c r="E7871" i="1"/>
  <c r="F7871" i="1"/>
  <c r="H7871" i="1"/>
  <c r="A7872" i="1"/>
  <c r="B7872" i="1"/>
  <c r="C7872" i="1"/>
  <c r="D7872" i="1"/>
  <c r="E7872" i="1"/>
  <c r="F7872" i="1"/>
  <c r="H7872" i="1"/>
  <c r="A7873" i="1"/>
  <c r="B7873" i="1"/>
  <c r="C7873" i="1"/>
  <c r="D7873" i="1"/>
  <c r="E7873" i="1"/>
  <c r="F7873" i="1"/>
  <c r="H7873" i="1"/>
  <c r="A7874" i="1"/>
  <c r="B7874" i="1"/>
  <c r="C7874" i="1"/>
  <c r="D7874" i="1"/>
  <c r="E7874" i="1"/>
  <c r="F7874" i="1"/>
  <c r="H7874" i="1"/>
  <c r="A7875" i="1"/>
  <c r="B7875" i="1"/>
  <c r="C7875" i="1"/>
  <c r="D7875" i="1"/>
  <c r="E7875" i="1"/>
  <c r="F7875" i="1"/>
  <c r="H7875" i="1"/>
  <c r="A7876" i="1"/>
  <c r="B7876" i="1"/>
  <c r="C7876" i="1"/>
  <c r="D7876" i="1"/>
  <c r="E7876" i="1"/>
  <c r="F7876" i="1"/>
  <c r="H7876" i="1"/>
  <c r="A7877" i="1"/>
  <c r="B7877" i="1"/>
  <c r="C7877" i="1"/>
  <c r="D7877" i="1"/>
  <c r="E7877" i="1"/>
  <c r="F7877" i="1"/>
  <c r="H7877" i="1"/>
  <c r="A7878" i="1"/>
  <c r="B7878" i="1"/>
  <c r="C7878" i="1"/>
  <c r="D7878" i="1"/>
  <c r="E7878" i="1"/>
  <c r="F7878" i="1"/>
  <c r="H7878" i="1"/>
  <c r="A7879" i="1"/>
  <c r="B7879" i="1"/>
  <c r="C7879" i="1"/>
  <c r="D7879" i="1"/>
  <c r="E7879" i="1"/>
  <c r="F7879" i="1"/>
  <c r="H7879" i="1"/>
  <c r="A7880" i="1"/>
  <c r="B7880" i="1"/>
  <c r="C7880" i="1"/>
  <c r="D7880" i="1"/>
  <c r="E7880" i="1"/>
  <c r="F7880" i="1"/>
  <c r="H7880" i="1"/>
  <c r="A7881" i="1"/>
  <c r="B7881" i="1"/>
  <c r="C7881" i="1"/>
  <c r="D7881" i="1"/>
  <c r="E7881" i="1"/>
  <c r="F7881" i="1"/>
  <c r="H7881" i="1"/>
  <c r="A7882" i="1"/>
  <c r="B7882" i="1"/>
  <c r="C7882" i="1"/>
  <c r="D7882" i="1"/>
  <c r="E7882" i="1"/>
  <c r="F7882" i="1"/>
  <c r="H7882" i="1"/>
  <c r="A7883" i="1"/>
  <c r="B7883" i="1"/>
  <c r="C7883" i="1"/>
  <c r="D7883" i="1"/>
  <c r="E7883" i="1"/>
  <c r="F7883" i="1"/>
  <c r="H7883" i="1"/>
  <c r="A7884" i="1"/>
  <c r="B7884" i="1"/>
  <c r="C7884" i="1"/>
  <c r="D7884" i="1"/>
  <c r="E7884" i="1"/>
  <c r="F7884" i="1"/>
  <c r="H7884" i="1"/>
  <c r="A7885" i="1"/>
  <c r="B7885" i="1"/>
  <c r="C7885" i="1"/>
  <c r="D7885" i="1"/>
  <c r="E7885" i="1"/>
  <c r="F7885" i="1"/>
  <c r="H7885" i="1"/>
  <c r="A7886" i="1"/>
  <c r="B7886" i="1"/>
  <c r="C7886" i="1"/>
  <c r="D7886" i="1"/>
  <c r="E7886" i="1"/>
  <c r="F7886" i="1"/>
  <c r="H7886" i="1"/>
  <c r="A7887" i="1"/>
  <c r="B7887" i="1"/>
  <c r="C7887" i="1"/>
  <c r="D7887" i="1"/>
  <c r="E7887" i="1"/>
  <c r="F7887" i="1"/>
  <c r="H7887" i="1"/>
  <c r="A7888" i="1"/>
  <c r="B7888" i="1"/>
  <c r="C7888" i="1"/>
  <c r="D7888" i="1"/>
  <c r="E7888" i="1"/>
  <c r="F7888" i="1"/>
  <c r="H7888" i="1"/>
  <c r="A7889" i="1"/>
  <c r="B7889" i="1"/>
  <c r="C7889" i="1"/>
  <c r="D7889" i="1"/>
  <c r="E7889" i="1"/>
  <c r="F7889" i="1"/>
  <c r="H7889" i="1"/>
  <c r="A7890" i="1"/>
  <c r="B7890" i="1"/>
  <c r="C7890" i="1"/>
  <c r="D7890" i="1"/>
  <c r="E7890" i="1"/>
  <c r="F7890" i="1"/>
  <c r="H7890" i="1"/>
  <c r="A7891" i="1"/>
  <c r="B7891" i="1"/>
  <c r="C7891" i="1"/>
  <c r="D7891" i="1"/>
  <c r="E7891" i="1"/>
  <c r="F7891" i="1"/>
  <c r="H7891" i="1"/>
  <c r="A7892" i="1"/>
  <c r="B7892" i="1"/>
  <c r="C7892" i="1"/>
  <c r="D7892" i="1"/>
  <c r="E7892" i="1"/>
  <c r="F7892" i="1"/>
  <c r="H7892" i="1"/>
  <c r="A7893" i="1"/>
  <c r="B7893" i="1"/>
  <c r="C7893" i="1"/>
  <c r="D7893" i="1"/>
  <c r="E7893" i="1"/>
  <c r="F7893" i="1"/>
  <c r="H7893" i="1"/>
  <c r="A7894" i="1"/>
  <c r="B7894" i="1"/>
  <c r="C7894" i="1"/>
  <c r="D7894" i="1"/>
  <c r="E7894" i="1"/>
  <c r="F7894" i="1"/>
  <c r="H7894" i="1"/>
  <c r="A7895" i="1"/>
  <c r="B7895" i="1"/>
  <c r="C7895" i="1"/>
  <c r="D7895" i="1"/>
  <c r="E7895" i="1"/>
  <c r="F7895" i="1"/>
  <c r="H7895" i="1"/>
  <c r="A7896" i="1"/>
  <c r="B7896" i="1"/>
  <c r="C7896" i="1"/>
  <c r="D7896" i="1"/>
  <c r="E7896" i="1"/>
  <c r="F7896" i="1"/>
  <c r="H7896" i="1"/>
  <c r="A7897" i="1"/>
  <c r="B7897" i="1"/>
  <c r="C7897" i="1"/>
  <c r="D7897" i="1"/>
  <c r="E7897" i="1"/>
  <c r="F7897" i="1"/>
  <c r="H7897" i="1"/>
  <c r="A7898" i="1"/>
  <c r="B7898" i="1"/>
  <c r="C7898" i="1"/>
  <c r="D7898" i="1"/>
  <c r="E7898" i="1"/>
  <c r="F7898" i="1"/>
  <c r="H7898" i="1"/>
  <c r="A7899" i="1"/>
  <c r="B7899" i="1"/>
  <c r="C7899" i="1"/>
  <c r="D7899" i="1"/>
  <c r="E7899" i="1"/>
  <c r="F7899" i="1"/>
  <c r="H7899" i="1"/>
  <c r="A7900" i="1"/>
  <c r="B7900" i="1"/>
  <c r="C7900" i="1"/>
  <c r="D7900" i="1"/>
  <c r="E7900" i="1"/>
  <c r="F7900" i="1"/>
  <c r="H7900" i="1"/>
  <c r="A7901" i="1"/>
  <c r="B7901" i="1"/>
  <c r="C7901" i="1"/>
  <c r="D7901" i="1"/>
  <c r="E7901" i="1"/>
  <c r="F7901" i="1"/>
  <c r="H7901" i="1"/>
  <c r="A7902" i="1"/>
  <c r="B7902" i="1"/>
  <c r="C7902" i="1"/>
  <c r="D7902" i="1"/>
  <c r="E7902" i="1"/>
  <c r="F7902" i="1"/>
  <c r="H7902" i="1"/>
  <c r="A7903" i="1"/>
  <c r="B7903" i="1"/>
  <c r="C7903" i="1"/>
  <c r="D7903" i="1"/>
  <c r="E7903" i="1"/>
  <c r="F7903" i="1"/>
  <c r="H7903" i="1"/>
  <c r="A7904" i="1"/>
  <c r="B7904" i="1"/>
  <c r="C7904" i="1"/>
  <c r="D7904" i="1"/>
  <c r="E7904" i="1"/>
  <c r="F7904" i="1"/>
  <c r="H7904" i="1"/>
  <c r="A7905" i="1"/>
  <c r="B7905" i="1"/>
  <c r="C7905" i="1"/>
  <c r="D7905" i="1"/>
  <c r="E7905" i="1"/>
  <c r="F7905" i="1"/>
  <c r="H7905" i="1"/>
  <c r="A7906" i="1"/>
  <c r="B7906" i="1"/>
  <c r="C7906" i="1"/>
  <c r="D7906" i="1"/>
  <c r="E7906" i="1"/>
  <c r="F7906" i="1"/>
  <c r="H7906" i="1"/>
  <c r="A7907" i="1"/>
  <c r="B7907" i="1"/>
  <c r="C7907" i="1"/>
  <c r="D7907" i="1"/>
  <c r="E7907" i="1"/>
  <c r="F7907" i="1"/>
  <c r="H7907" i="1"/>
  <c r="A7908" i="1"/>
  <c r="B7908" i="1"/>
  <c r="C7908" i="1"/>
  <c r="D7908" i="1"/>
  <c r="E7908" i="1"/>
  <c r="F7908" i="1"/>
  <c r="H7908" i="1"/>
  <c r="A7909" i="1"/>
  <c r="B7909" i="1"/>
  <c r="C7909" i="1"/>
  <c r="D7909" i="1"/>
  <c r="E7909" i="1"/>
  <c r="F7909" i="1"/>
  <c r="H7909" i="1"/>
  <c r="A7910" i="1"/>
  <c r="B7910" i="1"/>
  <c r="C7910" i="1"/>
  <c r="D7910" i="1"/>
  <c r="E7910" i="1"/>
  <c r="F7910" i="1"/>
  <c r="H7910" i="1"/>
  <c r="A7911" i="1"/>
  <c r="B7911" i="1"/>
  <c r="C7911" i="1"/>
  <c r="D7911" i="1"/>
  <c r="E7911" i="1"/>
  <c r="F7911" i="1"/>
  <c r="H7911" i="1"/>
  <c r="A7912" i="1"/>
  <c r="B7912" i="1"/>
  <c r="C7912" i="1"/>
  <c r="D7912" i="1"/>
  <c r="E7912" i="1"/>
  <c r="F7912" i="1"/>
  <c r="H7912" i="1"/>
  <c r="A7913" i="1"/>
  <c r="B7913" i="1"/>
  <c r="C7913" i="1"/>
  <c r="D7913" i="1"/>
  <c r="E7913" i="1"/>
  <c r="F7913" i="1"/>
  <c r="H7913" i="1"/>
  <c r="A7914" i="1"/>
  <c r="B7914" i="1"/>
  <c r="C7914" i="1"/>
  <c r="D7914" i="1"/>
  <c r="E7914" i="1"/>
  <c r="F7914" i="1"/>
  <c r="H7914" i="1"/>
  <c r="A7915" i="1"/>
  <c r="B7915" i="1"/>
  <c r="C7915" i="1"/>
  <c r="D7915" i="1"/>
  <c r="E7915" i="1"/>
  <c r="F7915" i="1"/>
  <c r="H7915" i="1"/>
  <c r="A7916" i="1"/>
  <c r="B7916" i="1"/>
  <c r="C7916" i="1"/>
  <c r="D7916" i="1"/>
  <c r="E7916" i="1"/>
  <c r="F7916" i="1"/>
  <c r="H7916" i="1"/>
  <c r="A7917" i="1"/>
  <c r="B7917" i="1"/>
  <c r="C7917" i="1"/>
  <c r="D7917" i="1"/>
  <c r="E7917" i="1"/>
  <c r="F7917" i="1"/>
  <c r="H7917" i="1"/>
  <c r="A7918" i="1"/>
  <c r="B7918" i="1"/>
  <c r="C7918" i="1"/>
  <c r="D7918" i="1"/>
  <c r="E7918" i="1"/>
  <c r="F7918" i="1"/>
  <c r="H7918" i="1"/>
  <c r="A7919" i="1"/>
  <c r="B7919" i="1"/>
  <c r="C7919" i="1"/>
  <c r="D7919" i="1"/>
  <c r="E7919" i="1"/>
  <c r="F7919" i="1"/>
  <c r="H7919" i="1"/>
  <c r="A7920" i="1"/>
  <c r="B7920" i="1"/>
  <c r="C7920" i="1"/>
  <c r="D7920" i="1"/>
  <c r="E7920" i="1"/>
  <c r="F7920" i="1"/>
  <c r="H7920" i="1"/>
  <c r="A7921" i="1"/>
  <c r="B7921" i="1"/>
  <c r="C7921" i="1"/>
  <c r="D7921" i="1"/>
  <c r="E7921" i="1"/>
  <c r="F7921" i="1"/>
  <c r="H7921" i="1"/>
  <c r="A7922" i="1"/>
  <c r="B7922" i="1"/>
  <c r="C7922" i="1"/>
  <c r="D7922" i="1"/>
  <c r="E7922" i="1"/>
  <c r="F7922" i="1"/>
  <c r="H7922" i="1"/>
  <c r="A7923" i="1"/>
  <c r="B7923" i="1"/>
  <c r="C7923" i="1"/>
  <c r="D7923" i="1"/>
  <c r="E7923" i="1"/>
  <c r="F7923" i="1"/>
  <c r="H7923" i="1"/>
  <c r="A7924" i="1"/>
  <c r="B7924" i="1"/>
  <c r="C7924" i="1"/>
  <c r="D7924" i="1"/>
  <c r="E7924" i="1"/>
  <c r="F7924" i="1"/>
  <c r="H7924" i="1"/>
  <c r="A7925" i="1"/>
  <c r="B7925" i="1"/>
  <c r="C7925" i="1"/>
  <c r="D7925" i="1"/>
  <c r="E7925" i="1"/>
  <c r="F7925" i="1"/>
  <c r="H7925" i="1"/>
  <c r="A7926" i="1"/>
  <c r="B7926" i="1"/>
  <c r="C7926" i="1"/>
  <c r="D7926" i="1"/>
  <c r="E7926" i="1"/>
  <c r="F7926" i="1"/>
  <c r="H7926" i="1"/>
  <c r="A7927" i="1"/>
  <c r="B7927" i="1"/>
  <c r="C7927" i="1"/>
  <c r="D7927" i="1"/>
  <c r="E7927" i="1"/>
  <c r="F7927" i="1"/>
  <c r="H7927" i="1"/>
  <c r="A7928" i="1"/>
  <c r="B7928" i="1"/>
  <c r="C7928" i="1"/>
  <c r="D7928" i="1"/>
  <c r="E7928" i="1"/>
  <c r="F7928" i="1"/>
  <c r="H7928" i="1"/>
  <c r="A7929" i="1"/>
  <c r="B7929" i="1"/>
  <c r="C7929" i="1"/>
  <c r="D7929" i="1"/>
  <c r="E7929" i="1"/>
  <c r="F7929" i="1"/>
  <c r="H7929" i="1"/>
  <c r="A7930" i="1"/>
  <c r="B7930" i="1"/>
  <c r="C7930" i="1"/>
  <c r="D7930" i="1"/>
  <c r="E7930" i="1"/>
  <c r="F7930" i="1"/>
  <c r="H7930" i="1"/>
  <c r="A7931" i="1"/>
  <c r="B7931" i="1"/>
  <c r="C7931" i="1"/>
  <c r="D7931" i="1"/>
  <c r="E7931" i="1"/>
  <c r="F7931" i="1"/>
  <c r="H7931" i="1"/>
  <c r="A7932" i="1"/>
  <c r="B7932" i="1"/>
  <c r="C7932" i="1"/>
  <c r="D7932" i="1"/>
  <c r="E7932" i="1"/>
  <c r="F7932" i="1"/>
  <c r="H7932" i="1"/>
  <c r="A7933" i="1"/>
  <c r="B7933" i="1"/>
  <c r="C7933" i="1"/>
  <c r="D7933" i="1"/>
  <c r="E7933" i="1"/>
  <c r="F7933" i="1"/>
  <c r="H7933" i="1"/>
  <c r="A7934" i="1"/>
  <c r="B7934" i="1"/>
  <c r="C7934" i="1"/>
  <c r="D7934" i="1"/>
  <c r="E7934" i="1"/>
  <c r="F7934" i="1"/>
  <c r="H7934" i="1"/>
  <c r="A7935" i="1"/>
  <c r="B7935" i="1"/>
  <c r="C7935" i="1"/>
  <c r="D7935" i="1"/>
  <c r="E7935" i="1"/>
  <c r="F7935" i="1"/>
  <c r="H7935" i="1"/>
  <c r="A7936" i="1"/>
  <c r="B7936" i="1"/>
  <c r="C7936" i="1"/>
  <c r="D7936" i="1"/>
  <c r="E7936" i="1"/>
  <c r="F7936" i="1"/>
  <c r="H7936" i="1"/>
  <c r="A7937" i="1"/>
  <c r="B7937" i="1"/>
  <c r="C7937" i="1"/>
  <c r="D7937" i="1"/>
  <c r="E7937" i="1"/>
  <c r="F7937" i="1"/>
  <c r="H7937" i="1"/>
  <c r="A7938" i="1"/>
  <c r="B7938" i="1"/>
  <c r="C7938" i="1"/>
  <c r="D7938" i="1"/>
  <c r="E7938" i="1"/>
  <c r="F7938" i="1"/>
  <c r="H7938" i="1"/>
  <c r="A7939" i="1"/>
  <c r="B7939" i="1"/>
  <c r="C7939" i="1"/>
  <c r="D7939" i="1"/>
  <c r="E7939" i="1"/>
  <c r="F7939" i="1"/>
  <c r="H7939" i="1"/>
  <c r="A7940" i="1"/>
  <c r="B7940" i="1"/>
  <c r="C7940" i="1"/>
  <c r="D7940" i="1"/>
  <c r="E7940" i="1"/>
  <c r="F7940" i="1"/>
  <c r="H7940" i="1"/>
  <c r="A7941" i="1"/>
  <c r="B7941" i="1"/>
  <c r="C7941" i="1"/>
  <c r="D7941" i="1"/>
  <c r="E7941" i="1"/>
  <c r="F7941" i="1"/>
  <c r="H7941" i="1"/>
  <c r="A7942" i="1"/>
  <c r="B7942" i="1"/>
  <c r="C7942" i="1"/>
  <c r="D7942" i="1"/>
  <c r="E7942" i="1"/>
  <c r="F7942" i="1"/>
  <c r="H7942" i="1"/>
  <c r="A7943" i="1"/>
  <c r="B7943" i="1"/>
  <c r="C7943" i="1"/>
  <c r="D7943" i="1"/>
  <c r="E7943" i="1"/>
  <c r="F7943" i="1"/>
  <c r="H7943" i="1"/>
  <c r="A7944" i="1"/>
  <c r="B7944" i="1"/>
  <c r="C7944" i="1"/>
  <c r="D7944" i="1"/>
  <c r="E7944" i="1"/>
  <c r="F7944" i="1"/>
  <c r="H7944" i="1"/>
  <c r="A7945" i="1"/>
  <c r="B7945" i="1"/>
  <c r="C7945" i="1"/>
  <c r="D7945" i="1"/>
  <c r="E7945" i="1"/>
  <c r="F7945" i="1"/>
  <c r="H7945" i="1"/>
  <c r="A7946" i="1"/>
  <c r="B7946" i="1"/>
  <c r="C7946" i="1"/>
  <c r="D7946" i="1"/>
  <c r="E7946" i="1"/>
  <c r="F7946" i="1"/>
  <c r="H7946" i="1"/>
  <c r="A7947" i="1"/>
  <c r="B7947" i="1"/>
  <c r="C7947" i="1"/>
  <c r="D7947" i="1"/>
  <c r="E7947" i="1"/>
  <c r="F7947" i="1"/>
  <c r="H7947" i="1"/>
  <c r="A7948" i="1"/>
  <c r="B7948" i="1"/>
  <c r="C7948" i="1"/>
  <c r="D7948" i="1"/>
  <c r="E7948" i="1"/>
  <c r="F7948" i="1"/>
  <c r="H7948" i="1"/>
  <c r="A7949" i="1"/>
  <c r="B7949" i="1"/>
  <c r="C7949" i="1"/>
  <c r="D7949" i="1"/>
  <c r="E7949" i="1"/>
  <c r="F7949" i="1"/>
  <c r="H7949" i="1"/>
  <c r="A7950" i="1"/>
  <c r="B7950" i="1"/>
  <c r="C7950" i="1"/>
  <c r="D7950" i="1"/>
  <c r="E7950" i="1"/>
  <c r="F7950" i="1"/>
  <c r="H7950" i="1"/>
  <c r="A7951" i="1"/>
  <c r="B7951" i="1"/>
  <c r="C7951" i="1"/>
  <c r="D7951" i="1"/>
  <c r="E7951" i="1"/>
  <c r="F7951" i="1"/>
  <c r="H7951" i="1"/>
  <c r="A7952" i="1"/>
  <c r="B7952" i="1"/>
  <c r="C7952" i="1"/>
  <c r="D7952" i="1"/>
  <c r="E7952" i="1"/>
  <c r="F7952" i="1"/>
  <c r="H7952" i="1"/>
  <c r="A7953" i="1"/>
  <c r="B7953" i="1"/>
  <c r="C7953" i="1"/>
  <c r="D7953" i="1"/>
  <c r="E7953" i="1"/>
  <c r="F7953" i="1"/>
  <c r="H7953" i="1"/>
  <c r="A7954" i="1"/>
  <c r="B7954" i="1"/>
  <c r="C7954" i="1"/>
  <c r="D7954" i="1"/>
  <c r="E7954" i="1"/>
  <c r="F7954" i="1"/>
  <c r="H7954" i="1"/>
  <c r="A7955" i="1"/>
  <c r="B7955" i="1"/>
  <c r="C7955" i="1"/>
  <c r="D7955" i="1"/>
  <c r="E7955" i="1"/>
  <c r="F7955" i="1"/>
  <c r="H7955" i="1"/>
  <c r="A7956" i="1"/>
  <c r="B7956" i="1"/>
  <c r="C7956" i="1"/>
  <c r="D7956" i="1"/>
  <c r="E7956" i="1"/>
  <c r="F7956" i="1"/>
  <c r="H7956" i="1"/>
  <c r="A7957" i="1"/>
  <c r="B7957" i="1"/>
  <c r="C7957" i="1"/>
  <c r="D7957" i="1"/>
  <c r="E7957" i="1"/>
  <c r="F7957" i="1"/>
  <c r="H7957" i="1"/>
  <c r="A7958" i="1"/>
  <c r="B7958" i="1"/>
  <c r="C7958" i="1"/>
  <c r="D7958" i="1"/>
  <c r="E7958" i="1"/>
  <c r="F7958" i="1"/>
  <c r="H7958" i="1"/>
  <c r="A7959" i="1"/>
  <c r="B7959" i="1"/>
  <c r="C7959" i="1"/>
  <c r="D7959" i="1"/>
  <c r="E7959" i="1"/>
  <c r="F7959" i="1"/>
  <c r="H7959" i="1"/>
  <c r="A7960" i="1"/>
  <c r="B7960" i="1"/>
  <c r="C7960" i="1"/>
  <c r="D7960" i="1"/>
  <c r="E7960" i="1"/>
  <c r="F7960" i="1"/>
  <c r="H7960" i="1"/>
  <c r="A7961" i="1"/>
  <c r="B7961" i="1"/>
  <c r="C7961" i="1"/>
  <c r="D7961" i="1"/>
  <c r="E7961" i="1"/>
  <c r="F7961" i="1"/>
  <c r="H7961" i="1"/>
  <c r="A7962" i="1"/>
  <c r="B7962" i="1"/>
  <c r="C7962" i="1"/>
  <c r="D7962" i="1"/>
  <c r="E7962" i="1"/>
  <c r="F7962" i="1"/>
  <c r="H7962" i="1"/>
  <c r="A7963" i="1"/>
  <c r="B7963" i="1"/>
  <c r="C7963" i="1"/>
  <c r="D7963" i="1"/>
  <c r="E7963" i="1"/>
  <c r="F7963" i="1"/>
  <c r="H7963" i="1"/>
  <c r="A7964" i="1"/>
  <c r="B7964" i="1"/>
  <c r="C7964" i="1"/>
  <c r="D7964" i="1"/>
  <c r="E7964" i="1"/>
  <c r="F7964" i="1"/>
  <c r="H7964" i="1"/>
  <c r="A7965" i="1"/>
  <c r="B7965" i="1"/>
  <c r="C7965" i="1"/>
  <c r="D7965" i="1"/>
  <c r="E7965" i="1"/>
  <c r="F7965" i="1"/>
  <c r="H7965" i="1"/>
  <c r="A7966" i="1"/>
  <c r="B7966" i="1"/>
  <c r="C7966" i="1"/>
  <c r="D7966" i="1"/>
  <c r="E7966" i="1"/>
  <c r="F7966" i="1"/>
  <c r="H7966" i="1"/>
  <c r="A7967" i="1"/>
  <c r="B7967" i="1"/>
  <c r="C7967" i="1"/>
  <c r="D7967" i="1"/>
  <c r="E7967" i="1"/>
  <c r="F7967" i="1"/>
  <c r="H7967" i="1"/>
  <c r="A7968" i="1"/>
  <c r="B7968" i="1"/>
  <c r="C7968" i="1"/>
  <c r="D7968" i="1"/>
  <c r="E7968" i="1"/>
  <c r="F7968" i="1"/>
  <c r="H7968" i="1"/>
  <c r="A7969" i="1"/>
  <c r="B7969" i="1"/>
  <c r="C7969" i="1"/>
  <c r="D7969" i="1"/>
  <c r="E7969" i="1"/>
  <c r="F7969" i="1"/>
  <c r="H7969" i="1"/>
  <c r="A7970" i="1"/>
  <c r="B7970" i="1"/>
  <c r="C7970" i="1"/>
  <c r="D7970" i="1"/>
  <c r="E7970" i="1"/>
  <c r="F7970" i="1"/>
  <c r="H7970" i="1"/>
  <c r="A7971" i="1"/>
  <c r="B7971" i="1"/>
  <c r="C7971" i="1"/>
  <c r="D7971" i="1"/>
  <c r="E7971" i="1"/>
  <c r="F7971" i="1"/>
  <c r="H7971" i="1"/>
  <c r="A7972" i="1"/>
  <c r="B7972" i="1"/>
  <c r="C7972" i="1"/>
  <c r="D7972" i="1"/>
  <c r="E7972" i="1"/>
  <c r="F7972" i="1"/>
  <c r="H7972" i="1"/>
  <c r="A7973" i="1"/>
  <c r="B7973" i="1"/>
  <c r="C7973" i="1"/>
  <c r="D7973" i="1"/>
  <c r="E7973" i="1"/>
  <c r="F7973" i="1"/>
  <c r="H7973" i="1"/>
  <c r="A7974" i="1"/>
  <c r="B7974" i="1"/>
  <c r="C7974" i="1"/>
  <c r="D7974" i="1"/>
  <c r="E7974" i="1"/>
  <c r="F7974" i="1"/>
  <c r="H7974" i="1"/>
  <c r="A7975" i="1"/>
  <c r="B7975" i="1"/>
  <c r="C7975" i="1"/>
  <c r="D7975" i="1"/>
  <c r="E7975" i="1"/>
  <c r="F7975" i="1"/>
  <c r="H7975" i="1"/>
  <c r="A7976" i="1"/>
  <c r="B7976" i="1"/>
  <c r="C7976" i="1"/>
  <c r="D7976" i="1"/>
  <c r="E7976" i="1"/>
  <c r="F7976" i="1"/>
  <c r="H7976" i="1"/>
  <c r="A7977" i="1"/>
  <c r="B7977" i="1"/>
  <c r="C7977" i="1"/>
  <c r="D7977" i="1"/>
  <c r="E7977" i="1"/>
  <c r="F7977" i="1"/>
  <c r="H7977" i="1"/>
  <c r="A7978" i="1"/>
  <c r="B7978" i="1"/>
  <c r="C7978" i="1"/>
  <c r="D7978" i="1"/>
  <c r="E7978" i="1"/>
  <c r="F7978" i="1"/>
  <c r="H7978" i="1"/>
  <c r="A7979" i="1"/>
  <c r="B7979" i="1"/>
  <c r="C7979" i="1"/>
  <c r="D7979" i="1"/>
  <c r="E7979" i="1"/>
  <c r="F7979" i="1"/>
  <c r="H7979" i="1"/>
  <c r="A7980" i="1"/>
  <c r="B7980" i="1"/>
  <c r="C7980" i="1"/>
  <c r="D7980" i="1"/>
  <c r="E7980" i="1"/>
  <c r="F7980" i="1"/>
  <c r="H7980" i="1"/>
  <c r="A7981" i="1"/>
  <c r="B7981" i="1"/>
  <c r="C7981" i="1"/>
  <c r="D7981" i="1"/>
  <c r="E7981" i="1"/>
  <c r="F7981" i="1"/>
  <c r="H7981" i="1"/>
  <c r="A7982" i="1"/>
  <c r="B7982" i="1"/>
  <c r="C7982" i="1"/>
  <c r="D7982" i="1"/>
  <c r="E7982" i="1"/>
  <c r="F7982" i="1"/>
  <c r="H7982" i="1"/>
  <c r="A7983" i="1"/>
  <c r="B7983" i="1"/>
  <c r="C7983" i="1"/>
  <c r="D7983" i="1"/>
  <c r="E7983" i="1"/>
  <c r="F7983" i="1"/>
  <c r="H7983" i="1"/>
  <c r="A7984" i="1"/>
  <c r="B7984" i="1"/>
  <c r="C7984" i="1"/>
  <c r="D7984" i="1"/>
  <c r="E7984" i="1"/>
  <c r="F7984" i="1"/>
  <c r="H7984" i="1"/>
  <c r="A7985" i="1"/>
  <c r="B7985" i="1"/>
  <c r="C7985" i="1"/>
  <c r="D7985" i="1"/>
  <c r="E7985" i="1"/>
  <c r="F7985" i="1"/>
  <c r="H7985" i="1"/>
  <c r="A7986" i="1"/>
  <c r="B7986" i="1"/>
  <c r="C7986" i="1"/>
  <c r="D7986" i="1"/>
  <c r="E7986" i="1"/>
  <c r="F7986" i="1"/>
  <c r="H7986" i="1"/>
  <c r="A7987" i="1"/>
  <c r="B7987" i="1"/>
  <c r="C7987" i="1"/>
  <c r="D7987" i="1"/>
  <c r="E7987" i="1"/>
  <c r="F7987" i="1"/>
  <c r="H7987" i="1"/>
  <c r="A7988" i="1"/>
  <c r="B7988" i="1"/>
  <c r="C7988" i="1"/>
  <c r="D7988" i="1"/>
  <c r="E7988" i="1"/>
  <c r="F7988" i="1"/>
  <c r="H7988" i="1"/>
  <c r="A7989" i="1"/>
  <c r="B7989" i="1"/>
  <c r="C7989" i="1"/>
  <c r="D7989" i="1"/>
  <c r="E7989" i="1"/>
  <c r="F7989" i="1"/>
  <c r="H7989" i="1"/>
  <c r="A7990" i="1"/>
  <c r="B7990" i="1"/>
  <c r="C7990" i="1"/>
  <c r="D7990" i="1"/>
  <c r="E7990" i="1"/>
  <c r="F7990" i="1"/>
  <c r="H7990" i="1"/>
  <c r="A7991" i="1"/>
  <c r="B7991" i="1"/>
  <c r="C7991" i="1"/>
  <c r="D7991" i="1"/>
  <c r="E7991" i="1"/>
  <c r="F7991" i="1"/>
  <c r="H7991" i="1"/>
  <c r="A7992" i="1"/>
  <c r="B7992" i="1"/>
  <c r="C7992" i="1"/>
  <c r="D7992" i="1"/>
  <c r="E7992" i="1"/>
  <c r="F7992" i="1"/>
  <c r="H7992" i="1"/>
  <c r="A7993" i="1"/>
  <c r="B7993" i="1"/>
  <c r="C7993" i="1"/>
  <c r="D7993" i="1"/>
  <c r="E7993" i="1"/>
  <c r="F7993" i="1"/>
  <c r="H7993" i="1"/>
  <c r="A7994" i="1"/>
  <c r="B7994" i="1"/>
  <c r="C7994" i="1"/>
  <c r="D7994" i="1"/>
  <c r="E7994" i="1"/>
  <c r="F7994" i="1"/>
  <c r="H7994" i="1"/>
  <c r="A7995" i="1"/>
  <c r="B7995" i="1"/>
  <c r="C7995" i="1"/>
  <c r="D7995" i="1"/>
  <c r="E7995" i="1"/>
  <c r="F7995" i="1"/>
  <c r="H7995" i="1"/>
  <c r="A7996" i="1"/>
  <c r="B7996" i="1"/>
  <c r="C7996" i="1"/>
  <c r="D7996" i="1"/>
  <c r="E7996" i="1"/>
  <c r="F7996" i="1"/>
  <c r="H7996" i="1"/>
  <c r="A7997" i="1"/>
  <c r="B7997" i="1"/>
  <c r="C7997" i="1"/>
  <c r="D7997" i="1"/>
  <c r="E7997" i="1"/>
  <c r="F7997" i="1"/>
  <c r="H7997" i="1"/>
  <c r="A7998" i="1"/>
  <c r="B7998" i="1"/>
  <c r="C7998" i="1"/>
  <c r="D7998" i="1"/>
  <c r="E7998" i="1"/>
  <c r="F7998" i="1"/>
  <c r="H7998" i="1"/>
  <c r="A7999" i="1"/>
  <c r="B7999" i="1"/>
  <c r="C7999" i="1"/>
  <c r="D7999" i="1"/>
  <c r="E7999" i="1"/>
  <c r="F7999" i="1"/>
  <c r="H7999" i="1"/>
  <c r="A8000" i="1"/>
  <c r="B8000" i="1"/>
  <c r="C8000" i="1"/>
  <c r="D8000" i="1"/>
  <c r="E8000" i="1"/>
  <c r="F8000" i="1"/>
  <c r="H8000" i="1"/>
  <c r="A8001" i="1"/>
  <c r="B8001" i="1"/>
  <c r="C8001" i="1"/>
  <c r="D8001" i="1"/>
  <c r="E8001" i="1"/>
  <c r="F8001" i="1"/>
  <c r="H8001" i="1"/>
  <c r="A8002" i="1"/>
  <c r="B8002" i="1"/>
  <c r="C8002" i="1"/>
  <c r="D8002" i="1"/>
  <c r="E8002" i="1"/>
  <c r="F8002" i="1"/>
  <c r="H8002" i="1"/>
  <c r="A8003" i="1"/>
  <c r="B8003" i="1"/>
  <c r="C8003" i="1"/>
  <c r="D8003" i="1"/>
  <c r="E8003" i="1"/>
  <c r="F8003" i="1"/>
  <c r="H8003" i="1"/>
  <c r="A8004" i="1"/>
  <c r="B8004" i="1"/>
  <c r="C8004" i="1"/>
  <c r="D8004" i="1"/>
  <c r="E8004" i="1"/>
  <c r="F8004" i="1"/>
  <c r="H8004" i="1"/>
  <c r="A8005" i="1"/>
  <c r="B8005" i="1"/>
  <c r="C8005" i="1"/>
  <c r="D8005" i="1"/>
  <c r="E8005" i="1"/>
  <c r="F8005" i="1"/>
  <c r="H8005" i="1"/>
  <c r="A8006" i="1"/>
  <c r="B8006" i="1"/>
  <c r="C8006" i="1"/>
  <c r="D8006" i="1"/>
  <c r="E8006" i="1"/>
  <c r="F8006" i="1"/>
  <c r="H8006" i="1"/>
  <c r="A8007" i="1"/>
  <c r="B8007" i="1"/>
  <c r="C8007" i="1"/>
  <c r="D8007" i="1"/>
  <c r="E8007" i="1"/>
  <c r="F8007" i="1"/>
  <c r="H8007" i="1"/>
  <c r="A8008" i="1"/>
  <c r="B8008" i="1"/>
  <c r="C8008" i="1"/>
  <c r="D8008" i="1"/>
  <c r="E8008" i="1"/>
  <c r="F8008" i="1"/>
  <c r="H8008" i="1"/>
  <c r="A8009" i="1"/>
  <c r="B8009" i="1"/>
  <c r="C8009" i="1"/>
  <c r="D8009" i="1"/>
  <c r="E8009" i="1"/>
  <c r="F8009" i="1"/>
  <c r="H8009" i="1"/>
  <c r="A8010" i="1"/>
  <c r="B8010" i="1"/>
  <c r="C8010" i="1"/>
  <c r="D8010" i="1"/>
  <c r="E8010" i="1"/>
  <c r="F8010" i="1"/>
  <c r="H8010" i="1"/>
  <c r="A8011" i="1"/>
  <c r="B8011" i="1"/>
  <c r="C8011" i="1"/>
  <c r="D8011" i="1"/>
  <c r="E8011" i="1"/>
  <c r="F8011" i="1"/>
  <c r="H8011" i="1"/>
  <c r="A8012" i="1"/>
  <c r="B8012" i="1"/>
  <c r="C8012" i="1"/>
  <c r="D8012" i="1"/>
  <c r="E8012" i="1"/>
  <c r="F8012" i="1"/>
  <c r="H8012" i="1"/>
  <c r="A8013" i="1"/>
  <c r="B8013" i="1"/>
  <c r="C8013" i="1"/>
  <c r="D8013" i="1"/>
  <c r="E8013" i="1"/>
  <c r="F8013" i="1"/>
  <c r="H8013" i="1"/>
  <c r="A8014" i="1"/>
  <c r="B8014" i="1"/>
  <c r="C8014" i="1"/>
  <c r="D8014" i="1"/>
  <c r="E8014" i="1"/>
  <c r="F8014" i="1"/>
  <c r="H8014" i="1"/>
  <c r="A8015" i="1"/>
  <c r="B8015" i="1"/>
  <c r="C8015" i="1"/>
  <c r="D8015" i="1"/>
  <c r="E8015" i="1"/>
  <c r="F8015" i="1"/>
  <c r="H8015" i="1"/>
  <c r="A8016" i="1"/>
  <c r="B8016" i="1"/>
  <c r="C8016" i="1"/>
  <c r="D8016" i="1"/>
  <c r="E8016" i="1"/>
  <c r="F8016" i="1"/>
  <c r="H8016" i="1"/>
  <c r="A8017" i="1"/>
  <c r="B8017" i="1"/>
  <c r="C8017" i="1"/>
  <c r="D8017" i="1"/>
  <c r="E8017" i="1"/>
  <c r="F8017" i="1"/>
  <c r="H8017" i="1"/>
  <c r="A8018" i="1"/>
  <c r="B8018" i="1"/>
  <c r="C8018" i="1"/>
  <c r="D8018" i="1"/>
  <c r="E8018" i="1"/>
  <c r="F8018" i="1"/>
  <c r="H8018" i="1"/>
  <c r="A8019" i="1"/>
  <c r="B8019" i="1"/>
  <c r="C8019" i="1"/>
  <c r="D8019" i="1"/>
  <c r="E8019" i="1"/>
  <c r="F8019" i="1"/>
  <c r="H8019" i="1"/>
  <c r="A8020" i="1"/>
  <c r="B8020" i="1"/>
  <c r="C8020" i="1"/>
  <c r="D8020" i="1"/>
  <c r="E8020" i="1"/>
  <c r="F8020" i="1"/>
  <c r="H8020" i="1"/>
  <c r="A8021" i="1"/>
  <c r="B8021" i="1"/>
  <c r="C8021" i="1"/>
  <c r="D8021" i="1"/>
  <c r="E8021" i="1"/>
  <c r="F8021" i="1"/>
  <c r="H8021" i="1"/>
  <c r="A8022" i="1"/>
  <c r="B8022" i="1"/>
  <c r="C8022" i="1"/>
  <c r="D8022" i="1"/>
  <c r="E8022" i="1"/>
  <c r="F8022" i="1"/>
  <c r="H8022" i="1"/>
  <c r="A8023" i="1"/>
  <c r="B8023" i="1"/>
  <c r="C8023" i="1"/>
  <c r="D8023" i="1"/>
  <c r="E8023" i="1"/>
  <c r="F8023" i="1"/>
  <c r="H8023" i="1"/>
  <c r="A8024" i="1"/>
  <c r="B8024" i="1"/>
  <c r="C8024" i="1"/>
  <c r="D8024" i="1"/>
  <c r="E8024" i="1"/>
  <c r="F8024" i="1"/>
  <c r="H8024" i="1"/>
  <c r="A8025" i="1"/>
  <c r="B8025" i="1"/>
  <c r="C8025" i="1"/>
  <c r="D8025" i="1"/>
  <c r="E8025" i="1"/>
  <c r="F8025" i="1"/>
  <c r="H8025" i="1"/>
  <c r="A8026" i="1"/>
  <c r="B8026" i="1"/>
  <c r="C8026" i="1"/>
  <c r="D8026" i="1"/>
  <c r="E8026" i="1"/>
  <c r="F8026" i="1"/>
  <c r="H8026" i="1"/>
  <c r="A8027" i="1"/>
  <c r="B8027" i="1"/>
  <c r="C8027" i="1"/>
  <c r="D8027" i="1"/>
  <c r="E8027" i="1"/>
  <c r="F8027" i="1"/>
  <c r="H8027" i="1"/>
  <c r="A8028" i="1"/>
  <c r="B8028" i="1"/>
  <c r="C8028" i="1"/>
  <c r="D8028" i="1"/>
  <c r="E8028" i="1"/>
  <c r="F8028" i="1"/>
  <c r="H8028" i="1"/>
  <c r="A8029" i="1"/>
  <c r="B8029" i="1"/>
  <c r="C8029" i="1"/>
  <c r="D8029" i="1"/>
  <c r="E8029" i="1"/>
  <c r="F8029" i="1"/>
  <c r="H8029" i="1"/>
  <c r="A8030" i="1"/>
  <c r="B8030" i="1"/>
  <c r="C8030" i="1"/>
  <c r="D8030" i="1"/>
  <c r="E8030" i="1"/>
  <c r="F8030" i="1"/>
  <c r="H8030" i="1"/>
  <c r="A8031" i="1"/>
  <c r="B8031" i="1"/>
  <c r="C8031" i="1"/>
  <c r="D8031" i="1"/>
  <c r="E8031" i="1"/>
  <c r="F8031" i="1"/>
  <c r="H8031" i="1"/>
  <c r="A8032" i="1"/>
  <c r="B8032" i="1"/>
  <c r="C8032" i="1"/>
  <c r="D8032" i="1"/>
  <c r="E8032" i="1"/>
  <c r="F8032" i="1"/>
  <c r="H8032" i="1"/>
  <c r="A8033" i="1"/>
  <c r="B8033" i="1"/>
  <c r="C8033" i="1"/>
  <c r="D8033" i="1"/>
  <c r="E8033" i="1"/>
  <c r="F8033" i="1"/>
  <c r="H8033" i="1"/>
  <c r="A8034" i="1"/>
  <c r="B8034" i="1"/>
  <c r="C8034" i="1"/>
  <c r="D8034" i="1"/>
  <c r="E8034" i="1"/>
  <c r="F8034" i="1"/>
  <c r="H8034" i="1"/>
  <c r="A8035" i="1"/>
  <c r="B8035" i="1"/>
  <c r="C8035" i="1"/>
  <c r="D8035" i="1"/>
  <c r="E8035" i="1"/>
  <c r="F8035" i="1"/>
  <c r="H8035" i="1"/>
  <c r="A8036" i="1"/>
  <c r="B8036" i="1"/>
  <c r="C8036" i="1"/>
  <c r="D8036" i="1"/>
  <c r="E8036" i="1"/>
  <c r="F8036" i="1"/>
  <c r="H8036" i="1"/>
  <c r="A8037" i="1"/>
  <c r="B8037" i="1"/>
  <c r="C8037" i="1"/>
  <c r="D8037" i="1"/>
  <c r="E8037" i="1"/>
  <c r="F8037" i="1"/>
  <c r="H8037" i="1"/>
  <c r="A8038" i="1"/>
  <c r="B8038" i="1"/>
  <c r="C8038" i="1"/>
  <c r="D8038" i="1"/>
  <c r="E8038" i="1"/>
  <c r="F8038" i="1"/>
  <c r="H8038" i="1"/>
  <c r="A8039" i="1"/>
  <c r="B8039" i="1"/>
  <c r="C8039" i="1"/>
  <c r="D8039" i="1"/>
  <c r="E8039" i="1"/>
  <c r="F8039" i="1"/>
  <c r="H8039" i="1"/>
  <c r="A8040" i="1"/>
  <c r="B8040" i="1"/>
  <c r="C8040" i="1"/>
  <c r="D8040" i="1"/>
  <c r="E8040" i="1"/>
  <c r="F8040" i="1"/>
  <c r="H8040" i="1"/>
  <c r="A8041" i="1"/>
  <c r="B8041" i="1"/>
  <c r="C8041" i="1"/>
  <c r="D8041" i="1"/>
  <c r="E8041" i="1"/>
  <c r="F8041" i="1"/>
  <c r="H8041" i="1"/>
  <c r="A8042" i="1"/>
  <c r="B8042" i="1"/>
  <c r="C8042" i="1"/>
  <c r="D8042" i="1"/>
  <c r="E8042" i="1"/>
  <c r="F8042" i="1"/>
  <c r="H8042" i="1"/>
  <c r="A8043" i="1"/>
  <c r="B8043" i="1"/>
  <c r="C8043" i="1"/>
  <c r="D8043" i="1"/>
  <c r="E8043" i="1"/>
  <c r="F8043" i="1"/>
  <c r="H8043" i="1"/>
  <c r="A8044" i="1"/>
  <c r="B8044" i="1"/>
  <c r="C8044" i="1"/>
  <c r="D8044" i="1"/>
  <c r="E8044" i="1"/>
  <c r="F8044" i="1"/>
  <c r="H8044" i="1"/>
  <c r="A8045" i="1"/>
  <c r="B8045" i="1"/>
  <c r="C8045" i="1"/>
  <c r="D8045" i="1"/>
  <c r="E8045" i="1"/>
  <c r="F8045" i="1"/>
  <c r="H8045" i="1"/>
  <c r="A8046" i="1"/>
  <c r="B8046" i="1"/>
  <c r="C8046" i="1"/>
  <c r="D8046" i="1"/>
  <c r="E8046" i="1"/>
  <c r="F8046" i="1"/>
  <c r="H8046" i="1"/>
  <c r="A8047" i="1"/>
  <c r="B8047" i="1"/>
  <c r="C8047" i="1"/>
  <c r="D8047" i="1"/>
  <c r="E8047" i="1"/>
  <c r="F8047" i="1"/>
  <c r="H8047" i="1"/>
  <c r="A8048" i="1"/>
  <c r="B8048" i="1"/>
  <c r="C8048" i="1"/>
  <c r="D8048" i="1"/>
  <c r="E8048" i="1"/>
  <c r="F8048" i="1"/>
  <c r="H8048" i="1"/>
  <c r="A8049" i="1"/>
  <c r="B8049" i="1"/>
  <c r="C8049" i="1"/>
  <c r="D8049" i="1"/>
  <c r="E8049" i="1"/>
  <c r="F8049" i="1"/>
  <c r="H8049" i="1"/>
  <c r="A8050" i="1"/>
  <c r="B8050" i="1"/>
  <c r="C8050" i="1"/>
  <c r="D8050" i="1"/>
  <c r="E8050" i="1"/>
  <c r="F8050" i="1"/>
  <c r="H8050" i="1"/>
  <c r="A8051" i="1"/>
  <c r="B8051" i="1"/>
  <c r="C8051" i="1"/>
  <c r="D8051" i="1"/>
  <c r="E8051" i="1"/>
  <c r="F8051" i="1"/>
  <c r="H8051" i="1"/>
  <c r="A8052" i="1"/>
  <c r="B8052" i="1"/>
  <c r="C8052" i="1"/>
  <c r="D8052" i="1"/>
  <c r="E8052" i="1"/>
  <c r="F8052" i="1"/>
  <c r="H8052" i="1"/>
  <c r="A8053" i="1"/>
  <c r="B8053" i="1"/>
  <c r="C8053" i="1"/>
  <c r="D8053" i="1"/>
  <c r="E8053" i="1"/>
  <c r="F8053" i="1"/>
  <c r="H8053" i="1"/>
  <c r="A8054" i="1"/>
  <c r="B8054" i="1"/>
  <c r="C8054" i="1"/>
  <c r="D8054" i="1"/>
  <c r="E8054" i="1"/>
  <c r="F8054" i="1"/>
  <c r="H8054" i="1"/>
  <c r="A8055" i="1"/>
  <c r="B8055" i="1"/>
  <c r="C8055" i="1"/>
  <c r="D8055" i="1"/>
  <c r="E8055" i="1"/>
  <c r="F8055" i="1"/>
  <c r="H8055" i="1"/>
  <c r="A8056" i="1"/>
  <c r="B8056" i="1"/>
  <c r="C8056" i="1"/>
  <c r="D8056" i="1"/>
  <c r="E8056" i="1"/>
  <c r="F8056" i="1"/>
  <c r="H8056" i="1"/>
  <c r="A8057" i="1"/>
  <c r="B8057" i="1"/>
  <c r="C8057" i="1"/>
  <c r="D8057" i="1"/>
  <c r="E8057" i="1"/>
  <c r="F8057" i="1"/>
  <c r="H8057" i="1"/>
  <c r="A8058" i="1"/>
  <c r="B8058" i="1"/>
  <c r="C8058" i="1"/>
  <c r="D8058" i="1"/>
  <c r="E8058" i="1"/>
  <c r="F8058" i="1"/>
  <c r="H8058" i="1"/>
  <c r="A8059" i="1"/>
  <c r="B8059" i="1"/>
  <c r="C8059" i="1"/>
  <c r="D8059" i="1"/>
  <c r="E8059" i="1"/>
  <c r="F8059" i="1"/>
  <c r="H8059" i="1"/>
  <c r="A8060" i="1"/>
  <c r="B8060" i="1"/>
  <c r="C8060" i="1"/>
  <c r="D8060" i="1"/>
  <c r="E8060" i="1"/>
  <c r="F8060" i="1"/>
  <c r="H8060" i="1"/>
  <c r="A8061" i="1"/>
  <c r="B8061" i="1"/>
  <c r="C8061" i="1"/>
  <c r="D8061" i="1"/>
  <c r="E8061" i="1"/>
  <c r="F8061" i="1"/>
  <c r="H8061" i="1"/>
  <c r="A8062" i="1"/>
  <c r="B8062" i="1"/>
  <c r="C8062" i="1"/>
  <c r="D8062" i="1"/>
  <c r="E8062" i="1"/>
  <c r="F8062" i="1"/>
  <c r="H8062" i="1"/>
  <c r="A8063" i="1"/>
  <c r="B8063" i="1"/>
  <c r="C8063" i="1"/>
  <c r="D8063" i="1"/>
  <c r="E8063" i="1"/>
  <c r="F8063" i="1"/>
  <c r="H8063" i="1"/>
  <c r="A8064" i="1"/>
  <c r="B8064" i="1"/>
  <c r="C8064" i="1"/>
  <c r="D8064" i="1"/>
  <c r="E8064" i="1"/>
  <c r="F8064" i="1"/>
  <c r="H8064" i="1"/>
  <c r="A8065" i="1"/>
  <c r="B8065" i="1"/>
  <c r="C8065" i="1"/>
  <c r="D8065" i="1"/>
  <c r="E8065" i="1"/>
  <c r="F8065" i="1"/>
  <c r="H8065" i="1"/>
  <c r="A8066" i="1"/>
  <c r="B8066" i="1"/>
  <c r="C8066" i="1"/>
  <c r="D8066" i="1"/>
  <c r="E8066" i="1"/>
  <c r="F8066" i="1"/>
  <c r="H8066" i="1"/>
  <c r="A8067" i="1"/>
  <c r="B8067" i="1"/>
  <c r="C8067" i="1"/>
  <c r="D8067" i="1"/>
  <c r="E8067" i="1"/>
  <c r="F8067" i="1"/>
  <c r="H8067" i="1"/>
  <c r="A8068" i="1"/>
  <c r="B8068" i="1"/>
  <c r="C8068" i="1"/>
  <c r="D8068" i="1"/>
  <c r="E8068" i="1"/>
  <c r="F8068" i="1"/>
  <c r="H8068" i="1"/>
  <c r="A8069" i="1"/>
  <c r="B8069" i="1"/>
  <c r="C8069" i="1"/>
  <c r="D8069" i="1"/>
  <c r="E8069" i="1"/>
  <c r="F8069" i="1"/>
  <c r="H8069" i="1"/>
  <c r="A8070" i="1"/>
  <c r="B8070" i="1"/>
  <c r="C8070" i="1"/>
  <c r="D8070" i="1"/>
  <c r="E8070" i="1"/>
  <c r="F8070" i="1"/>
  <c r="H8070" i="1"/>
  <c r="A8071" i="1"/>
  <c r="B8071" i="1"/>
  <c r="C8071" i="1"/>
  <c r="D8071" i="1"/>
  <c r="E8071" i="1"/>
  <c r="F8071" i="1"/>
  <c r="H8071" i="1"/>
  <c r="A8072" i="1"/>
  <c r="B8072" i="1"/>
  <c r="C8072" i="1"/>
  <c r="D8072" i="1"/>
  <c r="E8072" i="1"/>
  <c r="F8072" i="1"/>
  <c r="H8072" i="1"/>
  <c r="A8073" i="1"/>
  <c r="B8073" i="1"/>
  <c r="C8073" i="1"/>
  <c r="D8073" i="1"/>
  <c r="E8073" i="1"/>
  <c r="F8073" i="1"/>
  <c r="H8073" i="1"/>
  <c r="A8074" i="1"/>
  <c r="B8074" i="1"/>
  <c r="C8074" i="1"/>
  <c r="D8074" i="1"/>
  <c r="E8074" i="1"/>
  <c r="F8074" i="1"/>
  <c r="H8074" i="1"/>
  <c r="A8075" i="1"/>
  <c r="B8075" i="1"/>
  <c r="C8075" i="1"/>
  <c r="D8075" i="1"/>
  <c r="E8075" i="1"/>
  <c r="F8075" i="1"/>
  <c r="H8075" i="1"/>
  <c r="A8076" i="1"/>
  <c r="B8076" i="1"/>
  <c r="C8076" i="1"/>
  <c r="D8076" i="1"/>
  <c r="E8076" i="1"/>
  <c r="F8076" i="1"/>
  <c r="H8076" i="1"/>
  <c r="A8077" i="1"/>
  <c r="B8077" i="1"/>
  <c r="C8077" i="1"/>
  <c r="D8077" i="1"/>
  <c r="E8077" i="1"/>
  <c r="F8077" i="1"/>
  <c r="H8077" i="1"/>
  <c r="A8078" i="1"/>
  <c r="B8078" i="1"/>
  <c r="C8078" i="1"/>
  <c r="D8078" i="1"/>
  <c r="E8078" i="1"/>
  <c r="F8078" i="1"/>
  <c r="H8078" i="1"/>
  <c r="A8079" i="1"/>
  <c r="B8079" i="1"/>
  <c r="C8079" i="1"/>
  <c r="D8079" i="1"/>
  <c r="E8079" i="1"/>
  <c r="F8079" i="1"/>
  <c r="H8079" i="1"/>
  <c r="A8080" i="1"/>
  <c r="B8080" i="1"/>
  <c r="C8080" i="1"/>
  <c r="D8080" i="1"/>
  <c r="E8080" i="1"/>
  <c r="F8080" i="1"/>
  <c r="H8080" i="1"/>
  <c r="A8081" i="1"/>
  <c r="B8081" i="1"/>
  <c r="C8081" i="1"/>
  <c r="D8081" i="1"/>
  <c r="E8081" i="1"/>
  <c r="F8081" i="1"/>
  <c r="H8081" i="1"/>
  <c r="A8082" i="1"/>
  <c r="B8082" i="1"/>
  <c r="C8082" i="1"/>
  <c r="D8082" i="1"/>
  <c r="E8082" i="1"/>
  <c r="F8082" i="1"/>
  <c r="H8082" i="1"/>
  <c r="A8083" i="1"/>
  <c r="B8083" i="1"/>
  <c r="C8083" i="1"/>
  <c r="D8083" i="1"/>
  <c r="E8083" i="1"/>
  <c r="F8083" i="1"/>
  <c r="H8083" i="1"/>
  <c r="A8084" i="1"/>
  <c r="B8084" i="1"/>
  <c r="C8084" i="1"/>
  <c r="D8084" i="1"/>
  <c r="E8084" i="1"/>
  <c r="F8084" i="1"/>
  <c r="H8084" i="1"/>
  <c r="A8085" i="1"/>
  <c r="B8085" i="1"/>
  <c r="C8085" i="1"/>
  <c r="D8085" i="1"/>
  <c r="E8085" i="1"/>
  <c r="F8085" i="1"/>
  <c r="H8085" i="1"/>
  <c r="A8086" i="1"/>
  <c r="B8086" i="1"/>
  <c r="C8086" i="1"/>
  <c r="D8086" i="1"/>
  <c r="E8086" i="1"/>
  <c r="F8086" i="1"/>
  <c r="H8086" i="1"/>
  <c r="A8087" i="1"/>
  <c r="B8087" i="1"/>
  <c r="C8087" i="1"/>
  <c r="D8087" i="1"/>
  <c r="E8087" i="1"/>
  <c r="F8087" i="1"/>
  <c r="H8087" i="1"/>
  <c r="A8088" i="1"/>
  <c r="B8088" i="1"/>
  <c r="C8088" i="1"/>
  <c r="D8088" i="1"/>
  <c r="E8088" i="1"/>
  <c r="F8088" i="1"/>
  <c r="H8088" i="1"/>
  <c r="A8089" i="1"/>
  <c r="B8089" i="1"/>
  <c r="C8089" i="1"/>
  <c r="D8089" i="1"/>
  <c r="E8089" i="1"/>
  <c r="F8089" i="1"/>
  <c r="H8089" i="1"/>
  <c r="A8090" i="1"/>
  <c r="B8090" i="1"/>
  <c r="C8090" i="1"/>
  <c r="D8090" i="1"/>
  <c r="E8090" i="1"/>
  <c r="F8090" i="1"/>
  <c r="H8090" i="1"/>
  <c r="A8091" i="1"/>
  <c r="B8091" i="1"/>
  <c r="C8091" i="1"/>
  <c r="D8091" i="1"/>
  <c r="E8091" i="1"/>
  <c r="F8091" i="1"/>
  <c r="H8091" i="1"/>
  <c r="A8092" i="1"/>
  <c r="B8092" i="1"/>
  <c r="C8092" i="1"/>
  <c r="D8092" i="1"/>
  <c r="E8092" i="1"/>
  <c r="F8092" i="1"/>
  <c r="H8092" i="1"/>
  <c r="A8093" i="1"/>
  <c r="B8093" i="1"/>
  <c r="C8093" i="1"/>
  <c r="D8093" i="1"/>
  <c r="E8093" i="1"/>
  <c r="F8093" i="1"/>
  <c r="H8093" i="1"/>
  <c r="A8094" i="1"/>
  <c r="B8094" i="1"/>
  <c r="C8094" i="1"/>
  <c r="D8094" i="1"/>
  <c r="E8094" i="1"/>
  <c r="F8094" i="1"/>
  <c r="H8094" i="1"/>
  <c r="A8095" i="1"/>
  <c r="B8095" i="1"/>
  <c r="C8095" i="1"/>
  <c r="D8095" i="1"/>
  <c r="E8095" i="1"/>
  <c r="F8095" i="1"/>
  <c r="H8095" i="1"/>
  <c r="A8096" i="1"/>
  <c r="B8096" i="1"/>
  <c r="C8096" i="1"/>
  <c r="D8096" i="1"/>
  <c r="E8096" i="1"/>
  <c r="F8096" i="1"/>
  <c r="H8096" i="1"/>
  <c r="A8097" i="1"/>
  <c r="B8097" i="1"/>
  <c r="C8097" i="1"/>
  <c r="D8097" i="1"/>
  <c r="E8097" i="1"/>
  <c r="F8097" i="1"/>
  <c r="H8097" i="1"/>
  <c r="A8098" i="1"/>
  <c r="B8098" i="1"/>
  <c r="C8098" i="1"/>
  <c r="D8098" i="1"/>
  <c r="E8098" i="1"/>
  <c r="F8098" i="1"/>
  <c r="H8098" i="1"/>
  <c r="A8099" i="1"/>
  <c r="B8099" i="1"/>
  <c r="C8099" i="1"/>
  <c r="D8099" i="1"/>
  <c r="E8099" i="1"/>
  <c r="F8099" i="1"/>
  <c r="H8099" i="1"/>
  <c r="A8100" i="1"/>
  <c r="B8100" i="1"/>
  <c r="C8100" i="1"/>
  <c r="D8100" i="1"/>
  <c r="E8100" i="1"/>
  <c r="F8100" i="1"/>
  <c r="H8100" i="1"/>
  <c r="A8101" i="1"/>
  <c r="B8101" i="1"/>
  <c r="C8101" i="1"/>
  <c r="D8101" i="1"/>
  <c r="E8101" i="1"/>
  <c r="F8101" i="1"/>
  <c r="H8101" i="1"/>
  <c r="A8102" i="1"/>
  <c r="B8102" i="1"/>
  <c r="C8102" i="1"/>
  <c r="D8102" i="1"/>
  <c r="E8102" i="1"/>
  <c r="F8102" i="1"/>
  <c r="H8102" i="1"/>
  <c r="A8103" i="1"/>
  <c r="B8103" i="1"/>
  <c r="C8103" i="1"/>
  <c r="D8103" i="1"/>
  <c r="E8103" i="1"/>
  <c r="F8103" i="1"/>
  <c r="H8103" i="1"/>
  <c r="A8104" i="1"/>
  <c r="B8104" i="1"/>
  <c r="C8104" i="1"/>
  <c r="D8104" i="1"/>
  <c r="E8104" i="1"/>
  <c r="F8104" i="1"/>
  <c r="H8104" i="1"/>
  <c r="A8105" i="1"/>
  <c r="B8105" i="1"/>
  <c r="C8105" i="1"/>
  <c r="D8105" i="1"/>
  <c r="E8105" i="1"/>
  <c r="F8105" i="1"/>
  <c r="H8105" i="1"/>
  <c r="A8106" i="1"/>
  <c r="B8106" i="1"/>
  <c r="C8106" i="1"/>
  <c r="D8106" i="1"/>
  <c r="E8106" i="1"/>
  <c r="F8106" i="1"/>
  <c r="H8106" i="1"/>
  <c r="A8107" i="1"/>
  <c r="B8107" i="1"/>
  <c r="C8107" i="1"/>
  <c r="D8107" i="1"/>
  <c r="E8107" i="1"/>
  <c r="F8107" i="1"/>
  <c r="H8107" i="1"/>
  <c r="A8108" i="1"/>
  <c r="B8108" i="1"/>
  <c r="C8108" i="1"/>
  <c r="D8108" i="1"/>
  <c r="E8108" i="1"/>
  <c r="F8108" i="1"/>
  <c r="H8108" i="1"/>
  <c r="A8109" i="1"/>
  <c r="B8109" i="1"/>
  <c r="C8109" i="1"/>
  <c r="D8109" i="1"/>
  <c r="E8109" i="1"/>
  <c r="F8109" i="1"/>
  <c r="H8109" i="1"/>
  <c r="A8110" i="1"/>
  <c r="B8110" i="1"/>
  <c r="C8110" i="1"/>
  <c r="D8110" i="1"/>
  <c r="E8110" i="1"/>
  <c r="F8110" i="1"/>
  <c r="H8110" i="1"/>
  <c r="A8111" i="1"/>
  <c r="B8111" i="1"/>
  <c r="C8111" i="1"/>
  <c r="D8111" i="1"/>
  <c r="E8111" i="1"/>
  <c r="F8111" i="1"/>
  <c r="H8111" i="1"/>
  <c r="A8112" i="1"/>
  <c r="B8112" i="1"/>
  <c r="C8112" i="1"/>
  <c r="D8112" i="1"/>
  <c r="E8112" i="1"/>
  <c r="F8112" i="1"/>
  <c r="H8112" i="1"/>
  <c r="A8113" i="1"/>
  <c r="B8113" i="1"/>
  <c r="C8113" i="1"/>
  <c r="D8113" i="1"/>
  <c r="E8113" i="1"/>
  <c r="F8113" i="1"/>
  <c r="H8113" i="1"/>
  <c r="A8114" i="1"/>
  <c r="B8114" i="1"/>
  <c r="C8114" i="1"/>
  <c r="D8114" i="1"/>
  <c r="E8114" i="1"/>
  <c r="F8114" i="1"/>
  <c r="H8114" i="1"/>
  <c r="A8115" i="1"/>
  <c r="B8115" i="1"/>
  <c r="C8115" i="1"/>
  <c r="D8115" i="1"/>
  <c r="E8115" i="1"/>
  <c r="F8115" i="1"/>
  <c r="H8115" i="1"/>
  <c r="A8116" i="1"/>
  <c r="B8116" i="1"/>
  <c r="C8116" i="1"/>
  <c r="D8116" i="1"/>
  <c r="E8116" i="1"/>
  <c r="F8116" i="1"/>
  <c r="H8116" i="1"/>
  <c r="A8117" i="1"/>
  <c r="B8117" i="1"/>
  <c r="C8117" i="1"/>
  <c r="D8117" i="1"/>
  <c r="E8117" i="1"/>
  <c r="F8117" i="1"/>
  <c r="H8117" i="1"/>
  <c r="A8118" i="1"/>
  <c r="B8118" i="1"/>
  <c r="C8118" i="1"/>
  <c r="D8118" i="1"/>
  <c r="E8118" i="1"/>
  <c r="F8118" i="1"/>
  <c r="H8118" i="1"/>
  <c r="A8119" i="1"/>
  <c r="B8119" i="1"/>
  <c r="C8119" i="1"/>
  <c r="D8119" i="1"/>
  <c r="E8119" i="1"/>
  <c r="F8119" i="1"/>
  <c r="H8119" i="1"/>
  <c r="A8120" i="1"/>
  <c r="B8120" i="1"/>
  <c r="C8120" i="1"/>
  <c r="D8120" i="1"/>
  <c r="E8120" i="1"/>
  <c r="F8120" i="1"/>
  <c r="H8120" i="1"/>
  <c r="A8121" i="1"/>
  <c r="B8121" i="1"/>
  <c r="C8121" i="1"/>
  <c r="D8121" i="1"/>
  <c r="E8121" i="1"/>
  <c r="F8121" i="1"/>
  <c r="H8121" i="1"/>
  <c r="A8122" i="1"/>
  <c r="B8122" i="1"/>
  <c r="C8122" i="1"/>
  <c r="D8122" i="1"/>
  <c r="E8122" i="1"/>
  <c r="F8122" i="1"/>
  <c r="H8122" i="1"/>
  <c r="A8123" i="1"/>
  <c r="B8123" i="1"/>
  <c r="C8123" i="1"/>
  <c r="D8123" i="1"/>
  <c r="E8123" i="1"/>
  <c r="F8123" i="1"/>
  <c r="H8123" i="1"/>
  <c r="A8124" i="1"/>
  <c r="B8124" i="1"/>
  <c r="C8124" i="1"/>
  <c r="D8124" i="1"/>
  <c r="E8124" i="1"/>
  <c r="F8124" i="1"/>
  <c r="H8124" i="1"/>
  <c r="A8125" i="1"/>
  <c r="B8125" i="1"/>
  <c r="C8125" i="1"/>
  <c r="D8125" i="1"/>
  <c r="E8125" i="1"/>
  <c r="F8125" i="1"/>
  <c r="H8125" i="1"/>
  <c r="A8126" i="1"/>
  <c r="B8126" i="1"/>
  <c r="C8126" i="1"/>
  <c r="D8126" i="1"/>
  <c r="E8126" i="1"/>
  <c r="F8126" i="1"/>
  <c r="H8126" i="1"/>
  <c r="A8127" i="1"/>
  <c r="B8127" i="1"/>
  <c r="C8127" i="1"/>
  <c r="D8127" i="1"/>
  <c r="E8127" i="1"/>
  <c r="F8127" i="1"/>
  <c r="H8127" i="1"/>
  <c r="A8128" i="1"/>
  <c r="B8128" i="1"/>
  <c r="C8128" i="1"/>
  <c r="D8128" i="1"/>
  <c r="E8128" i="1"/>
  <c r="F8128" i="1"/>
  <c r="H8128" i="1"/>
  <c r="A8129" i="1"/>
  <c r="B8129" i="1"/>
  <c r="C8129" i="1"/>
  <c r="D8129" i="1"/>
  <c r="E8129" i="1"/>
  <c r="F8129" i="1"/>
  <c r="H8129" i="1"/>
  <c r="A8130" i="1"/>
  <c r="B8130" i="1"/>
  <c r="C8130" i="1"/>
  <c r="D8130" i="1"/>
  <c r="E8130" i="1"/>
  <c r="F8130" i="1"/>
  <c r="H8130" i="1"/>
  <c r="A8131" i="1"/>
  <c r="B8131" i="1"/>
  <c r="C8131" i="1"/>
  <c r="D8131" i="1"/>
  <c r="E8131" i="1"/>
  <c r="F8131" i="1"/>
  <c r="H8131" i="1"/>
  <c r="A8132" i="1"/>
  <c r="B8132" i="1"/>
  <c r="C8132" i="1"/>
  <c r="D8132" i="1"/>
  <c r="E8132" i="1"/>
  <c r="F8132" i="1"/>
  <c r="H8132" i="1"/>
  <c r="A8133" i="1"/>
  <c r="B8133" i="1"/>
  <c r="C8133" i="1"/>
  <c r="D8133" i="1"/>
  <c r="E8133" i="1"/>
  <c r="F8133" i="1"/>
  <c r="H8133" i="1"/>
  <c r="A8134" i="1"/>
  <c r="B8134" i="1"/>
  <c r="C8134" i="1"/>
  <c r="D8134" i="1"/>
  <c r="E8134" i="1"/>
  <c r="F8134" i="1"/>
  <c r="H8134" i="1"/>
  <c r="A8135" i="1"/>
  <c r="B8135" i="1"/>
  <c r="C8135" i="1"/>
  <c r="D8135" i="1"/>
  <c r="E8135" i="1"/>
  <c r="F8135" i="1"/>
  <c r="H8135" i="1"/>
  <c r="A8136" i="1"/>
  <c r="B8136" i="1"/>
  <c r="C8136" i="1"/>
  <c r="D8136" i="1"/>
  <c r="E8136" i="1"/>
  <c r="F8136" i="1"/>
  <c r="H8136" i="1"/>
  <c r="A8137" i="1"/>
  <c r="B8137" i="1"/>
  <c r="C8137" i="1"/>
  <c r="D8137" i="1"/>
  <c r="E8137" i="1"/>
  <c r="F8137" i="1"/>
  <c r="H8137" i="1"/>
  <c r="A8138" i="1"/>
  <c r="B8138" i="1"/>
  <c r="C8138" i="1"/>
  <c r="D8138" i="1"/>
  <c r="E8138" i="1"/>
  <c r="F8138" i="1"/>
  <c r="H8138" i="1"/>
  <c r="A8139" i="1"/>
  <c r="B8139" i="1"/>
  <c r="C8139" i="1"/>
  <c r="D8139" i="1"/>
  <c r="E8139" i="1"/>
  <c r="F8139" i="1"/>
  <c r="H8139" i="1"/>
  <c r="A8140" i="1"/>
  <c r="B8140" i="1"/>
  <c r="C8140" i="1"/>
  <c r="D8140" i="1"/>
  <c r="E8140" i="1"/>
  <c r="F8140" i="1"/>
  <c r="H8140" i="1"/>
  <c r="A8141" i="1"/>
  <c r="B8141" i="1"/>
  <c r="C8141" i="1"/>
  <c r="D8141" i="1"/>
  <c r="E8141" i="1"/>
  <c r="F8141" i="1"/>
  <c r="H8141" i="1"/>
  <c r="A8142" i="1"/>
  <c r="B8142" i="1"/>
  <c r="C8142" i="1"/>
  <c r="D8142" i="1"/>
  <c r="E8142" i="1"/>
  <c r="F8142" i="1"/>
  <c r="H8142" i="1"/>
  <c r="A8143" i="1"/>
  <c r="B8143" i="1"/>
  <c r="C8143" i="1"/>
  <c r="D8143" i="1"/>
  <c r="E8143" i="1"/>
  <c r="F8143" i="1"/>
  <c r="H8143" i="1"/>
  <c r="A8144" i="1"/>
  <c r="B8144" i="1"/>
  <c r="C8144" i="1"/>
  <c r="D8144" i="1"/>
  <c r="E8144" i="1"/>
  <c r="F8144" i="1"/>
  <c r="H8144" i="1"/>
  <c r="A8145" i="1"/>
  <c r="B8145" i="1"/>
  <c r="C8145" i="1"/>
  <c r="D8145" i="1"/>
  <c r="E8145" i="1"/>
  <c r="F8145" i="1"/>
  <c r="H8145" i="1"/>
  <c r="A8146" i="1"/>
  <c r="B8146" i="1"/>
  <c r="C8146" i="1"/>
  <c r="D8146" i="1"/>
  <c r="E8146" i="1"/>
  <c r="F8146" i="1"/>
  <c r="H8146" i="1"/>
  <c r="A8147" i="1"/>
  <c r="B8147" i="1"/>
  <c r="C8147" i="1"/>
  <c r="D8147" i="1"/>
  <c r="E8147" i="1"/>
  <c r="F8147" i="1"/>
  <c r="H8147" i="1"/>
  <c r="A8148" i="1"/>
  <c r="B8148" i="1"/>
  <c r="C8148" i="1"/>
  <c r="D8148" i="1"/>
  <c r="E8148" i="1"/>
  <c r="F8148" i="1"/>
  <c r="H8148" i="1"/>
  <c r="A8149" i="1"/>
  <c r="B8149" i="1"/>
  <c r="C8149" i="1"/>
  <c r="D8149" i="1"/>
  <c r="E8149" i="1"/>
  <c r="F8149" i="1"/>
  <c r="H8149" i="1"/>
  <c r="A8150" i="1"/>
  <c r="B8150" i="1"/>
  <c r="C8150" i="1"/>
  <c r="D8150" i="1"/>
  <c r="E8150" i="1"/>
  <c r="F8150" i="1"/>
  <c r="H8150" i="1"/>
  <c r="A8151" i="1"/>
  <c r="B8151" i="1"/>
  <c r="C8151" i="1"/>
  <c r="D8151" i="1"/>
  <c r="E8151" i="1"/>
  <c r="F8151" i="1"/>
  <c r="H8151" i="1"/>
  <c r="A8152" i="1"/>
  <c r="B8152" i="1"/>
  <c r="C8152" i="1"/>
  <c r="D8152" i="1"/>
  <c r="E8152" i="1"/>
  <c r="F8152" i="1"/>
  <c r="H8152" i="1"/>
  <c r="A8153" i="1"/>
  <c r="B8153" i="1"/>
  <c r="C8153" i="1"/>
  <c r="D8153" i="1"/>
  <c r="E8153" i="1"/>
  <c r="F8153" i="1"/>
  <c r="H8153" i="1"/>
  <c r="A8154" i="1"/>
  <c r="B8154" i="1"/>
  <c r="C8154" i="1"/>
  <c r="D8154" i="1"/>
  <c r="E8154" i="1"/>
  <c r="F8154" i="1"/>
  <c r="H8154" i="1"/>
  <c r="A8155" i="1"/>
  <c r="B8155" i="1"/>
  <c r="C8155" i="1"/>
  <c r="D8155" i="1"/>
  <c r="E8155" i="1"/>
  <c r="F8155" i="1"/>
  <c r="H8155" i="1"/>
  <c r="A8156" i="1"/>
  <c r="B8156" i="1"/>
  <c r="C8156" i="1"/>
  <c r="D8156" i="1"/>
  <c r="E8156" i="1"/>
  <c r="F8156" i="1"/>
  <c r="H8156" i="1"/>
  <c r="A8157" i="1"/>
  <c r="B8157" i="1"/>
  <c r="C8157" i="1"/>
  <c r="D8157" i="1"/>
  <c r="E8157" i="1"/>
  <c r="F8157" i="1"/>
  <c r="H8157" i="1"/>
  <c r="A8158" i="1"/>
  <c r="B8158" i="1"/>
  <c r="C8158" i="1"/>
  <c r="D8158" i="1"/>
  <c r="E8158" i="1"/>
  <c r="F8158" i="1"/>
  <c r="H8158" i="1"/>
  <c r="A8159" i="1"/>
  <c r="B8159" i="1"/>
  <c r="C8159" i="1"/>
  <c r="D8159" i="1"/>
  <c r="E8159" i="1"/>
  <c r="F8159" i="1"/>
  <c r="H8159" i="1"/>
  <c r="A8160" i="1"/>
  <c r="B8160" i="1"/>
  <c r="C8160" i="1"/>
  <c r="D8160" i="1"/>
  <c r="E8160" i="1"/>
  <c r="F8160" i="1"/>
  <c r="H8160" i="1"/>
  <c r="A8161" i="1"/>
  <c r="B8161" i="1"/>
  <c r="C8161" i="1"/>
  <c r="D8161" i="1"/>
  <c r="E8161" i="1"/>
  <c r="F8161" i="1"/>
  <c r="H8161" i="1"/>
  <c r="A8162" i="1"/>
  <c r="B8162" i="1"/>
  <c r="C8162" i="1"/>
  <c r="D8162" i="1"/>
  <c r="E8162" i="1"/>
  <c r="F8162" i="1"/>
  <c r="H8162" i="1"/>
  <c r="A8163" i="1"/>
  <c r="B8163" i="1"/>
  <c r="C8163" i="1"/>
  <c r="D8163" i="1"/>
  <c r="E8163" i="1"/>
  <c r="F8163" i="1"/>
  <c r="H8163" i="1"/>
  <c r="A8164" i="1"/>
  <c r="B8164" i="1"/>
  <c r="C8164" i="1"/>
  <c r="D8164" i="1"/>
  <c r="E8164" i="1"/>
  <c r="F8164" i="1"/>
  <c r="H8164" i="1"/>
  <c r="A8165" i="1"/>
  <c r="B8165" i="1"/>
  <c r="C8165" i="1"/>
  <c r="D8165" i="1"/>
  <c r="E8165" i="1"/>
  <c r="F8165" i="1"/>
  <c r="H8165" i="1"/>
  <c r="A8166" i="1"/>
  <c r="B8166" i="1"/>
  <c r="C8166" i="1"/>
  <c r="D8166" i="1"/>
  <c r="E8166" i="1"/>
  <c r="F8166" i="1"/>
  <c r="H8166" i="1"/>
  <c r="A8167" i="1"/>
  <c r="B8167" i="1"/>
  <c r="C8167" i="1"/>
  <c r="D8167" i="1"/>
  <c r="E8167" i="1"/>
  <c r="F8167" i="1"/>
  <c r="H8167" i="1"/>
  <c r="A8168" i="1"/>
  <c r="B8168" i="1"/>
  <c r="C8168" i="1"/>
  <c r="D8168" i="1"/>
  <c r="E8168" i="1"/>
  <c r="F8168" i="1"/>
  <c r="H8168" i="1"/>
  <c r="A8169" i="1"/>
  <c r="B8169" i="1"/>
  <c r="C8169" i="1"/>
  <c r="D8169" i="1"/>
  <c r="E8169" i="1"/>
  <c r="F8169" i="1"/>
  <c r="H8169" i="1"/>
  <c r="A8170" i="1"/>
  <c r="B8170" i="1"/>
  <c r="C8170" i="1"/>
  <c r="D8170" i="1"/>
  <c r="E8170" i="1"/>
  <c r="F8170" i="1"/>
  <c r="H8170" i="1"/>
  <c r="A8171" i="1"/>
  <c r="B8171" i="1"/>
  <c r="C8171" i="1"/>
  <c r="D8171" i="1"/>
  <c r="E8171" i="1"/>
  <c r="F8171" i="1"/>
  <c r="H8171" i="1"/>
  <c r="A8172" i="1"/>
  <c r="B8172" i="1"/>
  <c r="C8172" i="1"/>
  <c r="D8172" i="1"/>
  <c r="E8172" i="1"/>
  <c r="F8172" i="1"/>
  <c r="H8172" i="1"/>
  <c r="A8173" i="1"/>
  <c r="B8173" i="1"/>
  <c r="C8173" i="1"/>
  <c r="D8173" i="1"/>
  <c r="E8173" i="1"/>
  <c r="F8173" i="1"/>
  <c r="H8173" i="1"/>
  <c r="A8174" i="1"/>
  <c r="B8174" i="1"/>
  <c r="C8174" i="1"/>
  <c r="D8174" i="1"/>
  <c r="E8174" i="1"/>
  <c r="F8174" i="1"/>
  <c r="H8174" i="1"/>
  <c r="A8175" i="1"/>
  <c r="B8175" i="1"/>
  <c r="C8175" i="1"/>
  <c r="D8175" i="1"/>
  <c r="E8175" i="1"/>
  <c r="F8175" i="1"/>
  <c r="H8175" i="1"/>
  <c r="A8176" i="1"/>
  <c r="B8176" i="1"/>
  <c r="C8176" i="1"/>
  <c r="D8176" i="1"/>
  <c r="E8176" i="1"/>
  <c r="F8176" i="1"/>
  <c r="H8176" i="1"/>
  <c r="A8177" i="1"/>
  <c r="B8177" i="1"/>
  <c r="C8177" i="1"/>
  <c r="D8177" i="1"/>
  <c r="E8177" i="1"/>
  <c r="F8177" i="1"/>
  <c r="H8177" i="1"/>
  <c r="A8178" i="1"/>
  <c r="B8178" i="1"/>
  <c r="C8178" i="1"/>
  <c r="D8178" i="1"/>
  <c r="E8178" i="1"/>
  <c r="F8178" i="1"/>
  <c r="H8178" i="1"/>
  <c r="A8179" i="1"/>
  <c r="B8179" i="1"/>
  <c r="C8179" i="1"/>
  <c r="D8179" i="1"/>
  <c r="E8179" i="1"/>
  <c r="F8179" i="1"/>
  <c r="H8179" i="1"/>
  <c r="A8180" i="1"/>
  <c r="B8180" i="1"/>
  <c r="C8180" i="1"/>
  <c r="D8180" i="1"/>
  <c r="E8180" i="1"/>
  <c r="F8180" i="1"/>
  <c r="H8180" i="1"/>
  <c r="A8181" i="1"/>
  <c r="B8181" i="1"/>
  <c r="C8181" i="1"/>
  <c r="D8181" i="1"/>
  <c r="E8181" i="1"/>
  <c r="F8181" i="1"/>
  <c r="H8181" i="1"/>
  <c r="A8182" i="1"/>
  <c r="B8182" i="1"/>
  <c r="C8182" i="1"/>
  <c r="D8182" i="1"/>
  <c r="E8182" i="1"/>
  <c r="F8182" i="1"/>
  <c r="H8182" i="1"/>
  <c r="A8183" i="1"/>
  <c r="B8183" i="1"/>
  <c r="C8183" i="1"/>
  <c r="D8183" i="1"/>
  <c r="E8183" i="1"/>
  <c r="F8183" i="1"/>
  <c r="H8183" i="1"/>
  <c r="A8184" i="1"/>
  <c r="B8184" i="1"/>
  <c r="C8184" i="1"/>
  <c r="D8184" i="1"/>
  <c r="E8184" i="1"/>
  <c r="F8184" i="1"/>
  <c r="H8184" i="1"/>
  <c r="A8185" i="1"/>
  <c r="B8185" i="1"/>
  <c r="C8185" i="1"/>
  <c r="D8185" i="1"/>
  <c r="E8185" i="1"/>
  <c r="F8185" i="1"/>
  <c r="H8185" i="1"/>
  <c r="A8186" i="1"/>
  <c r="B8186" i="1"/>
  <c r="C8186" i="1"/>
  <c r="D8186" i="1"/>
  <c r="E8186" i="1"/>
  <c r="F8186" i="1"/>
  <c r="H8186" i="1"/>
  <c r="A8187" i="1"/>
  <c r="B8187" i="1"/>
  <c r="C8187" i="1"/>
  <c r="D8187" i="1"/>
  <c r="E8187" i="1"/>
  <c r="F8187" i="1"/>
  <c r="H8187" i="1"/>
  <c r="A8188" i="1"/>
  <c r="B8188" i="1"/>
  <c r="C8188" i="1"/>
  <c r="D8188" i="1"/>
  <c r="E8188" i="1"/>
  <c r="F8188" i="1"/>
  <c r="H8188" i="1"/>
  <c r="A8189" i="1"/>
  <c r="B8189" i="1"/>
  <c r="C8189" i="1"/>
  <c r="D8189" i="1"/>
  <c r="E8189" i="1"/>
  <c r="F8189" i="1"/>
  <c r="H8189" i="1"/>
  <c r="A8190" i="1"/>
  <c r="B8190" i="1"/>
  <c r="C8190" i="1"/>
  <c r="D8190" i="1"/>
  <c r="E8190" i="1"/>
  <c r="F8190" i="1"/>
  <c r="H8190" i="1"/>
  <c r="A8191" i="1"/>
  <c r="B8191" i="1"/>
  <c r="C8191" i="1"/>
  <c r="D8191" i="1"/>
  <c r="E8191" i="1"/>
  <c r="F8191" i="1"/>
  <c r="H8191" i="1"/>
  <c r="A8192" i="1"/>
  <c r="B8192" i="1"/>
  <c r="C8192" i="1"/>
  <c r="D8192" i="1"/>
  <c r="E8192" i="1"/>
  <c r="F8192" i="1"/>
  <c r="H8192" i="1"/>
  <c r="A8193" i="1"/>
  <c r="B8193" i="1"/>
  <c r="C8193" i="1"/>
  <c r="D8193" i="1"/>
  <c r="E8193" i="1"/>
  <c r="F8193" i="1"/>
  <c r="H8193" i="1"/>
  <c r="A8194" i="1"/>
  <c r="B8194" i="1"/>
  <c r="C8194" i="1"/>
  <c r="D8194" i="1"/>
  <c r="E8194" i="1"/>
  <c r="F8194" i="1"/>
  <c r="H8194" i="1"/>
  <c r="A8195" i="1"/>
  <c r="B8195" i="1"/>
  <c r="C8195" i="1"/>
  <c r="D8195" i="1"/>
  <c r="E8195" i="1"/>
  <c r="F8195" i="1"/>
  <c r="H8195" i="1"/>
  <c r="A8196" i="1"/>
  <c r="B8196" i="1"/>
  <c r="C8196" i="1"/>
  <c r="D8196" i="1"/>
  <c r="E8196" i="1"/>
  <c r="F8196" i="1"/>
  <c r="H8196" i="1"/>
  <c r="A8197" i="1"/>
  <c r="B8197" i="1"/>
  <c r="C8197" i="1"/>
  <c r="D8197" i="1"/>
  <c r="E8197" i="1"/>
  <c r="F8197" i="1"/>
  <c r="H8197" i="1"/>
  <c r="A8198" i="1"/>
  <c r="B8198" i="1"/>
  <c r="C8198" i="1"/>
  <c r="D8198" i="1"/>
  <c r="E8198" i="1"/>
  <c r="F8198" i="1"/>
  <c r="H8198" i="1"/>
  <c r="A8199" i="1"/>
  <c r="B8199" i="1"/>
  <c r="C8199" i="1"/>
  <c r="D8199" i="1"/>
  <c r="E8199" i="1"/>
  <c r="F8199" i="1"/>
  <c r="H8199" i="1"/>
  <c r="A8200" i="1"/>
  <c r="B8200" i="1"/>
  <c r="C8200" i="1"/>
  <c r="D8200" i="1"/>
  <c r="E8200" i="1"/>
  <c r="F8200" i="1"/>
  <c r="H8200" i="1"/>
  <c r="A8201" i="1"/>
  <c r="B8201" i="1"/>
  <c r="C8201" i="1"/>
  <c r="D8201" i="1"/>
  <c r="E8201" i="1"/>
  <c r="F8201" i="1"/>
  <c r="H8201" i="1"/>
  <c r="A8202" i="1"/>
  <c r="B8202" i="1"/>
  <c r="C8202" i="1"/>
  <c r="D8202" i="1"/>
  <c r="E8202" i="1"/>
  <c r="F8202" i="1"/>
  <c r="H8202" i="1"/>
  <c r="A8203" i="1"/>
  <c r="B8203" i="1"/>
  <c r="C8203" i="1"/>
  <c r="D8203" i="1"/>
  <c r="E8203" i="1"/>
  <c r="F8203" i="1"/>
  <c r="H8203" i="1"/>
  <c r="A8204" i="1"/>
  <c r="B8204" i="1"/>
  <c r="C8204" i="1"/>
  <c r="D8204" i="1"/>
  <c r="E8204" i="1"/>
  <c r="F8204" i="1"/>
  <c r="H8204" i="1"/>
  <c r="A8205" i="1"/>
  <c r="B8205" i="1"/>
  <c r="C8205" i="1"/>
  <c r="D8205" i="1"/>
  <c r="E8205" i="1"/>
  <c r="F8205" i="1"/>
  <c r="H8205" i="1"/>
  <c r="A8206" i="1"/>
  <c r="B8206" i="1"/>
  <c r="C8206" i="1"/>
  <c r="D8206" i="1"/>
  <c r="E8206" i="1"/>
  <c r="F8206" i="1"/>
  <c r="H8206" i="1"/>
  <c r="A8207" i="1"/>
  <c r="B8207" i="1"/>
  <c r="C8207" i="1"/>
  <c r="D8207" i="1"/>
  <c r="E8207" i="1"/>
  <c r="F8207" i="1"/>
  <c r="H8207" i="1"/>
  <c r="A8208" i="1"/>
  <c r="B8208" i="1"/>
  <c r="C8208" i="1"/>
  <c r="D8208" i="1"/>
  <c r="E8208" i="1"/>
  <c r="F8208" i="1"/>
  <c r="H8208" i="1"/>
  <c r="A8209" i="1"/>
  <c r="B8209" i="1"/>
  <c r="C8209" i="1"/>
  <c r="D8209" i="1"/>
  <c r="E8209" i="1"/>
  <c r="F8209" i="1"/>
  <c r="H8209" i="1"/>
  <c r="A8210" i="1"/>
  <c r="B8210" i="1"/>
  <c r="C8210" i="1"/>
  <c r="D8210" i="1"/>
  <c r="E8210" i="1"/>
  <c r="F8210" i="1"/>
  <c r="H8210" i="1"/>
  <c r="A8211" i="1"/>
  <c r="B8211" i="1"/>
  <c r="C8211" i="1"/>
  <c r="D8211" i="1"/>
  <c r="E8211" i="1"/>
  <c r="F8211" i="1"/>
  <c r="H8211" i="1"/>
  <c r="A8212" i="1"/>
  <c r="B8212" i="1"/>
  <c r="C8212" i="1"/>
  <c r="D8212" i="1"/>
  <c r="E8212" i="1"/>
  <c r="F8212" i="1"/>
  <c r="H8212" i="1"/>
  <c r="A8213" i="1"/>
  <c r="B8213" i="1"/>
  <c r="C8213" i="1"/>
  <c r="D8213" i="1"/>
  <c r="E8213" i="1"/>
  <c r="F8213" i="1"/>
  <c r="H8213" i="1"/>
  <c r="A8214" i="1"/>
  <c r="B8214" i="1"/>
  <c r="C8214" i="1"/>
  <c r="D8214" i="1"/>
  <c r="E8214" i="1"/>
  <c r="F8214" i="1"/>
  <c r="H8214" i="1"/>
  <c r="A8215" i="1"/>
  <c r="B8215" i="1"/>
  <c r="C8215" i="1"/>
  <c r="D8215" i="1"/>
  <c r="E8215" i="1"/>
  <c r="F8215" i="1"/>
  <c r="H8215" i="1"/>
  <c r="A8216" i="1"/>
  <c r="B8216" i="1"/>
  <c r="C8216" i="1"/>
  <c r="D8216" i="1"/>
  <c r="E8216" i="1"/>
  <c r="F8216" i="1"/>
  <c r="H8216" i="1"/>
  <c r="A8217" i="1"/>
  <c r="B8217" i="1"/>
  <c r="C8217" i="1"/>
  <c r="D8217" i="1"/>
  <c r="E8217" i="1"/>
  <c r="F8217" i="1"/>
  <c r="H8217" i="1"/>
  <c r="A8218" i="1"/>
  <c r="B8218" i="1"/>
  <c r="C8218" i="1"/>
  <c r="D8218" i="1"/>
  <c r="E8218" i="1"/>
  <c r="F8218" i="1"/>
  <c r="H8218" i="1"/>
  <c r="A8219" i="1"/>
  <c r="B8219" i="1"/>
  <c r="C8219" i="1"/>
  <c r="D8219" i="1"/>
  <c r="E8219" i="1"/>
  <c r="F8219" i="1"/>
  <c r="H8219" i="1"/>
  <c r="A8220" i="1"/>
  <c r="B8220" i="1"/>
  <c r="C8220" i="1"/>
  <c r="D8220" i="1"/>
  <c r="E8220" i="1"/>
  <c r="F8220" i="1"/>
  <c r="H8220" i="1"/>
  <c r="A8221" i="1"/>
  <c r="B8221" i="1"/>
  <c r="C8221" i="1"/>
  <c r="D8221" i="1"/>
  <c r="E8221" i="1"/>
  <c r="F8221" i="1"/>
  <c r="H8221" i="1"/>
  <c r="A8222" i="1"/>
  <c r="B8222" i="1"/>
  <c r="C8222" i="1"/>
  <c r="D8222" i="1"/>
  <c r="E8222" i="1"/>
  <c r="F8222" i="1"/>
  <c r="H8222" i="1"/>
  <c r="A8223" i="1"/>
  <c r="B8223" i="1"/>
  <c r="C8223" i="1"/>
  <c r="D8223" i="1"/>
  <c r="E8223" i="1"/>
  <c r="F8223" i="1"/>
  <c r="H8223" i="1"/>
  <c r="A8224" i="1"/>
  <c r="B8224" i="1"/>
  <c r="C8224" i="1"/>
  <c r="D8224" i="1"/>
  <c r="E8224" i="1"/>
  <c r="F8224" i="1"/>
  <c r="H8224" i="1"/>
  <c r="A8225" i="1"/>
  <c r="B8225" i="1"/>
  <c r="C8225" i="1"/>
  <c r="D8225" i="1"/>
  <c r="E8225" i="1"/>
  <c r="F8225" i="1"/>
  <c r="H8225" i="1"/>
  <c r="A8226" i="1"/>
  <c r="B8226" i="1"/>
  <c r="C8226" i="1"/>
  <c r="D8226" i="1"/>
  <c r="E8226" i="1"/>
  <c r="F8226" i="1"/>
  <c r="H8226" i="1"/>
  <c r="A8227" i="1"/>
  <c r="B8227" i="1"/>
  <c r="C8227" i="1"/>
  <c r="D8227" i="1"/>
  <c r="E8227" i="1"/>
  <c r="F8227" i="1"/>
  <c r="H8227" i="1"/>
  <c r="A8228" i="1"/>
  <c r="B8228" i="1"/>
  <c r="C8228" i="1"/>
  <c r="D8228" i="1"/>
  <c r="E8228" i="1"/>
  <c r="F8228" i="1"/>
  <c r="H8228" i="1"/>
  <c r="A8229" i="1"/>
  <c r="B8229" i="1"/>
  <c r="C8229" i="1"/>
  <c r="D8229" i="1"/>
  <c r="E8229" i="1"/>
  <c r="F8229" i="1"/>
  <c r="H8229" i="1"/>
  <c r="A8230" i="1"/>
  <c r="B8230" i="1"/>
  <c r="C8230" i="1"/>
  <c r="D8230" i="1"/>
  <c r="E8230" i="1"/>
  <c r="F8230" i="1"/>
  <c r="H8230" i="1"/>
  <c r="A8231" i="1"/>
  <c r="B8231" i="1"/>
  <c r="C8231" i="1"/>
  <c r="D8231" i="1"/>
  <c r="E8231" i="1"/>
  <c r="F8231" i="1"/>
  <c r="H8231" i="1"/>
  <c r="A8232" i="1"/>
  <c r="B8232" i="1"/>
  <c r="C8232" i="1"/>
  <c r="D8232" i="1"/>
  <c r="E8232" i="1"/>
  <c r="F8232" i="1"/>
  <c r="H8232" i="1"/>
  <c r="A8233" i="1"/>
  <c r="B8233" i="1"/>
  <c r="C8233" i="1"/>
  <c r="D8233" i="1"/>
  <c r="E8233" i="1"/>
  <c r="F8233" i="1"/>
  <c r="H8233" i="1"/>
  <c r="A8234" i="1"/>
  <c r="B8234" i="1"/>
  <c r="C8234" i="1"/>
  <c r="D8234" i="1"/>
  <c r="E8234" i="1"/>
  <c r="F8234" i="1"/>
  <c r="H8234" i="1"/>
  <c r="A8235" i="1"/>
  <c r="B8235" i="1"/>
  <c r="C8235" i="1"/>
  <c r="D8235" i="1"/>
  <c r="E8235" i="1"/>
  <c r="F8235" i="1"/>
  <c r="H8235" i="1"/>
  <c r="A8236" i="1"/>
  <c r="B8236" i="1"/>
  <c r="C8236" i="1"/>
  <c r="D8236" i="1"/>
  <c r="E8236" i="1"/>
  <c r="F8236" i="1"/>
  <c r="H8236" i="1"/>
  <c r="A8237" i="1"/>
  <c r="B8237" i="1"/>
  <c r="C8237" i="1"/>
  <c r="D8237" i="1"/>
  <c r="E8237" i="1"/>
  <c r="F8237" i="1"/>
  <c r="H8237" i="1"/>
  <c r="A8238" i="1"/>
  <c r="B8238" i="1"/>
  <c r="C8238" i="1"/>
  <c r="D8238" i="1"/>
  <c r="E8238" i="1"/>
  <c r="F8238" i="1"/>
  <c r="H8238" i="1"/>
  <c r="A8239" i="1"/>
  <c r="B8239" i="1"/>
  <c r="C8239" i="1"/>
  <c r="D8239" i="1"/>
  <c r="E8239" i="1"/>
  <c r="F8239" i="1"/>
  <c r="H8239" i="1"/>
  <c r="A8240" i="1"/>
  <c r="B8240" i="1"/>
  <c r="C8240" i="1"/>
  <c r="D8240" i="1"/>
  <c r="E8240" i="1"/>
  <c r="F8240" i="1"/>
  <c r="H8240" i="1"/>
  <c r="A8241" i="1"/>
  <c r="B8241" i="1"/>
  <c r="C8241" i="1"/>
  <c r="D8241" i="1"/>
  <c r="E8241" i="1"/>
  <c r="F8241" i="1"/>
  <c r="H8241" i="1"/>
  <c r="A8242" i="1"/>
  <c r="B8242" i="1"/>
  <c r="C8242" i="1"/>
  <c r="D8242" i="1"/>
  <c r="E8242" i="1"/>
  <c r="F8242" i="1"/>
  <c r="H8242" i="1"/>
  <c r="A8243" i="1"/>
  <c r="B8243" i="1"/>
  <c r="C8243" i="1"/>
  <c r="D8243" i="1"/>
  <c r="E8243" i="1"/>
  <c r="F8243" i="1"/>
  <c r="H8243" i="1"/>
  <c r="A8244" i="1"/>
  <c r="B8244" i="1"/>
  <c r="C8244" i="1"/>
  <c r="D8244" i="1"/>
  <c r="E8244" i="1"/>
  <c r="F8244" i="1"/>
  <c r="H8244" i="1"/>
  <c r="A8245" i="1"/>
  <c r="B8245" i="1"/>
  <c r="C8245" i="1"/>
  <c r="D8245" i="1"/>
  <c r="E8245" i="1"/>
  <c r="F8245" i="1"/>
  <c r="H8245" i="1"/>
  <c r="A8246" i="1"/>
  <c r="B8246" i="1"/>
  <c r="C8246" i="1"/>
  <c r="D8246" i="1"/>
  <c r="E8246" i="1"/>
  <c r="F8246" i="1"/>
  <c r="H8246" i="1"/>
  <c r="A8247" i="1"/>
  <c r="B8247" i="1"/>
  <c r="C8247" i="1"/>
  <c r="D8247" i="1"/>
  <c r="E8247" i="1"/>
  <c r="F8247" i="1"/>
  <c r="H8247" i="1"/>
  <c r="A8248" i="1"/>
  <c r="B8248" i="1"/>
  <c r="C8248" i="1"/>
  <c r="D8248" i="1"/>
  <c r="E8248" i="1"/>
  <c r="F8248" i="1"/>
  <c r="H8248" i="1"/>
  <c r="A8249" i="1"/>
  <c r="B8249" i="1"/>
  <c r="C8249" i="1"/>
  <c r="D8249" i="1"/>
  <c r="E8249" i="1"/>
  <c r="F8249" i="1"/>
  <c r="H8249" i="1"/>
  <c r="A8250" i="1"/>
  <c r="B8250" i="1"/>
  <c r="C8250" i="1"/>
  <c r="D8250" i="1"/>
  <c r="E8250" i="1"/>
  <c r="F8250" i="1"/>
  <c r="H8250" i="1"/>
  <c r="A8251" i="1"/>
  <c r="B8251" i="1"/>
  <c r="C8251" i="1"/>
  <c r="D8251" i="1"/>
  <c r="E8251" i="1"/>
  <c r="F8251" i="1"/>
  <c r="H8251" i="1"/>
  <c r="A8252" i="1"/>
  <c r="B8252" i="1"/>
  <c r="C8252" i="1"/>
  <c r="D8252" i="1"/>
  <c r="E8252" i="1"/>
  <c r="F8252" i="1"/>
  <c r="H8252" i="1"/>
  <c r="A8253" i="1"/>
  <c r="B8253" i="1"/>
  <c r="C8253" i="1"/>
  <c r="D8253" i="1"/>
  <c r="E8253" i="1"/>
  <c r="F8253" i="1"/>
  <c r="H8253" i="1"/>
  <c r="A8254" i="1"/>
  <c r="B8254" i="1"/>
  <c r="C8254" i="1"/>
  <c r="D8254" i="1"/>
  <c r="E8254" i="1"/>
  <c r="F8254" i="1"/>
  <c r="H8254" i="1"/>
  <c r="A8255" i="1"/>
  <c r="B8255" i="1"/>
  <c r="C8255" i="1"/>
  <c r="D8255" i="1"/>
  <c r="E8255" i="1"/>
  <c r="F8255" i="1"/>
  <c r="H8255" i="1"/>
  <c r="A8256" i="1"/>
  <c r="B8256" i="1"/>
  <c r="C8256" i="1"/>
  <c r="D8256" i="1"/>
  <c r="E8256" i="1"/>
  <c r="F8256" i="1"/>
  <c r="H8256" i="1"/>
  <c r="A8257" i="1"/>
  <c r="B8257" i="1"/>
  <c r="C8257" i="1"/>
  <c r="D8257" i="1"/>
  <c r="E8257" i="1"/>
  <c r="F8257" i="1"/>
  <c r="H8257" i="1"/>
  <c r="A8258" i="1"/>
  <c r="B8258" i="1"/>
  <c r="C8258" i="1"/>
  <c r="D8258" i="1"/>
  <c r="E8258" i="1"/>
  <c r="F8258" i="1"/>
  <c r="H8258" i="1"/>
  <c r="A8259" i="1"/>
  <c r="B8259" i="1"/>
  <c r="C8259" i="1"/>
  <c r="D8259" i="1"/>
  <c r="E8259" i="1"/>
  <c r="F8259" i="1"/>
  <c r="H8259" i="1"/>
  <c r="A8260" i="1"/>
  <c r="B8260" i="1"/>
  <c r="C8260" i="1"/>
  <c r="D8260" i="1"/>
  <c r="E8260" i="1"/>
  <c r="F8260" i="1"/>
  <c r="H8260" i="1"/>
  <c r="A8261" i="1"/>
  <c r="B8261" i="1"/>
  <c r="C8261" i="1"/>
  <c r="D8261" i="1"/>
  <c r="E8261" i="1"/>
  <c r="F8261" i="1"/>
  <c r="H8261" i="1"/>
  <c r="A8262" i="1"/>
  <c r="B8262" i="1"/>
  <c r="C8262" i="1"/>
  <c r="D8262" i="1"/>
  <c r="E8262" i="1"/>
  <c r="F8262" i="1"/>
  <c r="H8262" i="1"/>
  <c r="A8263" i="1"/>
  <c r="B8263" i="1"/>
  <c r="C8263" i="1"/>
  <c r="D8263" i="1"/>
  <c r="E8263" i="1"/>
  <c r="F8263" i="1"/>
  <c r="H8263" i="1"/>
  <c r="A8264" i="1"/>
  <c r="B8264" i="1"/>
  <c r="C8264" i="1"/>
  <c r="D8264" i="1"/>
  <c r="E8264" i="1"/>
  <c r="F8264" i="1"/>
  <c r="H8264" i="1"/>
  <c r="A8265" i="1"/>
  <c r="B8265" i="1"/>
  <c r="C8265" i="1"/>
  <c r="D8265" i="1"/>
  <c r="E8265" i="1"/>
  <c r="F8265" i="1"/>
  <c r="H8265" i="1"/>
  <c r="A8266" i="1"/>
  <c r="B8266" i="1"/>
  <c r="C8266" i="1"/>
  <c r="D8266" i="1"/>
  <c r="E8266" i="1"/>
  <c r="F8266" i="1"/>
  <c r="H8266" i="1"/>
  <c r="A8267" i="1"/>
  <c r="B8267" i="1"/>
  <c r="C8267" i="1"/>
  <c r="D8267" i="1"/>
  <c r="E8267" i="1"/>
  <c r="F8267" i="1"/>
  <c r="H8267" i="1"/>
  <c r="A8268" i="1"/>
  <c r="B8268" i="1"/>
  <c r="C8268" i="1"/>
  <c r="D8268" i="1"/>
  <c r="E8268" i="1"/>
  <c r="F8268" i="1"/>
  <c r="H8268" i="1"/>
  <c r="A8269" i="1"/>
  <c r="B8269" i="1"/>
  <c r="C8269" i="1"/>
  <c r="D8269" i="1"/>
  <c r="E8269" i="1"/>
  <c r="F8269" i="1"/>
  <c r="H8269" i="1"/>
  <c r="A8270" i="1"/>
  <c r="B8270" i="1"/>
  <c r="C8270" i="1"/>
  <c r="D8270" i="1"/>
  <c r="E8270" i="1"/>
  <c r="F8270" i="1"/>
  <c r="H8270" i="1"/>
  <c r="A8271" i="1"/>
  <c r="B8271" i="1"/>
  <c r="C8271" i="1"/>
  <c r="D8271" i="1"/>
  <c r="E8271" i="1"/>
  <c r="F8271" i="1"/>
  <c r="H8271" i="1"/>
  <c r="A8272" i="1"/>
  <c r="B8272" i="1"/>
  <c r="C8272" i="1"/>
  <c r="D8272" i="1"/>
  <c r="E8272" i="1"/>
  <c r="F8272" i="1"/>
  <c r="H8272" i="1"/>
  <c r="A8273" i="1"/>
  <c r="B8273" i="1"/>
  <c r="C8273" i="1"/>
  <c r="D8273" i="1"/>
  <c r="E8273" i="1"/>
  <c r="F8273" i="1"/>
  <c r="H8273" i="1"/>
  <c r="A8274" i="1"/>
  <c r="B8274" i="1"/>
  <c r="C8274" i="1"/>
  <c r="D8274" i="1"/>
  <c r="E8274" i="1"/>
  <c r="F8274" i="1"/>
  <c r="H8274" i="1"/>
  <c r="A8275" i="1"/>
  <c r="B8275" i="1"/>
  <c r="C8275" i="1"/>
  <c r="D8275" i="1"/>
  <c r="E8275" i="1"/>
  <c r="F8275" i="1"/>
  <c r="H8275" i="1"/>
  <c r="A8276" i="1"/>
  <c r="B8276" i="1"/>
  <c r="C8276" i="1"/>
  <c r="D8276" i="1"/>
  <c r="E8276" i="1"/>
  <c r="F8276" i="1"/>
  <c r="H8276" i="1"/>
  <c r="A8277" i="1"/>
  <c r="B8277" i="1"/>
  <c r="C8277" i="1"/>
  <c r="D8277" i="1"/>
  <c r="E8277" i="1"/>
  <c r="F8277" i="1"/>
  <c r="H8277" i="1"/>
  <c r="A8278" i="1"/>
  <c r="B8278" i="1"/>
  <c r="C8278" i="1"/>
  <c r="D8278" i="1"/>
  <c r="E8278" i="1"/>
  <c r="F8278" i="1"/>
  <c r="H8278" i="1"/>
  <c r="A8279" i="1"/>
  <c r="B8279" i="1"/>
  <c r="C8279" i="1"/>
  <c r="D8279" i="1"/>
  <c r="E8279" i="1"/>
  <c r="F8279" i="1"/>
  <c r="H8279" i="1"/>
  <c r="A8280" i="1"/>
  <c r="B8280" i="1"/>
  <c r="C8280" i="1"/>
  <c r="D8280" i="1"/>
  <c r="E8280" i="1"/>
  <c r="F8280" i="1"/>
  <c r="H8280" i="1"/>
  <c r="A8281" i="1"/>
  <c r="B8281" i="1"/>
  <c r="C8281" i="1"/>
  <c r="D8281" i="1"/>
  <c r="E8281" i="1"/>
  <c r="F8281" i="1"/>
  <c r="H8281" i="1"/>
  <c r="A8282" i="1"/>
  <c r="B8282" i="1"/>
  <c r="C8282" i="1"/>
  <c r="D8282" i="1"/>
  <c r="E8282" i="1"/>
  <c r="F8282" i="1"/>
  <c r="H8282" i="1"/>
  <c r="A8283" i="1"/>
  <c r="B8283" i="1"/>
  <c r="C8283" i="1"/>
  <c r="D8283" i="1"/>
  <c r="E8283" i="1"/>
  <c r="F8283" i="1"/>
  <c r="H8283" i="1"/>
  <c r="A8284" i="1"/>
  <c r="B8284" i="1"/>
  <c r="C8284" i="1"/>
  <c r="D8284" i="1"/>
  <c r="E8284" i="1"/>
  <c r="F8284" i="1"/>
  <c r="H8284" i="1"/>
  <c r="A8285" i="1"/>
  <c r="B8285" i="1"/>
  <c r="C8285" i="1"/>
  <c r="D8285" i="1"/>
  <c r="E8285" i="1"/>
  <c r="F8285" i="1"/>
  <c r="H8285" i="1"/>
  <c r="A8286" i="1"/>
  <c r="B8286" i="1"/>
  <c r="C8286" i="1"/>
  <c r="D8286" i="1"/>
  <c r="E8286" i="1"/>
  <c r="F8286" i="1"/>
  <c r="H8286" i="1"/>
  <c r="A8287" i="1"/>
  <c r="B8287" i="1"/>
  <c r="C8287" i="1"/>
  <c r="D8287" i="1"/>
  <c r="E8287" i="1"/>
  <c r="F8287" i="1"/>
  <c r="H8287" i="1"/>
  <c r="A8288" i="1"/>
  <c r="B8288" i="1"/>
  <c r="C8288" i="1"/>
  <c r="D8288" i="1"/>
  <c r="E8288" i="1"/>
  <c r="F8288" i="1"/>
  <c r="H8288" i="1"/>
  <c r="A8289" i="1"/>
  <c r="B8289" i="1"/>
  <c r="C8289" i="1"/>
  <c r="D8289" i="1"/>
  <c r="E8289" i="1"/>
  <c r="F8289" i="1"/>
  <c r="H8289" i="1"/>
  <c r="A8290" i="1"/>
  <c r="B8290" i="1"/>
  <c r="C8290" i="1"/>
  <c r="D8290" i="1"/>
  <c r="E8290" i="1"/>
  <c r="F8290" i="1"/>
  <c r="H8290" i="1"/>
  <c r="A8291" i="1"/>
  <c r="B8291" i="1"/>
  <c r="C8291" i="1"/>
  <c r="D8291" i="1"/>
  <c r="E8291" i="1"/>
  <c r="F8291" i="1"/>
  <c r="H8291" i="1"/>
  <c r="A8292" i="1"/>
  <c r="B8292" i="1"/>
  <c r="C8292" i="1"/>
  <c r="D8292" i="1"/>
  <c r="E8292" i="1"/>
  <c r="F8292" i="1"/>
  <c r="H8292" i="1"/>
  <c r="A8293" i="1"/>
  <c r="B8293" i="1"/>
  <c r="C8293" i="1"/>
  <c r="D8293" i="1"/>
  <c r="E8293" i="1"/>
  <c r="F8293" i="1"/>
  <c r="H8293" i="1"/>
  <c r="A8294" i="1"/>
  <c r="B8294" i="1"/>
  <c r="C8294" i="1"/>
  <c r="D8294" i="1"/>
  <c r="E8294" i="1"/>
  <c r="F8294" i="1"/>
  <c r="H8294" i="1"/>
  <c r="A8295" i="1"/>
  <c r="B8295" i="1"/>
  <c r="C8295" i="1"/>
  <c r="D8295" i="1"/>
  <c r="E8295" i="1"/>
  <c r="F8295" i="1"/>
  <c r="H8295" i="1"/>
  <c r="A8296" i="1"/>
  <c r="B8296" i="1"/>
  <c r="C8296" i="1"/>
  <c r="D8296" i="1"/>
  <c r="E8296" i="1"/>
  <c r="F8296" i="1"/>
  <c r="H8296" i="1"/>
  <c r="A8297" i="1"/>
  <c r="B8297" i="1"/>
  <c r="C8297" i="1"/>
  <c r="D8297" i="1"/>
  <c r="E8297" i="1"/>
  <c r="F8297" i="1"/>
  <c r="H8297" i="1"/>
  <c r="A8298" i="1"/>
  <c r="B8298" i="1"/>
  <c r="C8298" i="1"/>
  <c r="D8298" i="1"/>
  <c r="E8298" i="1"/>
  <c r="F8298" i="1"/>
  <c r="H8298" i="1"/>
  <c r="A8299" i="1"/>
  <c r="B8299" i="1"/>
  <c r="C8299" i="1"/>
  <c r="D8299" i="1"/>
  <c r="E8299" i="1"/>
  <c r="F8299" i="1"/>
  <c r="H8299" i="1"/>
  <c r="A8300" i="1"/>
  <c r="B8300" i="1"/>
  <c r="C8300" i="1"/>
  <c r="D8300" i="1"/>
  <c r="E8300" i="1"/>
  <c r="F8300" i="1"/>
  <c r="H8300" i="1"/>
  <c r="A8301" i="1"/>
  <c r="B8301" i="1"/>
  <c r="C8301" i="1"/>
  <c r="D8301" i="1"/>
  <c r="E8301" i="1"/>
  <c r="F8301" i="1"/>
  <c r="H8301" i="1"/>
  <c r="A8302" i="1"/>
  <c r="B8302" i="1"/>
  <c r="C8302" i="1"/>
  <c r="D8302" i="1"/>
  <c r="E8302" i="1"/>
  <c r="F8302" i="1"/>
  <c r="H8302" i="1"/>
  <c r="A8303" i="1"/>
  <c r="B8303" i="1"/>
  <c r="C8303" i="1"/>
  <c r="D8303" i="1"/>
  <c r="E8303" i="1"/>
  <c r="F8303" i="1"/>
  <c r="H8303" i="1"/>
  <c r="A8304" i="1"/>
  <c r="B8304" i="1"/>
  <c r="C8304" i="1"/>
  <c r="D8304" i="1"/>
  <c r="E8304" i="1"/>
  <c r="F8304" i="1"/>
  <c r="H8304" i="1"/>
  <c r="A8305" i="1"/>
  <c r="B8305" i="1"/>
  <c r="C8305" i="1"/>
  <c r="D8305" i="1"/>
  <c r="E8305" i="1"/>
  <c r="F8305" i="1"/>
  <c r="H8305" i="1"/>
  <c r="A8306" i="1"/>
  <c r="B8306" i="1"/>
  <c r="C8306" i="1"/>
  <c r="D8306" i="1"/>
  <c r="E8306" i="1"/>
  <c r="F8306" i="1"/>
  <c r="H8306" i="1"/>
  <c r="A8307" i="1"/>
  <c r="B8307" i="1"/>
  <c r="C8307" i="1"/>
  <c r="D8307" i="1"/>
  <c r="E8307" i="1"/>
  <c r="F8307" i="1"/>
  <c r="H8307" i="1"/>
  <c r="A8308" i="1"/>
  <c r="B8308" i="1"/>
  <c r="C8308" i="1"/>
  <c r="D8308" i="1"/>
  <c r="E8308" i="1"/>
  <c r="F8308" i="1"/>
  <c r="H8308" i="1"/>
  <c r="A8309" i="1"/>
  <c r="B8309" i="1"/>
  <c r="C8309" i="1"/>
  <c r="D8309" i="1"/>
  <c r="E8309" i="1"/>
  <c r="F8309" i="1"/>
  <c r="H8309" i="1"/>
  <c r="A8310" i="1"/>
  <c r="B8310" i="1"/>
  <c r="C8310" i="1"/>
  <c r="D8310" i="1"/>
  <c r="E8310" i="1"/>
  <c r="F8310" i="1"/>
  <c r="H8310" i="1"/>
  <c r="A8311" i="1"/>
  <c r="B8311" i="1"/>
  <c r="C8311" i="1"/>
  <c r="D8311" i="1"/>
  <c r="E8311" i="1"/>
  <c r="F8311" i="1"/>
  <c r="H8311" i="1"/>
  <c r="A8312" i="1"/>
  <c r="B8312" i="1"/>
  <c r="C8312" i="1"/>
  <c r="D8312" i="1"/>
  <c r="E8312" i="1"/>
  <c r="F8312" i="1"/>
  <c r="H8312" i="1"/>
  <c r="A8313" i="1"/>
  <c r="B8313" i="1"/>
  <c r="C8313" i="1"/>
  <c r="D8313" i="1"/>
  <c r="E8313" i="1"/>
  <c r="F8313" i="1"/>
  <c r="H8313" i="1"/>
  <c r="A8314" i="1"/>
  <c r="B8314" i="1"/>
  <c r="C8314" i="1"/>
  <c r="D8314" i="1"/>
  <c r="E8314" i="1"/>
  <c r="F8314" i="1"/>
  <c r="H8314" i="1"/>
  <c r="A8315" i="1"/>
  <c r="B8315" i="1"/>
  <c r="C8315" i="1"/>
  <c r="D8315" i="1"/>
  <c r="E8315" i="1"/>
  <c r="F8315" i="1"/>
  <c r="H8315" i="1"/>
  <c r="A8316" i="1"/>
  <c r="B8316" i="1"/>
  <c r="C8316" i="1"/>
  <c r="D8316" i="1"/>
  <c r="E8316" i="1"/>
  <c r="F8316" i="1"/>
  <c r="H8316" i="1"/>
  <c r="A8317" i="1"/>
  <c r="B8317" i="1"/>
  <c r="C8317" i="1"/>
  <c r="D8317" i="1"/>
  <c r="E8317" i="1"/>
  <c r="F8317" i="1"/>
  <c r="H8317" i="1"/>
  <c r="A8318" i="1"/>
  <c r="B8318" i="1"/>
  <c r="C8318" i="1"/>
  <c r="D8318" i="1"/>
  <c r="E8318" i="1"/>
  <c r="F8318" i="1"/>
  <c r="H8318" i="1"/>
  <c r="A8319" i="1"/>
  <c r="B8319" i="1"/>
  <c r="C8319" i="1"/>
  <c r="D8319" i="1"/>
  <c r="E8319" i="1"/>
  <c r="F8319" i="1"/>
  <c r="H8319" i="1"/>
  <c r="A8320" i="1"/>
  <c r="B8320" i="1"/>
  <c r="C8320" i="1"/>
  <c r="D8320" i="1"/>
  <c r="E8320" i="1"/>
  <c r="F8320" i="1"/>
  <c r="H8320" i="1"/>
  <c r="A8321" i="1"/>
  <c r="B8321" i="1"/>
  <c r="C8321" i="1"/>
  <c r="D8321" i="1"/>
  <c r="E8321" i="1"/>
  <c r="F8321" i="1"/>
  <c r="H8321" i="1"/>
  <c r="A8322" i="1"/>
  <c r="B8322" i="1"/>
  <c r="C8322" i="1"/>
  <c r="D8322" i="1"/>
  <c r="E8322" i="1"/>
  <c r="F8322" i="1"/>
  <c r="H8322" i="1"/>
  <c r="A8323" i="1"/>
  <c r="B8323" i="1"/>
  <c r="C8323" i="1"/>
  <c r="D8323" i="1"/>
  <c r="E8323" i="1"/>
  <c r="F8323" i="1"/>
  <c r="H8323" i="1"/>
  <c r="A8324" i="1"/>
  <c r="B8324" i="1"/>
  <c r="C8324" i="1"/>
  <c r="D8324" i="1"/>
  <c r="E8324" i="1"/>
  <c r="F8324" i="1"/>
  <c r="H8324" i="1"/>
  <c r="A8325" i="1"/>
  <c r="B8325" i="1"/>
  <c r="C8325" i="1"/>
  <c r="D8325" i="1"/>
  <c r="E8325" i="1"/>
  <c r="F8325" i="1"/>
  <c r="H8325" i="1"/>
  <c r="A8326" i="1"/>
  <c r="B8326" i="1"/>
  <c r="C8326" i="1"/>
  <c r="D8326" i="1"/>
  <c r="E8326" i="1"/>
  <c r="F8326" i="1"/>
  <c r="H8326" i="1"/>
  <c r="A8327" i="1"/>
  <c r="B8327" i="1"/>
  <c r="C8327" i="1"/>
  <c r="D8327" i="1"/>
  <c r="E8327" i="1"/>
  <c r="F8327" i="1"/>
  <c r="H8327" i="1"/>
  <c r="A8328" i="1"/>
  <c r="B8328" i="1"/>
  <c r="C8328" i="1"/>
  <c r="D8328" i="1"/>
  <c r="E8328" i="1"/>
  <c r="F8328" i="1"/>
  <c r="H8328" i="1"/>
  <c r="A8329" i="1"/>
  <c r="B8329" i="1"/>
  <c r="C8329" i="1"/>
  <c r="D8329" i="1"/>
  <c r="E8329" i="1"/>
  <c r="F8329" i="1"/>
  <c r="H8329" i="1"/>
  <c r="A8330" i="1"/>
  <c r="B8330" i="1"/>
  <c r="C8330" i="1"/>
  <c r="D8330" i="1"/>
  <c r="E8330" i="1"/>
  <c r="F8330" i="1"/>
  <c r="H8330" i="1"/>
  <c r="A8331" i="1"/>
  <c r="B8331" i="1"/>
  <c r="C8331" i="1"/>
  <c r="D8331" i="1"/>
  <c r="E8331" i="1"/>
  <c r="F8331" i="1"/>
  <c r="H8331" i="1"/>
  <c r="A8332" i="1"/>
  <c r="B8332" i="1"/>
  <c r="C8332" i="1"/>
  <c r="D8332" i="1"/>
  <c r="E8332" i="1"/>
  <c r="F8332" i="1"/>
  <c r="H8332" i="1"/>
  <c r="A8333" i="1"/>
  <c r="B8333" i="1"/>
  <c r="C8333" i="1"/>
  <c r="D8333" i="1"/>
  <c r="E8333" i="1"/>
  <c r="F8333" i="1"/>
  <c r="H8333" i="1"/>
  <c r="A8334" i="1"/>
  <c r="B8334" i="1"/>
  <c r="C8334" i="1"/>
  <c r="D8334" i="1"/>
  <c r="E8334" i="1"/>
  <c r="F8334" i="1"/>
  <c r="H8334" i="1"/>
  <c r="A8335" i="1"/>
  <c r="B8335" i="1"/>
  <c r="C8335" i="1"/>
  <c r="D8335" i="1"/>
  <c r="E8335" i="1"/>
  <c r="F8335" i="1"/>
  <c r="H8335" i="1"/>
  <c r="A8336" i="1"/>
  <c r="B8336" i="1"/>
  <c r="C8336" i="1"/>
  <c r="D8336" i="1"/>
  <c r="E8336" i="1"/>
  <c r="F8336" i="1"/>
  <c r="H8336" i="1"/>
  <c r="A8337" i="1"/>
  <c r="B8337" i="1"/>
  <c r="C8337" i="1"/>
  <c r="D8337" i="1"/>
  <c r="E8337" i="1"/>
  <c r="F8337" i="1"/>
  <c r="H8337" i="1"/>
  <c r="A8338" i="1"/>
  <c r="B8338" i="1"/>
  <c r="C8338" i="1"/>
  <c r="D8338" i="1"/>
  <c r="E8338" i="1"/>
  <c r="F8338" i="1"/>
  <c r="H8338" i="1"/>
  <c r="A8339" i="1"/>
  <c r="B8339" i="1"/>
  <c r="C8339" i="1"/>
  <c r="D8339" i="1"/>
  <c r="E8339" i="1"/>
  <c r="F8339" i="1"/>
  <c r="H8339" i="1"/>
  <c r="A8340" i="1"/>
  <c r="B8340" i="1"/>
  <c r="C8340" i="1"/>
  <c r="D8340" i="1"/>
  <c r="E8340" i="1"/>
  <c r="F8340" i="1"/>
  <c r="H8340" i="1"/>
  <c r="A8341" i="1"/>
  <c r="B8341" i="1"/>
  <c r="C8341" i="1"/>
  <c r="D8341" i="1"/>
  <c r="E8341" i="1"/>
  <c r="F8341" i="1"/>
  <c r="H8341" i="1"/>
  <c r="A8342" i="1"/>
  <c r="B8342" i="1"/>
  <c r="C8342" i="1"/>
  <c r="D8342" i="1"/>
  <c r="E8342" i="1"/>
  <c r="F8342" i="1"/>
  <c r="H8342" i="1"/>
  <c r="A8343" i="1"/>
  <c r="B8343" i="1"/>
  <c r="C8343" i="1"/>
  <c r="D8343" i="1"/>
  <c r="E8343" i="1"/>
  <c r="F8343" i="1"/>
  <c r="H8343" i="1"/>
  <c r="A8344" i="1"/>
  <c r="B8344" i="1"/>
  <c r="C8344" i="1"/>
  <c r="D8344" i="1"/>
  <c r="E8344" i="1"/>
  <c r="F8344" i="1"/>
  <c r="H8344" i="1"/>
  <c r="A8345" i="1"/>
  <c r="B8345" i="1"/>
  <c r="C8345" i="1"/>
  <c r="D8345" i="1"/>
  <c r="E8345" i="1"/>
  <c r="F8345" i="1"/>
  <c r="H8345" i="1"/>
  <c r="A8346" i="1"/>
  <c r="B8346" i="1"/>
  <c r="C8346" i="1"/>
  <c r="D8346" i="1"/>
  <c r="E8346" i="1"/>
  <c r="F8346" i="1"/>
  <c r="H8346" i="1"/>
  <c r="A8347" i="1"/>
  <c r="B8347" i="1"/>
  <c r="C8347" i="1"/>
  <c r="D8347" i="1"/>
  <c r="E8347" i="1"/>
  <c r="F8347" i="1"/>
  <c r="H8347" i="1"/>
  <c r="A8348" i="1"/>
  <c r="B8348" i="1"/>
  <c r="C8348" i="1"/>
  <c r="D8348" i="1"/>
  <c r="E8348" i="1"/>
  <c r="F8348" i="1"/>
  <c r="H8348" i="1"/>
  <c r="A8349" i="1"/>
  <c r="B8349" i="1"/>
  <c r="C8349" i="1"/>
  <c r="D8349" i="1"/>
  <c r="E8349" i="1"/>
  <c r="F8349" i="1"/>
  <c r="H8349" i="1"/>
  <c r="A8350" i="1"/>
  <c r="B8350" i="1"/>
  <c r="C8350" i="1"/>
  <c r="D8350" i="1"/>
  <c r="E8350" i="1"/>
  <c r="F8350" i="1"/>
  <c r="H8350" i="1"/>
  <c r="A8351" i="1"/>
  <c r="B8351" i="1"/>
  <c r="C8351" i="1"/>
  <c r="D8351" i="1"/>
  <c r="E8351" i="1"/>
  <c r="F8351" i="1"/>
  <c r="H8351" i="1"/>
  <c r="A8352" i="1"/>
  <c r="B8352" i="1"/>
  <c r="C8352" i="1"/>
  <c r="D8352" i="1"/>
  <c r="E8352" i="1"/>
  <c r="F8352" i="1"/>
  <c r="H8352" i="1"/>
  <c r="A8353" i="1"/>
  <c r="B8353" i="1"/>
  <c r="C8353" i="1"/>
  <c r="D8353" i="1"/>
  <c r="E8353" i="1"/>
  <c r="F8353" i="1"/>
  <c r="H8353" i="1"/>
  <c r="A8354" i="1"/>
  <c r="B8354" i="1"/>
  <c r="C8354" i="1"/>
  <c r="D8354" i="1"/>
  <c r="E8354" i="1"/>
  <c r="F8354" i="1"/>
  <c r="H8354" i="1"/>
  <c r="A8355" i="1"/>
  <c r="B8355" i="1"/>
  <c r="C8355" i="1"/>
  <c r="D8355" i="1"/>
  <c r="E8355" i="1"/>
  <c r="F8355" i="1"/>
  <c r="H8355" i="1"/>
  <c r="A8356" i="1"/>
  <c r="B8356" i="1"/>
  <c r="C8356" i="1"/>
  <c r="D8356" i="1"/>
  <c r="E8356" i="1"/>
  <c r="F8356" i="1"/>
  <c r="H8356" i="1"/>
  <c r="A8357" i="1"/>
  <c r="B8357" i="1"/>
  <c r="C8357" i="1"/>
  <c r="D8357" i="1"/>
  <c r="E8357" i="1"/>
  <c r="F8357" i="1"/>
  <c r="H8357" i="1"/>
  <c r="A8358" i="1"/>
  <c r="B8358" i="1"/>
  <c r="C8358" i="1"/>
  <c r="D8358" i="1"/>
  <c r="E8358" i="1"/>
  <c r="F8358" i="1"/>
  <c r="H8358" i="1"/>
  <c r="A8359" i="1"/>
  <c r="B8359" i="1"/>
  <c r="C8359" i="1"/>
  <c r="D8359" i="1"/>
  <c r="E8359" i="1"/>
  <c r="F8359" i="1"/>
  <c r="H8359" i="1"/>
  <c r="A8360" i="1"/>
  <c r="B8360" i="1"/>
  <c r="C8360" i="1"/>
  <c r="D8360" i="1"/>
  <c r="E8360" i="1"/>
  <c r="F8360" i="1"/>
  <c r="H8360" i="1"/>
  <c r="A8361" i="1"/>
  <c r="B8361" i="1"/>
  <c r="C8361" i="1"/>
  <c r="D8361" i="1"/>
  <c r="E8361" i="1"/>
  <c r="F8361" i="1"/>
  <c r="H8361" i="1"/>
  <c r="A8362" i="1"/>
  <c r="B8362" i="1"/>
  <c r="C8362" i="1"/>
  <c r="D8362" i="1"/>
  <c r="E8362" i="1"/>
  <c r="F8362" i="1"/>
  <c r="H8362" i="1"/>
  <c r="A8363" i="1"/>
  <c r="B8363" i="1"/>
  <c r="C8363" i="1"/>
  <c r="D8363" i="1"/>
  <c r="E8363" i="1"/>
  <c r="F8363" i="1"/>
  <c r="H8363" i="1"/>
  <c r="A8364" i="1"/>
  <c r="B8364" i="1"/>
  <c r="C8364" i="1"/>
  <c r="D8364" i="1"/>
  <c r="E8364" i="1"/>
  <c r="F8364" i="1"/>
  <c r="H8364" i="1"/>
  <c r="A8365" i="1"/>
  <c r="B8365" i="1"/>
  <c r="C8365" i="1"/>
  <c r="D8365" i="1"/>
  <c r="E8365" i="1"/>
  <c r="F8365" i="1"/>
  <c r="H8365" i="1"/>
  <c r="A8366" i="1"/>
  <c r="B8366" i="1"/>
  <c r="C8366" i="1"/>
  <c r="D8366" i="1"/>
  <c r="E8366" i="1"/>
  <c r="F8366" i="1"/>
  <c r="H8366" i="1"/>
  <c r="A8367" i="1"/>
  <c r="B8367" i="1"/>
  <c r="C8367" i="1"/>
  <c r="D8367" i="1"/>
  <c r="E8367" i="1"/>
  <c r="F8367" i="1"/>
  <c r="H8367" i="1"/>
  <c r="A8368" i="1"/>
  <c r="B8368" i="1"/>
  <c r="C8368" i="1"/>
  <c r="D8368" i="1"/>
  <c r="E8368" i="1"/>
  <c r="F8368" i="1"/>
  <c r="H8368" i="1"/>
  <c r="A8369" i="1"/>
  <c r="B8369" i="1"/>
  <c r="C8369" i="1"/>
  <c r="D8369" i="1"/>
  <c r="E8369" i="1"/>
  <c r="F8369" i="1"/>
  <c r="H8369" i="1"/>
  <c r="A8370" i="1"/>
  <c r="B8370" i="1"/>
  <c r="C8370" i="1"/>
  <c r="D8370" i="1"/>
  <c r="E8370" i="1"/>
  <c r="F8370" i="1"/>
  <c r="H8370" i="1"/>
  <c r="A8371" i="1"/>
  <c r="B8371" i="1"/>
  <c r="C8371" i="1"/>
  <c r="D8371" i="1"/>
  <c r="E8371" i="1"/>
  <c r="F8371" i="1"/>
  <c r="H8371" i="1"/>
  <c r="A8372" i="1"/>
  <c r="B8372" i="1"/>
  <c r="C8372" i="1"/>
  <c r="D8372" i="1"/>
  <c r="E8372" i="1"/>
  <c r="F8372" i="1"/>
  <c r="H8372" i="1"/>
  <c r="A8373" i="1"/>
  <c r="B8373" i="1"/>
  <c r="C8373" i="1"/>
  <c r="D8373" i="1"/>
  <c r="E8373" i="1"/>
  <c r="F8373" i="1"/>
  <c r="H8373" i="1"/>
  <c r="A8374" i="1"/>
  <c r="B8374" i="1"/>
  <c r="C8374" i="1"/>
  <c r="D8374" i="1"/>
  <c r="E8374" i="1"/>
  <c r="F8374" i="1"/>
  <c r="H8374" i="1"/>
  <c r="A8375" i="1"/>
  <c r="B8375" i="1"/>
  <c r="C8375" i="1"/>
  <c r="D8375" i="1"/>
  <c r="E8375" i="1"/>
  <c r="F8375" i="1"/>
  <c r="H8375" i="1"/>
  <c r="A8376" i="1"/>
  <c r="B8376" i="1"/>
  <c r="C8376" i="1"/>
  <c r="D8376" i="1"/>
  <c r="E8376" i="1"/>
  <c r="F8376" i="1"/>
  <c r="H8376" i="1"/>
  <c r="A8377" i="1"/>
  <c r="B8377" i="1"/>
  <c r="C8377" i="1"/>
  <c r="D8377" i="1"/>
  <c r="E8377" i="1"/>
  <c r="F8377" i="1"/>
  <c r="H8377" i="1"/>
  <c r="A8378" i="1"/>
  <c r="B8378" i="1"/>
  <c r="C8378" i="1"/>
  <c r="D8378" i="1"/>
  <c r="E8378" i="1"/>
  <c r="F8378" i="1"/>
  <c r="H8378" i="1"/>
  <c r="A8379" i="1"/>
  <c r="B8379" i="1"/>
  <c r="C8379" i="1"/>
  <c r="D8379" i="1"/>
  <c r="E8379" i="1"/>
  <c r="F8379" i="1"/>
  <c r="H8379" i="1"/>
  <c r="A8380" i="1"/>
  <c r="B8380" i="1"/>
  <c r="C8380" i="1"/>
  <c r="D8380" i="1"/>
  <c r="E8380" i="1"/>
  <c r="F8380" i="1"/>
  <c r="H8380" i="1"/>
  <c r="A8381" i="1"/>
  <c r="B8381" i="1"/>
  <c r="C8381" i="1"/>
  <c r="D8381" i="1"/>
  <c r="E8381" i="1"/>
  <c r="F8381" i="1"/>
  <c r="H8381" i="1"/>
  <c r="A8382" i="1"/>
  <c r="B8382" i="1"/>
  <c r="C8382" i="1"/>
  <c r="D8382" i="1"/>
  <c r="E8382" i="1"/>
  <c r="F8382" i="1"/>
  <c r="H8382" i="1"/>
  <c r="A8383" i="1"/>
  <c r="B8383" i="1"/>
  <c r="C8383" i="1"/>
  <c r="D8383" i="1"/>
  <c r="E8383" i="1"/>
  <c r="F8383" i="1"/>
  <c r="H8383" i="1"/>
  <c r="A8384" i="1"/>
  <c r="B8384" i="1"/>
  <c r="C8384" i="1"/>
  <c r="D8384" i="1"/>
  <c r="E8384" i="1"/>
  <c r="F8384" i="1"/>
  <c r="H8384" i="1"/>
  <c r="A8385" i="1"/>
  <c r="B8385" i="1"/>
  <c r="C8385" i="1"/>
  <c r="D8385" i="1"/>
  <c r="E8385" i="1"/>
  <c r="F8385" i="1"/>
  <c r="H8385" i="1"/>
  <c r="A8386" i="1"/>
  <c r="B8386" i="1"/>
  <c r="C8386" i="1"/>
  <c r="D8386" i="1"/>
  <c r="E8386" i="1"/>
  <c r="F8386" i="1"/>
  <c r="H8386" i="1"/>
  <c r="A8387" i="1"/>
  <c r="B8387" i="1"/>
  <c r="C8387" i="1"/>
  <c r="D8387" i="1"/>
  <c r="E8387" i="1"/>
  <c r="F8387" i="1"/>
  <c r="H8387" i="1"/>
  <c r="A8388" i="1"/>
  <c r="B8388" i="1"/>
  <c r="C8388" i="1"/>
  <c r="D8388" i="1"/>
  <c r="E8388" i="1"/>
  <c r="F8388" i="1"/>
  <c r="H8388" i="1"/>
  <c r="A8389" i="1"/>
  <c r="B8389" i="1"/>
  <c r="C8389" i="1"/>
  <c r="D8389" i="1"/>
  <c r="E8389" i="1"/>
  <c r="F8389" i="1"/>
  <c r="H8389" i="1"/>
  <c r="A8390" i="1"/>
  <c r="B8390" i="1"/>
  <c r="C8390" i="1"/>
  <c r="D8390" i="1"/>
  <c r="E8390" i="1"/>
  <c r="F8390" i="1"/>
  <c r="H8390" i="1"/>
  <c r="A8391" i="1"/>
  <c r="B8391" i="1"/>
  <c r="C8391" i="1"/>
  <c r="D8391" i="1"/>
  <c r="E8391" i="1"/>
  <c r="F8391" i="1"/>
  <c r="H8391" i="1"/>
  <c r="A8392" i="1"/>
  <c r="B8392" i="1"/>
  <c r="C8392" i="1"/>
  <c r="D8392" i="1"/>
  <c r="E8392" i="1"/>
  <c r="F8392" i="1"/>
  <c r="H8392" i="1"/>
  <c r="A8393" i="1"/>
  <c r="B8393" i="1"/>
  <c r="C8393" i="1"/>
  <c r="D8393" i="1"/>
  <c r="E8393" i="1"/>
  <c r="F8393" i="1"/>
  <c r="H8393" i="1"/>
  <c r="A8394" i="1"/>
  <c r="B8394" i="1"/>
  <c r="C8394" i="1"/>
  <c r="D8394" i="1"/>
  <c r="E8394" i="1"/>
  <c r="F8394" i="1"/>
  <c r="H8394" i="1"/>
  <c r="A8395" i="1"/>
  <c r="B8395" i="1"/>
  <c r="C8395" i="1"/>
  <c r="D8395" i="1"/>
  <c r="E8395" i="1"/>
  <c r="F8395" i="1"/>
  <c r="H8395" i="1"/>
  <c r="A8396" i="1"/>
  <c r="B8396" i="1"/>
  <c r="C8396" i="1"/>
  <c r="D8396" i="1"/>
  <c r="E8396" i="1"/>
  <c r="F8396" i="1"/>
  <c r="H8396" i="1"/>
  <c r="A8397" i="1"/>
  <c r="B8397" i="1"/>
  <c r="C8397" i="1"/>
  <c r="D8397" i="1"/>
  <c r="E8397" i="1"/>
  <c r="F8397" i="1"/>
  <c r="H8397" i="1"/>
  <c r="A8398" i="1"/>
  <c r="B8398" i="1"/>
  <c r="C8398" i="1"/>
  <c r="D8398" i="1"/>
  <c r="E8398" i="1"/>
  <c r="F8398" i="1"/>
  <c r="H8398" i="1"/>
  <c r="A8399" i="1"/>
  <c r="B8399" i="1"/>
  <c r="C8399" i="1"/>
  <c r="D8399" i="1"/>
  <c r="E8399" i="1"/>
  <c r="F8399" i="1"/>
  <c r="H8399" i="1"/>
  <c r="A8400" i="1"/>
  <c r="B8400" i="1"/>
  <c r="C8400" i="1"/>
  <c r="D8400" i="1"/>
  <c r="E8400" i="1"/>
  <c r="F8400" i="1"/>
  <c r="H8400" i="1"/>
  <c r="A8401" i="1"/>
  <c r="B8401" i="1"/>
  <c r="C8401" i="1"/>
  <c r="D8401" i="1"/>
  <c r="E8401" i="1"/>
  <c r="F8401" i="1"/>
  <c r="H8401" i="1"/>
  <c r="A8402" i="1"/>
  <c r="B8402" i="1"/>
  <c r="C8402" i="1"/>
  <c r="D8402" i="1"/>
  <c r="E8402" i="1"/>
  <c r="F8402" i="1"/>
  <c r="H8402" i="1"/>
  <c r="A8403" i="1"/>
  <c r="B8403" i="1"/>
  <c r="C8403" i="1"/>
  <c r="D8403" i="1"/>
  <c r="E8403" i="1"/>
  <c r="F8403" i="1"/>
  <c r="H8403" i="1"/>
  <c r="A8404" i="1"/>
  <c r="B8404" i="1"/>
  <c r="C8404" i="1"/>
  <c r="D8404" i="1"/>
  <c r="E8404" i="1"/>
  <c r="F8404" i="1"/>
  <c r="H8404" i="1"/>
  <c r="A8405" i="1"/>
  <c r="B8405" i="1"/>
  <c r="C8405" i="1"/>
  <c r="D8405" i="1"/>
  <c r="E8405" i="1"/>
  <c r="F8405" i="1"/>
  <c r="H8405" i="1"/>
  <c r="A8406" i="1"/>
  <c r="B8406" i="1"/>
  <c r="C8406" i="1"/>
  <c r="D8406" i="1"/>
  <c r="E8406" i="1"/>
  <c r="F8406" i="1"/>
  <c r="H8406" i="1"/>
  <c r="A8407" i="1"/>
  <c r="B8407" i="1"/>
  <c r="C8407" i="1"/>
  <c r="D8407" i="1"/>
  <c r="E8407" i="1"/>
  <c r="F8407" i="1"/>
  <c r="H8407" i="1"/>
  <c r="A8408" i="1"/>
  <c r="B8408" i="1"/>
  <c r="C8408" i="1"/>
  <c r="D8408" i="1"/>
  <c r="E8408" i="1"/>
  <c r="F8408" i="1"/>
  <c r="H8408" i="1"/>
  <c r="A8409" i="1"/>
  <c r="B8409" i="1"/>
  <c r="C8409" i="1"/>
  <c r="D8409" i="1"/>
  <c r="E8409" i="1"/>
  <c r="F8409" i="1"/>
  <c r="H8409" i="1"/>
  <c r="A8410" i="1"/>
  <c r="B8410" i="1"/>
  <c r="C8410" i="1"/>
  <c r="D8410" i="1"/>
  <c r="E8410" i="1"/>
  <c r="F8410" i="1"/>
  <c r="H8410" i="1"/>
  <c r="A8411" i="1"/>
  <c r="B8411" i="1"/>
  <c r="C8411" i="1"/>
  <c r="D8411" i="1"/>
  <c r="E8411" i="1"/>
  <c r="F8411" i="1"/>
  <c r="H8411" i="1"/>
  <c r="A8412" i="1"/>
  <c r="B8412" i="1"/>
  <c r="C8412" i="1"/>
  <c r="D8412" i="1"/>
  <c r="E8412" i="1"/>
  <c r="F8412" i="1"/>
  <c r="H8412" i="1"/>
  <c r="A8413" i="1"/>
  <c r="B8413" i="1"/>
  <c r="C8413" i="1"/>
  <c r="D8413" i="1"/>
  <c r="E8413" i="1"/>
  <c r="F8413" i="1"/>
  <c r="H8413" i="1"/>
  <c r="A8414" i="1"/>
  <c r="B8414" i="1"/>
  <c r="C8414" i="1"/>
  <c r="D8414" i="1"/>
  <c r="E8414" i="1"/>
  <c r="F8414" i="1"/>
  <c r="H8414" i="1"/>
  <c r="A8415" i="1"/>
  <c r="B8415" i="1"/>
  <c r="C8415" i="1"/>
  <c r="D8415" i="1"/>
  <c r="E8415" i="1"/>
  <c r="F8415" i="1"/>
  <c r="H8415" i="1"/>
  <c r="A8416" i="1"/>
  <c r="B8416" i="1"/>
  <c r="C8416" i="1"/>
  <c r="D8416" i="1"/>
  <c r="E8416" i="1"/>
  <c r="F8416" i="1"/>
  <c r="H8416" i="1"/>
  <c r="A8417" i="1"/>
  <c r="B8417" i="1"/>
  <c r="C8417" i="1"/>
  <c r="D8417" i="1"/>
  <c r="E8417" i="1"/>
  <c r="F8417" i="1"/>
  <c r="H8417" i="1"/>
  <c r="A8418" i="1"/>
  <c r="B8418" i="1"/>
  <c r="C8418" i="1"/>
  <c r="D8418" i="1"/>
  <c r="E8418" i="1"/>
  <c r="F8418" i="1"/>
  <c r="H8418" i="1"/>
  <c r="A8419" i="1"/>
  <c r="B8419" i="1"/>
  <c r="C8419" i="1"/>
  <c r="D8419" i="1"/>
  <c r="E8419" i="1"/>
  <c r="F8419" i="1"/>
  <c r="H8419" i="1"/>
  <c r="A8420" i="1"/>
  <c r="B8420" i="1"/>
  <c r="C8420" i="1"/>
  <c r="D8420" i="1"/>
  <c r="E8420" i="1"/>
  <c r="F8420" i="1"/>
  <c r="H8420" i="1"/>
  <c r="A8421" i="1"/>
  <c r="B8421" i="1"/>
  <c r="C8421" i="1"/>
  <c r="D8421" i="1"/>
  <c r="E8421" i="1"/>
  <c r="F8421" i="1"/>
  <c r="H8421" i="1"/>
  <c r="A8422" i="1"/>
  <c r="B8422" i="1"/>
  <c r="C8422" i="1"/>
  <c r="D8422" i="1"/>
  <c r="E8422" i="1"/>
  <c r="F8422" i="1"/>
  <c r="H8422" i="1"/>
  <c r="A8423" i="1"/>
  <c r="B8423" i="1"/>
  <c r="C8423" i="1"/>
  <c r="D8423" i="1"/>
  <c r="E8423" i="1"/>
  <c r="F8423" i="1"/>
  <c r="H8423" i="1"/>
  <c r="A8424" i="1"/>
  <c r="B8424" i="1"/>
  <c r="C8424" i="1"/>
  <c r="D8424" i="1"/>
  <c r="E8424" i="1"/>
  <c r="F8424" i="1"/>
  <c r="H8424" i="1"/>
  <c r="A8425" i="1"/>
  <c r="B8425" i="1"/>
  <c r="C8425" i="1"/>
  <c r="D8425" i="1"/>
  <c r="E8425" i="1"/>
  <c r="F8425" i="1"/>
  <c r="H8425" i="1"/>
  <c r="A8426" i="1"/>
  <c r="B8426" i="1"/>
  <c r="C8426" i="1"/>
  <c r="D8426" i="1"/>
  <c r="E8426" i="1"/>
  <c r="F8426" i="1"/>
  <c r="H8426" i="1"/>
  <c r="A8427" i="1"/>
  <c r="B8427" i="1"/>
  <c r="C8427" i="1"/>
  <c r="D8427" i="1"/>
  <c r="E8427" i="1"/>
  <c r="F8427" i="1"/>
  <c r="H8427" i="1"/>
  <c r="A8428" i="1"/>
  <c r="B8428" i="1"/>
  <c r="C8428" i="1"/>
  <c r="D8428" i="1"/>
  <c r="E8428" i="1"/>
  <c r="F8428" i="1"/>
  <c r="H8428" i="1"/>
  <c r="A8429" i="1"/>
  <c r="B8429" i="1"/>
  <c r="C8429" i="1"/>
  <c r="D8429" i="1"/>
  <c r="E8429" i="1"/>
  <c r="F8429" i="1"/>
  <c r="H8429" i="1"/>
  <c r="A8430" i="1"/>
  <c r="B8430" i="1"/>
  <c r="C8430" i="1"/>
  <c r="D8430" i="1"/>
  <c r="E8430" i="1"/>
  <c r="F8430" i="1"/>
  <c r="H8430" i="1"/>
  <c r="A8431" i="1"/>
  <c r="B8431" i="1"/>
  <c r="C8431" i="1"/>
  <c r="D8431" i="1"/>
  <c r="E8431" i="1"/>
  <c r="F8431" i="1"/>
  <c r="H8431" i="1"/>
  <c r="A8432" i="1"/>
  <c r="B8432" i="1"/>
  <c r="C8432" i="1"/>
  <c r="D8432" i="1"/>
  <c r="E8432" i="1"/>
  <c r="F8432" i="1"/>
  <c r="H8432" i="1"/>
  <c r="A8433" i="1"/>
  <c r="B8433" i="1"/>
  <c r="C8433" i="1"/>
  <c r="D8433" i="1"/>
  <c r="E8433" i="1"/>
  <c r="F8433" i="1"/>
  <c r="H8433" i="1"/>
  <c r="A8434" i="1"/>
  <c r="B8434" i="1"/>
  <c r="C8434" i="1"/>
  <c r="D8434" i="1"/>
  <c r="E8434" i="1"/>
  <c r="F8434" i="1"/>
  <c r="H8434" i="1"/>
  <c r="A8435" i="1"/>
  <c r="B8435" i="1"/>
  <c r="C8435" i="1"/>
  <c r="D8435" i="1"/>
  <c r="E8435" i="1"/>
  <c r="F8435" i="1"/>
  <c r="H8435" i="1"/>
  <c r="A8436" i="1"/>
  <c r="B8436" i="1"/>
  <c r="C8436" i="1"/>
  <c r="D8436" i="1"/>
  <c r="E8436" i="1"/>
  <c r="F8436" i="1"/>
  <c r="H8436" i="1"/>
  <c r="A8437" i="1"/>
  <c r="B8437" i="1"/>
  <c r="C8437" i="1"/>
  <c r="D8437" i="1"/>
  <c r="E8437" i="1"/>
  <c r="F8437" i="1"/>
  <c r="H8437" i="1"/>
  <c r="A8438" i="1"/>
  <c r="B8438" i="1"/>
  <c r="C8438" i="1"/>
  <c r="D8438" i="1"/>
  <c r="E8438" i="1"/>
  <c r="F8438" i="1"/>
  <c r="H8438" i="1"/>
  <c r="A8439" i="1"/>
  <c r="B8439" i="1"/>
  <c r="C8439" i="1"/>
  <c r="D8439" i="1"/>
  <c r="E8439" i="1"/>
  <c r="F8439" i="1"/>
  <c r="H8439" i="1"/>
  <c r="A8440" i="1"/>
  <c r="B8440" i="1"/>
  <c r="C8440" i="1"/>
  <c r="D8440" i="1"/>
  <c r="E8440" i="1"/>
  <c r="F8440" i="1"/>
  <c r="H8440" i="1"/>
  <c r="A8441" i="1"/>
  <c r="B8441" i="1"/>
  <c r="C8441" i="1"/>
  <c r="D8441" i="1"/>
  <c r="E8441" i="1"/>
  <c r="F8441" i="1"/>
  <c r="H8441" i="1"/>
  <c r="A8442" i="1"/>
  <c r="B8442" i="1"/>
  <c r="C8442" i="1"/>
  <c r="D8442" i="1"/>
  <c r="E8442" i="1"/>
  <c r="F8442" i="1"/>
  <c r="H8442" i="1"/>
  <c r="A8443" i="1"/>
  <c r="B8443" i="1"/>
  <c r="C8443" i="1"/>
  <c r="D8443" i="1"/>
  <c r="E8443" i="1"/>
  <c r="F8443" i="1"/>
  <c r="H8443" i="1"/>
  <c r="A8444" i="1"/>
  <c r="B8444" i="1"/>
  <c r="C8444" i="1"/>
  <c r="D8444" i="1"/>
  <c r="E8444" i="1"/>
  <c r="F8444" i="1"/>
  <c r="H8444" i="1"/>
  <c r="A8445" i="1"/>
  <c r="B8445" i="1"/>
  <c r="C8445" i="1"/>
  <c r="D8445" i="1"/>
  <c r="E8445" i="1"/>
  <c r="F8445" i="1"/>
  <c r="H8445" i="1"/>
  <c r="A8446" i="1"/>
  <c r="B8446" i="1"/>
  <c r="C8446" i="1"/>
  <c r="D8446" i="1"/>
  <c r="E8446" i="1"/>
  <c r="F8446" i="1"/>
  <c r="H8446" i="1"/>
  <c r="A8447" i="1"/>
  <c r="B8447" i="1"/>
  <c r="C8447" i="1"/>
  <c r="D8447" i="1"/>
  <c r="E8447" i="1"/>
  <c r="F8447" i="1"/>
  <c r="H8447" i="1"/>
  <c r="A8448" i="1"/>
  <c r="B8448" i="1"/>
  <c r="C8448" i="1"/>
  <c r="D8448" i="1"/>
  <c r="E8448" i="1"/>
  <c r="F8448" i="1"/>
  <c r="H8448" i="1"/>
  <c r="A8449" i="1"/>
  <c r="B8449" i="1"/>
  <c r="C8449" i="1"/>
  <c r="D8449" i="1"/>
  <c r="E8449" i="1"/>
  <c r="F8449" i="1"/>
  <c r="H8449" i="1"/>
  <c r="A8450" i="1"/>
  <c r="B8450" i="1"/>
  <c r="C8450" i="1"/>
  <c r="D8450" i="1"/>
  <c r="E8450" i="1"/>
  <c r="F8450" i="1"/>
  <c r="H8450" i="1"/>
  <c r="A8451" i="1"/>
  <c r="B8451" i="1"/>
  <c r="C8451" i="1"/>
  <c r="D8451" i="1"/>
  <c r="E8451" i="1"/>
  <c r="F8451" i="1"/>
  <c r="H8451" i="1"/>
  <c r="A8452" i="1"/>
  <c r="B8452" i="1"/>
  <c r="C8452" i="1"/>
  <c r="D8452" i="1"/>
  <c r="E8452" i="1"/>
  <c r="F8452" i="1"/>
  <c r="H8452" i="1"/>
  <c r="A8453" i="1"/>
  <c r="B8453" i="1"/>
  <c r="C8453" i="1"/>
  <c r="D8453" i="1"/>
  <c r="E8453" i="1"/>
  <c r="F8453" i="1"/>
  <c r="H8453" i="1"/>
  <c r="A8454" i="1"/>
  <c r="B8454" i="1"/>
  <c r="C8454" i="1"/>
  <c r="D8454" i="1"/>
  <c r="E8454" i="1"/>
  <c r="F8454" i="1"/>
  <c r="H8454" i="1"/>
  <c r="A8455" i="1"/>
  <c r="B8455" i="1"/>
  <c r="C8455" i="1"/>
  <c r="D8455" i="1"/>
  <c r="E8455" i="1"/>
  <c r="F8455" i="1"/>
  <c r="H8455" i="1"/>
  <c r="A8456" i="1"/>
  <c r="B8456" i="1"/>
  <c r="C8456" i="1"/>
  <c r="D8456" i="1"/>
  <c r="E8456" i="1"/>
  <c r="F8456" i="1"/>
  <c r="H8456" i="1"/>
  <c r="A8457" i="1"/>
  <c r="B8457" i="1"/>
  <c r="C8457" i="1"/>
  <c r="D8457" i="1"/>
  <c r="E8457" i="1"/>
  <c r="F8457" i="1"/>
  <c r="H8457" i="1"/>
  <c r="A8458" i="1"/>
  <c r="B8458" i="1"/>
  <c r="C8458" i="1"/>
  <c r="D8458" i="1"/>
  <c r="E8458" i="1"/>
  <c r="F8458" i="1"/>
  <c r="H8458" i="1"/>
  <c r="A8459" i="1"/>
  <c r="B8459" i="1"/>
  <c r="C8459" i="1"/>
  <c r="D8459" i="1"/>
  <c r="E8459" i="1"/>
  <c r="F8459" i="1"/>
  <c r="H8459" i="1"/>
  <c r="A8460" i="1"/>
  <c r="B8460" i="1"/>
  <c r="C8460" i="1"/>
  <c r="D8460" i="1"/>
  <c r="E8460" i="1"/>
  <c r="F8460" i="1"/>
  <c r="H8460" i="1"/>
  <c r="A8461" i="1"/>
  <c r="B8461" i="1"/>
  <c r="C8461" i="1"/>
  <c r="D8461" i="1"/>
  <c r="E8461" i="1"/>
  <c r="F8461" i="1"/>
  <c r="H8461" i="1"/>
  <c r="A8462" i="1"/>
  <c r="B8462" i="1"/>
  <c r="C8462" i="1"/>
  <c r="D8462" i="1"/>
  <c r="E8462" i="1"/>
  <c r="F8462" i="1"/>
  <c r="H8462" i="1"/>
  <c r="A8463" i="1"/>
  <c r="B8463" i="1"/>
  <c r="C8463" i="1"/>
  <c r="D8463" i="1"/>
  <c r="E8463" i="1"/>
  <c r="F8463" i="1"/>
  <c r="H8463" i="1"/>
  <c r="A8464" i="1"/>
  <c r="B8464" i="1"/>
  <c r="C8464" i="1"/>
  <c r="D8464" i="1"/>
  <c r="E8464" i="1"/>
  <c r="F8464" i="1"/>
  <c r="H8464" i="1"/>
  <c r="A8465" i="1"/>
  <c r="B8465" i="1"/>
  <c r="C8465" i="1"/>
  <c r="D8465" i="1"/>
  <c r="E8465" i="1"/>
  <c r="F8465" i="1"/>
  <c r="H8465" i="1"/>
  <c r="A8466" i="1"/>
  <c r="B8466" i="1"/>
  <c r="C8466" i="1"/>
  <c r="D8466" i="1"/>
  <c r="E8466" i="1"/>
  <c r="F8466" i="1"/>
  <c r="H8466" i="1"/>
  <c r="A8467" i="1"/>
  <c r="B8467" i="1"/>
  <c r="C8467" i="1"/>
  <c r="D8467" i="1"/>
  <c r="E8467" i="1"/>
  <c r="F8467" i="1"/>
  <c r="H8467" i="1"/>
  <c r="A8468" i="1"/>
  <c r="B8468" i="1"/>
  <c r="C8468" i="1"/>
  <c r="D8468" i="1"/>
  <c r="E8468" i="1"/>
  <c r="F8468" i="1"/>
  <c r="H8468" i="1"/>
  <c r="A8469" i="1"/>
  <c r="B8469" i="1"/>
  <c r="C8469" i="1"/>
  <c r="D8469" i="1"/>
  <c r="E8469" i="1"/>
  <c r="F8469" i="1"/>
  <c r="H8469" i="1"/>
  <c r="A8470" i="1"/>
  <c r="B8470" i="1"/>
  <c r="C8470" i="1"/>
  <c r="D8470" i="1"/>
  <c r="E8470" i="1"/>
  <c r="F8470" i="1"/>
  <c r="H8470" i="1"/>
  <c r="A8471" i="1"/>
  <c r="B8471" i="1"/>
  <c r="C8471" i="1"/>
  <c r="D8471" i="1"/>
  <c r="E8471" i="1"/>
  <c r="F8471" i="1"/>
  <c r="H8471" i="1"/>
  <c r="A8472" i="1"/>
  <c r="B8472" i="1"/>
  <c r="C8472" i="1"/>
  <c r="D8472" i="1"/>
  <c r="E8472" i="1"/>
  <c r="F8472" i="1"/>
  <c r="H8472" i="1"/>
  <c r="A8473" i="1"/>
  <c r="B8473" i="1"/>
  <c r="C8473" i="1"/>
  <c r="D8473" i="1"/>
  <c r="E8473" i="1"/>
  <c r="F8473" i="1"/>
  <c r="H8473" i="1"/>
  <c r="A8474" i="1"/>
  <c r="B8474" i="1"/>
  <c r="C8474" i="1"/>
  <c r="D8474" i="1"/>
  <c r="E8474" i="1"/>
  <c r="F8474" i="1"/>
  <c r="H8474" i="1"/>
  <c r="A8475" i="1"/>
  <c r="B8475" i="1"/>
  <c r="C8475" i="1"/>
  <c r="D8475" i="1"/>
  <c r="E8475" i="1"/>
  <c r="F8475" i="1"/>
  <c r="H8475" i="1"/>
  <c r="A8476" i="1"/>
  <c r="B8476" i="1"/>
  <c r="C8476" i="1"/>
  <c r="D8476" i="1"/>
  <c r="E8476" i="1"/>
  <c r="F8476" i="1"/>
  <c r="H8476" i="1"/>
  <c r="A8477" i="1"/>
  <c r="B8477" i="1"/>
  <c r="C8477" i="1"/>
  <c r="D8477" i="1"/>
  <c r="E8477" i="1"/>
  <c r="F8477" i="1"/>
  <c r="H8477" i="1"/>
  <c r="A8478" i="1"/>
  <c r="B8478" i="1"/>
  <c r="C8478" i="1"/>
  <c r="D8478" i="1"/>
  <c r="E8478" i="1"/>
  <c r="F8478" i="1"/>
  <c r="H8478" i="1"/>
  <c r="A8479" i="1"/>
  <c r="B8479" i="1"/>
  <c r="C8479" i="1"/>
  <c r="D8479" i="1"/>
  <c r="E8479" i="1"/>
  <c r="F8479" i="1"/>
  <c r="H8479" i="1"/>
  <c r="A8480" i="1"/>
  <c r="B8480" i="1"/>
  <c r="C8480" i="1"/>
  <c r="D8480" i="1"/>
  <c r="E8480" i="1"/>
  <c r="F8480" i="1"/>
  <c r="H8480" i="1"/>
  <c r="A8481" i="1"/>
  <c r="B8481" i="1"/>
  <c r="C8481" i="1"/>
  <c r="D8481" i="1"/>
  <c r="E8481" i="1"/>
  <c r="F8481" i="1"/>
  <c r="H8481" i="1"/>
  <c r="A8482" i="1"/>
  <c r="B8482" i="1"/>
  <c r="C8482" i="1"/>
  <c r="D8482" i="1"/>
  <c r="E8482" i="1"/>
  <c r="F8482" i="1"/>
  <c r="H8482" i="1"/>
  <c r="A8483" i="1"/>
  <c r="B8483" i="1"/>
  <c r="C8483" i="1"/>
  <c r="D8483" i="1"/>
  <c r="E8483" i="1"/>
  <c r="F8483" i="1"/>
  <c r="H8483" i="1"/>
  <c r="A8484" i="1"/>
  <c r="B8484" i="1"/>
  <c r="C8484" i="1"/>
  <c r="D8484" i="1"/>
  <c r="E8484" i="1"/>
  <c r="F8484" i="1"/>
  <c r="H8484" i="1"/>
  <c r="A8485" i="1"/>
  <c r="B8485" i="1"/>
  <c r="C8485" i="1"/>
  <c r="D8485" i="1"/>
  <c r="E8485" i="1"/>
  <c r="F8485" i="1"/>
  <c r="H8485" i="1"/>
  <c r="A8486" i="1"/>
  <c r="B8486" i="1"/>
  <c r="C8486" i="1"/>
  <c r="D8486" i="1"/>
  <c r="E8486" i="1"/>
  <c r="F8486" i="1"/>
  <c r="H8486" i="1"/>
  <c r="A8487" i="1"/>
  <c r="B8487" i="1"/>
  <c r="C8487" i="1"/>
  <c r="D8487" i="1"/>
  <c r="E8487" i="1"/>
  <c r="F8487" i="1"/>
  <c r="H8487" i="1"/>
  <c r="A8488" i="1"/>
  <c r="B8488" i="1"/>
  <c r="C8488" i="1"/>
  <c r="D8488" i="1"/>
  <c r="E8488" i="1"/>
  <c r="F8488" i="1"/>
  <c r="H8488" i="1"/>
  <c r="A8489" i="1"/>
  <c r="B8489" i="1"/>
  <c r="C8489" i="1"/>
  <c r="D8489" i="1"/>
  <c r="E8489" i="1"/>
  <c r="F8489" i="1"/>
  <c r="H8489" i="1"/>
  <c r="A8490" i="1"/>
  <c r="B8490" i="1"/>
  <c r="C8490" i="1"/>
  <c r="D8490" i="1"/>
  <c r="E8490" i="1"/>
  <c r="F8490" i="1"/>
  <c r="H8490" i="1"/>
  <c r="A8491" i="1"/>
  <c r="B8491" i="1"/>
  <c r="C8491" i="1"/>
  <c r="D8491" i="1"/>
  <c r="E8491" i="1"/>
  <c r="F8491" i="1"/>
  <c r="H8491" i="1"/>
  <c r="A8492" i="1"/>
  <c r="B8492" i="1"/>
  <c r="C8492" i="1"/>
  <c r="D8492" i="1"/>
  <c r="E8492" i="1"/>
  <c r="F8492" i="1"/>
  <c r="H8492" i="1"/>
  <c r="A8493" i="1"/>
  <c r="B8493" i="1"/>
  <c r="C8493" i="1"/>
  <c r="D8493" i="1"/>
  <c r="E8493" i="1"/>
  <c r="F8493" i="1"/>
  <c r="H8493" i="1"/>
  <c r="A8494" i="1"/>
  <c r="B8494" i="1"/>
  <c r="C8494" i="1"/>
  <c r="D8494" i="1"/>
  <c r="E8494" i="1"/>
  <c r="F8494" i="1"/>
  <c r="H8494" i="1"/>
  <c r="A8495" i="1"/>
  <c r="B8495" i="1"/>
  <c r="C8495" i="1"/>
  <c r="D8495" i="1"/>
  <c r="E8495" i="1"/>
  <c r="F8495" i="1"/>
  <c r="H8495" i="1"/>
  <c r="A8496" i="1"/>
  <c r="B8496" i="1"/>
  <c r="C8496" i="1"/>
  <c r="D8496" i="1"/>
  <c r="E8496" i="1"/>
  <c r="F8496" i="1"/>
  <c r="H8496" i="1"/>
  <c r="A8497" i="1"/>
  <c r="B8497" i="1"/>
  <c r="C8497" i="1"/>
  <c r="D8497" i="1"/>
  <c r="E8497" i="1"/>
  <c r="F8497" i="1"/>
  <c r="H8497" i="1"/>
  <c r="A8498" i="1"/>
  <c r="B8498" i="1"/>
  <c r="C8498" i="1"/>
  <c r="D8498" i="1"/>
  <c r="E8498" i="1"/>
  <c r="F8498" i="1"/>
  <c r="H8498" i="1"/>
  <c r="A8499" i="1"/>
  <c r="B8499" i="1"/>
  <c r="C8499" i="1"/>
  <c r="D8499" i="1"/>
  <c r="E8499" i="1"/>
  <c r="F8499" i="1"/>
  <c r="H8499" i="1"/>
  <c r="A8500" i="1"/>
  <c r="B8500" i="1"/>
  <c r="C8500" i="1"/>
  <c r="D8500" i="1"/>
  <c r="E8500" i="1"/>
  <c r="F8500" i="1"/>
  <c r="H8500" i="1"/>
  <c r="A8501" i="1"/>
  <c r="B8501" i="1"/>
  <c r="C8501" i="1"/>
  <c r="D8501" i="1"/>
  <c r="E8501" i="1"/>
  <c r="F8501" i="1"/>
  <c r="H8501" i="1"/>
  <c r="A8502" i="1"/>
  <c r="B8502" i="1"/>
  <c r="C8502" i="1"/>
  <c r="D8502" i="1"/>
  <c r="E8502" i="1"/>
  <c r="F8502" i="1"/>
  <c r="H8502" i="1"/>
  <c r="A8503" i="1"/>
  <c r="B8503" i="1"/>
  <c r="C8503" i="1"/>
  <c r="D8503" i="1"/>
  <c r="E8503" i="1"/>
  <c r="F8503" i="1"/>
  <c r="H8503" i="1"/>
  <c r="A8504" i="1"/>
  <c r="B8504" i="1"/>
  <c r="C8504" i="1"/>
  <c r="D8504" i="1"/>
  <c r="E8504" i="1"/>
  <c r="F8504" i="1"/>
  <c r="H8504" i="1"/>
  <c r="A8505" i="1"/>
  <c r="B8505" i="1"/>
  <c r="C8505" i="1"/>
  <c r="D8505" i="1"/>
  <c r="E8505" i="1"/>
  <c r="F8505" i="1"/>
  <c r="H8505" i="1"/>
  <c r="A8506" i="1"/>
  <c r="B8506" i="1"/>
  <c r="C8506" i="1"/>
  <c r="D8506" i="1"/>
  <c r="E8506" i="1"/>
  <c r="F8506" i="1"/>
  <c r="H8506" i="1"/>
  <c r="A8507" i="1"/>
  <c r="B8507" i="1"/>
  <c r="C8507" i="1"/>
  <c r="D8507" i="1"/>
  <c r="E8507" i="1"/>
  <c r="F8507" i="1"/>
  <c r="H8507" i="1"/>
  <c r="A8508" i="1"/>
  <c r="B8508" i="1"/>
  <c r="C8508" i="1"/>
  <c r="D8508" i="1"/>
  <c r="E8508" i="1"/>
  <c r="F8508" i="1"/>
  <c r="H8508" i="1"/>
  <c r="A8509" i="1"/>
  <c r="B8509" i="1"/>
  <c r="C8509" i="1"/>
  <c r="D8509" i="1"/>
  <c r="E8509" i="1"/>
  <c r="F8509" i="1"/>
  <c r="H8509" i="1"/>
  <c r="A8510" i="1"/>
  <c r="B8510" i="1"/>
  <c r="C8510" i="1"/>
  <c r="D8510" i="1"/>
  <c r="E8510" i="1"/>
  <c r="F8510" i="1"/>
  <c r="H8510" i="1"/>
  <c r="A8511" i="1"/>
  <c r="B8511" i="1"/>
  <c r="C8511" i="1"/>
  <c r="D8511" i="1"/>
  <c r="E8511" i="1"/>
  <c r="F8511" i="1"/>
  <c r="H8511" i="1"/>
  <c r="A8512" i="1"/>
  <c r="B8512" i="1"/>
  <c r="C8512" i="1"/>
  <c r="D8512" i="1"/>
  <c r="E8512" i="1"/>
  <c r="F8512" i="1"/>
  <c r="H8512" i="1"/>
  <c r="A8513" i="1"/>
  <c r="B8513" i="1"/>
  <c r="C8513" i="1"/>
  <c r="D8513" i="1"/>
  <c r="E8513" i="1"/>
  <c r="F8513" i="1"/>
  <c r="H8513" i="1"/>
  <c r="A8514" i="1"/>
  <c r="B8514" i="1"/>
  <c r="C8514" i="1"/>
  <c r="D8514" i="1"/>
  <c r="E8514" i="1"/>
  <c r="F8514" i="1"/>
  <c r="H8514" i="1"/>
  <c r="A8515" i="1"/>
  <c r="B8515" i="1"/>
  <c r="C8515" i="1"/>
  <c r="D8515" i="1"/>
  <c r="E8515" i="1"/>
  <c r="F8515" i="1"/>
  <c r="H8515" i="1"/>
  <c r="A8516" i="1"/>
  <c r="B8516" i="1"/>
  <c r="C8516" i="1"/>
  <c r="D8516" i="1"/>
  <c r="E8516" i="1"/>
  <c r="F8516" i="1"/>
  <c r="H8516" i="1"/>
  <c r="A8517" i="1"/>
  <c r="B8517" i="1"/>
  <c r="C8517" i="1"/>
  <c r="D8517" i="1"/>
  <c r="E8517" i="1"/>
  <c r="F8517" i="1"/>
  <c r="H8517" i="1"/>
  <c r="A8518" i="1"/>
  <c r="B8518" i="1"/>
  <c r="C8518" i="1"/>
  <c r="D8518" i="1"/>
  <c r="E8518" i="1"/>
  <c r="F8518" i="1"/>
  <c r="H8518" i="1"/>
  <c r="A8519" i="1"/>
  <c r="B8519" i="1"/>
  <c r="C8519" i="1"/>
  <c r="D8519" i="1"/>
  <c r="E8519" i="1"/>
  <c r="F8519" i="1"/>
  <c r="H8519" i="1"/>
  <c r="A8520" i="1"/>
  <c r="B8520" i="1"/>
  <c r="C8520" i="1"/>
  <c r="D8520" i="1"/>
  <c r="E8520" i="1"/>
  <c r="F8520" i="1"/>
  <c r="H8520" i="1"/>
  <c r="A8521" i="1"/>
  <c r="B8521" i="1"/>
  <c r="C8521" i="1"/>
  <c r="D8521" i="1"/>
  <c r="E8521" i="1"/>
  <c r="F8521" i="1"/>
  <c r="H8521" i="1"/>
  <c r="A8522" i="1"/>
  <c r="B8522" i="1"/>
  <c r="C8522" i="1"/>
  <c r="D8522" i="1"/>
  <c r="E8522" i="1"/>
  <c r="F8522" i="1"/>
  <c r="H8522" i="1"/>
  <c r="A8523" i="1"/>
  <c r="B8523" i="1"/>
  <c r="C8523" i="1"/>
  <c r="D8523" i="1"/>
  <c r="E8523" i="1"/>
  <c r="F8523" i="1"/>
  <c r="H8523" i="1"/>
  <c r="A8524" i="1"/>
  <c r="B8524" i="1"/>
  <c r="C8524" i="1"/>
  <c r="D8524" i="1"/>
  <c r="E8524" i="1"/>
  <c r="F8524" i="1"/>
  <c r="H8524" i="1"/>
  <c r="A8525" i="1"/>
  <c r="B8525" i="1"/>
  <c r="C8525" i="1"/>
  <c r="D8525" i="1"/>
  <c r="E8525" i="1"/>
  <c r="F8525" i="1"/>
  <c r="H8525" i="1"/>
  <c r="A8526" i="1"/>
  <c r="B8526" i="1"/>
  <c r="C8526" i="1"/>
  <c r="D8526" i="1"/>
  <c r="E8526" i="1"/>
  <c r="F8526" i="1"/>
  <c r="H8526" i="1"/>
  <c r="A8527" i="1"/>
  <c r="B8527" i="1"/>
  <c r="C8527" i="1"/>
  <c r="D8527" i="1"/>
  <c r="E8527" i="1"/>
  <c r="F8527" i="1"/>
  <c r="H8527" i="1"/>
  <c r="A8528" i="1"/>
  <c r="B8528" i="1"/>
  <c r="C8528" i="1"/>
  <c r="D8528" i="1"/>
  <c r="E8528" i="1"/>
  <c r="F8528" i="1"/>
  <c r="H8528" i="1"/>
  <c r="A8529" i="1"/>
  <c r="B8529" i="1"/>
  <c r="C8529" i="1"/>
  <c r="D8529" i="1"/>
  <c r="E8529" i="1"/>
  <c r="F8529" i="1"/>
  <c r="H8529" i="1"/>
  <c r="A8530" i="1"/>
  <c r="B8530" i="1"/>
  <c r="C8530" i="1"/>
  <c r="D8530" i="1"/>
  <c r="E8530" i="1"/>
  <c r="F8530" i="1"/>
  <c r="H8530" i="1"/>
  <c r="A8531" i="1"/>
  <c r="B8531" i="1"/>
  <c r="C8531" i="1"/>
  <c r="D8531" i="1"/>
  <c r="E8531" i="1"/>
  <c r="F8531" i="1"/>
  <c r="H8531" i="1"/>
  <c r="A8532" i="1"/>
  <c r="B8532" i="1"/>
  <c r="C8532" i="1"/>
  <c r="D8532" i="1"/>
  <c r="E8532" i="1"/>
  <c r="F8532" i="1"/>
  <c r="H8532" i="1"/>
  <c r="A8533" i="1"/>
  <c r="B8533" i="1"/>
  <c r="C8533" i="1"/>
  <c r="D8533" i="1"/>
  <c r="E8533" i="1"/>
  <c r="F8533" i="1"/>
  <c r="H8533" i="1"/>
  <c r="A8534" i="1"/>
  <c r="B8534" i="1"/>
  <c r="C8534" i="1"/>
  <c r="D8534" i="1"/>
  <c r="E8534" i="1"/>
  <c r="F8534" i="1"/>
  <c r="H8534" i="1"/>
  <c r="A8535" i="1"/>
  <c r="B8535" i="1"/>
  <c r="C8535" i="1"/>
  <c r="D8535" i="1"/>
  <c r="E8535" i="1"/>
  <c r="F8535" i="1"/>
  <c r="H8535" i="1"/>
  <c r="A8536" i="1"/>
  <c r="B8536" i="1"/>
  <c r="C8536" i="1"/>
  <c r="D8536" i="1"/>
  <c r="E8536" i="1"/>
  <c r="F8536" i="1"/>
  <c r="H8536" i="1"/>
  <c r="A8537" i="1"/>
  <c r="B8537" i="1"/>
  <c r="C8537" i="1"/>
  <c r="D8537" i="1"/>
  <c r="E8537" i="1"/>
  <c r="F8537" i="1"/>
  <c r="H8537" i="1"/>
  <c r="A8538" i="1"/>
  <c r="B8538" i="1"/>
  <c r="C8538" i="1"/>
  <c r="D8538" i="1"/>
  <c r="E8538" i="1"/>
  <c r="F8538" i="1"/>
  <c r="H8538" i="1"/>
  <c r="A8539" i="1"/>
  <c r="B8539" i="1"/>
  <c r="C8539" i="1"/>
  <c r="D8539" i="1"/>
  <c r="E8539" i="1"/>
  <c r="F8539" i="1"/>
  <c r="H8539" i="1"/>
  <c r="A8540" i="1"/>
  <c r="B8540" i="1"/>
  <c r="C8540" i="1"/>
  <c r="D8540" i="1"/>
  <c r="E8540" i="1"/>
  <c r="F8540" i="1"/>
  <c r="H8540" i="1"/>
  <c r="A8541" i="1"/>
  <c r="B8541" i="1"/>
  <c r="C8541" i="1"/>
  <c r="D8541" i="1"/>
  <c r="E8541" i="1"/>
  <c r="F8541" i="1"/>
  <c r="H8541" i="1"/>
  <c r="A8542" i="1"/>
  <c r="B8542" i="1"/>
  <c r="C8542" i="1"/>
  <c r="D8542" i="1"/>
  <c r="E8542" i="1"/>
  <c r="F8542" i="1"/>
  <c r="H8542" i="1"/>
  <c r="A8543" i="1"/>
  <c r="B8543" i="1"/>
  <c r="C8543" i="1"/>
  <c r="D8543" i="1"/>
  <c r="E8543" i="1"/>
  <c r="F8543" i="1"/>
  <c r="H8543" i="1"/>
  <c r="A8544" i="1"/>
  <c r="B8544" i="1"/>
  <c r="C8544" i="1"/>
  <c r="D8544" i="1"/>
  <c r="E8544" i="1"/>
  <c r="F8544" i="1"/>
  <c r="H8544" i="1"/>
  <c r="A8545" i="1"/>
  <c r="B8545" i="1"/>
  <c r="C8545" i="1"/>
  <c r="D8545" i="1"/>
  <c r="E8545" i="1"/>
  <c r="F8545" i="1"/>
  <c r="H8545" i="1"/>
  <c r="A8546" i="1"/>
  <c r="B8546" i="1"/>
  <c r="C8546" i="1"/>
  <c r="D8546" i="1"/>
  <c r="E8546" i="1"/>
  <c r="F8546" i="1"/>
  <c r="H8546" i="1"/>
  <c r="A8547" i="1"/>
  <c r="B8547" i="1"/>
  <c r="C8547" i="1"/>
  <c r="D8547" i="1"/>
  <c r="E8547" i="1"/>
  <c r="F8547" i="1"/>
  <c r="H8547" i="1"/>
  <c r="A8548" i="1"/>
  <c r="B8548" i="1"/>
  <c r="C8548" i="1"/>
  <c r="D8548" i="1"/>
  <c r="E8548" i="1"/>
  <c r="F8548" i="1"/>
  <c r="H8548" i="1"/>
  <c r="A8549" i="1"/>
  <c r="B8549" i="1"/>
  <c r="C8549" i="1"/>
  <c r="D8549" i="1"/>
  <c r="E8549" i="1"/>
  <c r="F8549" i="1"/>
  <c r="H8549" i="1"/>
  <c r="A8550" i="1"/>
  <c r="B8550" i="1"/>
  <c r="C8550" i="1"/>
  <c r="D8550" i="1"/>
  <c r="E8550" i="1"/>
  <c r="F8550" i="1"/>
  <c r="H8550" i="1"/>
  <c r="A8551" i="1"/>
  <c r="B8551" i="1"/>
  <c r="C8551" i="1"/>
  <c r="D8551" i="1"/>
  <c r="E8551" i="1"/>
  <c r="F8551" i="1"/>
  <c r="H8551" i="1"/>
  <c r="A8552" i="1"/>
  <c r="B8552" i="1"/>
  <c r="C8552" i="1"/>
  <c r="D8552" i="1"/>
  <c r="E8552" i="1"/>
  <c r="F8552" i="1"/>
  <c r="H8552" i="1"/>
  <c r="A8553" i="1"/>
  <c r="B8553" i="1"/>
  <c r="C8553" i="1"/>
  <c r="D8553" i="1"/>
  <c r="E8553" i="1"/>
  <c r="F8553" i="1"/>
  <c r="H8553" i="1"/>
  <c r="A8554" i="1"/>
  <c r="B8554" i="1"/>
  <c r="C8554" i="1"/>
  <c r="D8554" i="1"/>
  <c r="E8554" i="1"/>
  <c r="F8554" i="1"/>
  <c r="H8554" i="1"/>
  <c r="A8555" i="1"/>
  <c r="B8555" i="1"/>
  <c r="C8555" i="1"/>
  <c r="D8555" i="1"/>
  <c r="E8555" i="1"/>
  <c r="F8555" i="1"/>
  <c r="H8555" i="1"/>
  <c r="A8556" i="1"/>
  <c r="B8556" i="1"/>
  <c r="C8556" i="1"/>
  <c r="D8556" i="1"/>
  <c r="E8556" i="1"/>
  <c r="F8556" i="1"/>
  <c r="H8556" i="1"/>
  <c r="A8557" i="1"/>
  <c r="B8557" i="1"/>
  <c r="C8557" i="1"/>
  <c r="D8557" i="1"/>
  <c r="E8557" i="1"/>
  <c r="F8557" i="1"/>
  <c r="H8557" i="1"/>
  <c r="A8558" i="1"/>
  <c r="B8558" i="1"/>
  <c r="C8558" i="1"/>
  <c r="D8558" i="1"/>
  <c r="E8558" i="1"/>
  <c r="F8558" i="1"/>
  <c r="H8558" i="1"/>
  <c r="A8559" i="1"/>
  <c r="B8559" i="1"/>
  <c r="C8559" i="1"/>
  <c r="D8559" i="1"/>
  <c r="E8559" i="1"/>
  <c r="F8559" i="1"/>
  <c r="H8559" i="1"/>
  <c r="A8560" i="1"/>
  <c r="B8560" i="1"/>
  <c r="C8560" i="1"/>
  <c r="D8560" i="1"/>
  <c r="E8560" i="1"/>
  <c r="F8560" i="1"/>
  <c r="H8560" i="1"/>
  <c r="A8561" i="1"/>
  <c r="B8561" i="1"/>
  <c r="C8561" i="1"/>
  <c r="D8561" i="1"/>
  <c r="E8561" i="1"/>
  <c r="F8561" i="1"/>
  <c r="H8561" i="1"/>
  <c r="A8562" i="1"/>
  <c r="B8562" i="1"/>
  <c r="C8562" i="1"/>
  <c r="D8562" i="1"/>
  <c r="E8562" i="1"/>
  <c r="F8562" i="1"/>
  <c r="H8562" i="1"/>
  <c r="A8563" i="1"/>
  <c r="B8563" i="1"/>
  <c r="C8563" i="1"/>
  <c r="D8563" i="1"/>
  <c r="E8563" i="1"/>
  <c r="F8563" i="1"/>
  <c r="H8563" i="1"/>
  <c r="A8564" i="1"/>
  <c r="B8564" i="1"/>
  <c r="C8564" i="1"/>
  <c r="D8564" i="1"/>
  <c r="E8564" i="1"/>
  <c r="F8564" i="1"/>
  <c r="H8564" i="1"/>
  <c r="A8565" i="1"/>
  <c r="B8565" i="1"/>
  <c r="C8565" i="1"/>
  <c r="D8565" i="1"/>
  <c r="E8565" i="1"/>
  <c r="F8565" i="1"/>
  <c r="H8565" i="1"/>
  <c r="A8566" i="1"/>
  <c r="B8566" i="1"/>
  <c r="C8566" i="1"/>
  <c r="D8566" i="1"/>
  <c r="E8566" i="1"/>
  <c r="F8566" i="1"/>
  <c r="H8566" i="1"/>
  <c r="A8567" i="1"/>
  <c r="B8567" i="1"/>
  <c r="C8567" i="1"/>
  <c r="D8567" i="1"/>
  <c r="E8567" i="1"/>
  <c r="F8567" i="1"/>
  <c r="H8567" i="1"/>
  <c r="A8568" i="1"/>
  <c r="B8568" i="1"/>
  <c r="C8568" i="1"/>
  <c r="D8568" i="1"/>
  <c r="E8568" i="1"/>
  <c r="F8568" i="1"/>
  <c r="H8568" i="1"/>
  <c r="A8569" i="1"/>
  <c r="B8569" i="1"/>
  <c r="C8569" i="1"/>
  <c r="D8569" i="1"/>
  <c r="E8569" i="1"/>
  <c r="F8569" i="1"/>
  <c r="H8569" i="1"/>
  <c r="A8570" i="1"/>
  <c r="B8570" i="1"/>
  <c r="C8570" i="1"/>
  <c r="D8570" i="1"/>
  <c r="E8570" i="1"/>
  <c r="F8570" i="1"/>
  <c r="H8570" i="1"/>
  <c r="A8571" i="1"/>
  <c r="B8571" i="1"/>
  <c r="C8571" i="1"/>
  <c r="D8571" i="1"/>
  <c r="E8571" i="1"/>
  <c r="F8571" i="1"/>
  <c r="H8571" i="1"/>
  <c r="A8572" i="1"/>
  <c r="B8572" i="1"/>
  <c r="C8572" i="1"/>
  <c r="D8572" i="1"/>
  <c r="E8572" i="1"/>
  <c r="F8572" i="1"/>
  <c r="H8572" i="1"/>
  <c r="A8573" i="1"/>
  <c r="B8573" i="1"/>
  <c r="C8573" i="1"/>
  <c r="D8573" i="1"/>
  <c r="E8573" i="1"/>
  <c r="F8573" i="1"/>
  <c r="H8573" i="1"/>
  <c r="A8574" i="1"/>
  <c r="B8574" i="1"/>
  <c r="C8574" i="1"/>
  <c r="D8574" i="1"/>
  <c r="E8574" i="1"/>
  <c r="F8574" i="1"/>
  <c r="H8574" i="1"/>
  <c r="A8575" i="1"/>
  <c r="B8575" i="1"/>
  <c r="C8575" i="1"/>
  <c r="D8575" i="1"/>
  <c r="E8575" i="1"/>
  <c r="F8575" i="1"/>
  <c r="H8575" i="1"/>
  <c r="A8576" i="1"/>
  <c r="B8576" i="1"/>
  <c r="C8576" i="1"/>
  <c r="D8576" i="1"/>
  <c r="E8576" i="1"/>
  <c r="F8576" i="1"/>
  <c r="H8576" i="1"/>
  <c r="A8577" i="1"/>
  <c r="B8577" i="1"/>
  <c r="C8577" i="1"/>
  <c r="D8577" i="1"/>
  <c r="E8577" i="1"/>
  <c r="F8577" i="1"/>
  <c r="H8577" i="1"/>
  <c r="A8578" i="1"/>
  <c r="B8578" i="1"/>
  <c r="C8578" i="1"/>
  <c r="D8578" i="1"/>
  <c r="E8578" i="1"/>
  <c r="F8578" i="1"/>
  <c r="H8578" i="1"/>
  <c r="A8579" i="1"/>
  <c r="B8579" i="1"/>
  <c r="C8579" i="1"/>
  <c r="D8579" i="1"/>
  <c r="E8579" i="1"/>
  <c r="F8579" i="1"/>
  <c r="H8579" i="1"/>
  <c r="A8580" i="1"/>
  <c r="B8580" i="1"/>
  <c r="C8580" i="1"/>
  <c r="D8580" i="1"/>
  <c r="E8580" i="1"/>
  <c r="F8580" i="1"/>
  <c r="H8580" i="1"/>
  <c r="A8581" i="1"/>
  <c r="B8581" i="1"/>
  <c r="C8581" i="1"/>
  <c r="D8581" i="1"/>
  <c r="E8581" i="1"/>
  <c r="F8581" i="1"/>
  <c r="H8581" i="1"/>
  <c r="A8582" i="1"/>
  <c r="B8582" i="1"/>
  <c r="C8582" i="1"/>
  <c r="D8582" i="1"/>
  <c r="E8582" i="1"/>
  <c r="F8582" i="1"/>
  <c r="H8582" i="1"/>
  <c r="A8583" i="1"/>
  <c r="B8583" i="1"/>
  <c r="C8583" i="1"/>
  <c r="D8583" i="1"/>
  <c r="E8583" i="1"/>
  <c r="F8583" i="1"/>
  <c r="H8583" i="1"/>
  <c r="A8584" i="1"/>
  <c r="B8584" i="1"/>
  <c r="C8584" i="1"/>
  <c r="D8584" i="1"/>
  <c r="E8584" i="1"/>
  <c r="F8584" i="1"/>
  <c r="H8584" i="1"/>
  <c r="A8585" i="1"/>
  <c r="B8585" i="1"/>
  <c r="C8585" i="1"/>
  <c r="D8585" i="1"/>
  <c r="E8585" i="1"/>
  <c r="F8585" i="1"/>
  <c r="H8585" i="1"/>
  <c r="A8586" i="1"/>
  <c r="B8586" i="1"/>
  <c r="C8586" i="1"/>
  <c r="D8586" i="1"/>
  <c r="E8586" i="1"/>
  <c r="F8586" i="1"/>
  <c r="H8586" i="1"/>
  <c r="A8587" i="1"/>
  <c r="B8587" i="1"/>
  <c r="C8587" i="1"/>
  <c r="D8587" i="1"/>
  <c r="E8587" i="1"/>
  <c r="F8587" i="1"/>
  <c r="H8587" i="1"/>
  <c r="A8588" i="1"/>
  <c r="B8588" i="1"/>
  <c r="C8588" i="1"/>
  <c r="D8588" i="1"/>
  <c r="E8588" i="1"/>
  <c r="F8588" i="1"/>
  <c r="H8588" i="1"/>
  <c r="A8589" i="1"/>
  <c r="B8589" i="1"/>
  <c r="C8589" i="1"/>
  <c r="D8589" i="1"/>
  <c r="E8589" i="1"/>
  <c r="F8589" i="1"/>
  <c r="H8589" i="1"/>
  <c r="A8590" i="1"/>
  <c r="B8590" i="1"/>
  <c r="C8590" i="1"/>
  <c r="D8590" i="1"/>
  <c r="E8590" i="1"/>
  <c r="F8590" i="1"/>
  <c r="H8590" i="1"/>
  <c r="A8591" i="1"/>
  <c r="B8591" i="1"/>
  <c r="C8591" i="1"/>
  <c r="D8591" i="1"/>
  <c r="E8591" i="1"/>
  <c r="F8591" i="1"/>
  <c r="H8591" i="1"/>
  <c r="A8592" i="1"/>
  <c r="B8592" i="1"/>
  <c r="C8592" i="1"/>
  <c r="D8592" i="1"/>
  <c r="E8592" i="1"/>
  <c r="F8592" i="1"/>
  <c r="H8592" i="1"/>
  <c r="A8593" i="1"/>
  <c r="B8593" i="1"/>
  <c r="C8593" i="1"/>
  <c r="D8593" i="1"/>
  <c r="E8593" i="1"/>
  <c r="F8593" i="1"/>
  <c r="H8593" i="1"/>
  <c r="A8594" i="1"/>
  <c r="B8594" i="1"/>
  <c r="C8594" i="1"/>
  <c r="D8594" i="1"/>
  <c r="E8594" i="1"/>
  <c r="F8594" i="1"/>
  <c r="H8594" i="1"/>
  <c r="A8595" i="1"/>
  <c r="B8595" i="1"/>
  <c r="C8595" i="1"/>
  <c r="D8595" i="1"/>
  <c r="E8595" i="1"/>
  <c r="F8595" i="1"/>
  <c r="H8595" i="1"/>
  <c r="A8596" i="1"/>
  <c r="B8596" i="1"/>
  <c r="C8596" i="1"/>
  <c r="D8596" i="1"/>
  <c r="E8596" i="1"/>
  <c r="F8596" i="1"/>
  <c r="H8596" i="1"/>
  <c r="A8597" i="1"/>
  <c r="B8597" i="1"/>
  <c r="C8597" i="1"/>
  <c r="D8597" i="1"/>
  <c r="E8597" i="1"/>
  <c r="F8597" i="1"/>
  <c r="H8597" i="1"/>
  <c r="A8598" i="1"/>
  <c r="B8598" i="1"/>
  <c r="C8598" i="1"/>
  <c r="D8598" i="1"/>
  <c r="E8598" i="1"/>
  <c r="F8598" i="1"/>
  <c r="H8598" i="1"/>
  <c r="A8599" i="1"/>
  <c r="B8599" i="1"/>
  <c r="C8599" i="1"/>
  <c r="D8599" i="1"/>
  <c r="E8599" i="1"/>
  <c r="F8599" i="1"/>
  <c r="H8599" i="1"/>
  <c r="A8600" i="1"/>
  <c r="B8600" i="1"/>
  <c r="C8600" i="1"/>
  <c r="D8600" i="1"/>
  <c r="E8600" i="1"/>
  <c r="F8600" i="1"/>
  <c r="H8600" i="1"/>
  <c r="A8601" i="1"/>
  <c r="B8601" i="1"/>
  <c r="C8601" i="1"/>
  <c r="D8601" i="1"/>
  <c r="E8601" i="1"/>
  <c r="F8601" i="1"/>
  <c r="H8601" i="1"/>
  <c r="A8602" i="1"/>
  <c r="B8602" i="1"/>
  <c r="C8602" i="1"/>
  <c r="D8602" i="1"/>
  <c r="E8602" i="1"/>
  <c r="F8602" i="1"/>
  <c r="H8602" i="1"/>
  <c r="A8603" i="1"/>
  <c r="B8603" i="1"/>
  <c r="C8603" i="1"/>
  <c r="D8603" i="1"/>
  <c r="E8603" i="1"/>
  <c r="F8603" i="1"/>
  <c r="H8603" i="1"/>
  <c r="A8604" i="1"/>
  <c r="B8604" i="1"/>
  <c r="C8604" i="1"/>
  <c r="D8604" i="1"/>
  <c r="E8604" i="1"/>
  <c r="F8604" i="1"/>
  <c r="H8604" i="1"/>
  <c r="A8605" i="1"/>
  <c r="B8605" i="1"/>
  <c r="C8605" i="1"/>
  <c r="D8605" i="1"/>
  <c r="E8605" i="1"/>
  <c r="F8605" i="1"/>
  <c r="H8605" i="1"/>
  <c r="A8606" i="1"/>
  <c r="B8606" i="1"/>
  <c r="C8606" i="1"/>
  <c r="D8606" i="1"/>
  <c r="E8606" i="1"/>
  <c r="F8606" i="1"/>
  <c r="H8606" i="1"/>
  <c r="A8607" i="1"/>
  <c r="B8607" i="1"/>
  <c r="C8607" i="1"/>
  <c r="D8607" i="1"/>
  <c r="E8607" i="1"/>
  <c r="F8607" i="1"/>
  <c r="H8607" i="1"/>
  <c r="A8608" i="1"/>
  <c r="B8608" i="1"/>
  <c r="C8608" i="1"/>
  <c r="D8608" i="1"/>
  <c r="E8608" i="1"/>
  <c r="F8608" i="1"/>
  <c r="H8608" i="1"/>
  <c r="A8609" i="1"/>
  <c r="B8609" i="1"/>
  <c r="C8609" i="1"/>
  <c r="D8609" i="1"/>
  <c r="E8609" i="1"/>
  <c r="F8609" i="1"/>
  <c r="H8609" i="1"/>
  <c r="A8610" i="1"/>
  <c r="B8610" i="1"/>
  <c r="C8610" i="1"/>
  <c r="D8610" i="1"/>
  <c r="E8610" i="1"/>
  <c r="F8610" i="1"/>
  <c r="H8610" i="1"/>
  <c r="A8611" i="1"/>
  <c r="B8611" i="1"/>
  <c r="C8611" i="1"/>
  <c r="D8611" i="1"/>
  <c r="E8611" i="1"/>
  <c r="F8611" i="1"/>
  <c r="H8611" i="1"/>
  <c r="A8612" i="1"/>
  <c r="B8612" i="1"/>
  <c r="C8612" i="1"/>
  <c r="D8612" i="1"/>
  <c r="E8612" i="1"/>
  <c r="F8612" i="1"/>
  <c r="H8612" i="1"/>
  <c r="A8613" i="1"/>
  <c r="B8613" i="1"/>
  <c r="C8613" i="1"/>
  <c r="D8613" i="1"/>
  <c r="E8613" i="1"/>
  <c r="F8613" i="1"/>
  <c r="H8613" i="1"/>
  <c r="A8614" i="1"/>
  <c r="B8614" i="1"/>
  <c r="C8614" i="1"/>
  <c r="D8614" i="1"/>
  <c r="E8614" i="1"/>
  <c r="F8614" i="1"/>
  <c r="H8614" i="1"/>
  <c r="A8615" i="1"/>
  <c r="B8615" i="1"/>
  <c r="C8615" i="1"/>
  <c r="D8615" i="1"/>
  <c r="E8615" i="1"/>
  <c r="F8615" i="1"/>
  <c r="H8615" i="1"/>
  <c r="A8616" i="1"/>
  <c r="B8616" i="1"/>
  <c r="C8616" i="1"/>
  <c r="D8616" i="1"/>
  <c r="E8616" i="1"/>
  <c r="F8616" i="1"/>
  <c r="H8616" i="1"/>
  <c r="A8617" i="1"/>
  <c r="B8617" i="1"/>
  <c r="C8617" i="1"/>
  <c r="D8617" i="1"/>
  <c r="E8617" i="1"/>
  <c r="F8617" i="1"/>
  <c r="H8617" i="1"/>
  <c r="A8618" i="1"/>
  <c r="B8618" i="1"/>
  <c r="C8618" i="1"/>
  <c r="D8618" i="1"/>
  <c r="E8618" i="1"/>
  <c r="F8618" i="1"/>
  <c r="H8618" i="1"/>
  <c r="A8619" i="1"/>
  <c r="B8619" i="1"/>
  <c r="C8619" i="1"/>
  <c r="D8619" i="1"/>
  <c r="E8619" i="1"/>
  <c r="F8619" i="1"/>
  <c r="H8619" i="1"/>
  <c r="A8620" i="1"/>
  <c r="B8620" i="1"/>
  <c r="C8620" i="1"/>
  <c r="D8620" i="1"/>
  <c r="E8620" i="1"/>
  <c r="F8620" i="1"/>
  <c r="H8620" i="1"/>
  <c r="A8621" i="1"/>
  <c r="B8621" i="1"/>
  <c r="C8621" i="1"/>
  <c r="D8621" i="1"/>
  <c r="E8621" i="1"/>
  <c r="F8621" i="1"/>
  <c r="H8621" i="1"/>
  <c r="A8622" i="1"/>
  <c r="B8622" i="1"/>
  <c r="C8622" i="1"/>
  <c r="D8622" i="1"/>
  <c r="E8622" i="1"/>
  <c r="F8622" i="1"/>
  <c r="H8622" i="1"/>
  <c r="A8623" i="1"/>
  <c r="B8623" i="1"/>
  <c r="C8623" i="1"/>
  <c r="D8623" i="1"/>
  <c r="E8623" i="1"/>
  <c r="F8623" i="1"/>
  <c r="H8623" i="1"/>
  <c r="A8624" i="1"/>
  <c r="B8624" i="1"/>
  <c r="C8624" i="1"/>
  <c r="D8624" i="1"/>
  <c r="E8624" i="1"/>
  <c r="F8624" i="1"/>
  <c r="H8624" i="1"/>
  <c r="A8625" i="1"/>
  <c r="B8625" i="1"/>
  <c r="C8625" i="1"/>
  <c r="D8625" i="1"/>
  <c r="E8625" i="1"/>
  <c r="F8625" i="1"/>
  <c r="H8625" i="1"/>
  <c r="A8626" i="1"/>
  <c r="B8626" i="1"/>
  <c r="C8626" i="1"/>
  <c r="D8626" i="1"/>
  <c r="E8626" i="1"/>
  <c r="F8626" i="1"/>
  <c r="H8626" i="1"/>
  <c r="A8627" i="1"/>
  <c r="B8627" i="1"/>
  <c r="C8627" i="1"/>
  <c r="D8627" i="1"/>
  <c r="E8627" i="1"/>
  <c r="F8627" i="1"/>
  <c r="H8627" i="1"/>
  <c r="A8628" i="1"/>
  <c r="B8628" i="1"/>
  <c r="C8628" i="1"/>
  <c r="D8628" i="1"/>
  <c r="E8628" i="1"/>
  <c r="F8628" i="1"/>
  <c r="H8628" i="1"/>
  <c r="A8629" i="1"/>
  <c r="B8629" i="1"/>
  <c r="C8629" i="1"/>
  <c r="D8629" i="1"/>
  <c r="E8629" i="1"/>
  <c r="F8629" i="1"/>
  <c r="H8629" i="1"/>
  <c r="A8630" i="1"/>
  <c r="B8630" i="1"/>
  <c r="C8630" i="1"/>
  <c r="D8630" i="1"/>
  <c r="E8630" i="1"/>
  <c r="F8630" i="1"/>
  <c r="H8630" i="1"/>
  <c r="A8631" i="1"/>
  <c r="B8631" i="1"/>
  <c r="C8631" i="1"/>
  <c r="D8631" i="1"/>
  <c r="E8631" i="1"/>
  <c r="F8631" i="1"/>
  <c r="H8631" i="1"/>
  <c r="A8632" i="1"/>
  <c r="B8632" i="1"/>
  <c r="C8632" i="1"/>
  <c r="D8632" i="1"/>
  <c r="E8632" i="1"/>
  <c r="F8632" i="1"/>
  <c r="H8632" i="1"/>
  <c r="A8633" i="1"/>
  <c r="B8633" i="1"/>
  <c r="C8633" i="1"/>
  <c r="D8633" i="1"/>
  <c r="E8633" i="1"/>
  <c r="F8633" i="1"/>
  <c r="H8633" i="1"/>
  <c r="A8634" i="1"/>
  <c r="B8634" i="1"/>
  <c r="C8634" i="1"/>
  <c r="D8634" i="1"/>
  <c r="E8634" i="1"/>
  <c r="F8634" i="1"/>
  <c r="H8634" i="1"/>
  <c r="A8635" i="1"/>
  <c r="B8635" i="1"/>
  <c r="C8635" i="1"/>
  <c r="D8635" i="1"/>
  <c r="E8635" i="1"/>
  <c r="F8635" i="1"/>
  <c r="H8635" i="1"/>
  <c r="A8636" i="1"/>
  <c r="B8636" i="1"/>
  <c r="C8636" i="1"/>
  <c r="D8636" i="1"/>
  <c r="E8636" i="1"/>
  <c r="F8636" i="1"/>
  <c r="H8636" i="1"/>
  <c r="A8637" i="1"/>
  <c r="B8637" i="1"/>
  <c r="C8637" i="1"/>
  <c r="D8637" i="1"/>
  <c r="E8637" i="1"/>
  <c r="F8637" i="1"/>
  <c r="H8637" i="1"/>
  <c r="A8638" i="1"/>
  <c r="B8638" i="1"/>
  <c r="C8638" i="1"/>
  <c r="D8638" i="1"/>
  <c r="E8638" i="1"/>
  <c r="F8638" i="1"/>
  <c r="H8638" i="1"/>
  <c r="A8639" i="1"/>
  <c r="B8639" i="1"/>
  <c r="C8639" i="1"/>
  <c r="D8639" i="1"/>
  <c r="E8639" i="1"/>
  <c r="F8639" i="1"/>
  <c r="H8639" i="1"/>
  <c r="A8640" i="1"/>
  <c r="B8640" i="1"/>
  <c r="C8640" i="1"/>
  <c r="D8640" i="1"/>
  <c r="E8640" i="1"/>
  <c r="F8640" i="1"/>
  <c r="H8640" i="1"/>
  <c r="A8641" i="1"/>
  <c r="B8641" i="1"/>
  <c r="C8641" i="1"/>
  <c r="D8641" i="1"/>
  <c r="E8641" i="1"/>
  <c r="F8641" i="1"/>
  <c r="H8641" i="1"/>
  <c r="A8642" i="1"/>
  <c r="B8642" i="1"/>
  <c r="C8642" i="1"/>
  <c r="D8642" i="1"/>
  <c r="E8642" i="1"/>
  <c r="F8642" i="1"/>
  <c r="H8642" i="1"/>
  <c r="A8643" i="1"/>
  <c r="B8643" i="1"/>
  <c r="C8643" i="1"/>
  <c r="D8643" i="1"/>
  <c r="E8643" i="1"/>
  <c r="F8643" i="1"/>
  <c r="H8643" i="1"/>
  <c r="A8644" i="1"/>
  <c r="B8644" i="1"/>
  <c r="C8644" i="1"/>
  <c r="D8644" i="1"/>
  <c r="E8644" i="1"/>
  <c r="F8644" i="1"/>
  <c r="H8644" i="1"/>
  <c r="A8645" i="1"/>
  <c r="B8645" i="1"/>
  <c r="C8645" i="1"/>
  <c r="D8645" i="1"/>
  <c r="E8645" i="1"/>
  <c r="F8645" i="1"/>
  <c r="H8645" i="1"/>
  <c r="A8646" i="1"/>
  <c r="B8646" i="1"/>
  <c r="C8646" i="1"/>
  <c r="D8646" i="1"/>
  <c r="E8646" i="1"/>
  <c r="F8646" i="1"/>
  <c r="H8646" i="1"/>
  <c r="A8647" i="1"/>
  <c r="B8647" i="1"/>
  <c r="C8647" i="1"/>
  <c r="D8647" i="1"/>
  <c r="E8647" i="1"/>
  <c r="F8647" i="1"/>
  <c r="H8647" i="1"/>
  <c r="A8648" i="1"/>
  <c r="B8648" i="1"/>
  <c r="C8648" i="1"/>
  <c r="D8648" i="1"/>
  <c r="E8648" i="1"/>
  <c r="F8648" i="1"/>
  <c r="H8648" i="1"/>
  <c r="A8649" i="1"/>
  <c r="B8649" i="1"/>
  <c r="C8649" i="1"/>
  <c r="D8649" i="1"/>
  <c r="E8649" i="1"/>
  <c r="F8649" i="1"/>
  <c r="H8649" i="1"/>
  <c r="A8650" i="1"/>
  <c r="B8650" i="1"/>
  <c r="C8650" i="1"/>
  <c r="D8650" i="1"/>
  <c r="E8650" i="1"/>
  <c r="F8650" i="1"/>
  <c r="H8650" i="1"/>
  <c r="A8651" i="1"/>
  <c r="B8651" i="1"/>
  <c r="C8651" i="1"/>
  <c r="D8651" i="1"/>
  <c r="E8651" i="1"/>
  <c r="F8651" i="1"/>
  <c r="H8651" i="1"/>
  <c r="A8652" i="1"/>
  <c r="B8652" i="1"/>
  <c r="C8652" i="1"/>
  <c r="D8652" i="1"/>
  <c r="E8652" i="1"/>
  <c r="F8652" i="1"/>
  <c r="H8652" i="1"/>
  <c r="A8653" i="1"/>
  <c r="B8653" i="1"/>
  <c r="C8653" i="1"/>
  <c r="D8653" i="1"/>
  <c r="E8653" i="1"/>
  <c r="F8653" i="1"/>
  <c r="H8653" i="1"/>
  <c r="A8654" i="1"/>
  <c r="B8654" i="1"/>
  <c r="C8654" i="1"/>
  <c r="D8654" i="1"/>
  <c r="E8654" i="1"/>
  <c r="F8654" i="1"/>
  <c r="H8654" i="1"/>
  <c r="A8655" i="1"/>
  <c r="B8655" i="1"/>
  <c r="C8655" i="1"/>
  <c r="D8655" i="1"/>
  <c r="E8655" i="1"/>
  <c r="F8655" i="1"/>
  <c r="H8655" i="1"/>
  <c r="A8656" i="1"/>
  <c r="B8656" i="1"/>
  <c r="C8656" i="1"/>
  <c r="D8656" i="1"/>
  <c r="E8656" i="1"/>
  <c r="F8656" i="1"/>
  <c r="H8656" i="1"/>
  <c r="A8657" i="1"/>
  <c r="B8657" i="1"/>
  <c r="C8657" i="1"/>
  <c r="D8657" i="1"/>
  <c r="E8657" i="1"/>
  <c r="F8657" i="1"/>
  <c r="H8657" i="1"/>
  <c r="A8658" i="1"/>
  <c r="B8658" i="1"/>
  <c r="C8658" i="1"/>
  <c r="D8658" i="1"/>
  <c r="E8658" i="1"/>
  <c r="F8658" i="1"/>
  <c r="H8658" i="1"/>
  <c r="A8659" i="1"/>
  <c r="B8659" i="1"/>
  <c r="C8659" i="1"/>
  <c r="D8659" i="1"/>
  <c r="E8659" i="1"/>
  <c r="F8659" i="1"/>
  <c r="H8659" i="1"/>
  <c r="A8660" i="1"/>
  <c r="B8660" i="1"/>
  <c r="C8660" i="1"/>
  <c r="D8660" i="1"/>
  <c r="E8660" i="1"/>
  <c r="F8660" i="1"/>
  <c r="H8660" i="1"/>
  <c r="A8661" i="1"/>
  <c r="B8661" i="1"/>
  <c r="C8661" i="1"/>
  <c r="D8661" i="1"/>
  <c r="E8661" i="1"/>
  <c r="F8661" i="1"/>
  <c r="H8661" i="1"/>
  <c r="A8662" i="1"/>
  <c r="B8662" i="1"/>
  <c r="C8662" i="1"/>
  <c r="D8662" i="1"/>
  <c r="E8662" i="1"/>
  <c r="F8662" i="1"/>
  <c r="H8662" i="1"/>
  <c r="A8663" i="1"/>
  <c r="B8663" i="1"/>
  <c r="C8663" i="1"/>
  <c r="D8663" i="1"/>
  <c r="E8663" i="1"/>
  <c r="F8663" i="1"/>
  <c r="H8663" i="1"/>
  <c r="A8664" i="1"/>
  <c r="B8664" i="1"/>
  <c r="C8664" i="1"/>
  <c r="D8664" i="1"/>
  <c r="E8664" i="1"/>
  <c r="F8664" i="1"/>
  <c r="H8664" i="1"/>
  <c r="A8665" i="1"/>
  <c r="B8665" i="1"/>
  <c r="C8665" i="1"/>
  <c r="D8665" i="1"/>
  <c r="E8665" i="1"/>
  <c r="F8665" i="1"/>
  <c r="H8665" i="1"/>
  <c r="A8666" i="1"/>
  <c r="B8666" i="1"/>
  <c r="C8666" i="1"/>
  <c r="D8666" i="1"/>
  <c r="E8666" i="1"/>
  <c r="F8666" i="1"/>
  <c r="H8666" i="1"/>
  <c r="A8667" i="1"/>
  <c r="B8667" i="1"/>
  <c r="C8667" i="1"/>
  <c r="D8667" i="1"/>
  <c r="E8667" i="1"/>
  <c r="F8667" i="1"/>
  <c r="H8667" i="1"/>
  <c r="A8668" i="1"/>
  <c r="B8668" i="1"/>
  <c r="C8668" i="1"/>
  <c r="D8668" i="1"/>
  <c r="E8668" i="1"/>
  <c r="F8668" i="1"/>
  <c r="H8668" i="1"/>
  <c r="A8669" i="1"/>
  <c r="B8669" i="1"/>
  <c r="C8669" i="1"/>
  <c r="D8669" i="1"/>
  <c r="E8669" i="1"/>
  <c r="F8669" i="1"/>
  <c r="H8669" i="1"/>
  <c r="A8670" i="1"/>
  <c r="B8670" i="1"/>
  <c r="C8670" i="1"/>
  <c r="D8670" i="1"/>
  <c r="E8670" i="1"/>
  <c r="F8670" i="1"/>
  <c r="H8670" i="1"/>
  <c r="A8671" i="1"/>
  <c r="B8671" i="1"/>
  <c r="C8671" i="1"/>
  <c r="D8671" i="1"/>
  <c r="E8671" i="1"/>
  <c r="F8671" i="1"/>
  <c r="H8671" i="1"/>
  <c r="A8672" i="1"/>
  <c r="B8672" i="1"/>
  <c r="C8672" i="1"/>
  <c r="D8672" i="1"/>
  <c r="E8672" i="1"/>
  <c r="F8672" i="1"/>
  <c r="H8672" i="1"/>
  <c r="A8673" i="1"/>
  <c r="B8673" i="1"/>
  <c r="C8673" i="1"/>
  <c r="D8673" i="1"/>
  <c r="E8673" i="1"/>
  <c r="F8673" i="1"/>
  <c r="H8673" i="1"/>
  <c r="A8674" i="1"/>
  <c r="B8674" i="1"/>
  <c r="C8674" i="1"/>
  <c r="D8674" i="1"/>
  <c r="E8674" i="1"/>
  <c r="F8674" i="1"/>
  <c r="H8674" i="1"/>
  <c r="A8675" i="1"/>
  <c r="B8675" i="1"/>
  <c r="C8675" i="1"/>
  <c r="D8675" i="1"/>
  <c r="E8675" i="1"/>
  <c r="F8675" i="1"/>
  <c r="H8675" i="1"/>
  <c r="A8676" i="1"/>
  <c r="B8676" i="1"/>
  <c r="C8676" i="1"/>
  <c r="D8676" i="1"/>
  <c r="E8676" i="1"/>
  <c r="F8676" i="1"/>
  <c r="H8676" i="1"/>
  <c r="A8677" i="1"/>
  <c r="B8677" i="1"/>
  <c r="C8677" i="1"/>
  <c r="D8677" i="1"/>
  <c r="E8677" i="1"/>
  <c r="F8677" i="1"/>
  <c r="H8677" i="1"/>
  <c r="A8678" i="1"/>
  <c r="B8678" i="1"/>
  <c r="C8678" i="1"/>
  <c r="D8678" i="1"/>
  <c r="E8678" i="1"/>
  <c r="F8678" i="1"/>
  <c r="H8678" i="1"/>
  <c r="A8679" i="1"/>
  <c r="B8679" i="1"/>
  <c r="C8679" i="1"/>
  <c r="D8679" i="1"/>
  <c r="E8679" i="1"/>
  <c r="F8679" i="1"/>
  <c r="H8679" i="1"/>
  <c r="A8680" i="1"/>
  <c r="B8680" i="1"/>
  <c r="C8680" i="1"/>
  <c r="D8680" i="1"/>
  <c r="E8680" i="1"/>
  <c r="F8680" i="1"/>
  <c r="H8680" i="1"/>
  <c r="A8681" i="1"/>
  <c r="B8681" i="1"/>
  <c r="C8681" i="1"/>
  <c r="D8681" i="1"/>
  <c r="E8681" i="1"/>
  <c r="F8681" i="1"/>
  <c r="H8681" i="1"/>
  <c r="A8682" i="1"/>
  <c r="B8682" i="1"/>
  <c r="C8682" i="1"/>
  <c r="D8682" i="1"/>
  <c r="E8682" i="1"/>
  <c r="F8682" i="1"/>
  <c r="H8682" i="1"/>
  <c r="A8683" i="1"/>
  <c r="B8683" i="1"/>
  <c r="C8683" i="1"/>
  <c r="D8683" i="1"/>
  <c r="E8683" i="1"/>
  <c r="F8683" i="1"/>
  <c r="H8683" i="1"/>
  <c r="A8684" i="1"/>
  <c r="B8684" i="1"/>
  <c r="C8684" i="1"/>
  <c r="D8684" i="1"/>
  <c r="E8684" i="1"/>
  <c r="F8684" i="1"/>
  <c r="H8684" i="1"/>
  <c r="A8685" i="1"/>
  <c r="B8685" i="1"/>
  <c r="C8685" i="1"/>
  <c r="D8685" i="1"/>
  <c r="E8685" i="1"/>
  <c r="F8685" i="1"/>
  <c r="H8685" i="1"/>
  <c r="A8686" i="1"/>
  <c r="B8686" i="1"/>
  <c r="C8686" i="1"/>
  <c r="D8686" i="1"/>
  <c r="E8686" i="1"/>
  <c r="F8686" i="1"/>
  <c r="H8686" i="1"/>
  <c r="A8687" i="1"/>
  <c r="B8687" i="1"/>
  <c r="C8687" i="1"/>
  <c r="D8687" i="1"/>
  <c r="E8687" i="1"/>
  <c r="F8687" i="1"/>
  <c r="H8687" i="1"/>
  <c r="A8688" i="1"/>
  <c r="B8688" i="1"/>
  <c r="C8688" i="1"/>
  <c r="D8688" i="1"/>
  <c r="E8688" i="1"/>
  <c r="F8688" i="1"/>
  <c r="H8688" i="1"/>
  <c r="A8689" i="1"/>
  <c r="B8689" i="1"/>
  <c r="C8689" i="1"/>
  <c r="D8689" i="1"/>
  <c r="E8689" i="1"/>
  <c r="F8689" i="1"/>
  <c r="H8689" i="1"/>
  <c r="A8690" i="1"/>
  <c r="B8690" i="1"/>
  <c r="C8690" i="1"/>
  <c r="D8690" i="1"/>
  <c r="E8690" i="1"/>
  <c r="F8690" i="1"/>
  <c r="H8690" i="1"/>
  <c r="A8691" i="1"/>
  <c r="B8691" i="1"/>
  <c r="C8691" i="1"/>
  <c r="D8691" i="1"/>
  <c r="E8691" i="1"/>
  <c r="F8691" i="1"/>
  <c r="H8691" i="1"/>
  <c r="A8692" i="1"/>
  <c r="B8692" i="1"/>
  <c r="C8692" i="1"/>
  <c r="D8692" i="1"/>
  <c r="E8692" i="1"/>
  <c r="F8692" i="1"/>
  <c r="H8692" i="1"/>
  <c r="A8693" i="1"/>
  <c r="B8693" i="1"/>
  <c r="C8693" i="1"/>
  <c r="D8693" i="1"/>
  <c r="E8693" i="1"/>
  <c r="F8693" i="1"/>
  <c r="H8693" i="1"/>
  <c r="A8694" i="1"/>
  <c r="B8694" i="1"/>
  <c r="C8694" i="1"/>
  <c r="D8694" i="1"/>
  <c r="E8694" i="1"/>
  <c r="F8694" i="1"/>
  <c r="H8694" i="1"/>
  <c r="A8695" i="1"/>
  <c r="B8695" i="1"/>
  <c r="C8695" i="1"/>
  <c r="D8695" i="1"/>
  <c r="E8695" i="1"/>
  <c r="F8695" i="1"/>
  <c r="H8695" i="1"/>
  <c r="A8696" i="1"/>
  <c r="B8696" i="1"/>
  <c r="C8696" i="1"/>
  <c r="D8696" i="1"/>
  <c r="E8696" i="1"/>
  <c r="F8696" i="1"/>
  <c r="H8696" i="1"/>
  <c r="A8697" i="1"/>
  <c r="B8697" i="1"/>
  <c r="C8697" i="1"/>
  <c r="D8697" i="1"/>
  <c r="E8697" i="1"/>
  <c r="F8697" i="1"/>
  <c r="H8697" i="1"/>
  <c r="A8698" i="1"/>
  <c r="B8698" i="1"/>
  <c r="C8698" i="1"/>
  <c r="D8698" i="1"/>
  <c r="E8698" i="1"/>
  <c r="F8698" i="1"/>
  <c r="H8698" i="1"/>
  <c r="A8699" i="1"/>
  <c r="B8699" i="1"/>
  <c r="C8699" i="1"/>
  <c r="D8699" i="1"/>
  <c r="E8699" i="1"/>
  <c r="F8699" i="1"/>
  <c r="H8699" i="1"/>
  <c r="A8700" i="1"/>
  <c r="B8700" i="1"/>
  <c r="C8700" i="1"/>
  <c r="D8700" i="1"/>
  <c r="E8700" i="1"/>
  <c r="F8700" i="1"/>
  <c r="H8700" i="1"/>
  <c r="A8701" i="1"/>
  <c r="B8701" i="1"/>
  <c r="C8701" i="1"/>
  <c r="D8701" i="1"/>
  <c r="E8701" i="1"/>
  <c r="F8701" i="1"/>
  <c r="H8701" i="1"/>
  <c r="A8702" i="1"/>
  <c r="B8702" i="1"/>
  <c r="C8702" i="1"/>
  <c r="D8702" i="1"/>
  <c r="E8702" i="1"/>
  <c r="F8702" i="1"/>
  <c r="H8702" i="1"/>
  <c r="A8703" i="1"/>
  <c r="B8703" i="1"/>
  <c r="C8703" i="1"/>
  <c r="D8703" i="1"/>
  <c r="E8703" i="1"/>
  <c r="F8703" i="1"/>
  <c r="H8703" i="1"/>
  <c r="A8704" i="1"/>
  <c r="B8704" i="1"/>
  <c r="C8704" i="1"/>
  <c r="D8704" i="1"/>
  <c r="E8704" i="1"/>
  <c r="F8704" i="1"/>
  <c r="H8704" i="1"/>
  <c r="A8705" i="1"/>
  <c r="B8705" i="1"/>
  <c r="C8705" i="1"/>
  <c r="D8705" i="1"/>
  <c r="E8705" i="1"/>
  <c r="F8705" i="1"/>
  <c r="H8705" i="1"/>
  <c r="A8706" i="1"/>
  <c r="B8706" i="1"/>
  <c r="C8706" i="1"/>
  <c r="D8706" i="1"/>
  <c r="E8706" i="1"/>
  <c r="F8706" i="1"/>
  <c r="H8706" i="1"/>
  <c r="A8707" i="1"/>
  <c r="B8707" i="1"/>
  <c r="C8707" i="1"/>
  <c r="D8707" i="1"/>
  <c r="E8707" i="1"/>
  <c r="F8707" i="1"/>
  <c r="H8707" i="1"/>
  <c r="A8708" i="1"/>
  <c r="B8708" i="1"/>
  <c r="C8708" i="1"/>
  <c r="D8708" i="1"/>
  <c r="E8708" i="1"/>
  <c r="F8708" i="1"/>
  <c r="H8708" i="1"/>
  <c r="A8709" i="1"/>
  <c r="B8709" i="1"/>
  <c r="C8709" i="1"/>
  <c r="D8709" i="1"/>
  <c r="E8709" i="1"/>
  <c r="F8709" i="1"/>
  <c r="H8709" i="1"/>
  <c r="A8710" i="1"/>
  <c r="B8710" i="1"/>
  <c r="C8710" i="1"/>
  <c r="D8710" i="1"/>
  <c r="E8710" i="1"/>
  <c r="F8710" i="1"/>
  <c r="H8710" i="1"/>
  <c r="A8711" i="1"/>
  <c r="B8711" i="1"/>
  <c r="C8711" i="1"/>
  <c r="D8711" i="1"/>
  <c r="E8711" i="1"/>
  <c r="F8711" i="1"/>
  <c r="H8711" i="1"/>
  <c r="A8712" i="1"/>
  <c r="B8712" i="1"/>
  <c r="C8712" i="1"/>
  <c r="D8712" i="1"/>
  <c r="E8712" i="1"/>
  <c r="F8712" i="1"/>
  <c r="H8712" i="1"/>
  <c r="A8713" i="1"/>
  <c r="B8713" i="1"/>
  <c r="C8713" i="1"/>
  <c r="D8713" i="1"/>
  <c r="E8713" i="1"/>
  <c r="F8713" i="1"/>
  <c r="H8713" i="1"/>
  <c r="A8714" i="1"/>
  <c r="B8714" i="1"/>
  <c r="C8714" i="1"/>
  <c r="D8714" i="1"/>
  <c r="E8714" i="1"/>
  <c r="F8714" i="1"/>
  <c r="H8714" i="1"/>
  <c r="A8715" i="1"/>
  <c r="B8715" i="1"/>
  <c r="C8715" i="1"/>
  <c r="D8715" i="1"/>
  <c r="E8715" i="1"/>
  <c r="F8715" i="1"/>
  <c r="H8715" i="1"/>
  <c r="A8716" i="1"/>
  <c r="B8716" i="1"/>
  <c r="C8716" i="1"/>
  <c r="D8716" i="1"/>
  <c r="E8716" i="1"/>
  <c r="F8716" i="1"/>
  <c r="H8716" i="1"/>
  <c r="A8717" i="1"/>
  <c r="B8717" i="1"/>
  <c r="C8717" i="1"/>
  <c r="D8717" i="1"/>
  <c r="E8717" i="1"/>
  <c r="F8717" i="1"/>
  <c r="H8717" i="1"/>
  <c r="A8718" i="1"/>
  <c r="B8718" i="1"/>
  <c r="C8718" i="1"/>
  <c r="D8718" i="1"/>
  <c r="E8718" i="1"/>
  <c r="F8718" i="1"/>
  <c r="H8718" i="1"/>
  <c r="A8719" i="1"/>
  <c r="B8719" i="1"/>
  <c r="C8719" i="1"/>
  <c r="D8719" i="1"/>
  <c r="E8719" i="1"/>
  <c r="F8719" i="1"/>
  <c r="H8719" i="1"/>
  <c r="A8720" i="1"/>
  <c r="B8720" i="1"/>
  <c r="C8720" i="1"/>
  <c r="D8720" i="1"/>
  <c r="E8720" i="1"/>
  <c r="F8720" i="1"/>
  <c r="H8720" i="1"/>
  <c r="A8721" i="1"/>
  <c r="B8721" i="1"/>
  <c r="C8721" i="1"/>
  <c r="D8721" i="1"/>
  <c r="E8721" i="1"/>
  <c r="F8721" i="1"/>
  <c r="H8721" i="1"/>
  <c r="A8722" i="1"/>
  <c r="B8722" i="1"/>
  <c r="C8722" i="1"/>
  <c r="D8722" i="1"/>
  <c r="E8722" i="1"/>
  <c r="F8722" i="1"/>
  <c r="H8722" i="1"/>
  <c r="A8723" i="1"/>
  <c r="B8723" i="1"/>
  <c r="C8723" i="1"/>
  <c r="D8723" i="1"/>
  <c r="E8723" i="1"/>
  <c r="F8723" i="1"/>
  <c r="H8723" i="1"/>
  <c r="A8724" i="1"/>
  <c r="B8724" i="1"/>
  <c r="C8724" i="1"/>
  <c r="D8724" i="1"/>
  <c r="E8724" i="1"/>
  <c r="F8724" i="1"/>
  <c r="H8724" i="1"/>
  <c r="A8725" i="1"/>
  <c r="B8725" i="1"/>
  <c r="C8725" i="1"/>
  <c r="D8725" i="1"/>
  <c r="E8725" i="1"/>
  <c r="F8725" i="1"/>
  <c r="H8725" i="1"/>
  <c r="A8726" i="1"/>
  <c r="B8726" i="1"/>
  <c r="C8726" i="1"/>
  <c r="D8726" i="1"/>
  <c r="E8726" i="1"/>
  <c r="F8726" i="1"/>
  <c r="H8726" i="1"/>
  <c r="A8727" i="1"/>
  <c r="B8727" i="1"/>
  <c r="C8727" i="1"/>
  <c r="D8727" i="1"/>
  <c r="E8727" i="1"/>
  <c r="F8727" i="1"/>
  <c r="H8727" i="1"/>
  <c r="A8728" i="1"/>
  <c r="B8728" i="1"/>
  <c r="C8728" i="1"/>
  <c r="D8728" i="1"/>
  <c r="E8728" i="1"/>
  <c r="F8728" i="1"/>
  <c r="H8728" i="1"/>
  <c r="A8729" i="1"/>
  <c r="B8729" i="1"/>
  <c r="C8729" i="1"/>
  <c r="D8729" i="1"/>
  <c r="E8729" i="1"/>
  <c r="F8729" i="1"/>
  <c r="H8729" i="1"/>
  <c r="A8730" i="1"/>
  <c r="B8730" i="1"/>
  <c r="C8730" i="1"/>
  <c r="D8730" i="1"/>
  <c r="E8730" i="1"/>
  <c r="F8730" i="1"/>
  <c r="H8730" i="1"/>
  <c r="A8731" i="1"/>
  <c r="B8731" i="1"/>
  <c r="C8731" i="1"/>
  <c r="D8731" i="1"/>
  <c r="E8731" i="1"/>
  <c r="F8731" i="1"/>
  <c r="H8731" i="1"/>
  <c r="A8732" i="1"/>
  <c r="B8732" i="1"/>
  <c r="C8732" i="1"/>
  <c r="D8732" i="1"/>
  <c r="E8732" i="1"/>
  <c r="F8732" i="1"/>
  <c r="H8732" i="1"/>
  <c r="A8733" i="1"/>
  <c r="B8733" i="1"/>
  <c r="C8733" i="1"/>
  <c r="D8733" i="1"/>
  <c r="E8733" i="1"/>
  <c r="F8733" i="1"/>
  <c r="H8733" i="1"/>
  <c r="A8734" i="1"/>
  <c r="B8734" i="1"/>
  <c r="C8734" i="1"/>
  <c r="D8734" i="1"/>
  <c r="E8734" i="1"/>
  <c r="F8734" i="1"/>
  <c r="H8734" i="1"/>
  <c r="A8735" i="1"/>
  <c r="B8735" i="1"/>
  <c r="C8735" i="1"/>
  <c r="D8735" i="1"/>
  <c r="E8735" i="1"/>
  <c r="F8735" i="1"/>
  <c r="H8735" i="1"/>
  <c r="A8736" i="1"/>
  <c r="B8736" i="1"/>
  <c r="C8736" i="1"/>
  <c r="D8736" i="1"/>
  <c r="E8736" i="1"/>
  <c r="F8736" i="1"/>
  <c r="H8736" i="1"/>
  <c r="A8737" i="1"/>
  <c r="B8737" i="1"/>
  <c r="C8737" i="1"/>
  <c r="D8737" i="1"/>
  <c r="E8737" i="1"/>
  <c r="F8737" i="1"/>
  <c r="H8737" i="1"/>
  <c r="A8738" i="1"/>
  <c r="B8738" i="1"/>
  <c r="C8738" i="1"/>
  <c r="D8738" i="1"/>
  <c r="E8738" i="1"/>
  <c r="F8738" i="1"/>
  <c r="H8738" i="1"/>
  <c r="A8739" i="1"/>
  <c r="B8739" i="1"/>
  <c r="C8739" i="1"/>
  <c r="D8739" i="1"/>
  <c r="E8739" i="1"/>
  <c r="F8739" i="1"/>
  <c r="H8739" i="1"/>
  <c r="A8740" i="1"/>
  <c r="B8740" i="1"/>
  <c r="C8740" i="1"/>
  <c r="D8740" i="1"/>
  <c r="E8740" i="1"/>
  <c r="F8740" i="1"/>
  <c r="H8740" i="1"/>
  <c r="A8741" i="1"/>
  <c r="B8741" i="1"/>
  <c r="C8741" i="1"/>
  <c r="D8741" i="1"/>
  <c r="E8741" i="1"/>
  <c r="F8741" i="1"/>
  <c r="H8741" i="1"/>
  <c r="A8742" i="1"/>
  <c r="B8742" i="1"/>
  <c r="C8742" i="1"/>
  <c r="D8742" i="1"/>
  <c r="E8742" i="1"/>
  <c r="F8742" i="1"/>
  <c r="H8742" i="1"/>
  <c r="A8743" i="1"/>
  <c r="B8743" i="1"/>
  <c r="C8743" i="1"/>
  <c r="D8743" i="1"/>
  <c r="E8743" i="1"/>
  <c r="F8743" i="1"/>
  <c r="H8743" i="1"/>
  <c r="A8744" i="1"/>
  <c r="B8744" i="1"/>
  <c r="C8744" i="1"/>
  <c r="D8744" i="1"/>
  <c r="E8744" i="1"/>
  <c r="F8744" i="1"/>
  <c r="H8744" i="1"/>
  <c r="A8745" i="1"/>
  <c r="B8745" i="1"/>
  <c r="C8745" i="1"/>
  <c r="D8745" i="1"/>
  <c r="E8745" i="1"/>
  <c r="F8745" i="1"/>
  <c r="H8745" i="1"/>
  <c r="A8746" i="1"/>
  <c r="B8746" i="1"/>
  <c r="C8746" i="1"/>
  <c r="D8746" i="1"/>
  <c r="E8746" i="1"/>
  <c r="F8746" i="1"/>
  <c r="H8746" i="1"/>
  <c r="A8747" i="1"/>
  <c r="B8747" i="1"/>
  <c r="C8747" i="1"/>
  <c r="D8747" i="1"/>
  <c r="E8747" i="1"/>
  <c r="F8747" i="1"/>
  <c r="H8747" i="1"/>
  <c r="A8748" i="1"/>
  <c r="B8748" i="1"/>
  <c r="C8748" i="1"/>
  <c r="D8748" i="1"/>
  <c r="E8748" i="1"/>
  <c r="F8748" i="1"/>
  <c r="H8748" i="1"/>
  <c r="A8749" i="1"/>
  <c r="B8749" i="1"/>
  <c r="C8749" i="1"/>
  <c r="D8749" i="1"/>
  <c r="E8749" i="1"/>
  <c r="F8749" i="1"/>
  <c r="H8749" i="1"/>
  <c r="A8750" i="1"/>
  <c r="B8750" i="1"/>
  <c r="C8750" i="1"/>
  <c r="D8750" i="1"/>
  <c r="E8750" i="1"/>
  <c r="F8750" i="1"/>
  <c r="H8750" i="1"/>
  <c r="A8751" i="1"/>
  <c r="B8751" i="1"/>
  <c r="C8751" i="1"/>
  <c r="D8751" i="1"/>
  <c r="E8751" i="1"/>
  <c r="F8751" i="1"/>
  <c r="H8751" i="1"/>
  <c r="A8752" i="1"/>
  <c r="B8752" i="1"/>
  <c r="C8752" i="1"/>
  <c r="D8752" i="1"/>
  <c r="E8752" i="1"/>
  <c r="F8752" i="1"/>
  <c r="H8752" i="1"/>
  <c r="A8753" i="1"/>
  <c r="B8753" i="1"/>
  <c r="C8753" i="1"/>
  <c r="D8753" i="1"/>
  <c r="E8753" i="1"/>
  <c r="F8753" i="1"/>
  <c r="H8753" i="1"/>
  <c r="A8754" i="1"/>
  <c r="B8754" i="1"/>
  <c r="C8754" i="1"/>
  <c r="D8754" i="1"/>
  <c r="E8754" i="1"/>
  <c r="F8754" i="1"/>
  <c r="H8754" i="1"/>
  <c r="A8755" i="1"/>
  <c r="B8755" i="1"/>
  <c r="C8755" i="1"/>
  <c r="D8755" i="1"/>
  <c r="E8755" i="1"/>
  <c r="F8755" i="1"/>
  <c r="H8755" i="1"/>
  <c r="A8756" i="1"/>
  <c r="B8756" i="1"/>
  <c r="C8756" i="1"/>
  <c r="D8756" i="1"/>
  <c r="E8756" i="1"/>
  <c r="F8756" i="1"/>
  <c r="H8756" i="1"/>
  <c r="A8757" i="1"/>
  <c r="B8757" i="1"/>
  <c r="C8757" i="1"/>
  <c r="D8757" i="1"/>
  <c r="E8757" i="1"/>
  <c r="F8757" i="1"/>
  <c r="H8757" i="1"/>
  <c r="A8758" i="1"/>
  <c r="B8758" i="1"/>
  <c r="C8758" i="1"/>
  <c r="D8758" i="1"/>
  <c r="E8758" i="1"/>
  <c r="F8758" i="1"/>
  <c r="H8758" i="1"/>
  <c r="A8759" i="1"/>
  <c r="B8759" i="1"/>
  <c r="C8759" i="1"/>
  <c r="D8759" i="1"/>
  <c r="E8759" i="1"/>
  <c r="F8759" i="1"/>
  <c r="H8759" i="1"/>
  <c r="A8760" i="1"/>
  <c r="B8760" i="1"/>
  <c r="C8760" i="1"/>
  <c r="D8760" i="1"/>
  <c r="E8760" i="1"/>
  <c r="F8760" i="1"/>
  <c r="H8760" i="1"/>
  <c r="A8761" i="1"/>
  <c r="B8761" i="1"/>
  <c r="C8761" i="1"/>
  <c r="D8761" i="1"/>
  <c r="E8761" i="1"/>
  <c r="F8761" i="1"/>
  <c r="H8761" i="1"/>
  <c r="A8762" i="1"/>
  <c r="B8762" i="1"/>
  <c r="C8762" i="1"/>
  <c r="D8762" i="1"/>
  <c r="E8762" i="1"/>
  <c r="F8762" i="1"/>
  <c r="H8762" i="1"/>
  <c r="A8763" i="1"/>
  <c r="B8763" i="1"/>
  <c r="C8763" i="1"/>
  <c r="D8763" i="1"/>
  <c r="E8763" i="1"/>
  <c r="F8763" i="1"/>
  <c r="H8763" i="1"/>
  <c r="A8764" i="1"/>
  <c r="B8764" i="1"/>
  <c r="C8764" i="1"/>
  <c r="D8764" i="1"/>
  <c r="E8764" i="1"/>
  <c r="F8764" i="1"/>
  <c r="H8764" i="1"/>
  <c r="A8765" i="1"/>
  <c r="B8765" i="1"/>
  <c r="C8765" i="1"/>
  <c r="D8765" i="1"/>
  <c r="E8765" i="1"/>
  <c r="F8765" i="1"/>
  <c r="H8765" i="1"/>
  <c r="A8766" i="1"/>
  <c r="B8766" i="1"/>
  <c r="C8766" i="1"/>
  <c r="D8766" i="1"/>
  <c r="E8766" i="1"/>
  <c r="F8766" i="1"/>
  <c r="H8766" i="1"/>
  <c r="A8767" i="1"/>
  <c r="B8767" i="1"/>
  <c r="C8767" i="1"/>
  <c r="D8767" i="1"/>
  <c r="E8767" i="1"/>
  <c r="F8767" i="1"/>
  <c r="H8767" i="1"/>
  <c r="A8768" i="1"/>
  <c r="B8768" i="1"/>
  <c r="C8768" i="1"/>
  <c r="D8768" i="1"/>
  <c r="E8768" i="1"/>
  <c r="F8768" i="1"/>
  <c r="H8768" i="1"/>
  <c r="A8769" i="1"/>
  <c r="B8769" i="1"/>
  <c r="C8769" i="1"/>
  <c r="D8769" i="1"/>
  <c r="E8769" i="1"/>
  <c r="F8769" i="1"/>
  <c r="H8769" i="1"/>
  <c r="A8770" i="1"/>
  <c r="B8770" i="1"/>
  <c r="C8770" i="1"/>
  <c r="D8770" i="1"/>
  <c r="E8770" i="1"/>
  <c r="F8770" i="1"/>
  <c r="H8770" i="1"/>
  <c r="A8771" i="1"/>
  <c r="B8771" i="1"/>
  <c r="C8771" i="1"/>
  <c r="D8771" i="1"/>
  <c r="E8771" i="1"/>
  <c r="F8771" i="1"/>
  <c r="H8771" i="1"/>
  <c r="A8772" i="1"/>
  <c r="B8772" i="1"/>
  <c r="C8772" i="1"/>
  <c r="D8772" i="1"/>
  <c r="E8772" i="1"/>
  <c r="F8772" i="1"/>
  <c r="H8772" i="1"/>
  <c r="A8773" i="1"/>
  <c r="B8773" i="1"/>
  <c r="C8773" i="1"/>
  <c r="D8773" i="1"/>
  <c r="E8773" i="1"/>
  <c r="F8773" i="1"/>
  <c r="H8773" i="1"/>
  <c r="A8774" i="1"/>
  <c r="B8774" i="1"/>
  <c r="C8774" i="1"/>
  <c r="D8774" i="1"/>
  <c r="E8774" i="1"/>
  <c r="F8774" i="1"/>
  <c r="H8774" i="1"/>
  <c r="A8775" i="1"/>
  <c r="B8775" i="1"/>
  <c r="C8775" i="1"/>
  <c r="D8775" i="1"/>
  <c r="E8775" i="1"/>
  <c r="F8775" i="1"/>
  <c r="H8775" i="1"/>
  <c r="A8776" i="1"/>
  <c r="B8776" i="1"/>
  <c r="C8776" i="1"/>
  <c r="D8776" i="1"/>
  <c r="E8776" i="1"/>
  <c r="F8776" i="1"/>
  <c r="H8776" i="1"/>
  <c r="A8777" i="1"/>
  <c r="B8777" i="1"/>
  <c r="C8777" i="1"/>
  <c r="D8777" i="1"/>
  <c r="E8777" i="1"/>
  <c r="F8777" i="1"/>
  <c r="H8777" i="1"/>
  <c r="A8778" i="1"/>
  <c r="B8778" i="1"/>
  <c r="C8778" i="1"/>
  <c r="D8778" i="1"/>
  <c r="E8778" i="1"/>
  <c r="F8778" i="1"/>
  <c r="H8778" i="1"/>
  <c r="A8779" i="1"/>
  <c r="B8779" i="1"/>
  <c r="C8779" i="1"/>
  <c r="D8779" i="1"/>
  <c r="E8779" i="1"/>
  <c r="F8779" i="1"/>
  <c r="H8779" i="1"/>
  <c r="A8780" i="1"/>
  <c r="B8780" i="1"/>
  <c r="C8780" i="1"/>
  <c r="D8780" i="1"/>
  <c r="E8780" i="1"/>
  <c r="F8780" i="1"/>
  <c r="H8780" i="1"/>
  <c r="A8781" i="1"/>
  <c r="B8781" i="1"/>
  <c r="C8781" i="1"/>
  <c r="D8781" i="1"/>
  <c r="E8781" i="1"/>
  <c r="F8781" i="1"/>
  <c r="H8781" i="1"/>
  <c r="A8782" i="1"/>
  <c r="B8782" i="1"/>
  <c r="C8782" i="1"/>
  <c r="D8782" i="1"/>
  <c r="E8782" i="1"/>
  <c r="F8782" i="1"/>
  <c r="H8782" i="1"/>
  <c r="A8783" i="1"/>
  <c r="B8783" i="1"/>
  <c r="C8783" i="1"/>
  <c r="D8783" i="1"/>
  <c r="E8783" i="1"/>
  <c r="F8783" i="1"/>
  <c r="H8783" i="1"/>
  <c r="A8784" i="1"/>
  <c r="B8784" i="1"/>
  <c r="C8784" i="1"/>
  <c r="D8784" i="1"/>
  <c r="E8784" i="1"/>
  <c r="F8784" i="1"/>
  <c r="H8784" i="1"/>
  <c r="A8785" i="1"/>
  <c r="B8785" i="1"/>
  <c r="C8785" i="1"/>
  <c r="D8785" i="1"/>
  <c r="E8785" i="1"/>
  <c r="F8785" i="1"/>
  <c r="H8785" i="1"/>
  <c r="A8786" i="1"/>
  <c r="B8786" i="1"/>
  <c r="C8786" i="1"/>
  <c r="D8786" i="1"/>
  <c r="E8786" i="1"/>
  <c r="F8786" i="1"/>
  <c r="H8786" i="1"/>
  <c r="A8787" i="1"/>
  <c r="B8787" i="1"/>
  <c r="C8787" i="1"/>
  <c r="D8787" i="1"/>
  <c r="E8787" i="1"/>
  <c r="F8787" i="1"/>
  <c r="H8787" i="1"/>
  <c r="A8788" i="1"/>
  <c r="B8788" i="1"/>
  <c r="C8788" i="1"/>
  <c r="D8788" i="1"/>
  <c r="E8788" i="1"/>
  <c r="F8788" i="1"/>
  <c r="H8788" i="1"/>
  <c r="A8789" i="1"/>
  <c r="B8789" i="1"/>
  <c r="C8789" i="1"/>
  <c r="D8789" i="1"/>
  <c r="E8789" i="1"/>
  <c r="F8789" i="1"/>
  <c r="H8789" i="1"/>
  <c r="A8790" i="1"/>
  <c r="B8790" i="1"/>
  <c r="C8790" i="1"/>
  <c r="D8790" i="1"/>
  <c r="E8790" i="1"/>
  <c r="F8790" i="1"/>
  <c r="H8790" i="1"/>
  <c r="A8791" i="1"/>
  <c r="B8791" i="1"/>
  <c r="C8791" i="1"/>
  <c r="D8791" i="1"/>
  <c r="E8791" i="1"/>
  <c r="F8791" i="1"/>
  <c r="H8791" i="1"/>
  <c r="A8792" i="1"/>
  <c r="B8792" i="1"/>
  <c r="C8792" i="1"/>
  <c r="D8792" i="1"/>
  <c r="E8792" i="1"/>
  <c r="F8792" i="1"/>
  <c r="H8792" i="1"/>
  <c r="A8793" i="1"/>
  <c r="B8793" i="1"/>
  <c r="C8793" i="1"/>
  <c r="D8793" i="1"/>
  <c r="E8793" i="1"/>
  <c r="F8793" i="1"/>
  <c r="H8793" i="1"/>
  <c r="A8794" i="1"/>
  <c r="B8794" i="1"/>
  <c r="C8794" i="1"/>
  <c r="D8794" i="1"/>
  <c r="E8794" i="1"/>
  <c r="F8794" i="1"/>
  <c r="H8794" i="1"/>
  <c r="A8795" i="1"/>
  <c r="B8795" i="1"/>
  <c r="C8795" i="1"/>
  <c r="D8795" i="1"/>
  <c r="E8795" i="1"/>
  <c r="F8795" i="1"/>
  <c r="H8795" i="1"/>
  <c r="A8796" i="1"/>
  <c r="B8796" i="1"/>
  <c r="C8796" i="1"/>
  <c r="D8796" i="1"/>
  <c r="E8796" i="1"/>
  <c r="F8796" i="1"/>
  <c r="H8796" i="1"/>
  <c r="A8797" i="1"/>
  <c r="B8797" i="1"/>
  <c r="C8797" i="1"/>
  <c r="D8797" i="1"/>
  <c r="E8797" i="1"/>
  <c r="F8797" i="1"/>
  <c r="H8797" i="1"/>
  <c r="A8798" i="1"/>
  <c r="B8798" i="1"/>
  <c r="C8798" i="1"/>
  <c r="D8798" i="1"/>
  <c r="E8798" i="1"/>
  <c r="F8798" i="1"/>
  <c r="H8798" i="1"/>
  <c r="A8799" i="1"/>
  <c r="B8799" i="1"/>
  <c r="C8799" i="1"/>
  <c r="D8799" i="1"/>
  <c r="E8799" i="1"/>
  <c r="F8799" i="1"/>
  <c r="H8799" i="1"/>
  <c r="A8800" i="1"/>
  <c r="B8800" i="1"/>
  <c r="C8800" i="1"/>
  <c r="D8800" i="1"/>
  <c r="E8800" i="1"/>
  <c r="F8800" i="1"/>
  <c r="H8800" i="1"/>
  <c r="A8801" i="1"/>
  <c r="B8801" i="1"/>
  <c r="C8801" i="1"/>
  <c r="D8801" i="1"/>
  <c r="E8801" i="1"/>
  <c r="F8801" i="1"/>
  <c r="H8801" i="1"/>
  <c r="A8802" i="1"/>
  <c r="B8802" i="1"/>
  <c r="C8802" i="1"/>
  <c r="D8802" i="1"/>
  <c r="E8802" i="1"/>
  <c r="F8802" i="1"/>
  <c r="H8802" i="1"/>
  <c r="A8803" i="1"/>
  <c r="B8803" i="1"/>
  <c r="C8803" i="1"/>
  <c r="D8803" i="1"/>
  <c r="E8803" i="1"/>
  <c r="F8803" i="1"/>
  <c r="H8803" i="1"/>
  <c r="A8804" i="1"/>
  <c r="B8804" i="1"/>
  <c r="C8804" i="1"/>
  <c r="D8804" i="1"/>
  <c r="E8804" i="1"/>
  <c r="F8804" i="1"/>
  <c r="H8804" i="1"/>
  <c r="A8805" i="1"/>
  <c r="B8805" i="1"/>
  <c r="C8805" i="1"/>
  <c r="D8805" i="1"/>
  <c r="E8805" i="1"/>
  <c r="F8805" i="1"/>
  <c r="H8805" i="1"/>
  <c r="A8806" i="1"/>
  <c r="B8806" i="1"/>
  <c r="C8806" i="1"/>
  <c r="D8806" i="1"/>
  <c r="E8806" i="1"/>
  <c r="F8806" i="1"/>
  <c r="H8806" i="1"/>
  <c r="A8807" i="1"/>
  <c r="B8807" i="1"/>
  <c r="C8807" i="1"/>
  <c r="D8807" i="1"/>
  <c r="E8807" i="1"/>
  <c r="F8807" i="1"/>
  <c r="H8807" i="1"/>
  <c r="A8808" i="1"/>
  <c r="B8808" i="1"/>
  <c r="C8808" i="1"/>
  <c r="D8808" i="1"/>
  <c r="E8808" i="1"/>
  <c r="F8808" i="1"/>
  <c r="H8808" i="1"/>
  <c r="A8809" i="1"/>
  <c r="B8809" i="1"/>
  <c r="C8809" i="1"/>
  <c r="D8809" i="1"/>
  <c r="E8809" i="1"/>
  <c r="F8809" i="1"/>
  <c r="H8809" i="1"/>
  <c r="A8810" i="1"/>
  <c r="B8810" i="1"/>
  <c r="C8810" i="1"/>
  <c r="D8810" i="1"/>
  <c r="E8810" i="1"/>
  <c r="F8810" i="1"/>
  <c r="H8810" i="1"/>
  <c r="A8811" i="1"/>
  <c r="B8811" i="1"/>
  <c r="C8811" i="1"/>
  <c r="D8811" i="1"/>
  <c r="E8811" i="1"/>
  <c r="F8811" i="1"/>
  <c r="H8811" i="1"/>
  <c r="A8812" i="1"/>
  <c r="B8812" i="1"/>
  <c r="C8812" i="1"/>
  <c r="D8812" i="1"/>
  <c r="E8812" i="1"/>
  <c r="F8812" i="1"/>
  <c r="H8812" i="1"/>
  <c r="A8813" i="1"/>
  <c r="B8813" i="1"/>
  <c r="C8813" i="1"/>
  <c r="D8813" i="1"/>
  <c r="E8813" i="1"/>
  <c r="F8813" i="1"/>
  <c r="H8813" i="1"/>
  <c r="A8814" i="1"/>
  <c r="B8814" i="1"/>
  <c r="C8814" i="1"/>
  <c r="D8814" i="1"/>
  <c r="E8814" i="1"/>
  <c r="F8814" i="1"/>
  <c r="H8814" i="1"/>
  <c r="A8815" i="1"/>
  <c r="B8815" i="1"/>
  <c r="C8815" i="1"/>
  <c r="D8815" i="1"/>
  <c r="E8815" i="1"/>
  <c r="F8815" i="1"/>
  <c r="H8815" i="1"/>
  <c r="A8816" i="1"/>
  <c r="B8816" i="1"/>
  <c r="C8816" i="1"/>
  <c r="D8816" i="1"/>
  <c r="E8816" i="1"/>
  <c r="F8816" i="1"/>
  <c r="H8816" i="1"/>
  <c r="A8817" i="1"/>
  <c r="B8817" i="1"/>
  <c r="C8817" i="1"/>
  <c r="D8817" i="1"/>
  <c r="E8817" i="1"/>
  <c r="F8817" i="1"/>
  <c r="H8817" i="1"/>
  <c r="A8818" i="1"/>
  <c r="B8818" i="1"/>
  <c r="C8818" i="1"/>
  <c r="D8818" i="1"/>
  <c r="E8818" i="1"/>
  <c r="F8818" i="1"/>
  <c r="H8818" i="1"/>
  <c r="A8819" i="1"/>
  <c r="B8819" i="1"/>
  <c r="C8819" i="1"/>
  <c r="D8819" i="1"/>
  <c r="E8819" i="1"/>
  <c r="F8819" i="1"/>
  <c r="H8819" i="1"/>
  <c r="A8820" i="1"/>
  <c r="B8820" i="1"/>
  <c r="C8820" i="1"/>
  <c r="D8820" i="1"/>
  <c r="E8820" i="1"/>
  <c r="F8820" i="1"/>
  <c r="H8820" i="1"/>
  <c r="A8821" i="1"/>
  <c r="B8821" i="1"/>
  <c r="C8821" i="1"/>
  <c r="D8821" i="1"/>
  <c r="E8821" i="1"/>
  <c r="F8821" i="1"/>
  <c r="H8821" i="1"/>
  <c r="A8822" i="1"/>
  <c r="B8822" i="1"/>
  <c r="C8822" i="1"/>
  <c r="D8822" i="1"/>
  <c r="E8822" i="1"/>
  <c r="F8822" i="1"/>
  <c r="H8822" i="1"/>
  <c r="A8823" i="1"/>
  <c r="B8823" i="1"/>
  <c r="C8823" i="1"/>
  <c r="D8823" i="1"/>
  <c r="E8823" i="1"/>
  <c r="F8823" i="1"/>
  <c r="H8823" i="1"/>
  <c r="A8824" i="1"/>
  <c r="B8824" i="1"/>
  <c r="C8824" i="1"/>
  <c r="D8824" i="1"/>
  <c r="E8824" i="1"/>
  <c r="F8824" i="1"/>
  <c r="H8824" i="1"/>
  <c r="A8825" i="1"/>
  <c r="B8825" i="1"/>
  <c r="C8825" i="1"/>
  <c r="D8825" i="1"/>
  <c r="E8825" i="1"/>
  <c r="F8825" i="1"/>
  <c r="H8825" i="1"/>
  <c r="A8826" i="1"/>
  <c r="B8826" i="1"/>
  <c r="C8826" i="1"/>
  <c r="D8826" i="1"/>
  <c r="E8826" i="1"/>
  <c r="F8826" i="1"/>
  <c r="H8826" i="1"/>
  <c r="A8827" i="1"/>
  <c r="B8827" i="1"/>
  <c r="C8827" i="1"/>
  <c r="D8827" i="1"/>
  <c r="E8827" i="1"/>
  <c r="F8827" i="1"/>
  <c r="H8827" i="1"/>
  <c r="A8828" i="1"/>
  <c r="B8828" i="1"/>
  <c r="C8828" i="1"/>
  <c r="D8828" i="1"/>
  <c r="E8828" i="1"/>
  <c r="F8828" i="1"/>
  <c r="H8828" i="1"/>
  <c r="A8829" i="1"/>
  <c r="B8829" i="1"/>
  <c r="C8829" i="1"/>
  <c r="D8829" i="1"/>
  <c r="E8829" i="1"/>
  <c r="F8829" i="1"/>
  <c r="H8829" i="1"/>
  <c r="A8830" i="1"/>
  <c r="B8830" i="1"/>
  <c r="C8830" i="1"/>
  <c r="D8830" i="1"/>
  <c r="E8830" i="1"/>
  <c r="F8830" i="1"/>
  <c r="H8830" i="1"/>
  <c r="A8831" i="1"/>
  <c r="B8831" i="1"/>
  <c r="C8831" i="1"/>
  <c r="D8831" i="1"/>
  <c r="E8831" i="1"/>
  <c r="F8831" i="1"/>
  <c r="H8831" i="1"/>
  <c r="A8832" i="1"/>
  <c r="B8832" i="1"/>
  <c r="C8832" i="1"/>
  <c r="D8832" i="1"/>
  <c r="E8832" i="1"/>
  <c r="F8832" i="1"/>
  <c r="H8832" i="1"/>
  <c r="A8833" i="1"/>
  <c r="B8833" i="1"/>
  <c r="C8833" i="1"/>
  <c r="D8833" i="1"/>
  <c r="E8833" i="1"/>
  <c r="F8833" i="1"/>
  <c r="H8833" i="1"/>
  <c r="A8834" i="1"/>
  <c r="B8834" i="1"/>
  <c r="C8834" i="1"/>
  <c r="D8834" i="1"/>
  <c r="E8834" i="1"/>
  <c r="F8834" i="1"/>
  <c r="H8834" i="1"/>
  <c r="A8835" i="1"/>
  <c r="B8835" i="1"/>
  <c r="C8835" i="1"/>
  <c r="D8835" i="1"/>
  <c r="E8835" i="1"/>
  <c r="F8835" i="1"/>
  <c r="H8835" i="1"/>
  <c r="A8836" i="1"/>
  <c r="B8836" i="1"/>
  <c r="C8836" i="1"/>
  <c r="D8836" i="1"/>
  <c r="E8836" i="1"/>
  <c r="F8836" i="1"/>
  <c r="H8836" i="1"/>
  <c r="A8837" i="1"/>
  <c r="B8837" i="1"/>
  <c r="C8837" i="1"/>
  <c r="D8837" i="1"/>
  <c r="E8837" i="1"/>
  <c r="F8837" i="1"/>
  <c r="H8837" i="1"/>
  <c r="A8838" i="1"/>
  <c r="B8838" i="1"/>
  <c r="C8838" i="1"/>
  <c r="D8838" i="1"/>
  <c r="E8838" i="1"/>
  <c r="F8838" i="1"/>
  <c r="H8838" i="1"/>
  <c r="A8839" i="1"/>
  <c r="B8839" i="1"/>
  <c r="C8839" i="1"/>
  <c r="D8839" i="1"/>
  <c r="E8839" i="1"/>
  <c r="F8839" i="1"/>
  <c r="H8839" i="1"/>
  <c r="A8840" i="1"/>
  <c r="B8840" i="1"/>
  <c r="C8840" i="1"/>
  <c r="D8840" i="1"/>
  <c r="E8840" i="1"/>
  <c r="F8840" i="1"/>
  <c r="H8840" i="1"/>
  <c r="A8841" i="1"/>
  <c r="B8841" i="1"/>
  <c r="C8841" i="1"/>
  <c r="D8841" i="1"/>
  <c r="E8841" i="1"/>
  <c r="F8841" i="1"/>
  <c r="H8841" i="1"/>
  <c r="A8842" i="1"/>
  <c r="B8842" i="1"/>
  <c r="C8842" i="1"/>
  <c r="D8842" i="1"/>
  <c r="E8842" i="1"/>
  <c r="F8842" i="1"/>
  <c r="H8842" i="1"/>
  <c r="A8843" i="1"/>
  <c r="B8843" i="1"/>
  <c r="C8843" i="1"/>
  <c r="D8843" i="1"/>
  <c r="E8843" i="1"/>
  <c r="F8843" i="1"/>
  <c r="H8843" i="1"/>
  <c r="A8844" i="1"/>
  <c r="B8844" i="1"/>
  <c r="C8844" i="1"/>
  <c r="D8844" i="1"/>
  <c r="E8844" i="1"/>
  <c r="F8844" i="1"/>
  <c r="H8844" i="1"/>
  <c r="A8845" i="1"/>
  <c r="B8845" i="1"/>
  <c r="C8845" i="1"/>
  <c r="D8845" i="1"/>
  <c r="E8845" i="1"/>
  <c r="F8845" i="1"/>
  <c r="H8845" i="1"/>
  <c r="A8846" i="1"/>
  <c r="B8846" i="1"/>
  <c r="C8846" i="1"/>
  <c r="D8846" i="1"/>
  <c r="E8846" i="1"/>
  <c r="F8846" i="1"/>
  <c r="H8846" i="1"/>
  <c r="A8847" i="1"/>
  <c r="B8847" i="1"/>
  <c r="C8847" i="1"/>
  <c r="D8847" i="1"/>
  <c r="E8847" i="1"/>
  <c r="F8847" i="1"/>
  <c r="H8847" i="1"/>
  <c r="A8848" i="1"/>
  <c r="B8848" i="1"/>
  <c r="C8848" i="1"/>
  <c r="D8848" i="1"/>
  <c r="E8848" i="1"/>
  <c r="F8848" i="1"/>
  <c r="H8848" i="1"/>
  <c r="A8849" i="1"/>
  <c r="B8849" i="1"/>
  <c r="C8849" i="1"/>
  <c r="D8849" i="1"/>
  <c r="E8849" i="1"/>
  <c r="F8849" i="1"/>
  <c r="H8849" i="1"/>
  <c r="A8850" i="1"/>
  <c r="B8850" i="1"/>
  <c r="C8850" i="1"/>
  <c r="D8850" i="1"/>
  <c r="E8850" i="1"/>
  <c r="F8850" i="1"/>
  <c r="H8850" i="1"/>
  <c r="A8851" i="1"/>
  <c r="B8851" i="1"/>
  <c r="C8851" i="1"/>
  <c r="D8851" i="1"/>
  <c r="E8851" i="1"/>
  <c r="F8851" i="1"/>
  <c r="H8851" i="1"/>
  <c r="A8852" i="1"/>
  <c r="B8852" i="1"/>
  <c r="C8852" i="1"/>
  <c r="D8852" i="1"/>
  <c r="E8852" i="1"/>
  <c r="F8852" i="1"/>
  <c r="H8852" i="1"/>
  <c r="A8853" i="1"/>
  <c r="B8853" i="1"/>
  <c r="C8853" i="1"/>
  <c r="D8853" i="1"/>
  <c r="E8853" i="1"/>
  <c r="F8853" i="1"/>
  <c r="H8853" i="1"/>
  <c r="A8854" i="1"/>
  <c r="B8854" i="1"/>
  <c r="C8854" i="1"/>
  <c r="D8854" i="1"/>
  <c r="E8854" i="1"/>
  <c r="F8854" i="1"/>
  <c r="H8854" i="1"/>
  <c r="A8855" i="1"/>
  <c r="B8855" i="1"/>
  <c r="C8855" i="1"/>
  <c r="D8855" i="1"/>
  <c r="E8855" i="1"/>
  <c r="F8855" i="1"/>
  <c r="H8855" i="1"/>
  <c r="A8856" i="1"/>
  <c r="B8856" i="1"/>
  <c r="C8856" i="1"/>
  <c r="D8856" i="1"/>
  <c r="E8856" i="1"/>
  <c r="F8856" i="1"/>
  <c r="H8856" i="1"/>
  <c r="A8857" i="1"/>
  <c r="B8857" i="1"/>
  <c r="C8857" i="1"/>
  <c r="D8857" i="1"/>
  <c r="E8857" i="1"/>
  <c r="F8857" i="1"/>
  <c r="H8857" i="1"/>
  <c r="A8858" i="1"/>
  <c r="B8858" i="1"/>
  <c r="C8858" i="1"/>
  <c r="D8858" i="1"/>
  <c r="E8858" i="1"/>
  <c r="F8858" i="1"/>
  <c r="H8858" i="1"/>
  <c r="A8859" i="1"/>
  <c r="B8859" i="1"/>
  <c r="C8859" i="1"/>
  <c r="D8859" i="1"/>
  <c r="E8859" i="1"/>
  <c r="F8859" i="1"/>
  <c r="H8859" i="1"/>
  <c r="A8860" i="1"/>
  <c r="B8860" i="1"/>
  <c r="C8860" i="1"/>
  <c r="D8860" i="1"/>
  <c r="E8860" i="1"/>
  <c r="F8860" i="1"/>
  <c r="H8860" i="1"/>
  <c r="A8861" i="1"/>
  <c r="B8861" i="1"/>
  <c r="C8861" i="1"/>
  <c r="D8861" i="1"/>
  <c r="E8861" i="1"/>
  <c r="F8861" i="1"/>
  <c r="H8861" i="1"/>
  <c r="A8862" i="1"/>
  <c r="B8862" i="1"/>
  <c r="C8862" i="1"/>
  <c r="D8862" i="1"/>
  <c r="E8862" i="1"/>
  <c r="F8862" i="1"/>
  <c r="H8862" i="1"/>
  <c r="A8863" i="1"/>
  <c r="B8863" i="1"/>
  <c r="C8863" i="1"/>
  <c r="D8863" i="1"/>
  <c r="E8863" i="1"/>
  <c r="F8863" i="1"/>
  <c r="H8863" i="1"/>
  <c r="A8864" i="1"/>
  <c r="B8864" i="1"/>
  <c r="C8864" i="1"/>
  <c r="D8864" i="1"/>
  <c r="E8864" i="1"/>
  <c r="F8864" i="1"/>
  <c r="H8864" i="1"/>
  <c r="A8865" i="1"/>
  <c r="B8865" i="1"/>
  <c r="C8865" i="1"/>
  <c r="D8865" i="1"/>
  <c r="E8865" i="1"/>
  <c r="F8865" i="1"/>
  <c r="H8865" i="1"/>
  <c r="A8866" i="1"/>
  <c r="B8866" i="1"/>
  <c r="C8866" i="1"/>
  <c r="D8866" i="1"/>
  <c r="E8866" i="1"/>
  <c r="F8866" i="1"/>
  <c r="H8866" i="1"/>
  <c r="A8867" i="1"/>
  <c r="B8867" i="1"/>
  <c r="C8867" i="1"/>
  <c r="D8867" i="1"/>
  <c r="E8867" i="1"/>
  <c r="F8867" i="1"/>
  <c r="H8867" i="1"/>
  <c r="A8868" i="1"/>
  <c r="B8868" i="1"/>
  <c r="C8868" i="1"/>
  <c r="D8868" i="1"/>
  <c r="E8868" i="1"/>
  <c r="F8868" i="1"/>
  <c r="H8868" i="1"/>
  <c r="A8869" i="1"/>
  <c r="B8869" i="1"/>
  <c r="C8869" i="1"/>
  <c r="D8869" i="1"/>
  <c r="E8869" i="1"/>
  <c r="F8869" i="1"/>
  <c r="H8869" i="1"/>
  <c r="A8870" i="1"/>
  <c r="B8870" i="1"/>
  <c r="C8870" i="1"/>
  <c r="D8870" i="1"/>
  <c r="E8870" i="1"/>
  <c r="F8870" i="1"/>
  <c r="H8870" i="1"/>
  <c r="A8871" i="1"/>
  <c r="B8871" i="1"/>
  <c r="C8871" i="1"/>
  <c r="D8871" i="1"/>
  <c r="E8871" i="1"/>
  <c r="F8871" i="1"/>
  <c r="H8871" i="1"/>
  <c r="A8872" i="1"/>
  <c r="B8872" i="1"/>
  <c r="C8872" i="1"/>
  <c r="D8872" i="1"/>
  <c r="E8872" i="1"/>
  <c r="F8872" i="1"/>
  <c r="H8872" i="1"/>
  <c r="A8873" i="1"/>
  <c r="B8873" i="1"/>
  <c r="C8873" i="1"/>
  <c r="D8873" i="1"/>
  <c r="E8873" i="1"/>
  <c r="F8873" i="1"/>
  <c r="H8873" i="1"/>
  <c r="A8874" i="1"/>
  <c r="B8874" i="1"/>
  <c r="C8874" i="1"/>
  <c r="D8874" i="1"/>
  <c r="E8874" i="1"/>
  <c r="F8874" i="1"/>
  <c r="H8874" i="1"/>
  <c r="A8875" i="1"/>
  <c r="B8875" i="1"/>
  <c r="C8875" i="1"/>
  <c r="D8875" i="1"/>
  <c r="E8875" i="1"/>
  <c r="F8875" i="1"/>
  <c r="H8875" i="1"/>
  <c r="A8876" i="1"/>
  <c r="B8876" i="1"/>
  <c r="C8876" i="1"/>
  <c r="D8876" i="1"/>
  <c r="E8876" i="1"/>
  <c r="F8876" i="1"/>
  <c r="H8876" i="1"/>
  <c r="A8877" i="1"/>
  <c r="B8877" i="1"/>
  <c r="C8877" i="1"/>
  <c r="D8877" i="1"/>
  <c r="E8877" i="1"/>
  <c r="F8877" i="1"/>
  <c r="H8877" i="1"/>
  <c r="A8878" i="1"/>
  <c r="B8878" i="1"/>
  <c r="C8878" i="1"/>
  <c r="D8878" i="1"/>
  <c r="E8878" i="1"/>
  <c r="F8878" i="1"/>
  <c r="H8878" i="1"/>
  <c r="A8879" i="1"/>
  <c r="B8879" i="1"/>
  <c r="C8879" i="1"/>
  <c r="D8879" i="1"/>
  <c r="E8879" i="1"/>
  <c r="F8879" i="1"/>
  <c r="H8879" i="1"/>
  <c r="A8880" i="1"/>
  <c r="B8880" i="1"/>
  <c r="C8880" i="1"/>
  <c r="D8880" i="1"/>
  <c r="E8880" i="1"/>
  <c r="F8880" i="1"/>
  <c r="H8880" i="1"/>
  <c r="A8881" i="1"/>
  <c r="B8881" i="1"/>
  <c r="C8881" i="1"/>
  <c r="D8881" i="1"/>
  <c r="E8881" i="1"/>
  <c r="F8881" i="1"/>
  <c r="H8881" i="1"/>
  <c r="A8882" i="1"/>
  <c r="B8882" i="1"/>
  <c r="C8882" i="1"/>
  <c r="D8882" i="1"/>
  <c r="E8882" i="1"/>
  <c r="F8882" i="1"/>
  <c r="H8882" i="1"/>
  <c r="A8883" i="1"/>
  <c r="B8883" i="1"/>
  <c r="C8883" i="1"/>
  <c r="D8883" i="1"/>
  <c r="E8883" i="1"/>
  <c r="F8883" i="1"/>
  <c r="H8883" i="1"/>
  <c r="A8884" i="1"/>
  <c r="B8884" i="1"/>
  <c r="C8884" i="1"/>
  <c r="D8884" i="1"/>
  <c r="E8884" i="1"/>
  <c r="F8884" i="1"/>
  <c r="H8884" i="1"/>
  <c r="A8885" i="1"/>
  <c r="B8885" i="1"/>
  <c r="C8885" i="1"/>
  <c r="D8885" i="1"/>
  <c r="E8885" i="1"/>
  <c r="F8885" i="1"/>
  <c r="H8885" i="1"/>
  <c r="A8886" i="1"/>
  <c r="B8886" i="1"/>
  <c r="C8886" i="1"/>
  <c r="D8886" i="1"/>
  <c r="E8886" i="1"/>
  <c r="F8886" i="1"/>
  <c r="H8886" i="1"/>
  <c r="A8887" i="1"/>
  <c r="B8887" i="1"/>
  <c r="C8887" i="1"/>
  <c r="D8887" i="1"/>
  <c r="E8887" i="1"/>
  <c r="F8887" i="1"/>
  <c r="H8887" i="1"/>
  <c r="A8888" i="1"/>
  <c r="B8888" i="1"/>
  <c r="C8888" i="1"/>
  <c r="D8888" i="1"/>
  <c r="E8888" i="1"/>
  <c r="F8888" i="1"/>
  <c r="H8888" i="1"/>
  <c r="A8889" i="1"/>
  <c r="B8889" i="1"/>
  <c r="C8889" i="1"/>
  <c r="D8889" i="1"/>
  <c r="E8889" i="1"/>
  <c r="F8889" i="1"/>
  <c r="H8889" i="1"/>
  <c r="A8890" i="1"/>
  <c r="B8890" i="1"/>
  <c r="C8890" i="1"/>
  <c r="D8890" i="1"/>
  <c r="E8890" i="1"/>
  <c r="F8890" i="1"/>
  <c r="H8890" i="1"/>
  <c r="A8891" i="1"/>
  <c r="B8891" i="1"/>
  <c r="C8891" i="1"/>
  <c r="D8891" i="1"/>
  <c r="E8891" i="1"/>
  <c r="F8891" i="1"/>
  <c r="H8891" i="1"/>
  <c r="A8892" i="1"/>
  <c r="B8892" i="1"/>
  <c r="C8892" i="1"/>
  <c r="D8892" i="1"/>
  <c r="E8892" i="1"/>
  <c r="F8892" i="1"/>
  <c r="H8892" i="1"/>
  <c r="A8893" i="1"/>
  <c r="B8893" i="1"/>
  <c r="C8893" i="1"/>
  <c r="D8893" i="1"/>
  <c r="E8893" i="1"/>
  <c r="F8893" i="1"/>
  <c r="H8893" i="1"/>
  <c r="A8894" i="1"/>
  <c r="B8894" i="1"/>
  <c r="C8894" i="1"/>
  <c r="D8894" i="1"/>
  <c r="E8894" i="1"/>
  <c r="F8894" i="1"/>
  <c r="H8894" i="1"/>
  <c r="A8895" i="1"/>
  <c r="B8895" i="1"/>
  <c r="C8895" i="1"/>
  <c r="D8895" i="1"/>
  <c r="E8895" i="1"/>
  <c r="F8895" i="1"/>
  <c r="H8895" i="1"/>
  <c r="A8896" i="1"/>
  <c r="B8896" i="1"/>
  <c r="C8896" i="1"/>
  <c r="D8896" i="1"/>
  <c r="E8896" i="1"/>
  <c r="F8896" i="1"/>
  <c r="H8896" i="1"/>
  <c r="A8897" i="1"/>
  <c r="B8897" i="1"/>
  <c r="C8897" i="1"/>
  <c r="D8897" i="1"/>
  <c r="E8897" i="1"/>
  <c r="F8897" i="1"/>
  <c r="H8897" i="1"/>
  <c r="A8898" i="1"/>
  <c r="B8898" i="1"/>
  <c r="C8898" i="1"/>
  <c r="D8898" i="1"/>
  <c r="E8898" i="1"/>
  <c r="F8898" i="1"/>
  <c r="H8898" i="1"/>
  <c r="A8899" i="1"/>
  <c r="B8899" i="1"/>
  <c r="C8899" i="1"/>
  <c r="D8899" i="1"/>
  <c r="E8899" i="1"/>
  <c r="F8899" i="1"/>
  <c r="H8899" i="1"/>
  <c r="A8900" i="1"/>
  <c r="B8900" i="1"/>
  <c r="C8900" i="1"/>
  <c r="D8900" i="1"/>
  <c r="E8900" i="1"/>
  <c r="F8900" i="1"/>
  <c r="H8900" i="1"/>
  <c r="A8901" i="1"/>
  <c r="B8901" i="1"/>
  <c r="C8901" i="1"/>
  <c r="D8901" i="1"/>
  <c r="E8901" i="1"/>
  <c r="F8901" i="1"/>
  <c r="H8901" i="1"/>
  <c r="A8902" i="1"/>
  <c r="B8902" i="1"/>
  <c r="C8902" i="1"/>
  <c r="D8902" i="1"/>
  <c r="E8902" i="1"/>
  <c r="F8902" i="1"/>
  <c r="H8902" i="1"/>
  <c r="A8903" i="1"/>
  <c r="B8903" i="1"/>
  <c r="C8903" i="1"/>
  <c r="D8903" i="1"/>
  <c r="E8903" i="1"/>
  <c r="F8903" i="1"/>
  <c r="H8903" i="1"/>
  <c r="A8904" i="1"/>
  <c r="B8904" i="1"/>
  <c r="C8904" i="1"/>
  <c r="D8904" i="1"/>
  <c r="E8904" i="1"/>
  <c r="F8904" i="1"/>
  <c r="H8904" i="1"/>
  <c r="A8905" i="1"/>
  <c r="B8905" i="1"/>
  <c r="C8905" i="1"/>
  <c r="D8905" i="1"/>
  <c r="E8905" i="1"/>
  <c r="F8905" i="1"/>
  <c r="H8905" i="1"/>
  <c r="A8906" i="1"/>
  <c r="B8906" i="1"/>
  <c r="C8906" i="1"/>
  <c r="D8906" i="1"/>
  <c r="E8906" i="1"/>
  <c r="F8906" i="1"/>
  <c r="H8906" i="1"/>
  <c r="A8907" i="1"/>
  <c r="B8907" i="1"/>
  <c r="C8907" i="1"/>
  <c r="D8907" i="1"/>
  <c r="E8907" i="1"/>
  <c r="F8907" i="1"/>
  <c r="H8907" i="1"/>
  <c r="A8908" i="1"/>
  <c r="B8908" i="1"/>
  <c r="C8908" i="1"/>
  <c r="D8908" i="1"/>
  <c r="E8908" i="1"/>
  <c r="F8908" i="1"/>
  <c r="H8908" i="1"/>
  <c r="A8909" i="1"/>
  <c r="B8909" i="1"/>
  <c r="C8909" i="1"/>
  <c r="D8909" i="1"/>
  <c r="E8909" i="1"/>
  <c r="F8909" i="1"/>
  <c r="H8909" i="1"/>
  <c r="A8910" i="1"/>
  <c r="B8910" i="1"/>
  <c r="C8910" i="1"/>
  <c r="D8910" i="1"/>
  <c r="E8910" i="1"/>
  <c r="F8910" i="1"/>
  <c r="H8910" i="1"/>
  <c r="A8911" i="1"/>
  <c r="B8911" i="1"/>
  <c r="C8911" i="1"/>
  <c r="D8911" i="1"/>
  <c r="E8911" i="1"/>
  <c r="F8911" i="1"/>
  <c r="H8911" i="1"/>
  <c r="A8912" i="1"/>
  <c r="B8912" i="1"/>
  <c r="C8912" i="1"/>
  <c r="D8912" i="1"/>
  <c r="E8912" i="1"/>
  <c r="F8912" i="1"/>
  <c r="H8912" i="1"/>
  <c r="A8913" i="1"/>
  <c r="B8913" i="1"/>
  <c r="C8913" i="1"/>
  <c r="D8913" i="1"/>
  <c r="E8913" i="1"/>
  <c r="F8913" i="1"/>
  <c r="H8913" i="1"/>
  <c r="A8914" i="1"/>
  <c r="B8914" i="1"/>
  <c r="C8914" i="1"/>
  <c r="D8914" i="1"/>
  <c r="E8914" i="1"/>
  <c r="F8914" i="1"/>
  <c r="H8914" i="1"/>
  <c r="A8915" i="1"/>
  <c r="B8915" i="1"/>
  <c r="C8915" i="1"/>
  <c r="D8915" i="1"/>
  <c r="E8915" i="1"/>
  <c r="F8915" i="1"/>
  <c r="H8915" i="1"/>
  <c r="A8916" i="1"/>
  <c r="B8916" i="1"/>
  <c r="C8916" i="1"/>
  <c r="D8916" i="1"/>
  <c r="E8916" i="1"/>
  <c r="F8916" i="1"/>
  <c r="H8916" i="1"/>
  <c r="A8917" i="1"/>
  <c r="B8917" i="1"/>
  <c r="C8917" i="1"/>
  <c r="D8917" i="1"/>
  <c r="E8917" i="1"/>
  <c r="F8917" i="1"/>
  <c r="H8917" i="1"/>
  <c r="A8918" i="1"/>
  <c r="B8918" i="1"/>
  <c r="C8918" i="1"/>
  <c r="D8918" i="1"/>
  <c r="E8918" i="1"/>
  <c r="F8918" i="1"/>
  <c r="H8918" i="1"/>
  <c r="A8919" i="1"/>
  <c r="B8919" i="1"/>
  <c r="C8919" i="1"/>
  <c r="D8919" i="1"/>
  <c r="E8919" i="1"/>
  <c r="F8919" i="1"/>
  <c r="H8919" i="1"/>
  <c r="A8920" i="1"/>
  <c r="B8920" i="1"/>
  <c r="C8920" i="1"/>
  <c r="D8920" i="1"/>
  <c r="E8920" i="1"/>
  <c r="F8920" i="1"/>
  <c r="H8920" i="1"/>
  <c r="A8921" i="1"/>
  <c r="B8921" i="1"/>
  <c r="C8921" i="1"/>
  <c r="D8921" i="1"/>
  <c r="E8921" i="1"/>
  <c r="F8921" i="1"/>
  <c r="H8921" i="1"/>
  <c r="A8922" i="1"/>
  <c r="B8922" i="1"/>
  <c r="C8922" i="1"/>
  <c r="D8922" i="1"/>
  <c r="E8922" i="1"/>
  <c r="F8922" i="1"/>
  <c r="H8922" i="1"/>
  <c r="A8923" i="1"/>
  <c r="B8923" i="1"/>
  <c r="C8923" i="1"/>
  <c r="D8923" i="1"/>
  <c r="E8923" i="1"/>
  <c r="F8923" i="1"/>
  <c r="H8923" i="1"/>
  <c r="A8924" i="1"/>
  <c r="B8924" i="1"/>
  <c r="C8924" i="1"/>
  <c r="D8924" i="1"/>
  <c r="E8924" i="1"/>
  <c r="F8924" i="1"/>
  <c r="H8924" i="1"/>
  <c r="A8925" i="1"/>
  <c r="B8925" i="1"/>
  <c r="C8925" i="1"/>
  <c r="D8925" i="1"/>
  <c r="E8925" i="1"/>
  <c r="F8925" i="1"/>
  <c r="H8925" i="1"/>
  <c r="A8926" i="1"/>
  <c r="B8926" i="1"/>
  <c r="C8926" i="1"/>
  <c r="D8926" i="1"/>
  <c r="E8926" i="1"/>
  <c r="F8926" i="1"/>
  <c r="H8926" i="1"/>
  <c r="A8927" i="1"/>
  <c r="B8927" i="1"/>
  <c r="C8927" i="1"/>
  <c r="D8927" i="1"/>
  <c r="E8927" i="1"/>
  <c r="F8927" i="1"/>
  <c r="H8927" i="1"/>
  <c r="A8928" i="1"/>
  <c r="B8928" i="1"/>
  <c r="C8928" i="1"/>
  <c r="D8928" i="1"/>
  <c r="E8928" i="1"/>
  <c r="F8928" i="1"/>
  <c r="H8928" i="1"/>
  <c r="A8929" i="1"/>
  <c r="B8929" i="1"/>
  <c r="C8929" i="1"/>
  <c r="D8929" i="1"/>
  <c r="E8929" i="1"/>
  <c r="F8929" i="1"/>
  <c r="H8929" i="1"/>
  <c r="A8930" i="1"/>
  <c r="B8930" i="1"/>
  <c r="C8930" i="1"/>
  <c r="D8930" i="1"/>
  <c r="E8930" i="1"/>
  <c r="F8930" i="1"/>
  <c r="H8930" i="1"/>
  <c r="A8931" i="1"/>
  <c r="B8931" i="1"/>
  <c r="C8931" i="1"/>
  <c r="D8931" i="1"/>
  <c r="E8931" i="1"/>
  <c r="F8931" i="1"/>
  <c r="H8931" i="1"/>
  <c r="A8932" i="1"/>
  <c r="B8932" i="1"/>
  <c r="C8932" i="1"/>
  <c r="D8932" i="1"/>
  <c r="E8932" i="1"/>
  <c r="F8932" i="1"/>
  <c r="H8932" i="1"/>
  <c r="A8933" i="1"/>
  <c r="B8933" i="1"/>
  <c r="C8933" i="1"/>
  <c r="D8933" i="1"/>
  <c r="E8933" i="1"/>
  <c r="F8933" i="1"/>
  <c r="H8933" i="1"/>
  <c r="A8934" i="1"/>
  <c r="B8934" i="1"/>
  <c r="C8934" i="1"/>
  <c r="D8934" i="1"/>
  <c r="E8934" i="1"/>
  <c r="F8934" i="1"/>
  <c r="H8934" i="1"/>
  <c r="A8935" i="1"/>
  <c r="B8935" i="1"/>
  <c r="C8935" i="1"/>
  <c r="D8935" i="1"/>
  <c r="E8935" i="1"/>
  <c r="F8935" i="1"/>
  <c r="H8935" i="1"/>
  <c r="A8936" i="1"/>
  <c r="B8936" i="1"/>
  <c r="C8936" i="1"/>
  <c r="D8936" i="1"/>
  <c r="E8936" i="1"/>
  <c r="F8936" i="1"/>
  <c r="H8936" i="1"/>
  <c r="A8937" i="1"/>
  <c r="B8937" i="1"/>
  <c r="C8937" i="1"/>
  <c r="D8937" i="1"/>
  <c r="E8937" i="1"/>
  <c r="F8937" i="1"/>
  <c r="H8937" i="1"/>
  <c r="A8938" i="1"/>
  <c r="B8938" i="1"/>
  <c r="C8938" i="1"/>
  <c r="D8938" i="1"/>
  <c r="E8938" i="1"/>
  <c r="F8938" i="1"/>
  <c r="H8938" i="1"/>
  <c r="A8939" i="1"/>
  <c r="B8939" i="1"/>
  <c r="C8939" i="1"/>
  <c r="D8939" i="1"/>
  <c r="E8939" i="1"/>
  <c r="F8939" i="1"/>
  <c r="H8939" i="1"/>
  <c r="A8940" i="1"/>
  <c r="B8940" i="1"/>
  <c r="C8940" i="1"/>
  <c r="D8940" i="1"/>
  <c r="E8940" i="1"/>
  <c r="F8940" i="1"/>
  <c r="H8940" i="1"/>
  <c r="A8941" i="1"/>
  <c r="B8941" i="1"/>
  <c r="C8941" i="1"/>
  <c r="D8941" i="1"/>
  <c r="E8941" i="1"/>
  <c r="F8941" i="1"/>
  <c r="H8941" i="1"/>
  <c r="A8942" i="1"/>
  <c r="B8942" i="1"/>
  <c r="C8942" i="1"/>
  <c r="D8942" i="1"/>
  <c r="E8942" i="1"/>
  <c r="F8942" i="1"/>
  <c r="H8942" i="1"/>
  <c r="A8943" i="1"/>
  <c r="B8943" i="1"/>
  <c r="C8943" i="1"/>
  <c r="D8943" i="1"/>
  <c r="E8943" i="1"/>
  <c r="F8943" i="1"/>
  <c r="H8943" i="1"/>
  <c r="A8944" i="1"/>
  <c r="B8944" i="1"/>
  <c r="C8944" i="1"/>
  <c r="D8944" i="1"/>
  <c r="E8944" i="1"/>
  <c r="F8944" i="1"/>
  <c r="H8944" i="1"/>
  <c r="A8945" i="1"/>
  <c r="B8945" i="1"/>
  <c r="C8945" i="1"/>
  <c r="D8945" i="1"/>
  <c r="E8945" i="1"/>
  <c r="F8945" i="1"/>
  <c r="H8945" i="1"/>
  <c r="A8946" i="1"/>
  <c r="B8946" i="1"/>
  <c r="C8946" i="1"/>
  <c r="D8946" i="1"/>
  <c r="E8946" i="1"/>
  <c r="F8946" i="1"/>
  <c r="H8946" i="1"/>
  <c r="A8947" i="1"/>
  <c r="B8947" i="1"/>
  <c r="C8947" i="1"/>
  <c r="D8947" i="1"/>
  <c r="E8947" i="1"/>
  <c r="F8947" i="1"/>
  <c r="H8947" i="1"/>
  <c r="A8948" i="1"/>
  <c r="B8948" i="1"/>
  <c r="C8948" i="1"/>
  <c r="D8948" i="1"/>
  <c r="E8948" i="1"/>
  <c r="F8948" i="1"/>
  <c r="H8948" i="1"/>
  <c r="A8949" i="1"/>
  <c r="B8949" i="1"/>
  <c r="C8949" i="1"/>
  <c r="D8949" i="1"/>
  <c r="E8949" i="1"/>
  <c r="F8949" i="1"/>
  <c r="H8949" i="1"/>
  <c r="A8950" i="1"/>
  <c r="B8950" i="1"/>
  <c r="C8950" i="1"/>
  <c r="D8950" i="1"/>
  <c r="E8950" i="1"/>
  <c r="F8950" i="1"/>
  <c r="H8950" i="1"/>
  <c r="A8951" i="1"/>
  <c r="B8951" i="1"/>
  <c r="C8951" i="1"/>
  <c r="D8951" i="1"/>
  <c r="E8951" i="1"/>
  <c r="F8951" i="1"/>
  <c r="H8951" i="1"/>
  <c r="A8952" i="1"/>
  <c r="B8952" i="1"/>
  <c r="C8952" i="1"/>
  <c r="D8952" i="1"/>
  <c r="E8952" i="1"/>
  <c r="F8952" i="1"/>
  <c r="H8952" i="1"/>
  <c r="A8953" i="1"/>
  <c r="B8953" i="1"/>
  <c r="C8953" i="1"/>
  <c r="D8953" i="1"/>
  <c r="E8953" i="1"/>
  <c r="F8953" i="1"/>
  <c r="H8953" i="1"/>
  <c r="A8954" i="1"/>
  <c r="B8954" i="1"/>
  <c r="C8954" i="1"/>
  <c r="D8954" i="1"/>
  <c r="E8954" i="1"/>
  <c r="F8954" i="1"/>
  <c r="H8954" i="1"/>
  <c r="A8955" i="1"/>
  <c r="B8955" i="1"/>
  <c r="C8955" i="1"/>
  <c r="D8955" i="1"/>
  <c r="E8955" i="1"/>
  <c r="F8955" i="1"/>
  <c r="H8955" i="1"/>
  <c r="A8956" i="1"/>
  <c r="B8956" i="1"/>
  <c r="C8956" i="1"/>
  <c r="D8956" i="1"/>
  <c r="E8956" i="1"/>
  <c r="F8956" i="1"/>
  <c r="H8956" i="1"/>
  <c r="A8957" i="1"/>
  <c r="B8957" i="1"/>
  <c r="C8957" i="1"/>
  <c r="D8957" i="1"/>
  <c r="E8957" i="1"/>
  <c r="F8957" i="1"/>
  <c r="H8957" i="1"/>
  <c r="A8958" i="1"/>
  <c r="B8958" i="1"/>
  <c r="C8958" i="1"/>
  <c r="D8958" i="1"/>
  <c r="E8958" i="1"/>
  <c r="F8958" i="1"/>
  <c r="H8958" i="1"/>
  <c r="A8959" i="1"/>
  <c r="B8959" i="1"/>
  <c r="C8959" i="1"/>
  <c r="D8959" i="1"/>
  <c r="E8959" i="1"/>
  <c r="F8959" i="1"/>
  <c r="H8959" i="1"/>
  <c r="A8960" i="1"/>
  <c r="B8960" i="1"/>
  <c r="C8960" i="1"/>
  <c r="D8960" i="1"/>
  <c r="E8960" i="1"/>
  <c r="F8960" i="1"/>
  <c r="H8960" i="1"/>
  <c r="A8961" i="1"/>
  <c r="B8961" i="1"/>
  <c r="C8961" i="1"/>
  <c r="D8961" i="1"/>
  <c r="E8961" i="1"/>
  <c r="F8961" i="1"/>
  <c r="H8961" i="1"/>
  <c r="A8962" i="1"/>
  <c r="B8962" i="1"/>
  <c r="C8962" i="1"/>
  <c r="D8962" i="1"/>
  <c r="E8962" i="1"/>
  <c r="F8962" i="1"/>
  <c r="H8962" i="1"/>
  <c r="A8963" i="1"/>
  <c r="B8963" i="1"/>
  <c r="C8963" i="1"/>
  <c r="D8963" i="1"/>
  <c r="E8963" i="1"/>
  <c r="F8963" i="1"/>
  <c r="H8963" i="1"/>
  <c r="A8964" i="1"/>
  <c r="B8964" i="1"/>
  <c r="C8964" i="1"/>
  <c r="D8964" i="1"/>
  <c r="E8964" i="1"/>
  <c r="F8964" i="1"/>
  <c r="H8964" i="1"/>
  <c r="A8965" i="1"/>
  <c r="B8965" i="1"/>
  <c r="C8965" i="1"/>
  <c r="D8965" i="1"/>
  <c r="E8965" i="1"/>
  <c r="F8965" i="1"/>
  <c r="H8965" i="1"/>
  <c r="A8966" i="1"/>
  <c r="B8966" i="1"/>
  <c r="C8966" i="1"/>
  <c r="D8966" i="1"/>
  <c r="E8966" i="1"/>
  <c r="F8966" i="1"/>
  <c r="H8966" i="1"/>
  <c r="A8967" i="1"/>
  <c r="B8967" i="1"/>
  <c r="C8967" i="1"/>
  <c r="D8967" i="1"/>
  <c r="E8967" i="1"/>
  <c r="F8967" i="1"/>
  <c r="H8967" i="1"/>
  <c r="A8968" i="1"/>
  <c r="B8968" i="1"/>
  <c r="C8968" i="1"/>
  <c r="D8968" i="1"/>
  <c r="E8968" i="1"/>
  <c r="F8968" i="1"/>
  <c r="H8968" i="1"/>
  <c r="A8969" i="1"/>
  <c r="B8969" i="1"/>
  <c r="C8969" i="1"/>
  <c r="D8969" i="1"/>
  <c r="E8969" i="1"/>
  <c r="F8969" i="1"/>
  <c r="H8969" i="1"/>
  <c r="A8970" i="1"/>
  <c r="B8970" i="1"/>
  <c r="C8970" i="1"/>
  <c r="D8970" i="1"/>
  <c r="E8970" i="1"/>
  <c r="F8970" i="1"/>
  <c r="H8970" i="1"/>
  <c r="A8971" i="1"/>
  <c r="B8971" i="1"/>
  <c r="C8971" i="1"/>
  <c r="D8971" i="1"/>
  <c r="E8971" i="1"/>
  <c r="F8971" i="1"/>
  <c r="H8971" i="1"/>
  <c r="A8972" i="1"/>
  <c r="B8972" i="1"/>
  <c r="C8972" i="1"/>
  <c r="D8972" i="1"/>
  <c r="E8972" i="1"/>
  <c r="F8972" i="1"/>
  <c r="H8972" i="1"/>
  <c r="A8973" i="1"/>
  <c r="B8973" i="1"/>
  <c r="C8973" i="1"/>
  <c r="D8973" i="1"/>
  <c r="E8973" i="1"/>
  <c r="F8973" i="1"/>
  <c r="H8973" i="1"/>
  <c r="A8974" i="1"/>
  <c r="B8974" i="1"/>
  <c r="C8974" i="1"/>
  <c r="D8974" i="1"/>
  <c r="E8974" i="1"/>
  <c r="F8974" i="1"/>
  <c r="H8974" i="1"/>
  <c r="A8975" i="1"/>
  <c r="B8975" i="1"/>
  <c r="C8975" i="1"/>
  <c r="D8975" i="1"/>
  <c r="E8975" i="1"/>
  <c r="F8975" i="1"/>
  <c r="H8975" i="1"/>
  <c r="A8976" i="1"/>
  <c r="B8976" i="1"/>
  <c r="C8976" i="1"/>
  <c r="D8976" i="1"/>
  <c r="E8976" i="1"/>
  <c r="F8976" i="1"/>
  <c r="H8976" i="1"/>
  <c r="A8977" i="1"/>
  <c r="B8977" i="1"/>
  <c r="C8977" i="1"/>
  <c r="D8977" i="1"/>
  <c r="E8977" i="1"/>
  <c r="F8977" i="1"/>
  <c r="H8977" i="1"/>
  <c r="A8978" i="1"/>
  <c r="B8978" i="1"/>
  <c r="C8978" i="1"/>
  <c r="D8978" i="1"/>
  <c r="E8978" i="1"/>
  <c r="F8978" i="1"/>
  <c r="H8978" i="1"/>
  <c r="A8979" i="1"/>
  <c r="B8979" i="1"/>
  <c r="C8979" i="1"/>
  <c r="D8979" i="1"/>
  <c r="E8979" i="1"/>
  <c r="F8979" i="1"/>
  <c r="H8979" i="1"/>
  <c r="A8980" i="1"/>
  <c r="B8980" i="1"/>
  <c r="C8980" i="1"/>
  <c r="D8980" i="1"/>
  <c r="E8980" i="1"/>
  <c r="F8980" i="1"/>
  <c r="H8980" i="1"/>
  <c r="A8981" i="1"/>
  <c r="B8981" i="1"/>
  <c r="C8981" i="1"/>
  <c r="D8981" i="1"/>
  <c r="E8981" i="1"/>
  <c r="F8981" i="1"/>
  <c r="H8981" i="1"/>
  <c r="A8982" i="1"/>
  <c r="B8982" i="1"/>
  <c r="C8982" i="1"/>
  <c r="D8982" i="1"/>
  <c r="E8982" i="1"/>
  <c r="F8982" i="1"/>
  <c r="H8982" i="1"/>
  <c r="A8983" i="1"/>
  <c r="B8983" i="1"/>
  <c r="C8983" i="1"/>
  <c r="D8983" i="1"/>
  <c r="E8983" i="1"/>
  <c r="F8983" i="1"/>
  <c r="H8983" i="1"/>
  <c r="A8984" i="1"/>
  <c r="B8984" i="1"/>
  <c r="C8984" i="1"/>
  <c r="D8984" i="1"/>
  <c r="E8984" i="1"/>
  <c r="F8984" i="1"/>
  <c r="H8984" i="1"/>
  <c r="A8985" i="1"/>
  <c r="B8985" i="1"/>
  <c r="C8985" i="1"/>
  <c r="D8985" i="1"/>
  <c r="E8985" i="1"/>
  <c r="F8985" i="1"/>
  <c r="H8985" i="1"/>
  <c r="A8986" i="1"/>
  <c r="B8986" i="1"/>
  <c r="C8986" i="1"/>
  <c r="D8986" i="1"/>
  <c r="E8986" i="1"/>
  <c r="F8986" i="1"/>
  <c r="H8986" i="1"/>
  <c r="A8987" i="1"/>
  <c r="B8987" i="1"/>
  <c r="C8987" i="1"/>
  <c r="D8987" i="1"/>
  <c r="E8987" i="1"/>
  <c r="F8987" i="1"/>
  <c r="H8987" i="1"/>
  <c r="A8988" i="1"/>
  <c r="B8988" i="1"/>
  <c r="C8988" i="1"/>
  <c r="D8988" i="1"/>
  <c r="E8988" i="1"/>
  <c r="F8988" i="1"/>
  <c r="H8988" i="1"/>
  <c r="A8989" i="1"/>
  <c r="B8989" i="1"/>
  <c r="C8989" i="1"/>
  <c r="D8989" i="1"/>
  <c r="E8989" i="1"/>
  <c r="F8989" i="1"/>
  <c r="H8989" i="1"/>
  <c r="A8990" i="1"/>
  <c r="B8990" i="1"/>
  <c r="C8990" i="1"/>
  <c r="D8990" i="1"/>
  <c r="E8990" i="1"/>
  <c r="F8990" i="1"/>
  <c r="H8990" i="1"/>
  <c r="A8991" i="1"/>
  <c r="B8991" i="1"/>
  <c r="C8991" i="1"/>
  <c r="D8991" i="1"/>
  <c r="E8991" i="1"/>
  <c r="F8991" i="1"/>
  <c r="H8991" i="1"/>
  <c r="A8992" i="1"/>
  <c r="B8992" i="1"/>
  <c r="C8992" i="1"/>
  <c r="D8992" i="1"/>
  <c r="E8992" i="1"/>
  <c r="F8992" i="1"/>
  <c r="H8992" i="1"/>
  <c r="A8993" i="1"/>
  <c r="B8993" i="1"/>
  <c r="C8993" i="1"/>
  <c r="D8993" i="1"/>
  <c r="E8993" i="1"/>
  <c r="F8993" i="1"/>
  <c r="H8993" i="1"/>
  <c r="A8994" i="1"/>
  <c r="B8994" i="1"/>
  <c r="C8994" i="1"/>
  <c r="D8994" i="1"/>
  <c r="E8994" i="1"/>
  <c r="F8994" i="1"/>
  <c r="H8994" i="1"/>
  <c r="A8995" i="1"/>
  <c r="B8995" i="1"/>
  <c r="C8995" i="1"/>
  <c r="D8995" i="1"/>
  <c r="E8995" i="1"/>
  <c r="F8995" i="1"/>
  <c r="H8995" i="1"/>
  <c r="A8996" i="1"/>
  <c r="B8996" i="1"/>
  <c r="C8996" i="1"/>
  <c r="D8996" i="1"/>
  <c r="E8996" i="1"/>
  <c r="F8996" i="1"/>
  <c r="H8996" i="1"/>
  <c r="A8997" i="1"/>
  <c r="B8997" i="1"/>
  <c r="C8997" i="1"/>
  <c r="D8997" i="1"/>
  <c r="E8997" i="1"/>
  <c r="F8997" i="1"/>
  <c r="H8997" i="1"/>
  <c r="A8998" i="1"/>
  <c r="B8998" i="1"/>
  <c r="C8998" i="1"/>
  <c r="D8998" i="1"/>
  <c r="E8998" i="1"/>
  <c r="F8998" i="1"/>
  <c r="H8998" i="1"/>
  <c r="A8999" i="1"/>
  <c r="B8999" i="1"/>
  <c r="C8999" i="1"/>
  <c r="D8999" i="1"/>
  <c r="E8999" i="1"/>
  <c r="F8999" i="1"/>
  <c r="H8999" i="1"/>
  <c r="A9000" i="1"/>
  <c r="B9000" i="1"/>
  <c r="C9000" i="1"/>
  <c r="D9000" i="1"/>
  <c r="E9000" i="1"/>
  <c r="F9000" i="1"/>
  <c r="H9000" i="1"/>
  <c r="A9001" i="1"/>
  <c r="B9001" i="1"/>
  <c r="C9001" i="1"/>
  <c r="D9001" i="1"/>
  <c r="E9001" i="1"/>
  <c r="F9001" i="1"/>
  <c r="H9001" i="1"/>
  <c r="A9002" i="1"/>
  <c r="B9002" i="1"/>
  <c r="C9002" i="1"/>
  <c r="D9002" i="1"/>
  <c r="E9002" i="1"/>
  <c r="F9002" i="1"/>
  <c r="H9002" i="1"/>
  <c r="A9003" i="1"/>
  <c r="B9003" i="1"/>
  <c r="C9003" i="1"/>
  <c r="D9003" i="1"/>
  <c r="E9003" i="1"/>
  <c r="F9003" i="1"/>
  <c r="H9003" i="1"/>
  <c r="A9004" i="1"/>
  <c r="B9004" i="1"/>
  <c r="C9004" i="1"/>
  <c r="D9004" i="1"/>
  <c r="E9004" i="1"/>
  <c r="F9004" i="1"/>
  <c r="H9004" i="1"/>
  <c r="A9005" i="1"/>
  <c r="B9005" i="1"/>
  <c r="C9005" i="1"/>
  <c r="D9005" i="1"/>
  <c r="E9005" i="1"/>
  <c r="F9005" i="1"/>
  <c r="H9005" i="1"/>
  <c r="A9006" i="1"/>
  <c r="B9006" i="1"/>
  <c r="C9006" i="1"/>
  <c r="D9006" i="1"/>
  <c r="E9006" i="1"/>
  <c r="F9006" i="1"/>
  <c r="H9006" i="1"/>
  <c r="A9007" i="1"/>
  <c r="B9007" i="1"/>
  <c r="C9007" i="1"/>
  <c r="D9007" i="1"/>
  <c r="E9007" i="1"/>
  <c r="F9007" i="1"/>
  <c r="H9007" i="1"/>
  <c r="A9008" i="1"/>
  <c r="B9008" i="1"/>
  <c r="C9008" i="1"/>
  <c r="D9008" i="1"/>
  <c r="E9008" i="1"/>
  <c r="F9008" i="1"/>
  <c r="H9008" i="1"/>
  <c r="A9009" i="1"/>
  <c r="B9009" i="1"/>
  <c r="C9009" i="1"/>
  <c r="D9009" i="1"/>
  <c r="E9009" i="1"/>
  <c r="F9009" i="1"/>
  <c r="H9009" i="1"/>
  <c r="A9010" i="1"/>
  <c r="B9010" i="1"/>
  <c r="C9010" i="1"/>
  <c r="D9010" i="1"/>
  <c r="E9010" i="1"/>
  <c r="F9010" i="1"/>
  <c r="H9010" i="1"/>
  <c r="A9011" i="1"/>
  <c r="B9011" i="1"/>
  <c r="C9011" i="1"/>
  <c r="D9011" i="1"/>
  <c r="E9011" i="1"/>
  <c r="F9011" i="1"/>
  <c r="H9011" i="1"/>
  <c r="A9012" i="1"/>
  <c r="B9012" i="1"/>
  <c r="C9012" i="1"/>
  <c r="D9012" i="1"/>
  <c r="E9012" i="1"/>
  <c r="F9012" i="1"/>
  <c r="H9012" i="1"/>
  <c r="A9013" i="1"/>
  <c r="B9013" i="1"/>
  <c r="C9013" i="1"/>
  <c r="D9013" i="1"/>
  <c r="E9013" i="1"/>
  <c r="F9013" i="1"/>
  <c r="H9013" i="1"/>
  <c r="A9014" i="1"/>
  <c r="B9014" i="1"/>
  <c r="C9014" i="1"/>
  <c r="D9014" i="1"/>
  <c r="E9014" i="1"/>
  <c r="F9014" i="1"/>
  <c r="H9014" i="1"/>
  <c r="A9015" i="1"/>
  <c r="B9015" i="1"/>
  <c r="C9015" i="1"/>
  <c r="D9015" i="1"/>
  <c r="E9015" i="1"/>
  <c r="F9015" i="1"/>
  <c r="H9015" i="1"/>
  <c r="A9016" i="1"/>
  <c r="B9016" i="1"/>
  <c r="C9016" i="1"/>
  <c r="D9016" i="1"/>
  <c r="E9016" i="1"/>
  <c r="F9016" i="1"/>
  <c r="H9016" i="1"/>
  <c r="A9017" i="1"/>
  <c r="B9017" i="1"/>
  <c r="C9017" i="1"/>
  <c r="D9017" i="1"/>
  <c r="E9017" i="1"/>
  <c r="F9017" i="1"/>
  <c r="H9017" i="1"/>
  <c r="A9018" i="1"/>
  <c r="B9018" i="1"/>
  <c r="C9018" i="1"/>
  <c r="D9018" i="1"/>
  <c r="E9018" i="1"/>
  <c r="F9018" i="1"/>
  <c r="H9018" i="1"/>
  <c r="A9019" i="1"/>
  <c r="B9019" i="1"/>
  <c r="C9019" i="1"/>
  <c r="D9019" i="1"/>
  <c r="E9019" i="1"/>
  <c r="F9019" i="1"/>
  <c r="H9019" i="1"/>
  <c r="A9020" i="1"/>
  <c r="B9020" i="1"/>
  <c r="C9020" i="1"/>
  <c r="D9020" i="1"/>
  <c r="E9020" i="1"/>
  <c r="F9020" i="1"/>
  <c r="H9020" i="1"/>
  <c r="A9021" i="1"/>
  <c r="B9021" i="1"/>
  <c r="C9021" i="1"/>
  <c r="D9021" i="1"/>
  <c r="E9021" i="1"/>
  <c r="F9021" i="1"/>
  <c r="H9021" i="1"/>
  <c r="A9022" i="1"/>
  <c r="B9022" i="1"/>
  <c r="C9022" i="1"/>
  <c r="D9022" i="1"/>
  <c r="E9022" i="1"/>
  <c r="F9022" i="1"/>
  <c r="H9022" i="1"/>
  <c r="A9023" i="1"/>
  <c r="B9023" i="1"/>
  <c r="C9023" i="1"/>
  <c r="D9023" i="1"/>
  <c r="E9023" i="1"/>
  <c r="F9023" i="1"/>
  <c r="H9023" i="1"/>
  <c r="A9024" i="1"/>
  <c r="B9024" i="1"/>
  <c r="C9024" i="1"/>
  <c r="D9024" i="1"/>
  <c r="E9024" i="1"/>
  <c r="F9024" i="1"/>
  <c r="H9024" i="1"/>
  <c r="A9025" i="1"/>
  <c r="B9025" i="1"/>
  <c r="C9025" i="1"/>
  <c r="D9025" i="1"/>
  <c r="E9025" i="1"/>
  <c r="F9025" i="1"/>
  <c r="H9025" i="1"/>
  <c r="A9026" i="1"/>
  <c r="B9026" i="1"/>
  <c r="C9026" i="1"/>
  <c r="D9026" i="1"/>
  <c r="E9026" i="1"/>
  <c r="F9026" i="1"/>
  <c r="H9026" i="1"/>
  <c r="A9027" i="1"/>
  <c r="B9027" i="1"/>
  <c r="C9027" i="1"/>
  <c r="D9027" i="1"/>
  <c r="E9027" i="1"/>
  <c r="F9027" i="1"/>
  <c r="H9027" i="1"/>
  <c r="A9028" i="1"/>
  <c r="B9028" i="1"/>
  <c r="C9028" i="1"/>
  <c r="D9028" i="1"/>
  <c r="E9028" i="1"/>
  <c r="F9028" i="1"/>
  <c r="H9028" i="1"/>
  <c r="A9029" i="1"/>
  <c r="B9029" i="1"/>
  <c r="C9029" i="1"/>
  <c r="D9029" i="1"/>
  <c r="E9029" i="1"/>
  <c r="F9029" i="1"/>
  <c r="H9029" i="1"/>
  <c r="A9030" i="1"/>
  <c r="B9030" i="1"/>
  <c r="C9030" i="1"/>
  <c r="D9030" i="1"/>
  <c r="E9030" i="1"/>
  <c r="F9030" i="1"/>
  <c r="H9030" i="1"/>
  <c r="A9031" i="1"/>
  <c r="B9031" i="1"/>
  <c r="C9031" i="1"/>
  <c r="D9031" i="1"/>
  <c r="E9031" i="1"/>
  <c r="F9031" i="1"/>
  <c r="H9031" i="1"/>
  <c r="A9032" i="1"/>
  <c r="B9032" i="1"/>
  <c r="C9032" i="1"/>
  <c r="D9032" i="1"/>
  <c r="E9032" i="1"/>
  <c r="F9032" i="1"/>
  <c r="H9032" i="1"/>
  <c r="A9033" i="1"/>
  <c r="B9033" i="1"/>
  <c r="C9033" i="1"/>
  <c r="D9033" i="1"/>
  <c r="E9033" i="1"/>
  <c r="F9033" i="1"/>
  <c r="H9033" i="1"/>
  <c r="A9034" i="1"/>
  <c r="B9034" i="1"/>
  <c r="C9034" i="1"/>
  <c r="D9034" i="1"/>
  <c r="E9034" i="1"/>
  <c r="F9034" i="1"/>
  <c r="H9034" i="1"/>
  <c r="A9035" i="1"/>
  <c r="B9035" i="1"/>
  <c r="C9035" i="1"/>
  <c r="D9035" i="1"/>
  <c r="E9035" i="1"/>
  <c r="F9035" i="1"/>
  <c r="H9035" i="1"/>
  <c r="A9036" i="1"/>
  <c r="B9036" i="1"/>
  <c r="C9036" i="1"/>
  <c r="D9036" i="1"/>
  <c r="E9036" i="1"/>
  <c r="F9036" i="1"/>
  <c r="H9036" i="1"/>
  <c r="A9037" i="1"/>
  <c r="B9037" i="1"/>
  <c r="C9037" i="1"/>
  <c r="D9037" i="1"/>
  <c r="E9037" i="1"/>
  <c r="F9037" i="1"/>
  <c r="H9037" i="1"/>
  <c r="A9038" i="1"/>
  <c r="B9038" i="1"/>
  <c r="C9038" i="1"/>
  <c r="D9038" i="1"/>
  <c r="E9038" i="1"/>
  <c r="F9038" i="1"/>
  <c r="H9038" i="1"/>
  <c r="A9039" i="1"/>
  <c r="B9039" i="1"/>
  <c r="C9039" i="1"/>
  <c r="D9039" i="1"/>
  <c r="E9039" i="1"/>
  <c r="F9039" i="1"/>
  <c r="H9039" i="1"/>
  <c r="A9040" i="1"/>
  <c r="B9040" i="1"/>
  <c r="C9040" i="1"/>
  <c r="D9040" i="1"/>
  <c r="E9040" i="1"/>
  <c r="F9040" i="1"/>
  <c r="H9040" i="1"/>
  <c r="A9041" i="1"/>
  <c r="B9041" i="1"/>
  <c r="C9041" i="1"/>
  <c r="D9041" i="1"/>
  <c r="E9041" i="1"/>
  <c r="F9041" i="1"/>
  <c r="H9041" i="1"/>
  <c r="A9042" i="1"/>
  <c r="B9042" i="1"/>
  <c r="C9042" i="1"/>
  <c r="D9042" i="1"/>
  <c r="E9042" i="1"/>
  <c r="F9042" i="1"/>
  <c r="H9042" i="1"/>
  <c r="A9043" i="1"/>
  <c r="B9043" i="1"/>
  <c r="C9043" i="1"/>
  <c r="D9043" i="1"/>
  <c r="E9043" i="1"/>
  <c r="F9043" i="1"/>
  <c r="H9043" i="1"/>
  <c r="A9044" i="1"/>
  <c r="B9044" i="1"/>
  <c r="C9044" i="1"/>
  <c r="D9044" i="1"/>
  <c r="E9044" i="1"/>
  <c r="F9044" i="1"/>
  <c r="H9044" i="1"/>
  <c r="A9045" i="1"/>
  <c r="B9045" i="1"/>
  <c r="C9045" i="1"/>
  <c r="D9045" i="1"/>
  <c r="E9045" i="1"/>
  <c r="F9045" i="1"/>
  <c r="H9045" i="1"/>
  <c r="A9046" i="1"/>
  <c r="B9046" i="1"/>
  <c r="C9046" i="1"/>
  <c r="D9046" i="1"/>
  <c r="E9046" i="1"/>
  <c r="F9046" i="1"/>
  <c r="H9046" i="1"/>
  <c r="A9047" i="1"/>
  <c r="B9047" i="1"/>
  <c r="C9047" i="1"/>
  <c r="D9047" i="1"/>
  <c r="E9047" i="1"/>
  <c r="F9047" i="1"/>
  <c r="H9047" i="1"/>
  <c r="A9048" i="1"/>
  <c r="B9048" i="1"/>
  <c r="C9048" i="1"/>
  <c r="D9048" i="1"/>
  <c r="E9048" i="1"/>
  <c r="F9048" i="1"/>
  <c r="H9048" i="1"/>
  <c r="A9049" i="1"/>
  <c r="B9049" i="1"/>
  <c r="C9049" i="1"/>
  <c r="D9049" i="1"/>
  <c r="E9049" i="1"/>
  <c r="F9049" i="1"/>
  <c r="H9049" i="1"/>
  <c r="A9050" i="1"/>
  <c r="B9050" i="1"/>
  <c r="C9050" i="1"/>
  <c r="D9050" i="1"/>
  <c r="E9050" i="1"/>
  <c r="F9050" i="1"/>
  <c r="H9050" i="1"/>
  <c r="A9051" i="1"/>
  <c r="B9051" i="1"/>
  <c r="C9051" i="1"/>
  <c r="D9051" i="1"/>
  <c r="E9051" i="1"/>
  <c r="F9051" i="1"/>
  <c r="H9051" i="1"/>
  <c r="A9052" i="1"/>
  <c r="B9052" i="1"/>
  <c r="C9052" i="1"/>
  <c r="D9052" i="1"/>
  <c r="E9052" i="1"/>
  <c r="F9052" i="1"/>
  <c r="H9052" i="1"/>
  <c r="A9053" i="1"/>
  <c r="B9053" i="1"/>
  <c r="C9053" i="1"/>
  <c r="D9053" i="1"/>
  <c r="E9053" i="1"/>
  <c r="F9053" i="1"/>
  <c r="H9053" i="1"/>
  <c r="A9054" i="1"/>
  <c r="B9054" i="1"/>
  <c r="C9054" i="1"/>
  <c r="D9054" i="1"/>
  <c r="E9054" i="1"/>
  <c r="F9054" i="1"/>
  <c r="H9054" i="1"/>
  <c r="A9055" i="1"/>
  <c r="B9055" i="1"/>
  <c r="C9055" i="1"/>
  <c r="D9055" i="1"/>
  <c r="E9055" i="1"/>
  <c r="F9055" i="1"/>
  <c r="H9055" i="1"/>
  <c r="A9056" i="1"/>
  <c r="B9056" i="1"/>
  <c r="C9056" i="1"/>
  <c r="D9056" i="1"/>
  <c r="E9056" i="1"/>
  <c r="F9056" i="1"/>
  <c r="H9056" i="1"/>
  <c r="A9057" i="1"/>
  <c r="B9057" i="1"/>
  <c r="C9057" i="1"/>
  <c r="D9057" i="1"/>
  <c r="E9057" i="1"/>
  <c r="F9057" i="1"/>
  <c r="H9057" i="1"/>
  <c r="A9058" i="1"/>
  <c r="B9058" i="1"/>
  <c r="C9058" i="1"/>
  <c r="D9058" i="1"/>
  <c r="E9058" i="1"/>
  <c r="F9058" i="1"/>
  <c r="H9058" i="1"/>
  <c r="A9059" i="1"/>
  <c r="B9059" i="1"/>
  <c r="C9059" i="1"/>
  <c r="D9059" i="1"/>
  <c r="E9059" i="1"/>
  <c r="F9059" i="1"/>
  <c r="H9059" i="1"/>
  <c r="A9060" i="1"/>
  <c r="B9060" i="1"/>
  <c r="C9060" i="1"/>
  <c r="D9060" i="1"/>
  <c r="E9060" i="1"/>
  <c r="F9060" i="1"/>
  <c r="H9060" i="1"/>
  <c r="A9061" i="1"/>
  <c r="B9061" i="1"/>
  <c r="C9061" i="1"/>
  <c r="D9061" i="1"/>
  <c r="E9061" i="1"/>
  <c r="F9061" i="1"/>
  <c r="H9061" i="1"/>
  <c r="A9062" i="1"/>
  <c r="B9062" i="1"/>
  <c r="C9062" i="1"/>
  <c r="D9062" i="1"/>
  <c r="E9062" i="1"/>
  <c r="F9062" i="1"/>
  <c r="H9062" i="1"/>
  <c r="A9063" i="1"/>
  <c r="B9063" i="1"/>
  <c r="C9063" i="1"/>
  <c r="D9063" i="1"/>
  <c r="E9063" i="1"/>
  <c r="F9063" i="1"/>
  <c r="H9063" i="1"/>
  <c r="A9064" i="1"/>
  <c r="B9064" i="1"/>
  <c r="C9064" i="1"/>
  <c r="D9064" i="1"/>
  <c r="E9064" i="1"/>
  <c r="F9064" i="1"/>
  <c r="H9064" i="1"/>
  <c r="A9065" i="1"/>
  <c r="B9065" i="1"/>
  <c r="C9065" i="1"/>
  <c r="D9065" i="1"/>
  <c r="E9065" i="1"/>
  <c r="F9065" i="1"/>
  <c r="H9065" i="1"/>
  <c r="A9066" i="1"/>
  <c r="B9066" i="1"/>
  <c r="C9066" i="1"/>
  <c r="D9066" i="1"/>
  <c r="E9066" i="1"/>
  <c r="F9066" i="1"/>
  <c r="H9066" i="1"/>
  <c r="A9067" i="1"/>
  <c r="B9067" i="1"/>
  <c r="C9067" i="1"/>
  <c r="D9067" i="1"/>
  <c r="E9067" i="1"/>
  <c r="F9067" i="1"/>
  <c r="H9067" i="1"/>
  <c r="A9068" i="1"/>
  <c r="B9068" i="1"/>
  <c r="C9068" i="1"/>
  <c r="D9068" i="1"/>
  <c r="E9068" i="1"/>
  <c r="F9068" i="1"/>
  <c r="H9068" i="1"/>
  <c r="A9069" i="1"/>
  <c r="B9069" i="1"/>
  <c r="C9069" i="1"/>
  <c r="D9069" i="1"/>
  <c r="E9069" i="1"/>
  <c r="F9069" i="1"/>
  <c r="H9069" i="1"/>
  <c r="A9070" i="1"/>
  <c r="B9070" i="1"/>
  <c r="C9070" i="1"/>
  <c r="D9070" i="1"/>
  <c r="E9070" i="1"/>
  <c r="F9070" i="1"/>
  <c r="H9070" i="1"/>
  <c r="A9071" i="1"/>
  <c r="B9071" i="1"/>
  <c r="C9071" i="1"/>
  <c r="D9071" i="1"/>
  <c r="E9071" i="1"/>
  <c r="F9071" i="1"/>
  <c r="H9071" i="1"/>
  <c r="A9072" i="1"/>
  <c r="B9072" i="1"/>
  <c r="C9072" i="1"/>
  <c r="D9072" i="1"/>
  <c r="E9072" i="1"/>
  <c r="F9072" i="1"/>
  <c r="H9072" i="1"/>
  <c r="A9073" i="1"/>
  <c r="B9073" i="1"/>
  <c r="C9073" i="1"/>
  <c r="D9073" i="1"/>
  <c r="E9073" i="1"/>
  <c r="F9073" i="1"/>
  <c r="H9073" i="1"/>
  <c r="A9074" i="1"/>
  <c r="B9074" i="1"/>
  <c r="C9074" i="1"/>
  <c r="D9074" i="1"/>
  <c r="E9074" i="1"/>
  <c r="F9074" i="1"/>
  <c r="H9074" i="1"/>
  <c r="A9075" i="1"/>
  <c r="B9075" i="1"/>
  <c r="C9075" i="1"/>
  <c r="D9075" i="1"/>
  <c r="E9075" i="1"/>
  <c r="F9075" i="1"/>
  <c r="H9075" i="1"/>
  <c r="A9076" i="1"/>
  <c r="B9076" i="1"/>
  <c r="C9076" i="1"/>
  <c r="D9076" i="1"/>
  <c r="E9076" i="1"/>
  <c r="F9076" i="1"/>
  <c r="H9076" i="1"/>
  <c r="A9077" i="1"/>
  <c r="B9077" i="1"/>
  <c r="C9077" i="1"/>
  <c r="D9077" i="1"/>
  <c r="E9077" i="1"/>
  <c r="F9077" i="1"/>
  <c r="H9077" i="1"/>
  <c r="A9078" i="1"/>
  <c r="B9078" i="1"/>
  <c r="C9078" i="1"/>
  <c r="D9078" i="1"/>
  <c r="E9078" i="1"/>
  <c r="F9078" i="1"/>
  <c r="H9078" i="1"/>
  <c r="A9079" i="1"/>
  <c r="B9079" i="1"/>
  <c r="C9079" i="1"/>
  <c r="D9079" i="1"/>
  <c r="E9079" i="1"/>
  <c r="F9079" i="1"/>
  <c r="H9079" i="1"/>
  <c r="A9080" i="1"/>
  <c r="B9080" i="1"/>
  <c r="C9080" i="1"/>
  <c r="D9080" i="1"/>
  <c r="E9080" i="1"/>
  <c r="F9080" i="1"/>
  <c r="H9080" i="1"/>
  <c r="A9081" i="1"/>
  <c r="B9081" i="1"/>
  <c r="C9081" i="1"/>
  <c r="D9081" i="1"/>
  <c r="E9081" i="1"/>
  <c r="F9081" i="1"/>
  <c r="H9081" i="1"/>
  <c r="A9082" i="1"/>
  <c r="B9082" i="1"/>
  <c r="C9082" i="1"/>
  <c r="D9082" i="1"/>
  <c r="E9082" i="1"/>
  <c r="F9082" i="1"/>
  <c r="H9082" i="1"/>
  <c r="A9083" i="1"/>
  <c r="B9083" i="1"/>
  <c r="C9083" i="1"/>
  <c r="D9083" i="1"/>
  <c r="E9083" i="1"/>
  <c r="F9083" i="1"/>
  <c r="H9083" i="1"/>
  <c r="A9084" i="1"/>
  <c r="B9084" i="1"/>
  <c r="C9084" i="1"/>
  <c r="D9084" i="1"/>
  <c r="E9084" i="1"/>
  <c r="F9084" i="1"/>
  <c r="H9084" i="1"/>
  <c r="A9085" i="1"/>
  <c r="B9085" i="1"/>
  <c r="C9085" i="1"/>
  <c r="D9085" i="1"/>
  <c r="E9085" i="1"/>
  <c r="F9085" i="1"/>
  <c r="H9085" i="1"/>
  <c r="A9086" i="1"/>
  <c r="B9086" i="1"/>
  <c r="C9086" i="1"/>
  <c r="D9086" i="1"/>
  <c r="E9086" i="1"/>
  <c r="F9086" i="1"/>
  <c r="H9086" i="1"/>
  <c r="A9087" i="1"/>
  <c r="B9087" i="1"/>
  <c r="C9087" i="1"/>
  <c r="D9087" i="1"/>
  <c r="E9087" i="1"/>
  <c r="F9087" i="1"/>
  <c r="H9087" i="1"/>
  <c r="A9088" i="1"/>
  <c r="B9088" i="1"/>
  <c r="C9088" i="1"/>
  <c r="D9088" i="1"/>
  <c r="E9088" i="1"/>
  <c r="F9088" i="1"/>
  <c r="H9088" i="1"/>
  <c r="A9089" i="1"/>
  <c r="B9089" i="1"/>
  <c r="C9089" i="1"/>
  <c r="D9089" i="1"/>
  <c r="E9089" i="1"/>
  <c r="F9089" i="1"/>
  <c r="H9089" i="1"/>
  <c r="A9090" i="1"/>
  <c r="B9090" i="1"/>
  <c r="C9090" i="1"/>
  <c r="D9090" i="1"/>
  <c r="E9090" i="1"/>
  <c r="F9090" i="1"/>
  <c r="H9090" i="1"/>
  <c r="A9091" i="1"/>
  <c r="B9091" i="1"/>
  <c r="C9091" i="1"/>
  <c r="D9091" i="1"/>
  <c r="E9091" i="1"/>
  <c r="F9091" i="1"/>
  <c r="H9091" i="1"/>
  <c r="A9092" i="1"/>
  <c r="B9092" i="1"/>
  <c r="C9092" i="1"/>
  <c r="D9092" i="1"/>
  <c r="E9092" i="1"/>
  <c r="F9092" i="1"/>
  <c r="H9092" i="1"/>
  <c r="A9093" i="1"/>
  <c r="B9093" i="1"/>
  <c r="C9093" i="1"/>
  <c r="D9093" i="1"/>
  <c r="E9093" i="1"/>
  <c r="F9093" i="1"/>
  <c r="H9093" i="1"/>
  <c r="A9094" i="1"/>
  <c r="B9094" i="1"/>
  <c r="C9094" i="1"/>
  <c r="D9094" i="1"/>
  <c r="E9094" i="1"/>
  <c r="F9094" i="1"/>
  <c r="H9094" i="1"/>
  <c r="A9095" i="1"/>
  <c r="B9095" i="1"/>
  <c r="C9095" i="1"/>
  <c r="D9095" i="1"/>
  <c r="E9095" i="1"/>
  <c r="F9095" i="1"/>
  <c r="H9095" i="1"/>
  <c r="A9096" i="1"/>
  <c r="B9096" i="1"/>
  <c r="C9096" i="1"/>
  <c r="D9096" i="1"/>
  <c r="E9096" i="1"/>
  <c r="F9096" i="1"/>
  <c r="H9096" i="1"/>
  <c r="A9097" i="1"/>
  <c r="B9097" i="1"/>
  <c r="C9097" i="1"/>
  <c r="D9097" i="1"/>
  <c r="E9097" i="1"/>
  <c r="F9097" i="1"/>
  <c r="H9097" i="1"/>
  <c r="A9098" i="1"/>
  <c r="B9098" i="1"/>
  <c r="C9098" i="1"/>
  <c r="D9098" i="1"/>
  <c r="E9098" i="1"/>
  <c r="F9098" i="1"/>
  <c r="H9098" i="1"/>
  <c r="A9099" i="1"/>
  <c r="B9099" i="1"/>
  <c r="C9099" i="1"/>
  <c r="D9099" i="1"/>
  <c r="E9099" i="1"/>
  <c r="F9099" i="1"/>
  <c r="H9099" i="1"/>
  <c r="A9100" i="1"/>
  <c r="B9100" i="1"/>
  <c r="C9100" i="1"/>
  <c r="D9100" i="1"/>
  <c r="E9100" i="1"/>
  <c r="F9100" i="1"/>
  <c r="H9100" i="1"/>
  <c r="A9101" i="1"/>
  <c r="B9101" i="1"/>
  <c r="C9101" i="1"/>
  <c r="D9101" i="1"/>
  <c r="E9101" i="1"/>
  <c r="F9101" i="1"/>
  <c r="H9101" i="1"/>
  <c r="A9102" i="1"/>
  <c r="B9102" i="1"/>
  <c r="C9102" i="1"/>
  <c r="D9102" i="1"/>
  <c r="E9102" i="1"/>
  <c r="F9102" i="1"/>
  <c r="H9102" i="1"/>
  <c r="A9103" i="1"/>
  <c r="B9103" i="1"/>
  <c r="C9103" i="1"/>
  <c r="D9103" i="1"/>
  <c r="E9103" i="1"/>
  <c r="F9103" i="1"/>
  <c r="H9103" i="1"/>
  <c r="A9104" i="1"/>
  <c r="B9104" i="1"/>
  <c r="C9104" i="1"/>
  <c r="D9104" i="1"/>
  <c r="E9104" i="1"/>
  <c r="F9104" i="1"/>
  <c r="H9104" i="1"/>
  <c r="A9105" i="1"/>
  <c r="B9105" i="1"/>
  <c r="C9105" i="1"/>
  <c r="D9105" i="1"/>
  <c r="E9105" i="1"/>
  <c r="F9105" i="1"/>
  <c r="H9105" i="1"/>
  <c r="A9106" i="1"/>
  <c r="B9106" i="1"/>
  <c r="C9106" i="1"/>
  <c r="D9106" i="1"/>
  <c r="E9106" i="1"/>
  <c r="F9106" i="1"/>
  <c r="H9106" i="1"/>
  <c r="A9107" i="1"/>
  <c r="B9107" i="1"/>
  <c r="C9107" i="1"/>
  <c r="D9107" i="1"/>
  <c r="E9107" i="1"/>
  <c r="F9107" i="1"/>
  <c r="H9107" i="1"/>
  <c r="A9108" i="1"/>
  <c r="B9108" i="1"/>
  <c r="C9108" i="1"/>
  <c r="D9108" i="1"/>
  <c r="E9108" i="1"/>
  <c r="F9108" i="1"/>
  <c r="H9108" i="1"/>
  <c r="A9109" i="1"/>
  <c r="B9109" i="1"/>
  <c r="C9109" i="1"/>
  <c r="D9109" i="1"/>
  <c r="E9109" i="1"/>
  <c r="F9109" i="1"/>
  <c r="H9109" i="1"/>
  <c r="A9110" i="1"/>
  <c r="B9110" i="1"/>
  <c r="C9110" i="1"/>
  <c r="D9110" i="1"/>
  <c r="E9110" i="1"/>
  <c r="F9110" i="1"/>
  <c r="H9110" i="1"/>
  <c r="A9111" i="1"/>
  <c r="B9111" i="1"/>
  <c r="C9111" i="1"/>
  <c r="D9111" i="1"/>
  <c r="E9111" i="1"/>
  <c r="F9111" i="1"/>
  <c r="H9111" i="1"/>
  <c r="A9112" i="1"/>
  <c r="B9112" i="1"/>
  <c r="C9112" i="1"/>
  <c r="D9112" i="1"/>
  <c r="E9112" i="1"/>
  <c r="F9112" i="1"/>
  <c r="H9112" i="1"/>
  <c r="A9113" i="1"/>
  <c r="B9113" i="1"/>
  <c r="C9113" i="1"/>
  <c r="D9113" i="1"/>
  <c r="E9113" i="1"/>
  <c r="F9113" i="1"/>
  <c r="H9113" i="1"/>
  <c r="A9114" i="1"/>
  <c r="B9114" i="1"/>
  <c r="C9114" i="1"/>
  <c r="D9114" i="1"/>
  <c r="E9114" i="1"/>
  <c r="F9114" i="1"/>
  <c r="H9114" i="1"/>
  <c r="A9115" i="1"/>
  <c r="B9115" i="1"/>
  <c r="C9115" i="1"/>
  <c r="D9115" i="1"/>
  <c r="E9115" i="1"/>
  <c r="F9115" i="1"/>
  <c r="H9115" i="1"/>
  <c r="A9116" i="1"/>
  <c r="B9116" i="1"/>
  <c r="C9116" i="1"/>
  <c r="D9116" i="1"/>
  <c r="E9116" i="1"/>
  <c r="F9116" i="1"/>
  <c r="H9116" i="1"/>
  <c r="A9117" i="1"/>
  <c r="B9117" i="1"/>
  <c r="C9117" i="1"/>
  <c r="D9117" i="1"/>
  <c r="E9117" i="1"/>
  <c r="F9117" i="1"/>
  <c r="H9117" i="1"/>
  <c r="A9118" i="1"/>
  <c r="B9118" i="1"/>
  <c r="C9118" i="1"/>
  <c r="D9118" i="1"/>
  <c r="E9118" i="1"/>
  <c r="F9118" i="1"/>
  <c r="H9118" i="1"/>
  <c r="A9119" i="1"/>
  <c r="B9119" i="1"/>
  <c r="C9119" i="1"/>
  <c r="D9119" i="1"/>
  <c r="E9119" i="1"/>
  <c r="F9119" i="1"/>
  <c r="H9119" i="1"/>
  <c r="A9120" i="1"/>
  <c r="B9120" i="1"/>
  <c r="C9120" i="1"/>
  <c r="D9120" i="1"/>
  <c r="E9120" i="1"/>
  <c r="F9120" i="1"/>
  <c r="H9120" i="1"/>
  <c r="A9121" i="1"/>
  <c r="B9121" i="1"/>
  <c r="C9121" i="1"/>
  <c r="D9121" i="1"/>
  <c r="E9121" i="1"/>
  <c r="F9121" i="1"/>
  <c r="H9121" i="1"/>
  <c r="A9122" i="1"/>
  <c r="B9122" i="1"/>
  <c r="C9122" i="1"/>
  <c r="D9122" i="1"/>
  <c r="E9122" i="1"/>
  <c r="F9122" i="1"/>
  <c r="H9122" i="1"/>
  <c r="A9123" i="1"/>
  <c r="B9123" i="1"/>
  <c r="C9123" i="1"/>
  <c r="D9123" i="1"/>
  <c r="E9123" i="1"/>
  <c r="F9123" i="1"/>
  <c r="H9123" i="1"/>
  <c r="A9124" i="1"/>
  <c r="B9124" i="1"/>
  <c r="C9124" i="1"/>
  <c r="D9124" i="1"/>
  <c r="E9124" i="1"/>
  <c r="F9124" i="1"/>
  <c r="H9124" i="1"/>
  <c r="A9125" i="1"/>
  <c r="B9125" i="1"/>
  <c r="C9125" i="1"/>
  <c r="D9125" i="1"/>
  <c r="E9125" i="1"/>
  <c r="F9125" i="1"/>
  <c r="H9125" i="1"/>
  <c r="A9126" i="1"/>
  <c r="B9126" i="1"/>
  <c r="C9126" i="1"/>
  <c r="D9126" i="1"/>
  <c r="E9126" i="1"/>
  <c r="F9126" i="1"/>
  <c r="H9126" i="1"/>
  <c r="A9127" i="1"/>
  <c r="B9127" i="1"/>
  <c r="C9127" i="1"/>
  <c r="D9127" i="1"/>
  <c r="E9127" i="1"/>
  <c r="F9127" i="1"/>
  <c r="H9127" i="1"/>
  <c r="A9128" i="1"/>
  <c r="B9128" i="1"/>
  <c r="C9128" i="1"/>
  <c r="D9128" i="1"/>
  <c r="E9128" i="1"/>
  <c r="F9128" i="1"/>
  <c r="H9128" i="1"/>
  <c r="A9129" i="1"/>
  <c r="B9129" i="1"/>
  <c r="C9129" i="1"/>
  <c r="D9129" i="1"/>
  <c r="E9129" i="1"/>
  <c r="F9129" i="1"/>
  <c r="H9129" i="1"/>
  <c r="A9130" i="1"/>
  <c r="B9130" i="1"/>
  <c r="C9130" i="1"/>
  <c r="D9130" i="1"/>
  <c r="E9130" i="1"/>
  <c r="F9130" i="1"/>
  <c r="H9130" i="1"/>
  <c r="A9131" i="1"/>
  <c r="B9131" i="1"/>
  <c r="C9131" i="1"/>
  <c r="D9131" i="1"/>
  <c r="E9131" i="1"/>
  <c r="F9131" i="1"/>
  <c r="H9131" i="1"/>
  <c r="A9132" i="1"/>
  <c r="B9132" i="1"/>
  <c r="C9132" i="1"/>
  <c r="D9132" i="1"/>
  <c r="E9132" i="1"/>
  <c r="F9132" i="1"/>
  <c r="H9132" i="1"/>
  <c r="A9133" i="1"/>
  <c r="B9133" i="1"/>
  <c r="C9133" i="1"/>
  <c r="D9133" i="1"/>
  <c r="E9133" i="1"/>
  <c r="F9133" i="1"/>
  <c r="H9133" i="1"/>
  <c r="A9134" i="1"/>
  <c r="B9134" i="1"/>
  <c r="C9134" i="1"/>
  <c r="D9134" i="1"/>
  <c r="E9134" i="1"/>
  <c r="F9134" i="1"/>
  <c r="H9134" i="1"/>
  <c r="A9135" i="1"/>
  <c r="B9135" i="1"/>
  <c r="C9135" i="1"/>
  <c r="D9135" i="1"/>
  <c r="E9135" i="1"/>
  <c r="F9135" i="1"/>
  <c r="H9135" i="1"/>
  <c r="A9136" i="1"/>
  <c r="B9136" i="1"/>
  <c r="C9136" i="1"/>
  <c r="D9136" i="1"/>
  <c r="E9136" i="1"/>
  <c r="F9136" i="1"/>
  <c r="H9136" i="1"/>
  <c r="A9137" i="1"/>
  <c r="B9137" i="1"/>
  <c r="C9137" i="1"/>
  <c r="D9137" i="1"/>
  <c r="E9137" i="1"/>
  <c r="F9137" i="1"/>
  <c r="H9137" i="1"/>
  <c r="A9138" i="1"/>
  <c r="B9138" i="1"/>
  <c r="C9138" i="1"/>
  <c r="D9138" i="1"/>
  <c r="E9138" i="1"/>
  <c r="F9138" i="1"/>
  <c r="H9138" i="1"/>
  <c r="A9139" i="1"/>
  <c r="B9139" i="1"/>
  <c r="C9139" i="1"/>
  <c r="D9139" i="1"/>
  <c r="E9139" i="1"/>
  <c r="F9139" i="1"/>
  <c r="H9139" i="1"/>
  <c r="A9140" i="1"/>
  <c r="B9140" i="1"/>
  <c r="C9140" i="1"/>
  <c r="D9140" i="1"/>
  <c r="E9140" i="1"/>
  <c r="F9140" i="1"/>
  <c r="H9140" i="1"/>
  <c r="A9141" i="1"/>
  <c r="B9141" i="1"/>
  <c r="C9141" i="1"/>
  <c r="D9141" i="1"/>
  <c r="E9141" i="1"/>
  <c r="F9141" i="1"/>
  <c r="H9141" i="1"/>
  <c r="A9142" i="1"/>
  <c r="B9142" i="1"/>
  <c r="C9142" i="1"/>
  <c r="D9142" i="1"/>
  <c r="E9142" i="1"/>
  <c r="F9142" i="1"/>
  <c r="H9142" i="1"/>
  <c r="A9143" i="1"/>
  <c r="B9143" i="1"/>
  <c r="C9143" i="1"/>
  <c r="D9143" i="1"/>
  <c r="E9143" i="1"/>
  <c r="F9143" i="1"/>
  <c r="H9143" i="1"/>
  <c r="A9144" i="1"/>
  <c r="B9144" i="1"/>
  <c r="C9144" i="1"/>
  <c r="D9144" i="1"/>
  <c r="E9144" i="1"/>
  <c r="F9144" i="1"/>
  <c r="H9144" i="1"/>
  <c r="A9145" i="1"/>
  <c r="B9145" i="1"/>
  <c r="C9145" i="1"/>
  <c r="D9145" i="1"/>
  <c r="E9145" i="1"/>
  <c r="F9145" i="1"/>
  <c r="H9145" i="1"/>
  <c r="A9146" i="1"/>
  <c r="B9146" i="1"/>
  <c r="C9146" i="1"/>
  <c r="D9146" i="1"/>
  <c r="E9146" i="1"/>
  <c r="F9146" i="1"/>
  <c r="H9146" i="1"/>
  <c r="A9147" i="1"/>
  <c r="B9147" i="1"/>
  <c r="C9147" i="1"/>
  <c r="D9147" i="1"/>
  <c r="E9147" i="1"/>
  <c r="F9147" i="1"/>
  <c r="H9147" i="1"/>
  <c r="A9148" i="1"/>
  <c r="B9148" i="1"/>
  <c r="C9148" i="1"/>
  <c r="D9148" i="1"/>
  <c r="E9148" i="1"/>
  <c r="F9148" i="1"/>
  <c r="H9148" i="1"/>
  <c r="A9149" i="1"/>
  <c r="B9149" i="1"/>
  <c r="C9149" i="1"/>
  <c r="D9149" i="1"/>
  <c r="E9149" i="1"/>
  <c r="F9149" i="1"/>
  <c r="H9149" i="1"/>
  <c r="A9150" i="1"/>
  <c r="B9150" i="1"/>
  <c r="C9150" i="1"/>
  <c r="D9150" i="1"/>
  <c r="E9150" i="1"/>
  <c r="F9150" i="1"/>
  <c r="H9150" i="1"/>
  <c r="A9151" i="1"/>
  <c r="B9151" i="1"/>
  <c r="C9151" i="1"/>
  <c r="D9151" i="1"/>
  <c r="E9151" i="1"/>
  <c r="F9151" i="1"/>
  <c r="H9151" i="1"/>
  <c r="A9152" i="1"/>
  <c r="B9152" i="1"/>
  <c r="C9152" i="1"/>
  <c r="D9152" i="1"/>
  <c r="E9152" i="1"/>
  <c r="F9152" i="1"/>
  <c r="H9152" i="1"/>
  <c r="A9153" i="1"/>
  <c r="B9153" i="1"/>
  <c r="C9153" i="1"/>
  <c r="D9153" i="1"/>
  <c r="E9153" i="1"/>
  <c r="F9153" i="1"/>
  <c r="H9153" i="1"/>
  <c r="A9154" i="1"/>
  <c r="B9154" i="1"/>
  <c r="C9154" i="1"/>
  <c r="D9154" i="1"/>
  <c r="E9154" i="1"/>
  <c r="F9154" i="1"/>
  <c r="H9154" i="1"/>
  <c r="A9155" i="1"/>
  <c r="B9155" i="1"/>
  <c r="C9155" i="1"/>
  <c r="D9155" i="1"/>
  <c r="E9155" i="1"/>
  <c r="F9155" i="1"/>
  <c r="H9155" i="1"/>
  <c r="A9156" i="1"/>
  <c r="B9156" i="1"/>
  <c r="C9156" i="1"/>
  <c r="D9156" i="1"/>
  <c r="E9156" i="1"/>
  <c r="F9156" i="1"/>
  <c r="H9156" i="1"/>
  <c r="A9157" i="1"/>
  <c r="B9157" i="1"/>
  <c r="C9157" i="1"/>
  <c r="D9157" i="1"/>
  <c r="E9157" i="1"/>
  <c r="F9157" i="1"/>
  <c r="H9157" i="1"/>
  <c r="A9158" i="1"/>
  <c r="B9158" i="1"/>
  <c r="C9158" i="1"/>
  <c r="D9158" i="1"/>
  <c r="E9158" i="1"/>
  <c r="F9158" i="1"/>
  <c r="H9158" i="1"/>
  <c r="A9159" i="1"/>
  <c r="B9159" i="1"/>
  <c r="C9159" i="1"/>
  <c r="D9159" i="1"/>
  <c r="E9159" i="1"/>
  <c r="F9159" i="1"/>
  <c r="H9159" i="1"/>
  <c r="A9160" i="1"/>
  <c r="B9160" i="1"/>
  <c r="C9160" i="1"/>
  <c r="D9160" i="1"/>
  <c r="E9160" i="1"/>
  <c r="F9160" i="1"/>
  <c r="H9160" i="1"/>
  <c r="A9161" i="1"/>
  <c r="B9161" i="1"/>
  <c r="C9161" i="1"/>
  <c r="D9161" i="1"/>
  <c r="E9161" i="1"/>
  <c r="F9161" i="1"/>
  <c r="H9161" i="1"/>
  <c r="A9162" i="1"/>
  <c r="B9162" i="1"/>
  <c r="C9162" i="1"/>
  <c r="D9162" i="1"/>
  <c r="E9162" i="1"/>
  <c r="F9162" i="1"/>
  <c r="H9162" i="1"/>
  <c r="A9163" i="1"/>
  <c r="B9163" i="1"/>
  <c r="C9163" i="1"/>
  <c r="D9163" i="1"/>
  <c r="E9163" i="1"/>
  <c r="F9163" i="1"/>
  <c r="H9163" i="1"/>
  <c r="A9164" i="1"/>
  <c r="B9164" i="1"/>
  <c r="C9164" i="1"/>
  <c r="D9164" i="1"/>
  <c r="E9164" i="1"/>
  <c r="F9164" i="1"/>
  <c r="H9164" i="1"/>
  <c r="A9165" i="1"/>
  <c r="B9165" i="1"/>
  <c r="C9165" i="1"/>
  <c r="D9165" i="1"/>
  <c r="E9165" i="1"/>
  <c r="F9165" i="1"/>
  <c r="H9165" i="1"/>
  <c r="A9166" i="1"/>
  <c r="B9166" i="1"/>
  <c r="C9166" i="1"/>
  <c r="D9166" i="1"/>
  <c r="E9166" i="1"/>
  <c r="F9166" i="1"/>
  <c r="H9166" i="1"/>
  <c r="A9167" i="1"/>
  <c r="B9167" i="1"/>
  <c r="C9167" i="1"/>
  <c r="D9167" i="1"/>
  <c r="E9167" i="1"/>
  <c r="F9167" i="1"/>
  <c r="H9167" i="1"/>
  <c r="A9168" i="1"/>
  <c r="B9168" i="1"/>
  <c r="C9168" i="1"/>
  <c r="D9168" i="1"/>
  <c r="E9168" i="1"/>
  <c r="F9168" i="1"/>
  <c r="H9168" i="1"/>
  <c r="A9169" i="1"/>
  <c r="B9169" i="1"/>
  <c r="C9169" i="1"/>
  <c r="D9169" i="1"/>
  <c r="E9169" i="1"/>
  <c r="F9169" i="1"/>
  <c r="H9169" i="1"/>
  <c r="A9170" i="1"/>
  <c r="B9170" i="1"/>
  <c r="C9170" i="1"/>
  <c r="D9170" i="1"/>
  <c r="E9170" i="1"/>
  <c r="F9170" i="1"/>
  <c r="H9170" i="1"/>
  <c r="A9171" i="1"/>
  <c r="B9171" i="1"/>
  <c r="C9171" i="1"/>
  <c r="D9171" i="1"/>
  <c r="E9171" i="1"/>
  <c r="F9171" i="1"/>
  <c r="H9171" i="1"/>
  <c r="A9172" i="1"/>
  <c r="B9172" i="1"/>
  <c r="C9172" i="1"/>
  <c r="D9172" i="1"/>
  <c r="E9172" i="1"/>
  <c r="F9172" i="1"/>
  <c r="H9172" i="1"/>
  <c r="A9173" i="1"/>
  <c r="B9173" i="1"/>
  <c r="C9173" i="1"/>
  <c r="D9173" i="1"/>
  <c r="E9173" i="1"/>
  <c r="F9173" i="1"/>
  <c r="H9173" i="1"/>
  <c r="A9174" i="1"/>
  <c r="B9174" i="1"/>
  <c r="C9174" i="1"/>
  <c r="D9174" i="1"/>
  <c r="E9174" i="1"/>
  <c r="F9174" i="1"/>
  <c r="H9174" i="1"/>
  <c r="A9175" i="1"/>
  <c r="B9175" i="1"/>
  <c r="C9175" i="1"/>
  <c r="D9175" i="1"/>
  <c r="E9175" i="1"/>
  <c r="F9175" i="1"/>
  <c r="H9175" i="1"/>
  <c r="A9176" i="1"/>
  <c r="B9176" i="1"/>
  <c r="C9176" i="1"/>
  <c r="D9176" i="1"/>
  <c r="E9176" i="1"/>
  <c r="F9176" i="1"/>
  <c r="H9176" i="1"/>
  <c r="A9177" i="1"/>
  <c r="B9177" i="1"/>
  <c r="C9177" i="1"/>
  <c r="D9177" i="1"/>
  <c r="E9177" i="1"/>
  <c r="F9177" i="1"/>
  <c r="H9177" i="1"/>
  <c r="A9178" i="1"/>
  <c r="B9178" i="1"/>
  <c r="C9178" i="1"/>
  <c r="D9178" i="1"/>
  <c r="E9178" i="1"/>
  <c r="F9178" i="1"/>
  <c r="H9178" i="1"/>
  <c r="A9179" i="1"/>
  <c r="B9179" i="1"/>
  <c r="C9179" i="1"/>
  <c r="D9179" i="1"/>
  <c r="E9179" i="1"/>
  <c r="F9179" i="1"/>
  <c r="H9179" i="1"/>
  <c r="A9180" i="1"/>
  <c r="B9180" i="1"/>
  <c r="C9180" i="1"/>
  <c r="D9180" i="1"/>
  <c r="E9180" i="1"/>
  <c r="F9180" i="1"/>
  <c r="H9180" i="1"/>
  <c r="A9181" i="1"/>
  <c r="B9181" i="1"/>
  <c r="C9181" i="1"/>
  <c r="D9181" i="1"/>
  <c r="E9181" i="1"/>
  <c r="F9181" i="1"/>
  <c r="H9181" i="1"/>
  <c r="A9182" i="1"/>
  <c r="B9182" i="1"/>
  <c r="C9182" i="1"/>
  <c r="D9182" i="1"/>
  <c r="E9182" i="1"/>
  <c r="F9182" i="1"/>
  <c r="H9182" i="1"/>
  <c r="A9183" i="1"/>
  <c r="B9183" i="1"/>
  <c r="C9183" i="1"/>
  <c r="D9183" i="1"/>
  <c r="E9183" i="1"/>
  <c r="F9183" i="1"/>
  <c r="H9183" i="1"/>
  <c r="A9184" i="1"/>
  <c r="B9184" i="1"/>
  <c r="C9184" i="1"/>
  <c r="D9184" i="1"/>
  <c r="E9184" i="1"/>
  <c r="F9184" i="1"/>
  <c r="H9184" i="1"/>
  <c r="A9185" i="1"/>
  <c r="B9185" i="1"/>
  <c r="C9185" i="1"/>
  <c r="D9185" i="1"/>
  <c r="E9185" i="1"/>
  <c r="F9185" i="1"/>
  <c r="H9185" i="1"/>
  <c r="A9186" i="1"/>
  <c r="B9186" i="1"/>
  <c r="C9186" i="1"/>
  <c r="D9186" i="1"/>
  <c r="E9186" i="1"/>
  <c r="F9186" i="1"/>
  <c r="H9186" i="1"/>
  <c r="A9187" i="1"/>
  <c r="B9187" i="1"/>
  <c r="C9187" i="1"/>
  <c r="D9187" i="1"/>
  <c r="E9187" i="1"/>
  <c r="F9187" i="1"/>
  <c r="H9187" i="1"/>
  <c r="A9188" i="1"/>
  <c r="B9188" i="1"/>
  <c r="C9188" i="1"/>
  <c r="D9188" i="1"/>
  <c r="E9188" i="1"/>
  <c r="F9188" i="1"/>
  <c r="H9188" i="1"/>
  <c r="A9189" i="1"/>
  <c r="B9189" i="1"/>
  <c r="C9189" i="1"/>
  <c r="D9189" i="1"/>
  <c r="E9189" i="1"/>
  <c r="F9189" i="1"/>
  <c r="H9189" i="1"/>
  <c r="A9190" i="1"/>
  <c r="B9190" i="1"/>
  <c r="C9190" i="1"/>
  <c r="D9190" i="1"/>
  <c r="E9190" i="1"/>
  <c r="F9190" i="1"/>
  <c r="H9190" i="1"/>
  <c r="A9191" i="1"/>
  <c r="B9191" i="1"/>
  <c r="C9191" i="1"/>
  <c r="D9191" i="1"/>
  <c r="E9191" i="1"/>
  <c r="F9191" i="1"/>
  <c r="H9191" i="1"/>
  <c r="A9192" i="1"/>
  <c r="B9192" i="1"/>
  <c r="C9192" i="1"/>
  <c r="D9192" i="1"/>
  <c r="E9192" i="1"/>
  <c r="F9192" i="1"/>
  <c r="H9192" i="1"/>
  <c r="A9193" i="1"/>
  <c r="B9193" i="1"/>
  <c r="C9193" i="1"/>
  <c r="D9193" i="1"/>
  <c r="E9193" i="1"/>
  <c r="F9193" i="1"/>
  <c r="H9193" i="1"/>
  <c r="A9194" i="1"/>
  <c r="B9194" i="1"/>
  <c r="C9194" i="1"/>
  <c r="D9194" i="1"/>
  <c r="E9194" i="1"/>
  <c r="F9194" i="1"/>
  <c r="H9194" i="1"/>
  <c r="A9195" i="1"/>
  <c r="B9195" i="1"/>
  <c r="C9195" i="1"/>
  <c r="D9195" i="1"/>
  <c r="E9195" i="1"/>
  <c r="F9195" i="1"/>
  <c r="H9195" i="1"/>
  <c r="A9196" i="1"/>
  <c r="B9196" i="1"/>
  <c r="C9196" i="1"/>
  <c r="D9196" i="1"/>
  <c r="E9196" i="1"/>
  <c r="F9196" i="1"/>
  <c r="H9196" i="1"/>
  <c r="A9197" i="1"/>
  <c r="B9197" i="1"/>
  <c r="C9197" i="1"/>
  <c r="D9197" i="1"/>
  <c r="E9197" i="1"/>
  <c r="F9197" i="1"/>
  <c r="H9197" i="1"/>
  <c r="A9198" i="1"/>
  <c r="B9198" i="1"/>
  <c r="C9198" i="1"/>
  <c r="D9198" i="1"/>
  <c r="E9198" i="1"/>
  <c r="F9198" i="1"/>
  <c r="H9198" i="1"/>
  <c r="A9199" i="1"/>
  <c r="B9199" i="1"/>
  <c r="C9199" i="1"/>
  <c r="D9199" i="1"/>
  <c r="E9199" i="1"/>
  <c r="F9199" i="1"/>
  <c r="H9199" i="1"/>
  <c r="A9200" i="1"/>
  <c r="B9200" i="1"/>
  <c r="C9200" i="1"/>
  <c r="D9200" i="1"/>
  <c r="E9200" i="1"/>
  <c r="F9200" i="1"/>
  <c r="H9200" i="1"/>
  <c r="A9201" i="1"/>
  <c r="B9201" i="1"/>
  <c r="C9201" i="1"/>
  <c r="D9201" i="1"/>
  <c r="E9201" i="1"/>
  <c r="F9201" i="1"/>
  <c r="H9201" i="1"/>
  <c r="A9202" i="1"/>
  <c r="B9202" i="1"/>
  <c r="C9202" i="1"/>
  <c r="D9202" i="1"/>
  <c r="E9202" i="1"/>
  <c r="F9202" i="1"/>
  <c r="H9202" i="1"/>
  <c r="A9203" i="1"/>
  <c r="B9203" i="1"/>
  <c r="C9203" i="1"/>
  <c r="D9203" i="1"/>
  <c r="E9203" i="1"/>
  <c r="F9203" i="1"/>
  <c r="H9203" i="1"/>
  <c r="A9204" i="1"/>
  <c r="B9204" i="1"/>
  <c r="C9204" i="1"/>
  <c r="D9204" i="1"/>
  <c r="E9204" i="1"/>
  <c r="F9204" i="1"/>
  <c r="H9204" i="1"/>
  <c r="A9205" i="1"/>
  <c r="B9205" i="1"/>
  <c r="C9205" i="1"/>
  <c r="D9205" i="1"/>
  <c r="E9205" i="1"/>
  <c r="F9205" i="1"/>
  <c r="H9205" i="1"/>
  <c r="A9206" i="1"/>
  <c r="B9206" i="1"/>
  <c r="C9206" i="1"/>
  <c r="D9206" i="1"/>
  <c r="E9206" i="1"/>
  <c r="F9206" i="1"/>
  <c r="H9206" i="1"/>
  <c r="A9207" i="1"/>
  <c r="B9207" i="1"/>
  <c r="C9207" i="1"/>
  <c r="D9207" i="1"/>
  <c r="E9207" i="1"/>
  <c r="F9207" i="1"/>
  <c r="H9207" i="1"/>
  <c r="A9208" i="1"/>
  <c r="B9208" i="1"/>
  <c r="C9208" i="1"/>
  <c r="D9208" i="1"/>
  <c r="E9208" i="1"/>
  <c r="F9208" i="1"/>
  <c r="H9208" i="1"/>
  <c r="A9209" i="1"/>
  <c r="B9209" i="1"/>
  <c r="C9209" i="1"/>
  <c r="D9209" i="1"/>
  <c r="E9209" i="1"/>
  <c r="F9209" i="1"/>
  <c r="H9209" i="1"/>
  <c r="A9210" i="1"/>
  <c r="B9210" i="1"/>
  <c r="C9210" i="1"/>
  <c r="D9210" i="1"/>
  <c r="E9210" i="1"/>
  <c r="F9210" i="1"/>
  <c r="H9210" i="1"/>
  <c r="A9211" i="1"/>
  <c r="B9211" i="1"/>
  <c r="C9211" i="1"/>
  <c r="D9211" i="1"/>
  <c r="E9211" i="1"/>
  <c r="F9211" i="1"/>
  <c r="H9211" i="1"/>
  <c r="A9212" i="1"/>
  <c r="B9212" i="1"/>
  <c r="C9212" i="1"/>
  <c r="D9212" i="1"/>
  <c r="E9212" i="1"/>
  <c r="F9212" i="1"/>
  <c r="H9212" i="1"/>
  <c r="A9213" i="1"/>
  <c r="B9213" i="1"/>
  <c r="C9213" i="1"/>
  <c r="D9213" i="1"/>
  <c r="E9213" i="1"/>
  <c r="F9213" i="1"/>
  <c r="H9213" i="1"/>
  <c r="A9214" i="1"/>
  <c r="B9214" i="1"/>
  <c r="C9214" i="1"/>
  <c r="D9214" i="1"/>
  <c r="E9214" i="1"/>
  <c r="F9214" i="1"/>
  <c r="H9214" i="1"/>
  <c r="A9215" i="1"/>
  <c r="B9215" i="1"/>
  <c r="C9215" i="1"/>
  <c r="D9215" i="1"/>
  <c r="E9215" i="1"/>
  <c r="F9215" i="1"/>
  <c r="H9215" i="1"/>
  <c r="A9216" i="1"/>
  <c r="B9216" i="1"/>
  <c r="C9216" i="1"/>
  <c r="D9216" i="1"/>
  <c r="E9216" i="1"/>
  <c r="F9216" i="1"/>
  <c r="H9216" i="1"/>
  <c r="A9217" i="1"/>
  <c r="B9217" i="1"/>
  <c r="C9217" i="1"/>
  <c r="D9217" i="1"/>
  <c r="E9217" i="1"/>
  <c r="F9217" i="1"/>
  <c r="H9217" i="1"/>
  <c r="A9218" i="1"/>
  <c r="B9218" i="1"/>
  <c r="C9218" i="1"/>
  <c r="D9218" i="1"/>
  <c r="E9218" i="1"/>
  <c r="F9218" i="1"/>
  <c r="H9218" i="1"/>
  <c r="A9219" i="1"/>
  <c r="B9219" i="1"/>
  <c r="C9219" i="1"/>
  <c r="D9219" i="1"/>
  <c r="E9219" i="1"/>
  <c r="F9219" i="1"/>
  <c r="H9219" i="1"/>
  <c r="A9220" i="1"/>
  <c r="B9220" i="1"/>
  <c r="C9220" i="1"/>
  <c r="D9220" i="1"/>
  <c r="E9220" i="1"/>
  <c r="F9220" i="1"/>
  <c r="H9220" i="1"/>
  <c r="A9221" i="1"/>
  <c r="B9221" i="1"/>
  <c r="C9221" i="1"/>
  <c r="D9221" i="1"/>
  <c r="E9221" i="1"/>
  <c r="F9221" i="1"/>
  <c r="H9221" i="1"/>
  <c r="A9222" i="1"/>
  <c r="B9222" i="1"/>
  <c r="C9222" i="1"/>
  <c r="D9222" i="1"/>
  <c r="E9222" i="1"/>
  <c r="F9222" i="1"/>
  <c r="H9222" i="1"/>
  <c r="A9223" i="1"/>
  <c r="B9223" i="1"/>
  <c r="C9223" i="1"/>
  <c r="D9223" i="1"/>
  <c r="E9223" i="1"/>
  <c r="F9223" i="1"/>
  <c r="H9223" i="1"/>
  <c r="A9224" i="1"/>
  <c r="B9224" i="1"/>
  <c r="C9224" i="1"/>
  <c r="D9224" i="1"/>
  <c r="E9224" i="1"/>
  <c r="F9224" i="1"/>
  <c r="H9224" i="1"/>
  <c r="A9225" i="1"/>
  <c r="B9225" i="1"/>
  <c r="C9225" i="1"/>
  <c r="D9225" i="1"/>
  <c r="E9225" i="1"/>
  <c r="F9225" i="1"/>
  <c r="H9225" i="1"/>
  <c r="A9226" i="1"/>
  <c r="B9226" i="1"/>
  <c r="C9226" i="1"/>
  <c r="D9226" i="1"/>
  <c r="E9226" i="1"/>
  <c r="F9226" i="1"/>
  <c r="H9226" i="1"/>
  <c r="A9227" i="1"/>
  <c r="B9227" i="1"/>
  <c r="C9227" i="1"/>
  <c r="D9227" i="1"/>
  <c r="E9227" i="1"/>
  <c r="F9227" i="1"/>
  <c r="H9227" i="1"/>
  <c r="A9228" i="1"/>
  <c r="B9228" i="1"/>
  <c r="C9228" i="1"/>
  <c r="D9228" i="1"/>
  <c r="E9228" i="1"/>
  <c r="F9228" i="1"/>
  <c r="H9228" i="1"/>
  <c r="A9229" i="1"/>
  <c r="B9229" i="1"/>
  <c r="C9229" i="1"/>
  <c r="D9229" i="1"/>
  <c r="E9229" i="1"/>
  <c r="F9229" i="1"/>
  <c r="H9229" i="1"/>
  <c r="A9230" i="1"/>
  <c r="B9230" i="1"/>
  <c r="C9230" i="1"/>
  <c r="D9230" i="1"/>
  <c r="E9230" i="1"/>
  <c r="F9230" i="1"/>
  <c r="H9230" i="1"/>
  <c r="A9231" i="1"/>
  <c r="B9231" i="1"/>
  <c r="C9231" i="1"/>
  <c r="D9231" i="1"/>
  <c r="E9231" i="1"/>
  <c r="F9231" i="1"/>
  <c r="H9231" i="1"/>
  <c r="A9232" i="1"/>
  <c r="B9232" i="1"/>
  <c r="C9232" i="1"/>
  <c r="D9232" i="1"/>
  <c r="E9232" i="1"/>
  <c r="F9232" i="1"/>
  <c r="H9232" i="1"/>
  <c r="A9233" i="1"/>
  <c r="B9233" i="1"/>
  <c r="C9233" i="1"/>
  <c r="D9233" i="1"/>
  <c r="E9233" i="1"/>
  <c r="F9233" i="1"/>
  <c r="H9233" i="1"/>
  <c r="A9234" i="1"/>
  <c r="B9234" i="1"/>
  <c r="C9234" i="1"/>
  <c r="D9234" i="1"/>
  <c r="E9234" i="1"/>
  <c r="F9234" i="1"/>
  <c r="H9234" i="1"/>
  <c r="A9235" i="1"/>
  <c r="B9235" i="1"/>
  <c r="C9235" i="1"/>
  <c r="D9235" i="1"/>
  <c r="E9235" i="1"/>
  <c r="F9235" i="1"/>
  <c r="H9235" i="1"/>
  <c r="A9236" i="1"/>
  <c r="B9236" i="1"/>
  <c r="C9236" i="1"/>
  <c r="D9236" i="1"/>
  <c r="E9236" i="1"/>
  <c r="F9236" i="1"/>
  <c r="H9236" i="1"/>
  <c r="A9237" i="1"/>
  <c r="B9237" i="1"/>
  <c r="C9237" i="1"/>
  <c r="D9237" i="1"/>
  <c r="E9237" i="1"/>
  <c r="F9237" i="1"/>
  <c r="H9237" i="1"/>
  <c r="A9238" i="1"/>
  <c r="B9238" i="1"/>
  <c r="C9238" i="1"/>
  <c r="D9238" i="1"/>
  <c r="E9238" i="1"/>
  <c r="F9238" i="1"/>
  <c r="H9238" i="1"/>
  <c r="A9239" i="1"/>
  <c r="B9239" i="1"/>
  <c r="C9239" i="1"/>
  <c r="D9239" i="1"/>
  <c r="E9239" i="1"/>
  <c r="F9239" i="1"/>
  <c r="H9239" i="1"/>
  <c r="A9240" i="1"/>
  <c r="B9240" i="1"/>
  <c r="C9240" i="1"/>
  <c r="D9240" i="1"/>
  <c r="E9240" i="1"/>
  <c r="F9240" i="1"/>
  <c r="H9240" i="1"/>
  <c r="A9241" i="1"/>
  <c r="B9241" i="1"/>
  <c r="C9241" i="1"/>
  <c r="D9241" i="1"/>
  <c r="E9241" i="1"/>
  <c r="F9241" i="1"/>
  <c r="H9241" i="1"/>
  <c r="A9242" i="1"/>
  <c r="B9242" i="1"/>
  <c r="C9242" i="1"/>
  <c r="D9242" i="1"/>
  <c r="E9242" i="1"/>
  <c r="F9242" i="1"/>
  <c r="H9242" i="1"/>
  <c r="A9243" i="1"/>
  <c r="B9243" i="1"/>
  <c r="C9243" i="1"/>
  <c r="D9243" i="1"/>
  <c r="E9243" i="1"/>
  <c r="F9243" i="1"/>
  <c r="H9243" i="1"/>
  <c r="A9244" i="1"/>
  <c r="B9244" i="1"/>
  <c r="C9244" i="1"/>
  <c r="D9244" i="1"/>
  <c r="E9244" i="1"/>
  <c r="F9244" i="1"/>
  <c r="H9244" i="1"/>
  <c r="A9245" i="1"/>
  <c r="B9245" i="1"/>
  <c r="C9245" i="1"/>
  <c r="D9245" i="1"/>
  <c r="E9245" i="1"/>
  <c r="F9245" i="1"/>
  <c r="H9245" i="1"/>
  <c r="A9246" i="1"/>
  <c r="B9246" i="1"/>
  <c r="C9246" i="1"/>
  <c r="D9246" i="1"/>
  <c r="E9246" i="1"/>
  <c r="F9246" i="1"/>
  <c r="H9246" i="1"/>
  <c r="A9247" i="1"/>
  <c r="B9247" i="1"/>
  <c r="C9247" i="1"/>
  <c r="D9247" i="1"/>
  <c r="E9247" i="1"/>
  <c r="F9247" i="1"/>
  <c r="H9247" i="1"/>
  <c r="A9248" i="1"/>
  <c r="B9248" i="1"/>
  <c r="C9248" i="1"/>
  <c r="D9248" i="1"/>
  <c r="E9248" i="1"/>
  <c r="F9248" i="1"/>
  <c r="H9248" i="1"/>
  <c r="A9249" i="1"/>
  <c r="B9249" i="1"/>
  <c r="C9249" i="1"/>
  <c r="D9249" i="1"/>
  <c r="E9249" i="1"/>
  <c r="F9249" i="1"/>
  <c r="H9249" i="1"/>
  <c r="A9250" i="1"/>
  <c r="B9250" i="1"/>
  <c r="C9250" i="1"/>
  <c r="D9250" i="1"/>
  <c r="E9250" i="1"/>
  <c r="F9250" i="1"/>
  <c r="H9250" i="1"/>
  <c r="A9251" i="1"/>
  <c r="B9251" i="1"/>
  <c r="C9251" i="1"/>
  <c r="D9251" i="1"/>
  <c r="E9251" i="1"/>
  <c r="F9251" i="1"/>
  <c r="H9251" i="1"/>
  <c r="A9252" i="1"/>
  <c r="B9252" i="1"/>
  <c r="C9252" i="1"/>
  <c r="D9252" i="1"/>
  <c r="E9252" i="1"/>
  <c r="F9252" i="1"/>
  <c r="H9252" i="1"/>
  <c r="A9253" i="1"/>
  <c r="B9253" i="1"/>
  <c r="C9253" i="1"/>
  <c r="D9253" i="1"/>
  <c r="E9253" i="1"/>
  <c r="F9253" i="1"/>
  <c r="H9253" i="1"/>
  <c r="A9254" i="1"/>
  <c r="B9254" i="1"/>
  <c r="C9254" i="1"/>
  <c r="D9254" i="1"/>
  <c r="E9254" i="1"/>
  <c r="F9254" i="1"/>
  <c r="H9254" i="1"/>
  <c r="A9255" i="1"/>
  <c r="B9255" i="1"/>
  <c r="C9255" i="1"/>
  <c r="D9255" i="1"/>
  <c r="E9255" i="1"/>
  <c r="F9255" i="1"/>
  <c r="H9255" i="1"/>
  <c r="A9256" i="1"/>
  <c r="B9256" i="1"/>
  <c r="C9256" i="1"/>
  <c r="D9256" i="1"/>
  <c r="E9256" i="1"/>
  <c r="F9256" i="1"/>
  <c r="H9256" i="1"/>
  <c r="A9257" i="1"/>
  <c r="B9257" i="1"/>
  <c r="C9257" i="1"/>
  <c r="D9257" i="1"/>
  <c r="E9257" i="1"/>
  <c r="F9257" i="1"/>
  <c r="H9257" i="1"/>
  <c r="A9258" i="1"/>
  <c r="B9258" i="1"/>
  <c r="C9258" i="1"/>
  <c r="D9258" i="1"/>
  <c r="E9258" i="1"/>
  <c r="F9258" i="1"/>
  <c r="H9258" i="1"/>
  <c r="A9259" i="1"/>
  <c r="B9259" i="1"/>
  <c r="C9259" i="1"/>
  <c r="D9259" i="1"/>
  <c r="E9259" i="1"/>
  <c r="F9259" i="1"/>
  <c r="H9259" i="1"/>
  <c r="A9260" i="1"/>
  <c r="B9260" i="1"/>
  <c r="C9260" i="1"/>
  <c r="D9260" i="1"/>
  <c r="E9260" i="1"/>
  <c r="F9260" i="1"/>
  <c r="H9260" i="1"/>
  <c r="A9261" i="1"/>
  <c r="B9261" i="1"/>
  <c r="C9261" i="1"/>
  <c r="D9261" i="1"/>
  <c r="E9261" i="1"/>
  <c r="F9261" i="1"/>
  <c r="H9261" i="1"/>
  <c r="A9262" i="1"/>
  <c r="B9262" i="1"/>
  <c r="C9262" i="1"/>
  <c r="D9262" i="1"/>
  <c r="E9262" i="1"/>
  <c r="F9262" i="1"/>
  <c r="H9262" i="1"/>
  <c r="A9263" i="1"/>
  <c r="B9263" i="1"/>
  <c r="C9263" i="1"/>
  <c r="D9263" i="1"/>
  <c r="E9263" i="1"/>
  <c r="F9263" i="1"/>
  <c r="H9263" i="1"/>
  <c r="A9264" i="1"/>
  <c r="B9264" i="1"/>
  <c r="C9264" i="1"/>
  <c r="D9264" i="1"/>
  <c r="E9264" i="1"/>
  <c r="F9264" i="1"/>
  <c r="H9264" i="1"/>
  <c r="A9265" i="1"/>
  <c r="B9265" i="1"/>
  <c r="C9265" i="1"/>
  <c r="D9265" i="1"/>
  <c r="E9265" i="1"/>
  <c r="F9265" i="1"/>
  <c r="H9265" i="1"/>
  <c r="A9266" i="1"/>
  <c r="B9266" i="1"/>
  <c r="C9266" i="1"/>
  <c r="D9266" i="1"/>
  <c r="E9266" i="1"/>
  <c r="F9266" i="1"/>
  <c r="H9266" i="1"/>
  <c r="A9267" i="1"/>
  <c r="B9267" i="1"/>
  <c r="C9267" i="1"/>
  <c r="D9267" i="1"/>
  <c r="E9267" i="1"/>
  <c r="F9267" i="1"/>
  <c r="H9267" i="1"/>
  <c r="A9268" i="1"/>
  <c r="B9268" i="1"/>
  <c r="C9268" i="1"/>
  <c r="D9268" i="1"/>
  <c r="E9268" i="1"/>
  <c r="F9268" i="1"/>
  <c r="H9268" i="1"/>
  <c r="A9269" i="1"/>
  <c r="B9269" i="1"/>
  <c r="C9269" i="1"/>
  <c r="D9269" i="1"/>
  <c r="E9269" i="1"/>
  <c r="F9269" i="1"/>
  <c r="H9269" i="1"/>
  <c r="A9270" i="1"/>
  <c r="B9270" i="1"/>
  <c r="C9270" i="1"/>
  <c r="D9270" i="1"/>
  <c r="E9270" i="1"/>
  <c r="F9270" i="1"/>
  <c r="H9270" i="1"/>
  <c r="A9271" i="1"/>
  <c r="B9271" i="1"/>
  <c r="C9271" i="1"/>
  <c r="D9271" i="1"/>
  <c r="E9271" i="1"/>
  <c r="F9271" i="1"/>
  <c r="H9271" i="1"/>
  <c r="A9272" i="1"/>
  <c r="B9272" i="1"/>
  <c r="C9272" i="1"/>
  <c r="D9272" i="1"/>
  <c r="E9272" i="1"/>
  <c r="F9272" i="1"/>
  <c r="H9272" i="1"/>
  <c r="A9273" i="1"/>
  <c r="B9273" i="1"/>
  <c r="C9273" i="1"/>
  <c r="D9273" i="1"/>
  <c r="E9273" i="1"/>
  <c r="F9273" i="1"/>
  <c r="H9273" i="1"/>
  <c r="A9274" i="1"/>
  <c r="B9274" i="1"/>
  <c r="C9274" i="1"/>
  <c r="D9274" i="1"/>
  <c r="E9274" i="1"/>
  <c r="F9274" i="1"/>
  <c r="H9274" i="1"/>
  <c r="A9275" i="1"/>
  <c r="B9275" i="1"/>
  <c r="C9275" i="1"/>
  <c r="D9275" i="1"/>
  <c r="E9275" i="1"/>
  <c r="F9275" i="1"/>
  <c r="H9275" i="1"/>
  <c r="A9276" i="1"/>
  <c r="B9276" i="1"/>
  <c r="C9276" i="1"/>
  <c r="D9276" i="1"/>
  <c r="E9276" i="1"/>
  <c r="F9276" i="1"/>
  <c r="H9276" i="1"/>
  <c r="A9277" i="1"/>
  <c r="B9277" i="1"/>
  <c r="C9277" i="1"/>
  <c r="D9277" i="1"/>
  <c r="E9277" i="1"/>
  <c r="F9277" i="1"/>
  <c r="H9277" i="1"/>
  <c r="A9278" i="1"/>
  <c r="B9278" i="1"/>
  <c r="C9278" i="1"/>
  <c r="D9278" i="1"/>
  <c r="E9278" i="1"/>
  <c r="F9278" i="1"/>
  <c r="H9278" i="1"/>
  <c r="A9279" i="1"/>
  <c r="B9279" i="1"/>
  <c r="C9279" i="1"/>
  <c r="D9279" i="1"/>
  <c r="E9279" i="1"/>
  <c r="F9279" i="1"/>
  <c r="H9279" i="1"/>
  <c r="A9280" i="1"/>
  <c r="B9280" i="1"/>
  <c r="C9280" i="1"/>
  <c r="D9280" i="1"/>
  <c r="E9280" i="1"/>
  <c r="F9280" i="1"/>
  <c r="H9280" i="1"/>
  <c r="A9281" i="1"/>
  <c r="B9281" i="1"/>
  <c r="C9281" i="1"/>
  <c r="D9281" i="1"/>
  <c r="E9281" i="1"/>
  <c r="F9281" i="1"/>
  <c r="H9281" i="1"/>
  <c r="A9282" i="1"/>
  <c r="B9282" i="1"/>
  <c r="C9282" i="1"/>
  <c r="D9282" i="1"/>
  <c r="E9282" i="1"/>
  <c r="F9282" i="1"/>
  <c r="H9282" i="1"/>
  <c r="A9283" i="1"/>
  <c r="B9283" i="1"/>
  <c r="C9283" i="1"/>
  <c r="D9283" i="1"/>
  <c r="E9283" i="1"/>
  <c r="F9283" i="1"/>
  <c r="H9283" i="1"/>
  <c r="A9284" i="1"/>
  <c r="B9284" i="1"/>
  <c r="C9284" i="1"/>
  <c r="D9284" i="1"/>
  <c r="E9284" i="1"/>
  <c r="F9284" i="1"/>
  <c r="H9284" i="1"/>
  <c r="A9285" i="1"/>
  <c r="B9285" i="1"/>
  <c r="C9285" i="1"/>
  <c r="D9285" i="1"/>
  <c r="E9285" i="1"/>
  <c r="F9285" i="1"/>
  <c r="H9285" i="1"/>
  <c r="A9286" i="1"/>
  <c r="B9286" i="1"/>
  <c r="C9286" i="1"/>
  <c r="D9286" i="1"/>
  <c r="E9286" i="1"/>
  <c r="F9286" i="1"/>
  <c r="H9286" i="1"/>
  <c r="A9287" i="1"/>
  <c r="B9287" i="1"/>
  <c r="C9287" i="1"/>
  <c r="D9287" i="1"/>
  <c r="E9287" i="1"/>
  <c r="F9287" i="1"/>
  <c r="H9287" i="1"/>
  <c r="A9288" i="1"/>
  <c r="B9288" i="1"/>
  <c r="C9288" i="1"/>
  <c r="D9288" i="1"/>
  <c r="E9288" i="1"/>
  <c r="F9288" i="1"/>
  <c r="H9288" i="1"/>
  <c r="A9289" i="1"/>
  <c r="B9289" i="1"/>
  <c r="C9289" i="1"/>
  <c r="D9289" i="1"/>
  <c r="E9289" i="1"/>
  <c r="F9289" i="1"/>
  <c r="H9289" i="1"/>
  <c r="A9290" i="1"/>
  <c r="B9290" i="1"/>
  <c r="C9290" i="1"/>
  <c r="D9290" i="1"/>
  <c r="E9290" i="1"/>
  <c r="F9290" i="1"/>
  <c r="H9290" i="1"/>
  <c r="A9291" i="1"/>
  <c r="B9291" i="1"/>
  <c r="C9291" i="1"/>
  <c r="D9291" i="1"/>
  <c r="E9291" i="1"/>
  <c r="F9291" i="1"/>
  <c r="H9291" i="1"/>
  <c r="A9292" i="1"/>
  <c r="B9292" i="1"/>
  <c r="C9292" i="1"/>
  <c r="D9292" i="1"/>
  <c r="E9292" i="1"/>
  <c r="F9292" i="1"/>
  <c r="H9292" i="1"/>
  <c r="A9293" i="1"/>
  <c r="B9293" i="1"/>
  <c r="C9293" i="1"/>
  <c r="D9293" i="1"/>
  <c r="E9293" i="1"/>
  <c r="F9293" i="1"/>
  <c r="H9293" i="1"/>
  <c r="A9294" i="1"/>
  <c r="B9294" i="1"/>
  <c r="C9294" i="1"/>
  <c r="D9294" i="1"/>
  <c r="E9294" i="1"/>
  <c r="F9294" i="1"/>
  <c r="H9294" i="1"/>
  <c r="A9295" i="1"/>
  <c r="B9295" i="1"/>
  <c r="C9295" i="1"/>
  <c r="D9295" i="1"/>
  <c r="E9295" i="1"/>
  <c r="F9295" i="1"/>
  <c r="H9295" i="1"/>
  <c r="A9296" i="1"/>
  <c r="B9296" i="1"/>
  <c r="C9296" i="1"/>
  <c r="D9296" i="1"/>
  <c r="E9296" i="1"/>
  <c r="F9296" i="1"/>
  <c r="H9296" i="1"/>
  <c r="A9297" i="1"/>
  <c r="B9297" i="1"/>
  <c r="C9297" i="1"/>
  <c r="D9297" i="1"/>
  <c r="E9297" i="1"/>
  <c r="F9297" i="1"/>
  <c r="H9297" i="1"/>
  <c r="A9298" i="1"/>
  <c r="B9298" i="1"/>
  <c r="C9298" i="1"/>
  <c r="D9298" i="1"/>
  <c r="E9298" i="1"/>
  <c r="F9298" i="1"/>
  <c r="H9298" i="1"/>
  <c r="A9299" i="1"/>
  <c r="B9299" i="1"/>
  <c r="C9299" i="1"/>
  <c r="D9299" i="1"/>
  <c r="E9299" i="1"/>
  <c r="F9299" i="1"/>
  <c r="H9299" i="1"/>
  <c r="A9300" i="1"/>
  <c r="B9300" i="1"/>
  <c r="C9300" i="1"/>
  <c r="D9300" i="1"/>
  <c r="E9300" i="1"/>
  <c r="F9300" i="1"/>
  <c r="H9300" i="1"/>
  <c r="A9301" i="1"/>
  <c r="B9301" i="1"/>
  <c r="C9301" i="1"/>
  <c r="D9301" i="1"/>
  <c r="E9301" i="1"/>
  <c r="F9301" i="1"/>
  <c r="H9301" i="1"/>
  <c r="A9302" i="1"/>
  <c r="B9302" i="1"/>
  <c r="C9302" i="1"/>
  <c r="D9302" i="1"/>
  <c r="E9302" i="1"/>
  <c r="F9302" i="1"/>
  <c r="H9302" i="1"/>
  <c r="A9303" i="1"/>
  <c r="B9303" i="1"/>
  <c r="C9303" i="1"/>
  <c r="D9303" i="1"/>
  <c r="E9303" i="1"/>
  <c r="F9303" i="1"/>
  <c r="H9303" i="1"/>
  <c r="A9304" i="1"/>
  <c r="B9304" i="1"/>
  <c r="C9304" i="1"/>
  <c r="D9304" i="1"/>
  <c r="E9304" i="1"/>
  <c r="F9304" i="1"/>
  <c r="H9304" i="1"/>
  <c r="A9305" i="1"/>
  <c r="B9305" i="1"/>
  <c r="C9305" i="1"/>
  <c r="D9305" i="1"/>
  <c r="E9305" i="1"/>
  <c r="F9305" i="1"/>
  <c r="H9305" i="1"/>
  <c r="A9306" i="1"/>
  <c r="B9306" i="1"/>
  <c r="C9306" i="1"/>
  <c r="D9306" i="1"/>
  <c r="E9306" i="1"/>
  <c r="F9306" i="1"/>
  <c r="H9306" i="1"/>
  <c r="A9307" i="1"/>
  <c r="B9307" i="1"/>
  <c r="C9307" i="1"/>
  <c r="D9307" i="1"/>
  <c r="E9307" i="1"/>
  <c r="F9307" i="1"/>
  <c r="H9307" i="1"/>
  <c r="A9308" i="1"/>
  <c r="B9308" i="1"/>
  <c r="C9308" i="1"/>
  <c r="D9308" i="1"/>
  <c r="E9308" i="1"/>
  <c r="F9308" i="1"/>
  <c r="H9308" i="1"/>
  <c r="A9309" i="1"/>
  <c r="B9309" i="1"/>
  <c r="C9309" i="1"/>
  <c r="D9309" i="1"/>
  <c r="E9309" i="1"/>
  <c r="F9309" i="1"/>
  <c r="H9309" i="1"/>
  <c r="A9310" i="1"/>
  <c r="B9310" i="1"/>
  <c r="C9310" i="1"/>
  <c r="D9310" i="1"/>
  <c r="E9310" i="1"/>
  <c r="F9310" i="1"/>
  <c r="H9310" i="1"/>
  <c r="A9311" i="1"/>
  <c r="B9311" i="1"/>
  <c r="C9311" i="1"/>
  <c r="D9311" i="1"/>
  <c r="E9311" i="1"/>
  <c r="F9311" i="1"/>
  <c r="H9311" i="1"/>
  <c r="A9312" i="1"/>
  <c r="B9312" i="1"/>
  <c r="C9312" i="1"/>
  <c r="D9312" i="1"/>
  <c r="E9312" i="1"/>
  <c r="F9312" i="1"/>
  <c r="H9312" i="1"/>
  <c r="A9313" i="1"/>
  <c r="B9313" i="1"/>
  <c r="C9313" i="1"/>
  <c r="D9313" i="1"/>
  <c r="E9313" i="1"/>
  <c r="F9313" i="1"/>
  <c r="H9313" i="1"/>
  <c r="A9314" i="1"/>
  <c r="B9314" i="1"/>
  <c r="C9314" i="1"/>
  <c r="D9314" i="1"/>
  <c r="E9314" i="1"/>
  <c r="F9314" i="1"/>
  <c r="H9314" i="1"/>
  <c r="A9315" i="1"/>
  <c r="B9315" i="1"/>
  <c r="C9315" i="1"/>
  <c r="D9315" i="1"/>
  <c r="E9315" i="1"/>
  <c r="F9315" i="1"/>
  <c r="H9315" i="1"/>
  <c r="A9316" i="1"/>
  <c r="B9316" i="1"/>
  <c r="C9316" i="1"/>
  <c r="D9316" i="1"/>
  <c r="E9316" i="1"/>
  <c r="F9316" i="1"/>
  <c r="H9316" i="1"/>
  <c r="A9317" i="1"/>
  <c r="B9317" i="1"/>
  <c r="C9317" i="1"/>
  <c r="D9317" i="1"/>
  <c r="E9317" i="1"/>
  <c r="F9317" i="1"/>
  <c r="H9317" i="1"/>
  <c r="A9318" i="1"/>
  <c r="B9318" i="1"/>
  <c r="C9318" i="1"/>
  <c r="D9318" i="1"/>
  <c r="E9318" i="1"/>
  <c r="F9318" i="1"/>
  <c r="H9318" i="1"/>
  <c r="A9319" i="1"/>
  <c r="B9319" i="1"/>
  <c r="C9319" i="1"/>
  <c r="D9319" i="1"/>
  <c r="E9319" i="1"/>
  <c r="F9319" i="1"/>
  <c r="H9319" i="1"/>
  <c r="A9320" i="1"/>
  <c r="B9320" i="1"/>
  <c r="C9320" i="1"/>
  <c r="D9320" i="1"/>
  <c r="E9320" i="1"/>
  <c r="F9320" i="1"/>
  <c r="H9320" i="1"/>
  <c r="A9321" i="1"/>
  <c r="B9321" i="1"/>
  <c r="C9321" i="1"/>
  <c r="D9321" i="1"/>
  <c r="E9321" i="1"/>
  <c r="F9321" i="1"/>
  <c r="H9321" i="1"/>
  <c r="A9322" i="1"/>
  <c r="B9322" i="1"/>
  <c r="C9322" i="1"/>
  <c r="D9322" i="1"/>
  <c r="E9322" i="1"/>
  <c r="F9322" i="1"/>
  <c r="H9322" i="1"/>
  <c r="A9323" i="1"/>
  <c r="B9323" i="1"/>
  <c r="C9323" i="1"/>
  <c r="D9323" i="1"/>
  <c r="E9323" i="1"/>
  <c r="F9323" i="1"/>
  <c r="H9323" i="1"/>
  <c r="A9324" i="1"/>
  <c r="B9324" i="1"/>
  <c r="C9324" i="1"/>
  <c r="D9324" i="1"/>
  <c r="E9324" i="1"/>
  <c r="F9324" i="1"/>
  <c r="H9324" i="1"/>
  <c r="A9325" i="1"/>
  <c r="B9325" i="1"/>
  <c r="C9325" i="1"/>
  <c r="D9325" i="1"/>
  <c r="E9325" i="1"/>
  <c r="F9325" i="1"/>
  <c r="H9325" i="1"/>
  <c r="A9326" i="1"/>
  <c r="B9326" i="1"/>
  <c r="C9326" i="1"/>
  <c r="D9326" i="1"/>
  <c r="E9326" i="1"/>
  <c r="F9326" i="1"/>
  <c r="H9326" i="1"/>
  <c r="A9327" i="1"/>
  <c r="B9327" i="1"/>
  <c r="C9327" i="1"/>
  <c r="D9327" i="1"/>
  <c r="E9327" i="1"/>
  <c r="F9327" i="1"/>
  <c r="H9327" i="1"/>
  <c r="A9328" i="1"/>
  <c r="B9328" i="1"/>
  <c r="C9328" i="1"/>
  <c r="D9328" i="1"/>
  <c r="E9328" i="1"/>
  <c r="F9328" i="1"/>
  <c r="H9328" i="1"/>
  <c r="A9329" i="1"/>
  <c r="B9329" i="1"/>
  <c r="C9329" i="1"/>
  <c r="D9329" i="1"/>
  <c r="E9329" i="1"/>
  <c r="F9329" i="1"/>
  <c r="H9329" i="1"/>
  <c r="A9330" i="1"/>
  <c r="B9330" i="1"/>
  <c r="C9330" i="1"/>
  <c r="D9330" i="1"/>
  <c r="E9330" i="1"/>
  <c r="F9330" i="1"/>
  <c r="H9330" i="1"/>
  <c r="A9331" i="1"/>
  <c r="B9331" i="1"/>
  <c r="C9331" i="1"/>
  <c r="D9331" i="1"/>
  <c r="E9331" i="1"/>
  <c r="F9331" i="1"/>
  <c r="H9331" i="1"/>
  <c r="A9332" i="1"/>
  <c r="B9332" i="1"/>
  <c r="C9332" i="1"/>
  <c r="D9332" i="1"/>
  <c r="E9332" i="1"/>
  <c r="F9332" i="1"/>
  <c r="H9332" i="1"/>
  <c r="A9333" i="1"/>
  <c r="B9333" i="1"/>
  <c r="C9333" i="1"/>
  <c r="D9333" i="1"/>
  <c r="E9333" i="1"/>
  <c r="F9333" i="1"/>
  <c r="H9333" i="1"/>
  <c r="A9334" i="1"/>
  <c r="B9334" i="1"/>
  <c r="C9334" i="1"/>
  <c r="D9334" i="1"/>
  <c r="E9334" i="1"/>
  <c r="F9334" i="1"/>
  <c r="H9334" i="1"/>
  <c r="A9335" i="1"/>
  <c r="B9335" i="1"/>
  <c r="C9335" i="1"/>
  <c r="D9335" i="1"/>
  <c r="E9335" i="1"/>
  <c r="F9335" i="1"/>
  <c r="H9335" i="1"/>
  <c r="A9336" i="1"/>
  <c r="B9336" i="1"/>
  <c r="C9336" i="1"/>
  <c r="D9336" i="1"/>
  <c r="E9336" i="1"/>
  <c r="F9336" i="1"/>
  <c r="H9336" i="1"/>
  <c r="A9337" i="1"/>
  <c r="B9337" i="1"/>
  <c r="C9337" i="1"/>
  <c r="D9337" i="1"/>
  <c r="E9337" i="1"/>
  <c r="F9337" i="1"/>
  <c r="H9337" i="1"/>
  <c r="A9338" i="1"/>
  <c r="B9338" i="1"/>
  <c r="C9338" i="1"/>
  <c r="D9338" i="1"/>
  <c r="E9338" i="1"/>
  <c r="F9338" i="1"/>
  <c r="H9338" i="1"/>
  <c r="A9339" i="1"/>
  <c r="B9339" i="1"/>
  <c r="C9339" i="1"/>
  <c r="D9339" i="1"/>
  <c r="E9339" i="1"/>
  <c r="F9339" i="1"/>
  <c r="H9339" i="1"/>
  <c r="A9340" i="1"/>
  <c r="B9340" i="1"/>
  <c r="C9340" i="1"/>
  <c r="D9340" i="1"/>
  <c r="E9340" i="1"/>
  <c r="F9340" i="1"/>
  <c r="H9340" i="1"/>
  <c r="A9341" i="1"/>
  <c r="B9341" i="1"/>
  <c r="C9341" i="1"/>
  <c r="D9341" i="1"/>
  <c r="E9341" i="1"/>
  <c r="F9341" i="1"/>
  <c r="H9341" i="1"/>
  <c r="A9342" i="1"/>
  <c r="B9342" i="1"/>
  <c r="C9342" i="1"/>
  <c r="D9342" i="1"/>
  <c r="E9342" i="1"/>
  <c r="F9342" i="1"/>
  <c r="H9342" i="1"/>
  <c r="A9343" i="1"/>
  <c r="B9343" i="1"/>
  <c r="C9343" i="1"/>
  <c r="D9343" i="1"/>
  <c r="E9343" i="1"/>
  <c r="F9343" i="1"/>
  <c r="H9343" i="1"/>
  <c r="A9344" i="1"/>
  <c r="B9344" i="1"/>
  <c r="C9344" i="1"/>
  <c r="D9344" i="1"/>
  <c r="E9344" i="1"/>
  <c r="F9344" i="1"/>
  <c r="H9344" i="1"/>
  <c r="A9345" i="1"/>
  <c r="B9345" i="1"/>
  <c r="C9345" i="1"/>
  <c r="D9345" i="1"/>
  <c r="E9345" i="1"/>
  <c r="F9345" i="1"/>
  <c r="H9345" i="1"/>
  <c r="A9346" i="1"/>
  <c r="B9346" i="1"/>
  <c r="C9346" i="1"/>
  <c r="D9346" i="1"/>
  <c r="E9346" i="1"/>
  <c r="F9346" i="1"/>
  <c r="H9346" i="1"/>
  <c r="A9347" i="1"/>
  <c r="B9347" i="1"/>
  <c r="C9347" i="1"/>
  <c r="D9347" i="1"/>
  <c r="E9347" i="1"/>
  <c r="F9347" i="1"/>
  <c r="H9347" i="1"/>
  <c r="A9348" i="1"/>
  <c r="B9348" i="1"/>
  <c r="C9348" i="1"/>
  <c r="D9348" i="1"/>
  <c r="E9348" i="1"/>
  <c r="F9348" i="1"/>
  <c r="H9348" i="1"/>
  <c r="A9349" i="1"/>
  <c r="B9349" i="1"/>
  <c r="C9349" i="1"/>
  <c r="D9349" i="1"/>
  <c r="E9349" i="1"/>
  <c r="F9349" i="1"/>
  <c r="H9349" i="1"/>
  <c r="A9350" i="1"/>
  <c r="B9350" i="1"/>
  <c r="C9350" i="1"/>
  <c r="D9350" i="1"/>
  <c r="E9350" i="1"/>
  <c r="F9350" i="1"/>
  <c r="H9350" i="1"/>
  <c r="A9351" i="1"/>
  <c r="B9351" i="1"/>
  <c r="C9351" i="1"/>
  <c r="D9351" i="1"/>
  <c r="E9351" i="1"/>
  <c r="F9351" i="1"/>
  <c r="H9351" i="1"/>
  <c r="A9352" i="1"/>
  <c r="B9352" i="1"/>
  <c r="C9352" i="1"/>
  <c r="D9352" i="1"/>
  <c r="E9352" i="1"/>
  <c r="F9352" i="1"/>
  <c r="H9352" i="1"/>
  <c r="A9353" i="1"/>
  <c r="B9353" i="1"/>
  <c r="C9353" i="1"/>
  <c r="D9353" i="1"/>
  <c r="E9353" i="1"/>
  <c r="F9353" i="1"/>
  <c r="H9353" i="1"/>
  <c r="A9354" i="1"/>
  <c r="B9354" i="1"/>
  <c r="C9354" i="1"/>
  <c r="D9354" i="1"/>
  <c r="E9354" i="1"/>
  <c r="F9354" i="1"/>
  <c r="H9354" i="1"/>
  <c r="A9355" i="1"/>
  <c r="B9355" i="1"/>
  <c r="C9355" i="1"/>
  <c r="D9355" i="1"/>
  <c r="E9355" i="1"/>
  <c r="F9355" i="1"/>
  <c r="H9355" i="1"/>
  <c r="A9356" i="1"/>
  <c r="B9356" i="1"/>
  <c r="C9356" i="1"/>
  <c r="D9356" i="1"/>
  <c r="E9356" i="1"/>
  <c r="F9356" i="1"/>
  <c r="H9356" i="1"/>
  <c r="A9357" i="1"/>
  <c r="B9357" i="1"/>
  <c r="C9357" i="1"/>
  <c r="D9357" i="1"/>
  <c r="E9357" i="1"/>
  <c r="F9357" i="1"/>
  <c r="H9357" i="1"/>
  <c r="A9358" i="1"/>
  <c r="B9358" i="1"/>
  <c r="C9358" i="1"/>
  <c r="D9358" i="1"/>
  <c r="E9358" i="1"/>
  <c r="F9358" i="1"/>
  <c r="H9358" i="1"/>
  <c r="A9359" i="1"/>
  <c r="B9359" i="1"/>
  <c r="C9359" i="1"/>
  <c r="D9359" i="1"/>
  <c r="E9359" i="1"/>
  <c r="F9359" i="1"/>
  <c r="H9359" i="1"/>
  <c r="A9360" i="1"/>
  <c r="B9360" i="1"/>
  <c r="C9360" i="1"/>
  <c r="D9360" i="1"/>
  <c r="E9360" i="1"/>
  <c r="F9360" i="1"/>
  <c r="H9360" i="1"/>
  <c r="A9361" i="1"/>
  <c r="B9361" i="1"/>
  <c r="C9361" i="1"/>
  <c r="D9361" i="1"/>
  <c r="E9361" i="1"/>
  <c r="F9361" i="1"/>
  <c r="H9361" i="1"/>
  <c r="A9362" i="1"/>
  <c r="B9362" i="1"/>
  <c r="C9362" i="1"/>
  <c r="D9362" i="1"/>
  <c r="E9362" i="1"/>
  <c r="F9362" i="1"/>
  <c r="H9362" i="1"/>
  <c r="A9363" i="1"/>
  <c r="B9363" i="1"/>
  <c r="C9363" i="1"/>
  <c r="D9363" i="1"/>
  <c r="E9363" i="1"/>
  <c r="F9363" i="1"/>
  <c r="H9363" i="1"/>
  <c r="A9364" i="1"/>
  <c r="B9364" i="1"/>
  <c r="C9364" i="1"/>
  <c r="D9364" i="1"/>
  <c r="E9364" i="1"/>
  <c r="F9364" i="1"/>
  <c r="H9364" i="1"/>
  <c r="A9365" i="1"/>
  <c r="B9365" i="1"/>
  <c r="C9365" i="1"/>
  <c r="D9365" i="1"/>
  <c r="E9365" i="1"/>
  <c r="F9365" i="1"/>
  <c r="H9365" i="1"/>
  <c r="A9366" i="1"/>
  <c r="B9366" i="1"/>
  <c r="C9366" i="1"/>
  <c r="D9366" i="1"/>
  <c r="E9366" i="1"/>
  <c r="F9366" i="1"/>
  <c r="H9366" i="1"/>
  <c r="A9367" i="1"/>
  <c r="B9367" i="1"/>
  <c r="C9367" i="1"/>
  <c r="D9367" i="1"/>
  <c r="E9367" i="1"/>
  <c r="F9367" i="1"/>
  <c r="H9367" i="1"/>
  <c r="A9368" i="1"/>
  <c r="B9368" i="1"/>
  <c r="C9368" i="1"/>
  <c r="D9368" i="1"/>
  <c r="E9368" i="1"/>
  <c r="F9368" i="1"/>
  <c r="H9368" i="1"/>
  <c r="A9369" i="1"/>
  <c r="B9369" i="1"/>
  <c r="C9369" i="1"/>
  <c r="D9369" i="1"/>
  <c r="E9369" i="1"/>
  <c r="F9369" i="1"/>
  <c r="H9369" i="1"/>
  <c r="A9370" i="1"/>
  <c r="B9370" i="1"/>
  <c r="C9370" i="1"/>
  <c r="D9370" i="1"/>
  <c r="E9370" i="1"/>
  <c r="F9370" i="1"/>
  <c r="H9370" i="1"/>
  <c r="A9371" i="1"/>
  <c r="B9371" i="1"/>
  <c r="C9371" i="1"/>
  <c r="D9371" i="1"/>
  <c r="E9371" i="1"/>
  <c r="F9371" i="1"/>
  <c r="H9371" i="1"/>
  <c r="A9372" i="1"/>
  <c r="B9372" i="1"/>
  <c r="C9372" i="1"/>
  <c r="D9372" i="1"/>
  <c r="E9372" i="1"/>
  <c r="F9372" i="1"/>
  <c r="H9372" i="1"/>
  <c r="A9373" i="1"/>
  <c r="B9373" i="1"/>
  <c r="C9373" i="1"/>
  <c r="D9373" i="1"/>
  <c r="E9373" i="1"/>
  <c r="F9373" i="1"/>
  <c r="H9373" i="1"/>
  <c r="A9374" i="1"/>
  <c r="B9374" i="1"/>
  <c r="C9374" i="1"/>
  <c r="D9374" i="1"/>
  <c r="E9374" i="1"/>
  <c r="F9374" i="1"/>
  <c r="H9374" i="1"/>
  <c r="A9375" i="1"/>
  <c r="B9375" i="1"/>
  <c r="C9375" i="1"/>
  <c r="D9375" i="1"/>
  <c r="E9375" i="1"/>
  <c r="F9375" i="1"/>
  <c r="H9375" i="1"/>
  <c r="A9376" i="1"/>
  <c r="B9376" i="1"/>
  <c r="C9376" i="1"/>
  <c r="D9376" i="1"/>
  <c r="E9376" i="1"/>
  <c r="F9376" i="1"/>
  <c r="H9376" i="1"/>
  <c r="A9377" i="1"/>
  <c r="B9377" i="1"/>
  <c r="C9377" i="1"/>
  <c r="D9377" i="1"/>
  <c r="E9377" i="1"/>
  <c r="F9377" i="1"/>
  <c r="H9377" i="1"/>
  <c r="A9378" i="1"/>
  <c r="B9378" i="1"/>
  <c r="C9378" i="1"/>
  <c r="D9378" i="1"/>
  <c r="E9378" i="1"/>
  <c r="F9378" i="1"/>
  <c r="H9378" i="1"/>
  <c r="A9379" i="1"/>
  <c r="B9379" i="1"/>
  <c r="C9379" i="1"/>
  <c r="D9379" i="1"/>
  <c r="E9379" i="1"/>
  <c r="F9379" i="1"/>
  <c r="H9379" i="1"/>
  <c r="A9380" i="1"/>
  <c r="B9380" i="1"/>
  <c r="C9380" i="1"/>
  <c r="D9380" i="1"/>
  <c r="E9380" i="1"/>
  <c r="F9380" i="1"/>
  <c r="H9380" i="1"/>
  <c r="A9381" i="1"/>
  <c r="B9381" i="1"/>
  <c r="C9381" i="1"/>
  <c r="D9381" i="1"/>
  <c r="E9381" i="1"/>
  <c r="F9381" i="1"/>
  <c r="H9381" i="1"/>
  <c r="A9382" i="1"/>
  <c r="B9382" i="1"/>
  <c r="C9382" i="1"/>
  <c r="D9382" i="1"/>
  <c r="E9382" i="1"/>
  <c r="F9382" i="1"/>
  <c r="H9382" i="1"/>
  <c r="A9383" i="1"/>
  <c r="B9383" i="1"/>
  <c r="C9383" i="1"/>
  <c r="D9383" i="1"/>
  <c r="E9383" i="1"/>
  <c r="F9383" i="1"/>
  <c r="H9383" i="1"/>
  <c r="A9384" i="1"/>
  <c r="B9384" i="1"/>
  <c r="C9384" i="1"/>
  <c r="D9384" i="1"/>
  <c r="E9384" i="1"/>
  <c r="F9384" i="1"/>
  <c r="H9384" i="1"/>
  <c r="A9385" i="1"/>
  <c r="B9385" i="1"/>
  <c r="C9385" i="1"/>
  <c r="D9385" i="1"/>
  <c r="E9385" i="1"/>
  <c r="F9385" i="1"/>
  <c r="H9385" i="1"/>
  <c r="A9386" i="1"/>
  <c r="B9386" i="1"/>
  <c r="C9386" i="1"/>
  <c r="D9386" i="1"/>
  <c r="E9386" i="1"/>
  <c r="F9386" i="1"/>
  <c r="H9386" i="1"/>
  <c r="A9387" i="1"/>
  <c r="B9387" i="1"/>
  <c r="C9387" i="1"/>
  <c r="D9387" i="1"/>
  <c r="E9387" i="1"/>
  <c r="F9387" i="1"/>
  <c r="H9387" i="1"/>
  <c r="A9388" i="1"/>
  <c r="B9388" i="1"/>
  <c r="C9388" i="1"/>
  <c r="D9388" i="1"/>
  <c r="E9388" i="1"/>
  <c r="F9388" i="1"/>
  <c r="H9388" i="1"/>
  <c r="A9389" i="1"/>
  <c r="B9389" i="1"/>
  <c r="C9389" i="1"/>
  <c r="D9389" i="1"/>
  <c r="E9389" i="1"/>
  <c r="F9389" i="1"/>
  <c r="H9389" i="1"/>
  <c r="A9390" i="1"/>
  <c r="B9390" i="1"/>
  <c r="C9390" i="1"/>
  <c r="D9390" i="1"/>
  <c r="E9390" i="1"/>
  <c r="F9390" i="1"/>
  <c r="H9390" i="1"/>
  <c r="A9391" i="1"/>
  <c r="B9391" i="1"/>
  <c r="C9391" i="1"/>
  <c r="D9391" i="1"/>
  <c r="E9391" i="1"/>
  <c r="F9391" i="1"/>
  <c r="H9391" i="1"/>
  <c r="A9392" i="1"/>
  <c r="B9392" i="1"/>
  <c r="C9392" i="1"/>
  <c r="D9392" i="1"/>
  <c r="E9392" i="1"/>
  <c r="F9392" i="1"/>
  <c r="H9392" i="1"/>
  <c r="A9393" i="1"/>
  <c r="B9393" i="1"/>
  <c r="C9393" i="1"/>
  <c r="D9393" i="1"/>
  <c r="E9393" i="1"/>
  <c r="F9393" i="1"/>
  <c r="H9393" i="1"/>
  <c r="A9394" i="1"/>
  <c r="B9394" i="1"/>
  <c r="C9394" i="1"/>
  <c r="D9394" i="1"/>
  <c r="E9394" i="1"/>
  <c r="F9394" i="1"/>
  <c r="H9394" i="1"/>
  <c r="A9395" i="1"/>
  <c r="B9395" i="1"/>
  <c r="C9395" i="1"/>
  <c r="D9395" i="1"/>
  <c r="E9395" i="1"/>
  <c r="F9395" i="1"/>
  <c r="H9395" i="1"/>
  <c r="A9396" i="1"/>
  <c r="B9396" i="1"/>
  <c r="C9396" i="1"/>
  <c r="D9396" i="1"/>
  <c r="E9396" i="1"/>
  <c r="F9396" i="1"/>
  <c r="H9396" i="1"/>
  <c r="A9397" i="1"/>
  <c r="B9397" i="1"/>
  <c r="C9397" i="1"/>
  <c r="D9397" i="1"/>
  <c r="E9397" i="1"/>
  <c r="F9397" i="1"/>
  <c r="H9397" i="1"/>
  <c r="A9398" i="1"/>
  <c r="B9398" i="1"/>
  <c r="C9398" i="1"/>
  <c r="D9398" i="1"/>
  <c r="E9398" i="1"/>
  <c r="F9398" i="1"/>
  <c r="H9398" i="1"/>
  <c r="A9399" i="1"/>
  <c r="B9399" i="1"/>
  <c r="C9399" i="1"/>
  <c r="D9399" i="1"/>
  <c r="E9399" i="1"/>
  <c r="F9399" i="1"/>
  <c r="H9399" i="1"/>
  <c r="A9400" i="1"/>
  <c r="B9400" i="1"/>
  <c r="C9400" i="1"/>
  <c r="D9400" i="1"/>
  <c r="E9400" i="1"/>
  <c r="F9400" i="1"/>
  <c r="H9400" i="1"/>
  <c r="A9401" i="1"/>
  <c r="B9401" i="1"/>
  <c r="C9401" i="1"/>
  <c r="D9401" i="1"/>
  <c r="E9401" i="1"/>
  <c r="F9401" i="1"/>
  <c r="H9401" i="1"/>
  <c r="A9402" i="1"/>
  <c r="B9402" i="1"/>
  <c r="C9402" i="1"/>
  <c r="D9402" i="1"/>
  <c r="E9402" i="1"/>
  <c r="F9402" i="1"/>
  <c r="H9402" i="1"/>
  <c r="A9403" i="1"/>
  <c r="B9403" i="1"/>
  <c r="C9403" i="1"/>
  <c r="D9403" i="1"/>
  <c r="E9403" i="1"/>
  <c r="F9403" i="1"/>
  <c r="H9403" i="1"/>
  <c r="A9404" i="1"/>
  <c r="B9404" i="1"/>
  <c r="C9404" i="1"/>
  <c r="D9404" i="1"/>
  <c r="E9404" i="1"/>
  <c r="F9404" i="1"/>
  <c r="H9404" i="1"/>
  <c r="A9405" i="1"/>
  <c r="B9405" i="1"/>
  <c r="C9405" i="1"/>
  <c r="D9405" i="1"/>
  <c r="E9405" i="1"/>
  <c r="F9405" i="1"/>
  <c r="H9405" i="1"/>
  <c r="A9406" i="1"/>
  <c r="B9406" i="1"/>
  <c r="C9406" i="1"/>
  <c r="D9406" i="1"/>
  <c r="E9406" i="1"/>
  <c r="F9406" i="1"/>
  <c r="H9406" i="1"/>
  <c r="A9407" i="1"/>
  <c r="B9407" i="1"/>
  <c r="C9407" i="1"/>
  <c r="D9407" i="1"/>
  <c r="E9407" i="1"/>
  <c r="F9407" i="1"/>
  <c r="H9407" i="1"/>
  <c r="A9408" i="1"/>
  <c r="B9408" i="1"/>
  <c r="C9408" i="1"/>
  <c r="D9408" i="1"/>
  <c r="E9408" i="1"/>
  <c r="F9408" i="1"/>
  <c r="H9408" i="1"/>
  <c r="A9409" i="1"/>
  <c r="B9409" i="1"/>
  <c r="C9409" i="1"/>
  <c r="D9409" i="1"/>
  <c r="E9409" i="1"/>
  <c r="F9409" i="1"/>
  <c r="H9409" i="1"/>
  <c r="A9410" i="1"/>
  <c r="B9410" i="1"/>
  <c r="C9410" i="1"/>
  <c r="D9410" i="1"/>
  <c r="E9410" i="1"/>
  <c r="F9410" i="1"/>
  <c r="H9410" i="1"/>
  <c r="A9411" i="1"/>
  <c r="B9411" i="1"/>
  <c r="C9411" i="1"/>
  <c r="D9411" i="1"/>
  <c r="E9411" i="1"/>
  <c r="F9411" i="1"/>
  <c r="H9411" i="1"/>
  <c r="A9412" i="1"/>
  <c r="B9412" i="1"/>
  <c r="C9412" i="1"/>
  <c r="D9412" i="1"/>
  <c r="E9412" i="1"/>
  <c r="F9412" i="1"/>
  <c r="H9412" i="1"/>
  <c r="A9413" i="1"/>
  <c r="B9413" i="1"/>
  <c r="C9413" i="1"/>
  <c r="D9413" i="1"/>
  <c r="E9413" i="1"/>
  <c r="F9413" i="1"/>
  <c r="H9413" i="1"/>
  <c r="A9414" i="1"/>
  <c r="B9414" i="1"/>
  <c r="C9414" i="1"/>
  <c r="D9414" i="1"/>
  <c r="E9414" i="1"/>
  <c r="F9414" i="1"/>
  <c r="H9414" i="1"/>
  <c r="A9415" i="1"/>
  <c r="B9415" i="1"/>
  <c r="C9415" i="1"/>
  <c r="D9415" i="1"/>
  <c r="E9415" i="1"/>
  <c r="F9415" i="1"/>
  <c r="H9415" i="1"/>
  <c r="A9416" i="1"/>
  <c r="B9416" i="1"/>
  <c r="C9416" i="1"/>
  <c r="D9416" i="1"/>
  <c r="E9416" i="1"/>
  <c r="F9416" i="1"/>
  <c r="H9416" i="1"/>
  <c r="A9417" i="1"/>
  <c r="B9417" i="1"/>
  <c r="C9417" i="1"/>
  <c r="D9417" i="1"/>
  <c r="E9417" i="1"/>
  <c r="F9417" i="1"/>
  <c r="H9417" i="1"/>
  <c r="A9418" i="1"/>
  <c r="B9418" i="1"/>
  <c r="C9418" i="1"/>
  <c r="D9418" i="1"/>
  <c r="E9418" i="1"/>
  <c r="F9418" i="1"/>
  <c r="H9418" i="1"/>
  <c r="A9419" i="1"/>
  <c r="B9419" i="1"/>
  <c r="C9419" i="1"/>
  <c r="D9419" i="1"/>
  <c r="E9419" i="1"/>
  <c r="F9419" i="1"/>
  <c r="H9419" i="1"/>
  <c r="A9420" i="1"/>
  <c r="B9420" i="1"/>
  <c r="C9420" i="1"/>
  <c r="D9420" i="1"/>
  <c r="E9420" i="1"/>
  <c r="F9420" i="1"/>
  <c r="H9420" i="1"/>
  <c r="A9421" i="1"/>
  <c r="B9421" i="1"/>
  <c r="C9421" i="1"/>
  <c r="D9421" i="1"/>
  <c r="E9421" i="1"/>
  <c r="F9421" i="1"/>
  <c r="H9421" i="1"/>
  <c r="A9422" i="1"/>
  <c r="B9422" i="1"/>
  <c r="C9422" i="1"/>
  <c r="D9422" i="1"/>
  <c r="E9422" i="1"/>
  <c r="F9422" i="1"/>
  <c r="H9422" i="1"/>
  <c r="A9423" i="1"/>
  <c r="B9423" i="1"/>
  <c r="C9423" i="1"/>
  <c r="D9423" i="1"/>
  <c r="E9423" i="1"/>
  <c r="F9423" i="1"/>
  <c r="H9423" i="1"/>
  <c r="A9424" i="1"/>
  <c r="B9424" i="1"/>
  <c r="C9424" i="1"/>
  <c r="D9424" i="1"/>
  <c r="E9424" i="1"/>
  <c r="F9424" i="1"/>
  <c r="H9424" i="1"/>
  <c r="A9425" i="1"/>
  <c r="B9425" i="1"/>
  <c r="C9425" i="1"/>
  <c r="D9425" i="1"/>
  <c r="E9425" i="1"/>
  <c r="F9425" i="1"/>
  <c r="H9425" i="1"/>
  <c r="A9426" i="1"/>
  <c r="B9426" i="1"/>
  <c r="C9426" i="1"/>
  <c r="D9426" i="1"/>
  <c r="E9426" i="1"/>
  <c r="F9426" i="1"/>
  <c r="H9426" i="1"/>
  <c r="A9427" i="1"/>
  <c r="B9427" i="1"/>
  <c r="C9427" i="1"/>
  <c r="D9427" i="1"/>
  <c r="E9427" i="1"/>
  <c r="F9427" i="1"/>
  <c r="H9427" i="1"/>
  <c r="A9428" i="1"/>
  <c r="B9428" i="1"/>
  <c r="C9428" i="1"/>
  <c r="D9428" i="1"/>
  <c r="E9428" i="1"/>
  <c r="F9428" i="1"/>
  <c r="H9428" i="1"/>
  <c r="A9429" i="1"/>
  <c r="B9429" i="1"/>
  <c r="C9429" i="1"/>
  <c r="D9429" i="1"/>
  <c r="E9429" i="1"/>
  <c r="F9429" i="1"/>
  <c r="H9429" i="1"/>
  <c r="A9430" i="1"/>
  <c r="B9430" i="1"/>
  <c r="C9430" i="1"/>
  <c r="D9430" i="1"/>
  <c r="E9430" i="1"/>
  <c r="F9430" i="1"/>
  <c r="H9430" i="1"/>
  <c r="A9431" i="1"/>
  <c r="B9431" i="1"/>
  <c r="C9431" i="1"/>
  <c r="D9431" i="1"/>
  <c r="E9431" i="1"/>
  <c r="F9431" i="1"/>
  <c r="H9431" i="1"/>
  <c r="A9432" i="1"/>
  <c r="B9432" i="1"/>
  <c r="C9432" i="1"/>
  <c r="D9432" i="1"/>
  <c r="E9432" i="1"/>
  <c r="F9432" i="1"/>
  <c r="H9432" i="1"/>
  <c r="A9433" i="1"/>
  <c r="B9433" i="1"/>
  <c r="C9433" i="1"/>
  <c r="D9433" i="1"/>
  <c r="E9433" i="1"/>
  <c r="F9433" i="1"/>
  <c r="H9433" i="1"/>
  <c r="A9434" i="1"/>
  <c r="B9434" i="1"/>
  <c r="C9434" i="1"/>
  <c r="D9434" i="1"/>
  <c r="E9434" i="1"/>
  <c r="F9434" i="1"/>
  <c r="H9434" i="1"/>
  <c r="A9435" i="1"/>
  <c r="B9435" i="1"/>
  <c r="C9435" i="1"/>
  <c r="D9435" i="1"/>
  <c r="E9435" i="1"/>
  <c r="F9435" i="1"/>
  <c r="H9435" i="1"/>
  <c r="A9436" i="1"/>
  <c r="B9436" i="1"/>
  <c r="C9436" i="1"/>
  <c r="D9436" i="1"/>
  <c r="E9436" i="1"/>
  <c r="F9436" i="1"/>
  <c r="H9436" i="1"/>
  <c r="A9437" i="1"/>
  <c r="B9437" i="1"/>
  <c r="C9437" i="1"/>
  <c r="D9437" i="1"/>
  <c r="E9437" i="1"/>
  <c r="F9437" i="1"/>
  <c r="H9437" i="1"/>
  <c r="A9438" i="1"/>
  <c r="B9438" i="1"/>
  <c r="C9438" i="1"/>
  <c r="D9438" i="1"/>
  <c r="E9438" i="1"/>
  <c r="F9438" i="1"/>
  <c r="H9438" i="1"/>
  <c r="A9439" i="1"/>
  <c r="B9439" i="1"/>
  <c r="C9439" i="1"/>
  <c r="D9439" i="1"/>
  <c r="E9439" i="1"/>
  <c r="F9439" i="1"/>
  <c r="H9439" i="1"/>
  <c r="A9440" i="1"/>
  <c r="B9440" i="1"/>
  <c r="C9440" i="1"/>
  <c r="D9440" i="1"/>
  <c r="E9440" i="1"/>
  <c r="F9440" i="1"/>
  <c r="H9440" i="1"/>
  <c r="A9441" i="1"/>
  <c r="B9441" i="1"/>
  <c r="C9441" i="1"/>
  <c r="D9441" i="1"/>
  <c r="E9441" i="1"/>
  <c r="F9441" i="1"/>
  <c r="H9441" i="1"/>
  <c r="A9442" i="1"/>
  <c r="B9442" i="1"/>
  <c r="C9442" i="1"/>
  <c r="D9442" i="1"/>
  <c r="E9442" i="1"/>
  <c r="F9442" i="1"/>
  <c r="H9442" i="1"/>
  <c r="A9443" i="1"/>
  <c r="B9443" i="1"/>
  <c r="C9443" i="1"/>
  <c r="D9443" i="1"/>
  <c r="E9443" i="1"/>
  <c r="F9443" i="1"/>
  <c r="H9443" i="1"/>
  <c r="A9444" i="1"/>
  <c r="B9444" i="1"/>
  <c r="C9444" i="1"/>
  <c r="D9444" i="1"/>
  <c r="E9444" i="1"/>
  <c r="F9444" i="1"/>
  <c r="H9444" i="1"/>
  <c r="A9445" i="1"/>
  <c r="B9445" i="1"/>
  <c r="C9445" i="1"/>
  <c r="D9445" i="1"/>
  <c r="E9445" i="1"/>
  <c r="F9445" i="1"/>
  <c r="H9445" i="1"/>
  <c r="A9446" i="1"/>
  <c r="B9446" i="1"/>
  <c r="C9446" i="1"/>
  <c r="D9446" i="1"/>
  <c r="E9446" i="1"/>
  <c r="F9446" i="1"/>
  <c r="H9446" i="1"/>
  <c r="A9447" i="1"/>
  <c r="B9447" i="1"/>
  <c r="C9447" i="1"/>
  <c r="D9447" i="1"/>
  <c r="E9447" i="1"/>
  <c r="F9447" i="1"/>
  <c r="H9447" i="1"/>
  <c r="A9448" i="1"/>
  <c r="B9448" i="1"/>
  <c r="C9448" i="1"/>
  <c r="D9448" i="1"/>
  <c r="E9448" i="1"/>
  <c r="F9448" i="1"/>
  <c r="H9448" i="1"/>
  <c r="A9449" i="1"/>
  <c r="B9449" i="1"/>
  <c r="C9449" i="1"/>
  <c r="D9449" i="1"/>
  <c r="E9449" i="1"/>
  <c r="F9449" i="1"/>
  <c r="H9449" i="1"/>
  <c r="A9450" i="1"/>
  <c r="B9450" i="1"/>
  <c r="C9450" i="1"/>
  <c r="D9450" i="1"/>
  <c r="E9450" i="1"/>
  <c r="F9450" i="1"/>
  <c r="H9450" i="1"/>
  <c r="A9451" i="1"/>
  <c r="B9451" i="1"/>
  <c r="C9451" i="1"/>
  <c r="D9451" i="1"/>
  <c r="E9451" i="1"/>
  <c r="F9451" i="1"/>
  <c r="H9451" i="1"/>
  <c r="A9452" i="1"/>
  <c r="B9452" i="1"/>
  <c r="C9452" i="1"/>
  <c r="D9452" i="1"/>
  <c r="E9452" i="1"/>
  <c r="F9452" i="1"/>
  <c r="H9452" i="1"/>
  <c r="A9453" i="1"/>
  <c r="B9453" i="1"/>
  <c r="C9453" i="1"/>
  <c r="D9453" i="1"/>
  <c r="E9453" i="1"/>
  <c r="F9453" i="1"/>
  <c r="H9453" i="1"/>
  <c r="A9454" i="1"/>
  <c r="B9454" i="1"/>
  <c r="C9454" i="1"/>
  <c r="D9454" i="1"/>
  <c r="E9454" i="1"/>
  <c r="F9454" i="1"/>
  <c r="H9454" i="1"/>
  <c r="A9455" i="1"/>
  <c r="B9455" i="1"/>
  <c r="C9455" i="1"/>
  <c r="D9455" i="1"/>
  <c r="E9455" i="1"/>
  <c r="F9455" i="1"/>
  <c r="H9455" i="1"/>
  <c r="A9456" i="1"/>
  <c r="B9456" i="1"/>
  <c r="C9456" i="1"/>
  <c r="D9456" i="1"/>
  <c r="E9456" i="1"/>
  <c r="F9456" i="1"/>
  <c r="H9456" i="1"/>
  <c r="A9457" i="1"/>
  <c r="B9457" i="1"/>
  <c r="C9457" i="1"/>
  <c r="D9457" i="1"/>
  <c r="E9457" i="1"/>
  <c r="F9457" i="1"/>
  <c r="H9457" i="1"/>
  <c r="A9458" i="1"/>
  <c r="B9458" i="1"/>
  <c r="C9458" i="1"/>
  <c r="D9458" i="1"/>
  <c r="E9458" i="1"/>
  <c r="F9458" i="1"/>
  <c r="H9458" i="1"/>
  <c r="A9459" i="1"/>
  <c r="B9459" i="1"/>
  <c r="C9459" i="1"/>
  <c r="D9459" i="1"/>
  <c r="E9459" i="1"/>
  <c r="F9459" i="1"/>
  <c r="H9459" i="1"/>
  <c r="A9460" i="1"/>
  <c r="B9460" i="1"/>
  <c r="C9460" i="1"/>
  <c r="D9460" i="1"/>
  <c r="E9460" i="1"/>
  <c r="F9460" i="1"/>
  <c r="H9460" i="1"/>
  <c r="A9461" i="1"/>
  <c r="B9461" i="1"/>
  <c r="C9461" i="1"/>
  <c r="D9461" i="1"/>
  <c r="E9461" i="1"/>
  <c r="F9461" i="1"/>
  <c r="H9461" i="1"/>
  <c r="A9462" i="1"/>
  <c r="B9462" i="1"/>
  <c r="C9462" i="1"/>
  <c r="D9462" i="1"/>
  <c r="E9462" i="1"/>
  <c r="F9462" i="1"/>
  <c r="H9462" i="1"/>
  <c r="A9463" i="1"/>
  <c r="B9463" i="1"/>
  <c r="C9463" i="1"/>
  <c r="D9463" i="1"/>
  <c r="E9463" i="1"/>
  <c r="F9463" i="1"/>
  <c r="H9463" i="1"/>
  <c r="A9464" i="1"/>
  <c r="B9464" i="1"/>
  <c r="C9464" i="1"/>
  <c r="D9464" i="1"/>
  <c r="E9464" i="1"/>
  <c r="F9464" i="1"/>
  <c r="H9464" i="1"/>
  <c r="A9465" i="1"/>
  <c r="B9465" i="1"/>
  <c r="C9465" i="1"/>
  <c r="D9465" i="1"/>
  <c r="E9465" i="1"/>
  <c r="F9465" i="1"/>
  <c r="H9465" i="1"/>
  <c r="A9466" i="1"/>
  <c r="B9466" i="1"/>
  <c r="C9466" i="1"/>
  <c r="D9466" i="1"/>
  <c r="E9466" i="1"/>
  <c r="F9466" i="1"/>
  <c r="H9466" i="1"/>
  <c r="A9467" i="1"/>
  <c r="B9467" i="1"/>
  <c r="C9467" i="1"/>
  <c r="D9467" i="1"/>
  <c r="E9467" i="1"/>
  <c r="F9467" i="1"/>
  <c r="H9467" i="1"/>
  <c r="A9468" i="1"/>
  <c r="B9468" i="1"/>
  <c r="C9468" i="1"/>
  <c r="D9468" i="1"/>
  <c r="E9468" i="1"/>
  <c r="F9468" i="1"/>
  <c r="H9468" i="1"/>
  <c r="A9469" i="1"/>
  <c r="B9469" i="1"/>
  <c r="C9469" i="1"/>
  <c r="D9469" i="1"/>
  <c r="E9469" i="1"/>
  <c r="F9469" i="1"/>
  <c r="H9469" i="1"/>
  <c r="A9470" i="1"/>
  <c r="B9470" i="1"/>
  <c r="C9470" i="1"/>
  <c r="D9470" i="1"/>
  <c r="E9470" i="1"/>
  <c r="F9470" i="1"/>
  <c r="H9470" i="1"/>
  <c r="A9471" i="1"/>
  <c r="B9471" i="1"/>
  <c r="C9471" i="1"/>
  <c r="D9471" i="1"/>
  <c r="E9471" i="1"/>
  <c r="F9471" i="1"/>
  <c r="H9471" i="1"/>
  <c r="A9472" i="1"/>
  <c r="B9472" i="1"/>
  <c r="C9472" i="1"/>
  <c r="D9472" i="1"/>
  <c r="E9472" i="1"/>
  <c r="F9472" i="1"/>
  <c r="H9472" i="1"/>
  <c r="A9473" i="1"/>
  <c r="B9473" i="1"/>
  <c r="C9473" i="1"/>
  <c r="D9473" i="1"/>
  <c r="E9473" i="1"/>
  <c r="F9473" i="1"/>
  <c r="H9473" i="1"/>
  <c r="A9474" i="1"/>
  <c r="B9474" i="1"/>
  <c r="C9474" i="1"/>
  <c r="D9474" i="1"/>
  <c r="E9474" i="1"/>
  <c r="F9474" i="1"/>
  <c r="H9474" i="1"/>
  <c r="A9475" i="1"/>
  <c r="B9475" i="1"/>
  <c r="C9475" i="1"/>
  <c r="D9475" i="1"/>
  <c r="E9475" i="1"/>
  <c r="F9475" i="1"/>
  <c r="H9475" i="1"/>
  <c r="A9476" i="1"/>
  <c r="B9476" i="1"/>
  <c r="C9476" i="1"/>
  <c r="D9476" i="1"/>
  <c r="E9476" i="1"/>
  <c r="F9476" i="1"/>
  <c r="H9476" i="1"/>
  <c r="A9477" i="1"/>
  <c r="B9477" i="1"/>
  <c r="C9477" i="1"/>
  <c r="D9477" i="1"/>
  <c r="E9477" i="1"/>
  <c r="F9477" i="1"/>
  <c r="H9477" i="1"/>
  <c r="A9478" i="1"/>
  <c r="B9478" i="1"/>
  <c r="C9478" i="1"/>
  <c r="D9478" i="1"/>
  <c r="E9478" i="1"/>
  <c r="F9478" i="1"/>
  <c r="H9478" i="1"/>
  <c r="A9479" i="1"/>
  <c r="B9479" i="1"/>
  <c r="C9479" i="1"/>
  <c r="D9479" i="1"/>
  <c r="E9479" i="1"/>
  <c r="F9479" i="1"/>
  <c r="H9479" i="1"/>
  <c r="A9480" i="1"/>
  <c r="B9480" i="1"/>
  <c r="C9480" i="1"/>
  <c r="D9480" i="1"/>
  <c r="E9480" i="1"/>
  <c r="F9480" i="1"/>
  <c r="H9480" i="1"/>
  <c r="A9481" i="1"/>
  <c r="B9481" i="1"/>
  <c r="C9481" i="1"/>
  <c r="D9481" i="1"/>
  <c r="E9481" i="1"/>
  <c r="F9481" i="1"/>
  <c r="H9481" i="1"/>
  <c r="A9482" i="1"/>
  <c r="B9482" i="1"/>
  <c r="C9482" i="1"/>
  <c r="D9482" i="1"/>
  <c r="E9482" i="1"/>
  <c r="F9482" i="1"/>
  <c r="H9482" i="1"/>
  <c r="A9483" i="1"/>
  <c r="B9483" i="1"/>
  <c r="C9483" i="1"/>
  <c r="D9483" i="1"/>
  <c r="E9483" i="1"/>
  <c r="F9483" i="1"/>
  <c r="H9483" i="1"/>
  <c r="A9484" i="1"/>
  <c r="B9484" i="1"/>
  <c r="C9484" i="1"/>
  <c r="D9484" i="1"/>
  <c r="E9484" i="1"/>
  <c r="F9484" i="1"/>
  <c r="H9484" i="1"/>
  <c r="A9485" i="1"/>
  <c r="B9485" i="1"/>
  <c r="C9485" i="1"/>
  <c r="D9485" i="1"/>
  <c r="E9485" i="1"/>
  <c r="F9485" i="1"/>
  <c r="H9485" i="1"/>
  <c r="A9486" i="1"/>
  <c r="B9486" i="1"/>
  <c r="C9486" i="1"/>
  <c r="D9486" i="1"/>
  <c r="E9486" i="1"/>
  <c r="F9486" i="1"/>
  <c r="H9486" i="1"/>
  <c r="A9487" i="1"/>
  <c r="B9487" i="1"/>
  <c r="C9487" i="1"/>
  <c r="D9487" i="1"/>
  <c r="E9487" i="1"/>
  <c r="F9487" i="1"/>
  <c r="H9487" i="1"/>
  <c r="A9488" i="1"/>
  <c r="B9488" i="1"/>
  <c r="C9488" i="1"/>
  <c r="D9488" i="1"/>
  <c r="E9488" i="1"/>
  <c r="F9488" i="1"/>
  <c r="H9488" i="1"/>
  <c r="A9489" i="1"/>
  <c r="B9489" i="1"/>
  <c r="C9489" i="1"/>
  <c r="D9489" i="1"/>
  <c r="E9489" i="1"/>
  <c r="F9489" i="1"/>
  <c r="H9489" i="1"/>
  <c r="A9490" i="1"/>
  <c r="B9490" i="1"/>
  <c r="C9490" i="1"/>
  <c r="D9490" i="1"/>
  <c r="E9490" i="1"/>
  <c r="F9490" i="1"/>
  <c r="H9490" i="1"/>
  <c r="A9491" i="1"/>
  <c r="B9491" i="1"/>
  <c r="C9491" i="1"/>
  <c r="D9491" i="1"/>
  <c r="E9491" i="1"/>
  <c r="F9491" i="1"/>
  <c r="H9491" i="1"/>
  <c r="A9492" i="1"/>
  <c r="B9492" i="1"/>
  <c r="C9492" i="1"/>
  <c r="D9492" i="1"/>
  <c r="E9492" i="1"/>
  <c r="F9492" i="1"/>
  <c r="H9492" i="1"/>
  <c r="A9493" i="1"/>
  <c r="B9493" i="1"/>
  <c r="C9493" i="1"/>
  <c r="D9493" i="1"/>
  <c r="E9493" i="1"/>
  <c r="F9493" i="1"/>
  <c r="H9493" i="1"/>
  <c r="A9494" i="1"/>
  <c r="B9494" i="1"/>
  <c r="C9494" i="1"/>
  <c r="D9494" i="1"/>
  <c r="E9494" i="1"/>
  <c r="F9494" i="1"/>
  <c r="H9494" i="1"/>
  <c r="A9495" i="1"/>
  <c r="B9495" i="1"/>
  <c r="C9495" i="1"/>
  <c r="D9495" i="1"/>
  <c r="E9495" i="1"/>
  <c r="F9495" i="1"/>
  <c r="H9495" i="1"/>
  <c r="A9496" i="1"/>
  <c r="B9496" i="1"/>
  <c r="C9496" i="1"/>
  <c r="D9496" i="1"/>
  <c r="E9496" i="1"/>
  <c r="F9496" i="1"/>
  <c r="H9496" i="1"/>
  <c r="A9497" i="1"/>
  <c r="B9497" i="1"/>
  <c r="C9497" i="1"/>
  <c r="D9497" i="1"/>
  <c r="E9497" i="1"/>
  <c r="F9497" i="1"/>
  <c r="H9497" i="1"/>
  <c r="A9498" i="1"/>
  <c r="B9498" i="1"/>
  <c r="C9498" i="1"/>
  <c r="D9498" i="1"/>
  <c r="E9498" i="1"/>
  <c r="F9498" i="1"/>
  <c r="H9498" i="1"/>
  <c r="A9499" i="1"/>
  <c r="B9499" i="1"/>
  <c r="C9499" i="1"/>
  <c r="D9499" i="1"/>
  <c r="E9499" i="1"/>
  <c r="F9499" i="1"/>
  <c r="H9499" i="1"/>
  <c r="A9500" i="1"/>
  <c r="B9500" i="1"/>
  <c r="C9500" i="1"/>
  <c r="D9500" i="1"/>
  <c r="E9500" i="1"/>
  <c r="F9500" i="1"/>
  <c r="H9500" i="1"/>
  <c r="A9501" i="1"/>
  <c r="B9501" i="1"/>
  <c r="C9501" i="1"/>
  <c r="D9501" i="1"/>
  <c r="E9501" i="1"/>
  <c r="F9501" i="1"/>
  <c r="H9501" i="1"/>
  <c r="A9502" i="1"/>
  <c r="B9502" i="1"/>
  <c r="C9502" i="1"/>
  <c r="D9502" i="1"/>
  <c r="E9502" i="1"/>
  <c r="F9502" i="1"/>
  <c r="H9502" i="1"/>
  <c r="A9503" i="1"/>
  <c r="B9503" i="1"/>
  <c r="C9503" i="1"/>
  <c r="D9503" i="1"/>
  <c r="E9503" i="1"/>
  <c r="F9503" i="1"/>
  <c r="H9503" i="1"/>
  <c r="A9504" i="1"/>
  <c r="B9504" i="1"/>
  <c r="C9504" i="1"/>
  <c r="D9504" i="1"/>
  <c r="E9504" i="1"/>
  <c r="F9504" i="1"/>
  <c r="H9504" i="1"/>
  <c r="A9505" i="1"/>
  <c r="B9505" i="1"/>
  <c r="C9505" i="1"/>
  <c r="D9505" i="1"/>
  <c r="E9505" i="1"/>
  <c r="F9505" i="1"/>
  <c r="H9505" i="1"/>
  <c r="A9506" i="1"/>
  <c r="B9506" i="1"/>
  <c r="C9506" i="1"/>
  <c r="D9506" i="1"/>
  <c r="E9506" i="1"/>
  <c r="F9506" i="1"/>
  <c r="H9506" i="1"/>
  <c r="A9507" i="1"/>
  <c r="B9507" i="1"/>
  <c r="C9507" i="1"/>
  <c r="D9507" i="1"/>
  <c r="E9507" i="1"/>
  <c r="F9507" i="1"/>
  <c r="H9507" i="1"/>
  <c r="A9508" i="1"/>
  <c r="B9508" i="1"/>
  <c r="C9508" i="1"/>
  <c r="D9508" i="1"/>
  <c r="E9508" i="1"/>
  <c r="F9508" i="1"/>
  <c r="H9508" i="1"/>
  <c r="A9509" i="1"/>
  <c r="B9509" i="1"/>
  <c r="C9509" i="1"/>
  <c r="D9509" i="1"/>
  <c r="E9509" i="1"/>
  <c r="F9509" i="1"/>
  <c r="H9509" i="1"/>
  <c r="A9510" i="1"/>
  <c r="B9510" i="1"/>
  <c r="C9510" i="1"/>
  <c r="D9510" i="1"/>
  <c r="E9510" i="1"/>
  <c r="F9510" i="1"/>
  <c r="H9510" i="1"/>
  <c r="A9511" i="1"/>
  <c r="B9511" i="1"/>
  <c r="C9511" i="1"/>
  <c r="D9511" i="1"/>
  <c r="E9511" i="1"/>
  <c r="F9511" i="1"/>
  <c r="H9511" i="1"/>
  <c r="A9512" i="1"/>
  <c r="B9512" i="1"/>
  <c r="C9512" i="1"/>
  <c r="D9512" i="1"/>
  <c r="E9512" i="1"/>
  <c r="F9512" i="1"/>
  <c r="H9512" i="1"/>
  <c r="A9513" i="1"/>
  <c r="B9513" i="1"/>
  <c r="C9513" i="1"/>
  <c r="D9513" i="1"/>
  <c r="E9513" i="1"/>
  <c r="F9513" i="1"/>
  <c r="H9513" i="1"/>
  <c r="A9514" i="1"/>
  <c r="B9514" i="1"/>
  <c r="C9514" i="1"/>
  <c r="D9514" i="1"/>
  <c r="E9514" i="1"/>
  <c r="F9514" i="1"/>
  <c r="H9514" i="1"/>
  <c r="A9515" i="1"/>
  <c r="B9515" i="1"/>
  <c r="C9515" i="1"/>
  <c r="D9515" i="1"/>
  <c r="E9515" i="1"/>
  <c r="F9515" i="1"/>
  <c r="H9515" i="1"/>
  <c r="A9516" i="1"/>
  <c r="B9516" i="1"/>
  <c r="C9516" i="1"/>
  <c r="D9516" i="1"/>
  <c r="E9516" i="1"/>
  <c r="F9516" i="1"/>
  <c r="H9516" i="1"/>
  <c r="A9517" i="1"/>
  <c r="B9517" i="1"/>
  <c r="C9517" i="1"/>
  <c r="D9517" i="1"/>
  <c r="E9517" i="1"/>
  <c r="F9517" i="1"/>
  <c r="H9517" i="1"/>
  <c r="A9518" i="1"/>
  <c r="B9518" i="1"/>
  <c r="C9518" i="1"/>
  <c r="D9518" i="1"/>
  <c r="E9518" i="1"/>
  <c r="F9518" i="1"/>
  <c r="H9518" i="1"/>
  <c r="A9519" i="1"/>
  <c r="B9519" i="1"/>
  <c r="C9519" i="1"/>
  <c r="D9519" i="1"/>
  <c r="E9519" i="1"/>
  <c r="F9519" i="1"/>
  <c r="H9519" i="1"/>
  <c r="A9520" i="1"/>
  <c r="B9520" i="1"/>
  <c r="C9520" i="1"/>
  <c r="D9520" i="1"/>
  <c r="E9520" i="1"/>
  <c r="F9520" i="1"/>
  <c r="H9520" i="1"/>
  <c r="A9521" i="1"/>
  <c r="B9521" i="1"/>
  <c r="C9521" i="1"/>
  <c r="D9521" i="1"/>
  <c r="E9521" i="1"/>
  <c r="F9521" i="1"/>
  <c r="H9521" i="1"/>
  <c r="A9522" i="1"/>
  <c r="B9522" i="1"/>
  <c r="C9522" i="1"/>
  <c r="D9522" i="1"/>
  <c r="E9522" i="1"/>
  <c r="F9522" i="1"/>
  <c r="H9522" i="1"/>
  <c r="A9523" i="1"/>
  <c r="B9523" i="1"/>
  <c r="C9523" i="1"/>
  <c r="D9523" i="1"/>
  <c r="E9523" i="1"/>
  <c r="F9523" i="1"/>
  <c r="H9523" i="1"/>
  <c r="A9524" i="1"/>
  <c r="B9524" i="1"/>
  <c r="C9524" i="1"/>
  <c r="D9524" i="1"/>
  <c r="E9524" i="1"/>
  <c r="F9524" i="1"/>
  <c r="H9524" i="1"/>
  <c r="A9525" i="1"/>
  <c r="B9525" i="1"/>
  <c r="C9525" i="1"/>
  <c r="D9525" i="1"/>
  <c r="E9525" i="1"/>
  <c r="F9525" i="1"/>
  <c r="H9525" i="1"/>
  <c r="A9526" i="1"/>
  <c r="B9526" i="1"/>
  <c r="C9526" i="1"/>
  <c r="D9526" i="1"/>
  <c r="E9526" i="1"/>
  <c r="F9526" i="1"/>
  <c r="H9526" i="1"/>
  <c r="A9527" i="1"/>
  <c r="B9527" i="1"/>
  <c r="C9527" i="1"/>
  <c r="D9527" i="1"/>
  <c r="E9527" i="1"/>
  <c r="F9527" i="1"/>
  <c r="H9527" i="1"/>
  <c r="A9528" i="1"/>
  <c r="B9528" i="1"/>
  <c r="C9528" i="1"/>
  <c r="D9528" i="1"/>
  <c r="E9528" i="1"/>
  <c r="F9528" i="1"/>
  <c r="H9528" i="1"/>
  <c r="A9529" i="1"/>
  <c r="B9529" i="1"/>
  <c r="C9529" i="1"/>
  <c r="D9529" i="1"/>
  <c r="E9529" i="1"/>
  <c r="F9529" i="1"/>
  <c r="H9529" i="1"/>
  <c r="A9530" i="1"/>
  <c r="B9530" i="1"/>
  <c r="C9530" i="1"/>
  <c r="D9530" i="1"/>
  <c r="E9530" i="1"/>
  <c r="F9530" i="1"/>
  <c r="H9530" i="1"/>
  <c r="A9531" i="1"/>
  <c r="B9531" i="1"/>
  <c r="C9531" i="1"/>
  <c r="D9531" i="1"/>
  <c r="E9531" i="1"/>
  <c r="F9531" i="1"/>
  <c r="H9531" i="1"/>
  <c r="A9532" i="1"/>
  <c r="B9532" i="1"/>
  <c r="C9532" i="1"/>
  <c r="D9532" i="1"/>
  <c r="E9532" i="1"/>
  <c r="F9532" i="1"/>
  <c r="H9532" i="1"/>
  <c r="A9533" i="1"/>
  <c r="B9533" i="1"/>
  <c r="C9533" i="1"/>
  <c r="D9533" i="1"/>
  <c r="E9533" i="1"/>
  <c r="F9533" i="1"/>
  <c r="H9533" i="1"/>
  <c r="A9534" i="1"/>
  <c r="B9534" i="1"/>
  <c r="C9534" i="1"/>
  <c r="D9534" i="1"/>
  <c r="E9534" i="1"/>
  <c r="F9534" i="1"/>
  <c r="H9534" i="1"/>
  <c r="A9535" i="1"/>
  <c r="B9535" i="1"/>
  <c r="C9535" i="1"/>
  <c r="D9535" i="1"/>
  <c r="E9535" i="1"/>
  <c r="F9535" i="1"/>
  <c r="H9535" i="1"/>
  <c r="A9536" i="1"/>
  <c r="B9536" i="1"/>
  <c r="C9536" i="1"/>
  <c r="D9536" i="1"/>
  <c r="E9536" i="1"/>
  <c r="F9536" i="1"/>
  <c r="H9536" i="1"/>
  <c r="A9537" i="1"/>
  <c r="B9537" i="1"/>
  <c r="C9537" i="1"/>
  <c r="D9537" i="1"/>
  <c r="E9537" i="1"/>
  <c r="F9537" i="1"/>
  <c r="H9537" i="1"/>
  <c r="A9538" i="1"/>
  <c r="B9538" i="1"/>
  <c r="C9538" i="1"/>
  <c r="D9538" i="1"/>
  <c r="E9538" i="1"/>
  <c r="F9538" i="1"/>
  <c r="H9538" i="1"/>
  <c r="A9539" i="1"/>
  <c r="B9539" i="1"/>
  <c r="C9539" i="1"/>
  <c r="D9539" i="1"/>
  <c r="E9539" i="1"/>
  <c r="F9539" i="1"/>
  <c r="H9539" i="1"/>
  <c r="A9540" i="1"/>
  <c r="B9540" i="1"/>
  <c r="C9540" i="1"/>
  <c r="D9540" i="1"/>
  <c r="E9540" i="1"/>
  <c r="F9540" i="1"/>
  <c r="H9540" i="1"/>
  <c r="A9541" i="1"/>
  <c r="B9541" i="1"/>
  <c r="C9541" i="1"/>
  <c r="D9541" i="1"/>
  <c r="E9541" i="1"/>
  <c r="F9541" i="1"/>
  <c r="H9541" i="1"/>
  <c r="A9542" i="1"/>
  <c r="B9542" i="1"/>
  <c r="C9542" i="1"/>
  <c r="D9542" i="1"/>
  <c r="E9542" i="1"/>
  <c r="F9542" i="1"/>
  <c r="H9542" i="1"/>
  <c r="A9543" i="1"/>
  <c r="B9543" i="1"/>
  <c r="C9543" i="1"/>
  <c r="D9543" i="1"/>
  <c r="E9543" i="1"/>
  <c r="F9543" i="1"/>
  <c r="H9543" i="1"/>
  <c r="A9544" i="1"/>
  <c r="B9544" i="1"/>
  <c r="C9544" i="1"/>
  <c r="D9544" i="1"/>
  <c r="E9544" i="1"/>
  <c r="F9544" i="1"/>
  <c r="H9544" i="1"/>
  <c r="A9545" i="1"/>
  <c r="B9545" i="1"/>
  <c r="C9545" i="1"/>
  <c r="D9545" i="1"/>
  <c r="E9545" i="1"/>
  <c r="F9545" i="1"/>
  <c r="H9545" i="1"/>
  <c r="A9546" i="1"/>
  <c r="B9546" i="1"/>
  <c r="C9546" i="1"/>
  <c r="D9546" i="1"/>
  <c r="E9546" i="1"/>
  <c r="F9546" i="1"/>
  <c r="H9546" i="1"/>
  <c r="A9547" i="1"/>
  <c r="B9547" i="1"/>
  <c r="C9547" i="1"/>
  <c r="D9547" i="1"/>
  <c r="E9547" i="1"/>
  <c r="F9547" i="1"/>
  <c r="H9547" i="1"/>
  <c r="A9548" i="1"/>
  <c r="B9548" i="1"/>
  <c r="C9548" i="1"/>
  <c r="D9548" i="1"/>
  <c r="E9548" i="1"/>
  <c r="F9548" i="1"/>
  <c r="H9548" i="1"/>
  <c r="A9549" i="1"/>
  <c r="B9549" i="1"/>
  <c r="C9549" i="1"/>
  <c r="D9549" i="1"/>
  <c r="E9549" i="1"/>
  <c r="F9549" i="1"/>
  <c r="H9549" i="1"/>
  <c r="A9550" i="1"/>
  <c r="B9550" i="1"/>
  <c r="C9550" i="1"/>
  <c r="D9550" i="1"/>
  <c r="E9550" i="1"/>
  <c r="F9550" i="1"/>
  <c r="H9550" i="1"/>
  <c r="A9551" i="1"/>
  <c r="B9551" i="1"/>
  <c r="C9551" i="1"/>
  <c r="D9551" i="1"/>
  <c r="E9551" i="1"/>
  <c r="F9551" i="1"/>
  <c r="H9551" i="1"/>
  <c r="A9552" i="1"/>
  <c r="B9552" i="1"/>
  <c r="C9552" i="1"/>
  <c r="D9552" i="1"/>
  <c r="E9552" i="1"/>
  <c r="F9552" i="1"/>
  <c r="H9552" i="1"/>
  <c r="A9553" i="1"/>
  <c r="B9553" i="1"/>
  <c r="C9553" i="1"/>
  <c r="D9553" i="1"/>
  <c r="E9553" i="1"/>
  <c r="F9553" i="1"/>
  <c r="H9553" i="1"/>
  <c r="A9554" i="1"/>
  <c r="B9554" i="1"/>
  <c r="C9554" i="1"/>
  <c r="D9554" i="1"/>
  <c r="E9554" i="1"/>
  <c r="F9554" i="1"/>
  <c r="H9554" i="1"/>
  <c r="A9555" i="1"/>
  <c r="B9555" i="1"/>
  <c r="C9555" i="1"/>
  <c r="D9555" i="1"/>
  <c r="E9555" i="1"/>
  <c r="F9555" i="1"/>
  <c r="H9555" i="1"/>
  <c r="A9556" i="1"/>
  <c r="B9556" i="1"/>
  <c r="C9556" i="1"/>
  <c r="D9556" i="1"/>
  <c r="E9556" i="1"/>
  <c r="F9556" i="1"/>
  <c r="H9556" i="1"/>
  <c r="A9557" i="1"/>
  <c r="B9557" i="1"/>
  <c r="C9557" i="1"/>
  <c r="D9557" i="1"/>
  <c r="E9557" i="1"/>
  <c r="F9557" i="1"/>
  <c r="H9557" i="1"/>
  <c r="A9558" i="1"/>
  <c r="B9558" i="1"/>
  <c r="C9558" i="1"/>
  <c r="D9558" i="1"/>
  <c r="E9558" i="1"/>
  <c r="F9558" i="1"/>
  <c r="H9558" i="1"/>
  <c r="A9559" i="1"/>
  <c r="B9559" i="1"/>
  <c r="C9559" i="1"/>
  <c r="D9559" i="1"/>
  <c r="E9559" i="1"/>
  <c r="F9559" i="1"/>
  <c r="H9559" i="1"/>
  <c r="A9560" i="1"/>
  <c r="B9560" i="1"/>
  <c r="C9560" i="1"/>
  <c r="D9560" i="1"/>
  <c r="E9560" i="1"/>
  <c r="F9560" i="1"/>
  <c r="H9560" i="1"/>
  <c r="A9561" i="1"/>
  <c r="B9561" i="1"/>
  <c r="C9561" i="1"/>
  <c r="D9561" i="1"/>
  <c r="E9561" i="1"/>
  <c r="F9561" i="1"/>
  <c r="H9561" i="1"/>
  <c r="A9562" i="1"/>
  <c r="B9562" i="1"/>
  <c r="C9562" i="1"/>
  <c r="D9562" i="1"/>
  <c r="E9562" i="1"/>
  <c r="F9562" i="1"/>
  <c r="H9562" i="1"/>
  <c r="A9563" i="1"/>
  <c r="B9563" i="1"/>
  <c r="C9563" i="1"/>
  <c r="D9563" i="1"/>
  <c r="E9563" i="1"/>
  <c r="F9563" i="1"/>
  <c r="H9563" i="1"/>
  <c r="A9564" i="1"/>
  <c r="B9564" i="1"/>
  <c r="C9564" i="1"/>
  <c r="D9564" i="1"/>
  <c r="E9564" i="1"/>
  <c r="F9564" i="1"/>
  <c r="H9564" i="1"/>
  <c r="A9565" i="1"/>
  <c r="B9565" i="1"/>
  <c r="C9565" i="1"/>
  <c r="D9565" i="1"/>
  <c r="E9565" i="1"/>
  <c r="F9565" i="1"/>
  <c r="H9565" i="1"/>
  <c r="A9566" i="1"/>
  <c r="B9566" i="1"/>
  <c r="C9566" i="1"/>
  <c r="D9566" i="1"/>
  <c r="E9566" i="1"/>
  <c r="F9566" i="1"/>
  <c r="H9566" i="1"/>
  <c r="A9567" i="1"/>
  <c r="B9567" i="1"/>
  <c r="C9567" i="1"/>
  <c r="D9567" i="1"/>
  <c r="E9567" i="1"/>
  <c r="F9567" i="1"/>
  <c r="H9567" i="1"/>
  <c r="A9568" i="1"/>
  <c r="B9568" i="1"/>
  <c r="C9568" i="1"/>
  <c r="D9568" i="1"/>
  <c r="E9568" i="1"/>
  <c r="F9568" i="1"/>
  <c r="H9568" i="1"/>
  <c r="A9569" i="1"/>
  <c r="B9569" i="1"/>
  <c r="C9569" i="1"/>
  <c r="D9569" i="1"/>
  <c r="E9569" i="1"/>
  <c r="F9569" i="1"/>
  <c r="H9569" i="1"/>
  <c r="A9570" i="1"/>
  <c r="B9570" i="1"/>
  <c r="C9570" i="1"/>
  <c r="D9570" i="1"/>
  <c r="E9570" i="1"/>
  <c r="F9570" i="1"/>
  <c r="H9570" i="1"/>
  <c r="A9571" i="1"/>
  <c r="B9571" i="1"/>
  <c r="C9571" i="1"/>
  <c r="D9571" i="1"/>
  <c r="E9571" i="1"/>
  <c r="F9571" i="1"/>
  <c r="H9571" i="1"/>
  <c r="A9572" i="1"/>
  <c r="B9572" i="1"/>
  <c r="C9572" i="1"/>
  <c r="D9572" i="1"/>
  <c r="E9572" i="1"/>
  <c r="F9572" i="1"/>
  <c r="H9572" i="1"/>
  <c r="A9573" i="1"/>
  <c r="B9573" i="1"/>
  <c r="C9573" i="1"/>
  <c r="D9573" i="1"/>
  <c r="E9573" i="1"/>
  <c r="F9573" i="1"/>
  <c r="H9573" i="1"/>
  <c r="A9574" i="1"/>
  <c r="B9574" i="1"/>
  <c r="C9574" i="1"/>
  <c r="D9574" i="1"/>
  <c r="E9574" i="1"/>
  <c r="F9574" i="1"/>
  <c r="H9574" i="1"/>
  <c r="A9575" i="1"/>
  <c r="B9575" i="1"/>
  <c r="C9575" i="1"/>
  <c r="D9575" i="1"/>
  <c r="E9575" i="1"/>
  <c r="F9575" i="1"/>
  <c r="H9575" i="1"/>
  <c r="A9576" i="1"/>
  <c r="B9576" i="1"/>
  <c r="C9576" i="1"/>
  <c r="D9576" i="1"/>
  <c r="E9576" i="1"/>
  <c r="F9576" i="1"/>
  <c r="H9576" i="1"/>
  <c r="A9577" i="1"/>
  <c r="B9577" i="1"/>
  <c r="C9577" i="1"/>
  <c r="D9577" i="1"/>
  <c r="E9577" i="1"/>
  <c r="F9577" i="1"/>
  <c r="H9577" i="1"/>
  <c r="A9578" i="1"/>
  <c r="B9578" i="1"/>
  <c r="C9578" i="1"/>
  <c r="D9578" i="1"/>
  <c r="E9578" i="1"/>
  <c r="F9578" i="1"/>
  <c r="H9578" i="1"/>
  <c r="A9579" i="1"/>
  <c r="B9579" i="1"/>
  <c r="C9579" i="1"/>
  <c r="D9579" i="1"/>
  <c r="E9579" i="1"/>
  <c r="F9579" i="1"/>
  <c r="H9579" i="1"/>
  <c r="A9580" i="1"/>
  <c r="B9580" i="1"/>
  <c r="C9580" i="1"/>
  <c r="D9580" i="1"/>
  <c r="E9580" i="1"/>
  <c r="F9580" i="1"/>
  <c r="H9580" i="1"/>
  <c r="A9581" i="1"/>
  <c r="B9581" i="1"/>
  <c r="C9581" i="1"/>
  <c r="D9581" i="1"/>
  <c r="E9581" i="1"/>
  <c r="F9581" i="1"/>
  <c r="H9581" i="1"/>
  <c r="A9582" i="1"/>
  <c r="B9582" i="1"/>
  <c r="C9582" i="1"/>
  <c r="D9582" i="1"/>
  <c r="E9582" i="1"/>
  <c r="F9582" i="1"/>
  <c r="H9582" i="1"/>
  <c r="A9583" i="1"/>
  <c r="B9583" i="1"/>
  <c r="C9583" i="1"/>
  <c r="D9583" i="1"/>
  <c r="E9583" i="1"/>
  <c r="F9583" i="1"/>
  <c r="H9583" i="1"/>
  <c r="A9584" i="1"/>
  <c r="B9584" i="1"/>
  <c r="C9584" i="1"/>
  <c r="D9584" i="1"/>
  <c r="E9584" i="1"/>
  <c r="F9584" i="1"/>
  <c r="H9584" i="1"/>
  <c r="A9585" i="1"/>
  <c r="B9585" i="1"/>
  <c r="C9585" i="1"/>
  <c r="D9585" i="1"/>
  <c r="E9585" i="1"/>
  <c r="F9585" i="1"/>
  <c r="H9585" i="1"/>
  <c r="A9586" i="1"/>
  <c r="B9586" i="1"/>
  <c r="C9586" i="1"/>
  <c r="D9586" i="1"/>
  <c r="E9586" i="1"/>
  <c r="F9586" i="1"/>
  <c r="H9586" i="1"/>
  <c r="A9587" i="1"/>
  <c r="B9587" i="1"/>
  <c r="C9587" i="1"/>
  <c r="D9587" i="1"/>
  <c r="E9587" i="1"/>
  <c r="F9587" i="1"/>
  <c r="H9587" i="1"/>
  <c r="A9588" i="1"/>
  <c r="B9588" i="1"/>
  <c r="C9588" i="1"/>
  <c r="D9588" i="1"/>
  <c r="E9588" i="1"/>
  <c r="F9588" i="1"/>
  <c r="H9588" i="1"/>
  <c r="A9589" i="1"/>
  <c r="B9589" i="1"/>
  <c r="C9589" i="1"/>
  <c r="D9589" i="1"/>
  <c r="E9589" i="1"/>
  <c r="F9589" i="1"/>
  <c r="H9589" i="1"/>
  <c r="A9590" i="1"/>
  <c r="B9590" i="1"/>
  <c r="C9590" i="1"/>
  <c r="D9590" i="1"/>
  <c r="E9590" i="1"/>
  <c r="F9590" i="1"/>
  <c r="H9590" i="1"/>
  <c r="A9591" i="1"/>
  <c r="B9591" i="1"/>
  <c r="C9591" i="1"/>
  <c r="D9591" i="1"/>
  <c r="E9591" i="1"/>
  <c r="F9591" i="1"/>
  <c r="H9591" i="1"/>
  <c r="A9592" i="1"/>
  <c r="B9592" i="1"/>
  <c r="C9592" i="1"/>
  <c r="D9592" i="1"/>
  <c r="E9592" i="1"/>
  <c r="F9592" i="1"/>
  <c r="H9592" i="1"/>
  <c r="A9593" i="1"/>
  <c r="B9593" i="1"/>
  <c r="C9593" i="1"/>
  <c r="D9593" i="1"/>
  <c r="E9593" i="1"/>
  <c r="F9593" i="1"/>
  <c r="H9593" i="1"/>
  <c r="A9594" i="1"/>
  <c r="B9594" i="1"/>
  <c r="C9594" i="1"/>
  <c r="D9594" i="1"/>
  <c r="E9594" i="1"/>
  <c r="F9594" i="1"/>
  <c r="H9594" i="1"/>
  <c r="A9595" i="1"/>
  <c r="B9595" i="1"/>
  <c r="C9595" i="1"/>
  <c r="D9595" i="1"/>
  <c r="E9595" i="1"/>
  <c r="F9595" i="1"/>
  <c r="H9595" i="1"/>
  <c r="A9596" i="1"/>
  <c r="B9596" i="1"/>
  <c r="C9596" i="1"/>
  <c r="D9596" i="1"/>
  <c r="E9596" i="1"/>
  <c r="F9596" i="1"/>
  <c r="H9596" i="1"/>
  <c r="A9597" i="1"/>
  <c r="B9597" i="1"/>
  <c r="C9597" i="1"/>
  <c r="D9597" i="1"/>
  <c r="E9597" i="1"/>
  <c r="F9597" i="1"/>
  <c r="H9597" i="1"/>
  <c r="A9598" i="1"/>
  <c r="B9598" i="1"/>
  <c r="C9598" i="1"/>
  <c r="D9598" i="1"/>
  <c r="E9598" i="1"/>
  <c r="F9598" i="1"/>
  <c r="H9598" i="1"/>
  <c r="A9599" i="1"/>
  <c r="B9599" i="1"/>
  <c r="C9599" i="1"/>
  <c r="D9599" i="1"/>
  <c r="E9599" i="1"/>
  <c r="F9599" i="1"/>
  <c r="H9599" i="1"/>
  <c r="A9600" i="1"/>
  <c r="B9600" i="1"/>
  <c r="C9600" i="1"/>
  <c r="D9600" i="1"/>
  <c r="E9600" i="1"/>
  <c r="F9600" i="1"/>
  <c r="H9600" i="1"/>
  <c r="A9601" i="1"/>
  <c r="B9601" i="1"/>
  <c r="C9601" i="1"/>
  <c r="D9601" i="1"/>
  <c r="E9601" i="1"/>
  <c r="F9601" i="1"/>
  <c r="H9601" i="1"/>
  <c r="A9602" i="1"/>
  <c r="B9602" i="1"/>
  <c r="C9602" i="1"/>
  <c r="D9602" i="1"/>
  <c r="E9602" i="1"/>
  <c r="F9602" i="1"/>
  <c r="H9602" i="1"/>
  <c r="A9603" i="1"/>
  <c r="B9603" i="1"/>
  <c r="C9603" i="1"/>
  <c r="D9603" i="1"/>
  <c r="E9603" i="1"/>
  <c r="F9603" i="1"/>
  <c r="H9603" i="1"/>
  <c r="A9604" i="1"/>
  <c r="B9604" i="1"/>
  <c r="C9604" i="1"/>
  <c r="D9604" i="1"/>
  <c r="E9604" i="1"/>
  <c r="F9604" i="1"/>
  <c r="H9604" i="1"/>
  <c r="A9605" i="1"/>
  <c r="B9605" i="1"/>
  <c r="C9605" i="1"/>
  <c r="D9605" i="1"/>
  <c r="E9605" i="1"/>
  <c r="F9605" i="1"/>
  <c r="H9605" i="1"/>
  <c r="A9606" i="1"/>
  <c r="B9606" i="1"/>
  <c r="C9606" i="1"/>
  <c r="D9606" i="1"/>
  <c r="E9606" i="1"/>
  <c r="F9606" i="1"/>
  <c r="H9606" i="1"/>
  <c r="A9607" i="1"/>
  <c r="B9607" i="1"/>
  <c r="C9607" i="1"/>
  <c r="D9607" i="1"/>
  <c r="E9607" i="1"/>
  <c r="F9607" i="1"/>
  <c r="H9607" i="1"/>
  <c r="A9608" i="1"/>
  <c r="B9608" i="1"/>
  <c r="C9608" i="1"/>
  <c r="D9608" i="1"/>
  <c r="E9608" i="1"/>
  <c r="F9608" i="1"/>
  <c r="H9608" i="1"/>
  <c r="A9609" i="1"/>
  <c r="B9609" i="1"/>
  <c r="C9609" i="1"/>
  <c r="D9609" i="1"/>
  <c r="E9609" i="1"/>
  <c r="F9609" i="1"/>
  <c r="H9609" i="1"/>
  <c r="A9610" i="1"/>
  <c r="B9610" i="1"/>
  <c r="C9610" i="1"/>
  <c r="D9610" i="1"/>
  <c r="E9610" i="1"/>
  <c r="F9610" i="1"/>
  <c r="H9610" i="1"/>
  <c r="A9611" i="1"/>
  <c r="B9611" i="1"/>
  <c r="C9611" i="1"/>
  <c r="D9611" i="1"/>
  <c r="E9611" i="1"/>
  <c r="F9611" i="1"/>
  <c r="H9611" i="1"/>
  <c r="A9612" i="1"/>
  <c r="B9612" i="1"/>
  <c r="C9612" i="1"/>
  <c r="D9612" i="1"/>
  <c r="E9612" i="1"/>
  <c r="F9612" i="1"/>
  <c r="H9612" i="1"/>
  <c r="A9613" i="1"/>
  <c r="B9613" i="1"/>
  <c r="C9613" i="1"/>
  <c r="D9613" i="1"/>
  <c r="E9613" i="1"/>
  <c r="F9613" i="1"/>
  <c r="H9613" i="1"/>
  <c r="A9614" i="1"/>
  <c r="B9614" i="1"/>
  <c r="C9614" i="1"/>
  <c r="D9614" i="1"/>
  <c r="E9614" i="1"/>
  <c r="F9614" i="1"/>
  <c r="H9614" i="1"/>
  <c r="A9615" i="1"/>
  <c r="B9615" i="1"/>
  <c r="C9615" i="1"/>
  <c r="D9615" i="1"/>
  <c r="E9615" i="1"/>
  <c r="F9615" i="1"/>
  <c r="H9615" i="1"/>
  <c r="A9616" i="1"/>
  <c r="B9616" i="1"/>
  <c r="C9616" i="1"/>
  <c r="D9616" i="1"/>
  <c r="E9616" i="1"/>
  <c r="F9616" i="1"/>
  <c r="H9616" i="1"/>
  <c r="A9617" i="1"/>
  <c r="B9617" i="1"/>
  <c r="C9617" i="1"/>
  <c r="D9617" i="1"/>
  <c r="E9617" i="1"/>
  <c r="F9617" i="1"/>
  <c r="H9617" i="1"/>
  <c r="A9618" i="1"/>
  <c r="B9618" i="1"/>
  <c r="C9618" i="1"/>
  <c r="D9618" i="1"/>
  <c r="E9618" i="1"/>
  <c r="F9618" i="1"/>
  <c r="H9618" i="1"/>
  <c r="A9619" i="1"/>
  <c r="B9619" i="1"/>
  <c r="C9619" i="1"/>
  <c r="D9619" i="1"/>
  <c r="E9619" i="1"/>
  <c r="F9619" i="1"/>
  <c r="H9619" i="1"/>
  <c r="A9620" i="1"/>
  <c r="B9620" i="1"/>
  <c r="C9620" i="1"/>
  <c r="D9620" i="1"/>
  <c r="E9620" i="1"/>
  <c r="F9620" i="1"/>
  <c r="H9620" i="1"/>
  <c r="A9621" i="1"/>
  <c r="B9621" i="1"/>
  <c r="C9621" i="1"/>
  <c r="D9621" i="1"/>
  <c r="E9621" i="1"/>
  <c r="F9621" i="1"/>
  <c r="H9621" i="1"/>
  <c r="A9622" i="1"/>
  <c r="B9622" i="1"/>
  <c r="C9622" i="1"/>
  <c r="D9622" i="1"/>
  <c r="E9622" i="1"/>
  <c r="F9622" i="1"/>
  <c r="H9622" i="1"/>
  <c r="A9623" i="1"/>
  <c r="B9623" i="1"/>
  <c r="C9623" i="1"/>
  <c r="D9623" i="1"/>
  <c r="E9623" i="1"/>
  <c r="F9623" i="1"/>
  <c r="H9623" i="1"/>
  <c r="A9624" i="1"/>
  <c r="B9624" i="1"/>
  <c r="C9624" i="1"/>
  <c r="D9624" i="1"/>
  <c r="E9624" i="1"/>
  <c r="F9624" i="1"/>
  <c r="H9624" i="1"/>
  <c r="A9625" i="1"/>
  <c r="B9625" i="1"/>
  <c r="C9625" i="1"/>
  <c r="D9625" i="1"/>
  <c r="E9625" i="1"/>
  <c r="F9625" i="1"/>
  <c r="H9625" i="1"/>
  <c r="A9626" i="1"/>
  <c r="B9626" i="1"/>
  <c r="C9626" i="1"/>
  <c r="D9626" i="1"/>
  <c r="E9626" i="1"/>
  <c r="F9626" i="1"/>
  <c r="H9626" i="1"/>
  <c r="A9627" i="1"/>
  <c r="B9627" i="1"/>
  <c r="C9627" i="1"/>
  <c r="D9627" i="1"/>
  <c r="E9627" i="1"/>
  <c r="F9627" i="1"/>
  <c r="H9627" i="1"/>
  <c r="A9628" i="1"/>
  <c r="B9628" i="1"/>
  <c r="C9628" i="1"/>
  <c r="D9628" i="1"/>
  <c r="E9628" i="1"/>
  <c r="F9628" i="1"/>
  <c r="H9628" i="1"/>
  <c r="A9629" i="1"/>
  <c r="B9629" i="1"/>
  <c r="C9629" i="1"/>
  <c r="D9629" i="1"/>
  <c r="E9629" i="1"/>
  <c r="F9629" i="1"/>
  <c r="H9629" i="1"/>
  <c r="A9630" i="1"/>
  <c r="B9630" i="1"/>
  <c r="C9630" i="1"/>
  <c r="D9630" i="1"/>
  <c r="E9630" i="1"/>
  <c r="F9630" i="1"/>
  <c r="H9630" i="1"/>
  <c r="A9631" i="1"/>
  <c r="B9631" i="1"/>
  <c r="C9631" i="1"/>
  <c r="D9631" i="1"/>
  <c r="E9631" i="1"/>
  <c r="F9631" i="1"/>
  <c r="H9631" i="1"/>
  <c r="A9632" i="1"/>
  <c r="B9632" i="1"/>
  <c r="C9632" i="1"/>
  <c r="D9632" i="1"/>
  <c r="E9632" i="1"/>
  <c r="F9632" i="1"/>
  <c r="H9632" i="1"/>
  <c r="A9633" i="1"/>
  <c r="B9633" i="1"/>
  <c r="C9633" i="1"/>
  <c r="D9633" i="1"/>
  <c r="E9633" i="1"/>
  <c r="F9633" i="1"/>
  <c r="H9633" i="1"/>
  <c r="A9634" i="1"/>
  <c r="B9634" i="1"/>
  <c r="C9634" i="1"/>
  <c r="D9634" i="1"/>
  <c r="E9634" i="1"/>
  <c r="F9634" i="1"/>
  <c r="H9634" i="1"/>
  <c r="A9635" i="1"/>
  <c r="B9635" i="1"/>
  <c r="C9635" i="1"/>
  <c r="D9635" i="1"/>
  <c r="E9635" i="1"/>
  <c r="F9635" i="1"/>
  <c r="H9635" i="1"/>
  <c r="A9636" i="1"/>
  <c r="B9636" i="1"/>
  <c r="C9636" i="1"/>
  <c r="D9636" i="1"/>
  <c r="E9636" i="1"/>
  <c r="F9636" i="1"/>
  <c r="H9636" i="1"/>
  <c r="A9637" i="1"/>
  <c r="B9637" i="1"/>
  <c r="C9637" i="1"/>
  <c r="D9637" i="1"/>
  <c r="E9637" i="1"/>
  <c r="F9637" i="1"/>
  <c r="H9637" i="1"/>
  <c r="A9638" i="1"/>
  <c r="B9638" i="1"/>
  <c r="C9638" i="1"/>
  <c r="D9638" i="1"/>
  <c r="E9638" i="1"/>
  <c r="F9638" i="1"/>
  <c r="H9638" i="1"/>
  <c r="A9639" i="1"/>
  <c r="B9639" i="1"/>
  <c r="C9639" i="1"/>
  <c r="D9639" i="1"/>
  <c r="E9639" i="1"/>
  <c r="F9639" i="1"/>
  <c r="H9639" i="1"/>
  <c r="A9640" i="1"/>
  <c r="B9640" i="1"/>
  <c r="C9640" i="1"/>
  <c r="D9640" i="1"/>
  <c r="E9640" i="1"/>
  <c r="F9640" i="1"/>
  <c r="H9640" i="1"/>
  <c r="A9641" i="1"/>
  <c r="B9641" i="1"/>
  <c r="C9641" i="1"/>
  <c r="D9641" i="1"/>
  <c r="E9641" i="1"/>
  <c r="F9641" i="1"/>
  <c r="H9641" i="1"/>
  <c r="A9642" i="1"/>
  <c r="B9642" i="1"/>
  <c r="C9642" i="1"/>
  <c r="D9642" i="1"/>
  <c r="E9642" i="1"/>
  <c r="F9642" i="1"/>
  <c r="H9642" i="1"/>
  <c r="A9643" i="1"/>
  <c r="B9643" i="1"/>
  <c r="C9643" i="1"/>
  <c r="D9643" i="1"/>
  <c r="E9643" i="1"/>
  <c r="F9643" i="1"/>
  <c r="H9643" i="1"/>
  <c r="A9644" i="1"/>
  <c r="B9644" i="1"/>
  <c r="C9644" i="1"/>
  <c r="D9644" i="1"/>
  <c r="E9644" i="1"/>
  <c r="F9644" i="1"/>
  <c r="H9644" i="1"/>
  <c r="A9645" i="1"/>
  <c r="B9645" i="1"/>
  <c r="C9645" i="1"/>
  <c r="D9645" i="1"/>
  <c r="E9645" i="1"/>
  <c r="F9645" i="1"/>
  <c r="H9645" i="1"/>
  <c r="A9646" i="1"/>
  <c r="B9646" i="1"/>
  <c r="C9646" i="1"/>
  <c r="D9646" i="1"/>
  <c r="E9646" i="1"/>
  <c r="F9646" i="1"/>
  <c r="H9646" i="1"/>
  <c r="A9647" i="1"/>
  <c r="B9647" i="1"/>
  <c r="C9647" i="1"/>
  <c r="D9647" i="1"/>
  <c r="E9647" i="1"/>
  <c r="F9647" i="1"/>
  <c r="H9647" i="1"/>
  <c r="A9648" i="1"/>
  <c r="B9648" i="1"/>
  <c r="C9648" i="1"/>
  <c r="D9648" i="1"/>
  <c r="E9648" i="1"/>
  <c r="F9648" i="1"/>
  <c r="H9648" i="1"/>
  <c r="A9649" i="1"/>
  <c r="B9649" i="1"/>
  <c r="C9649" i="1"/>
  <c r="D9649" i="1"/>
  <c r="E9649" i="1"/>
  <c r="F9649" i="1"/>
  <c r="H9649" i="1"/>
  <c r="A9650" i="1"/>
  <c r="B9650" i="1"/>
  <c r="C9650" i="1"/>
  <c r="D9650" i="1"/>
  <c r="E9650" i="1"/>
  <c r="F9650" i="1"/>
  <c r="H9650" i="1"/>
  <c r="A9651" i="1"/>
  <c r="B9651" i="1"/>
  <c r="C9651" i="1"/>
  <c r="D9651" i="1"/>
  <c r="E9651" i="1"/>
  <c r="F9651" i="1"/>
  <c r="H9651" i="1"/>
  <c r="A9652" i="1"/>
  <c r="B9652" i="1"/>
  <c r="C9652" i="1"/>
  <c r="D9652" i="1"/>
  <c r="E9652" i="1"/>
  <c r="F9652" i="1"/>
  <c r="H9652" i="1"/>
  <c r="A9653" i="1"/>
  <c r="B9653" i="1"/>
  <c r="C9653" i="1"/>
  <c r="D9653" i="1"/>
  <c r="E9653" i="1"/>
  <c r="F9653" i="1"/>
  <c r="H9653" i="1"/>
  <c r="A9654" i="1"/>
  <c r="B9654" i="1"/>
  <c r="C9654" i="1"/>
  <c r="D9654" i="1"/>
  <c r="E9654" i="1"/>
  <c r="F9654" i="1"/>
  <c r="H9654" i="1"/>
  <c r="A9655" i="1"/>
  <c r="B9655" i="1"/>
  <c r="C9655" i="1"/>
  <c r="D9655" i="1"/>
  <c r="E9655" i="1"/>
  <c r="F9655" i="1"/>
  <c r="H9655" i="1"/>
  <c r="A9656" i="1"/>
  <c r="B9656" i="1"/>
  <c r="C9656" i="1"/>
  <c r="D9656" i="1"/>
  <c r="E9656" i="1"/>
  <c r="F9656" i="1"/>
  <c r="H9656" i="1"/>
  <c r="A9657" i="1"/>
  <c r="B9657" i="1"/>
  <c r="C9657" i="1"/>
  <c r="D9657" i="1"/>
  <c r="E9657" i="1"/>
  <c r="F9657" i="1"/>
  <c r="H9657" i="1"/>
  <c r="A9658" i="1"/>
  <c r="B9658" i="1"/>
  <c r="C9658" i="1"/>
  <c r="D9658" i="1"/>
  <c r="E9658" i="1"/>
  <c r="F9658" i="1"/>
  <c r="H9658" i="1"/>
  <c r="A9659" i="1"/>
  <c r="B9659" i="1"/>
  <c r="C9659" i="1"/>
  <c r="D9659" i="1"/>
  <c r="E9659" i="1"/>
  <c r="F9659" i="1"/>
  <c r="H9659" i="1"/>
  <c r="A9660" i="1"/>
  <c r="B9660" i="1"/>
  <c r="C9660" i="1"/>
  <c r="D9660" i="1"/>
  <c r="E9660" i="1"/>
  <c r="F9660" i="1"/>
  <c r="H9660" i="1"/>
  <c r="A9661" i="1"/>
  <c r="B9661" i="1"/>
  <c r="C9661" i="1"/>
  <c r="D9661" i="1"/>
  <c r="E9661" i="1"/>
  <c r="F9661" i="1"/>
  <c r="H9661" i="1"/>
  <c r="A9662" i="1"/>
  <c r="B9662" i="1"/>
  <c r="C9662" i="1"/>
  <c r="D9662" i="1"/>
  <c r="E9662" i="1"/>
  <c r="F9662" i="1"/>
  <c r="H9662" i="1"/>
  <c r="A9663" i="1"/>
  <c r="B9663" i="1"/>
  <c r="C9663" i="1"/>
  <c r="D9663" i="1"/>
  <c r="E9663" i="1"/>
  <c r="F9663" i="1"/>
  <c r="H9663" i="1"/>
  <c r="A9664" i="1"/>
  <c r="B9664" i="1"/>
  <c r="C9664" i="1"/>
  <c r="D9664" i="1"/>
  <c r="E9664" i="1"/>
  <c r="F9664" i="1"/>
  <c r="H9664" i="1"/>
  <c r="A9665" i="1"/>
  <c r="B9665" i="1"/>
  <c r="C9665" i="1"/>
  <c r="D9665" i="1"/>
  <c r="E9665" i="1"/>
  <c r="F9665" i="1"/>
  <c r="H9665" i="1"/>
  <c r="A9666" i="1"/>
  <c r="B9666" i="1"/>
  <c r="C9666" i="1"/>
  <c r="D9666" i="1"/>
  <c r="E9666" i="1"/>
  <c r="F9666" i="1"/>
  <c r="H9666" i="1"/>
  <c r="A9667" i="1"/>
  <c r="B9667" i="1"/>
  <c r="C9667" i="1"/>
  <c r="D9667" i="1"/>
  <c r="E9667" i="1"/>
  <c r="F9667" i="1"/>
  <c r="H9667" i="1"/>
  <c r="A9668" i="1"/>
  <c r="B9668" i="1"/>
  <c r="C9668" i="1"/>
  <c r="D9668" i="1"/>
  <c r="E9668" i="1"/>
  <c r="F9668" i="1"/>
  <c r="H9668" i="1"/>
  <c r="A9669" i="1"/>
  <c r="B9669" i="1"/>
  <c r="C9669" i="1"/>
  <c r="D9669" i="1"/>
  <c r="E9669" i="1"/>
  <c r="F9669" i="1"/>
  <c r="H9669" i="1"/>
  <c r="A9670" i="1"/>
  <c r="B9670" i="1"/>
  <c r="C9670" i="1"/>
  <c r="D9670" i="1"/>
  <c r="E9670" i="1"/>
  <c r="F9670" i="1"/>
  <c r="H9670" i="1"/>
  <c r="A9671" i="1"/>
  <c r="B9671" i="1"/>
  <c r="C9671" i="1"/>
  <c r="D9671" i="1"/>
  <c r="E9671" i="1"/>
  <c r="F9671" i="1"/>
  <c r="H9671" i="1"/>
  <c r="A9672" i="1"/>
  <c r="B9672" i="1"/>
  <c r="C9672" i="1"/>
  <c r="D9672" i="1"/>
  <c r="E9672" i="1"/>
  <c r="F9672" i="1"/>
  <c r="H9672" i="1"/>
  <c r="A9673" i="1"/>
  <c r="B9673" i="1"/>
  <c r="C9673" i="1"/>
  <c r="D9673" i="1"/>
  <c r="E9673" i="1"/>
  <c r="F9673" i="1"/>
  <c r="H9673" i="1"/>
  <c r="A9674" i="1"/>
  <c r="B9674" i="1"/>
  <c r="C9674" i="1"/>
  <c r="D9674" i="1"/>
  <c r="E9674" i="1"/>
  <c r="F9674" i="1"/>
  <c r="H9674" i="1"/>
  <c r="A9675" i="1"/>
  <c r="B9675" i="1"/>
  <c r="C9675" i="1"/>
  <c r="D9675" i="1"/>
  <c r="E9675" i="1"/>
  <c r="F9675" i="1"/>
  <c r="H9675" i="1"/>
  <c r="A9676" i="1"/>
  <c r="B9676" i="1"/>
  <c r="C9676" i="1"/>
  <c r="D9676" i="1"/>
  <c r="E9676" i="1"/>
  <c r="F9676" i="1"/>
  <c r="H9676" i="1"/>
  <c r="A9677" i="1"/>
  <c r="B9677" i="1"/>
  <c r="C9677" i="1"/>
  <c r="D9677" i="1"/>
  <c r="E9677" i="1"/>
  <c r="F9677" i="1"/>
  <c r="H9677" i="1"/>
  <c r="A9678" i="1"/>
  <c r="B9678" i="1"/>
  <c r="C9678" i="1"/>
  <c r="D9678" i="1"/>
  <c r="E9678" i="1"/>
  <c r="F9678" i="1"/>
  <c r="H9678" i="1"/>
  <c r="A9679" i="1"/>
  <c r="B9679" i="1"/>
  <c r="C9679" i="1"/>
  <c r="D9679" i="1"/>
  <c r="E9679" i="1"/>
  <c r="F9679" i="1"/>
  <c r="H9679" i="1"/>
  <c r="A9680" i="1"/>
  <c r="B9680" i="1"/>
  <c r="C9680" i="1"/>
  <c r="D9680" i="1"/>
  <c r="E9680" i="1"/>
  <c r="F9680" i="1"/>
  <c r="H9680" i="1"/>
  <c r="A9681" i="1"/>
  <c r="B9681" i="1"/>
  <c r="C9681" i="1"/>
  <c r="D9681" i="1"/>
  <c r="E9681" i="1"/>
  <c r="F9681" i="1"/>
  <c r="H9681" i="1"/>
  <c r="A9682" i="1"/>
  <c r="B9682" i="1"/>
  <c r="C9682" i="1"/>
  <c r="D9682" i="1"/>
  <c r="E9682" i="1"/>
  <c r="F9682" i="1"/>
  <c r="H9682" i="1"/>
  <c r="A9683" i="1"/>
  <c r="B9683" i="1"/>
  <c r="C9683" i="1"/>
  <c r="D9683" i="1"/>
  <c r="E9683" i="1"/>
  <c r="F9683" i="1"/>
  <c r="H9683" i="1"/>
  <c r="A9684" i="1"/>
  <c r="B9684" i="1"/>
  <c r="C9684" i="1"/>
  <c r="D9684" i="1"/>
  <c r="E9684" i="1"/>
  <c r="F9684" i="1"/>
  <c r="H9684" i="1"/>
  <c r="A9685" i="1"/>
  <c r="B9685" i="1"/>
  <c r="C9685" i="1"/>
  <c r="D9685" i="1"/>
  <c r="E9685" i="1"/>
  <c r="F9685" i="1"/>
  <c r="H9685" i="1"/>
  <c r="A9686" i="1"/>
  <c r="B9686" i="1"/>
  <c r="C9686" i="1"/>
  <c r="D9686" i="1"/>
  <c r="E9686" i="1"/>
  <c r="F9686" i="1"/>
  <c r="H9686" i="1"/>
  <c r="A9687" i="1"/>
  <c r="B9687" i="1"/>
  <c r="C9687" i="1"/>
  <c r="D9687" i="1"/>
  <c r="E9687" i="1"/>
  <c r="F9687" i="1"/>
  <c r="H9687" i="1"/>
  <c r="A9688" i="1"/>
  <c r="B9688" i="1"/>
  <c r="C9688" i="1"/>
  <c r="D9688" i="1"/>
  <c r="E9688" i="1"/>
  <c r="F9688" i="1"/>
  <c r="H9688" i="1"/>
  <c r="A9689" i="1"/>
  <c r="B9689" i="1"/>
  <c r="C9689" i="1"/>
  <c r="D9689" i="1"/>
  <c r="E9689" i="1"/>
  <c r="F9689" i="1"/>
  <c r="H9689" i="1"/>
  <c r="A9690" i="1"/>
  <c r="B9690" i="1"/>
  <c r="C9690" i="1"/>
  <c r="D9690" i="1"/>
  <c r="E9690" i="1"/>
  <c r="F9690" i="1"/>
  <c r="H9690" i="1"/>
  <c r="A9691" i="1"/>
  <c r="B9691" i="1"/>
  <c r="C9691" i="1"/>
  <c r="D9691" i="1"/>
  <c r="E9691" i="1"/>
  <c r="F9691" i="1"/>
  <c r="H9691" i="1"/>
  <c r="A9692" i="1"/>
  <c r="B9692" i="1"/>
  <c r="C9692" i="1"/>
  <c r="D9692" i="1"/>
  <c r="E9692" i="1"/>
  <c r="F9692" i="1"/>
  <c r="H9692" i="1"/>
  <c r="A9693" i="1"/>
  <c r="B9693" i="1"/>
  <c r="C9693" i="1"/>
  <c r="D9693" i="1"/>
  <c r="E9693" i="1"/>
  <c r="F9693" i="1"/>
  <c r="H9693" i="1"/>
  <c r="A9694" i="1"/>
  <c r="B9694" i="1"/>
  <c r="C9694" i="1"/>
  <c r="D9694" i="1"/>
  <c r="E9694" i="1"/>
  <c r="F9694" i="1"/>
  <c r="H9694" i="1"/>
  <c r="A9695" i="1"/>
  <c r="B9695" i="1"/>
  <c r="C9695" i="1"/>
  <c r="D9695" i="1"/>
  <c r="E9695" i="1"/>
  <c r="F9695" i="1"/>
  <c r="H9695" i="1"/>
  <c r="A9696" i="1"/>
  <c r="B9696" i="1"/>
  <c r="C9696" i="1"/>
  <c r="D9696" i="1"/>
  <c r="E9696" i="1"/>
  <c r="F9696" i="1"/>
  <c r="H9696" i="1"/>
  <c r="A9697" i="1"/>
  <c r="B9697" i="1"/>
  <c r="C9697" i="1"/>
  <c r="D9697" i="1"/>
  <c r="E9697" i="1"/>
  <c r="F9697" i="1"/>
  <c r="H9697" i="1"/>
  <c r="A9698" i="1"/>
  <c r="B9698" i="1"/>
  <c r="C9698" i="1"/>
  <c r="D9698" i="1"/>
  <c r="E9698" i="1"/>
  <c r="F9698" i="1"/>
  <c r="H9698" i="1"/>
  <c r="A9699" i="1"/>
  <c r="B9699" i="1"/>
  <c r="C9699" i="1"/>
  <c r="D9699" i="1"/>
  <c r="E9699" i="1"/>
  <c r="F9699" i="1"/>
  <c r="H9699" i="1"/>
  <c r="A9700" i="1"/>
  <c r="B9700" i="1"/>
  <c r="C9700" i="1"/>
  <c r="D9700" i="1"/>
  <c r="E9700" i="1"/>
  <c r="F9700" i="1"/>
  <c r="H9700" i="1"/>
  <c r="A9701" i="1"/>
  <c r="B9701" i="1"/>
  <c r="C9701" i="1"/>
  <c r="D9701" i="1"/>
  <c r="E9701" i="1"/>
  <c r="F9701" i="1"/>
  <c r="H9701" i="1"/>
  <c r="A9702" i="1"/>
  <c r="B9702" i="1"/>
  <c r="C9702" i="1"/>
  <c r="D9702" i="1"/>
  <c r="E9702" i="1"/>
  <c r="F9702" i="1"/>
  <c r="H9702" i="1"/>
  <c r="A9703" i="1"/>
  <c r="B9703" i="1"/>
  <c r="C9703" i="1"/>
  <c r="D9703" i="1"/>
  <c r="E9703" i="1"/>
  <c r="F9703" i="1"/>
  <c r="H9703" i="1"/>
  <c r="A9704" i="1"/>
  <c r="B9704" i="1"/>
  <c r="C9704" i="1"/>
  <c r="D9704" i="1"/>
  <c r="E9704" i="1"/>
  <c r="F9704" i="1"/>
  <c r="H9704" i="1"/>
  <c r="A9705" i="1"/>
  <c r="B9705" i="1"/>
  <c r="C9705" i="1"/>
  <c r="D9705" i="1"/>
  <c r="E9705" i="1"/>
  <c r="F9705" i="1"/>
  <c r="H9705" i="1"/>
  <c r="A9706" i="1"/>
  <c r="B9706" i="1"/>
  <c r="C9706" i="1"/>
  <c r="D9706" i="1"/>
  <c r="E9706" i="1"/>
  <c r="F9706" i="1"/>
  <c r="H9706" i="1"/>
  <c r="A9707" i="1"/>
  <c r="B9707" i="1"/>
  <c r="C9707" i="1"/>
  <c r="D9707" i="1"/>
  <c r="E9707" i="1"/>
  <c r="F9707" i="1"/>
  <c r="H9707" i="1"/>
  <c r="A9708" i="1"/>
  <c r="B9708" i="1"/>
  <c r="C9708" i="1"/>
  <c r="D9708" i="1"/>
  <c r="E9708" i="1"/>
  <c r="F9708" i="1"/>
  <c r="H9708" i="1"/>
  <c r="A9709" i="1"/>
  <c r="B9709" i="1"/>
  <c r="C9709" i="1"/>
  <c r="D9709" i="1"/>
  <c r="E9709" i="1"/>
  <c r="F9709" i="1"/>
  <c r="H9709" i="1"/>
  <c r="A9710" i="1"/>
  <c r="B9710" i="1"/>
  <c r="C9710" i="1"/>
  <c r="D9710" i="1"/>
  <c r="E9710" i="1"/>
  <c r="F9710" i="1"/>
  <c r="H9710" i="1"/>
  <c r="A9711" i="1"/>
  <c r="B9711" i="1"/>
  <c r="C9711" i="1"/>
  <c r="D9711" i="1"/>
  <c r="E9711" i="1"/>
  <c r="F9711" i="1"/>
  <c r="H9711" i="1"/>
  <c r="A9712" i="1"/>
  <c r="B9712" i="1"/>
  <c r="C9712" i="1"/>
  <c r="D9712" i="1"/>
  <c r="E9712" i="1"/>
  <c r="F9712" i="1"/>
  <c r="H9712" i="1"/>
  <c r="A9713" i="1"/>
  <c r="B9713" i="1"/>
  <c r="C9713" i="1"/>
  <c r="D9713" i="1"/>
  <c r="E9713" i="1"/>
  <c r="F9713" i="1"/>
  <c r="H9713" i="1"/>
  <c r="A9714" i="1"/>
  <c r="B9714" i="1"/>
  <c r="C9714" i="1"/>
  <c r="D9714" i="1"/>
  <c r="E9714" i="1"/>
  <c r="F9714" i="1"/>
  <c r="H9714" i="1"/>
  <c r="A9715" i="1"/>
  <c r="B9715" i="1"/>
  <c r="C9715" i="1"/>
  <c r="D9715" i="1"/>
  <c r="E9715" i="1"/>
  <c r="F9715" i="1"/>
  <c r="H9715" i="1"/>
  <c r="A9716" i="1"/>
  <c r="B9716" i="1"/>
  <c r="C9716" i="1"/>
  <c r="D9716" i="1"/>
  <c r="E9716" i="1"/>
  <c r="F9716" i="1"/>
  <c r="H9716" i="1"/>
  <c r="A9717" i="1"/>
  <c r="B9717" i="1"/>
  <c r="C9717" i="1"/>
  <c r="D9717" i="1"/>
  <c r="E9717" i="1"/>
  <c r="F9717" i="1"/>
  <c r="H9717" i="1"/>
  <c r="A9718" i="1"/>
  <c r="B9718" i="1"/>
  <c r="C9718" i="1"/>
  <c r="D9718" i="1"/>
  <c r="E9718" i="1"/>
  <c r="F9718" i="1"/>
  <c r="H9718" i="1"/>
  <c r="A9719" i="1"/>
  <c r="B9719" i="1"/>
  <c r="C9719" i="1"/>
  <c r="D9719" i="1"/>
  <c r="E9719" i="1"/>
  <c r="F9719" i="1"/>
  <c r="H9719" i="1"/>
  <c r="A9720" i="1"/>
  <c r="B9720" i="1"/>
  <c r="C9720" i="1"/>
  <c r="D9720" i="1"/>
  <c r="E9720" i="1"/>
  <c r="F9720" i="1"/>
  <c r="H9720" i="1"/>
  <c r="A9721" i="1"/>
  <c r="B9721" i="1"/>
  <c r="C9721" i="1"/>
  <c r="D9721" i="1"/>
  <c r="E9721" i="1"/>
  <c r="F9721" i="1"/>
  <c r="H9721" i="1"/>
  <c r="A9722" i="1"/>
  <c r="B9722" i="1"/>
  <c r="C9722" i="1"/>
  <c r="D9722" i="1"/>
  <c r="E9722" i="1"/>
  <c r="F9722" i="1"/>
  <c r="H9722" i="1"/>
  <c r="A9723" i="1"/>
  <c r="B9723" i="1"/>
  <c r="C9723" i="1"/>
  <c r="D9723" i="1"/>
  <c r="E9723" i="1"/>
  <c r="F9723" i="1"/>
  <c r="H9723" i="1"/>
  <c r="A9724" i="1"/>
  <c r="B9724" i="1"/>
  <c r="C9724" i="1"/>
  <c r="D9724" i="1"/>
  <c r="E9724" i="1"/>
  <c r="F9724" i="1"/>
  <c r="H9724" i="1"/>
  <c r="A9725" i="1"/>
  <c r="B9725" i="1"/>
  <c r="C9725" i="1"/>
  <c r="D9725" i="1"/>
  <c r="E9725" i="1"/>
  <c r="F9725" i="1"/>
  <c r="H9725" i="1"/>
  <c r="A9726" i="1"/>
  <c r="B9726" i="1"/>
  <c r="C9726" i="1"/>
  <c r="D9726" i="1"/>
  <c r="E9726" i="1"/>
  <c r="F9726" i="1"/>
  <c r="H9726" i="1"/>
  <c r="A9727" i="1"/>
  <c r="B9727" i="1"/>
  <c r="C9727" i="1"/>
  <c r="D9727" i="1"/>
  <c r="E9727" i="1"/>
  <c r="F9727" i="1"/>
  <c r="H9727" i="1"/>
  <c r="A9728" i="1"/>
  <c r="B9728" i="1"/>
  <c r="C9728" i="1"/>
  <c r="D9728" i="1"/>
  <c r="E9728" i="1"/>
  <c r="F9728" i="1"/>
  <c r="H9728" i="1"/>
  <c r="A9729" i="1"/>
  <c r="B9729" i="1"/>
  <c r="C9729" i="1"/>
  <c r="D9729" i="1"/>
  <c r="E9729" i="1"/>
  <c r="F9729" i="1"/>
  <c r="H9729" i="1"/>
  <c r="A9730" i="1"/>
  <c r="B9730" i="1"/>
  <c r="C9730" i="1"/>
  <c r="D9730" i="1"/>
  <c r="E9730" i="1"/>
  <c r="F9730" i="1"/>
  <c r="H9730" i="1"/>
  <c r="A9731" i="1"/>
  <c r="B9731" i="1"/>
  <c r="C9731" i="1"/>
  <c r="D9731" i="1"/>
  <c r="E9731" i="1"/>
  <c r="F9731" i="1"/>
  <c r="H9731" i="1"/>
  <c r="A9732" i="1"/>
  <c r="B9732" i="1"/>
  <c r="C9732" i="1"/>
  <c r="D9732" i="1"/>
  <c r="E9732" i="1"/>
  <c r="F9732" i="1"/>
  <c r="H9732" i="1"/>
  <c r="A9733" i="1"/>
  <c r="B9733" i="1"/>
  <c r="C9733" i="1"/>
  <c r="D9733" i="1"/>
  <c r="E9733" i="1"/>
  <c r="F9733" i="1"/>
  <c r="H9733" i="1"/>
  <c r="A9734" i="1"/>
  <c r="B9734" i="1"/>
  <c r="C9734" i="1"/>
  <c r="D9734" i="1"/>
  <c r="E9734" i="1"/>
  <c r="F9734" i="1"/>
  <c r="H9734" i="1"/>
  <c r="A9735" i="1"/>
  <c r="B9735" i="1"/>
  <c r="C9735" i="1"/>
  <c r="D9735" i="1"/>
  <c r="E9735" i="1"/>
  <c r="F9735" i="1"/>
  <c r="H9735" i="1"/>
  <c r="A9736" i="1"/>
  <c r="B9736" i="1"/>
  <c r="C9736" i="1"/>
  <c r="D9736" i="1"/>
  <c r="E9736" i="1"/>
  <c r="F9736" i="1"/>
  <c r="H9736" i="1"/>
  <c r="A9737" i="1"/>
  <c r="B9737" i="1"/>
  <c r="C9737" i="1"/>
  <c r="D9737" i="1"/>
  <c r="E9737" i="1"/>
  <c r="F9737" i="1"/>
  <c r="H9737" i="1"/>
  <c r="A9738" i="1"/>
  <c r="B9738" i="1"/>
  <c r="C9738" i="1"/>
  <c r="D9738" i="1"/>
  <c r="E9738" i="1"/>
  <c r="F9738" i="1"/>
  <c r="H9738" i="1"/>
  <c r="A9739" i="1"/>
  <c r="B9739" i="1"/>
  <c r="C9739" i="1"/>
  <c r="D9739" i="1"/>
  <c r="E9739" i="1"/>
  <c r="F9739" i="1"/>
  <c r="H9739" i="1"/>
  <c r="A9740" i="1"/>
  <c r="B9740" i="1"/>
  <c r="C9740" i="1"/>
  <c r="D9740" i="1"/>
  <c r="E9740" i="1"/>
  <c r="F9740" i="1"/>
  <c r="H9740" i="1"/>
  <c r="A9741" i="1"/>
  <c r="B9741" i="1"/>
  <c r="C9741" i="1"/>
  <c r="D9741" i="1"/>
  <c r="E9741" i="1"/>
  <c r="F9741" i="1"/>
  <c r="H9741" i="1"/>
  <c r="A9742" i="1"/>
  <c r="B9742" i="1"/>
  <c r="C9742" i="1"/>
  <c r="D9742" i="1"/>
  <c r="E9742" i="1"/>
  <c r="F9742" i="1"/>
  <c r="H9742" i="1"/>
  <c r="A9743" i="1"/>
  <c r="B9743" i="1"/>
  <c r="C9743" i="1"/>
  <c r="D9743" i="1"/>
  <c r="E9743" i="1"/>
  <c r="F9743" i="1"/>
  <c r="H9743" i="1"/>
  <c r="A9744" i="1"/>
  <c r="B9744" i="1"/>
  <c r="C9744" i="1"/>
  <c r="D9744" i="1"/>
  <c r="E9744" i="1"/>
  <c r="F9744" i="1"/>
  <c r="H9744" i="1"/>
  <c r="A9745" i="1"/>
  <c r="B9745" i="1"/>
  <c r="C9745" i="1"/>
  <c r="D9745" i="1"/>
  <c r="E9745" i="1"/>
  <c r="F9745" i="1"/>
  <c r="H9745" i="1"/>
  <c r="A9746" i="1"/>
  <c r="B9746" i="1"/>
  <c r="C9746" i="1"/>
  <c r="D9746" i="1"/>
  <c r="E9746" i="1"/>
  <c r="F9746" i="1"/>
  <c r="H9746" i="1"/>
  <c r="A9747" i="1"/>
  <c r="B9747" i="1"/>
  <c r="C9747" i="1"/>
  <c r="D9747" i="1"/>
  <c r="E9747" i="1"/>
  <c r="F9747" i="1"/>
  <c r="H9747" i="1"/>
  <c r="A9748" i="1"/>
  <c r="B9748" i="1"/>
  <c r="C9748" i="1"/>
  <c r="D9748" i="1"/>
  <c r="E9748" i="1"/>
  <c r="F9748" i="1"/>
  <c r="H9748" i="1"/>
  <c r="A9749" i="1"/>
  <c r="B9749" i="1"/>
  <c r="C9749" i="1"/>
  <c r="D9749" i="1"/>
  <c r="E9749" i="1"/>
  <c r="F9749" i="1"/>
  <c r="H9749" i="1"/>
  <c r="A9750" i="1"/>
  <c r="B9750" i="1"/>
  <c r="C9750" i="1"/>
  <c r="D9750" i="1"/>
  <c r="E9750" i="1"/>
  <c r="F9750" i="1"/>
  <c r="H9750" i="1"/>
  <c r="A9751" i="1"/>
  <c r="B9751" i="1"/>
  <c r="C9751" i="1"/>
  <c r="D9751" i="1"/>
  <c r="E9751" i="1"/>
  <c r="F9751" i="1"/>
  <c r="H9751" i="1"/>
  <c r="A9752" i="1"/>
  <c r="B9752" i="1"/>
  <c r="C9752" i="1"/>
  <c r="D9752" i="1"/>
  <c r="E9752" i="1"/>
  <c r="F9752" i="1"/>
  <c r="H9752" i="1"/>
  <c r="A9753" i="1"/>
  <c r="B9753" i="1"/>
  <c r="C9753" i="1"/>
  <c r="D9753" i="1"/>
  <c r="E9753" i="1"/>
  <c r="F9753" i="1"/>
  <c r="H9753" i="1"/>
  <c r="A9754" i="1"/>
  <c r="B9754" i="1"/>
  <c r="C9754" i="1"/>
  <c r="D9754" i="1"/>
  <c r="E9754" i="1"/>
  <c r="F9754" i="1"/>
  <c r="H9754" i="1"/>
  <c r="A9755" i="1"/>
  <c r="B9755" i="1"/>
  <c r="C9755" i="1"/>
  <c r="D9755" i="1"/>
  <c r="E9755" i="1"/>
  <c r="F9755" i="1"/>
  <c r="H9755" i="1"/>
  <c r="A9756" i="1"/>
  <c r="B9756" i="1"/>
  <c r="C9756" i="1"/>
  <c r="D9756" i="1"/>
  <c r="E9756" i="1"/>
  <c r="F9756" i="1"/>
  <c r="H9756" i="1"/>
  <c r="A9757" i="1"/>
  <c r="B9757" i="1"/>
  <c r="C9757" i="1"/>
  <c r="D9757" i="1"/>
  <c r="E9757" i="1"/>
  <c r="F9757" i="1"/>
  <c r="H9757" i="1"/>
  <c r="A9758" i="1"/>
  <c r="B9758" i="1"/>
  <c r="C9758" i="1"/>
  <c r="D9758" i="1"/>
  <c r="E9758" i="1"/>
  <c r="F9758" i="1"/>
  <c r="H9758" i="1"/>
  <c r="A9759" i="1"/>
  <c r="B9759" i="1"/>
  <c r="C9759" i="1"/>
  <c r="D9759" i="1"/>
  <c r="E9759" i="1"/>
  <c r="F9759" i="1"/>
  <c r="H9759" i="1"/>
  <c r="A9760" i="1"/>
  <c r="B9760" i="1"/>
  <c r="C9760" i="1"/>
  <c r="D9760" i="1"/>
  <c r="E9760" i="1"/>
  <c r="F9760" i="1"/>
  <c r="H9760" i="1"/>
  <c r="A9761" i="1"/>
  <c r="B9761" i="1"/>
  <c r="C9761" i="1"/>
  <c r="D9761" i="1"/>
  <c r="E9761" i="1"/>
  <c r="F9761" i="1"/>
  <c r="H9761" i="1"/>
  <c r="A9762" i="1"/>
  <c r="B9762" i="1"/>
  <c r="C9762" i="1"/>
  <c r="D9762" i="1"/>
  <c r="E9762" i="1"/>
  <c r="F9762" i="1"/>
  <c r="H9762" i="1"/>
  <c r="A9763" i="1"/>
  <c r="B9763" i="1"/>
  <c r="C9763" i="1"/>
  <c r="D9763" i="1"/>
  <c r="E9763" i="1"/>
  <c r="F9763" i="1"/>
  <c r="H9763" i="1"/>
  <c r="A9764" i="1"/>
  <c r="B9764" i="1"/>
  <c r="C9764" i="1"/>
  <c r="D9764" i="1"/>
  <c r="E9764" i="1"/>
  <c r="F9764" i="1"/>
  <c r="H9764" i="1"/>
  <c r="A9765" i="1"/>
  <c r="B9765" i="1"/>
  <c r="C9765" i="1"/>
  <c r="D9765" i="1"/>
  <c r="E9765" i="1"/>
  <c r="F9765" i="1"/>
  <c r="H9765" i="1"/>
  <c r="A9766" i="1"/>
  <c r="B9766" i="1"/>
  <c r="C9766" i="1"/>
  <c r="D9766" i="1"/>
  <c r="E9766" i="1"/>
  <c r="F9766" i="1"/>
  <c r="H9766" i="1"/>
  <c r="A9767" i="1"/>
  <c r="B9767" i="1"/>
  <c r="C9767" i="1"/>
  <c r="D9767" i="1"/>
  <c r="E9767" i="1"/>
  <c r="F9767" i="1"/>
  <c r="H9767" i="1"/>
  <c r="A9768" i="1"/>
  <c r="B9768" i="1"/>
  <c r="C9768" i="1"/>
  <c r="D9768" i="1"/>
  <c r="E9768" i="1"/>
  <c r="F9768" i="1"/>
  <c r="H9768" i="1"/>
  <c r="A9769" i="1"/>
  <c r="B9769" i="1"/>
  <c r="C9769" i="1"/>
  <c r="D9769" i="1"/>
  <c r="E9769" i="1"/>
  <c r="F9769" i="1"/>
  <c r="H9769" i="1"/>
  <c r="A9770" i="1"/>
  <c r="B9770" i="1"/>
  <c r="C9770" i="1"/>
  <c r="D9770" i="1"/>
  <c r="E9770" i="1"/>
  <c r="F9770" i="1"/>
  <c r="H9770" i="1"/>
  <c r="A9771" i="1"/>
  <c r="B9771" i="1"/>
  <c r="C9771" i="1"/>
  <c r="D9771" i="1"/>
  <c r="E9771" i="1"/>
  <c r="F9771" i="1"/>
  <c r="H9771" i="1"/>
  <c r="A9772" i="1"/>
  <c r="B9772" i="1"/>
  <c r="C9772" i="1"/>
  <c r="D9772" i="1"/>
  <c r="E9772" i="1"/>
  <c r="F9772" i="1"/>
  <c r="H9772" i="1"/>
  <c r="A9773" i="1"/>
  <c r="B9773" i="1"/>
  <c r="C9773" i="1"/>
  <c r="D9773" i="1"/>
  <c r="E9773" i="1"/>
  <c r="F9773" i="1"/>
  <c r="H9773" i="1"/>
  <c r="A9774" i="1"/>
  <c r="B9774" i="1"/>
  <c r="C9774" i="1"/>
  <c r="D9774" i="1"/>
  <c r="E9774" i="1"/>
  <c r="F9774" i="1"/>
  <c r="H9774" i="1"/>
  <c r="A9775" i="1"/>
  <c r="B9775" i="1"/>
  <c r="C9775" i="1"/>
  <c r="D9775" i="1"/>
  <c r="E9775" i="1"/>
  <c r="F9775" i="1"/>
  <c r="H9775" i="1"/>
  <c r="A9776" i="1"/>
  <c r="B9776" i="1"/>
  <c r="C9776" i="1"/>
  <c r="D9776" i="1"/>
  <c r="E9776" i="1"/>
  <c r="F9776" i="1"/>
  <c r="H9776" i="1"/>
  <c r="A9777" i="1"/>
  <c r="B9777" i="1"/>
  <c r="C9777" i="1"/>
  <c r="D9777" i="1"/>
  <c r="E9777" i="1"/>
  <c r="F9777" i="1"/>
  <c r="H9777" i="1"/>
  <c r="A9778" i="1"/>
  <c r="B9778" i="1"/>
  <c r="C9778" i="1"/>
  <c r="D9778" i="1"/>
  <c r="E9778" i="1"/>
  <c r="F9778" i="1"/>
  <c r="H9778" i="1"/>
  <c r="A9779" i="1"/>
  <c r="B9779" i="1"/>
  <c r="C9779" i="1"/>
  <c r="D9779" i="1"/>
  <c r="E9779" i="1"/>
  <c r="F9779" i="1"/>
  <c r="H9779" i="1"/>
  <c r="A9780" i="1"/>
  <c r="B9780" i="1"/>
  <c r="C9780" i="1"/>
  <c r="D9780" i="1"/>
  <c r="E9780" i="1"/>
  <c r="F9780" i="1"/>
  <c r="H9780" i="1"/>
  <c r="A9781" i="1"/>
  <c r="B9781" i="1"/>
  <c r="C9781" i="1"/>
  <c r="D9781" i="1"/>
  <c r="E9781" i="1"/>
  <c r="F9781" i="1"/>
  <c r="H9781" i="1"/>
  <c r="A9782" i="1"/>
  <c r="B9782" i="1"/>
  <c r="C9782" i="1"/>
  <c r="D9782" i="1"/>
  <c r="E9782" i="1"/>
  <c r="F9782" i="1"/>
  <c r="H9782" i="1"/>
  <c r="A9783" i="1"/>
  <c r="B9783" i="1"/>
  <c r="C9783" i="1"/>
  <c r="D9783" i="1"/>
  <c r="E9783" i="1"/>
  <c r="F9783" i="1"/>
  <c r="H9783" i="1"/>
  <c r="A9784" i="1"/>
  <c r="B9784" i="1"/>
  <c r="C9784" i="1"/>
  <c r="D9784" i="1"/>
  <c r="E9784" i="1"/>
  <c r="F9784" i="1"/>
  <c r="H9784" i="1"/>
  <c r="A9785" i="1"/>
  <c r="B9785" i="1"/>
  <c r="C9785" i="1"/>
  <c r="D9785" i="1"/>
  <c r="E9785" i="1"/>
  <c r="F9785" i="1"/>
  <c r="H9785" i="1"/>
  <c r="A9786" i="1"/>
  <c r="B9786" i="1"/>
  <c r="C9786" i="1"/>
  <c r="D9786" i="1"/>
  <c r="E9786" i="1"/>
  <c r="F9786" i="1"/>
  <c r="H9786" i="1"/>
  <c r="A9787" i="1"/>
  <c r="B9787" i="1"/>
  <c r="C9787" i="1"/>
  <c r="D9787" i="1"/>
  <c r="E9787" i="1"/>
  <c r="F9787" i="1"/>
  <c r="H9787" i="1"/>
  <c r="A9788" i="1"/>
  <c r="B9788" i="1"/>
  <c r="C9788" i="1"/>
  <c r="D9788" i="1"/>
  <c r="E9788" i="1"/>
  <c r="F9788" i="1"/>
  <c r="H9788" i="1"/>
  <c r="A9789" i="1"/>
  <c r="B9789" i="1"/>
  <c r="C9789" i="1"/>
  <c r="D9789" i="1"/>
  <c r="E9789" i="1"/>
  <c r="F9789" i="1"/>
  <c r="H9789" i="1"/>
  <c r="A9790" i="1"/>
  <c r="B9790" i="1"/>
  <c r="C9790" i="1"/>
  <c r="D9790" i="1"/>
  <c r="E9790" i="1"/>
  <c r="F9790" i="1"/>
  <c r="H9790" i="1"/>
  <c r="A9791" i="1"/>
  <c r="B9791" i="1"/>
  <c r="C9791" i="1"/>
  <c r="D9791" i="1"/>
  <c r="E9791" i="1"/>
  <c r="F9791" i="1"/>
  <c r="H9791" i="1"/>
  <c r="A9792" i="1"/>
  <c r="B9792" i="1"/>
  <c r="C9792" i="1"/>
  <c r="D9792" i="1"/>
  <c r="E9792" i="1"/>
  <c r="F9792" i="1"/>
  <c r="H9792" i="1"/>
  <c r="A9793" i="1"/>
  <c r="B9793" i="1"/>
  <c r="C9793" i="1"/>
  <c r="D9793" i="1"/>
  <c r="E9793" i="1"/>
  <c r="F9793" i="1"/>
  <c r="H9793" i="1"/>
  <c r="A9794" i="1"/>
  <c r="B9794" i="1"/>
  <c r="C9794" i="1"/>
  <c r="D9794" i="1"/>
  <c r="E9794" i="1"/>
  <c r="F9794" i="1"/>
  <c r="H9794" i="1"/>
  <c r="A9795" i="1"/>
  <c r="B9795" i="1"/>
  <c r="C9795" i="1"/>
  <c r="D9795" i="1"/>
  <c r="E9795" i="1"/>
  <c r="F9795" i="1"/>
  <c r="H9795" i="1"/>
  <c r="A9796" i="1"/>
  <c r="B9796" i="1"/>
  <c r="C9796" i="1"/>
  <c r="D9796" i="1"/>
  <c r="E9796" i="1"/>
  <c r="F9796" i="1"/>
  <c r="H9796" i="1"/>
  <c r="A9797" i="1"/>
  <c r="B9797" i="1"/>
  <c r="C9797" i="1"/>
  <c r="D9797" i="1"/>
  <c r="E9797" i="1"/>
  <c r="F9797" i="1"/>
  <c r="H9797" i="1"/>
  <c r="A9798" i="1"/>
  <c r="B9798" i="1"/>
  <c r="C9798" i="1"/>
  <c r="D9798" i="1"/>
  <c r="E9798" i="1"/>
  <c r="F9798" i="1"/>
  <c r="H9798" i="1"/>
  <c r="A9799" i="1"/>
  <c r="B9799" i="1"/>
  <c r="C9799" i="1"/>
  <c r="D9799" i="1"/>
  <c r="E9799" i="1"/>
  <c r="F9799" i="1"/>
  <c r="H9799" i="1"/>
  <c r="A9800" i="1"/>
  <c r="B9800" i="1"/>
  <c r="C9800" i="1"/>
  <c r="D9800" i="1"/>
  <c r="E9800" i="1"/>
  <c r="F9800" i="1"/>
  <c r="H9800" i="1"/>
  <c r="A9801" i="1"/>
  <c r="B9801" i="1"/>
  <c r="C9801" i="1"/>
  <c r="D9801" i="1"/>
  <c r="E9801" i="1"/>
  <c r="F9801" i="1"/>
  <c r="H9801" i="1"/>
  <c r="A9802" i="1"/>
  <c r="B9802" i="1"/>
  <c r="C9802" i="1"/>
  <c r="D9802" i="1"/>
  <c r="E9802" i="1"/>
  <c r="F9802" i="1"/>
  <c r="H9802" i="1"/>
  <c r="A9803" i="1"/>
  <c r="B9803" i="1"/>
  <c r="C9803" i="1"/>
  <c r="D9803" i="1"/>
  <c r="E9803" i="1"/>
  <c r="F9803" i="1"/>
  <c r="H9803" i="1"/>
  <c r="A9804" i="1"/>
  <c r="B9804" i="1"/>
  <c r="C9804" i="1"/>
  <c r="D9804" i="1"/>
  <c r="E9804" i="1"/>
  <c r="F9804" i="1"/>
  <c r="H9804" i="1"/>
  <c r="A9805" i="1"/>
  <c r="B9805" i="1"/>
  <c r="C9805" i="1"/>
  <c r="D9805" i="1"/>
  <c r="E9805" i="1"/>
  <c r="F9805" i="1"/>
  <c r="H9805" i="1"/>
  <c r="A9806" i="1"/>
  <c r="B9806" i="1"/>
  <c r="C9806" i="1"/>
  <c r="D9806" i="1"/>
  <c r="E9806" i="1"/>
  <c r="F9806" i="1"/>
  <c r="H9806" i="1"/>
  <c r="A9807" i="1"/>
  <c r="B9807" i="1"/>
  <c r="C9807" i="1"/>
  <c r="D9807" i="1"/>
  <c r="E9807" i="1"/>
  <c r="F9807" i="1"/>
  <c r="H9807" i="1"/>
  <c r="A9808" i="1"/>
  <c r="B9808" i="1"/>
  <c r="C9808" i="1"/>
  <c r="D9808" i="1"/>
  <c r="E9808" i="1"/>
  <c r="F9808" i="1"/>
  <c r="H9808" i="1"/>
  <c r="A9809" i="1"/>
  <c r="B9809" i="1"/>
  <c r="C9809" i="1"/>
  <c r="D9809" i="1"/>
  <c r="E9809" i="1"/>
  <c r="F9809" i="1"/>
  <c r="H9809" i="1"/>
  <c r="A9810" i="1"/>
  <c r="B9810" i="1"/>
  <c r="C9810" i="1"/>
  <c r="D9810" i="1"/>
  <c r="E9810" i="1"/>
  <c r="F9810" i="1"/>
  <c r="H9810" i="1"/>
  <c r="A9811" i="1"/>
  <c r="B9811" i="1"/>
  <c r="C9811" i="1"/>
  <c r="D9811" i="1"/>
  <c r="E9811" i="1"/>
  <c r="F9811" i="1"/>
  <c r="H9811" i="1"/>
  <c r="A9812" i="1"/>
  <c r="B9812" i="1"/>
  <c r="C9812" i="1"/>
  <c r="D9812" i="1"/>
  <c r="E9812" i="1"/>
  <c r="F9812" i="1"/>
  <c r="H9812" i="1"/>
  <c r="A9813" i="1"/>
  <c r="B9813" i="1"/>
  <c r="C9813" i="1"/>
  <c r="D9813" i="1"/>
  <c r="E9813" i="1"/>
  <c r="F9813" i="1"/>
  <c r="H9813" i="1"/>
  <c r="A9814" i="1"/>
  <c r="B9814" i="1"/>
  <c r="C9814" i="1"/>
  <c r="D9814" i="1"/>
  <c r="E9814" i="1"/>
  <c r="F9814" i="1"/>
  <c r="H9814" i="1"/>
  <c r="A9815" i="1"/>
  <c r="B9815" i="1"/>
  <c r="C9815" i="1"/>
  <c r="D9815" i="1"/>
  <c r="E9815" i="1"/>
  <c r="F9815" i="1"/>
  <c r="H9815" i="1"/>
  <c r="A9816" i="1"/>
  <c r="B9816" i="1"/>
  <c r="C9816" i="1"/>
  <c r="D9816" i="1"/>
  <c r="E9816" i="1"/>
  <c r="F9816" i="1"/>
  <c r="H9816" i="1"/>
  <c r="A9817" i="1"/>
  <c r="B9817" i="1"/>
  <c r="C9817" i="1"/>
  <c r="D9817" i="1"/>
  <c r="E9817" i="1"/>
  <c r="F9817" i="1"/>
  <c r="H9817" i="1"/>
  <c r="A9818" i="1"/>
  <c r="B9818" i="1"/>
  <c r="C9818" i="1"/>
  <c r="D9818" i="1"/>
  <c r="E9818" i="1"/>
  <c r="F9818" i="1"/>
  <c r="H9818" i="1"/>
  <c r="A9819" i="1"/>
  <c r="B9819" i="1"/>
  <c r="C9819" i="1"/>
  <c r="D9819" i="1"/>
  <c r="E9819" i="1"/>
  <c r="F9819" i="1"/>
  <c r="H9819" i="1"/>
  <c r="A9820" i="1"/>
  <c r="B9820" i="1"/>
  <c r="C9820" i="1"/>
  <c r="D9820" i="1"/>
  <c r="E9820" i="1"/>
  <c r="F9820" i="1"/>
  <c r="H9820" i="1"/>
  <c r="A9821" i="1"/>
  <c r="B9821" i="1"/>
  <c r="C9821" i="1"/>
  <c r="D9821" i="1"/>
  <c r="E9821" i="1"/>
  <c r="F9821" i="1"/>
  <c r="H9821" i="1"/>
  <c r="A9822" i="1"/>
  <c r="B9822" i="1"/>
  <c r="C9822" i="1"/>
  <c r="D9822" i="1"/>
  <c r="E9822" i="1"/>
  <c r="F9822" i="1"/>
  <c r="H9822" i="1"/>
  <c r="A9823" i="1"/>
  <c r="B9823" i="1"/>
  <c r="C9823" i="1"/>
  <c r="D9823" i="1"/>
  <c r="E9823" i="1"/>
  <c r="F9823" i="1"/>
  <c r="H9823" i="1"/>
  <c r="A9824" i="1"/>
  <c r="B9824" i="1"/>
  <c r="C9824" i="1"/>
  <c r="D9824" i="1"/>
  <c r="E9824" i="1"/>
  <c r="F9824" i="1"/>
  <c r="H9824" i="1"/>
  <c r="A9825" i="1"/>
  <c r="B9825" i="1"/>
  <c r="C9825" i="1"/>
  <c r="D9825" i="1"/>
  <c r="E9825" i="1"/>
  <c r="F9825" i="1"/>
  <c r="H9825" i="1"/>
  <c r="A9826" i="1"/>
  <c r="B9826" i="1"/>
  <c r="C9826" i="1"/>
  <c r="D9826" i="1"/>
  <c r="E9826" i="1"/>
  <c r="F9826" i="1"/>
  <c r="H9826" i="1"/>
  <c r="A9827" i="1"/>
  <c r="B9827" i="1"/>
  <c r="C9827" i="1"/>
  <c r="D9827" i="1"/>
  <c r="E9827" i="1"/>
  <c r="F9827" i="1"/>
  <c r="H9827" i="1"/>
  <c r="A9828" i="1"/>
  <c r="B9828" i="1"/>
  <c r="C9828" i="1"/>
  <c r="D9828" i="1"/>
  <c r="E9828" i="1"/>
  <c r="F9828" i="1"/>
  <c r="H9828" i="1"/>
  <c r="A9829" i="1"/>
  <c r="B9829" i="1"/>
  <c r="C9829" i="1"/>
  <c r="D9829" i="1"/>
  <c r="E9829" i="1"/>
  <c r="F9829" i="1"/>
  <c r="H9829" i="1"/>
  <c r="A9830" i="1"/>
  <c r="B9830" i="1"/>
  <c r="C9830" i="1"/>
  <c r="D9830" i="1"/>
  <c r="E9830" i="1"/>
  <c r="F9830" i="1"/>
  <c r="H9830" i="1"/>
  <c r="A9831" i="1"/>
  <c r="B9831" i="1"/>
  <c r="C9831" i="1"/>
  <c r="D9831" i="1"/>
  <c r="E9831" i="1"/>
  <c r="F9831" i="1"/>
  <c r="H9831" i="1"/>
  <c r="A9832" i="1"/>
  <c r="B9832" i="1"/>
  <c r="C9832" i="1"/>
  <c r="D9832" i="1"/>
  <c r="E9832" i="1"/>
  <c r="F9832" i="1"/>
  <c r="H9832" i="1"/>
  <c r="A9833" i="1"/>
  <c r="B9833" i="1"/>
  <c r="C9833" i="1"/>
  <c r="D9833" i="1"/>
  <c r="E9833" i="1"/>
  <c r="F9833" i="1"/>
  <c r="H9833" i="1"/>
  <c r="A9834" i="1"/>
  <c r="B9834" i="1"/>
  <c r="C9834" i="1"/>
  <c r="D9834" i="1"/>
  <c r="E9834" i="1"/>
  <c r="F9834" i="1"/>
  <c r="H9834" i="1"/>
  <c r="A9835" i="1"/>
  <c r="B9835" i="1"/>
  <c r="C9835" i="1"/>
  <c r="D9835" i="1"/>
  <c r="E9835" i="1"/>
  <c r="F9835" i="1"/>
  <c r="H9835" i="1"/>
  <c r="A9836" i="1"/>
  <c r="B9836" i="1"/>
  <c r="C9836" i="1"/>
  <c r="D9836" i="1"/>
  <c r="E9836" i="1"/>
  <c r="F9836" i="1"/>
  <c r="H9836" i="1"/>
  <c r="A9837" i="1"/>
  <c r="B9837" i="1"/>
  <c r="C9837" i="1"/>
  <c r="D9837" i="1"/>
  <c r="E9837" i="1"/>
  <c r="F9837" i="1"/>
  <c r="H9837" i="1"/>
  <c r="A9838" i="1"/>
  <c r="B9838" i="1"/>
  <c r="C9838" i="1"/>
  <c r="D9838" i="1"/>
  <c r="E9838" i="1"/>
  <c r="F9838" i="1"/>
  <c r="H9838" i="1"/>
  <c r="A9839" i="1"/>
  <c r="B9839" i="1"/>
  <c r="C9839" i="1"/>
  <c r="D9839" i="1"/>
  <c r="E9839" i="1"/>
  <c r="F9839" i="1"/>
  <c r="H9839" i="1"/>
  <c r="A9840" i="1"/>
  <c r="B9840" i="1"/>
  <c r="C9840" i="1"/>
  <c r="D9840" i="1"/>
  <c r="E9840" i="1"/>
  <c r="F9840" i="1"/>
  <c r="H9840" i="1"/>
  <c r="A9841" i="1"/>
  <c r="B9841" i="1"/>
  <c r="C9841" i="1"/>
  <c r="D9841" i="1"/>
  <c r="E9841" i="1"/>
  <c r="F9841" i="1"/>
  <c r="H9841" i="1"/>
  <c r="A9842" i="1"/>
  <c r="B9842" i="1"/>
  <c r="C9842" i="1"/>
  <c r="D9842" i="1"/>
  <c r="E9842" i="1"/>
  <c r="F9842" i="1"/>
  <c r="H9842" i="1"/>
  <c r="A9843" i="1"/>
  <c r="B9843" i="1"/>
  <c r="C9843" i="1"/>
  <c r="D9843" i="1"/>
  <c r="E9843" i="1"/>
  <c r="F9843" i="1"/>
  <c r="H9843" i="1"/>
  <c r="A9844" i="1"/>
  <c r="B9844" i="1"/>
  <c r="C9844" i="1"/>
  <c r="D9844" i="1"/>
  <c r="E9844" i="1"/>
  <c r="F9844" i="1"/>
  <c r="H9844" i="1"/>
  <c r="A9845" i="1"/>
  <c r="B9845" i="1"/>
  <c r="C9845" i="1"/>
  <c r="D9845" i="1"/>
  <c r="E9845" i="1"/>
  <c r="F9845" i="1"/>
  <c r="H9845" i="1"/>
  <c r="A9846" i="1"/>
  <c r="B9846" i="1"/>
  <c r="C9846" i="1"/>
  <c r="D9846" i="1"/>
  <c r="E9846" i="1"/>
  <c r="F9846" i="1"/>
  <c r="H9846" i="1"/>
  <c r="A9847" i="1"/>
  <c r="B9847" i="1"/>
  <c r="C9847" i="1"/>
  <c r="D9847" i="1"/>
  <c r="E9847" i="1"/>
  <c r="F9847" i="1"/>
  <c r="H9847" i="1"/>
  <c r="A9848" i="1"/>
  <c r="B9848" i="1"/>
  <c r="C9848" i="1"/>
  <c r="D9848" i="1"/>
  <c r="E9848" i="1"/>
  <c r="F9848" i="1"/>
  <c r="H9848" i="1"/>
  <c r="A9849" i="1"/>
  <c r="B9849" i="1"/>
  <c r="C9849" i="1"/>
  <c r="D9849" i="1"/>
  <c r="E9849" i="1"/>
  <c r="F9849" i="1"/>
  <c r="H9849" i="1"/>
  <c r="A9850" i="1"/>
  <c r="B9850" i="1"/>
  <c r="C9850" i="1"/>
  <c r="D9850" i="1"/>
  <c r="E9850" i="1"/>
  <c r="F9850" i="1"/>
  <c r="H9850" i="1"/>
  <c r="A9851" i="1"/>
  <c r="B9851" i="1"/>
  <c r="C9851" i="1"/>
  <c r="D9851" i="1"/>
  <c r="E9851" i="1"/>
  <c r="F9851" i="1"/>
  <c r="H9851" i="1"/>
  <c r="A9852" i="1"/>
  <c r="B9852" i="1"/>
  <c r="C9852" i="1"/>
  <c r="D9852" i="1"/>
  <c r="E9852" i="1"/>
  <c r="F9852" i="1"/>
  <c r="H9852" i="1"/>
  <c r="A9853" i="1"/>
  <c r="B9853" i="1"/>
  <c r="C9853" i="1"/>
  <c r="D9853" i="1"/>
  <c r="E9853" i="1"/>
  <c r="F9853" i="1"/>
  <c r="H9853" i="1"/>
  <c r="A9854" i="1"/>
  <c r="B9854" i="1"/>
  <c r="C9854" i="1"/>
  <c r="D9854" i="1"/>
  <c r="E9854" i="1"/>
  <c r="F9854" i="1"/>
  <c r="H9854" i="1"/>
  <c r="A9855" i="1"/>
  <c r="B9855" i="1"/>
  <c r="C9855" i="1"/>
  <c r="D9855" i="1"/>
  <c r="E9855" i="1"/>
  <c r="F9855" i="1"/>
  <c r="H9855" i="1"/>
  <c r="A9856" i="1"/>
  <c r="B9856" i="1"/>
  <c r="C9856" i="1"/>
  <c r="D9856" i="1"/>
  <c r="E9856" i="1"/>
  <c r="F9856" i="1"/>
  <c r="H9856" i="1"/>
  <c r="A9857" i="1"/>
  <c r="B9857" i="1"/>
  <c r="C9857" i="1"/>
  <c r="D9857" i="1"/>
  <c r="E9857" i="1"/>
  <c r="F9857" i="1"/>
  <c r="H9857" i="1"/>
  <c r="A9858" i="1"/>
  <c r="B9858" i="1"/>
  <c r="C9858" i="1"/>
  <c r="D9858" i="1"/>
  <c r="E9858" i="1"/>
  <c r="F9858" i="1"/>
  <c r="H9858" i="1"/>
  <c r="A9859" i="1"/>
  <c r="B9859" i="1"/>
  <c r="C9859" i="1"/>
  <c r="D9859" i="1"/>
  <c r="E9859" i="1"/>
  <c r="F9859" i="1"/>
  <c r="H9859" i="1"/>
  <c r="A9860" i="1"/>
  <c r="B9860" i="1"/>
  <c r="C9860" i="1"/>
  <c r="D9860" i="1"/>
  <c r="E9860" i="1"/>
  <c r="F9860" i="1"/>
  <c r="H9860" i="1"/>
  <c r="A9861" i="1"/>
  <c r="B9861" i="1"/>
  <c r="C9861" i="1"/>
  <c r="D9861" i="1"/>
  <c r="E9861" i="1"/>
  <c r="F9861" i="1"/>
  <c r="H9861" i="1"/>
  <c r="A9862" i="1"/>
  <c r="B9862" i="1"/>
  <c r="C9862" i="1"/>
  <c r="D9862" i="1"/>
  <c r="E9862" i="1"/>
  <c r="F9862" i="1"/>
  <c r="H9862" i="1"/>
  <c r="A9863" i="1"/>
  <c r="B9863" i="1"/>
  <c r="C9863" i="1"/>
  <c r="D9863" i="1"/>
  <c r="E9863" i="1"/>
  <c r="F9863" i="1"/>
  <c r="H9863" i="1"/>
  <c r="A9864" i="1"/>
  <c r="B9864" i="1"/>
  <c r="C9864" i="1"/>
  <c r="D9864" i="1"/>
  <c r="E9864" i="1"/>
  <c r="F9864" i="1"/>
  <c r="H9864" i="1"/>
  <c r="A9865" i="1"/>
  <c r="B9865" i="1"/>
  <c r="C9865" i="1"/>
  <c r="D9865" i="1"/>
  <c r="E9865" i="1"/>
  <c r="F9865" i="1"/>
  <c r="H9865" i="1"/>
  <c r="A9866" i="1"/>
  <c r="B9866" i="1"/>
  <c r="C9866" i="1"/>
  <c r="D9866" i="1"/>
  <c r="E9866" i="1"/>
  <c r="F9866" i="1"/>
  <c r="H9866" i="1"/>
  <c r="A9867" i="1"/>
  <c r="B9867" i="1"/>
  <c r="C9867" i="1"/>
  <c r="D9867" i="1"/>
  <c r="E9867" i="1"/>
  <c r="F9867" i="1"/>
  <c r="H9867" i="1"/>
  <c r="A9868" i="1"/>
  <c r="B9868" i="1"/>
  <c r="C9868" i="1"/>
  <c r="D9868" i="1"/>
  <c r="E9868" i="1"/>
  <c r="F9868" i="1"/>
  <c r="H9868" i="1"/>
  <c r="A9869" i="1"/>
  <c r="B9869" i="1"/>
  <c r="C9869" i="1"/>
  <c r="D9869" i="1"/>
  <c r="E9869" i="1"/>
  <c r="F9869" i="1"/>
  <c r="H9869" i="1"/>
  <c r="A9870" i="1"/>
  <c r="B9870" i="1"/>
  <c r="C9870" i="1"/>
  <c r="D9870" i="1"/>
  <c r="E9870" i="1"/>
  <c r="F9870" i="1"/>
  <c r="H9870" i="1"/>
  <c r="A9871" i="1"/>
  <c r="B9871" i="1"/>
  <c r="C9871" i="1"/>
  <c r="D9871" i="1"/>
  <c r="E9871" i="1"/>
  <c r="F9871" i="1"/>
  <c r="H9871" i="1"/>
  <c r="A9872" i="1"/>
  <c r="B9872" i="1"/>
  <c r="C9872" i="1"/>
  <c r="D9872" i="1"/>
  <c r="E9872" i="1"/>
  <c r="F9872" i="1"/>
  <c r="H9872" i="1"/>
  <c r="A9873" i="1"/>
  <c r="B9873" i="1"/>
  <c r="C9873" i="1"/>
  <c r="D9873" i="1"/>
  <c r="E9873" i="1"/>
  <c r="F9873" i="1"/>
  <c r="H9873" i="1"/>
  <c r="A9874" i="1"/>
  <c r="B9874" i="1"/>
  <c r="C9874" i="1"/>
  <c r="D9874" i="1"/>
  <c r="E9874" i="1"/>
  <c r="F9874" i="1"/>
  <c r="H9874" i="1"/>
  <c r="A9875" i="1"/>
  <c r="B9875" i="1"/>
  <c r="C9875" i="1"/>
  <c r="D9875" i="1"/>
  <c r="E9875" i="1"/>
  <c r="F9875" i="1"/>
  <c r="H9875" i="1"/>
  <c r="A9876" i="1"/>
  <c r="B9876" i="1"/>
  <c r="C9876" i="1"/>
  <c r="D9876" i="1"/>
  <c r="E9876" i="1"/>
  <c r="F9876" i="1"/>
  <c r="H9876" i="1"/>
  <c r="A9877" i="1"/>
  <c r="B9877" i="1"/>
  <c r="C9877" i="1"/>
  <c r="D9877" i="1"/>
  <c r="E9877" i="1"/>
  <c r="F9877" i="1"/>
  <c r="H9877" i="1"/>
  <c r="A9878" i="1"/>
  <c r="B9878" i="1"/>
  <c r="C9878" i="1"/>
  <c r="D9878" i="1"/>
  <c r="E9878" i="1"/>
  <c r="F9878" i="1"/>
  <c r="H9878" i="1"/>
  <c r="A9879" i="1"/>
  <c r="B9879" i="1"/>
  <c r="C9879" i="1"/>
  <c r="D9879" i="1"/>
  <c r="E9879" i="1"/>
  <c r="F9879" i="1"/>
  <c r="H9879" i="1"/>
  <c r="A9880" i="1"/>
  <c r="B9880" i="1"/>
  <c r="C9880" i="1"/>
  <c r="D9880" i="1"/>
  <c r="E9880" i="1"/>
  <c r="F9880" i="1"/>
  <c r="H9880" i="1"/>
  <c r="A9881" i="1"/>
  <c r="B9881" i="1"/>
  <c r="C9881" i="1"/>
  <c r="D9881" i="1"/>
  <c r="E9881" i="1"/>
  <c r="F9881" i="1"/>
  <c r="H9881" i="1"/>
  <c r="A9882" i="1"/>
  <c r="B9882" i="1"/>
  <c r="C9882" i="1"/>
  <c r="D9882" i="1"/>
  <c r="E9882" i="1"/>
  <c r="F9882" i="1"/>
  <c r="H9882" i="1"/>
  <c r="A9883" i="1"/>
  <c r="B9883" i="1"/>
  <c r="C9883" i="1"/>
  <c r="D9883" i="1"/>
  <c r="E9883" i="1"/>
  <c r="F9883" i="1"/>
  <c r="H9883" i="1"/>
  <c r="A9884" i="1"/>
  <c r="B9884" i="1"/>
  <c r="C9884" i="1"/>
  <c r="D9884" i="1"/>
  <c r="E9884" i="1"/>
  <c r="F9884" i="1"/>
  <c r="H9884" i="1"/>
  <c r="A9885" i="1"/>
  <c r="B9885" i="1"/>
  <c r="C9885" i="1"/>
  <c r="D9885" i="1"/>
  <c r="E9885" i="1"/>
  <c r="F9885" i="1"/>
  <c r="H9885" i="1"/>
  <c r="A9886" i="1"/>
  <c r="B9886" i="1"/>
  <c r="C9886" i="1"/>
  <c r="D9886" i="1"/>
  <c r="E9886" i="1"/>
  <c r="F9886" i="1"/>
  <c r="H9886" i="1"/>
  <c r="A9887" i="1"/>
  <c r="B9887" i="1"/>
  <c r="C9887" i="1"/>
  <c r="D9887" i="1"/>
  <c r="E9887" i="1"/>
  <c r="F9887" i="1"/>
  <c r="H9887" i="1"/>
  <c r="A9888" i="1"/>
  <c r="B9888" i="1"/>
  <c r="C9888" i="1"/>
  <c r="D9888" i="1"/>
  <c r="E9888" i="1"/>
  <c r="F9888" i="1"/>
  <c r="H9888" i="1"/>
  <c r="A9889" i="1"/>
  <c r="B9889" i="1"/>
  <c r="C9889" i="1"/>
  <c r="D9889" i="1"/>
  <c r="E9889" i="1"/>
  <c r="F9889" i="1"/>
  <c r="H9889" i="1"/>
  <c r="A9890" i="1"/>
  <c r="B9890" i="1"/>
  <c r="C9890" i="1"/>
  <c r="D9890" i="1"/>
  <c r="E9890" i="1"/>
  <c r="F9890" i="1"/>
  <c r="H9890" i="1"/>
  <c r="A9891" i="1"/>
  <c r="B9891" i="1"/>
  <c r="C9891" i="1"/>
  <c r="D9891" i="1"/>
  <c r="E9891" i="1"/>
  <c r="F9891" i="1"/>
  <c r="H9891" i="1"/>
  <c r="A9892" i="1"/>
  <c r="B9892" i="1"/>
  <c r="C9892" i="1"/>
  <c r="D9892" i="1"/>
  <c r="E9892" i="1"/>
  <c r="F9892" i="1"/>
  <c r="H9892" i="1"/>
  <c r="A9893" i="1"/>
  <c r="B9893" i="1"/>
  <c r="C9893" i="1"/>
  <c r="D9893" i="1"/>
  <c r="E9893" i="1"/>
  <c r="F9893" i="1"/>
  <c r="H9893" i="1"/>
  <c r="A9894" i="1"/>
  <c r="B9894" i="1"/>
  <c r="C9894" i="1"/>
  <c r="D9894" i="1"/>
  <c r="E9894" i="1"/>
  <c r="F9894" i="1"/>
  <c r="H9894" i="1"/>
  <c r="A9895" i="1"/>
  <c r="B9895" i="1"/>
  <c r="C9895" i="1"/>
  <c r="D9895" i="1"/>
  <c r="E9895" i="1"/>
  <c r="F9895" i="1"/>
  <c r="H9895" i="1"/>
  <c r="A9896" i="1"/>
  <c r="B9896" i="1"/>
  <c r="C9896" i="1"/>
  <c r="D9896" i="1"/>
  <c r="E9896" i="1"/>
  <c r="F9896" i="1"/>
  <c r="H9896" i="1"/>
  <c r="A9897" i="1"/>
  <c r="B9897" i="1"/>
  <c r="C9897" i="1"/>
  <c r="D9897" i="1"/>
  <c r="E9897" i="1"/>
  <c r="F9897" i="1"/>
  <c r="H9897" i="1"/>
  <c r="A9898" i="1"/>
  <c r="B9898" i="1"/>
  <c r="C9898" i="1"/>
  <c r="D9898" i="1"/>
  <c r="E9898" i="1"/>
  <c r="F9898" i="1"/>
  <c r="H9898" i="1"/>
  <c r="A9899" i="1"/>
  <c r="B9899" i="1"/>
  <c r="C9899" i="1"/>
  <c r="D9899" i="1"/>
  <c r="E9899" i="1"/>
  <c r="F9899" i="1"/>
  <c r="H9899" i="1"/>
  <c r="A9900" i="1"/>
  <c r="B9900" i="1"/>
  <c r="C9900" i="1"/>
  <c r="D9900" i="1"/>
  <c r="E9900" i="1"/>
  <c r="F9900" i="1"/>
  <c r="H9900" i="1"/>
  <c r="A9901" i="1"/>
  <c r="B9901" i="1"/>
  <c r="C9901" i="1"/>
  <c r="D9901" i="1"/>
  <c r="E9901" i="1"/>
  <c r="F9901" i="1"/>
  <c r="H9901" i="1"/>
  <c r="A9902" i="1"/>
  <c r="B9902" i="1"/>
  <c r="C9902" i="1"/>
  <c r="D9902" i="1"/>
  <c r="E9902" i="1"/>
  <c r="F9902" i="1"/>
  <c r="H9902" i="1"/>
  <c r="A9903" i="1"/>
  <c r="B9903" i="1"/>
  <c r="C9903" i="1"/>
  <c r="D9903" i="1"/>
  <c r="E9903" i="1"/>
  <c r="F9903" i="1"/>
  <c r="H9903" i="1"/>
  <c r="A9904" i="1"/>
  <c r="B9904" i="1"/>
  <c r="C9904" i="1"/>
  <c r="D9904" i="1"/>
  <c r="E9904" i="1"/>
  <c r="F9904" i="1"/>
  <c r="H9904" i="1"/>
  <c r="A9905" i="1"/>
  <c r="B9905" i="1"/>
  <c r="C9905" i="1"/>
  <c r="D9905" i="1"/>
  <c r="E9905" i="1"/>
  <c r="F9905" i="1"/>
  <c r="H9905" i="1"/>
  <c r="A9906" i="1"/>
  <c r="B9906" i="1"/>
  <c r="C9906" i="1"/>
  <c r="D9906" i="1"/>
  <c r="E9906" i="1"/>
  <c r="F9906" i="1"/>
  <c r="H9906" i="1"/>
  <c r="A9907" i="1"/>
  <c r="B9907" i="1"/>
  <c r="C9907" i="1"/>
  <c r="D9907" i="1"/>
  <c r="E9907" i="1"/>
  <c r="F9907" i="1"/>
  <c r="H9907" i="1"/>
  <c r="A9908" i="1"/>
  <c r="B9908" i="1"/>
  <c r="C9908" i="1"/>
  <c r="D9908" i="1"/>
  <c r="E9908" i="1"/>
  <c r="F9908" i="1"/>
  <c r="H9908" i="1"/>
  <c r="A9909" i="1"/>
  <c r="B9909" i="1"/>
  <c r="C9909" i="1"/>
  <c r="D9909" i="1"/>
  <c r="E9909" i="1"/>
  <c r="F9909" i="1"/>
  <c r="H9909" i="1"/>
  <c r="A9910" i="1"/>
  <c r="B9910" i="1"/>
  <c r="C9910" i="1"/>
  <c r="D9910" i="1"/>
  <c r="E9910" i="1"/>
  <c r="F9910" i="1"/>
  <c r="H9910" i="1"/>
  <c r="A9911" i="1"/>
  <c r="B9911" i="1"/>
  <c r="C9911" i="1"/>
  <c r="D9911" i="1"/>
  <c r="E9911" i="1"/>
  <c r="F9911" i="1"/>
  <c r="H9911" i="1"/>
  <c r="A9912" i="1"/>
  <c r="B9912" i="1"/>
  <c r="C9912" i="1"/>
  <c r="D9912" i="1"/>
  <c r="E9912" i="1"/>
  <c r="F9912" i="1"/>
  <c r="H9912" i="1"/>
  <c r="A9913" i="1"/>
  <c r="B9913" i="1"/>
  <c r="C9913" i="1"/>
  <c r="D9913" i="1"/>
  <c r="E9913" i="1"/>
  <c r="F9913" i="1"/>
  <c r="H9913" i="1"/>
  <c r="A9914" i="1"/>
  <c r="B9914" i="1"/>
  <c r="C9914" i="1"/>
  <c r="D9914" i="1"/>
  <c r="E9914" i="1"/>
  <c r="F9914" i="1"/>
  <c r="H9914" i="1"/>
  <c r="A9915" i="1"/>
  <c r="B9915" i="1"/>
  <c r="C9915" i="1"/>
  <c r="D9915" i="1"/>
  <c r="E9915" i="1"/>
  <c r="F9915" i="1"/>
  <c r="H9915" i="1"/>
  <c r="A9916" i="1"/>
  <c r="B9916" i="1"/>
  <c r="C9916" i="1"/>
  <c r="D9916" i="1"/>
  <c r="E9916" i="1"/>
  <c r="F9916" i="1"/>
  <c r="H9916" i="1"/>
  <c r="A9917" i="1"/>
  <c r="B9917" i="1"/>
  <c r="C9917" i="1"/>
  <c r="D9917" i="1"/>
  <c r="E9917" i="1"/>
  <c r="F9917" i="1"/>
  <c r="H9917" i="1"/>
  <c r="A9918" i="1"/>
  <c r="B9918" i="1"/>
  <c r="C9918" i="1"/>
  <c r="D9918" i="1"/>
  <c r="E9918" i="1"/>
  <c r="F9918" i="1"/>
  <c r="H9918" i="1"/>
  <c r="A9919" i="1"/>
  <c r="B9919" i="1"/>
  <c r="C9919" i="1"/>
  <c r="D9919" i="1"/>
  <c r="E9919" i="1"/>
  <c r="F9919" i="1"/>
  <c r="H9919" i="1"/>
  <c r="A9920" i="1"/>
  <c r="B9920" i="1"/>
  <c r="C9920" i="1"/>
  <c r="D9920" i="1"/>
  <c r="E9920" i="1"/>
  <c r="F9920" i="1"/>
  <c r="H9920" i="1"/>
  <c r="A9921" i="1"/>
  <c r="B9921" i="1"/>
  <c r="C9921" i="1"/>
  <c r="D9921" i="1"/>
  <c r="E9921" i="1"/>
  <c r="F9921" i="1"/>
  <c r="H9921" i="1"/>
  <c r="A9922" i="1"/>
  <c r="B9922" i="1"/>
  <c r="C9922" i="1"/>
  <c r="D9922" i="1"/>
  <c r="E9922" i="1"/>
  <c r="F9922" i="1"/>
  <c r="H9922" i="1"/>
  <c r="A9923" i="1"/>
  <c r="B9923" i="1"/>
  <c r="C9923" i="1"/>
  <c r="D9923" i="1"/>
  <c r="E9923" i="1"/>
  <c r="F9923" i="1"/>
  <c r="H9923" i="1"/>
  <c r="A9924" i="1"/>
  <c r="B9924" i="1"/>
  <c r="C9924" i="1"/>
  <c r="D9924" i="1"/>
  <c r="E9924" i="1"/>
  <c r="F9924" i="1"/>
  <c r="H9924" i="1"/>
  <c r="A9925" i="1"/>
  <c r="B9925" i="1"/>
  <c r="C9925" i="1"/>
  <c r="D9925" i="1"/>
  <c r="E9925" i="1"/>
  <c r="F9925" i="1"/>
  <c r="H9925" i="1"/>
  <c r="A9926" i="1"/>
  <c r="B9926" i="1"/>
  <c r="C9926" i="1"/>
  <c r="D9926" i="1"/>
  <c r="E9926" i="1"/>
  <c r="F9926" i="1"/>
  <c r="H9926" i="1"/>
  <c r="A9927" i="1"/>
  <c r="B9927" i="1"/>
  <c r="C9927" i="1"/>
  <c r="D9927" i="1"/>
  <c r="E9927" i="1"/>
  <c r="F9927" i="1"/>
  <c r="H9927" i="1"/>
  <c r="A9928" i="1"/>
  <c r="B9928" i="1"/>
  <c r="C9928" i="1"/>
  <c r="D9928" i="1"/>
  <c r="E9928" i="1"/>
  <c r="F9928" i="1"/>
  <c r="H9928" i="1"/>
  <c r="A9929" i="1"/>
  <c r="B9929" i="1"/>
  <c r="C9929" i="1"/>
  <c r="D9929" i="1"/>
  <c r="E9929" i="1"/>
  <c r="F9929" i="1"/>
  <c r="H9929" i="1"/>
  <c r="A9930" i="1"/>
  <c r="B9930" i="1"/>
  <c r="C9930" i="1"/>
  <c r="D9930" i="1"/>
  <c r="E9930" i="1"/>
  <c r="F9930" i="1"/>
  <c r="H9930" i="1"/>
  <c r="A9931" i="1"/>
  <c r="B9931" i="1"/>
  <c r="C9931" i="1"/>
  <c r="D9931" i="1"/>
  <c r="E9931" i="1"/>
  <c r="F9931" i="1"/>
  <c r="H9931" i="1"/>
  <c r="A9932" i="1"/>
  <c r="B9932" i="1"/>
  <c r="C9932" i="1"/>
  <c r="D9932" i="1"/>
  <c r="E9932" i="1"/>
  <c r="F9932" i="1"/>
  <c r="H9932" i="1"/>
  <c r="A9933" i="1"/>
  <c r="B9933" i="1"/>
  <c r="C9933" i="1"/>
  <c r="D9933" i="1"/>
  <c r="E9933" i="1"/>
  <c r="F9933" i="1"/>
  <c r="H9933" i="1"/>
  <c r="A9934" i="1"/>
  <c r="B9934" i="1"/>
  <c r="C9934" i="1"/>
  <c r="D9934" i="1"/>
  <c r="E9934" i="1"/>
  <c r="F9934" i="1"/>
  <c r="H9934" i="1"/>
  <c r="A9935" i="1"/>
  <c r="B9935" i="1"/>
  <c r="C9935" i="1"/>
  <c r="D9935" i="1"/>
  <c r="E9935" i="1"/>
  <c r="F9935" i="1"/>
  <c r="H9935" i="1"/>
  <c r="A9936" i="1"/>
  <c r="B9936" i="1"/>
  <c r="C9936" i="1"/>
  <c r="D9936" i="1"/>
  <c r="E9936" i="1"/>
  <c r="F9936" i="1"/>
  <c r="H9936" i="1"/>
  <c r="A9937" i="1"/>
  <c r="B9937" i="1"/>
  <c r="C9937" i="1"/>
  <c r="D9937" i="1"/>
  <c r="E9937" i="1"/>
  <c r="F9937" i="1"/>
  <c r="H9937" i="1"/>
  <c r="A9938" i="1"/>
  <c r="B9938" i="1"/>
  <c r="C9938" i="1"/>
  <c r="D9938" i="1"/>
  <c r="E9938" i="1"/>
  <c r="F9938" i="1"/>
  <c r="H9938" i="1"/>
  <c r="A9939" i="1"/>
  <c r="B9939" i="1"/>
  <c r="C9939" i="1"/>
  <c r="D9939" i="1"/>
  <c r="E9939" i="1"/>
  <c r="F9939" i="1"/>
  <c r="H9939" i="1"/>
  <c r="A9940" i="1"/>
  <c r="B9940" i="1"/>
  <c r="C9940" i="1"/>
  <c r="D9940" i="1"/>
  <c r="E9940" i="1"/>
  <c r="F9940" i="1"/>
  <c r="H9940" i="1"/>
  <c r="A9941" i="1"/>
  <c r="B9941" i="1"/>
  <c r="C9941" i="1"/>
  <c r="D9941" i="1"/>
  <c r="E9941" i="1"/>
  <c r="F9941" i="1"/>
  <c r="H9941" i="1"/>
  <c r="A9942" i="1"/>
  <c r="B9942" i="1"/>
  <c r="C9942" i="1"/>
  <c r="D9942" i="1"/>
  <c r="E9942" i="1"/>
  <c r="F9942" i="1"/>
  <c r="H9942" i="1"/>
  <c r="A9943" i="1"/>
  <c r="B9943" i="1"/>
  <c r="C9943" i="1"/>
  <c r="D9943" i="1"/>
  <c r="E9943" i="1"/>
  <c r="F9943" i="1"/>
  <c r="H9943" i="1"/>
  <c r="A9944" i="1"/>
  <c r="B9944" i="1"/>
  <c r="C9944" i="1"/>
  <c r="D9944" i="1"/>
  <c r="E9944" i="1"/>
  <c r="F9944" i="1"/>
  <c r="H9944" i="1"/>
  <c r="A9945" i="1"/>
  <c r="B9945" i="1"/>
  <c r="C9945" i="1"/>
  <c r="D9945" i="1"/>
  <c r="E9945" i="1"/>
  <c r="F9945" i="1"/>
  <c r="H9945" i="1"/>
  <c r="A9946" i="1"/>
  <c r="B9946" i="1"/>
  <c r="C9946" i="1"/>
  <c r="D9946" i="1"/>
  <c r="E9946" i="1"/>
  <c r="F9946" i="1"/>
  <c r="H9946" i="1"/>
  <c r="A9947" i="1"/>
  <c r="B9947" i="1"/>
  <c r="C9947" i="1"/>
  <c r="D9947" i="1"/>
  <c r="E9947" i="1"/>
  <c r="F9947" i="1"/>
  <c r="H9947" i="1"/>
  <c r="A9948" i="1"/>
  <c r="B9948" i="1"/>
  <c r="C9948" i="1"/>
  <c r="D9948" i="1"/>
  <c r="E9948" i="1"/>
  <c r="F9948" i="1"/>
  <c r="H9948" i="1"/>
  <c r="A9949" i="1"/>
  <c r="B9949" i="1"/>
  <c r="C9949" i="1"/>
  <c r="D9949" i="1"/>
  <c r="E9949" i="1"/>
  <c r="F9949" i="1"/>
  <c r="H9949" i="1"/>
  <c r="A9950" i="1"/>
  <c r="B9950" i="1"/>
  <c r="C9950" i="1"/>
  <c r="D9950" i="1"/>
  <c r="E9950" i="1"/>
  <c r="F9950" i="1"/>
  <c r="H9950" i="1"/>
  <c r="A9951" i="1"/>
  <c r="B9951" i="1"/>
  <c r="C9951" i="1"/>
  <c r="D9951" i="1"/>
  <c r="E9951" i="1"/>
  <c r="F9951" i="1"/>
  <c r="H9951" i="1"/>
  <c r="A9952" i="1"/>
  <c r="B9952" i="1"/>
  <c r="C9952" i="1"/>
  <c r="D9952" i="1"/>
  <c r="E9952" i="1"/>
  <c r="F9952" i="1"/>
  <c r="H9952" i="1"/>
  <c r="A9953" i="1"/>
  <c r="B9953" i="1"/>
  <c r="C9953" i="1"/>
  <c r="D9953" i="1"/>
  <c r="E9953" i="1"/>
  <c r="F9953" i="1"/>
  <c r="H9953" i="1"/>
  <c r="A9954" i="1"/>
  <c r="B9954" i="1"/>
  <c r="C9954" i="1"/>
  <c r="D9954" i="1"/>
  <c r="E9954" i="1"/>
  <c r="F9954" i="1"/>
  <c r="H9954" i="1"/>
  <c r="A9955" i="1"/>
  <c r="B9955" i="1"/>
  <c r="C9955" i="1"/>
  <c r="D9955" i="1"/>
  <c r="E9955" i="1"/>
  <c r="F9955" i="1"/>
  <c r="H9955" i="1"/>
  <c r="A9956" i="1"/>
  <c r="B9956" i="1"/>
  <c r="C9956" i="1"/>
  <c r="D9956" i="1"/>
  <c r="E9956" i="1"/>
  <c r="F9956" i="1"/>
  <c r="H9956" i="1"/>
  <c r="A9957" i="1"/>
  <c r="B9957" i="1"/>
  <c r="C9957" i="1"/>
  <c r="D9957" i="1"/>
  <c r="E9957" i="1"/>
  <c r="F9957" i="1"/>
  <c r="H9957" i="1"/>
  <c r="A9958" i="1"/>
  <c r="B9958" i="1"/>
  <c r="C9958" i="1"/>
  <c r="D9958" i="1"/>
  <c r="E9958" i="1"/>
  <c r="F9958" i="1"/>
  <c r="H9958" i="1"/>
  <c r="A9959" i="1"/>
  <c r="B9959" i="1"/>
  <c r="C9959" i="1"/>
  <c r="D9959" i="1"/>
  <c r="E9959" i="1"/>
  <c r="F9959" i="1"/>
  <c r="H9959" i="1"/>
  <c r="A9960" i="1"/>
  <c r="B9960" i="1"/>
  <c r="C9960" i="1"/>
  <c r="D9960" i="1"/>
  <c r="E9960" i="1"/>
  <c r="F9960" i="1"/>
  <c r="H9960" i="1"/>
  <c r="A9961" i="1"/>
  <c r="B9961" i="1"/>
  <c r="C9961" i="1"/>
  <c r="D9961" i="1"/>
  <c r="E9961" i="1"/>
  <c r="F9961" i="1"/>
  <c r="H9961" i="1"/>
  <c r="A9962" i="1"/>
  <c r="B9962" i="1"/>
  <c r="C9962" i="1"/>
  <c r="D9962" i="1"/>
  <c r="E9962" i="1"/>
  <c r="F9962" i="1"/>
  <c r="H9962" i="1"/>
  <c r="A9963" i="1"/>
  <c r="B9963" i="1"/>
  <c r="C9963" i="1"/>
  <c r="D9963" i="1"/>
  <c r="E9963" i="1"/>
  <c r="F9963" i="1"/>
  <c r="H9963" i="1"/>
  <c r="A9964" i="1"/>
  <c r="B9964" i="1"/>
  <c r="C9964" i="1"/>
  <c r="D9964" i="1"/>
  <c r="E9964" i="1"/>
  <c r="F9964" i="1"/>
  <c r="H9964" i="1"/>
  <c r="A9965" i="1"/>
  <c r="B9965" i="1"/>
  <c r="C9965" i="1"/>
  <c r="D9965" i="1"/>
  <c r="E9965" i="1"/>
  <c r="F9965" i="1"/>
  <c r="H9965" i="1"/>
  <c r="A9966" i="1"/>
  <c r="B9966" i="1"/>
  <c r="C9966" i="1"/>
  <c r="D9966" i="1"/>
  <c r="E9966" i="1"/>
  <c r="F9966" i="1"/>
  <c r="H9966" i="1"/>
  <c r="A9967" i="1"/>
  <c r="B9967" i="1"/>
  <c r="C9967" i="1"/>
  <c r="D9967" i="1"/>
  <c r="E9967" i="1"/>
  <c r="F9967" i="1"/>
  <c r="H9967" i="1"/>
  <c r="A9968" i="1"/>
  <c r="B9968" i="1"/>
  <c r="C9968" i="1"/>
  <c r="D9968" i="1"/>
  <c r="E9968" i="1"/>
  <c r="F9968" i="1"/>
  <c r="H9968" i="1"/>
  <c r="A9969" i="1"/>
  <c r="B9969" i="1"/>
  <c r="C9969" i="1"/>
  <c r="D9969" i="1"/>
  <c r="E9969" i="1"/>
  <c r="F9969" i="1"/>
  <c r="H9969" i="1"/>
  <c r="A9970" i="1"/>
  <c r="B9970" i="1"/>
  <c r="C9970" i="1"/>
  <c r="D9970" i="1"/>
  <c r="E9970" i="1"/>
  <c r="F9970" i="1"/>
  <c r="H9970" i="1"/>
  <c r="A9971" i="1"/>
  <c r="B9971" i="1"/>
  <c r="C9971" i="1"/>
  <c r="D9971" i="1"/>
  <c r="E9971" i="1"/>
  <c r="F9971" i="1"/>
  <c r="H9971" i="1"/>
  <c r="A9972" i="1"/>
  <c r="B9972" i="1"/>
  <c r="C9972" i="1"/>
  <c r="D9972" i="1"/>
  <c r="E9972" i="1"/>
  <c r="F9972" i="1"/>
  <c r="H9972" i="1"/>
  <c r="A9973" i="1"/>
  <c r="B9973" i="1"/>
  <c r="C9973" i="1"/>
  <c r="D9973" i="1"/>
  <c r="E9973" i="1"/>
  <c r="F9973" i="1"/>
  <c r="H9973" i="1"/>
  <c r="A9974" i="1"/>
  <c r="B9974" i="1"/>
  <c r="C9974" i="1"/>
  <c r="D9974" i="1"/>
  <c r="E9974" i="1"/>
  <c r="F9974" i="1"/>
  <c r="H9974" i="1"/>
  <c r="A9975" i="1"/>
  <c r="B9975" i="1"/>
  <c r="C9975" i="1"/>
  <c r="D9975" i="1"/>
  <c r="E9975" i="1"/>
  <c r="F9975" i="1"/>
  <c r="H9975" i="1"/>
  <c r="A9976" i="1"/>
  <c r="B9976" i="1"/>
  <c r="C9976" i="1"/>
  <c r="D9976" i="1"/>
  <c r="E9976" i="1"/>
  <c r="F9976" i="1"/>
  <c r="H9976" i="1"/>
  <c r="A9977" i="1"/>
  <c r="B9977" i="1"/>
  <c r="C9977" i="1"/>
  <c r="D9977" i="1"/>
  <c r="E9977" i="1"/>
  <c r="F9977" i="1"/>
  <c r="H9977" i="1"/>
  <c r="A9978" i="1"/>
  <c r="B9978" i="1"/>
  <c r="C9978" i="1"/>
  <c r="D9978" i="1"/>
  <c r="E9978" i="1"/>
  <c r="F9978" i="1"/>
  <c r="H9978" i="1"/>
  <c r="A9979" i="1"/>
  <c r="B9979" i="1"/>
  <c r="C9979" i="1"/>
  <c r="D9979" i="1"/>
  <c r="E9979" i="1"/>
  <c r="F9979" i="1"/>
  <c r="H9979" i="1"/>
  <c r="A9980" i="1"/>
  <c r="B9980" i="1"/>
  <c r="C9980" i="1"/>
  <c r="D9980" i="1"/>
  <c r="E9980" i="1"/>
  <c r="F9980" i="1"/>
  <c r="H9980" i="1"/>
  <c r="A9981" i="1"/>
  <c r="B9981" i="1"/>
  <c r="C9981" i="1"/>
  <c r="D9981" i="1"/>
  <c r="E9981" i="1"/>
  <c r="F9981" i="1"/>
  <c r="H9981" i="1"/>
  <c r="A9982" i="1"/>
  <c r="B9982" i="1"/>
  <c r="C9982" i="1"/>
  <c r="D9982" i="1"/>
  <c r="E9982" i="1"/>
  <c r="F9982" i="1"/>
  <c r="H9982" i="1"/>
  <c r="A9983" i="1"/>
  <c r="B9983" i="1"/>
  <c r="C9983" i="1"/>
  <c r="D9983" i="1"/>
  <c r="E9983" i="1"/>
  <c r="F9983" i="1"/>
  <c r="H9983" i="1"/>
  <c r="A9984" i="1"/>
  <c r="B9984" i="1"/>
  <c r="C9984" i="1"/>
  <c r="D9984" i="1"/>
  <c r="E9984" i="1"/>
  <c r="F9984" i="1"/>
  <c r="H9984" i="1"/>
  <c r="A9985" i="1"/>
  <c r="B9985" i="1"/>
  <c r="C9985" i="1"/>
  <c r="D9985" i="1"/>
  <c r="E9985" i="1"/>
  <c r="F9985" i="1"/>
  <c r="H9985" i="1"/>
  <c r="A9986" i="1"/>
  <c r="B9986" i="1"/>
  <c r="C9986" i="1"/>
  <c r="D9986" i="1"/>
  <c r="E9986" i="1"/>
  <c r="F9986" i="1"/>
  <c r="H9986" i="1"/>
  <c r="A9987" i="1"/>
  <c r="B9987" i="1"/>
  <c r="C9987" i="1"/>
  <c r="D9987" i="1"/>
  <c r="E9987" i="1"/>
  <c r="F9987" i="1"/>
  <c r="H9987" i="1"/>
  <c r="A9988" i="1"/>
  <c r="B9988" i="1"/>
  <c r="C9988" i="1"/>
  <c r="D9988" i="1"/>
  <c r="E9988" i="1"/>
  <c r="F9988" i="1"/>
  <c r="H9988" i="1"/>
  <c r="A9989" i="1"/>
  <c r="B9989" i="1"/>
  <c r="C9989" i="1"/>
  <c r="D9989" i="1"/>
  <c r="E9989" i="1"/>
  <c r="F9989" i="1"/>
  <c r="H9989" i="1"/>
  <c r="A9990" i="1"/>
  <c r="B9990" i="1"/>
  <c r="C9990" i="1"/>
  <c r="D9990" i="1"/>
  <c r="E9990" i="1"/>
  <c r="F9990" i="1"/>
  <c r="H9990" i="1"/>
  <c r="A9991" i="1"/>
  <c r="B9991" i="1"/>
  <c r="C9991" i="1"/>
  <c r="D9991" i="1"/>
  <c r="E9991" i="1"/>
  <c r="F9991" i="1"/>
  <c r="H9991" i="1"/>
  <c r="A9992" i="1"/>
  <c r="B9992" i="1"/>
  <c r="C9992" i="1"/>
  <c r="D9992" i="1"/>
  <c r="E9992" i="1"/>
  <c r="F9992" i="1"/>
  <c r="H9992" i="1"/>
  <c r="A9993" i="1"/>
  <c r="B9993" i="1"/>
  <c r="C9993" i="1"/>
  <c r="D9993" i="1"/>
  <c r="E9993" i="1"/>
  <c r="F9993" i="1"/>
  <c r="H9993" i="1"/>
  <c r="A9994" i="1"/>
  <c r="B9994" i="1"/>
  <c r="C9994" i="1"/>
  <c r="D9994" i="1"/>
  <c r="E9994" i="1"/>
  <c r="F9994" i="1"/>
  <c r="H9994" i="1"/>
  <c r="A9995" i="1"/>
  <c r="B9995" i="1"/>
  <c r="C9995" i="1"/>
  <c r="D9995" i="1"/>
  <c r="E9995" i="1"/>
  <c r="F9995" i="1"/>
  <c r="H9995" i="1"/>
  <c r="A9996" i="1"/>
  <c r="B9996" i="1"/>
  <c r="C9996" i="1"/>
  <c r="D9996" i="1"/>
  <c r="E9996" i="1"/>
  <c r="F9996" i="1"/>
  <c r="H9996" i="1"/>
  <c r="A9997" i="1"/>
  <c r="B9997" i="1"/>
  <c r="C9997" i="1"/>
  <c r="D9997" i="1"/>
  <c r="E9997" i="1"/>
  <c r="F9997" i="1"/>
  <c r="H9997" i="1"/>
  <c r="A9998" i="1"/>
  <c r="B9998" i="1"/>
  <c r="C9998" i="1"/>
  <c r="D9998" i="1"/>
  <c r="E9998" i="1"/>
  <c r="F9998" i="1"/>
  <c r="H9998" i="1"/>
  <c r="A9999" i="1"/>
  <c r="B9999" i="1"/>
  <c r="C9999" i="1"/>
  <c r="D9999" i="1"/>
  <c r="E9999" i="1"/>
  <c r="F9999" i="1"/>
  <c r="H9999" i="1"/>
  <c r="A10000" i="1"/>
  <c r="B10000" i="1"/>
  <c r="C10000" i="1"/>
  <c r="D10000" i="1"/>
  <c r="E10000" i="1"/>
  <c r="F10000" i="1"/>
  <c r="H10000" i="1"/>
  <c r="A10001" i="1"/>
  <c r="B10001" i="1"/>
  <c r="C10001" i="1"/>
  <c r="D10001" i="1"/>
  <c r="E10001" i="1"/>
  <c r="F10001" i="1"/>
  <c r="H10001" i="1"/>
  <c r="A10002" i="1"/>
  <c r="B10002" i="1"/>
  <c r="C10002" i="1"/>
  <c r="D10002" i="1"/>
  <c r="E10002" i="1"/>
  <c r="F10002" i="1"/>
  <c r="H10002" i="1"/>
  <c r="A10003" i="1"/>
  <c r="B10003" i="1"/>
  <c r="C10003" i="1"/>
  <c r="D10003" i="1"/>
  <c r="E10003" i="1"/>
  <c r="F10003" i="1"/>
  <c r="H10003" i="1"/>
  <c r="A10004" i="1"/>
  <c r="B10004" i="1"/>
  <c r="C10004" i="1"/>
  <c r="D10004" i="1"/>
  <c r="E10004" i="1"/>
  <c r="F10004" i="1"/>
  <c r="H10004" i="1"/>
  <c r="A10005" i="1"/>
  <c r="B10005" i="1"/>
  <c r="C10005" i="1"/>
  <c r="D10005" i="1"/>
  <c r="E10005" i="1"/>
  <c r="F10005" i="1"/>
  <c r="H10005" i="1"/>
  <c r="A10006" i="1"/>
  <c r="B10006" i="1"/>
  <c r="C10006" i="1"/>
  <c r="D10006" i="1"/>
  <c r="E10006" i="1"/>
  <c r="F10006" i="1"/>
  <c r="H10006" i="1"/>
  <c r="A10007" i="1"/>
  <c r="B10007" i="1"/>
  <c r="C10007" i="1"/>
  <c r="D10007" i="1"/>
  <c r="E10007" i="1"/>
  <c r="F10007" i="1"/>
  <c r="H10007" i="1"/>
  <c r="A10008" i="1"/>
  <c r="B10008" i="1"/>
  <c r="C10008" i="1"/>
  <c r="D10008" i="1"/>
  <c r="E10008" i="1"/>
  <c r="F10008" i="1"/>
  <c r="H10008" i="1"/>
  <c r="A10009" i="1"/>
  <c r="B10009" i="1"/>
  <c r="C10009" i="1"/>
  <c r="D10009" i="1"/>
  <c r="E10009" i="1"/>
  <c r="F10009" i="1"/>
  <c r="H10009" i="1"/>
  <c r="A10010" i="1"/>
  <c r="B10010" i="1"/>
  <c r="C10010" i="1"/>
  <c r="D10010" i="1"/>
  <c r="E10010" i="1"/>
  <c r="F10010" i="1"/>
  <c r="H10010" i="1"/>
  <c r="A10011" i="1"/>
  <c r="B10011" i="1"/>
  <c r="C10011" i="1"/>
  <c r="D10011" i="1"/>
  <c r="E10011" i="1"/>
  <c r="F10011" i="1"/>
  <c r="H10011" i="1"/>
  <c r="A10012" i="1"/>
  <c r="B10012" i="1"/>
  <c r="C10012" i="1"/>
  <c r="D10012" i="1"/>
  <c r="E10012" i="1"/>
  <c r="F10012" i="1"/>
  <c r="H10012" i="1"/>
  <c r="A10013" i="1"/>
  <c r="B10013" i="1"/>
  <c r="C10013" i="1"/>
  <c r="D10013" i="1"/>
  <c r="E10013" i="1"/>
  <c r="F10013" i="1"/>
  <c r="H10013" i="1"/>
  <c r="A10014" i="1"/>
  <c r="B10014" i="1"/>
  <c r="C10014" i="1"/>
  <c r="D10014" i="1"/>
  <c r="E10014" i="1"/>
  <c r="F10014" i="1"/>
  <c r="H10014" i="1"/>
  <c r="A10015" i="1"/>
  <c r="B10015" i="1"/>
  <c r="C10015" i="1"/>
  <c r="D10015" i="1"/>
  <c r="E10015" i="1"/>
  <c r="F10015" i="1"/>
  <c r="H10015" i="1"/>
  <c r="A10016" i="1"/>
  <c r="B10016" i="1"/>
  <c r="C10016" i="1"/>
  <c r="D10016" i="1"/>
  <c r="E10016" i="1"/>
  <c r="F10016" i="1"/>
  <c r="H10016" i="1"/>
  <c r="A10017" i="1"/>
  <c r="B10017" i="1"/>
  <c r="C10017" i="1"/>
  <c r="D10017" i="1"/>
  <c r="E10017" i="1"/>
  <c r="F10017" i="1"/>
  <c r="H10017" i="1"/>
  <c r="A10018" i="1"/>
  <c r="B10018" i="1"/>
  <c r="C10018" i="1"/>
  <c r="D10018" i="1"/>
  <c r="E10018" i="1"/>
  <c r="F10018" i="1"/>
  <c r="H10018" i="1"/>
  <c r="A10019" i="1"/>
  <c r="B10019" i="1"/>
  <c r="C10019" i="1"/>
  <c r="D10019" i="1"/>
  <c r="E10019" i="1"/>
  <c r="F10019" i="1"/>
  <c r="H10019" i="1"/>
  <c r="A10020" i="1"/>
  <c r="B10020" i="1"/>
  <c r="C10020" i="1"/>
  <c r="D10020" i="1"/>
  <c r="E10020" i="1"/>
  <c r="F10020" i="1"/>
  <c r="H10020" i="1"/>
  <c r="A10021" i="1"/>
  <c r="B10021" i="1"/>
  <c r="C10021" i="1"/>
  <c r="D10021" i="1"/>
  <c r="E10021" i="1"/>
  <c r="F10021" i="1"/>
  <c r="H10021" i="1"/>
  <c r="A10022" i="1"/>
  <c r="B10022" i="1"/>
  <c r="C10022" i="1"/>
  <c r="D10022" i="1"/>
  <c r="E10022" i="1"/>
  <c r="F10022" i="1"/>
  <c r="H10022" i="1"/>
  <c r="A10023" i="1"/>
  <c r="B10023" i="1"/>
  <c r="C10023" i="1"/>
  <c r="D10023" i="1"/>
  <c r="E10023" i="1"/>
  <c r="F10023" i="1"/>
  <c r="H10023" i="1"/>
  <c r="A10024" i="1"/>
  <c r="B10024" i="1"/>
  <c r="C10024" i="1"/>
  <c r="D10024" i="1"/>
  <c r="E10024" i="1"/>
  <c r="F10024" i="1"/>
  <c r="H10024" i="1"/>
  <c r="A10025" i="1"/>
  <c r="B10025" i="1"/>
  <c r="C10025" i="1"/>
  <c r="D10025" i="1"/>
  <c r="E10025" i="1"/>
  <c r="F10025" i="1"/>
  <c r="H10025" i="1"/>
  <c r="A10026" i="1"/>
  <c r="B10026" i="1"/>
  <c r="C10026" i="1"/>
  <c r="D10026" i="1"/>
  <c r="E10026" i="1"/>
  <c r="F10026" i="1"/>
  <c r="H10026" i="1"/>
  <c r="A10027" i="1"/>
  <c r="B10027" i="1"/>
  <c r="C10027" i="1"/>
  <c r="D10027" i="1"/>
  <c r="E10027" i="1"/>
  <c r="F10027" i="1"/>
  <c r="H10027" i="1"/>
  <c r="A10028" i="1"/>
  <c r="B10028" i="1"/>
  <c r="C10028" i="1"/>
  <c r="D10028" i="1"/>
  <c r="E10028" i="1"/>
  <c r="F10028" i="1"/>
  <c r="H10028" i="1"/>
  <c r="A10029" i="1"/>
  <c r="B10029" i="1"/>
  <c r="C10029" i="1"/>
  <c r="D10029" i="1"/>
  <c r="E10029" i="1"/>
  <c r="F10029" i="1"/>
  <c r="H10029" i="1"/>
  <c r="A10030" i="1"/>
  <c r="B10030" i="1"/>
  <c r="C10030" i="1"/>
  <c r="D10030" i="1"/>
  <c r="E10030" i="1"/>
  <c r="F10030" i="1"/>
  <c r="H10030" i="1"/>
  <c r="A10031" i="1"/>
  <c r="B10031" i="1"/>
  <c r="C10031" i="1"/>
  <c r="D10031" i="1"/>
  <c r="E10031" i="1"/>
  <c r="F10031" i="1"/>
  <c r="H10031" i="1"/>
  <c r="A10032" i="1"/>
  <c r="B10032" i="1"/>
  <c r="C10032" i="1"/>
  <c r="D10032" i="1"/>
  <c r="E10032" i="1"/>
  <c r="F10032" i="1"/>
  <c r="H10032" i="1"/>
  <c r="A10033" i="1"/>
  <c r="B10033" i="1"/>
  <c r="C10033" i="1"/>
  <c r="D10033" i="1"/>
  <c r="E10033" i="1"/>
  <c r="F10033" i="1"/>
  <c r="H10033" i="1"/>
  <c r="A10034" i="1"/>
  <c r="B10034" i="1"/>
  <c r="C10034" i="1"/>
  <c r="D10034" i="1"/>
  <c r="E10034" i="1"/>
  <c r="F10034" i="1"/>
  <c r="H10034" i="1"/>
  <c r="A10035" i="1"/>
  <c r="B10035" i="1"/>
  <c r="C10035" i="1"/>
  <c r="D10035" i="1"/>
  <c r="E10035" i="1"/>
  <c r="F10035" i="1"/>
  <c r="H10035" i="1"/>
  <c r="A10036" i="1"/>
  <c r="B10036" i="1"/>
  <c r="C10036" i="1"/>
  <c r="D10036" i="1"/>
  <c r="E10036" i="1"/>
  <c r="F10036" i="1"/>
  <c r="H10036" i="1"/>
  <c r="A10037" i="1"/>
  <c r="B10037" i="1"/>
  <c r="C10037" i="1"/>
  <c r="D10037" i="1"/>
  <c r="E10037" i="1"/>
  <c r="F10037" i="1"/>
  <c r="H10037" i="1"/>
  <c r="A10038" i="1"/>
  <c r="B10038" i="1"/>
  <c r="C10038" i="1"/>
  <c r="D10038" i="1"/>
  <c r="E10038" i="1"/>
  <c r="F10038" i="1"/>
  <c r="H10038" i="1"/>
  <c r="A10039" i="1"/>
  <c r="B10039" i="1"/>
  <c r="C10039" i="1"/>
  <c r="D10039" i="1"/>
  <c r="E10039" i="1"/>
  <c r="F10039" i="1"/>
  <c r="H10039" i="1"/>
  <c r="A10040" i="1"/>
  <c r="B10040" i="1"/>
  <c r="C10040" i="1"/>
  <c r="D10040" i="1"/>
  <c r="E10040" i="1"/>
  <c r="F10040" i="1"/>
  <c r="H10040" i="1"/>
  <c r="A10041" i="1"/>
  <c r="B10041" i="1"/>
  <c r="C10041" i="1"/>
  <c r="D10041" i="1"/>
  <c r="E10041" i="1"/>
  <c r="F10041" i="1"/>
  <c r="H10041" i="1"/>
  <c r="A10042" i="1"/>
  <c r="B10042" i="1"/>
  <c r="C10042" i="1"/>
  <c r="D10042" i="1"/>
  <c r="E10042" i="1"/>
  <c r="F10042" i="1"/>
  <c r="H10042" i="1"/>
  <c r="A10043" i="1"/>
  <c r="B10043" i="1"/>
  <c r="C10043" i="1"/>
  <c r="D10043" i="1"/>
  <c r="E10043" i="1"/>
  <c r="F10043" i="1"/>
  <c r="H10043" i="1"/>
  <c r="A10044" i="1"/>
  <c r="B10044" i="1"/>
  <c r="C10044" i="1"/>
  <c r="D10044" i="1"/>
  <c r="E10044" i="1"/>
  <c r="F10044" i="1"/>
  <c r="H10044" i="1"/>
  <c r="A10045" i="1"/>
  <c r="B10045" i="1"/>
  <c r="C10045" i="1"/>
  <c r="D10045" i="1"/>
  <c r="E10045" i="1"/>
  <c r="F10045" i="1"/>
  <c r="H10045" i="1"/>
  <c r="A10046" i="1"/>
  <c r="B10046" i="1"/>
  <c r="C10046" i="1"/>
  <c r="D10046" i="1"/>
  <c r="E10046" i="1"/>
  <c r="F10046" i="1"/>
  <c r="H10046" i="1"/>
  <c r="A10047" i="1"/>
  <c r="B10047" i="1"/>
  <c r="C10047" i="1"/>
  <c r="D10047" i="1"/>
  <c r="E10047" i="1"/>
  <c r="F10047" i="1"/>
  <c r="H10047" i="1"/>
  <c r="A10048" i="1"/>
  <c r="B10048" i="1"/>
  <c r="C10048" i="1"/>
  <c r="D10048" i="1"/>
  <c r="E10048" i="1"/>
  <c r="F10048" i="1"/>
  <c r="H10048" i="1"/>
  <c r="A10049" i="1"/>
  <c r="B10049" i="1"/>
  <c r="C10049" i="1"/>
  <c r="D10049" i="1"/>
  <c r="E10049" i="1"/>
  <c r="F10049" i="1"/>
  <c r="H10049" i="1"/>
  <c r="A10050" i="1"/>
  <c r="B10050" i="1"/>
  <c r="C10050" i="1"/>
  <c r="D10050" i="1"/>
  <c r="E10050" i="1"/>
  <c r="F10050" i="1"/>
  <c r="H10050" i="1"/>
  <c r="A10051" i="1"/>
  <c r="B10051" i="1"/>
  <c r="C10051" i="1"/>
  <c r="D10051" i="1"/>
  <c r="E10051" i="1"/>
  <c r="F10051" i="1"/>
  <c r="H10051" i="1"/>
  <c r="A10052" i="1"/>
  <c r="B10052" i="1"/>
  <c r="C10052" i="1"/>
  <c r="D10052" i="1"/>
  <c r="E10052" i="1"/>
  <c r="F10052" i="1"/>
  <c r="H10052" i="1"/>
  <c r="A10053" i="1"/>
  <c r="B10053" i="1"/>
  <c r="C10053" i="1"/>
  <c r="D10053" i="1"/>
  <c r="E10053" i="1"/>
  <c r="F10053" i="1"/>
  <c r="H10053" i="1"/>
  <c r="A10054" i="1"/>
  <c r="B10054" i="1"/>
  <c r="C10054" i="1"/>
  <c r="D10054" i="1"/>
  <c r="E10054" i="1"/>
  <c r="F10054" i="1"/>
  <c r="H10054" i="1"/>
  <c r="A10055" i="1"/>
  <c r="B10055" i="1"/>
  <c r="C10055" i="1"/>
  <c r="D10055" i="1"/>
  <c r="E10055" i="1"/>
  <c r="F10055" i="1"/>
  <c r="H10055" i="1"/>
  <c r="A10056" i="1"/>
  <c r="B10056" i="1"/>
  <c r="C10056" i="1"/>
  <c r="D10056" i="1"/>
  <c r="E10056" i="1"/>
  <c r="F10056" i="1"/>
  <c r="H10056" i="1"/>
  <c r="A10057" i="1"/>
  <c r="B10057" i="1"/>
  <c r="C10057" i="1"/>
  <c r="D10057" i="1"/>
  <c r="E10057" i="1"/>
  <c r="F10057" i="1"/>
  <c r="H10057" i="1"/>
  <c r="A10058" i="1"/>
  <c r="B10058" i="1"/>
  <c r="C10058" i="1"/>
  <c r="D10058" i="1"/>
  <c r="E10058" i="1"/>
  <c r="F10058" i="1"/>
  <c r="H10058" i="1"/>
  <c r="A10059" i="1"/>
  <c r="B10059" i="1"/>
  <c r="C10059" i="1"/>
  <c r="D10059" i="1"/>
  <c r="E10059" i="1"/>
  <c r="F10059" i="1"/>
  <c r="H10059" i="1"/>
  <c r="A10060" i="1"/>
  <c r="B10060" i="1"/>
  <c r="C10060" i="1"/>
  <c r="D10060" i="1"/>
  <c r="E10060" i="1"/>
  <c r="F10060" i="1"/>
  <c r="H10060" i="1"/>
  <c r="A10061" i="1"/>
  <c r="B10061" i="1"/>
  <c r="C10061" i="1"/>
  <c r="D10061" i="1"/>
  <c r="E10061" i="1"/>
  <c r="F10061" i="1"/>
  <c r="H10061" i="1"/>
  <c r="A10062" i="1"/>
  <c r="B10062" i="1"/>
  <c r="C10062" i="1"/>
  <c r="D10062" i="1"/>
  <c r="E10062" i="1"/>
  <c r="F10062" i="1"/>
  <c r="H10062" i="1"/>
  <c r="A10063" i="1"/>
  <c r="B10063" i="1"/>
  <c r="C10063" i="1"/>
  <c r="D10063" i="1"/>
  <c r="E10063" i="1"/>
  <c r="F10063" i="1"/>
  <c r="H10063" i="1"/>
  <c r="A10064" i="1"/>
  <c r="B10064" i="1"/>
  <c r="C10064" i="1"/>
  <c r="D10064" i="1"/>
  <c r="E10064" i="1"/>
  <c r="F10064" i="1"/>
  <c r="H10064" i="1"/>
  <c r="A10065" i="1"/>
  <c r="B10065" i="1"/>
  <c r="C10065" i="1"/>
  <c r="D10065" i="1"/>
  <c r="E10065" i="1"/>
  <c r="F10065" i="1"/>
  <c r="H10065" i="1"/>
  <c r="A10066" i="1"/>
  <c r="B10066" i="1"/>
  <c r="C10066" i="1"/>
  <c r="D10066" i="1"/>
  <c r="E10066" i="1"/>
  <c r="F10066" i="1"/>
  <c r="H10066" i="1"/>
  <c r="A10067" i="1"/>
  <c r="B10067" i="1"/>
  <c r="C10067" i="1"/>
  <c r="D10067" i="1"/>
  <c r="E10067" i="1"/>
  <c r="F10067" i="1"/>
  <c r="H10067" i="1"/>
  <c r="A10068" i="1"/>
  <c r="B10068" i="1"/>
  <c r="C10068" i="1"/>
  <c r="D10068" i="1"/>
  <c r="E10068" i="1"/>
  <c r="F10068" i="1"/>
  <c r="H10068" i="1"/>
  <c r="A10069" i="1"/>
  <c r="B10069" i="1"/>
  <c r="C10069" i="1"/>
  <c r="D10069" i="1"/>
  <c r="E10069" i="1"/>
  <c r="F10069" i="1"/>
  <c r="H10069" i="1"/>
  <c r="A10070" i="1"/>
  <c r="B10070" i="1"/>
  <c r="C10070" i="1"/>
  <c r="D10070" i="1"/>
  <c r="E10070" i="1"/>
  <c r="F10070" i="1"/>
  <c r="H10070" i="1"/>
  <c r="A10071" i="1"/>
  <c r="B10071" i="1"/>
  <c r="C10071" i="1"/>
  <c r="D10071" i="1"/>
  <c r="E10071" i="1"/>
  <c r="F10071" i="1"/>
  <c r="H10071" i="1"/>
  <c r="A10072" i="1"/>
  <c r="B10072" i="1"/>
  <c r="C10072" i="1"/>
  <c r="D10072" i="1"/>
  <c r="E10072" i="1"/>
  <c r="F10072" i="1"/>
  <c r="H10072" i="1"/>
  <c r="A10073" i="1"/>
  <c r="B10073" i="1"/>
  <c r="C10073" i="1"/>
  <c r="D10073" i="1"/>
  <c r="E10073" i="1"/>
  <c r="F10073" i="1"/>
  <c r="H10073" i="1"/>
  <c r="A10074" i="1"/>
  <c r="B10074" i="1"/>
  <c r="C10074" i="1"/>
  <c r="D10074" i="1"/>
  <c r="E10074" i="1"/>
  <c r="F10074" i="1"/>
  <c r="H10074" i="1"/>
  <c r="A10075" i="1"/>
  <c r="B10075" i="1"/>
  <c r="C10075" i="1"/>
  <c r="D10075" i="1"/>
  <c r="E10075" i="1"/>
  <c r="F10075" i="1"/>
  <c r="H10075" i="1"/>
  <c r="A10076" i="1"/>
  <c r="B10076" i="1"/>
  <c r="C10076" i="1"/>
  <c r="D10076" i="1"/>
  <c r="E10076" i="1"/>
  <c r="F10076" i="1"/>
  <c r="H10076" i="1"/>
  <c r="A10077" i="1"/>
  <c r="B10077" i="1"/>
  <c r="C10077" i="1"/>
  <c r="D10077" i="1"/>
  <c r="E10077" i="1"/>
  <c r="F10077" i="1"/>
  <c r="H10077" i="1"/>
  <c r="A10078" i="1"/>
  <c r="B10078" i="1"/>
  <c r="C10078" i="1"/>
  <c r="D10078" i="1"/>
  <c r="E10078" i="1"/>
  <c r="F10078" i="1"/>
  <c r="H10078" i="1"/>
  <c r="A10079" i="1"/>
  <c r="B10079" i="1"/>
  <c r="C10079" i="1"/>
  <c r="D10079" i="1"/>
  <c r="E10079" i="1"/>
  <c r="F10079" i="1"/>
  <c r="H10079" i="1"/>
  <c r="A10080" i="1"/>
  <c r="B10080" i="1"/>
  <c r="C10080" i="1"/>
  <c r="D10080" i="1"/>
  <c r="E10080" i="1"/>
  <c r="F10080" i="1"/>
  <c r="H10080" i="1"/>
  <c r="A10081" i="1"/>
  <c r="B10081" i="1"/>
  <c r="C10081" i="1"/>
  <c r="D10081" i="1"/>
  <c r="E10081" i="1"/>
  <c r="F10081" i="1"/>
  <c r="H10081" i="1"/>
  <c r="A10082" i="1"/>
  <c r="B10082" i="1"/>
  <c r="C10082" i="1"/>
  <c r="D10082" i="1"/>
  <c r="E10082" i="1"/>
  <c r="F10082" i="1"/>
  <c r="H10082" i="1"/>
  <c r="A10083" i="1"/>
  <c r="B10083" i="1"/>
  <c r="C10083" i="1"/>
  <c r="D10083" i="1"/>
  <c r="E10083" i="1"/>
  <c r="F10083" i="1"/>
  <c r="H10083" i="1"/>
  <c r="A10084" i="1"/>
  <c r="B10084" i="1"/>
  <c r="C10084" i="1"/>
  <c r="D10084" i="1"/>
  <c r="E10084" i="1"/>
  <c r="F10084" i="1"/>
  <c r="H10084" i="1"/>
  <c r="A10085" i="1"/>
  <c r="B10085" i="1"/>
  <c r="C10085" i="1"/>
  <c r="D10085" i="1"/>
  <c r="E10085" i="1"/>
  <c r="F10085" i="1"/>
  <c r="H10085" i="1"/>
  <c r="A10086" i="1"/>
  <c r="B10086" i="1"/>
  <c r="C10086" i="1"/>
  <c r="D10086" i="1"/>
  <c r="E10086" i="1"/>
  <c r="F10086" i="1"/>
  <c r="H10086" i="1"/>
  <c r="A10087" i="1"/>
  <c r="B10087" i="1"/>
  <c r="C10087" i="1"/>
  <c r="D10087" i="1"/>
  <c r="E10087" i="1"/>
  <c r="F10087" i="1"/>
  <c r="H10087" i="1"/>
  <c r="A10088" i="1"/>
  <c r="B10088" i="1"/>
  <c r="C10088" i="1"/>
  <c r="D10088" i="1"/>
  <c r="E10088" i="1"/>
  <c r="F10088" i="1"/>
  <c r="H10088" i="1"/>
  <c r="A10089" i="1"/>
  <c r="B10089" i="1"/>
  <c r="C10089" i="1"/>
  <c r="D10089" i="1"/>
  <c r="E10089" i="1"/>
  <c r="F10089" i="1"/>
  <c r="H10089" i="1"/>
  <c r="A10090" i="1"/>
  <c r="B10090" i="1"/>
  <c r="C10090" i="1"/>
  <c r="D10090" i="1"/>
  <c r="E10090" i="1"/>
  <c r="F10090" i="1"/>
  <c r="H10090" i="1"/>
  <c r="A10091" i="1"/>
  <c r="B10091" i="1"/>
  <c r="C10091" i="1"/>
  <c r="D10091" i="1"/>
  <c r="E10091" i="1"/>
  <c r="F10091" i="1"/>
  <c r="H10091" i="1"/>
  <c r="A10092" i="1"/>
  <c r="B10092" i="1"/>
  <c r="C10092" i="1"/>
  <c r="D10092" i="1"/>
  <c r="E10092" i="1"/>
  <c r="F10092" i="1"/>
  <c r="H10092" i="1"/>
  <c r="A10093" i="1"/>
  <c r="B10093" i="1"/>
  <c r="C10093" i="1"/>
  <c r="D10093" i="1"/>
  <c r="E10093" i="1"/>
  <c r="F10093" i="1"/>
  <c r="H10093" i="1"/>
  <c r="A10094" i="1"/>
  <c r="B10094" i="1"/>
  <c r="C10094" i="1"/>
  <c r="D10094" i="1"/>
  <c r="E10094" i="1"/>
  <c r="F10094" i="1"/>
  <c r="H10094" i="1"/>
  <c r="A10095" i="1"/>
  <c r="B10095" i="1"/>
  <c r="C10095" i="1"/>
  <c r="D10095" i="1"/>
  <c r="E10095" i="1"/>
  <c r="F10095" i="1"/>
  <c r="H10095" i="1"/>
  <c r="A10096" i="1"/>
  <c r="B10096" i="1"/>
  <c r="C10096" i="1"/>
  <c r="D10096" i="1"/>
  <c r="E10096" i="1"/>
  <c r="F10096" i="1"/>
  <c r="H10096" i="1"/>
  <c r="A10097" i="1"/>
  <c r="B10097" i="1"/>
  <c r="C10097" i="1"/>
  <c r="D10097" i="1"/>
  <c r="E10097" i="1"/>
  <c r="F10097" i="1"/>
  <c r="H10097" i="1"/>
  <c r="A10098" i="1"/>
  <c r="B10098" i="1"/>
  <c r="C10098" i="1"/>
  <c r="D10098" i="1"/>
  <c r="E10098" i="1"/>
  <c r="F10098" i="1"/>
  <c r="H10098" i="1"/>
  <c r="A10099" i="1"/>
  <c r="B10099" i="1"/>
  <c r="C10099" i="1"/>
  <c r="D10099" i="1"/>
  <c r="E10099" i="1"/>
  <c r="F10099" i="1"/>
  <c r="H10099" i="1"/>
  <c r="A10100" i="1"/>
  <c r="B10100" i="1"/>
  <c r="C10100" i="1"/>
  <c r="D10100" i="1"/>
  <c r="E10100" i="1"/>
  <c r="F10100" i="1"/>
  <c r="H10100" i="1"/>
  <c r="A10101" i="1"/>
  <c r="B10101" i="1"/>
  <c r="C10101" i="1"/>
  <c r="D10101" i="1"/>
  <c r="E10101" i="1"/>
  <c r="F10101" i="1"/>
  <c r="H10101" i="1"/>
  <c r="A10102" i="1"/>
  <c r="B10102" i="1"/>
  <c r="C10102" i="1"/>
  <c r="D10102" i="1"/>
  <c r="E10102" i="1"/>
  <c r="F10102" i="1"/>
  <c r="H10102" i="1"/>
  <c r="A10103" i="1"/>
  <c r="B10103" i="1"/>
  <c r="C10103" i="1"/>
  <c r="D10103" i="1"/>
  <c r="E10103" i="1"/>
  <c r="F10103" i="1"/>
  <c r="H10103" i="1"/>
  <c r="A10104" i="1"/>
  <c r="B10104" i="1"/>
  <c r="C10104" i="1"/>
  <c r="D10104" i="1"/>
  <c r="E10104" i="1"/>
  <c r="F10104" i="1"/>
  <c r="H10104" i="1"/>
  <c r="A10105" i="1"/>
  <c r="B10105" i="1"/>
  <c r="C10105" i="1"/>
  <c r="D10105" i="1"/>
  <c r="E10105" i="1"/>
  <c r="F10105" i="1"/>
  <c r="H10105" i="1"/>
  <c r="A10106" i="1"/>
  <c r="B10106" i="1"/>
  <c r="C10106" i="1"/>
  <c r="D10106" i="1"/>
  <c r="E10106" i="1"/>
  <c r="F10106" i="1"/>
  <c r="H10106" i="1"/>
  <c r="A10107" i="1"/>
  <c r="B10107" i="1"/>
  <c r="C10107" i="1"/>
  <c r="D10107" i="1"/>
  <c r="E10107" i="1"/>
  <c r="F10107" i="1"/>
  <c r="H10107" i="1"/>
  <c r="A10108" i="1"/>
  <c r="B10108" i="1"/>
  <c r="C10108" i="1"/>
  <c r="D10108" i="1"/>
  <c r="E10108" i="1"/>
  <c r="F10108" i="1"/>
  <c r="H10108" i="1"/>
  <c r="A10109" i="1"/>
  <c r="B10109" i="1"/>
  <c r="C10109" i="1"/>
  <c r="D10109" i="1"/>
  <c r="E10109" i="1"/>
  <c r="F10109" i="1"/>
  <c r="H10109" i="1"/>
  <c r="A10110" i="1"/>
  <c r="B10110" i="1"/>
  <c r="C10110" i="1"/>
  <c r="D10110" i="1"/>
  <c r="E10110" i="1"/>
  <c r="F10110" i="1"/>
  <c r="H10110" i="1"/>
  <c r="A10111" i="1"/>
  <c r="B10111" i="1"/>
  <c r="C10111" i="1"/>
  <c r="D10111" i="1"/>
  <c r="E10111" i="1"/>
  <c r="F10111" i="1"/>
  <c r="H10111" i="1"/>
  <c r="A10112" i="1"/>
  <c r="B10112" i="1"/>
  <c r="C10112" i="1"/>
  <c r="D10112" i="1"/>
  <c r="E10112" i="1"/>
  <c r="F10112" i="1"/>
  <c r="H10112" i="1"/>
  <c r="A10113" i="1"/>
  <c r="B10113" i="1"/>
  <c r="C10113" i="1"/>
  <c r="D10113" i="1"/>
  <c r="E10113" i="1"/>
  <c r="F10113" i="1"/>
  <c r="H10113" i="1"/>
  <c r="A10114" i="1"/>
  <c r="B10114" i="1"/>
  <c r="C10114" i="1"/>
  <c r="D10114" i="1"/>
  <c r="E10114" i="1"/>
  <c r="F10114" i="1"/>
  <c r="H10114" i="1"/>
  <c r="A10115" i="1"/>
  <c r="B10115" i="1"/>
  <c r="C10115" i="1"/>
  <c r="D10115" i="1"/>
  <c r="E10115" i="1"/>
  <c r="F10115" i="1"/>
  <c r="H10115" i="1"/>
  <c r="A10116" i="1"/>
  <c r="B10116" i="1"/>
  <c r="C10116" i="1"/>
  <c r="D10116" i="1"/>
  <c r="E10116" i="1"/>
  <c r="F10116" i="1"/>
  <c r="H10116" i="1"/>
  <c r="A10117" i="1"/>
  <c r="B10117" i="1"/>
  <c r="C10117" i="1"/>
  <c r="D10117" i="1"/>
  <c r="E10117" i="1"/>
  <c r="F10117" i="1"/>
  <c r="H10117" i="1"/>
  <c r="A10118" i="1"/>
  <c r="B10118" i="1"/>
  <c r="C10118" i="1"/>
  <c r="D10118" i="1"/>
  <c r="E10118" i="1"/>
  <c r="F10118" i="1"/>
  <c r="H10118" i="1"/>
  <c r="A10119" i="1"/>
  <c r="B10119" i="1"/>
  <c r="C10119" i="1"/>
  <c r="D10119" i="1"/>
  <c r="E10119" i="1"/>
  <c r="F10119" i="1"/>
  <c r="H10119" i="1"/>
  <c r="A10120" i="1"/>
  <c r="B10120" i="1"/>
  <c r="C10120" i="1"/>
  <c r="D10120" i="1"/>
  <c r="E10120" i="1"/>
  <c r="F10120" i="1"/>
  <c r="H10120" i="1"/>
  <c r="A10121" i="1"/>
  <c r="B10121" i="1"/>
  <c r="C10121" i="1"/>
  <c r="D10121" i="1"/>
  <c r="E10121" i="1"/>
  <c r="F10121" i="1"/>
  <c r="H10121" i="1"/>
  <c r="A10122" i="1"/>
  <c r="B10122" i="1"/>
  <c r="C10122" i="1"/>
  <c r="D10122" i="1"/>
  <c r="E10122" i="1"/>
  <c r="F10122" i="1"/>
  <c r="H10122" i="1"/>
  <c r="A10123" i="1"/>
  <c r="B10123" i="1"/>
  <c r="C10123" i="1"/>
  <c r="D10123" i="1"/>
  <c r="E10123" i="1"/>
  <c r="F10123" i="1"/>
  <c r="H10123" i="1"/>
  <c r="A10124" i="1"/>
  <c r="B10124" i="1"/>
  <c r="C10124" i="1"/>
  <c r="D10124" i="1"/>
  <c r="E10124" i="1"/>
  <c r="F10124" i="1"/>
  <c r="H10124" i="1"/>
  <c r="A10125" i="1"/>
  <c r="B10125" i="1"/>
  <c r="C10125" i="1"/>
  <c r="D10125" i="1"/>
  <c r="E10125" i="1"/>
  <c r="F10125" i="1"/>
  <c r="H10125" i="1"/>
  <c r="A10126" i="1"/>
  <c r="B10126" i="1"/>
  <c r="C10126" i="1"/>
  <c r="D10126" i="1"/>
  <c r="E10126" i="1"/>
  <c r="F10126" i="1"/>
  <c r="H10126" i="1"/>
  <c r="A10127" i="1"/>
  <c r="B10127" i="1"/>
  <c r="C10127" i="1"/>
  <c r="D10127" i="1"/>
  <c r="E10127" i="1"/>
  <c r="F10127" i="1"/>
  <c r="H10127" i="1"/>
  <c r="A10128" i="1"/>
  <c r="B10128" i="1"/>
  <c r="C10128" i="1"/>
  <c r="D10128" i="1"/>
  <c r="E10128" i="1"/>
  <c r="F10128" i="1"/>
  <c r="H10128" i="1"/>
  <c r="A10129" i="1"/>
  <c r="B10129" i="1"/>
  <c r="C10129" i="1"/>
  <c r="D10129" i="1"/>
  <c r="E10129" i="1"/>
  <c r="F10129" i="1"/>
  <c r="H10129" i="1"/>
  <c r="A10130" i="1"/>
  <c r="B10130" i="1"/>
  <c r="C10130" i="1"/>
  <c r="D10130" i="1"/>
  <c r="E10130" i="1"/>
  <c r="F10130" i="1"/>
  <c r="H10130" i="1"/>
  <c r="A10131" i="1"/>
  <c r="B10131" i="1"/>
  <c r="C10131" i="1"/>
  <c r="D10131" i="1"/>
  <c r="E10131" i="1"/>
  <c r="F10131" i="1"/>
  <c r="H10131" i="1"/>
  <c r="A10132" i="1"/>
  <c r="B10132" i="1"/>
  <c r="C10132" i="1"/>
  <c r="D10132" i="1"/>
  <c r="E10132" i="1"/>
  <c r="F10132" i="1"/>
  <c r="H10132" i="1"/>
  <c r="A10133" i="1"/>
  <c r="B10133" i="1"/>
  <c r="C10133" i="1"/>
  <c r="D10133" i="1"/>
  <c r="E10133" i="1"/>
  <c r="F10133" i="1"/>
  <c r="H10133" i="1"/>
  <c r="A10134" i="1"/>
  <c r="B10134" i="1"/>
  <c r="C10134" i="1"/>
  <c r="D10134" i="1"/>
  <c r="E10134" i="1"/>
  <c r="F10134" i="1"/>
  <c r="H10134" i="1"/>
  <c r="A10135" i="1"/>
  <c r="B10135" i="1"/>
  <c r="C10135" i="1"/>
  <c r="D10135" i="1"/>
  <c r="E10135" i="1"/>
  <c r="F10135" i="1"/>
  <c r="H10135" i="1"/>
  <c r="A10136" i="1"/>
  <c r="B10136" i="1"/>
  <c r="C10136" i="1"/>
  <c r="D10136" i="1"/>
  <c r="E10136" i="1"/>
  <c r="F10136" i="1"/>
  <c r="H10136" i="1"/>
  <c r="A10137" i="1"/>
  <c r="B10137" i="1"/>
  <c r="C10137" i="1"/>
  <c r="D10137" i="1"/>
  <c r="E10137" i="1"/>
  <c r="F10137" i="1"/>
  <c r="H10137" i="1"/>
  <c r="A10138" i="1"/>
  <c r="B10138" i="1"/>
  <c r="C10138" i="1"/>
  <c r="D10138" i="1"/>
  <c r="E10138" i="1"/>
  <c r="F10138" i="1"/>
  <c r="H10138" i="1"/>
  <c r="A10139" i="1"/>
  <c r="B10139" i="1"/>
  <c r="C10139" i="1"/>
  <c r="D10139" i="1"/>
  <c r="E10139" i="1"/>
  <c r="F10139" i="1"/>
  <c r="H10139" i="1"/>
  <c r="A10140" i="1"/>
  <c r="B10140" i="1"/>
  <c r="C10140" i="1"/>
  <c r="D10140" i="1"/>
  <c r="E10140" i="1"/>
  <c r="F10140" i="1"/>
  <c r="H10140" i="1"/>
  <c r="A10141" i="1"/>
  <c r="B10141" i="1"/>
  <c r="C10141" i="1"/>
  <c r="D10141" i="1"/>
  <c r="E10141" i="1"/>
  <c r="F10141" i="1"/>
  <c r="H10141" i="1"/>
  <c r="A10142" i="1"/>
  <c r="B10142" i="1"/>
  <c r="C10142" i="1"/>
  <c r="D10142" i="1"/>
  <c r="E10142" i="1"/>
  <c r="F10142" i="1"/>
  <c r="H10142" i="1"/>
  <c r="A10143" i="1"/>
  <c r="B10143" i="1"/>
  <c r="C10143" i="1"/>
  <c r="D10143" i="1"/>
  <c r="E10143" i="1"/>
  <c r="F10143" i="1"/>
  <c r="H10143" i="1"/>
  <c r="A10144" i="1"/>
  <c r="B10144" i="1"/>
  <c r="C10144" i="1"/>
  <c r="D10144" i="1"/>
  <c r="E10144" i="1"/>
  <c r="F10144" i="1"/>
  <c r="H10144" i="1"/>
  <c r="A10145" i="1"/>
  <c r="B10145" i="1"/>
  <c r="C10145" i="1"/>
  <c r="D10145" i="1"/>
  <c r="E10145" i="1"/>
  <c r="F10145" i="1"/>
  <c r="H10145" i="1"/>
  <c r="A10146" i="1"/>
  <c r="B10146" i="1"/>
  <c r="C10146" i="1"/>
  <c r="D10146" i="1"/>
  <c r="E10146" i="1"/>
  <c r="F10146" i="1"/>
  <c r="H10146" i="1"/>
  <c r="A10147" i="1"/>
  <c r="B10147" i="1"/>
  <c r="C10147" i="1"/>
  <c r="D10147" i="1"/>
  <c r="E10147" i="1"/>
  <c r="F10147" i="1"/>
  <c r="H10147" i="1"/>
  <c r="A10148" i="1"/>
  <c r="B10148" i="1"/>
  <c r="C10148" i="1"/>
  <c r="D10148" i="1"/>
  <c r="E10148" i="1"/>
  <c r="F10148" i="1"/>
  <c r="H10148" i="1"/>
  <c r="A10149" i="1"/>
  <c r="B10149" i="1"/>
  <c r="C10149" i="1"/>
  <c r="D10149" i="1"/>
  <c r="E10149" i="1"/>
  <c r="F10149" i="1"/>
  <c r="H10149" i="1"/>
  <c r="A10150" i="1"/>
  <c r="B10150" i="1"/>
  <c r="C10150" i="1"/>
  <c r="D10150" i="1"/>
  <c r="E10150" i="1"/>
  <c r="F10150" i="1"/>
  <c r="H10150" i="1"/>
  <c r="A10151" i="1"/>
  <c r="B10151" i="1"/>
  <c r="C10151" i="1"/>
  <c r="D10151" i="1"/>
  <c r="E10151" i="1"/>
  <c r="F10151" i="1"/>
  <c r="H10151" i="1"/>
  <c r="A10152" i="1"/>
  <c r="B10152" i="1"/>
  <c r="C10152" i="1"/>
  <c r="D10152" i="1"/>
  <c r="E10152" i="1"/>
  <c r="F10152" i="1"/>
  <c r="H10152" i="1"/>
  <c r="A10153" i="1"/>
  <c r="B10153" i="1"/>
  <c r="C10153" i="1"/>
  <c r="D10153" i="1"/>
  <c r="E10153" i="1"/>
  <c r="F10153" i="1"/>
  <c r="H10153" i="1"/>
  <c r="A10154" i="1"/>
  <c r="B10154" i="1"/>
  <c r="C10154" i="1"/>
  <c r="D10154" i="1"/>
  <c r="E10154" i="1"/>
  <c r="F10154" i="1"/>
  <c r="H10154" i="1"/>
  <c r="A10155" i="1"/>
  <c r="B10155" i="1"/>
  <c r="C10155" i="1"/>
  <c r="D10155" i="1"/>
  <c r="E10155" i="1"/>
  <c r="F10155" i="1"/>
  <c r="H10155" i="1"/>
  <c r="A10156" i="1"/>
  <c r="B10156" i="1"/>
  <c r="C10156" i="1"/>
  <c r="D10156" i="1"/>
  <c r="E10156" i="1"/>
  <c r="F10156" i="1"/>
  <c r="H10156" i="1"/>
  <c r="A10157" i="1"/>
  <c r="B10157" i="1"/>
  <c r="C10157" i="1"/>
  <c r="D10157" i="1"/>
  <c r="E10157" i="1"/>
  <c r="F10157" i="1"/>
  <c r="H10157" i="1"/>
  <c r="A10158" i="1"/>
  <c r="B10158" i="1"/>
  <c r="C10158" i="1"/>
  <c r="D10158" i="1"/>
  <c r="E10158" i="1"/>
  <c r="F10158" i="1"/>
  <c r="H10158" i="1"/>
  <c r="A10159" i="1"/>
  <c r="B10159" i="1"/>
  <c r="C10159" i="1"/>
  <c r="D10159" i="1"/>
  <c r="E10159" i="1"/>
  <c r="F10159" i="1"/>
  <c r="H10159" i="1"/>
  <c r="A10160" i="1"/>
  <c r="B10160" i="1"/>
  <c r="C10160" i="1"/>
  <c r="D10160" i="1"/>
  <c r="E10160" i="1"/>
  <c r="F10160" i="1"/>
  <c r="H10160" i="1"/>
  <c r="A10161" i="1"/>
  <c r="B10161" i="1"/>
  <c r="C10161" i="1"/>
  <c r="D10161" i="1"/>
  <c r="E10161" i="1"/>
  <c r="F10161" i="1"/>
  <c r="H10161" i="1"/>
  <c r="A10162" i="1"/>
  <c r="B10162" i="1"/>
  <c r="C10162" i="1"/>
  <c r="D10162" i="1"/>
  <c r="E10162" i="1"/>
  <c r="F10162" i="1"/>
  <c r="H10162" i="1"/>
  <c r="A10163" i="1"/>
  <c r="B10163" i="1"/>
  <c r="C10163" i="1"/>
  <c r="D10163" i="1"/>
  <c r="E10163" i="1"/>
  <c r="F10163" i="1"/>
  <c r="H10163" i="1"/>
  <c r="A10164" i="1"/>
  <c r="B10164" i="1"/>
  <c r="C10164" i="1"/>
  <c r="D10164" i="1"/>
  <c r="E10164" i="1"/>
  <c r="F10164" i="1"/>
  <c r="H10164" i="1"/>
  <c r="A10165" i="1"/>
  <c r="B10165" i="1"/>
  <c r="C10165" i="1"/>
  <c r="D10165" i="1"/>
  <c r="E10165" i="1"/>
  <c r="F10165" i="1"/>
  <c r="H10165" i="1"/>
  <c r="A10166" i="1"/>
  <c r="B10166" i="1"/>
  <c r="C10166" i="1"/>
  <c r="D10166" i="1"/>
  <c r="E10166" i="1"/>
  <c r="F10166" i="1"/>
  <c r="H10166" i="1"/>
  <c r="A10167" i="1"/>
  <c r="B10167" i="1"/>
  <c r="C10167" i="1"/>
  <c r="D10167" i="1"/>
  <c r="E10167" i="1"/>
  <c r="F10167" i="1"/>
  <c r="H10167" i="1"/>
  <c r="A10168" i="1"/>
  <c r="B10168" i="1"/>
  <c r="C10168" i="1"/>
  <c r="D10168" i="1"/>
  <c r="E10168" i="1"/>
  <c r="F10168" i="1"/>
  <c r="H10168" i="1"/>
  <c r="A10169" i="1"/>
  <c r="B10169" i="1"/>
  <c r="C10169" i="1"/>
  <c r="D10169" i="1"/>
  <c r="E10169" i="1"/>
  <c r="F10169" i="1"/>
  <c r="H10169" i="1"/>
  <c r="A10170" i="1"/>
  <c r="B10170" i="1"/>
  <c r="C10170" i="1"/>
  <c r="D10170" i="1"/>
  <c r="E10170" i="1"/>
  <c r="F10170" i="1"/>
  <c r="H10170" i="1"/>
  <c r="A10171" i="1"/>
  <c r="B10171" i="1"/>
  <c r="C10171" i="1"/>
  <c r="D10171" i="1"/>
  <c r="E10171" i="1"/>
  <c r="F10171" i="1"/>
  <c r="H10171" i="1"/>
  <c r="A10172" i="1"/>
  <c r="B10172" i="1"/>
  <c r="C10172" i="1"/>
  <c r="D10172" i="1"/>
  <c r="E10172" i="1"/>
  <c r="F10172" i="1"/>
  <c r="H10172" i="1"/>
  <c r="A10173" i="1"/>
  <c r="B10173" i="1"/>
  <c r="C10173" i="1"/>
  <c r="D10173" i="1"/>
  <c r="E10173" i="1"/>
  <c r="F10173" i="1"/>
  <c r="H10173" i="1"/>
  <c r="A10174" i="1"/>
  <c r="B10174" i="1"/>
  <c r="C10174" i="1"/>
  <c r="D10174" i="1"/>
  <c r="E10174" i="1"/>
  <c r="F10174" i="1"/>
  <c r="H10174" i="1"/>
  <c r="A10175" i="1"/>
  <c r="B10175" i="1"/>
  <c r="C10175" i="1"/>
  <c r="D10175" i="1"/>
  <c r="E10175" i="1"/>
  <c r="F10175" i="1"/>
  <c r="H10175" i="1"/>
  <c r="A10176" i="1"/>
  <c r="B10176" i="1"/>
  <c r="C10176" i="1"/>
  <c r="D10176" i="1"/>
  <c r="E10176" i="1"/>
  <c r="F10176" i="1"/>
  <c r="H10176" i="1"/>
  <c r="A10177" i="1"/>
  <c r="B10177" i="1"/>
  <c r="C10177" i="1"/>
  <c r="D10177" i="1"/>
  <c r="E10177" i="1"/>
  <c r="F10177" i="1"/>
  <c r="H10177" i="1"/>
  <c r="A10178" i="1"/>
  <c r="B10178" i="1"/>
  <c r="C10178" i="1"/>
  <c r="D10178" i="1"/>
  <c r="E10178" i="1"/>
  <c r="F10178" i="1"/>
  <c r="H10178" i="1"/>
  <c r="A10179" i="1"/>
  <c r="B10179" i="1"/>
  <c r="C10179" i="1"/>
  <c r="D10179" i="1"/>
  <c r="E10179" i="1"/>
  <c r="F10179" i="1"/>
  <c r="H10179" i="1"/>
  <c r="A10180" i="1"/>
  <c r="B10180" i="1"/>
  <c r="C10180" i="1"/>
  <c r="D10180" i="1"/>
  <c r="E10180" i="1"/>
  <c r="F10180" i="1"/>
  <c r="H10180" i="1"/>
  <c r="A10181" i="1"/>
  <c r="B10181" i="1"/>
  <c r="C10181" i="1"/>
  <c r="D10181" i="1"/>
  <c r="E10181" i="1"/>
  <c r="F10181" i="1"/>
  <c r="H10181" i="1"/>
  <c r="A10182" i="1"/>
  <c r="B10182" i="1"/>
  <c r="C10182" i="1"/>
  <c r="D10182" i="1"/>
  <c r="E10182" i="1"/>
  <c r="F10182" i="1"/>
  <c r="H10182" i="1"/>
  <c r="A10183" i="1"/>
  <c r="B10183" i="1"/>
  <c r="C10183" i="1"/>
  <c r="D10183" i="1"/>
  <c r="E10183" i="1"/>
  <c r="F10183" i="1"/>
  <c r="H10183" i="1"/>
  <c r="A10184" i="1"/>
  <c r="B10184" i="1"/>
  <c r="C10184" i="1"/>
  <c r="D10184" i="1"/>
  <c r="E10184" i="1"/>
  <c r="F10184" i="1"/>
  <c r="H10184" i="1"/>
  <c r="A10185" i="1"/>
  <c r="B10185" i="1"/>
  <c r="C10185" i="1"/>
  <c r="D10185" i="1"/>
  <c r="E10185" i="1"/>
  <c r="F10185" i="1"/>
  <c r="H10185" i="1"/>
  <c r="A10186" i="1"/>
  <c r="B10186" i="1"/>
  <c r="C10186" i="1"/>
  <c r="D10186" i="1"/>
  <c r="E10186" i="1"/>
  <c r="F10186" i="1"/>
  <c r="H10186" i="1"/>
  <c r="A10187" i="1"/>
  <c r="B10187" i="1"/>
  <c r="C10187" i="1"/>
  <c r="D10187" i="1"/>
  <c r="E10187" i="1"/>
  <c r="F10187" i="1"/>
  <c r="H10187" i="1"/>
  <c r="A10188" i="1"/>
  <c r="B10188" i="1"/>
  <c r="C10188" i="1"/>
  <c r="D10188" i="1"/>
  <c r="E10188" i="1"/>
  <c r="F10188" i="1"/>
  <c r="H10188" i="1"/>
  <c r="A10189" i="1"/>
  <c r="B10189" i="1"/>
  <c r="C10189" i="1"/>
  <c r="D10189" i="1"/>
  <c r="E10189" i="1"/>
  <c r="F10189" i="1"/>
  <c r="H10189" i="1"/>
  <c r="A10190" i="1"/>
  <c r="B10190" i="1"/>
  <c r="C10190" i="1"/>
  <c r="D10190" i="1"/>
  <c r="E10190" i="1"/>
  <c r="F10190" i="1"/>
  <c r="H10190" i="1"/>
  <c r="A10191" i="1"/>
  <c r="B10191" i="1"/>
  <c r="C10191" i="1"/>
  <c r="D10191" i="1"/>
  <c r="E10191" i="1"/>
  <c r="F10191" i="1"/>
  <c r="H10191" i="1"/>
  <c r="A10192" i="1"/>
  <c r="B10192" i="1"/>
  <c r="C10192" i="1"/>
  <c r="D10192" i="1"/>
  <c r="E10192" i="1"/>
  <c r="F10192" i="1"/>
  <c r="H10192" i="1"/>
  <c r="A10193" i="1"/>
  <c r="B10193" i="1"/>
  <c r="C10193" i="1"/>
  <c r="D10193" i="1"/>
  <c r="E10193" i="1"/>
  <c r="F10193" i="1"/>
  <c r="H10193" i="1"/>
  <c r="A10194" i="1"/>
  <c r="B10194" i="1"/>
  <c r="C10194" i="1"/>
  <c r="D10194" i="1"/>
  <c r="E10194" i="1"/>
  <c r="F10194" i="1"/>
  <c r="H10194" i="1"/>
  <c r="A10195" i="1"/>
  <c r="B10195" i="1"/>
  <c r="C10195" i="1"/>
  <c r="D10195" i="1"/>
  <c r="E10195" i="1"/>
  <c r="F10195" i="1"/>
  <c r="H10195" i="1"/>
  <c r="A10196" i="1"/>
  <c r="B10196" i="1"/>
  <c r="C10196" i="1"/>
  <c r="D10196" i="1"/>
  <c r="E10196" i="1"/>
  <c r="F10196" i="1"/>
  <c r="H10196" i="1"/>
  <c r="A10197" i="1"/>
  <c r="B10197" i="1"/>
  <c r="C10197" i="1"/>
  <c r="D10197" i="1"/>
  <c r="E10197" i="1"/>
  <c r="F10197" i="1"/>
  <c r="H10197" i="1"/>
  <c r="A10198" i="1"/>
  <c r="B10198" i="1"/>
  <c r="C10198" i="1"/>
  <c r="D10198" i="1"/>
  <c r="E10198" i="1"/>
  <c r="F10198" i="1"/>
  <c r="H10198" i="1"/>
  <c r="A10199" i="1"/>
  <c r="B10199" i="1"/>
  <c r="C10199" i="1"/>
  <c r="D10199" i="1"/>
  <c r="E10199" i="1"/>
  <c r="F10199" i="1"/>
  <c r="H10199" i="1"/>
  <c r="A10200" i="1"/>
  <c r="B10200" i="1"/>
  <c r="C10200" i="1"/>
  <c r="D10200" i="1"/>
  <c r="E10200" i="1"/>
  <c r="F10200" i="1"/>
  <c r="H10200" i="1"/>
  <c r="A10201" i="1"/>
  <c r="B10201" i="1"/>
  <c r="C10201" i="1"/>
  <c r="D10201" i="1"/>
  <c r="E10201" i="1"/>
  <c r="F10201" i="1"/>
  <c r="H10201" i="1"/>
  <c r="A10202" i="1"/>
  <c r="B10202" i="1"/>
  <c r="C10202" i="1"/>
  <c r="D10202" i="1"/>
  <c r="E10202" i="1"/>
  <c r="F10202" i="1"/>
  <c r="H10202" i="1"/>
  <c r="A10203" i="1"/>
  <c r="B10203" i="1"/>
  <c r="C10203" i="1"/>
  <c r="D10203" i="1"/>
  <c r="E10203" i="1"/>
  <c r="F10203" i="1"/>
  <c r="H10203" i="1"/>
  <c r="A10204" i="1"/>
  <c r="B10204" i="1"/>
  <c r="C10204" i="1"/>
  <c r="D10204" i="1"/>
  <c r="E10204" i="1"/>
  <c r="F10204" i="1"/>
  <c r="H10204" i="1"/>
  <c r="A10205" i="1"/>
  <c r="B10205" i="1"/>
  <c r="C10205" i="1"/>
  <c r="D10205" i="1"/>
  <c r="E10205" i="1"/>
  <c r="F10205" i="1"/>
  <c r="H10205" i="1"/>
  <c r="A10206" i="1"/>
  <c r="B10206" i="1"/>
  <c r="C10206" i="1"/>
  <c r="D10206" i="1"/>
  <c r="E10206" i="1"/>
  <c r="F10206" i="1"/>
  <c r="H10206" i="1"/>
  <c r="A10207" i="1"/>
  <c r="B10207" i="1"/>
  <c r="C10207" i="1"/>
  <c r="D10207" i="1"/>
  <c r="E10207" i="1"/>
  <c r="F10207" i="1"/>
  <c r="H10207" i="1"/>
  <c r="A10208" i="1"/>
  <c r="B10208" i="1"/>
  <c r="C10208" i="1"/>
  <c r="D10208" i="1"/>
  <c r="E10208" i="1"/>
  <c r="F10208" i="1"/>
  <c r="H10208" i="1"/>
  <c r="A10209" i="1"/>
  <c r="B10209" i="1"/>
  <c r="C10209" i="1"/>
  <c r="D10209" i="1"/>
  <c r="E10209" i="1"/>
  <c r="F10209" i="1"/>
  <c r="H10209" i="1"/>
  <c r="A10210" i="1"/>
  <c r="B10210" i="1"/>
  <c r="C10210" i="1"/>
  <c r="D10210" i="1"/>
  <c r="E10210" i="1"/>
  <c r="F10210" i="1"/>
  <c r="H10210" i="1"/>
  <c r="A10211" i="1"/>
  <c r="B10211" i="1"/>
  <c r="C10211" i="1"/>
  <c r="D10211" i="1"/>
  <c r="E10211" i="1"/>
  <c r="F10211" i="1"/>
  <c r="H10211" i="1"/>
  <c r="A10212" i="1"/>
  <c r="B10212" i="1"/>
  <c r="C10212" i="1"/>
  <c r="D10212" i="1"/>
  <c r="E10212" i="1"/>
  <c r="F10212" i="1"/>
  <c r="H10212" i="1"/>
  <c r="A10213" i="1"/>
  <c r="B10213" i="1"/>
  <c r="C10213" i="1"/>
  <c r="D10213" i="1"/>
  <c r="E10213" i="1"/>
  <c r="F10213" i="1"/>
  <c r="H10213" i="1"/>
  <c r="A10214" i="1"/>
  <c r="B10214" i="1"/>
  <c r="C10214" i="1"/>
  <c r="D10214" i="1"/>
  <c r="E10214" i="1"/>
  <c r="F10214" i="1"/>
  <c r="H10214" i="1"/>
  <c r="A10215" i="1"/>
  <c r="B10215" i="1"/>
  <c r="C10215" i="1"/>
  <c r="D10215" i="1"/>
  <c r="E10215" i="1"/>
  <c r="F10215" i="1"/>
  <c r="H10215" i="1"/>
  <c r="A10216" i="1"/>
  <c r="B10216" i="1"/>
  <c r="C10216" i="1"/>
  <c r="D10216" i="1"/>
  <c r="E10216" i="1"/>
  <c r="F10216" i="1"/>
  <c r="H10216" i="1"/>
  <c r="A10217" i="1"/>
  <c r="B10217" i="1"/>
  <c r="C10217" i="1"/>
  <c r="D10217" i="1"/>
  <c r="E10217" i="1"/>
  <c r="F10217" i="1"/>
  <c r="H10217" i="1"/>
  <c r="A10218" i="1"/>
  <c r="B10218" i="1"/>
  <c r="C10218" i="1"/>
  <c r="D10218" i="1"/>
  <c r="E10218" i="1"/>
  <c r="F10218" i="1"/>
  <c r="H10218" i="1"/>
  <c r="A10219" i="1"/>
  <c r="B10219" i="1"/>
  <c r="C10219" i="1"/>
  <c r="D10219" i="1"/>
  <c r="E10219" i="1"/>
  <c r="F10219" i="1"/>
  <c r="H10219" i="1"/>
  <c r="A10220" i="1"/>
  <c r="B10220" i="1"/>
  <c r="C10220" i="1"/>
  <c r="D10220" i="1"/>
  <c r="E10220" i="1"/>
  <c r="F10220" i="1"/>
  <c r="H10220" i="1"/>
  <c r="A10221" i="1"/>
  <c r="B10221" i="1"/>
  <c r="C10221" i="1"/>
  <c r="D10221" i="1"/>
  <c r="E10221" i="1"/>
  <c r="F10221" i="1"/>
  <c r="H10221" i="1"/>
  <c r="A10222" i="1"/>
  <c r="B10222" i="1"/>
  <c r="C10222" i="1"/>
  <c r="D10222" i="1"/>
  <c r="E10222" i="1"/>
  <c r="F10222" i="1"/>
  <c r="H10222" i="1"/>
  <c r="A10223" i="1"/>
  <c r="B10223" i="1"/>
  <c r="C10223" i="1"/>
  <c r="D10223" i="1"/>
  <c r="E10223" i="1"/>
  <c r="F10223" i="1"/>
  <c r="H10223" i="1"/>
  <c r="A10224" i="1"/>
  <c r="B10224" i="1"/>
  <c r="C10224" i="1"/>
  <c r="D10224" i="1"/>
  <c r="E10224" i="1"/>
  <c r="F10224" i="1"/>
  <c r="H10224" i="1"/>
  <c r="A10225" i="1"/>
  <c r="B10225" i="1"/>
  <c r="C10225" i="1"/>
  <c r="D10225" i="1"/>
  <c r="E10225" i="1"/>
  <c r="F10225" i="1"/>
  <c r="H10225" i="1"/>
  <c r="A10226" i="1"/>
  <c r="B10226" i="1"/>
  <c r="C10226" i="1"/>
  <c r="D10226" i="1"/>
  <c r="E10226" i="1"/>
  <c r="F10226" i="1"/>
  <c r="H10226" i="1"/>
  <c r="A10227" i="1"/>
  <c r="B10227" i="1"/>
  <c r="C10227" i="1"/>
  <c r="D10227" i="1"/>
  <c r="E10227" i="1"/>
  <c r="F10227" i="1"/>
  <c r="H10227" i="1"/>
  <c r="A10228" i="1"/>
  <c r="B10228" i="1"/>
  <c r="C10228" i="1"/>
  <c r="D10228" i="1"/>
  <c r="E10228" i="1"/>
  <c r="F10228" i="1"/>
  <c r="H10228" i="1"/>
  <c r="A10229" i="1"/>
  <c r="B10229" i="1"/>
  <c r="C10229" i="1"/>
  <c r="D10229" i="1"/>
  <c r="E10229" i="1"/>
  <c r="F10229" i="1"/>
  <c r="H10229" i="1"/>
  <c r="A10230" i="1"/>
  <c r="B10230" i="1"/>
  <c r="C10230" i="1"/>
  <c r="D10230" i="1"/>
  <c r="E10230" i="1"/>
  <c r="F10230" i="1"/>
  <c r="H10230" i="1"/>
  <c r="A10231" i="1"/>
  <c r="B10231" i="1"/>
  <c r="C10231" i="1"/>
  <c r="D10231" i="1"/>
  <c r="E10231" i="1"/>
  <c r="F10231" i="1"/>
  <c r="H10231" i="1"/>
  <c r="A10232" i="1"/>
  <c r="B10232" i="1"/>
  <c r="C10232" i="1"/>
  <c r="D10232" i="1"/>
  <c r="E10232" i="1"/>
  <c r="F10232" i="1"/>
  <c r="H10232" i="1"/>
  <c r="A10233" i="1"/>
  <c r="B10233" i="1"/>
  <c r="C10233" i="1"/>
  <c r="D10233" i="1"/>
  <c r="E10233" i="1"/>
  <c r="F10233" i="1"/>
  <c r="H10233" i="1"/>
  <c r="A10234" i="1"/>
  <c r="B10234" i="1"/>
  <c r="C10234" i="1"/>
  <c r="D10234" i="1"/>
  <c r="E10234" i="1"/>
  <c r="F10234" i="1"/>
  <c r="H10234" i="1"/>
  <c r="A10235" i="1"/>
  <c r="B10235" i="1"/>
  <c r="C10235" i="1"/>
  <c r="D10235" i="1"/>
  <c r="E10235" i="1"/>
  <c r="F10235" i="1"/>
  <c r="H10235" i="1"/>
  <c r="A10236" i="1"/>
  <c r="B10236" i="1"/>
  <c r="C10236" i="1"/>
  <c r="D10236" i="1"/>
  <c r="E10236" i="1"/>
  <c r="F10236" i="1"/>
  <c r="H10236" i="1"/>
  <c r="A10237" i="1"/>
  <c r="B10237" i="1"/>
  <c r="C10237" i="1"/>
  <c r="D10237" i="1"/>
  <c r="E10237" i="1"/>
  <c r="F10237" i="1"/>
  <c r="H10237" i="1"/>
  <c r="A10238" i="1"/>
  <c r="B10238" i="1"/>
  <c r="C10238" i="1"/>
  <c r="D10238" i="1"/>
  <c r="E10238" i="1"/>
  <c r="F10238" i="1"/>
  <c r="H10238" i="1"/>
  <c r="A10239" i="1"/>
  <c r="B10239" i="1"/>
  <c r="C10239" i="1"/>
  <c r="D10239" i="1"/>
  <c r="E10239" i="1"/>
  <c r="F10239" i="1"/>
  <c r="H10239" i="1"/>
  <c r="A10240" i="1"/>
  <c r="B10240" i="1"/>
  <c r="C10240" i="1"/>
  <c r="D10240" i="1"/>
  <c r="E10240" i="1"/>
  <c r="F10240" i="1"/>
  <c r="H10240" i="1"/>
  <c r="A10241" i="1"/>
  <c r="B10241" i="1"/>
  <c r="C10241" i="1"/>
  <c r="D10241" i="1"/>
  <c r="E10241" i="1"/>
  <c r="F10241" i="1"/>
  <c r="H10241" i="1"/>
  <c r="A10242" i="1"/>
  <c r="B10242" i="1"/>
  <c r="C10242" i="1"/>
  <c r="D10242" i="1"/>
  <c r="E10242" i="1"/>
  <c r="F10242" i="1"/>
  <c r="H10242" i="1"/>
  <c r="A10243" i="1"/>
  <c r="B10243" i="1"/>
  <c r="C10243" i="1"/>
  <c r="D10243" i="1"/>
  <c r="E10243" i="1"/>
  <c r="F10243" i="1"/>
  <c r="H10243" i="1"/>
  <c r="A10244" i="1"/>
  <c r="B10244" i="1"/>
  <c r="C10244" i="1"/>
  <c r="D10244" i="1"/>
  <c r="E10244" i="1"/>
  <c r="F10244" i="1"/>
  <c r="H10244" i="1"/>
  <c r="A10245" i="1"/>
  <c r="B10245" i="1"/>
  <c r="C10245" i="1"/>
  <c r="D10245" i="1"/>
  <c r="E10245" i="1"/>
  <c r="F10245" i="1"/>
  <c r="H10245" i="1"/>
  <c r="A10246" i="1"/>
  <c r="B10246" i="1"/>
  <c r="C10246" i="1"/>
  <c r="D10246" i="1"/>
  <c r="E10246" i="1"/>
  <c r="F10246" i="1"/>
  <c r="H10246" i="1"/>
  <c r="A10247" i="1"/>
  <c r="B10247" i="1"/>
  <c r="C10247" i="1"/>
  <c r="D10247" i="1"/>
  <c r="E10247" i="1"/>
  <c r="F10247" i="1"/>
  <c r="H10247" i="1"/>
  <c r="A10248" i="1"/>
  <c r="B10248" i="1"/>
  <c r="C10248" i="1"/>
  <c r="D10248" i="1"/>
  <c r="E10248" i="1"/>
  <c r="F10248" i="1"/>
  <c r="H10248" i="1"/>
  <c r="A10249" i="1"/>
  <c r="B10249" i="1"/>
  <c r="C10249" i="1"/>
  <c r="D10249" i="1"/>
  <c r="E10249" i="1"/>
  <c r="F10249" i="1"/>
  <c r="H10249" i="1"/>
  <c r="A10250" i="1"/>
  <c r="B10250" i="1"/>
  <c r="C10250" i="1"/>
  <c r="D10250" i="1"/>
  <c r="E10250" i="1"/>
  <c r="F10250" i="1"/>
  <c r="H10250" i="1"/>
  <c r="A10251" i="1"/>
  <c r="B10251" i="1"/>
  <c r="C10251" i="1"/>
  <c r="D10251" i="1"/>
  <c r="E10251" i="1"/>
  <c r="F10251" i="1"/>
  <c r="H10251" i="1"/>
  <c r="A10252" i="1"/>
  <c r="B10252" i="1"/>
  <c r="C10252" i="1"/>
  <c r="D10252" i="1"/>
  <c r="E10252" i="1"/>
  <c r="F10252" i="1"/>
  <c r="H10252" i="1"/>
  <c r="A10253" i="1"/>
  <c r="B10253" i="1"/>
  <c r="C10253" i="1"/>
  <c r="D10253" i="1"/>
  <c r="E10253" i="1"/>
  <c r="F10253" i="1"/>
  <c r="H10253" i="1"/>
  <c r="A10254" i="1"/>
  <c r="B10254" i="1"/>
  <c r="C10254" i="1"/>
  <c r="D10254" i="1"/>
  <c r="E10254" i="1"/>
  <c r="F10254" i="1"/>
  <c r="H10254" i="1"/>
  <c r="A10255" i="1"/>
  <c r="B10255" i="1"/>
  <c r="C10255" i="1"/>
  <c r="D10255" i="1"/>
  <c r="E10255" i="1"/>
  <c r="F10255" i="1"/>
  <c r="H10255" i="1"/>
  <c r="A10256" i="1"/>
  <c r="B10256" i="1"/>
  <c r="C10256" i="1"/>
  <c r="D10256" i="1"/>
  <c r="E10256" i="1"/>
  <c r="F10256" i="1"/>
  <c r="H10256" i="1"/>
  <c r="A10257" i="1"/>
  <c r="B10257" i="1"/>
  <c r="C10257" i="1"/>
  <c r="D10257" i="1"/>
  <c r="E10257" i="1"/>
  <c r="F10257" i="1"/>
  <c r="H10257" i="1"/>
  <c r="A10258" i="1"/>
  <c r="B10258" i="1"/>
  <c r="C10258" i="1"/>
  <c r="D10258" i="1"/>
  <c r="E10258" i="1"/>
  <c r="F10258" i="1"/>
  <c r="H10258" i="1"/>
  <c r="A10259" i="1"/>
  <c r="B10259" i="1"/>
  <c r="C10259" i="1"/>
  <c r="D10259" i="1"/>
  <c r="E10259" i="1"/>
  <c r="F10259" i="1"/>
  <c r="H10259" i="1"/>
  <c r="A10260" i="1"/>
  <c r="B10260" i="1"/>
  <c r="C10260" i="1"/>
  <c r="D10260" i="1"/>
  <c r="E10260" i="1"/>
  <c r="F10260" i="1"/>
  <c r="H10260" i="1"/>
  <c r="A10261" i="1"/>
  <c r="B10261" i="1"/>
  <c r="C10261" i="1"/>
  <c r="D10261" i="1"/>
  <c r="E10261" i="1"/>
  <c r="F10261" i="1"/>
  <c r="H10261" i="1"/>
  <c r="A10262" i="1"/>
  <c r="B10262" i="1"/>
  <c r="C10262" i="1"/>
  <c r="D10262" i="1"/>
  <c r="E10262" i="1"/>
  <c r="F10262" i="1"/>
  <c r="H10262" i="1"/>
  <c r="A10263" i="1"/>
  <c r="B10263" i="1"/>
  <c r="C10263" i="1"/>
  <c r="D10263" i="1"/>
  <c r="E10263" i="1"/>
  <c r="F10263" i="1"/>
  <c r="H10263" i="1"/>
  <c r="A10264" i="1"/>
  <c r="B10264" i="1"/>
  <c r="C10264" i="1"/>
  <c r="D10264" i="1"/>
  <c r="E10264" i="1"/>
  <c r="F10264" i="1"/>
  <c r="H10264" i="1"/>
  <c r="A10265" i="1"/>
  <c r="B10265" i="1"/>
  <c r="C10265" i="1"/>
  <c r="D10265" i="1"/>
  <c r="E10265" i="1"/>
  <c r="F10265" i="1"/>
  <c r="H10265" i="1"/>
  <c r="A10266" i="1"/>
  <c r="B10266" i="1"/>
  <c r="C10266" i="1"/>
  <c r="D10266" i="1"/>
  <c r="E10266" i="1"/>
  <c r="F10266" i="1"/>
  <c r="H10266" i="1"/>
  <c r="A10267" i="1"/>
  <c r="B10267" i="1"/>
  <c r="C10267" i="1"/>
  <c r="D10267" i="1"/>
  <c r="E10267" i="1"/>
  <c r="F10267" i="1"/>
  <c r="H10267" i="1"/>
  <c r="A10268" i="1"/>
  <c r="B10268" i="1"/>
  <c r="C10268" i="1"/>
  <c r="D10268" i="1"/>
  <c r="E10268" i="1"/>
  <c r="F10268" i="1"/>
  <c r="H10268" i="1"/>
  <c r="A10269" i="1"/>
  <c r="B10269" i="1"/>
  <c r="C10269" i="1"/>
  <c r="D10269" i="1"/>
  <c r="E10269" i="1"/>
  <c r="F10269" i="1"/>
  <c r="H10269" i="1"/>
  <c r="A10270" i="1"/>
  <c r="B10270" i="1"/>
  <c r="C10270" i="1"/>
  <c r="D10270" i="1"/>
  <c r="E10270" i="1"/>
  <c r="F10270" i="1"/>
  <c r="H10270" i="1"/>
  <c r="A10271" i="1"/>
  <c r="B10271" i="1"/>
  <c r="C10271" i="1"/>
  <c r="D10271" i="1"/>
  <c r="E10271" i="1"/>
  <c r="F10271" i="1"/>
  <c r="H10271" i="1"/>
  <c r="A10272" i="1"/>
  <c r="B10272" i="1"/>
  <c r="C10272" i="1"/>
  <c r="D10272" i="1"/>
  <c r="E10272" i="1"/>
  <c r="F10272" i="1"/>
  <c r="H10272" i="1"/>
  <c r="A10273" i="1"/>
  <c r="B10273" i="1"/>
  <c r="C10273" i="1"/>
  <c r="D10273" i="1"/>
  <c r="E10273" i="1"/>
  <c r="F10273" i="1"/>
  <c r="H10273" i="1"/>
  <c r="A10274" i="1"/>
  <c r="B10274" i="1"/>
  <c r="C10274" i="1"/>
  <c r="D10274" i="1"/>
  <c r="E10274" i="1"/>
  <c r="F10274" i="1"/>
  <c r="H10274" i="1"/>
  <c r="A10275" i="1"/>
  <c r="B10275" i="1"/>
  <c r="C10275" i="1"/>
  <c r="D10275" i="1"/>
  <c r="E10275" i="1"/>
  <c r="F10275" i="1"/>
  <c r="H10275" i="1"/>
  <c r="A10276" i="1"/>
  <c r="B10276" i="1"/>
  <c r="C10276" i="1"/>
  <c r="D10276" i="1"/>
  <c r="E10276" i="1"/>
  <c r="F10276" i="1"/>
  <c r="H10276" i="1"/>
  <c r="A10277" i="1"/>
  <c r="B10277" i="1"/>
  <c r="C10277" i="1"/>
  <c r="D10277" i="1"/>
  <c r="E10277" i="1"/>
  <c r="F10277" i="1"/>
  <c r="H10277" i="1"/>
  <c r="A10278" i="1"/>
  <c r="B10278" i="1"/>
  <c r="C10278" i="1"/>
  <c r="D10278" i="1"/>
  <c r="E10278" i="1"/>
  <c r="F10278" i="1"/>
  <c r="H10278" i="1"/>
  <c r="A10279" i="1"/>
  <c r="B10279" i="1"/>
  <c r="C10279" i="1"/>
  <c r="D10279" i="1"/>
  <c r="E10279" i="1"/>
  <c r="F10279" i="1"/>
  <c r="H10279" i="1"/>
  <c r="A10280" i="1"/>
  <c r="B10280" i="1"/>
  <c r="C10280" i="1"/>
  <c r="D10280" i="1"/>
  <c r="E10280" i="1"/>
  <c r="F10280" i="1"/>
  <c r="H10280" i="1"/>
  <c r="A10281" i="1"/>
  <c r="B10281" i="1"/>
  <c r="C10281" i="1"/>
  <c r="D10281" i="1"/>
  <c r="E10281" i="1"/>
  <c r="F10281" i="1"/>
  <c r="H10281" i="1"/>
  <c r="A10282" i="1"/>
  <c r="B10282" i="1"/>
  <c r="C10282" i="1"/>
  <c r="D10282" i="1"/>
  <c r="E10282" i="1"/>
  <c r="F10282" i="1"/>
  <c r="H10282" i="1"/>
  <c r="A10283" i="1"/>
  <c r="B10283" i="1"/>
  <c r="C10283" i="1"/>
  <c r="D10283" i="1"/>
  <c r="E10283" i="1"/>
  <c r="F10283" i="1"/>
  <c r="H10283" i="1"/>
  <c r="A10284" i="1"/>
  <c r="B10284" i="1"/>
  <c r="C10284" i="1"/>
  <c r="D10284" i="1"/>
  <c r="E10284" i="1"/>
  <c r="F10284" i="1"/>
  <c r="H10284" i="1"/>
  <c r="A10285" i="1"/>
  <c r="B10285" i="1"/>
  <c r="C10285" i="1"/>
  <c r="D10285" i="1"/>
  <c r="E10285" i="1"/>
  <c r="F10285" i="1"/>
  <c r="H10285" i="1"/>
  <c r="A10286" i="1"/>
  <c r="B10286" i="1"/>
  <c r="C10286" i="1"/>
  <c r="D10286" i="1"/>
  <c r="E10286" i="1"/>
  <c r="F10286" i="1"/>
  <c r="H10286" i="1"/>
  <c r="A10287" i="1"/>
  <c r="B10287" i="1"/>
  <c r="C10287" i="1"/>
  <c r="D10287" i="1"/>
  <c r="E10287" i="1"/>
  <c r="F10287" i="1"/>
  <c r="H10287" i="1"/>
  <c r="A10288" i="1"/>
  <c r="B10288" i="1"/>
  <c r="C10288" i="1"/>
  <c r="D10288" i="1"/>
  <c r="E10288" i="1"/>
  <c r="F10288" i="1"/>
  <c r="H10288" i="1"/>
  <c r="A10289" i="1"/>
  <c r="B10289" i="1"/>
  <c r="C10289" i="1"/>
  <c r="D10289" i="1"/>
  <c r="E10289" i="1"/>
  <c r="F10289" i="1"/>
  <c r="H10289" i="1"/>
  <c r="A10290" i="1"/>
  <c r="B10290" i="1"/>
  <c r="C10290" i="1"/>
  <c r="D10290" i="1"/>
  <c r="E10290" i="1"/>
  <c r="F10290" i="1"/>
  <c r="H10290" i="1"/>
  <c r="A10291" i="1"/>
  <c r="B10291" i="1"/>
  <c r="C10291" i="1"/>
  <c r="D10291" i="1"/>
  <c r="E10291" i="1"/>
  <c r="F10291" i="1"/>
  <c r="H10291" i="1"/>
  <c r="A10292" i="1"/>
  <c r="B10292" i="1"/>
  <c r="C10292" i="1"/>
  <c r="D10292" i="1"/>
  <c r="E10292" i="1"/>
  <c r="F10292" i="1"/>
  <c r="H10292" i="1"/>
  <c r="A10293" i="1"/>
  <c r="B10293" i="1"/>
  <c r="C10293" i="1"/>
  <c r="D10293" i="1"/>
  <c r="E10293" i="1"/>
  <c r="F10293" i="1"/>
  <c r="H10293" i="1"/>
  <c r="A10294" i="1"/>
  <c r="B10294" i="1"/>
  <c r="C10294" i="1"/>
  <c r="D10294" i="1"/>
  <c r="E10294" i="1"/>
  <c r="F10294" i="1"/>
  <c r="H10294" i="1"/>
  <c r="A10295" i="1"/>
  <c r="B10295" i="1"/>
  <c r="C10295" i="1"/>
  <c r="D10295" i="1"/>
  <c r="E10295" i="1"/>
  <c r="F10295" i="1"/>
  <c r="H10295" i="1"/>
  <c r="A10296" i="1"/>
  <c r="B10296" i="1"/>
  <c r="C10296" i="1"/>
  <c r="D10296" i="1"/>
  <c r="E10296" i="1"/>
  <c r="F10296" i="1"/>
  <c r="H10296" i="1"/>
  <c r="A10297" i="1"/>
  <c r="B10297" i="1"/>
  <c r="C10297" i="1"/>
  <c r="D10297" i="1"/>
  <c r="E10297" i="1"/>
  <c r="F10297" i="1"/>
  <c r="H10297" i="1"/>
  <c r="A10298" i="1"/>
  <c r="B10298" i="1"/>
  <c r="C10298" i="1"/>
  <c r="D10298" i="1"/>
  <c r="E10298" i="1"/>
  <c r="F10298" i="1"/>
  <c r="H10298" i="1"/>
  <c r="A10299" i="1"/>
  <c r="B10299" i="1"/>
  <c r="C10299" i="1"/>
  <c r="D10299" i="1"/>
  <c r="E10299" i="1"/>
  <c r="F10299" i="1"/>
  <c r="H10299" i="1"/>
  <c r="A10300" i="1"/>
  <c r="B10300" i="1"/>
  <c r="C10300" i="1"/>
  <c r="D10300" i="1"/>
  <c r="E10300" i="1"/>
  <c r="F10300" i="1"/>
  <c r="H10300" i="1"/>
  <c r="A10301" i="1"/>
  <c r="B10301" i="1"/>
  <c r="C10301" i="1"/>
  <c r="D10301" i="1"/>
  <c r="E10301" i="1"/>
  <c r="F10301" i="1"/>
  <c r="H10301" i="1"/>
  <c r="A10302" i="1"/>
  <c r="B10302" i="1"/>
  <c r="C10302" i="1"/>
  <c r="D10302" i="1"/>
  <c r="E10302" i="1"/>
  <c r="F10302" i="1"/>
  <c r="H10302" i="1"/>
  <c r="A10303" i="1"/>
  <c r="B10303" i="1"/>
  <c r="C10303" i="1"/>
  <c r="D10303" i="1"/>
  <c r="E10303" i="1"/>
  <c r="F10303" i="1"/>
  <c r="H10303" i="1"/>
  <c r="A10304" i="1"/>
  <c r="B10304" i="1"/>
  <c r="C10304" i="1"/>
  <c r="D10304" i="1"/>
  <c r="E10304" i="1"/>
  <c r="F10304" i="1"/>
  <c r="H10304" i="1"/>
  <c r="A10305" i="1"/>
  <c r="B10305" i="1"/>
  <c r="C10305" i="1"/>
  <c r="D10305" i="1"/>
  <c r="E10305" i="1"/>
  <c r="F10305" i="1"/>
  <c r="H10305" i="1"/>
  <c r="A10306" i="1"/>
  <c r="B10306" i="1"/>
  <c r="C10306" i="1"/>
  <c r="D10306" i="1"/>
  <c r="E10306" i="1"/>
  <c r="F10306" i="1"/>
  <c r="H10306" i="1"/>
  <c r="A10307" i="1"/>
  <c r="B10307" i="1"/>
  <c r="C10307" i="1"/>
  <c r="D10307" i="1"/>
  <c r="E10307" i="1"/>
  <c r="F10307" i="1"/>
  <c r="H10307" i="1"/>
  <c r="A10308" i="1"/>
  <c r="B10308" i="1"/>
  <c r="C10308" i="1"/>
  <c r="D10308" i="1"/>
  <c r="E10308" i="1"/>
  <c r="F10308" i="1"/>
  <c r="H10308" i="1"/>
  <c r="A10309" i="1"/>
  <c r="B10309" i="1"/>
  <c r="C10309" i="1"/>
  <c r="D10309" i="1"/>
  <c r="E10309" i="1"/>
  <c r="F10309" i="1"/>
  <c r="H10309" i="1"/>
  <c r="A10310" i="1"/>
  <c r="B10310" i="1"/>
  <c r="C10310" i="1"/>
  <c r="D10310" i="1"/>
  <c r="E10310" i="1"/>
  <c r="F10310" i="1"/>
  <c r="H10310" i="1"/>
  <c r="A10311" i="1"/>
  <c r="B10311" i="1"/>
  <c r="C10311" i="1"/>
  <c r="D10311" i="1"/>
  <c r="E10311" i="1"/>
  <c r="F10311" i="1"/>
  <c r="H10311" i="1"/>
  <c r="A10312" i="1"/>
  <c r="B10312" i="1"/>
  <c r="C10312" i="1"/>
  <c r="D10312" i="1"/>
  <c r="E10312" i="1"/>
  <c r="F10312" i="1"/>
  <c r="H10312" i="1"/>
  <c r="A10313" i="1"/>
  <c r="B10313" i="1"/>
  <c r="C10313" i="1"/>
  <c r="D10313" i="1"/>
  <c r="E10313" i="1"/>
  <c r="F10313" i="1"/>
  <c r="H10313" i="1"/>
  <c r="A10314" i="1"/>
  <c r="B10314" i="1"/>
  <c r="C10314" i="1"/>
  <c r="D10314" i="1"/>
  <c r="E10314" i="1"/>
  <c r="F10314" i="1"/>
  <c r="H10314" i="1"/>
  <c r="A10315" i="1"/>
  <c r="B10315" i="1"/>
  <c r="C10315" i="1"/>
  <c r="D10315" i="1"/>
  <c r="E10315" i="1"/>
  <c r="F10315" i="1"/>
  <c r="H10315" i="1"/>
  <c r="A10316" i="1"/>
  <c r="B10316" i="1"/>
  <c r="C10316" i="1"/>
  <c r="D10316" i="1"/>
  <c r="E10316" i="1"/>
  <c r="F10316" i="1"/>
  <c r="H10316" i="1"/>
  <c r="A10317" i="1"/>
  <c r="B10317" i="1"/>
  <c r="C10317" i="1"/>
  <c r="D10317" i="1"/>
  <c r="E10317" i="1"/>
  <c r="F10317" i="1"/>
  <c r="H10317" i="1"/>
  <c r="A10318" i="1"/>
  <c r="B10318" i="1"/>
  <c r="C10318" i="1"/>
  <c r="D10318" i="1"/>
  <c r="E10318" i="1"/>
  <c r="F10318" i="1"/>
  <c r="H10318" i="1"/>
  <c r="A10319" i="1"/>
  <c r="B10319" i="1"/>
  <c r="C10319" i="1"/>
  <c r="D10319" i="1"/>
  <c r="E10319" i="1"/>
  <c r="F10319" i="1"/>
  <c r="H10319" i="1"/>
  <c r="A10320" i="1"/>
  <c r="B10320" i="1"/>
  <c r="C10320" i="1"/>
  <c r="D10320" i="1"/>
  <c r="E10320" i="1"/>
  <c r="F10320" i="1"/>
  <c r="H10320" i="1"/>
  <c r="A10321" i="1"/>
  <c r="B10321" i="1"/>
  <c r="C10321" i="1"/>
  <c r="D10321" i="1"/>
  <c r="E10321" i="1"/>
  <c r="F10321" i="1"/>
  <c r="H10321" i="1"/>
  <c r="A10322" i="1"/>
  <c r="B10322" i="1"/>
  <c r="C10322" i="1"/>
  <c r="D10322" i="1"/>
  <c r="E10322" i="1"/>
  <c r="F10322" i="1"/>
  <c r="H10322" i="1"/>
  <c r="A10323" i="1"/>
  <c r="B10323" i="1"/>
  <c r="C10323" i="1"/>
  <c r="D10323" i="1"/>
  <c r="E10323" i="1"/>
  <c r="F10323" i="1"/>
  <c r="H10323" i="1"/>
  <c r="A10324" i="1"/>
  <c r="B10324" i="1"/>
  <c r="C10324" i="1"/>
  <c r="D10324" i="1"/>
  <c r="E10324" i="1"/>
  <c r="F10324" i="1"/>
  <c r="H10324" i="1"/>
  <c r="A10325" i="1"/>
  <c r="B10325" i="1"/>
  <c r="C10325" i="1"/>
  <c r="D10325" i="1"/>
  <c r="E10325" i="1"/>
  <c r="F10325" i="1"/>
  <c r="H10325" i="1"/>
  <c r="A10326" i="1"/>
  <c r="B10326" i="1"/>
  <c r="C10326" i="1"/>
  <c r="D10326" i="1"/>
  <c r="E10326" i="1"/>
  <c r="F10326" i="1"/>
  <c r="H10326" i="1"/>
  <c r="A10327" i="1"/>
  <c r="B10327" i="1"/>
  <c r="C10327" i="1"/>
  <c r="D10327" i="1"/>
  <c r="E10327" i="1"/>
  <c r="F10327" i="1"/>
  <c r="H10327" i="1"/>
  <c r="A10328" i="1"/>
  <c r="B10328" i="1"/>
  <c r="C10328" i="1"/>
  <c r="D10328" i="1"/>
  <c r="E10328" i="1"/>
  <c r="F10328" i="1"/>
  <c r="H10328" i="1"/>
  <c r="A10329" i="1"/>
  <c r="B10329" i="1"/>
  <c r="C10329" i="1"/>
  <c r="D10329" i="1"/>
  <c r="E10329" i="1"/>
  <c r="F10329" i="1"/>
  <c r="H10329" i="1"/>
  <c r="A10330" i="1"/>
  <c r="B10330" i="1"/>
  <c r="C10330" i="1"/>
  <c r="D10330" i="1"/>
  <c r="E10330" i="1"/>
  <c r="F10330" i="1"/>
  <c r="H10330" i="1"/>
  <c r="A10331" i="1"/>
  <c r="B10331" i="1"/>
  <c r="C10331" i="1"/>
  <c r="D10331" i="1"/>
  <c r="E10331" i="1"/>
  <c r="F10331" i="1"/>
  <c r="H10331" i="1"/>
  <c r="A10332" i="1"/>
  <c r="B10332" i="1"/>
  <c r="C10332" i="1"/>
  <c r="D10332" i="1"/>
  <c r="E10332" i="1"/>
  <c r="F10332" i="1"/>
  <c r="H10332" i="1"/>
  <c r="A10333" i="1"/>
  <c r="B10333" i="1"/>
  <c r="C10333" i="1"/>
  <c r="D10333" i="1"/>
  <c r="E10333" i="1"/>
  <c r="F10333" i="1"/>
  <c r="H10333" i="1"/>
  <c r="A10334" i="1"/>
  <c r="B10334" i="1"/>
  <c r="C10334" i="1"/>
  <c r="D10334" i="1"/>
  <c r="E10334" i="1"/>
  <c r="F10334" i="1"/>
  <c r="H10334" i="1"/>
  <c r="A10335" i="1"/>
  <c r="B10335" i="1"/>
  <c r="C10335" i="1"/>
  <c r="D10335" i="1"/>
  <c r="E10335" i="1"/>
  <c r="F10335" i="1"/>
  <c r="H10335" i="1"/>
  <c r="A10336" i="1"/>
  <c r="B10336" i="1"/>
  <c r="C10336" i="1"/>
  <c r="D10336" i="1"/>
  <c r="E10336" i="1"/>
  <c r="F10336" i="1"/>
  <c r="H10336" i="1"/>
  <c r="A10337" i="1"/>
  <c r="B10337" i="1"/>
  <c r="C10337" i="1"/>
  <c r="D10337" i="1"/>
  <c r="E10337" i="1"/>
  <c r="F10337" i="1"/>
  <c r="H10337" i="1"/>
  <c r="A10338" i="1"/>
  <c r="B10338" i="1"/>
  <c r="C10338" i="1"/>
  <c r="D10338" i="1"/>
  <c r="E10338" i="1"/>
  <c r="F10338" i="1"/>
  <c r="H10338" i="1"/>
  <c r="A10339" i="1"/>
  <c r="B10339" i="1"/>
  <c r="C10339" i="1"/>
  <c r="D10339" i="1"/>
  <c r="E10339" i="1"/>
  <c r="F10339" i="1"/>
  <c r="H10339" i="1"/>
  <c r="A10340" i="1"/>
  <c r="B10340" i="1"/>
  <c r="C10340" i="1"/>
  <c r="D10340" i="1"/>
  <c r="E10340" i="1"/>
  <c r="F10340" i="1"/>
  <c r="H10340" i="1"/>
  <c r="A10341" i="1"/>
  <c r="B10341" i="1"/>
  <c r="C10341" i="1"/>
  <c r="D10341" i="1"/>
  <c r="E10341" i="1"/>
  <c r="F10341" i="1"/>
  <c r="H10341" i="1"/>
  <c r="A10342" i="1"/>
  <c r="B10342" i="1"/>
  <c r="C10342" i="1"/>
  <c r="D10342" i="1"/>
  <c r="E10342" i="1"/>
  <c r="F10342" i="1"/>
  <c r="H10342" i="1"/>
  <c r="A10343" i="1"/>
  <c r="B10343" i="1"/>
  <c r="C10343" i="1"/>
  <c r="D10343" i="1"/>
  <c r="E10343" i="1"/>
  <c r="F10343" i="1"/>
  <c r="H10343" i="1"/>
  <c r="A10344" i="1"/>
  <c r="B10344" i="1"/>
  <c r="C10344" i="1"/>
  <c r="D10344" i="1"/>
  <c r="E10344" i="1"/>
  <c r="F10344" i="1"/>
  <c r="H10344" i="1"/>
  <c r="A10345" i="1"/>
  <c r="B10345" i="1"/>
  <c r="C10345" i="1"/>
  <c r="D10345" i="1"/>
  <c r="E10345" i="1"/>
  <c r="F10345" i="1"/>
  <c r="H10345" i="1"/>
  <c r="A10346" i="1"/>
  <c r="B10346" i="1"/>
  <c r="C10346" i="1"/>
  <c r="D10346" i="1"/>
  <c r="E10346" i="1"/>
  <c r="F10346" i="1"/>
  <c r="H10346" i="1"/>
  <c r="A10347" i="1"/>
  <c r="B10347" i="1"/>
  <c r="C10347" i="1"/>
  <c r="D10347" i="1"/>
  <c r="E10347" i="1"/>
  <c r="F10347" i="1"/>
  <c r="H10347" i="1"/>
  <c r="A10348" i="1"/>
  <c r="B10348" i="1"/>
  <c r="C10348" i="1"/>
  <c r="D10348" i="1"/>
  <c r="E10348" i="1"/>
  <c r="F10348" i="1"/>
  <c r="H10348" i="1"/>
  <c r="A10349" i="1"/>
  <c r="B10349" i="1"/>
  <c r="C10349" i="1"/>
  <c r="D10349" i="1"/>
  <c r="E10349" i="1"/>
  <c r="F10349" i="1"/>
  <c r="H10349" i="1"/>
  <c r="A10350" i="1"/>
  <c r="B10350" i="1"/>
  <c r="C10350" i="1"/>
  <c r="D10350" i="1"/>
  <c r="E10350" i="1"/>
  <c r="F10350" i="1"/>
  <c r="H10350" i="1"/>
  <c r="A10351" i="1"/>
  <c r="B10351" i="1"/>
  <c r="C10351" i="1"/>
  <c r="D10351" i="1"/>
  <c r="E10351" i="1"/>
  <c r="F10351" i="1"/>
  <c r="H10351" i="1"/>
  <c r="A10352" i="1"/>
  <c r="B10352" i="1"/>
  <c r="C10352" i="1"/>
  <c r="D10352" i="1"/>
  <c r="E10352" i="1"/>
  <c r="F10352" i="1"/>
  <c r="H10352" i="1"/>
  <c r="A10353" i="1"/>
  <c r="B10353" i="1"/>
  <c r="C10353" i="1"/>
  <c r="D10353" i="1"/>
  <c r="E10353" i="1"/>
  <c r="F10353" i="1"/>
  <c r="H10353" i="1"/>
  <c r="A10354" i="1"/>
  <c r="B10354" i="1"/>
  <c r="C10354" i="1"/>
  <c r="D10354" i="1"/>
  <c r="E10354" i="1"/>
  <c r="F10354" i="1"/>
  <c r="H10354" i="1"/>
  <c r="A10355" i="1"/>
  <c r="B10355" i="1"/>
  <c r="C10355" i="1"/>
  <c r="D10355" i="1"/>
  <c r="E10355" i="1"/>
  <c r="F10355" i="1"/>
  <c r="H10355" i="1"/>
  <c r="A10356" i="1"/>
  <c r="B10356" i="1"/>
  <c r="C10356" i="1"/>
  <c r="D10356" i="1"/>
  <c r="E10356" i="1"/>
  <c r="F10356" i="1"/>
  <c r="H10356" i="1"/>
  <c r="A10357" i="1"/>
  <c r="B10357" i="1"/>
  <c r="C10357" i="1"/>
  <c r="D10357" i="1"/>
  <c r="E10357" i="1"/>
  <c r="F10357" i="1"/>
  <c r="H10357" i="1"/>
  <c r="A10358" i="1"/>
  <c r="B10358" i="1"/>
  <c r="C10358" i="1"/>
  <c r="D10358" i="1"/>
  <c r="E10358" i="1"/>
  <c r="F10358" i="1"/>
  <c r="H10358" i="1"/>
  <c r="A10359" i="1"/>
  <c r="B10359" i="1"/>
  <c r="C10359" i="1"/>
  <c r="D10359" i="1"/>
  <c r="E10359" i="1"/>
  <c r="F10359" i="1"/>
  <c r="H10359" i="1"/>
  <c r="A10360" i="1"/>
  <c r="B10360" i="1"/>
  <c r="C10360" i="1"/>
  <c r="D10360" i="1"/>
  <c r="E10360" i="1"/>
  <c r="F10360" i="1"/>
  <c r="H10360" i="1"/>
  <c r="A10361" i="1"/>
  <c r="B10361" i="1"/>
  <c r="C10361" i="1"/>
  <c r="D10361" i="1"/>
  <c r="E10361" i="1"/>
  <c r="F10361" i="1"/>
  <c r="H10361" i="1"/>
  <c r="A10362" i="1"/>
  <c r="B10362" i="1"/>
  <c r="C10362" i="1"/>
  <c r="D10362" i="1"/>
  <c r="E10362" i="1"/>
  <c r="F10362" i="1"/>
  <c r="H10362" i="1"/>
  <c r="A10363" i="1"/>
  <c r="B10363" i="1"/>
  <c r="C10363" i="1"/>
  <c r="D10363" i="1"/>
  <c r="E10363" i="1"/>
  <c r="F10363" i="1"/>
  <c r="H10363" i="1"/>
  <c r="A10364" i="1"/>
  <c r="B10364" i="1"/>
  <c r="C10364" i="1"/>
  <c r="D10364" i="1"/>
  <c r="E10364" i="1"/>
  <c r="F10364" i="1"/>
  <c r="H10364" i="1"/>
  <c r="A10365" i="1"/>
  <c r="B10365" i="1"/>
  <c r="C10365" i="1"/>
  <c r="D10365" i="1"/>
  <c r="E10365" i="1"/>
  <c r="F10365" i="1"/>
  <c r="H10365" i="1"/>
  <c r="A10366" i="1"/>
  <c r="B10366" i="1"/>
  <c r="C10366" i="1"/>
  <c r="D10366" i="1"/>
  <c r="E10366" i="1"/>
  <c r="F10366" i="1"/>
  <c r="H10366" i="1"/>
  <c r="A10367" i="1"/>
  <c r="B10367" i="1"/>
  <c r="C10367" i="1"/>
  <c r="D10367" i="1"/>
  <c r="E10367" i="1"/>
  <c r="F10367" i="1"/>
  <c r="H10367" i="1"/>
  <c r="A10368" i="1"/>
  <c r="B10368" i="1"/>
  <c r="C10368" i="1"/>
  <c r="D10368" i="1"/>
  <c r="E10368" i="1"/>
  <c r="F10368" i="1"/>
  <c r="H10368" i="1"/>
  <c r="A10369" i="1"/>
  <c r="B10369" i="1"/>
  <c r="C10369" i="1"/>
  <c r="D10369" i="1"/>
  <c r="E10369" i="1"/>
  <c r="F10369" i="1"/>
  <c r="H10369" i="1"/>
  <c r="A10370" i="1"/>
  <c r="B10370" i="1"/>
  <c r="C10370" i="1"/>
  <c r="D10370" i="1"/>
  <c r="E10370" i="1"/>
  <c r="F10370" i="1"/>
  <c r="H10370" i="1"/>
  <c r="A10371" i="1"/>
  <c r="B10371" i="1"/>
  <c r="C10371" i="1"/>
  <c r="D10371" i="1"/>
  <c r="E10371" i="1"/>
  <c r="F10371" i="1"/>
  <c r="H10371" i="1"/>
  <c r="A10372" i="1"/>
  <c r="B10372" i="1"/>
  <c r="C10372" i="1"/>
  <c r="D10372" i="1"/>
  <c r="E10372" i="1"/>
  <c r="F10372" i="1"/>
  <c r="H10372" i="1"/>
  <c r="A10373" i="1"/>
  <c r="B10373" i="1"/>
  <c r="C10373" i="1"/>
  <c r="D10373" i="1"/>
  <c r="E10373" i="1"/>
  <c r="F10373" i="1"/>
  <c r="H10373" i="1"/>
  <c r="A10374" i="1"/>
  <c r="B10374" i="1"/>
  <c r="C10374" i="1"/>
  <c r="D10374" i="1"/>
  <c r="E10374" i="1"/>
  <c r="F10374" i="1"/>
  <c r="H10374" i="1"/>
  <c r="A10375" i="1"/>
  <c r="B10375" i="1"/>
  <c r="C10375" i="1"/>
  <c r="D10375" i="1"/>
  <c r="E10375" i="1"/>
  <c r="F10375" i="1"/>
  <c r="H10375" i="1"/>
  <c r="A10376" i="1"/>
  <c r="B10376" i="1"/>
  <c r="C10376" i="1"/>
  <c r="D10376" i="1"/>
  <c r="E10376" i="1"/>
  <c r="F10376" i="1"/>
  <c r="H10376" i="1"/>
  <c r="A10377" i="1"/>
  <c r="B10377" i="1"/>
  <c r="C10377" i="1"/>
  <c r="D10377" i="1"/>
  <c r="E10377" i="1"/>
  <c r="F10377" i="1"/>
  <c r="H10377" i="1"/>
  <c r="A10378" i="1"/>
  <c r="B10378" i="1"/>
  <c r="C10378" i="1"/>
  <c r="D10378" i="1"/>
  <c r="E10378" i="1"/>
  <c r="F10378" i="1"/>
  <c r="H10378" i="1"/>
  <c r="A10379" i="1"/>
  <c r="B10379" i="1"/>
  <c r="C10379" i="1"/>
  <c r="D10379" i="1"/>
  <c r="E10379" i="1"/>
  <c r="F10379" i="1"/>
  <c r="H10379" i="1"/>
  <c r="A10380" i="1"/>
  <c r="B10380" i="1"/>
  <c r="C10380" i="1"/>
  <c r="D10380" i="1"/>
  <c r="E10380" i="1"/>
  <c r="F10380" i="1"/>
  <c r="H10380" i="1"/>
  <c r="A10381" i="1"/>
  <c r="B10381" i="1"/>
  <c r="C10381" i="1"/>
  <c r="D10381" i="1"/>
  <c r="E10381" i="1"/>
  <c r="F10381" i="1"/>
  <c r="H10381" i="1"/>
  <c r="A10382" i="1"/>
  <c r="B10382" i="1"/>
  <c r="C10382" i="1"/>
  <c r="D10382" i="1"/>
  <c r="E10382" i="1"/>
  <c r="F10382" i="1"/>
  <c r="H10382" i="1"/>
  <c r="A10383" i="1"/>
  <c r="B10383" i="1"/>
  <c r="C10383" i="1"/>
  <c r="D10383" i="1"/>
  <c r="E10383" i="1"/>
  <c r="F10383" i="1"/>
  <c r="H10383" i="1"/>
  <c r="A10384" i="1"/>
  <c r="B10384" i="1"/>
  <c r="C10384" i="1"/>
  <c r="D10384" i="1"/>
  <c r="E10384" i="1"/>
  <c r="F10384" i="1"/>
  <c r="H10384" i="1"/>
  <c r="A10385" i="1"/>
  <c r="B10385" i="1"/>
  <c r="C10385" i="1"/>
  <c r="D10385" i="1"/>
  <c r="E10385" i="1"/>
  <c r="F10385" i="1"/>
  <c r="H10385" i="1"/>
  <c r="A10386" i="1"/>
  <c r="B10386" i="1"/>
  <c r="C10386" i="1"/>
  <c r="D10386" i="1"/>
  <c r="E10386" i="1"/>
  <c r="F10386" i="1"/>
  <c r="H10386" i="1"/>
  <c r="A10387" i="1"/>
  <c r="B10387" i="1"/>
  <c r="C10387" i="1"/>
  <c r="D10387" i="1"/>
  <c r="E10387" i="1"/>
  <c r="F10387" i="1"/>
  <c r="H10387" i="1"/>
  <c r="A10388" i="1"/>
  <c r="B10388" i="1"/>
  <c r="C10388" i="1"/>
  <c r="D10388" i="1"/>
  <c r="E10388" i="1"/>
  <c r="F10388" i="1"/>
  <c r="H10388" i="1"/>
  <c r="A10389" i="1"/>
  <c r="B10389" i="1"/>
  <c r="C10389" i="1"/>
  <c r="D10389" i="1"/>
  <c r="E10389" i="1"/>
  <c r="F10389" i="1"/>
  <c r="H10389" i="1"/>
  <c r="A10390" i="1"/>
  <c r="B10390" i="1"/>
  <c r="C10390" i="1"/>
  <c r="D10390" i="1"/>
  <c r="E10390" i="1"/>
  <c r="F10390" i="1"/>
  <c r="H10390" i="1"/>
  <c r="A10391" i="1"/>
  <c r="B10391" i="1"/>
  <c r="C10391" i="1"/>
  <c r="D10391" i="1"/>
  <c r="E10391" i="1"/>
  <c r="F10391" i="1"/>
  <c r="H10391" i="1"/>
  <c r="A10392" i="1"/>
  <c r="B10392" i="1"/>
  <c r="C10392" i="1"/>
  <c r="D10392" i="1"/>
  <c r="E10392" i="1"/>
  <c r="F10392" i="1"/>
  <c r="H10392" i="1"/>
  <c r="A10393" i="1"/>
  <c r="B10393" i="1"/>
  <c r="C10393" i="1"/>
  <c r="D10393" i="1"/>
  <c r="E10393" i="1"/>
  <c r="F10393" i="1"/>
  <c r="H10393" i="1"/>
  <c r="A10394" i="1"/>
  <c r="B10394" i="1"/>
  <c r="C10394" i="1"/>
  <c r="D10394" i="1"/>
  <c r="E10394" i="1"/>
  <c r="F10394" i="1"/>
  <c r="H10394" i="1"/>
  <c r="A10395" i="1"/>
  <c r="B10395" i="1"/>
  <c r="C10395" i="1"/>
  <c r="D10395" i="1"/>
  <c r="E10395" i="1"/>
  <c r="F10395" i="1"/>
  <c r="H10395" i="1"/>
  <c r="A10396" i="1"/>
  <c r="B10396" i="1"/>
  <c r="C10396" i="1"/>
  <c r="D10396" i="1"/>
  <c r="E10396" i="1"/>
  <c r="F10396" i="1"/>
  <c r="H10396" i="1"/>
  <c r="A10397" i="1"/>
  <c r="B10397" i="1"/>
  <c r="C10397" i="1"/>
  <c r="D10397" i="1"/>
  <c r="E10397" i="1"/>
  <c r="F10397" i="1"/>
  <c r="H10397" i="1"/>
  <c r="A10398" i="1"/>
  <c r="B10398" i="1"/>
  <c r="C10398" i="1"/>
  <c r="D10398" i="1"/>
  <c r="E10398" i="1"/>
  <c r="F10398" i="1"/>
  <c r="H10398" i="1"/>
  <c r="A10399" i="1"/>
  <c r="B10399" i="1"/>
  <c r="C10399" i="1"/>
  <c r="D10399" i="1"/>
  <c r="E10399" i="1"/>
  <c r="F10399" i="1"/>
  <c r="H10399" i="1"/>
  <c r="A10400" i="1"/>
  <c r="B10400" i="1"/>
  <c r="C10400" i="1"/>
  <c r="D10400" i="1"/>
  <c r="E10400" i="1"/>
  <c r="F10400" i="1"/>
  <c r="H10400" i="1"/>
  <c r="A10401" i="1"/>
  <c r="B10401" i="1"/>
  <c r="C10401" i="1"/>
  <c r="D10401" i="1"/>
  <c r="E10401" i="1"/>
  <c r="F10401" i="1"/>
  <c r="H10401" i="1"/>
  <c r="A10402" i="1"/>
  <c r="B10402" i="1"/>
  <c r="C10402" i="1"/>
  <c r="D10402" i="1"/>
  <c r="E10402" i="1"/>
  <c r="F10402" i="1"/>
  <c r="H10402" i="1"/>
  <c r="A10403" i="1"/>
  <c r="B10403" i="1"/>
  <c r="C10403" i="1"/>
  <c r="D10403" i="1"/>
  <c r="E10403" i="1"/>
  <c r="F10403" i="1"/>
  <c r="H10403" i="1"/>
  <c r="A10404" i="1"/>
  <c r="B10404" i="1"/>
  <c r="C10404" i="1"/>
  <c r="D10404" i="1"/>
  <c r="E10404" i="1"/>
  <c r="F10404" i="1"/>
  <c r="H10404" i="1"/>
  <c r="A10405" i="1"/>
  <c r="B10405" i="1"/>
  <c r="C10405" i="1"/>
  <c r="D10405" i="1"/>
  <c r="E10405" i="1"/>
  <c r="F10405" i="1"/>
  <c r="H10405" i="1"/>
  <c r="A10406" i="1"/>
  <c r="B10406" i="1"/>
  <c r="C10406" i="1"/>
  <c r="D10406" i="1"/>
  <c r="E10406" i="1"/>
  <c r="F10406" i="1"/>
  <c r="H10406" i="1"/>
  <c r="A10407" i="1"/>
  <c r="B10407" i="1"/>
  <c r="C10407" i="1"/>
  <c r="D10407" i="1"/>
  <c r="E10407" i="1"/>
  <c r="F10407" i="1"/>
  <c r="H10407" i="1"/>
  <c r="A10408" i="1"/>
  <c r="B10408" i="1"/>
  <c r="C10408" i="1"/>
  <c r="D10408" i="1"/>
  <c r="E10408" i="1"/>
  <c r="F10408" i="1"/>
  <c r="H10408" i="1"/>
  <c r="A10409" i="1"/>
  <c r="B10409" i="1"/>
  <c r="C10409" i="1"/>
  <c r="D10409" i="1"/>
  <c r="E10409" i="1"/>
  <c r="F10409" i="1"/>
  <c r="H10409" i="1"/>
  <c r="A10410" i="1"/>
  <c r="B10410" i="1"/>
  <c r="C10410" i="1"/>
  <c r="D10410" i="1"/>
  <c r="E10410" i="1"/>
  <c r="F10410" i="1"/>
  <c r="H10410" i="1"/>
  <c r="A10411" i="1"/>
  <c r="B10411" i="1"/>
  <c r="C10411" i="1"/>
  <c r="D10411" i="1"/>
  <c r="E10411" i="1"/>
  <c r="F10411" i="1"/>
  <c r="H10411" i="1"/>
  <c r="A10412" i="1"/>
  <c r="B10412" i="1"/>
  <c r="C10412" i="1"/>
  <c r="D10412" i="1"/>
  <c r="E10412" i="1"/>
  <c r="F10412" i="1"/>
  <c r="H10412" i="1"/>
  <c r="A10413" i="1"/>
  <c r="B10413" i="1"/>
  <c r="C10413" i="1"/>
  <c r="D10413" i="1"/>
  <c r="E10413" i="1"/>
  <c r="F10413" i="1"/>
  <c r="H10413" i="1"/>
  <c r="A10414" i="1"/>
  <c r="B10414" i="1"/>
  <c r="C10414" i="1"/>
  <c r="D10414" i="1"/>
  <c r="E10414" i="1"/>
  <c r="F10414" i="1"/>
  <c r="H10414" i="1"/>
  <c r="A10415" i="1"/>
  <c r="B10415" i="1"/>
  <c r="C10415" i="1"/>
  <c r="D10415" i="1"/>
  <c r="E10415" i="1"/>
  <c r="F10415" i="1"/>
  <c r="H10415" i="1"/>
  <c r="A10416" i="1"/>
  <c r="B10416" i="1"/>
  <c r="C10416" i="1"/>
  <c r="D10416" i="1"/>
  <c r="E10416" i="1"/>
  <c r="F10416" i="1"/>
  <c r="H10416" i="1"/>
  <c r="A10417" i="1"/>
  <c r="B10417" i="1"/>
  <c r="C10417" i="1"/>
  <c r="D10417" i="1"/>
  <c r="E10417" i="1"/>
  <c r="F10417" i="1"/>
  <c r="H10417" i="1"/>
  <c r="A10418" i="1"/>
  <c r="B10418" i="1"/>
  <c r="C10418" i="1"/>
  <c r="D10418" i="1"/>
  <c r="E10418" i="1"/>
  <c r="F10418" i="1"/>
  <c r="H10418" i="1"/>
  <c r="A10419" i="1"/>
  <c r="B10419" i="1"/>
  <c r="C10419" i="1"/>
  <c r="D10419" i="1"/>
  <c r="E10419" i="1"/>
  <c r="F10419" i="1"/>
  <c r="H10419" i="1"/>
  <c r="A10420" i="1"/>
  <c r="B10420" i="1"/>
  <c r="C10420" i="1"/>
  <c r="D10420" i="1"/>
  <c r="E10420" i="1"/>
  <c r="F10420" i="1"/>
  <c r="H10420" i="1"/>
  <c r="A10421" i="1"/>
  <c r="B10421" i="1"/>
  <c r="C10421" i="1"/>
  <c r="D10421" i="1"/>
  <c r="E10421" i="1"/>
  <c r="F10421" i="1"/>
  <c r="H10421" i="1"/>
  <c r="A10422" i="1"/>
  <c r="B10422" i="1"/>
  <c r="C10422" i="1"/>
  <c r="D10422" i="1"/>
  <c r="E10422" i="1"/>
  <c r="F10422" i="1"/>
  <c r="H10422" i="1"/>
  <c r="A10423" i="1"/>
  <c r="B10423" i="1"/>
  <c r="C10423" i="1"/>
  <c r="D10423" i="1"/>
  <c r="E10423" i="1"/>
  <c r="F10423" i="1"/>
  <c r="H10423" i="1"/>
  <c r="A10424" i="1"/>
  <c r="B10424" i="1"/>
  <c r="C10424" i="1"/>
  <c r="D10424" i="1"/>
  <c r="E10424" i="1"/>
  <c r="F10424" i="1"/>
  <c r="H10424" i="1"/>
  <c r="A10425" i="1"/>
  <c r="B10425" i="1"/>
  <c r="C10425" i="1"/>
  <c r="D10425" i="1"/>
  <c r="E10425" i="1"/>
  <c r="F10425" i="1"/>
  <c r="H10425" i="1"/>
  <c r="A10426" i="1"/>
  <c r="B10426" i="1"/>
  <c r="C10426" i="1"/>
  <c r="D10426" i="1"/>
  <c r="E10426" i="1"/>
  <c r="F10426" i="1"/>
  <c r="H10426" i="1"/>
  <c r="A10427" i="1"/>
  <c r="B10427" i="1"/>
  <c r="C10427" i="1"/>
  <c r="D10427" i="1"/>
  <c r="E10427" i="1"/>
  <c r="F10427" i="1"/>
  <c r="H10427" i="1"/>
  <c r="A10428" i="1"/>
  <c r="B10428" i="1"/>
  <c r="C10428" i="1"/>
  <c r="D10428" i="1"/>
  <c r="E10428" i="1"/>
  <c r="F10428" i="1"/>
  <c r="H10428" i="1"/>
  <c r="A10429" i="1"/>
  <c r="B10429" i="1"/>
  <c r="C10429" i="1"/>
  <c r="D10429" i="1"/>
  <c r="E10429" i="1"/>
  <c r="F10429" i="1"/>
  <c r="H10429" i="1"/>
  <c r="A10430" i="1"/>
  <c r="B10430" i="1"/>
  <c r="C10430" i="1"/>
  <c r="D10430" i="1"/>
  <c r="E10430" i="1"/>
  <c r="F10430" i="1"/>
  <c r="H10430" i="1"/>
  <c r="A10431" i="1"/>
  <c r="B10431" i="1"/>
  <c r="C10431" i="1"/>
  <c r="D10431" i="1"/>
  <c r="E10431" i="1"/>
  <c r="F10431" i="1"/>
  <c r="H10431" i="1"/>
  <c r="A10432" i="1"/>
  <c r="B10432" i="1"/>
  <c r="C10432" i="1"/>
  <c r="D10432" i="1"/>
  <c r="E10432" i="1"/>
  <c r="F10432" i="1"/>
  <c r="H10432" i="1"/>
  <c r="A10433" i="1"/>
  <c r="B10433" i="1"/>
  <c r="C10433" i="1"/>
  <c r="D10433" i="1"/>
  <c r="E10433" i="1"/>
  <c r="F10433" i="1"/>
  <c r="H10433" i="1"/>
  <c r="A10434" i="1"/>
  <c r="B10434" i="1"/>
  <c r="C10434" i="1"/>
  <c r="D10434" i="1"/>
  <c r="E10434" i="1"/>
  <c r="F10434" i="1"/>
  <c r="H10434" i="1"/>
  <c r="A10435" i="1"/>
  <c r="B10435" i="1"/>
  <c r="C10435" i="1"/>
  <c r="D10435" i="1"/>
  <c r="E10435" i="1"/>
  <c r="F10435" i="1"/>
  <c r="H10435" i="1"/>
  <c r="A10436" i="1"/>
  <c r="B10436" i="1"/>
  <c r="C10436" i="1"/>
  <c r="D10436" i="1"/>
  <c r="E10436" i="1"/>
  <c r="F10436" i="1"/>
  <c r="H10436" i="1"/>
  <c r="A10437" i="1"/>
  <c r="B10437" i="1"/>
  <c r="C10437" i="1"/>
  <c r="D10437" i="1"/>
  <c r="E10437" i="1"/>
  <c r="F10437" i="1"/>
  <c r="H10437" i="1"/>
  <c r="A10438" i="1"/>
  <c r="B10438" i="1"/>
  <c r="C10438" i="1"/>
  <c r="D10438" i="1"/>
  <c r="E10438" i="1"/>
  <c r="F10438" i="1"/>
  <c r="H10438" i="1"/>
  <c r="A10439" i="1"/>
  <c r="B10439" i="1"/>
  <c r="C10439" i="1"/>
  <c r="D10439" i="1"/>
  <c r="E10439" i="1"/>
  <c r="F10439" i="1"/>
  <c r="H10439" i="1"/>
  <c r="A10440" i="1"/>
  <c r="B10440" i="1"/>
  <c r="C10440" i="1"/>
  <c r="D10440" i="1"/>
  <c r="E10440" i="1"/>
  <c r="F10440" i="1"/>
  <c r="H10440" i="1"/>
  <c r="A10441" i="1"/>
  <c r="B10441" i="1"/>
  <c r="C10441" i="1"/>
  <c r="D10441" i="1"/>
  <c r="E10441" i="1"/>
  <c r="F10441" i="1"/>
  <c r="H10441" i="1"/>
  <c r="A10442" i="1"/>
  <c r="B10442" i="1"/>
  <c r="C10442" i="1"/>
  <c r="D10442" i="1"/>
  <c r="E10442" i="1"/>
  <c r="F10442" i="1"/>
  <c r="H10442" i="1"/>
  <c r="A10443" i="1"/>
  <c r="B10443" i="1"/>
  <c r="C10443" i="1"/>
  <c r="D10443" i="1"/>
  <c r="E10443" i="1"/>
  <c r="F10443" i="1"/>
  <c r="H10443" i="1"/>
  <c r="A10444" i="1"/>
  <c r="B10444" i="1"/>
  <c r="C10444" i="1"/>
  <c r="D10444" i="1"/>
  <c r="E10444" i="1"/>
  <c r="F10444" i="1"/>
  <c r="H10444" i="1"/>
  <c r="A10445" i="1"/>
  <c r="B10445" i="1"/>
  <c r="C10445" i="1"/>
  <c r="D10445" i="1"/>
  <c r="E10445" i="1"/>
  <c r="F10445" i="1"/>
  <c r="H10445" i="1"/>
  <c r="A10446" i="1"/>
  <c r="B10446" i="1"/>
  <c r="C10446" i="1"/>
  <c r="D10446" i="1"/>
  <c r="E10446" i="1"/>
  <c r="F10446" i="1"/>
  <c r="H10446" i="1"/>
  <c r="A10447" i="1"/>
  <c r="B10447" i="1"/>
  <c r="C10447" i="1"/>
  <c r="D10447" i="1"/>
  <c r="E10447" i="1"/>
  <c r="F10447" i="1"/>
  <c r="H10447" i="1"/>
  <c r="A10448" i="1"/>
  <c r="B10448" i="1"/>
  <c r="C10448" i="1"/>
  <c r="D10448" i="1"/>
  <c r="E10448" i="1"/>
  <c r="F10448" i="1"/>
  <c r="H10448" i="1"/>
  <c r="A10449" i="1"/>
  <c r="B10449" i="1"/>
  <c r="C10449" i="1"/>
  <c r="D10449" i="1"/>
  <c r="E10449" i="1"/>
  <c r="F10449" i="1"/>
  <c r="H10449" i="1"/>
  <c r="A10450" i="1"/>
  <c r="B10450" i="1"/>
  <c r="C10450" i="1"/>
  <c r="D10450" i="1"/>
  <c r="E10450" i="1"/>
  <c r="F10450" i="1"/>
  <c r="H10450" i="1"/>
  <c r="A10451" i="1"/>
  <c r="B10451" i="1"/>
  <c r="C10451" i="1"/>
  <c r="D10451" i="1"/>
  <c r="E10451" i="1"/>
  <c r="F10451" i="1"/>
  <c r="H10451" i="1"/>
  <c r="A10452" i="1"/>
  <c r="B10452" i="1"/>
  <c r="C10452" i="1"/>
  <c r="D10452" i="1"/>
  <c r="E10452" i="1"/>
  <c r="F10452" i="1"/>
  <c r="H10452" i="1"/>
  <c r="A10453" i="1"/>
  <c r="B10453" i="1"/>
  <c r="C10453" i="1"/>
  <c r="D10453" i="1"/>
  <c r="E10453" i="1"/>
  <c r="F10453" i="1"/>
  <c r="H10453" i="1"/>
  <c r="A10454" i="1"/>
  <c r="B10454" i="1"/>
  <c r="C10454" i="1"/>
  <c r="D10454" i="1"/>
  <c r="E10454" i="1"/>
  <c r="F10454" i="1"/>
  <c r="H10454" i="1"/>
  <c r="A10455" i="1"/>
  <c r="B10455" i="1"/>
  <c r="C10455" i="1"/>
  <c r="D10455" i="1"/>
  <c r="E10455" i="1"/>
  <c r="F10455" i="1"/>
  <c r="H10455" i="1"/>
  <c r="A10456" i="1"/>
  <c r="B10456" i="1"/>
  <c r="C10456" i="1"/>
  <c r="D10456" i="1"/>
  <c r="E10456" i="1"/>
  <c r="F10456" i="1"/>
  <c r="H10456" i="1"/>
  <c r="A10457" i="1"/>
  <c r="B10457" i="1"/>
  <c r="C10457" i="1"/>
  <c r="D10457" i="1"/>
  <c r="E10457" i="1"/>
  <c r="F10457" i="1"/>
  <c r="H10457" i="1"/>
  <c r="A10458" i="1"/>
  <c r="B10458" i="1"/>
  <c r="C10458" i="1"/>
  <c r="D10458" i="1"/>
  <c r="E10458" i="1"/>
  <c r="F10458" i="1"/>
  <c r="H10458" i="1"/>
  <c r="A10459" i="1"/>
  <c r="B10459" i="1"/>
  <c r="C10459" i="1"/>
  <c r="D10459" i="1"/>
  <c r="E10459" i="1"/>
  <c r="F10459" i="1"/>
  <c r="H10459" i="1"/>
  <c r="A10460" i="1"/>
  <c r="B10460" i="1"/>
  <c r="C10460" i="1"/>
  <c r="D10460" i="1"/>
  <c r="E10460" i="1"/>
  <c r="F10460" i="1"/>
  <c r="H10460" i="1"/>
  <c r="A10461" i="1"/>
  <c r="B10461" i="1"/>
  <c r="C10461" i="1"/>
  <c r="D10461" i="1"/>
  <c r="E10461" i="1"/>
  <c r="F10461" i="1"/>
  <c r="H10461" i="1"/>
  <c r="A10462" i="1"/>
  <c r="B10462" i="1"/>
  <c r="C10462" i="1"/>
  <c r="D10462" i="1"/>
  <c r="E10462" i="1"/>
  <c r="F10462" i="1"/>
  <c r="H10462" i="1"/>
  <c r="A10463" i="1"/>
  <c r="B10463" i="1"/>
  <c r="C10463" i="1"/>
  <c r="D10463" i="1"/>
  <c r="E10463" i="1"/>
  <c r="F10463" i="1"/>
  <c r="H10463" i="1"/>
  <c r="A10464" i="1"/>
  <c r="B10464" i="1"/>
  <c r="C10464" i="1"/>
  <c r="D10464" i="1"/>
  <c r="E10464" i="1"/>
  <c r="F10464" i="1"/>
  <c r="H10464" i="1"/>
  <c r="A10465" i="1"/>
  <c r="B10465" i="1"/>
  <c r="C10465" i="1"/>
  <c r="D10465" i="1"/>
  <c r="E10465" i="1"/>
  <c r="F10465" i="1"/>
  <c r="H10465" i="1"/>
  <c r="A10466" i="1"/>
  <c r="B10466" i="1"/>
  <c r="C10466" i="1"/>
  <c r="D10466" i="1"/>
  <c r="E10466" i="1"/>
  <c r="F10466" i="1"/>
  <c r="H10466" i="1"/>
  <c r="A10467" i="1"/>
  <c r="B10467" i="1"/>
  <c r="C10467" i="1"/>
  <c r="D10467" i="1"/>
  <c r="E10467" i="1"/>
  <c r="F10467" i="1"/>
  <c r="H10467" i="1"/>
  <c r="A10468" i="1"/>
  <c r="B10468" i="1"/>
  <c r="C10468" i="1"/>
  <c r="D10468" i="1"/>
  <c r="E10468" i="1"/>
  <c r="F10468" i="1"/>
  <c r="H10468" i="1"/>
  <c r="A10469" i="1"/>
  <c r="B10469" i="1"/>
  <c r="C10469" i="1"/>
  <c r="D10469" i="1"/>
  <c r="E10469" i="1"/>
  <c r="F10469" i="1"/>
  <c r="H10469" i="1"/>
  <c r="A10470" i="1"/>
  <c r="B10470" i="1"/>
  <c r="C10470" i="1"/>
  <c r="D10470" i="1"/>
  <c r="E10470" i="1"/>
  <c r="F10470" i="1"/>
  <c r="H10470" i="1"/>
  <c r="A10471" i="1"/>
  <c r="B10471" i="1"/>
  <c r="C10471" i="1"/>
  <c r="D10471" i="1"/>
  <c r="E10471" i="1"/>
  <c r="F10471" i="1"/>
  <c r="H10471" i="1"/>
  <c r="A10472" i="1"/>
  <c r="B10472" i="1"/>
  <c r="C10472" i="1"/>
  <c r="D10472" i="1"/>
  <c r="E10472" i="1"/>
  <c r="F10472" i="1"/>
  <c r="H10472" i="1"/>
  <c r="A10473" i="1"/>
  <c r="B10473" i="1"/>
  <c r="C10473" i="1"/>
  <c r="D10473" i="1"/>
  <c r="E10473" i="1"/>
  <c r="F10473" i="1"/>
  <c r="H10473" i="1"/>
  <c r="A10474" i="1"/>
  <c r="B10474" i="1"/>
  <c r="C10474" i="1"/>
  <c r="D10474" i="1"/>
  <c r="E10474" i="1"/>
  <c r="F10474" i="1"/>
  <c r="H10474" i="1"/>
  <c r="A10475" i="1"/>
  <c r="B10475" i="1"/>
  <c r="C10475" i="1"/>
  <c r="D10475" i="1"/>
  <c r="E10475" i="1"/>
  <c r="F10475" i="1"/>
  <c r="H10475" i="1"/>
  <c r="A10476" i="1"/>
  <c r="B10476" i="1"/>
  <c r="C10476" i="1"/>
  <c r="D10476" i="1"/>
  <c r="E10476" i="1"/>
  <c r="F10476" i="1"/>
  <c r="H10476" i="1"/>
  <c r="A10477" i="1"/>
  <c r="B10477" i="1"/>
  <c r="C10477" i="1"/>
  <c r="D10477" i="1"/>
  <c r="E10477" i="1"/>
  <c r="F10477" i="1"/>
  <c r="H10477" i="1"/>
  <c r="A10478" i="1"/>
  <c r="B10478" i="1"/>
  <c r="C10478" i="1"/>
  <c r="D10478" i="1"/>
  <c r="E10478" i="1"/>
  <c r="F10478" i="1"/>
  <c r="H10478" i="1"/>
  <c r="A10479" i="1"/>
  <c r="B10479" i="1"/>
  <c r="C10479" i="1"/>
  <c r="D10479" i="1"/>
  <c r="E10479" i="1"/>
  <c r="F10479" i="1"/>
  <c r="H10479" i="1"/>
  <c r="A10480" i="1"/>
  <c r="B10480" i="1"/>
  <c r="C10480" i="1"/>
  <c r="D10480" i="1"/>
  <c r="E10480" i="1"/>
  <c r="F10480" i="1"/>
  <c r="H10480" i="1"/>
  <c r="A10481" i="1"/>
  <c r="B10481" i="1"/>
  <c r="C10481" i="1"/>
  <c r="D10481" i="1"/>
  <c r="E10481" i="1"/>
  <c r="F10481" i="1"/>
  <c r="H10481" i="1"/>
  <c r="A10482" i="1"/>
  <c r="B10482" i="1"/>
  <c r="C10482" i="1"/>
  <c r="D10482" i="1"/>
  <c r="E10482" i="1"/>
  <c r="F10482" i="1"/>
  <c r="H10482" i="1"/>
  <c r="A10483" i="1"/>
  <c r="B10483" i="1"/>
  <c r="C10483" i="1"/>
  <c r="D10483" i="1"/>
  <c r="E10483" i="1"/>
  <c r="F10483" i="1"/>
  <c r="H10483" i="1"/>
  <c r="A10484" i="1"/>
  <c r="B10484" i="1"/>
  <c r="C10484" i="1"/>
  <c r="D10484" i="1"/>
  <c r="E10484" i="1"/>
  <c r="F10484" i="1"/>
  <c r="H10484" i="1"/>
  <c r="A10485" i="1"/>
  <c r="B10485" i="1"/>
  <c r="C10485" i="1"/>
  <c r="D10485" i="1"/>
  <c r="E10485" i="1"/>
  <c r="F10485" i="1"/>
  <c r="H10485" i="1"/>
  <c r="A10486" i="1"/>
  <c r="B10486" i="1"/>
  <c r="C10486" i="1"/>
  <c r="D10486" i="1"/>
  <c r="E10486" i="1"/>
  <c r="F10486" i="1"/>
  <c r="H10486" i="1"/>
  <c r="A10487" i="1"/>
  <c r="B10487" i="1"/>
  <c r="C10487" i="1"/>
  <c r="D10487" i="1"/>
  <c r="E10487" i="1"/>
  <c r="F10487" i="1"/>
  <c r="H10487" i="1"/>
  <c r="A10488" i="1"/>
  <c r="B10488" i="1"/>
  <c r="C10488" i="1"/>
  <c r="D10488" i="1"/>
  <c r="E10488" i="1"/>
  <c r="F10488" i="1"/>
  <c r="H10488" i="1"/>
  <c r="A10489" i="1"/>
  <c r="B10489" i="1"/>
  <c r="C10489" i="1"/>
  <c r="D10489" i="1"/>
  <c r="E10489" i="1"/>
  <c r="F10489" i="1"/>
  <c r="H10489" i="1"/>
  <c r="A10490" i="1"/>
  <c r="B10490" i="1"/>
  <c r="C10490" i="1"/>
  <c r="D10490" i="1"/>
  <c r="E10490" i="1"/>
  <c r="F10490" i="1"/>
  <c r="H10490" i="1"/>
  <c r="A10491" i="1"/>
  <c r="B10491" i="1"/>
  <c r="C10491" i="1"/>
  <c r="D10491" i="1"/>
  <c r="E10491" i="1"/>
  <c r="F10491" i="1"/>
  <c r="H10491" i="1"/>
  <c r="A10492" i="1"/>
  <c r="B10492" i="1"/>
  <c r="C10492" i="1"/>
  <c r="D10492" i="1"/>
  <c r="E10492" i="1"/>
  <c r="F10492" i="1"/>
  <c r="H10492" i="1"/>
  <c r="A10493" i="1"/>
  <c r="B10493" i="1"/>
  <c r="C10493" i="1"/>
  <c r="D10493" i="1"/>
  <c r="E10493" i="1"/>
  <c r="F10493" i="1"/>
  <c r="H10493" i="1"/>
  <c r="A10494" i="1"/>
  <c r="B10494" i="1"/>
  <c r="C10494" i="1"/>
  <c r="D10494" i="1"/>
  <c r="E10494" i="1"/>
  <c r="F10494" i="1"/>
  <c r="H10494" i="1"/>
  <c r="A10495" i="1"/>
  <c r="B10495" i="1"/>
  <c r="C10495" i="1"/>
  <c r="D10495" i="1"/>
  <c r="E10495" i="1"/>
  <c r="F10495" i="1"/>
  <c r="H10495" i="1"/>
  <c r="A10496" i="1"/>
  <c r="B10496" i="1"/>
  <c r="C10496" i="1"/>
  <c r="D10496" i="1"/>
  <c r="E10496" i="1"/>
  <c r="F10496" i="1"/>
  <c r="H10496" i="1"/>
  <c r="A10497" i="1"/>
  <c r="B10497" i="1"/>
  <c r="C10497" i="1"/>
  <c r="D10497" i="1"/>
  <c r="E10497" i="1"/>
  <c r="F10497" i="1"/>
  <c r="H10497" i="1"/>
  <c r="A10498" i="1"/>
  <c r="B10498" i="1"/>
  <c r="C10498" i="1"/>
  <c r="D10498" i="1"/>
  <c r="E10498" i="1"/>
  <c r="F10498" i="1"/>
  <c r="H10498" i="1"/>
  <c r="A10499" i="1"/>
  <c r="B10499" i="1"/>
  <c r="C10499" i="1"/>
  <c r="D10499" i="1"/>
  <c r="E10499" i="1"/>
  <c r="F10499" i="1"/>
  <c r="H10499" i="1"/>
  <c r="A10500" i="1"/>
  <c r="B10500" i="1"/>
  <c r="C10500" i="1"/>
  <c r="D10500" i="1"/>
  <c r="E10500" i="1"/>
  <c r="F10500" i="1"/>
  <c r="H10500" i="1"/>
  <c r="A10501" i="1"/>
  <c r="B10501" i="1"/>
  <c r="C10501" i="1"/>
  <c r="D10501" i="1"/>
  <c r="E10501" i="1"/>
  <c r="F10501" i="1"/>
  <c r="H10501" i="1"/>
  <c r="A10502" i="1"/>
  <c r="B10502" i="1"/>
  <c r="C10502" i="1"/>
  <c r="D10502" i="1"/>
  <c r="E10502" i="1"/>
  <c r="F10502" i="1"/>
  <c r="H10502" i="1"/>
  <c r="A10503" i="1"/>
  <c r="B10503" i="1"/>
  <c r="C10503" i="1"/>
  <c r="D10503" i="1"/>
  <c r="E10503" i="1"/>
  <c r="F10503" i="1"/>
  <c r="H10503" i="1"/>
  <c r="A10504" i="1"/>
  <c r="B10504" i="1"/>
  <c r="C10504" i="1"/>
  <c r="D10504" i="1"/>
  <c r="E10504" i="1"/>
  <c r="F10504" i="1"/>
  <c r="H10504" i="1"/>
  <c r="A10505" i="1"/>
  <c r="B10505" i="1"/>
  <c r="C10505" i="1"/>
  <c r="D10505" i="1"/>
  <c r="E10505" i="1"/>
  <c r="F10505" i="1"/>
  <c r="H10505" i="1"/>
  <c r="A10506" i="1"/>
  <c r="B10506" i="1"/>
  <c r="C10506" i="1"/>
  <c r="D10506" i="1"/>
  <c r="E10506" i="1"/>
  <c r="F10506" i="1"/>
  <c r="H10506" i="1"/>
  <c r="A10507" i="1"/>
  <c r="B10507" i="1"/>
  <c r="C10507" i="1"/>
  <c r="D10507" i="1"/>
  <c r="E10507" i="1"/>
  <c r="F10507" i="1"/>
  <c r="H10507" i="1"/>
  <c r="A10508" i="1"/>
  <c r="B10508" i="1"/>
  <c r="C10508" i="1"/>
  <c r="D10508" i="1"/>
  <c r="E10508" i="1"/>
  <c r="F10508" i="1"/>
  <c r="H10508" i="1"/>
  <c r="A10509" i="1"/>
  <c r="B10509" i="1"/>
  <c r="C10509" i="1"/>
  <c r="D10509" i="1"/>
  <c r="E10509" i="1"/>
  <c r="F10509" i="1"/>
  <c r="H10509" i="1"/>
  <c r="A10510" i="1"/>
  <c r="B10510" i="1"/>
  <c r="C10510" i="1"/>
  <c r="D10510" i="1"/>
  <c r="E10510" i="1"/>
  <c r="F10510" i="1"/>
  <c r="H10510" i="1"/>
  <c r="A10511" i="1"/>
  <c r="B10511" i="1"/>
  <c r="C10511" i="1"/>
  <c r="D10511" i="1"/>
  <c r="E10511" i="1"/>
  <c r="F10511" i="1"/>
  <c r="H10511" i="1"/>
  <c r="A10512" i="1"/>
  <c r="B10512" i="1"/>
  <c r="C10512" i="1"/>
  <c r="D10512" i="1"/>
  <c r="E10512" i="1"/>
  <c r="F10512" i="1"/>
  <c r="H10512" i="1"/>
  <c r="A10513" i="1"/>
  <c r="B10513" i="1"/>
  <c r="C10513" i="1"/>
  <c r="D10513" i="1"/>
  <c r="E10513" i="1"/>
  <c r="F10513" i="1"/>
  <c r="H10513" i="1"/>
  <c r="A10514" i="1"/>
  <c r="B10514" i="1"/>
  <c r="C10514" i="1"/>
  <c r="D10514" i="1"/>
  <c r="E10514" i="1"/>
  <c r="F10514" i="1"/>
  <c r="H10514" i="1"/>
  <c r="A10515" i="1"/>
  <c r="B10515" i="1"/>
  <c r="C10515" i="1"/>
  <c r="D10515" i="1"/>
  <c r="E10515" i="1"/>
  <c r="F10515" i="1"/>
  <c r="H10515" i="1"/>
  <c r="A10516" i="1"/>
  <c r="B10516" i="1"/>
  <c r="C10516" i="1"/>
  <c r="D10516" i="1"/>
  <c r="E10516" i="1"/>
  <c r="F10516" i="1"/>
  <c r="H10516" i="1"/>
  <c r="A10517" i="1"/>
  <c r="B10517" i="1"/>
  <c r="C10517" i="1"/>
  <c r="D10517" i="1"/>
  <c r="E10517" i="1"/>
  <c r="F10517" i="1"/>
  <c r="H10517" i="1"/>
  <c r="A10518" i="1"/>
  <c r="B10518" i="1"/>
  <c r="C10518" i="1"/>
  <c r="D10518" i="1"/>
  <c r="E10518" i="1"/>
  <c r="F10518" i="1"/>
  <c r="H10518" i="1"/>
  <c r="A10519" i="1"/>
  <c r="B10519" i="1"/>
  <c r="C10519" i="1"/>
  <c r="D10519" i="1"/>
  <c r="E10519" i="1"/>
  <c r="F10519" i="1"/>
  <c r="H10519" i="1"/>
  <c r="A10520" i="1"/>
  <c r="B10520" i="1"/>
  <c r="C10520" i="1"/>
  <c r="D10520" i="1"/>
  <c r="E10520" i="1"/>
  <c r="F10520" i="1"/>
  <c r="H10520" i="1"/>
  <c r="A10521" i="1"/>
  <c r="B10521" i="1"/>
  <c r="C10521" i="1"/>
  <c r="D10521" i="1"/>
  <c r="E10521" i="1"/>
  <c r="F10521" i="1"/>
  <c r="H10521" i="1"/>
  <c r="A10522" i="1"/>
  <c r="B10522" i="1"/>
  <c r="C10522" i="1"/>
  <c r="D10522" i="1"/>
  <c r="E10522" i="1"/>
  <c r="F10522" i="1"/>
  <c r="H10522" i="1"/>
  <c r="A10523" i="1"/>
  <c r="B10523" i="1"/>
  <c r="C10523" i="1"/>
  <c r="D10523" i="1"/>
  <c r="E10523" i="1"/>
  <c r="F10523" i="1"/>
  <c r="H10523" i="1"/>
  <c r="A10524" i="1"/>
  <c r="B10524" i="1"/>
  <c r="C10524" i="1"/>
  <c r="D10524" i="1"/>
  <c r="E10524" i="1"/>
  <c r="F10524" i="1"/>
  <c r="H10524" i="1"/>
  <c r="A10525" i="1"/>
  <c r="B10525" i="1"/>
  <c r="C10525" i="1"/>
  <c r="D10525" i="1"/>
  <c r="E10525" i="1"/>
  <c r="F10525" i="1"/>
  <c r="H10525" i="1"/>
  <c r="A10526" i="1"/>
  <c r="B10526" i="1"/>
  <c r="C10526" i="1"/>
  <c r="D10526" i="1"/>
  <c r="E10526" i="1"/>
  <c r="F10526" i="1"/>
  <c r="H10526" i="1"/>
  <c r="A10527" i="1"/>
  <c r="B10527" i="1"/>
  <c r="C10527" i="1"/>
  <c r="D10527" i="1"/>
  <c r="E10527" i="1"/>
  <c r="F10527" i="1"/>
  <c r="H10527" i="1"/>
  <c r="A10528" i="1"/>
  <c r="B10528" i="1"/>
  <c r="C10528" i="1"/>
  <c r="D10528" i="1"/>
  <c r="E10528" i="1"/>
  <c r="F10528" i="1"/>
  <c r="H10528" i="1"/>
  <c r="A10529" i="1"/>
  <c r="B10529" i="1"/>
  <c r="C10529" i="1"/>
  <c r="D10529" i="1"/>
  <c r="E10529" i="1"/>
  <c r="F10529" i="1"/>
  <c r="H10529" i="1"/>
  <c r="A10530" i="1"/>
  <c r="B10530" i="1"/>
  <c r="C10530" i="1"/>
  <c r="D10530" i="1"/>
  <c r="E10530" i="1"/>
  <c r="F10530" i="1"/>
  <c r="H10530" i="1"/>
  <c r="A10531" i="1"/>
  <c r="B10531" i="1"/>
  <c r="C10531" i="1"/>
  <c r="D10531" i="1"/>
  <c r="E10531" i="1"/>
  <c r="F10531" i="1"/>
  <c r="H10531" i="1"/>
  <c r="A10532" i="1"/>
  <c r="B10532" i="1"/>
  <c r="C10532" i="1"/>
  <c r="D10532" i="1"/>
  <c r="E10532" i="1"/>
  <c r="F10532" i="1"/>
  <c r="H10532" i="1"/>
  <c r="A10533" i="1"/>
  <c r="B10533" i="1"/>
  <c r="C10533" i="1"/>
  <c r="D10533" i="1"/>
  <c r="E10533" i="1"/>
  <c r="F10533" i="1"/>
  <c r="H10533" i="1"/>
  <c r="A10534" i="1"/>
  <c r="B10534" i="1"/>
  <c r="C10534" i="1"/>
  <c r="D10534" i="1"/>
  <c r="E10534" i="1"/>
  <c r="F10534" i="1"/>
  <c r="H10534" i="1"/>
  <c r="A10535" i="1"/>
  <c r="B10535" i="1"/>
  <c r="C10535" i="1"/>
  <c r="D10535" i="1"/>
  <c r="E10535" i="1"/>
  <c r="F10535" i="1"/>
  <c r="H10535" i="1"/>
  <c r="A10536" i="1"/>
  <c r="B10536" i="1"/>
  <c r="C10536" i="1"/>
  <c r="D10536" i="1"/>
  <c r="E10536" i="1"/>
  <c r="F10536" i="1"/>
  <c r="H10536" i="1"/>
  <c r="A10537" i="1"/>
  <c r="B10537" i="1"/>
  <c r="C10537" i="1"/>
  <c r="D10537" i="1"/>
  <c r="E10537" i="1"/>
  <c r="F10537" i="1"/>
  <c r="H10537" i="1"/>
  <c r="A10538" i="1"/>
  <c r="B10538" i="1"/>
  <c r="C10538" i="1"/>
  <c r="D10538" i="1"/>
  <c r="E10538" i="1"/>
  <c r="F10538" i="1"/>
  <c r="H10538" i="1"/>
  <c r="A10539" i="1"/>
  <c r="B10539" i="1"/>
  <c r="C10539" i="1"/>
  <c r="D10539" i="1"/>
  <c r="E10539" i="1"/>
  <c r="F10539" i="1"/>
  <c r="H10539" i="1"/>
  <c r="A10540" i="1"/>
  <c r="B10540" i="1"/>
  <c r="C10540" i="1"/>
  <c r="D10540" i="1"/>
  <c r="E10540" i="1"/>
  <c r="F10540" i="1"/>
  <c r="H10540" i="1"/>
  <c r="A10541" i="1"/>
  <c r="B10541" i="1"/>
  <c r="C10541" i="1"/>
  <c r="D10541" i="1"/>
  <c r="E10541" i="1"/>
  <c r="F10541" i="1"/>
  <c r="H10541" i="1"/>
  <c r="A10542" i="1"/>
  <c r="B10542" i="1"/>
  <c r="C10542" i="1"/>
  <c r="D10542" i="1"/>
  <c r="E10542" i="1"/>
  <c r="F10542" i="1"/>
  <c r="H10542" i="1"/>
  <c r="A10543" i="1"/>
  <c r="B10543" i="1"/>
  <c r="C10543" i="1"/>
  <c r="D10543" i="1"/>
  <c r="E10543" i="1"/>
  <c r="F10543" i="1"/>
  <c r="H10543" i="1"/>
  <c r="A10544" i="1"/>
  <c r="B10544" i="1"/>
  <c r="C10544" i="1"/>
  <c r="D10544" i="1"/>
  <c r="E10544" i="1"/>
  <c r="F10544" i="1"/>
  <c r="H10544" i="1"/>
  <c r="A10545" i="1"/>
  <c r="B10545" i="1"/>
  <c r="C10545" i="1"/>
  <c r="D10545" i="1"/>
  <c r="E10545" i="1"/>
  <c r="F10545" i="1"/>
  <c r="H10545" i="1"/>
  <c r="A10546" i="1"/>
  <c r="B10546" i="1"/>
  <c r="C10546" i="1"/>
  <c r="D10546" i="1"/>
  <c r="E10546" i="1"/>
  <c r="F10546" i="1"/>
  <c r="H10546" i="1"/>
  <c r="A10547" i="1"/>
  <c r="B10547" i="1"/>
  <c r="C10547" i="1"/>
  <c r="D10547" i="1"/>
  <c r="E10547" i="1"/>
  <c r="F10547" i="1"/>
  <c r="H10547" i="1"/>
  <c r="A10548" i="1"/>
  <c r="B10548" i="1"/>
  <c r="C10548" i="1"/>
  <c r="D10548" i="1"/>
  <c r="E10548" i="1"/>
  <c r="F10548" i="1"/>
  <c r="H10548" i="1"/>
  <c r="A10549" i="1"/>
  <c r="B10549" i="1"/>
  <c r="C10549" i="1"/>
  <c r="D10549" i="1"/>
  <c r="E10549" i="1"/>
  <c r="F10549" i="1"/>
  <c r="H10549" i="1"/>
  <c r="A10550" i="1"/>
  <c r="B10550" i="1"/>
  <c r="C10550" i="1"/>
  <c r="D10550" i="1"/>
  <c r="E10550" i="1"/>
  <c r="F10550" i="1"/>
  <c r="H10550" i="1"/>
  <c r="A10551" i="1"/>
  <c r="B10551" i="1"/>
  <c r="C10551" i="1"/>
  <c r="D10551" i="1"/>
  <c r="E10551" i="1"/>
  <c r="F10551" i="1"/>
  <c r="H10551" i="1"/>
  <c r="A10552" i="1"/>
  <c r="B10552" i="1"/>
  <c r="C10552" i="1"/>
  <c r="D10552" i="1"/>
  <c r="E10552" i="1"/>
  <c r="F10552" i="1"/>
  <c r="H10552" i="1"/>
  <c r="A10553" i="1"/>
  <c r="B10553" i="1"/>
  <c r="C10553" i="1"/>
  <c r="D10553" i="1"/>
  <c r="E10553" i="1"/>
  <c r="F10553" i="1"/>
  <c r="H10553" i="1"/>
  <c r="A10554" i="1"/>
  <c r="B10554" i="1"/>
  <c r="C10554" i="1"/>
  <c r="D10554" i="1"/>
  <c r="E10554" i="1"/>
  <c r="F10554" i="1"/>
  <c r="H10554" i="1"/>
  <c r="A10555" i="1"/>
  <c r="B10555" i="1"/>
  <c r="C10555" i="1"/>
  <c r="D10555" i="1"/>
  <c r="E10555" i="1"/>
  <c r="F10555" i="1"/>
  <c r="H10555" i="1"/>
  <c r="A10556" i="1"/>
  <c r="B10556" i="1"/>
  <c r="C10556" i="1"/>
  <c r="D10556" i="1"/>
  <c r="E10556" i="1"/>
  <c r="F10556" i="1"/>
  <c r="H10556" i="1"/>
  <c r="A10557" i="1"/>
  <c r="B10557" i="1"/>
  <c r="C10557" i="1"/>
  <c r="D10557" i="1"/>
  <c r="E10557" i="1"/>
  <c r="F10557" i="1"/>
  <c r="H10557" i="1"/>
  <c r="A10558" i="1"/>
  <c r="B10558" i="1"/>
  <c r="C10558" i="1"/>
  <c r="D10558" i="1"/>
  <c r="E10558" i="1"/>
  <c r="F10558" i="1"/>
  <c r="H10558" i="1"/>
  <c r="A10559" i="1"/>
  <c r="B10559" i="1"/>
  <c r="C10559" i="1"/>
  <c r="D10559" i="1"/>
  <c r="E10559" i="1"/>
  <c r="F10559" i="1"/>
  <c r="H10559" i="1"/>
  <c r="A10560" i="1"/>
  <c r="B10560" i="1"/>
  <c r="C10560" i="1"/>
  <c r="D10560" i="1"/>
  <c r="E10560" i="1"/>
  <c r="F10560" i="1"/>
  <c r="H10560" i="1"/>
  <c r="A10561" i="1"/>
  <c r="B10561" i="1"/>
  <c r="C10561" i="1"/>
  <c r="D10561" i="1"/>
  <c r="E10561" i="1"/>
  <c r="F10561" i="1"/>
  <c r="H10561" i="1"/>
  <c r="A10562" i="1"/>
  <c r="B10562" i="1"/>
  <c r="C10562" i="1"/>
  <c r="D10562" i="1"/>
  <c r="E10562" i="1"/>
  <c r="F10562" i="1"/>
  <c r="H10562" i="1"/>
  <c r="A10563" i="1"/>
  <c r="B10563" i="1"/>
  <c r="C10563" i="1"/>
  <c r="D10563" i="1"/>
  <c r="E10563" i="1"/>
  <c r="F10563" i="1"/>
  <c r="H10563" i="1"/>
  <c r="A10564" i="1"/>
  <c r="B10564" i="1"/>
  <c r="C10564" i="1"/>
  <c r="D10564" i="1"/>
  <c r="E10564" i="1"/>
  <c r="F10564" i="1"/>
  <c r="H10564" i="1"/>
  <c r="A10565" i="1"/>
  <c r="B10565" i="1"/>
  <c r="C10565" i="1"/>
  <c r="D10565" i="1"/>
  <c r="E10565" i="1"/>
  <c r="F10565" i="1"/>
  <c r="H10565" i="1"/>
  <c r="A10566" i="1"/>
  <c r="B10566" i="1"/>
  <c r="C10566" i="1"/>
  <c r="D10566" i="1"/>
  <c r="E10566" i="1"/>
  <c r="F10566" i="1"/>
  <c r="H10566" i="1"/>
  <c r="A10567" i="1"/>
  <c r="B10567" i="1"/>
  <c r="C10567" i="1"/>
  <c r="D10567" i="1"/>
  <c r="E10567" i="1"/>
  <c r="F10567" i="1"/>
  <c r="H10567" i="1"/>
  <c r="A10568" i="1"/>
  <c r="B10568" i="1"/>
  <c r="C10568" i="1"/>
  <c r="D10568" i="1"/>
  <c r="E10568" i="1"/>
  <c r="F10568" i="1"/>
  <c r="H10568" i="1"/>
  <c r="A10569" i="1"/>
  <c r="B10569" i="1"/>
  <c r="C10569" i="1"/>
  <c r="D10569" i="1"/>
  <c r="E10569" i="1"/>
  <c r="F10569" i="1"/>
  <c r="H10569" i="1"/>
  <c r="A10570" i="1"/>
  <c r="B10570" i="1"/>
  <c r="C10570" i="1"/>
  <c r="D10570" i="1"/>
  <c r="E10570" i="1"/>
  <c r="F10570" i="1"/>
  <c r="H10570" i="1"/>
  <c r="A10571" i="1"/>
  <c r="B10571" i="1"/>
  <c r="C10571" i="1"/>
  <c r="D10571" i="1"/>
  <c r="E10571" i="1"/>
  <c r="F10571" i="1"/>
  <c r="H10571" i="1"/>
  <c r="A10572" i="1"/>
  <c r="B10572" i="1"/>
  <c r="C10572" i="1"/>
  <c r="D10572" i="1"/>
  <c r="E10572" i="1"/>
  <c r="F10572" i="1"/>
  <c r="H10572" i="1"/>
  <c r="A10573" i="1"/>
  <c r="B10573" i="1"/>
  <c r="C10573" i="1"/>
  <c r="D10573" i="1"/>
  <c r="E10573" i="1"/>
  <c r="F10573" i="1"/>
  <c r="H10573" i="1"/>
  <c r="A10574" i="1"/>
  <c r="B10574" i="1"/>
  <c r="C10574" i="1"/>
  <c r="D10574" i="1"/>
  <c r="E10574" i="1"/>
  <c r="F10574" i="1"/>
  <c r="H10574" i="1"/>
  <c r="A10575" i="1"/>
  <c r="B10575" i="1"/>
  <c r="C10575" i="1"/>
  <c r="D10575" i="1"/>
  <c r="E10575" i="1"/>
  <c r="F10575" i="1"/>
  <c r="H10575" i="1"/>
  <c r="A10576" i="1"/>
  <c r="B10576" i="1"/>
  <c r="C10576" i="1"/>
  <c r="D10576" i="1"/>
  <c r="E10576" i="1"/>
  <c r="F10576" i="1"/>
  <c r="H10576" i="1"/>
  <c r="A10577" i="1"/>
  <c r="B10577" i="1"/>
  <c r="C10577" i="1"/>
  <c r="D10577" i="1"/>
  <c r="E10577" i="1"/>
  <c r="F10577" i="1"/>
  <c r="H10577" i="1"/>
  <c r="A10578" i="1"/>
  <c r="B10578" i="1"/>
  <c r="C10578" i="1"/>
  <c r="D10578" i="1"/>
  <c r="E10578" i="1"/>
  <c r="F10578" i="1"/>
  <c r="H10578" i="1"/>
  <c r="A10579" i="1"/>
  <c r="B10579" i="1"/>
  <c r="C10579" i="1"/>
  <c r="D10579" i="1"/>
  <c r="E10579" i="1"/>
  <c r="F10579" i="1"/>
  <c r="H10579" i="1"/>
  <c r="A10580" i="1"/>
  <c r="B10580" i="1"/>
  <c r="C10580" i="1"/>
  <c r="D10580" i="1"/>
  <c r="E10580" i="1"/>
  <c r="F10580" i="1"/>
  <c r="H10580" i="1"/>
  <c r="A10581" i="1"/>
  <c r="B10581" i="1"/>
  <c r="C10581" i="1"/>
  <c r="D10581" i="1"/>
  <c r="E10581" i="1"/>
  <c r="F10581" i="1"/>
  <c r="H10581" i="1"/>
  <c r="A10582" i="1"/>
  <c r="B10582" i="1"/>
  <c r="C10582" i="1"/>
  <c r="D10582" i="1"/>
  <c r="E10582" i="1"/>
  <c r="F10582" i="1"/>
  <c r="H10582" i="1"/>
  <c r="A10583" i="1"/>
  <c r="B10583" i="1"/>
  <c r="C10583" i="1"/>
  <c r="D10583" i="1"/>
  <c r="E10583" i="1"/>
  <c r="F10583" i="1"/>
  <c r="H10583" i="1"/>
  <c r="A10584" i="1"/>
  <c r="B10584" i="1"/>
  <c r="C10584" i="1"/>
  <c r="D10584" i="1"/>
  <c r="E10584" i="1"/>
  <c r="F10584" i="1"/>
  <c r="H10584" i="1"/>
  <c r="A10585" i="1"/>
  <c r="B10585" i="1"/>
  <c r="C10585" i="1"/>
  <c r="D10585" i="1"/>
  <c r="E10585" i="1"/>
  <c r="F10585" i="1"/>
  <c r="H10585" i="1"/>
  <c r="A10586" i="1"/>
  <c r="B10586" i="1"/>
  <c r="C10586" i="1"/>
  <c r="D10586" i="1"/>
  <c r="E10586" i="1"/>
  <c r="F10586" i="1"/>
  <c r="H10586" i="1"/>
  <c r="A10587" i="1"/>
  <c r="B10587" i="1"/>
  <c r="C10587" i="1"/>
  <c r="D10587" i="1"/>
  <c r="E10587" i="1"/>
  <c r="F10587" i="1"/>
  <c r="H10587" i="1"/>
  <c r="A10588" i="1"/>
  <c r="B10588" i="1"/>
  <c r="C10588" i="1"/>
  <c r="D10588" i="1"/>
  <c r="E10588" i="1"/>
  <c r="F10588" i="1"/>
  <c r="H10588" i="1"/>
  <c r="A10589" i="1"/>
  <c r="B10589" i="1"/>
  <c r="C10589" i="1"/>
  <c r="D10589" i="1"/>
  <c r="E10589" i="1"/>
  <c r="F10589" i="1"/>
  <c r="H10589" i="1"/>
  <c r="A10590" i="1"/>
  <c r="B10590" i="1"/>
  <c r="C10590" i="1"/>
  <c r="D10590" i="1"/>
  <c r="E10590" i="1"/>
  <c r="F10590" i="1"/>
  <c r="H10590" i="1"/>
  <c r="A10591" i="1"/>
  <c r="B10591" i="1"/>
  <c r="C10591" i="1"/>
  <c r="D10591" i="1"/>
  <c r="E10591" i="1"/>
  <c r="F10591" i="1"/>
  <c r="H10591" i="1"/>
  <c r="A10592" i="1"/>
  <c r="B10592" i="1"/>
  <c r="C10592" i="1"/>
  <c r="D10592" i="1"/>
  <c r="E10592" i="1"/>
  <c r="F10592" i="1"/>
  <c r="H10592" i="1"/>
  <c r="A10593" i="1"/>
  <c r="B10593" i="1"/>
  <c r="C10593" i="1"/>
  <c r="D10593" i="1"/>
  <c r="E10593" i="1"/>
  <c r="F10593" i="1"/>
  <c r="H10593" i="1"/>
  <c r="A10594" i="1"/>
  <c r="B10594" i="1"/>
  <c r="C10594" i="1"/>
  <c r="D10594" i="1"/>
  <c r="E10594" i="1"/>
  <c r="F10594" i="1"/>
  <c r="H10594" i="1"/>
  <c r="A10595" i="1"/>
  <c r="B10595" i="1"/>
  <c r="C10595" i="1"/>
  <c r="D10595" i="1"/>
  <c r="E10595" i="1"/>
  <c r="F10595" i="1"/>
  <c r="H10595" i="1"/>
  <c r="A10596" i="1"/>
  <c r="B10596" i="1"/>
  <c r="C10596" i="1"/>
  <c r="D10596" i="1"/>
  <c r="E10596" i="1"/>
  <c r="F10596" i="1"/>
  <c r="H10596" i="1"/>
  <c r="A10597" i="1"/>
  <c r="B10597" i="1"/>
  <c r="C10597" i="1"/>
  <c r="D10597" i="1"/>
  <c r="E10597" i="1"/>
  <c r="F10597" i="1"/>
  <c r="H10597" i="1"/>
  <c r="A10598" i="1"/>
  <c r="B10598" i="1"/>
  <c r="C10598" i="1"/>
  <c r="D10598" i="1"/>
  <c r="E10598" i="1"/>
  <c r="F10598" i="1"/>
  <c r="H10598" i="1"/>
  <c r="A10599" i="1"/>
  <c r="B10599" i="1"/>
  <c r="C10599" i="1"/>
  <c r="D10599" i="1"/>
  <c r="E10599" i="1"/>
  <c r="F10599" i="1"/>
  <c r="H10599" i="1"/>
  <c r="A10600" i="1"/>
  <c r="B10600" i="1"/>
  <c r="C10600" i="1"/>
  <c r="D10600" i="1"/>
  <c r="E10600" i="1"/>
  <c r="F10600" i="1"/>
  <c r="H10600" i="1"/>
  <c r="A10601" i="1"/>
  <c r="B10601" i="1"/>
  <c r="C10601" i="1"/>
  <c r="D10601" i="1"/>
  <c r="E10601" i="1"/>
  <c r="F10601" i="1"/>
  <c r="H10601" i="1"/>
  <c r="A10602" i="1"/>
  <c r="B10602" i="1"/>
  <c r="C10602" i="1"/>
  <c r="D10602" i="1"/>
  <c r="E10602" i="1"/>
  <c r="F10602" i="1"/>
  <c r="H10602" i="1"/>
  <c r="A10603" i="1"/>
  <c r="B10603" i="1"/>
  <c r="C10603" i="1"/>
  <c r="D10603" i="1"/>
  <c r="E10603" i="1"/>
  <c r="F10603" i="1"/>
  <c r="H10603" i="1"/>
  <c r="A10604" i="1"/>
  <c r="B10604" i="1"/>
  <c r="C10604" i="1"/>
  <c r="D10604" i="1"/>
  <c r="E10604" i="1"/>
  <c r="F10604" i="1"/>
  <c r="H10604" i="1"/>
  <c r="A10605" i="1"/>
  <c r="B10605" i="1"/>
  <c r="C10605" i="1"/>
  <c r="D10605" i="1"/>
  <c r="E10605" i="1"/>
  <c r="F10605" i="1"/>
  <c r="H10605" i="1"/>
  <c r="A10606" i="1"/>
  <c r="B10606" i="1"/>
  <c r="C10606" i="1"/>
  <c r="D10606" i="1"/>
  <c r="E10606" i="1"/>
  <c r="F10606" i="1"/>
  <c r="H10606" i="1"/>
  <c r="A10607" i="1"/>
  <c r="B10607" i="1"/>
  <c r="C10607" i="1"/>
  <c r="D10607" i="1"/>
  <c r="E10607" i="1"/>
  <c r="F10607" i="1"/>
  <c r="H10607" i="1"/>
  <c r="A10608" i="1"/>
  <c r="B10608" i="1"/>
  <c r="C10608" i="1"/>
  <c r="D10608" i="1"/>
  <c r="E10608" i="1"/>
  <c r="F10608" i="1"/>
  <c r="H10608" i="1"/>
  <c r="A10609" i="1"/>
  <c r="B10609" i="1"/>
  <c r="C10609" i="1"/>
  <c r="D10609" i="1"/>
  <c r="E10609" i="1"/>
  <c r="F10609" i="1"/>
  <c r="H10609" i="1"/>
  <c r="A10610" i="1"/>
  <c r="B10610" i="1"/>
  <c r="C10610" i="1"/>
  <c r="D10610" i="1"/>
  <c r="E10610" i="1"/>
  <c r="F10610" i="1"/>
  <c r="H10610" i="1"/>
  <c r="A10611" i="1"/>
  <c r="B10611" i="1"/>
  <c r="C10611" i="1"/>
  <c r="D10611" i="1"/>
  <c r="E10611" i="1"/>
  <c r="F10611" i="1"/>
  <c r="H10611" i="1"/>
  <c r="A10612" i="1"/>
  <c r="B10612" i="1"/>
  <c r="C10612" i="1"/>
  <c r="D10612" i="1"/>
  <c r="E10612" i="1"/>
  <c r="F10612" i="1"/>
  <c r="H10612" i="1"/>
  <c r="A10613" i="1"/>
  <c r="B10613" i="1"/>
  <c r="C10613" i="1"/>
  <c r="D10613" i="1"/>
  <c r="E10613" i="1"/>
  <c r="F10613" i="1"/>
  <c r="H10613" i="1"/>
  <c r="A10614" i="1"/>
  <c r="B10614" i="1"/>
  <c r="C10614" i="1"/>
  <c r="D10614" i="1"/>
  <c r="E10614" i="1"/>
  <c r="F10614" i="1"/>
  <c r="H10614" i="1"/>
  <c r="A10615" i="1"/>
  <c r="B10615" i="1"/>
  <c r="C10615" i="1"/>
  <c r="D10615" i="1"/>
  <c r="E10615" i="1"/>
  <c r="F10615" i="1"/>
  <c r="H10615" i="1"/>
  <c r="A10616" i="1"/>
  <c r="B10616" i="1"/>
  <c r="C10616" i="1"/>
  <c r="D10616" i="1"/>
  <c r="E10616" i="1"/>
  <c r="F10616" i="1"/>
  <c r="H10616" i="1"/>
  <c r="A10617" i="1"/>
  <c r="B10617" i="1"/>
  <c r="C10617" i="1"/>
  <c r="D10617" i="1"/>
  <c r="E10617" i="1"/>
  <c r="F10617" i="1"/>
  <c r="H10617" i="1"/>
  <c r="A10618" i="1"/>
  <c r="B10618" i="1"/>
  <c r="C10618" i="1"/>
  <c r="D10618" i="1"/>
  <c r="E10618" i="1"/>
  <c r="F10618" i="1"/>
  <c r="H10618" i="1"/>
  <c r="A10619" i="1"/>
  <c r="B10619" i="1"/>
  <c r="C10619" i="1"/>
  <c r="D10619" i="1"/>
  <c r="E10619" i="1"/>
  <c r="F10619" i="1"/>
  <c r="H10619" i="1"/>
  <c r="A10620" i="1"/>
  <c r="B10620" i="1"/>
  <c r="C10620" i="1"/>
  <c r="D10620" i="1"/>
  <c r="E10620" i="1"/>
  <c r="F10620" i="1"/>
  <c r="H10620" i="1"/>
  <c r="A10621" i="1"/>
  <c r="B10621" i="1"/>
  <c r="C10621" i="1"/>
  <c r="D10621" i="1"/>
  <c r="E10621" i="1"/>
  <c r="F10621" i="1"/>
  <c r="H10621" i="1"/>
  <c r="A10622" i="1"/>
  <c r="B10622" i="1"/>
  <c r="C10622" i="1"/>
  <c r="D10622" i="1"/>
  <c r="E10622" i="1"/>
  <c r="F10622" i="1"/>
  <c r="H10622" i="1"/>
  <c r="A10623" i="1"/>
  <c r="B10623" i="1"/>
  <c r="C10623" i="1"/>
  <c r="D10623" i="1"/>
  <c r="E10623" i="1"/>
  <c r="F10623" i="1"/>
  <c r="H10623" i="1"/>
  <c r="A10624" i="1"/>
  <c r="B10624" i="1"/>
  <c r="C10624" i="1"/>
  <c r="D10624" i="1"/>
  <c r="E10624" i="1"/>
  <c r="F10624" i="1"/>
  <c r="H10624" i="1"/>
  <c r="A10625" i="1"/>
  <c r="B10625" i="1"/>
  <c r="C10625" i="1"/>
  <c r="D10625" i="1"/>
  <c r="E10625" i="1"/>
  <c r="F10625" i="1"/>
  <c r="H10625" i="1"/>
  <c r="A10626" i="1"/>
  <c r="B10626" i="1"/>
  <c r="C10626" i="1"/>
  <c r="D10626" i="1"/>
  <c r="E10626" i="1"/>
  <c r="F10626" i="1"/>
  <c r="H10626" i="1"/>
  <c r="A10627" i="1"/>
  <c r="B10627" i="1"/>
  <c r="C10627" i="1"/>
  <c r="D10627" i="1"/>
  <c r="E10627" i="1"/>
  <c r="F10627" i="1"/>
  <c r="H10627" i="1"/>
  <c r="A10628" i="1"/>
  <c r="B10628" i="1"/>
  <c r="C10628" i="1"/>
  <c r="D10628" i="1"/>
  <c r="E10628" i="1"/>
  <c r="F10628" i="1"/>
  <c r="H10628" i="1"/>
  <c r="A10629" i="1"/>
  <c r="B10629" i="1"/>
  <c r="C10629" i="1"/>
  <c r="D10629" i="1"/>
  <c r="E10629" i="1"/>
  <c r="F10629" i="1"/>
  <c r="H10629" i="1"/>
  <c r="A10630" i="1"/>
  <c r="B10630" i="1"/>
  <c r="C10630" i="1"/>
  <c r="D10630" i="1"/>
  <c r="E10630" i="1"/>
  <c r="F10630" i="1"/>
  <c r="H10630" i="1"/>
  <c r="A10631" i="1"/>
  <c r="B10631" i="1"/>
  <c r="C10631" i="1"/>
  <c r="D10631" i="1"/>
  <c r="E10631" i="1"/>
  <c r="F10631" i="1"/>
  <c r="H10631" i="1"/>
  <c r="A10632" i="1"/>
  <c r="B10632" i="1"/>
  <c r="C10632" i="1"/>
  <c r="D10632" i="1"/>
  <c r="E10632" i="1"/>
  <c r="F10632" i="1"/>
  <c r="H10632" i="1"/>
  <c r="A10633" i="1"/>
  <c r="B10633" i="1"/>
  <c r="C10633" i="1"/>
  <c r="D10633" i="1"/>
  <c r="E10633" i="1"/>
  <c r="F10633" i="1"/>
  <c r="H10633" i="1"/>
  <c r="A10634" i="1"/>
  <c r="B10634" i="1"/>
  <c r="C10634" i="1"/>
  <c r="D10634" i="1"/>
  <c r="E10634" i="1"/>
  <c r="F10634" i="1"/>
  <c r="H10634" i="1"/>
  <c r="A10635" i="1"/>
  <c r="B10635" i="1"/>
  <c r="C10635" i="1"/>
  <c r="D10635" i="1"/>
  <c r="E10635" i="1"/>
  <c r="F10635" i="1"/>
  <c r="H10635" i="1"/>
  <c r="A10636" i="1"/>
  <c r="B10636" i="1"/>
  <c r="C10636" i="1"/>
  <c r="D10636" i="1"/>
  <c r="E10636" i="1"/>
  <c r="F10636" i="1"/>
  <c r="H10636" i="1"/>
  <c r="A10637" i="1"/>
  <c r="B10637" i="1"/>
  <c r="C10637" i="1"/>
  <c r="D10637" i="1"/>
  <c r="E10637" i="1"/>
  <c r="F10637" i="1"/>
  <c r="H10637" i="1"/>
  <c r="A10638" i="1"/>
  <c r="B10638" i="1"/>
  <c r="C10638" i="1"/>
  <c r="D10638" i="1"/>
  <c r="E10638" i="1"/>
  <c r="F10638" i="1"/>
  <c r="H10638" i="1"/>
  <c r="A10639" i="1"/>
  <c r="B10639" i="1"/>
  <c r="C10639" i="1"/>
  <c r="D10639" i="1"/>
  <c r="E10639" i="1"/>
  <c r="F10639" i="1"/>
  <c r="H10639" i="1"/>
  <c r="A10640" i="1"/>
  <c r="B10640" i="1"/>
  <c r="C10640" i="1"/>
  <c r="D10640" i="1"/>
  <c r="E10640" i="1"/>
  <c r="F10640" i="1"/>
  <c r="H10640" i="1"/>
  <c r="A10641" i="1"/>
  <c r="B10641" i="1"/>
  <c r="C10641" i="1"/>
  <c r="D10641" i="1"/>
  <c r="E10641" i="1"/>
  <c r="F10641" i="1"/>
  <c r="H10641" i="1"/>
  <c r="A10642" i="1"/>
  <c r="B10642" i="1"/>
  <c r="C10642" i="1"/>
  <c r="D10642" i="1"/>
  <c r="E10642" i="1"/>
  <c r="F10642" i="1"/>
  <c r="H10642" i="1"/>
  <c r="A10643" i="1"/>
  <c r="B10643" i="1"/>
  <c r="C10643" i="1"/>
  <c r="D10643" i="1"/>
  <c r="E10643" i="1"/>
  <c r="F10643" i="1"/>
  <c r="H10643" i="1"/>
  <c r="A10644" i="1"/>
  <c r="B10644" i="1"/>
  <c r="C10644" i="1"/>
  <c r="D10644" i="1"/>
  <c r="E10644" i="1"/>
  <c r="F10644" i="1"/>
  <c r="H10644" i="1"/>
  <c r="A10645" i="1"/>
  <c r="B10645" i="1"/>
  <c r="C10645" i="1"/>
  <c r="D10645" i="1"/>
  <c r="E10645" i="1"/>
  <c r="F10645" i="1"/>
  <c r="H10645" i="1"/>
  <c r="A10646" i="1"/>
  <c r="B10646" i="1"/>
  <c r="C10646" i="1"/>
  <c r="D10646" i="1"/>
  <c r="E10646" i="1"/>
  <c r="F10646" i="1"/>
  <c r="H10646" i="1"/>
  <c r="A10647" i="1"/>
  <c r="B10647" i="1"/>
  <c r="C10647" i="1"/>
  <c r="D10647" i="1"/>
  <c r="E10647" i="1"/>
  <c r="F10647" i="1"/>
  <c r="H10647" i="1"/>
  <c r="A10648" i="1"/>
  <c r="B10648" i="1"/>
  <c r="C10648" i="1"/>
  <c r="D10648" i="1"/>
  <c r="E10648" i="1"/>
  <c r="F10648" i="1"/>
  <c r="H10648" i="1"/>
  <c r="A10649" i="1"/>
  <c r="B10649" i="1"/>
  <c r="C10649" i="1"/>
  <c r="D10649" i="1"/>
  <c r="E10649" i="1"/>
  <c r="F10649" i="1"/>
  <c r="H10649" i="1"/>
  <c r="A10650" i="1"/>
  <c r="B10650" i="1"/>
  <c r="C10650" i="1"/>
  <c r="D10650" i="1"/>
  <c r="E10650" i="1"/>
  <c r="F10650" i="1"/>
  <c r="H10650" i="1"/>
  <c r="A10651" i="1"/>
  <c r="B10651" i="1"/>
  <c r="C10651" i="1"/>
  <c r="D10651" i="1"/>
  <c r="E10651" i="1"/>
  <c r="F10651" i="1"/>
  <c r="H10651" i="1"/>
  <c r="A10652" i="1"/>
  <c r="B10652" i="1"/>
  <c r="C10652" i="1"/>
  <c r="D10652" i="1"/>
  <c r="E10652" i="1"/>
  <c r="F10652" i="1"/>
  <c r="H10652" i="1"/>
  <c r="A10653" i="1"/>
  <c r="B10653" i="1"/>
  <c r="C10653" i="1"/>
  <c r="D10653" i="1"/>
  <c r="E10653" i="1"/>
  <c r="F10653" i="1"/>
  <c r="H10653" i="1"/>
  <c r="A10654" i="1"/>
  <c r="B10654" i="1"/>
  <c r="C10654" i="1"/>
  <c r="D10654" i="1"/>
  <c r="E10654" i="1"/>
  <c r="F10654" i="1"/>
  <c r="H10654" i="1"/>
  <c r="A10655" i="1"/>
  <c r="B10655" i="1"/>
  <c r="C10655" i="1"/>
  <c r="D10655" i="1"/>
  <c r="E10655" i="1"/>
  <c r="F10655" i="1"/>
  <c r="H10655" i="1"/>
  <c r="A10656" i="1"/>
  <c r="B10656" i="1"/>
  <c r="C10656" i="1"/>
  <c r="D10656" i="1"/>
  <c r="E10656" i="1"/>
  <c r="F10656" i="1"/>
  <c r="H10656" i="1"/>
  <c r="A10657" i="1"/>
  <c r="B10657" i="1"/>
  <c r="C10657" i="1"/>
  <c r="D10657" i="1"/>
  <c r="E10657" i="1"/>
  <c r="F10657" i="1"/>
  <c r="H10657" i="1"/>
  <c r="A10658" i="1"/>
  <c r="B10658" i="1"/>
  <c r="C10658" i="1"/>
  <c r="D10658" i="1"/>
  <c r="E10658" i="1"/>
  <c r="F10658" i="1"/>
  <c r="H10658" i="1"/>
  <c r="A10659" i="1"/>
  <c r="B10659" i="1"/>
  <c r="C10659" i="1"/>
  <c r="D10659" i="1"/>
  <c r="E10659" i="1"/>
  <c r="F10659" i="1"/>
  <c r="H10659" i="1"/>
  <c r="A10660" i="1"/>
  <c r="B10660" i="1"/>
  <c r="C10660" i="1"/>
  <c r="D10660" i="1"/>
  <c r="E10660" i="1"/>
  <c r="F10660" i="1"/>
  <c r="H10660" i="1"/>
  <c r="A10661" i="1"/>
  <c r="B10661" i="1"/>
  <c r="C10661" i="1"/>
  <c r="D10661" i="1"/>
  <c r="E10661" i="1"/>
  <c r="F10661" i="1"/>
  <c r="H10661" i="1"/>
  <c r="A10662" i="1"/>
  <c r="B10662" i="1"/>
  <c r="C10662" i="1"/>
  <c r="D10662" i="1"/>
  <c r="E10662" i="1"/>
  <c r="F10662" i="1"/>
  <c r="H10662" i="1"/>
  <c r="A10663" i="1"/>
  <c r="B10663" i="1"/>
  <c r="C10663" i="1"/>
  <c r="D10663" i="1"/>
  <c r="E10663" i="1"/>
  <c r="F10663" i="1"/>
  <c r="H10663" i="1"/>
  <c r="A10664" i="1"/>
  <c r="B10664" i="1"/>
  <c r="C10664" i="1"/>
  <c r="D10664" i="1"/>
  <c r="E10664" i="1"/>
  <c r="F10664" i="1"/>
  <c r="H10664" i="1"/>
  <c r="A10665" i="1"/>
  <c r="B10665" i="1"/>
  <c r="C10665" i="1"/>
  <c r="D10665" i="1"/>
  <c r="E10665" i="1"/>
  <c r="F10665" i="1"/>
  <c r="H10665" i="1"/>
  <c r="A10666" i="1"/>
  <c r="B10666" i="1"/>
  <c r="C10666" i="1"/>
  <c r="D10666" i="1"/>
  <c r="E10666" i="1"/>
  <c r="F10666" i="1"/>
  <c r="H10666" i="1"/>
  <c r="A10667" i="1"/>
  <c r="B10667" i="1"/>
  <c r="C10667" i="1"/>
  <c r="D10667" i="1"/>
  <c r="E10667" i="1"/>
  <c r="F10667" i="1"/>
  <c r="H10667" i="1"/>
  <c r="A10668" i="1"/>
  <c r="B10668" i="1"/>
  <c r="C10668" i="1"/>
  <c r="D10668" i="1"/>
  <c r="E10668" i="1"/>
  <c r="F10668" i="1"/>
  <c r="H10668" i="1"/>
  <c r="A10669" i="1"/>
  <c r="B10669" i="1"/>
  <c r="C10669" i="1"/>
  <c r="D10669" i="1"/>
  <c r="E10669" i="1"/>
  <c r="F10669" i="1"/>
  <c r="H10669" i="1"/>
  <c r="A10670" i="1"/>
  <c r="B10670" i="1"/>
  <c r="C10670" i="1"/>
  <c r="D10670" i="1"/>
  <c r="E10670" i="1"/>
  <c r="F10670" i="1"/>
  <c r="H10670" i="1"/>
  <c r="A10671" i="1"/>
  <c r="B10671" i="1"/>
  <c r="C10671" i="1"/>
  <c r="D10671" i="1"/>
  <c r="E10671" i="1"/>
  <c r="F10671" i="1"/>
  <c r="H10671" i="1"/>
  <c r="A10672" i="1"/>
  <c r="B10672" i="1"/>
  <c r="C10672" i="1"/>
  <c r="D10672" i="1"/>
  <c r="E10672" i="1"/>
  <c r="F10672" i="1"/>
  <c r="H10672" i="1"/>
  <c r="A10673" i="1"/>
  <c r="B10673" i="1"/>
  <c r="C10673" i="1"/>
  <c r="D10673" i="1"/>
  <c r="E10673" i="1"/>
  <c r="F10673" i="1"/>
  <c r="H10673" i="1"/>
  <c r="A10674" i="1"/>
  <c r="B10674" i="1"/>
  <c r="C10674" i="1"/>
  <c r="D10674" i="1"/>
  <c r="E10674" i="1"/>
  <c r="F10674" i="1"/>
  <c r="H10674" i="1"/>
  <c r="A10675" i="1"/>
  <c r="B10675" i="1"/>
  <c r="C10675" i="1"/>
  <c r="D10675" i="1"/>
  <c r="E10675" i="1"/>
  <c r="F10675" i="1"/>
  <c r="H10675" i="1"/>
  <c r="A10676" i="1"/>
  <c r="B10676" i="1"/>
  <c r="C10676" i="1"/>
  <c r="D10676" i="1"/>
  <c r="E10676" i="1"/>
  <c r="F10676" i="1"/>
  <c r="H10676" i="1"/>
  <c r="A10677" i="1"/>
  <c r="B10677" i="1"/>
  <c r="C10677" i="1"/>
  <c r="D10677" i="1"/>
  <c r="E10677" i="1"/>
  <c r="F10677" i="1"/>
  <c r="H10677" i="1"/>
  <c r="A10678" i="1"/>
  <c r="B10678" i="1"/>
  <c r="C10678" i="1"/>
  <c r="D10678" i="1"/>
  <c r="E10678" i="1"/>
  <c r="F10678" i="1"/>
  <c r="H10678" i="1"/>
  <c r="A10679" i="1"/>
  <c r="B10679" i="1"/>
  <c r="C10679" i="1"/>
  <c r="D10679" i="1"/>
  <c r="E10679" i="1"/>
  <c r="F10679" i="1"/>
  <c r="H10679" i="1"/>
  <c r="A10680" i="1"/>
  <c r="B10680" i="1"/>
  <c r="C10680" i="1"/>
  <c r="D10680" i="1"/>
  <c r="E10680" i="1"/>
  <c r="F10680" i="1"/>
  <c r="H10680" i="1"/>
  <c r="A10681" i="1"/>
  <c r="B10681" i="1"/>
  <c r="C10681" i="1"/>
  <c r="D10681" i="1"/>
  <c r="E10681" i="1"/>
  <c r="F10681" i="1"/>
  <c r="H10681" i="1"/>
  <c r="A10682" i="1"/>
  <c r="B10682" i="1"/>
  <c r="C10682" i="1"/>
  <c r="D10682" i="1"/>
  <c r="E10682" i="1"/>
  <c r="F10682" i="1"/>
  <c r="H10682" i="1"/>
  <c r="A10683" i="1"/>
  <c r="B10683" i="1"/>
  <c r="C10683" i="1"/>
  <c r="D10683" i="1"/>
  <c r="E10683" i="1"/>
  <c r="F10683" i="1"/>
  <c r="H10683" i="1"/>
  <c r="A10684" i="1"/>
  <c r="B10684" i="1"/>
  <c r="C10684" i="1"/>
  <c r="D10684" i="1"/>
  <c r="E10684" i="1"/>
  <c r="F10684" i="1"/>
  <c r="H10684" i="1"/>
  <c r="A10685" i="1"/>
  <c r="B10685" i="1"/>
  <c r="C10685" i="1"/>
  <c r="D10685" i="1"/>
  <c r="E10685" i="1"/>
  <c r="F10685" i="1"/>
  <c r="H10685" i="1"/>
  <c r="A10686" i="1"/>
  <c r="B10686" i="1"/>
  <c r="C10686" i="1"/>
  <c r="D10686" i="1"/>
  <c r="E10686" i="1"/>
  <c r="F10686" i="1"/>
  <c r="H10686" i="1"/>
  <c r="A10687" i="1"/>
  <c r="B10687" i="1"/>
  <c r="C10687" i="1"/>
  <c r="D10687" i="1"/>
  <c r="E10687" i="1"/>
  <c r="F10687" i="1"/>
  <c r="H10687" i="1"/>
  <c r="A10688" i="1"/>
  <c r="B10688" i="1"/>
  <c r="C10688" i="1"/>
  <c r="D10688" i="1"/>
  <c r="E10688" i="1"/>
  <c r="F10688" i="1"/>
  <c r="H10688" i="1"/>
  <c r="A10689" i="1"/>
  <c r="B10689" i="1"/>
  <c r="C10689" i="1"/>
  <c r="D10689" i="1"/>
  <c r="E10689" i="1"/>
  <c r="F10689" i="1"/>
  <c r="H10689" i="1"/>
  <c r="A10690" i="1"/>
  <c r="B10690" i="1"/>
  <c r="C10690" i="1"/>
  <c r="D10690" i="1"/>
  <c r="E10690" i="1"/>
  <c r="F10690" i="1"/>
  <c r="H10690" i="1"/>
  <c r="A10691" i="1"/>
  <c r="B10691" i="1"/>
  <c r="C10691" i="1"/>
  <c r="D10691" i="1"/>
  <c r="E10691" i="1"/>
  <c r="F10691" i="1"/>
  <c r="H10691" i="1"/>
  <c r="A10692" i="1"/>
  <c r="B10692" i="1"/>
  <c r="C10692" i="1"/>
  <c r="D10692" i="1"/>
  <c r="E10692" i="1"/>
  <c r="F10692" i="1"/>
  <c r="H10692" i="1"/>
  <c r="A10693" i="1"/>
  <c r="B10693" i="1"/>
  <c r="C10693" i="1"/>
  <c r="D10693" i="1"/>
  <c r="E10693" i="1"/>
  <c r="F10693" i="1"/>
  <c r="H10693" i="1"/>
  <c r="A10694" i="1"/>
  <c r="B10694" i="1"/>
  <c r="C10694" i="1"/>
  <c r="D10694" i="1"/>
  <c r="E10694" i="1"/>
  <c r="F10694" i="1"/>
  <c r="H10694" i="1"/>
  <c r="A10695" i="1"/>
  <c r="B10695" i="1"/>
  <c r="C10695" i="1"/>
  <c r="D10695" i="1"/>
  <c r="E10695" i="1"/>
  <c r="F10695" i="1"/>
  <c r="H10695" i="1"/>
  <c r="A10696" i="1"/>
  <c r="B10696" i="1"/>
  <c r="C10696" i="1"/>
  <c r="D10696" i="1"/>
  <c r="E10696" i="1"/>
  <c r="F10696" i="1"/>
  <c r="H10696" i="1"/>
  <c r="A10697" i="1"/>
  <c r="B10697" i="1"/>
  <c r="C10697" i="1"/>
  <c r="D10697" i="1"/>
  <c r="E10697" i="1"/>
  <c r="F10697" i="1"/>
  <c r="H10697" i="1"/>
  <c r="A10698" i="1"/>
  <c r="B10698" i="1"/>
  <c r="C10698" i="1"/>
  <c r="D10698" i="1"/>
  <c r="E10698" i="1"/>
  <c r="F10698" i="1"/>
  <c r="H10698" i="1"/>
  <c r="A10699" i="1"/>
  <c r="B10699" i="1"/>
  <c r="C10699" i="1"/>
  <c r="D10699" i="1"/>
  <c r="E10699" i="1"/>
  <c r="F10699" i="1"/>
  <c r="H10699" i="1"/>
  <c r="A10700" i="1"/>
  <c r="B10700" i="1"/>
  <c r="C10700" i="1"/>
  <c r="D10700" i="1"/>
  <c r="E10700" i="1"/>
  <c r="F10700" i="1"/>
  <c r="H10700" i="1"/>
  <c r="A10701" i="1"/>
  <c r="B10701" i="1"/>
  <c r="C10701" i="1"/>
  <c r="D10701" i="1"/>
  <c r="E10701" i="1"/>
  <c r="F10701" i="1"/>
  <c r="H10701" i="1"/>
  <c r="A10702" i="1"/>
  <c r="B10702" i="1"/>
  <c r="C10702" i="1"/>
  <c r="D10702" i="1"/>
  <c r="E10702" i="1"/>
  <c r="F10702" i="1"/>
  <c r="H10702" i="1"/>
  <c r="A10703" i="1"/>
  <c r="B10703" i="1"/>
  <c r="C10703" i="1"/>
  <c r="D10703" i="1"/>
  <c r="E10703" i="1"/>
  <c r="F10703" i="1"/>
  <c r="H10703" i="1"/>
  <c r="A10704" i="1"/>
  <c r="B10704" i="1"/>
  <c r="C10704" i="1"/>
  <c r="D10704" i="1"/>
  <c r="E10704" i="1"/>
  <c r="F10704" i="1"/>
  <c r="H10704" i="1"/>
  <c r="A10705" i="1"/>
  <c r="B10705" i="1"/>
  <c r="C10705" i="1"/>
  <c r="D10705" i="1"/>
  <c r="E10705" i="1"/>
  <c r="F10705" i="1"/>
  <c r="H10705" i="1"/>
  <c r="A10706" i="1"/>
  <c r="B10706" i="1"/>
  <c r="C10706" i="1"/>
  <c r="D10706" i="1"/>
  <c r="E10706" i="1"/>
  <c r="F10706" i="1"/>
  <c r="H10706" i="1"/>
  <c r="A10707" i="1"/>
  <c r="B10707" i="1"/>
  <c r="C10707" i="1"/>
  <c r="D10707" i="1"/>
  <c r="E10707" i="1"/>
  <c r="F10707" i="1"/>
  <c r="H10707" i="1"/>
  <c r="A10708" i="1"/>
  <c r="B10708" i="1"/>
  <c r="C10708" i="1"/>
  <c r="D10708" i="1"/>
  <c r="E10708" i="1"/>
  <c r="F10708" i="1"/>
  <c r="H10708" i="1"/>
  <c r="A10709" i="1"/>
  <c r="B10709" i="1"/>
  <c r="C10709" i="1"/>
  <c r="D10709" i="1"/>
  <c r="E10709" i="1"/>
  <c r="F10709" i="1"/>
  <c r="H10709" i="1"/>
  <c r="A10710" i="1"/>
  <c r="B10710" i="1"/>
  <c r="C10710" i="1"/>
  <c r="D10710" i="1"/>
  <c r="E10710" i="1"/>
  <c r="F10710" i="1"/>
  <c r="H10710" i="1"/>
  <c r="A10711" i="1"/>
  <c r="B10711" i="1"/>
  <c r="C10711" i="1"/>
  <c r="D10711" i="1"/>
  <c r="E10711" i="1"/>
  <c r="F10711" i="1"/>
  <c r="H10711" i="1"/>
  <c r="A10712" i="1"/>
  <c r="B10712" i="1"/>
  <c r="C10712" i="1"/>
  <c r="D10712" i="1"/>
  <c r="E10712" i="1"/>
  <c r="F10712" i="1"/>
  <c r="H10712" i="1"/>
  <c r="A10713" i="1"/>
  <c r="B10713" i="1"/>
  <c r="C10713" i="1"/>
  <c r="D10713" i="1"/>
  <c r="E10713" i="1"/>
  <c r="F10713" i="1"/>
  <c r="H10713" i="1"/>
  <c r="A10714" i="1"/>
  <c r="B10714" i="1"/>
  <c r="C10714" i="1"/>
  <c r="D10714" i="1"/>
  <c r="E10714" i="1"/>
  <c r="F10714" i="1"/>
  <c r="H10714" i="1"/>
  <c r="A10715" i="1"/>
  <c r="B10715" i="1"/>
  <c r="C10715" i="1"/>
  <c r="D10715" i="1"/>
  <c r="E10715" i="1"/>
  <c r="F10715" i="1"/>
  <c r="H10715" i="1"/>
  <c r="A10716" i="1"/>
  <c r="B10716" i="1"/>
  <c r="C10716" i="1"/>
  <c r="D10716" i="1"/>
  <c r="E10716" i="1"/>
  <c r="F10716" i="1"/>
  <c r="H10716" i="1"/>
  <c r="A10717" i="1"/>
  <c r="B10717" i="1"/>
  <c r="C10717" i="1"/>
  <c r="D10717" i="1"/>
  <c r="E10717" i="1"/>
  <c r="F10717" i="1"/>
  <c r="H10717" i="1"/>
  <c r="A10718" i="1"/>
  <c r="B10718" i="1"/>
  <c r="C10718" i="1"/>
  <c r="D10718" i="1"/>
  <c r="E10718" i="1"/>
  <c r="F10718" i="1"/>
  <c r="H10718" i="1"/>
  <c r="A10719" i="1"/>
  <c r="B10719" i="1"/>
  <c r="C10719" i="1"/>
  <c r="D10719" i="1"/>
  <c r="E10719" i="1"/>
  <c r="F10719" i="1"/>
  <c r="H10719" i="1"/>
  <c r="A10720" i="1"/>
  <c r="B10720" i="1"/>
  <c r="C10720" i="1"/>
  <c r="D10720" i="1"/>
  <c r="E10720" i="1"/>
  <c r="F10720" i="1"/>
  <c r="H10720" i="1"/>
  <c r="A10721" i="1"/>
  <c r="B10721" i="1"/>
  <c r="C10721" i="1"/>
  <c r="D10721" i="1"/>
  <c r="E10721" i="1"/>
  <c r="F10721" i="1"/>
  <c r="H10721" i="1"/>
  <c r="A10722" i="1"/>
  <c r="B10722" i="1"/>
  <c r="C10722" i="1"/>
  <c r="D10722" i="1"/>
  <c r="E10722" i="1"/>
  <c r="F10722" i="1"/>
  <c r="H10722" i="1"/>
  <c r="A10723" i="1"/>
  <c r="B10723" i="1"/>
  <c r="C10723" i="1"/>
  <c r="D10723" i="1"/>
  <c r="E10723" i="1"/>
  <c r="F10723" i="1"/>
  <c r="H10723" i="1"/>
  <c r="A10724" i="1"/>
  <c r="B10724" i="1"/>
  <c r="C10724" i="1"/>
  <c r="D10724" i="1"/>
  <c r="E10724" i="1"/>
  <c r="F10724" i="1"/>
  <c r="H10724" i="1"/>
  <c r="A10725" i="1"/>
  <c r="B10725" i="1"/>
  <c r="C10725" i="1"/>
  <c r="D10725" i="1"/>
  <c r="E10725" i="1"/>
  <c r="F10725" i="1"/>
  <c r="H10725" i="1"/>
  <c r="A10726" i="1"/>
  <c r="B10726" i="1"/>
  <c r="C10726" i="1"/>
  <c r="D10726" i="1"/>
  <c r="E10726" i="1"/>
  <c r="F10726" i="1"/>
  <c r="H10726" i="1"/>
  <c r="A10727" i="1"/>
  <c r="B10727" i="1"/>
  <c r="C10727" i="1"/>
  <c r="D10727" i="1"/>
  <c r="E10727" i="1"/>
  <c r="F10727" i="1"/>
  <c r="H10727" i="1"/>
  <c r="A10728" i="1"/>
  <c r="B10728" i="1"/>
  <c r="C10728" i="1"/>
  <c r="D10728" i="1"/>
  <c r="E10728" i="1"/>
  <c r="F10728" i="1"/>
  <c r="H10728" i="1"/>
  <c r="A10729" i="1"/>
  <c r="B10729" i="1"/>
  <c r="C10729" i="1"/>
  <c r="D10729" i="1"/>
  <c r="E10729" i="1"/>
  <c r="F10729" i="1"/>
  <c r="H10729" i="1"/>
  <c r="A10730" i="1"/>
  <c r="B10730" i="1"/>
  <c r="C10730" i="1"/>
  <c r="D10730" i="1"/>
  <c r="E10730" i="1"/>
  <c r="F10730" i="1"/>
  <c r="H10730" i="1"/>
  <c r="A10731" i="1"/>
  <c r="B10731" i="1"/>
  <c r="C10731" i="1"/>
  <c r="D10731" i="1"/>
  <c r="E10731" i="1"/>
  <c r="F10731" i="1"/>
  <c r="H10731" i="1"/>
  <c r="A10732" i="1"/>
  <c r="B10732" i="1"/>
  <c r="C10732" i="1"/>
  <c r="D10732" i="1"/>
  <c r="E10732" i="1"/>
  <c r="F10732" i="1"/>
  <c r="H10732" i="1"/>
  <c r="A10733" i="1"/>
  <c r="B10733" i="1"/>
  <c r="C10733" i="1"/>
  <c r="D10733" i="1"/>
  <c r="E10733" i="1"/>
  <c r="F10733" i="1"/>
  <c r="H10733" i="1"/>
  <c r="A10734" i="1"/>
  <c r="B10734" i="1"/>
  <c r="C10734" i="1"/>
  <c r="D10734" i="1"/>
  <c r="E10734" i="1"/>
  <c r="F10734" i="1"/>
  <c r="H10734" i="1"/>
  <c r="A10735" i="1"/>
  <c r="B10735" i="1"/>
  <c r="C10735" i="1"/>
  <c r="D10735" i="1"/>
  <c r="E10735" i="1"/>
  <c r="F10735" i="1"/>
  <c r="H10735" i="1"/>
  <c r="A10736" i="1"/>
  <c r="B10736" i="1"/>
  <c r="C10736" i="1"/>
  <c r="D10736" i="1"/>
  <c r="E10736" i="1"/>
  <c r="F10736" i="1"/>
  <c r="H10736" i="1"/>
  <c r="A10737" i="1"/>
  <c r="B10737" i="1"/>
  <c r="C10737" i="1"/>
  <c r="D10737" i="1"/>
  <c r="E10737" i="1"/>
  <c r="F10737" i="1"/>
  <c r="H10737" i="1"/>
  <c r="A10738" i="1"/>
  <c r="B10738" i="1"/>
  <c r="C10738" i="1"/>
  <c r="D10738" i="1"/>
  <c r="E10738" i="1"/>
  <c r="F10738" i="1"/>
  <c r="H10738" i="1"/>
  <c r="A10739" i="1"/>
  <c r="B10739" i="1"/>
  <c r="C10739" i="1"/>
  <c r="D10739" i="1"/>
  <c r="E10739" i="1"/>
  <c r="F10739" i="1"/>
  <c r="H10739" i="1"/>
  <c r="A10740" i="1"/>
  <c r="B10740" i="1"/>
  <c r="C10740" i="1"/>
  <c r="D10740" i="1"/>
  <c r="E10740" i="1"/>
  <c r="F10740" i="1"/>
  <c r="H10740" i="1"/>
  <c r="A10741" i="1"/>
  <c r="B10741" i="1"/>
  <c r="C10741" i="1"/>
  <c r="D10741" i="1"/>
  <c r="E10741" i="1"/>
  <c r="F10741" i="1"/>
  <c r="H10741" i="1"/>
  <c r="A10742" i="1"/>
  <c r="B10742" i="1"/>
  <c r="C10742" i="1"/>
  <c r="D10742" i="1"/>
  <c r="E10742" i="1"/>
  <c r="F10742" i="1"/>
  <c r="H10742" i="1"/>
  <c r="A10743" i="1"/>
  <c r="B10743" i="1"/>
  <c r="C10743" i="1"/>
  <c r="D10743" i="1"/>
  <c r="E10743" i="1"/>
  <c r="F10743" i="1"/>
  <c r="H10743" i="1"/>
  <c r="A10744" i="1"/>
  <c r="B10744" i="1"/>
  <c r="C10744" i="1"/>
  <c r="D10744" i="1"/>
  <c r="E10744" i="1"/>
  <c r="F10744" i="1"/>
  <c r="H10744" i="1"/>
  <c r="A10745" i="1"/>
  <c r="B10745" i="1"/>
  <c r="C10745" i="1"/>
  <c r="D10745" i="1"/>
  <c r="E10745" i="1"/>
  <c r="F10745" i="1"/>
  <c r="H10745" i="1"/>
  <c r="A10746" i="1"/>
  <c r="B10746" i="1"/>
  <c r="C10746" i="1"/>
  <c r="D10746" i="1"/>
  <c r="E10746" i="1"/>
  <c r="F10746" i="1"/>
  <c r="H10746" i="1"/>
  <c r="A10747" i="1"/>
  <c r="B10747" i="1"/>
  <c r="C10747" i="1"/>
  <c r="D10747" i="1"/>
  <c r="E10747" i="1"/>
  <c r="F10747" i="1"/>
  <c r="H10747" i="1"/>
  <c r="A10748" i="1"/>
  <c r="B10748" i="1"/>
  <c r="C10748" i="1"/>
  <c r="D10748" i="1"/>
  <c r="E10748" i="1"/>
  <c r="F10748" i="1"/>
  <c r="H10748" i="1"/>
  <c r="A10749" i="1"/>
  <c r="B10749" i="1"/>
  <c r="C10749" i="1"/>
  <c r="D10749" i="1"/>
  <c r="E10749" i="1"/>
  <c r="F10749" i="1"/>
  <c r="H10749" i="1"/>
  <c r="A10750" i="1"/>
  <c r="B10750" i="1"/>
  <c r="C10750" i="1"/>
  <c r="D10750" i="1"/>
  <c r="E10750" i="1"/>
  <c r="F10750" i="1"/>
  <c r="H10750" i="1"/>
  <c r="A10751" i="1"/>
  <c r="B10751" i="1"/>
  <c r="C10751" i="1"/>
  <c r="D10751" i="1"/>
  <c r="E10751" i="1"/>
  <c r="F10751" i="1"/>
  <c r="H10751" i="1"/>
  <c r="A10752" i="1"/>
  <c r="B10752" i="1"/>
  <c r="C10752" i="1"/>
  <c r="D10752" i="1"/>
  <c r="E10752" i="1"/>
  <c r="F10752" i="1"/>
  <c r="H10752" i="1"/>
  <c r="A10753" i="1"/>
  <c r="B10753" i="1"/>
  <c r="C10753" i="1"/>
  <c r="D10753" i="1"/>
  <c r="E10753" i="1"/>
  <c r="F10753" i="1"/>
  <c r="H10753" i="1"/>
  <c r="A10754" i="1"/>
  <c r="B10754" i="1"/>
  <c r="C10754" i="1"/>
  <c r="D10754" i="1"/>
  <c r="E10754" i="1"/>
  <c r="F10754" i="1"/>
  <c r="H10754" i="1"/>
  <c r="A10755" i="1"/>
  <c r="B10755" i="1"/>
  <c r="C10755" i="1"/>
  <c r="D10755" i="1"/>
  <c r="E10755" i="1"/>
  <c r="F10755" i="1"/>
  <c r="H10755" i="1"/>
  <c r="A10756" i="1"/>
  <c r="B10756" i="1"/>
  <c r="C10756" i="1"/>
  <c r="D10756" i="1"/>
  <c r="E10756" i="1"/>
  <c r="F10756" i="1"/>
  <c r="H10756" i="1"/>
  <c r="A10757" i="1"/>
  <c r="B10757" i="1"/>
  <c r="C10757" i="1"/>
  <c r="D10757" i="1"/>
  <c r="E10757" i="1"/>
  <c r="F10757" i="1"/>
  <c r="H10757" i="1"/>
  <c r="A10758" i="1"/>
  <c r="B10758" i="1"/>
  <c r="C10758" i="1"/>
  <c r="D10758" i="1"/>
  <c r="E10758" i="1"/>
  <c r="F10758" i="1"/>
  <c r="H10758" i="1"/>
  <c r="A10759" i="1"/>
  <c r="B10759" i="1"/>
  <c r="C10759" i="1"/>
  <c r="D10759" i="1"/>
  <c r="E10759" i="1"/>
  <c r="F10759" i="1"/>
  <c r="H10759" i="1"/>
  <c r="A10760" i="1"/>
  <c r="B10760" i="1"/>
  <c r="C10760" i="1"/>
  <c r="D10760" i="1"/>
  <c r="E10760" i="1"/>
  <c r="F10760" i="1"/>
  <c r="H10760" i="1"/>
  <c r="A10761" i="1"/>
  <c r="B10761" i="1"/>
  <c r="C10761" i="1"/>
  <c r="D10761" i="1"/>
  <c r="E10761" i="1"/>
  <c r="F10761" i="1"/>
  <c r="H10761" i="1"/>
  <c r="A10762" i="1"/>
  <c r="B10762" i="1"/>
  <c r="C10762" i="1"/>
  <c r="D10762" i="1"/>
  <c r="E10762" i="1"/>
  <c r="F10762" i="1"/>
  <c r="H10762" i="1"/>
  <c r="A10763" i="1"/>
  <c r="B10763" i="1"/>
  <c r="C10763" i="1"/>
  <c r="D10763" i="1"/>
  <c r="E10763" i="1"/>
  <c r="F10763" i="1"/>
  <c r="H10763" i="1"/>
  <c r="A10764" i="1"/>
  <c r="B10764" i="1"/>
  <c r="C10764" i="1"/>
  <c r="D10764" i="1"/>
  <c r="E10764" i="1"/>
  <c r="F10764" i="1"/>
  <c r="H10764" i="1"/>
  <c r="A10765" i="1"/>
  <c r="B10765" i="1"/>
  <c r="C10765" i="1"/>
  <c r="D10765" i="1"/>
  <c r="E10765" i="1"/>
  <c r="F10765" i="1"/>
  <c r="H10765" i="1"/>
  <c r="A10766" i="1"/>
  <c r="B10766" i="1"/>
  <c r="C10766" i="1"/>
  <c r="D10766" i="1"/>
  <c r="E10766" i="1"/>
  <c r="F10766" i="1"/>
  <c r="H10766" i="1"/>
  <c r="A10767" i="1"/>
  <c r="B10767" i="1"/>
  <c r="C10767" i="1"/>
  <c r="D10767" i="1"/>
  <c r="E10767" i="1"/>
  <c r="F10767" i="1"/>
  <c r="H10767" i="1"/>
  <c r="A10768" i="1"/>
  <c r="B10768" i="1"/>
  <c r="C10768" i="1"/>
  <c r="D10768" i="1"/>
  <c r="E10768" i="1"/>
  <c r="F10768" i="1"/>
  <c r="H10768" i="1"/>
  <c r="A10769" i="1"/>
  <c r="B10769" i="1"/>
  <c r="C10769" i="1"/>
  <c r="D10769" i="1"/>
  <c r="E10769" i="1"/>
  <c r="F10769" i="1"/>
  <c r="H10769" i="1"/>
  <c r="A10770" i="1"/>
  <c r="B10770" i="1"/>
  <c r="C10770" i="1"/>
  <c r="D10770" i="1"/>
  <c r="E10770" i="1"/>
  <c r="F10770" i="1"/>
  <c r="H10770" i="1"/>
  <c r="A10771" i="1"/>
  <c r="B10771" i="1"/>
  <c r="C10771" i="1"/>
  <c r="D10771" i="1"/>
  <c r="E10771" i="1"/>
  <c r="F10771" i="1"/>
  <c r="H10771" i="1"/>
  <c r="A10772" i="1"/>
  <c r="B10772" i="1"/>
  <c r="C10772" i="1"/>
  <c r="D10772" i="1"/>
  <c r="E10772" i="1"/>
  <c r="F10772" i="1"/>
  <c r="H10772" i="1"/>
  <c r="A10773" i="1"/>
  <c r="B10773" i="1"/>
  <c r="C10773" i="1"/>
  <c r="D10773" i="1"/>
  <c r="E10773" i="1"/>
  <c r="F10773" i="1"/>
  <c r="H10773" i="1"/>
  <c r="A10774" i="1"/>
  <c r="B10774" i="1"/>
  <c r="C10774" i="1"/>
  <c r="D10774" i="1"/>
  <c r="E10774" i="1"/>
  <c r="F10774" i="1"/>
  <c r="H10774" i="1"/>
  <c r="A10775" i="1"/>
  <c r="B10775" i="1"/>
  <c r="C10775" i="1"/>
  <c r="D10775" i="1"/>
  <c r="E10775" i="1"/>
  <c r="F10775" i="1"/>
  <c r="H10775" i="1"/>
  <c r="A10776" i="1"/>
  <c r="B10776" i="1"/>
  <c r="C10776" i="1"/>
  <c r="D10776" i="1"/>
  <c r="E10776" i="1"/>
  <c r="F10776" i="1"/>
  <c r="H10776" i="1"/>
  <c r="A10777" i="1"/>
  <c r="B10777" i="1"/>
  <c r="C10777" i="1"/>
  <c r="D10777" i="1"/>
  <c r="E10777" i="1"/>
  <c r="F10777" i="1"/>
  <c r="H10777" i="1"/>
  <c r="A10778" i="1"/>
  <c r="B10778" i="1"/>
  <c r="C10778" i="1"/>
  <c r="D10778" i="1"/>
  <c r="E10778" i="1"/>
  <c r="F10778" i="1"/>
  <c r="H10778" i="1"/>
  <c r="A10779" i="1"/>
  <c r="B10779" i="1"/>
  <c r="C10779" i="1"/>
  <c r="D10779" i="1"/>
  <c r="E10779" i="1"/>
  <c r="F10779" i="1"/>
  <c r="H10779" i="1"/>
  <c r="A10780" i="1"/>
  <c r="B10780" i="1"/>
  <c r="C10780" i="1"/>
  <c r="D10780" i="1"/>
  <c r="E10780" i="1"/>
  <c r="F10780" i="1"/>
  <c r="H10780" i="1"/>
  <c r="A10781" i="1"/>
  <c r="B10781" i="1"/>
  <c r="C10781" i="1"/>
  <c r="D10781" i="1"/>
  <c r="E10781" i="1"/>
  <c r="F10781" i="1"/>
  <c r="H10781" i="1"/>
  <c r="A10782" i="1"/>
  <c r="B10782" i="1"/>
  <c r="C10782" i="1"/>
  <c r="D10782" i="1"/>
  <c r="E10782" i="1"/>
  <c r="F10782" i="1"/>
  <c r="H10782" i="1"/>
  <c r="A10783" i="1"/>
  <c r="B10783" i="1"/>
  <c r="C10783" i="1"/>
  <c r="D10783" i="1"/>
  <c r="E10783" i="1"/>
  <c r="F10783" i="1"/>
  <c r="H10783" i="1"/>
  <c r="A10784" i="1"/>
  <c r="B10784" i="1"/>
  <c r="C10784" i="1"/>
  <c r="D10784" i="1"/>
  <c r="E10784" i="1"/>
  <c r="F10784" i="1"/>
  <c r="H10784" i="1"/>
  <c r="A10785" i="1"/>
  <c r="B10785" i="1"/>
  <c r="C10785" i="1"/>
  <c r="D10785" i="1"/>
  <c r="E10785" i="1"/>
  <c r="F10785" i="1"/>
  <c r="H10785" i="1"/>
  <c r="A10786" i="1"/>
  <c r="B10786" i="1"/>
  <c r="C10786" i="1"/>
  <c r="D10786" i="1"/>
  <c r="E10786" i="1"/>
  <c r="F10786" i="1"/>
  <c r="H10786" i="1"/>
  <c r="A10787" i="1"/>
  <c r="B10787" i="1"/>
  <c r="C10787" i="1"/>
  <c r="D10787" i="1"/>
  <c r="E10787" i="1"/>
  <c r="F10787" i="1"/>
  <c r="H10787" i="1"/>
  <c r="A10788" i="1"/>
  <c r="B10788" i="1"/>
  <c r="C10788" i="1"/>
  <c r="D10788" i="1"/>
  <c r="E10788" i="1"/>
  <c r="F10788" i="1"/>
  <c r="H10788" i="1"/>
  <c r="A10789" i="1"/>
  <c r="B10789" i="1"/>
  <c r="C10789" i="1"/>
  <c r="D10789" i="1"/>
  <c r="E10789" i="1"/>
  <c r="F10789" i="1"/>
  <c r="H10789" i="1"/>
  <c r="A10790" i="1"/>
  <c r="B10790" i="1"/>
  <c r="C10790" i="1"/>
  <c r="D10790" i="1"/>
  <c r="E10790" i="1"/>
  <c r="F10790" i="1"/>
  <c r="H10790" i="1"/>
  <c r="A10791" i="1"/>
  <c r="B10791" i="1"/>
  <c r="C10791" i="1"/>
  <c r="D10791" i="1"/>
  <c r="E10791" i="1"/>
  <c r="F10791" i="1"/>
  <c r="H10791" i="1"/>
  <c r="A10792" i="1"/>
  <c r="B10792" i="1"/>
  <c r="C10792" i="1"/>
  <c r="D10792" i="1"/>
  <c r="E10792" i="1"/>
  <c r="F10792" i="1"/>
  <c r="H10792" i="1"/>
  <c r="A10793" i="1"/>
  <c r="B10793" i="1"/>
  <c r="C10793" i="1"/>
  <c r="D10793" i="1"/>
  <c r="E10793" i="1"/>
  <c r="F10793" i="1"/>
  <c r="H10793" i="1"/>
  <c r="A10794" i="1"/>
  <c r="B10794" i="1"/>
  <c r="C10794" i="1"/>
  <c r="D10794" i="1"/>
  <c r="E10794" i="1"/>
  <c r="F10794" i="1"/>
  <c r="H10794" i="1"/>
  <c r="A10795" i="1"/>
  <c r="B10795" i="1"/>
  <c r="C10795" i="1"/>
  <c r="D10795" i="1"/>
  <c r="E10795" i="1"/>
  <c r="F10795" i="1"/>
  <c r="H10795" i="1"/>
  <c r="A10796" i="1"/>
  <c r="B10796" i="1"/>
  <c r="C10796" i="1"/>
  <c r="D10796" i="1"/>
  <c r="E10796" i="1"/>
  <c r="F10796" i="1"/>
  <c r="H10796" i="1"/>
  <c r="A10797" i="1"/>
  <c r="B10797" i="1"/>
  <c r="C10797" i="1"/>
  <c r="D10797" i="1"/>
  <c r="E10797" i="1"/>
  <c r="F10797" i="1"/>
  <c r="H10797" i="1"/>
  <c r="A10798" i="1"/>
  <c r="B10798" i="1"/>
  <c r="C10798" i="1"/>
  <c r="D10798" i="1"/>
  <c r="E10798" i="1"/>
  <c r="F10798" i="1"/>
  <c r="H10798" i="1"/>
  <c r="A10799" i="1"/>
  <c r="B10799" i="1"/>
  <c r="C10799" i="1"/>
  <c r="D10799" i="1"/>
  <c r="E10799" i="1"/>
  <c r="F10799" i="1"/>
  <c r="H10799" i="1"/>
  <c r="A10800" i="1"/>
  <c r="B10800" i="1"/>
  <c r="C10800" i="1"/>
  <c r="D10800" i="1"/>
  <c r="E10800" i="1"/>
  <c r="F10800" i="1"/>
  <c r="H10800" i="1"/>
  <c r="A10801" i="1"/>
  <c r="B10801" i="1"/>
  <c r="C10801" i="1"/>
  <c r="D10801" i="1"/>
  <c r="E10801" i="1"/>
  <c r="F10801" i="1"/>
  <c r="H10801" i="1"/>
  <c r="A10802" i="1"/>
  <c r="B10802" i="1"/>
  <c r="C10802" i="1"/>
  <c r="D10802" i="1"/>
  <c r="E10802" i="1"/>
  <c r="F10802" i="1"/>
  <c r="H10802" i="1"/>
  <c r="A10803" i="1"/>
  <c r="B10803" i="1"/>
  <c r="C10803" i="1"/>
  <c r="D10803" i="1"/>
  <c r="E10803" i="1"/>
  <c r="F10803" i="1"/>
  <c r="H10803" i="1"/>
  <c r="A10804" i="1"/>
  <c r="B10804" i="1"/>
  <c r="C10804" i="1"/>
  <c r="D10804" i="1"/>
  <c r="E10804" i="1"/>
  <c r="F10804" i="1"/>
  <c r="H10804" i="1"/>
  <c r="A10805" i="1"/>
  <c r="B10805" i="1"/>
  <c r="C10805" i="1"/>
  <c r="D10805" i="1"/>
  <c r="E10805" i="1"/>
  <c r="F10805" i="1"/>
  <c r="H10805" i="1"/>
  <c r="A10806" i="1"/>
  <c r="B10806" i="1"/>
  <c r="C10806" i="1"/>
  <c r="D10806" i="1"/>
  <c r="E10806" i="1"/>
  <c r="F10806" i="1"/>
  <c r="H10806" i="1"/>
  <c r="A10807" i="1"/>
  <c r="B10807" i="1"/>
  <c r="C10807" i="1"/>
  <c r="D10807" i="1"/>
  <c r="E10807" i="1"/>
  <c r="F10807" i="1"/>
  <c r="H10807" i="1"/>
  <c r="A10808" i="1"/>
  <c r="B10808" i="1"/>
  <c r="C10808" i="1"/>
  <c r="D10808" i="1"/>
  <c r="E10808" i="1"/>
  <c r="F10808" i="1"/>
  <c r="H10808" i="1"/>
  <c r="A10809" i="1"/>
  <c r="B10809" i="1"/>
  <c r="C10809" i="1"/>
  <c r="D10809" i="1"/>
  <c r="E10809" i="1"/>
  <c r="F10809" i="1"/>
  <c r="H10809" i="1"/>
  <c r="A10810" i="1"/>
  <c r="B10810" i="1"/>
  <c r="C10810" i="1"/>
  <c r="D10810" i="1"/>
  <c r="E10810" i="1"/>
  <c r="F10810" i="1"/>
  <c r="H10810" i="1"/>
  <c r="A10811" i="1"/>
  <c r="B10811" i="1"/>
  <c r="C10811" i="1"/>
  <c r="D10811" i="1"/>
  <c r="E10811" i="1"/>
  <c r="F10811" i="1"/>
  <c r="H10811" i="1"/>
  <c r="A10812" i="1"/>
  <c r="B10812" i="1"/>
  <c r="C10812" i="1"/>
  <c r="D10812" i="1"/>
  <c r="E10812" i="1"/>
  <c r="F10812" i="1"/>
  <c r="H10812" i="1"/>
  <c r="A10813" i="1"/>
  <c r="B10813" i="1"/>
  <c r="C10813" i="1"/>
  <c r="D10813" i="1"/>
  <c r="E10813" i="1"/>
  <c r="F10813" i="1"/>
  <c r="H10813" i="1"/>
  <c r="A10814" i="1"/>
  <c r="B10814" i="1"/>
  <c r="C10814" i="1"/>
  <c r="D10814" i="1"/>
  <c r="E10814" i="1"/>
  <c r="F10814" i="1"/>
  <c r="H10814" i="1"/>
  <c r="A10815" i="1"/>
  <c r="B10815" i="1"/>
  <c r="C10815" i="1"/>
  <c r="D10815" i="1"/>
  <c r="E10815" i="1"/>
  <c r="F10815" i="1"/>
  <c r="H10815" i="1"/>
  <c r="A10816" i="1"/>
  <c r="B10816" i="1"/>
  <c r="C10816" i="1"/>
  <c r="D10816" i="1"/>
  <c r="E10816" i="1"/>
  <c r="F10816" i="1"/>
  <c r="H10816" i="1"/>
  <c r="A10817" i="1"/>
  <c r="B10817" i="1"/>
  <c r="C10817" i="1"/>
  <c r="D10817" i="1"/>
  <c r="E10817" i="1"/>
  <c r="F10817" i="1"/>
  <c r="H10817" i="1"/>
  <c r="A10818" i="1"/>
  <c r="B10818" i="1"/>
  <c r="C10818" i="1"/>
  <c r="D10818" i="1"/>
  <c r="E10818" i="1"/>
  <c r="F10818" i="1"/>
  <c r="H10818" i="1"/>
  <c r="A10819" i="1"/>
  <c r="B10819" i="1"/>
  <c r="C10819" i="1"/>
  <c r="D10819" i="1"/>
  <c r="E10819" i="1"/>
  <c r="F10819" i="1"/>
  <c r="H10819" i="1"/>
  <c r="A10820" i="1"/>
  <c r="B10820" i="1"/>
  <c r="C10820" i="1"/>
  <c r="D10820" i="1"/>
  <c r="E10820" i="1"/>
  <c r="F10820" i="1"/>
  <c r="H10820" i="1"/>
  <c r="A10821" i="1"/>
  <c r="B10821" i="1"/>
  <c r="C10821" i="1"/>
  <c r="D10821" i="1"/>
  <c r="E10821" i="1"/>
  <c r="F10821" i="1"/>
  <c r="H10821" i="1"/>
  <c r="A10822" i="1"/>
  <c r="B10822" i="1"/>
  <c r="C10822" i="1"/>
  <c r="D10822" i="1"/>
  <c r="E10822" i="1"/>
  <c r="F10822" i="1"/>
  <c r="H10822" i="1"/>
  <c r="A10823" i="1"/>
  <c r="B10823" i="1"/>
  <c r="C10823" i="1"/>
  <c r="D10823" i="1"/>
  <c r="E10823" i="1"/>
  <c r="F10823" i="1"/>
  <c r="H10823" i="1"/>
  <c r="A10824" i="1"/>
  <c r="B10824" i="1"/>
  <c r="C10824" i="1"/>
  <c r="D10824" i="1"/>
  <c r="E10824" i="1"/>
  <c r="F10824" i="1"/>
  <c r="H10824" i="1"/>
  <c r="A10825" i="1"/>
  <c r="B10825" i="1"/>
  <c r="C10825" i="1"/>
  <c r="D10825" i="1"/>
  <c r="E10825" i="1"/>
  <c r="F10825" i="1"/>
  <c r="H10825" i="1"/>
  <c r="A10826" i="1"/>
  <c r="B10826" i="1"/>
  <c r="C10826" i="1"/>
  <c r="D10826" i="1"/>
  <c r="E10826" i="1"/>
  <c r="F10826" i="1"/>
  <c r="H10826" i="1"/>
  <c r="A10827" i="1"/>
  <c r="B10827" i="1"/>
  <c r="C10827" i="1"/>
  <c r="D10827" i="1"/>
  <c r="E10827" i="1"/>
  <c r="F10827" i="1"/>
  <c r="H10827" i="1"/>
  <c r="A10828" i="1"/>
  <c r="B10828" i="1"/>
  <c r="C10828" i="1"/>
  <c r="D10828" i="1"/>
  <c r="E10828" i="1"/>
  <c r="F10828" i="1"/>
  <c r="H10828" i="1"/>
  <c r="A10829" i="1"/>
  <c r="B10829" i="1"/>
  <c r="C10829" i="1"/>
  <c r="D10829" i="1"/>
  <c r="E10829" i="1"/>
  <c r="F10829" i="1"/>
  <c r="H10829" i="1"/>
  <c r="A10830" i="1"/>
  <c r="B10830" i="1"/>
  <c r="C10830" i="1"/>
  <c r="D10830" i="1"/>
  <c r="E10830" i="1"/>
  <c r="F10830" i="1"/>
  <c r="H10830" i="1"/>
  <c r="A10831" i="1"/>
  <c r="B10831" i="1"/>
  <c r="C10831" i="1"/>
  <c r="D10831" i="1"/>
  <c r="E10831" i="1"/>
  <c r="F10831" i="1"/>
  <c r="H10831" i="1"/>
  <c r="A10832" i="1"/>
  <c r="B10832" i="1"/>
  <c r="C10832" i="1"/>
  <c r="D10832" i="1"/>
  <c r="E10832" i="1"/>
  <c r="F10832" i="1"/>
  <c r="H10832" i="1"/>
  <c r="A10833" i="1"/>
  <c r="B10833" i="1"/>
  <c r="C10833" i="1"/>
  <c r="D10833" i="1"/>
  <c r="E10833" i="1"/>
  <c r="F10833" i="1"/>
  <c r="H10833" i="1"/>
  <c r="A10834" i="1"/>
  <c r="B10834" i="1"/>
  <c r="C10834" i="1"/>
  <c r="D10834" i="1"/>
  <c r="E10834" i="1"/>
  <c r="F10834" i="1"/>
  <c r="H10834" i="1"/>
  <c r="A10835" i="1"/>
  <c r="B10835" i="1"/>
  <c r="C10835" i="1"/>
  <c r="D10835" i="1"/>
  <c r="E10835" i="1"/>
  <c r="F10835" i="1"/>
  <c r="H10835" i="1"/>
  <c r="A10836" i="1"/>
  <c r="B10836" i="1"/>
  <c r="C10836" i="1"/>
  <c r="D10836" i="1"/>
  <c r="E10836" i="1"/>
  <c r="F10836" i="1"/>
  <c r="H10836" i="1"/>
  <c r="A10837" i="1"/>
  <c r="B10837" i="1"/>
  <c r="C10837" i="1"/>
  <c r="D10837" i="1"/>
  <c r="E10837" i="1"/>
  <c r="F10837" i="1"/>
  <c r="H10837" i="1"/>
  <c r="A10838" i="1"/>
  <c r="B10838" i="1"/>
  <c r="C10838" i="1"/>
  <c r="D10838" i="1"/>
  <c r="E10838" i="1"/>
  <c r="F10838" i="1"/>
  <c r="H10838" i="1"/>
  <c r="A10839" i="1"/>
  <c r="B10839" i="1"/>
  <c r="C10839" i="1"/>
  <c r="D10839" i="1"/>
  <c r="E10839" i="1"/>
  <c r="F10839" i="1"/>
  <c r="H10839" i="1"/>
  <c r="A10840" i="1"/>
  <c r="B10840" i="1"/>
  <c r="C10840" i="1"/>
  <c r="D10840" i="1"/>
  <c r="E10840" i="1"/>
  <c r="F10840" i="1"/>
  <c r="H10840" i="1"/>
  <c r="A10841" i="1"/>
  <c r="B10841" i="1"/>
  <c r="C10841" i="1"/>
  <c r="D10841" i="1"/>
  <c r="E10841" i="1"/>
  <c r="F10841" i="1"/>
  <c r="H10841" i="1"/>
  <c r="A10842" i="1"/>
  <c r="B10842" i="1"/>
  <c r="C10842" i="1"/>
  <c r="D10842" i="1"/>
  <c r="E10842" i="1"/>
  <c r="F10842" i="1"/>
  <c r="H10842" i="1"/>
  <c r="A10843" i="1"/>
  <c r="B10843" i="1"/>
  <c r="C10843" i="1"/>
  <c r="D10843" i="1"/>
  <c r="E10843" i="1"/>
  <c r="F10843" i="1"/>
  <c r="H10843" i="1"/>
  <c r="A10844" i="1"/>
  <c r="B10844" i="1"/>
  <c r="C10844" i="1"/>
  <c r="D10844" i="1"/>
  <c r="E10844" i="1"/>
  <c r="F10844" i="1"/>
  <c r="H10844" i="1"/>
  <c r="A10845" i="1"/>
  <c r="B10845" i="1"/>
  <c r="C10845" i="1"/>
  <c r="D10845" i="1"/>
  <c r="E10845" i="1"/>
  <c r="F10845" i="1"/>
  <c r="H10845" i="1"/>
  <c r="A10846" i="1"/>
  <c r="B10846" i="1"/>
  <c r="C10846" i="1"/>
  <c r="D10846" i="1"/>
  <c r="E10846" i="1"/>
  <c r="F10846" i="1"/>
  <c r="H10846" i="1"/>
  <c r="A10847" i="1"/>
  <c r="B10847" i="1"/>
  <c r="C10847" i="1"/>
  <c r="D10847" i="1"/>
  <c r="E10847" i="1"/>
  <c r="F10847" i="1"/>
  <c r="H10847" i="1"/>
  <c r="A10848" i="1"/>
  <c r="B10848" i="1"/>
  <c r="C10848" i="1"/>
  <c r="D10848" i="1"/>
  <c r="E10848" i="1"/>
  <c r="F10848" i="1"/>
  <c r="H10848" i="1"/>
  <c r="A10849" i="1"/>
  <c r="B10849" i="1"/>
  <c r="C10849" i="1"/>
  <c r="D10849" i="1"/>
  <c r="E10849" i="1"/>
  <c r="F10849" i="1"/>
  <c r="H10849" i="1"/>
  <c r="A10850" i="1"/>
  <c r="B10850" i="1"/>
  <c r="C10850" i="1"/>
  <c r="D10850" i="1"/>
  <c r="E10850" i="1"/>
  <c r="F10850" i="1"/>
  <c r="H10850" i="1"/>
  <c r="A10851" i="1"/>
  <c r="B10851" i="1"/>
  <c r="C10851" i="1"/>
  <c r="D10851" i="1"/>
  <c r="E10851" i="1"/>
  <c r="F10851" i="1"/>
  <c r="H10851" i="1"/>
  <c r="A10852" i="1"/>
  <c r="B10852" i="1"/>
  <c r="C10852" i="1"/>
  <c r="D10852" i="1"/>
  <c r="E10852" i="1"/>
  <c r="F10852" i="1"/>
  <c r="H10852" i="1"/>
  <c r="A10853" i="1"/>
  <c r="B10853" i="1"/>
  <c r="C10853" i="1"/>
  <c r="D10853" i="1"/>
  <c r="E10853" i="1"/>
  <c r="F10853" i="1"/>
  <c r="H10853" i="1"/>
  <c r="A10854" i="1"/>
  <c r="B10854" i="1"/>
  <c r="C10854" i="1"/>
  <c r="D10854" i="1"/>
  <c r="E10854" i="1"/>
  <c r="F10854" i="1"/>
  <c r="H10854" i="1"/>
  <c r="A10855" i="1"/>
  <c r="B10855" i="1"/>
  <c r="C10855" i="1"/>
  <c r="D10855" i="1"/>
  <c r="E10855" i="1"/>
  <c r="F10855" i="1"/>
  <c r="H10855" i="1"/>
  <c r="A10856" i="1"/>
  <c r="B10856" i="1"/>
  <c r="C10856" i="1"/>
  <c r="D10856" i="1"/>
  <c r="E10856" i="1"/>
  <c r="F10856" i="1"/>
  <c r="H10856" i="1"/>
  <c r="A10857" i="1"/>
  <c r="B10857" i="1"/>
  <c r="C10857" i="1"/>
  <c r="D10857" i="1"/>
  <c r="E10857" i="1"/>
  <c r="F10857" i="1"/>
  <c r="H10857" i="1"/>
  <c r="A10858" i="1"/>
  <c r="B10858" i="1"/>
  <c r="C10858" i="1"/>
  <c r="D10858" i="1"/>
  <c r="E10858" i="1"/>
  <c r="F10858" i="1"/>
  <c r="H10858" i="1"/>
  <c r="A10859" i="1"/>
  <c r="B10859" i="1"/>
  <c r="C10859" i="1"/>
  <c r="D10859" i="1"/>
  <c r="E10859" i="1"/>
  <c r="F10859" i="1"/>
  <c r="H10859" i="1"/>
  <c r="A10860" i="1"/>
  <c r="B10860" i="1"/>
  <c r="C10860" i="1"/>
  <c r="D10860" i="1"/>
  <c r="E10860" i="1"/>
  <c r="F10860" i="1"/>
  <c r="H10860" i="1"/>
  <c r="A10861" i="1"/>
  <c r="B10861" i="1"/>
  <c r="C10861" i="1"/>
  <c r="D10861" i="1"/>
  <c r="E10861" i="1"/>
  <c r="F10861" i="1"/>
  <c r="H10861" i="1"/>
  <c r="A10862" i="1"/>
  <c r="B10862" i="1"/>
  <c r="C10862" i="1"/>
  <c r="D10862" i="1"/>
  <c r="E10862" i="1"/>
  <c r="F10862" i="1"/>
  <c r="H10862" i="1"/>
  <c r="A10863" i="1"/>
  <c r="B10863" i="1"/>
  <c r="C10863" i="1"/>
  <c r="D10863" i="1"/>
  <c r="E10863" i="1"/>
  <c r="F10863" i="1"/>
  <c r="H10863" i="1"/>
  <c r="A10864" i="1"/>
  <c r="B10864" i="1"/>
  <c r="C10864" i="1"/>
  <c r="D10864" i="1"/>
  <c r="E10864" i="1"/>
  <c r="F10864" i="1"/>
  <c r="H10864" i="1"/>
  <c r="A10865" i="1"/>
  <c r="B10865" i="1"/>
  <c r="C10865" i="1"/>
  <c r="D10865" i="1"/>
  <c r="E10865" i="1"/>
  <c r="F10865" i="1"/>
  <c r="H10865" i="1"/>
  <c r="A10866" i="1"/>
  <c r="B10866" i="1"/>
  <c r="C10866" i="1"/>
  <c r="D10866" i="1"/>
  <c r="E10866" i="1"/>
  <c r="F10866" i="1"/>
  <c r="H10866" i="1"/>
  <c r="A10867" i="1"/>
  <c r="B10867" i="1"/>
  <c r="C10867" i="1"/>
  <c r="D10867" i="1"/>
  <c r="E10867" i="1"/>
  <c r="F10867" i="1"/>
  <c r="H10867" i="1"/>
  <c r="A10868" i="1"/>
  <c r="B10868" i="1"/>
  <c r="C10868" i="1"/>
  <c r="D10868" i="1"/>
  <c r="E10868" i="1"/>
  <c r="F10868" i="1"/>
  <c r="H10868" i="1"/>
  <c r="A10869" i="1"/>
  <c r="B10869" i="1"/>
  <c r="C10869" i="1"/>
  <c r="D10869" i="1"/>
  <c r="E10869" i="1"/>
  <c r="F10869" i="1"/>
  <c r="H10869" i="1"/>
  <c r="A10870" i="1"/>
  <c r="B10870" i="1"/>
  <c r="C10870" i="1"/>
  <c r="D10870" i="1"/>
  <c r="E10870" i="1"/>
  <c r="F10870" i="1"/>
  <c r="H10870" i="1"/>
  <c r="A10871" i="1"/>
  <c r="B10871" i="1"/>
  <c r="C10871" i="1"/>
  <c r="D10871" i="1"/>
  <c r="E10871" i="1"/>
  <c r="F10871" i="1"/>
  <c r="H10871" i="1"/>
  <c r="A10872" i="1"/>
  <c r="B10872" i="1"/>
  <c r="C10872" i="1"/>
  <c r="D10872" i="1"/>
  <c r="E10872" i="1"/>
  <c r="F10872" i="1"/>
  <c r="H10872" i="1"/>
  <c r="A10873" i="1"/>
  <c r="B10873" i="1"/>
  <c r="C10873" i="1"/>
  <c r="D10873" i="1"/>
  <c r="E10873" i="1"/>
  <c r="F10873" i="1"/>
  <c r="H10873" i="1"/>
  <c r="A10874" i="1"/>
  <c r="B10874" i="1"/>
  <c r="C10874" i="1"/>
  <c r="D10874" i="1"/>
  <c r="E10874" i="1"/>
  <c r="F10874" i="1"/>
  <c r="H10874" i="1"/>
  <c r="A10875" i="1"/>
  <c r="B10875" i="1"/>
  <c r="C10875" i="1"/>
  <c r="D10875" i="1"/>
  <c r="E10875" i="1"/>
  <c r="F10875" i="1"/>
  <c r="H10875" i="1"/>
  <c r="A10876" i="1"/>
  <c r="B10876" i="1"/>
  <c r="C10876" i="1"/>
  <c r="D10876" i="1"/>
  <c r="E10876" i="1"/>
  <c r="F10876" i="1"/>
  <c r="H10876" i="1"/>
  <c r="A10877" i="1"/>
  <c r="B10877" i="1"/>
  <c r="C10877" i="1"/>
  <c r="D10877" i="1"/>
  <c r="E10877" i="1"/>
  <c r="F10877" i="1"/>
  <c r="H10877" i="1"/>
  <c r="A10878" i="1"/>
  <c r="B10878" i="1"/>
  <c r="C10878" i="1"/>
  <c r="D10878" i="1"/>
  <c r="E10878" i="1"/>
  <c r="F10878" i="1"/>
  <c r="H10878" i="1"/>
  <c r="A10879" i="1"/>
  <c r="B10879" i="1"/>
  <c r="C10879" i="1"/>
  <c r="D10879" i="1"/>
  <c r="E10879" i="1"/>
  <c r="F10879" i="1"/>
  <c r="H10879" i="1"/>
  <c r="A10880" i="1"/>
  <c r="B10880" i="1"/>
  <c r="C10880" i="1"/>
  <c r="D10880" i="1"/>
  <c r="E10880" i="1"/>
  <c r="F10880" i="1"/>
  <c r="H10880" i="1"/>
  <c r="A10881" i="1"/>
  <c r="B10881" i="1"/>
  <c r="C10881" i="1"/>
  <c r="D10881" i="1"/>
  <c r="E10881" i="1"/>
  <c r="F10881" i="1"/>
  <c r="H10881" i="1"/>
  <c r="A10882" i="1"/>
  <c r="B10882" i="1"/>
  <c r="C10882" i="1"/>
  <c r="D10882" i="1"/>
  <c r="E10882" i="1"/>
  <c r="F10882" i="1"/>
  <c r="H10882" i="1"/>
  <c r="A10883" i="1"/>
  <c r="B10883" i="1"/>
  <c r="C10883" i="1"/>
  <c r="D10883" i="1"/>
  <c r="E10883" i="1"/>
  <c r="F10883" i="1"/>
  <c r="H10883" i="1"/>
  <c r="A10884" i="1"/>
  <c r="B10884" i="1"/>
  <c r="C10884" i="1"/>
  <c r="D10884" i="1"/>
  <c r="E10884" i="1"/>
  <c r="F10884" i="1"/>
  <c r="H10884" i="1"/>
  <c r="A10885" i="1"/>
  <c r="B10885" i="1"/>
  <c r="C10885" i="1"/>
  <c r="D10885" i="1"/>
  <c r="E10885" i="1"/>
  <c r="F10885" i="1"/>
  <c r="H10885" i="1"/>
  <c r="A10886" i="1"/>
  <c r="B10886" i="1"/>
  <c r="C10886" i="1"/>
  <c r="D10886" i="1"/>
  <c r="E10886" i="1"/>
  <c r="F10886" i="1"/>
  <c r="H10886" i="1"/>
  <c r="A10887" i="1"/>
  <c r="B10887" i="1"/>
  <c r="C10887" i="1"/>
  <c r="D10887" i="1"/>
  <c r="E10887" i="1"/>
  <c r="F10887" i="1"/>
  <c r="H10887" i="1"/>
  <c r="A10888" i="1"/>
  <c r="B10888" i="1"/>
  <c r="C10888" i="1"/>
  <c r="D10888" i="1"/>
  <c r="E10888" i="1"/>
  <c r="F10888" i="1"/>
  <c r="H10888" i="1"/>
  <c r="A10889" i="1"/>
  <c r="B10889" i="1"/>
  <c r="C10889" i="1"/>
  <c r="D10889" i="1"/>
  <c r="E10889" i="1"/>
  <c r="F10889" i="1"/>
  <c r="H10889" i="1"/>
  <c r="A10890" i="1"/>
  <c r="B10890" i="1"/>
  <c r="C10890" i="1"/>
  <c r="D10890" i="1"/>
  <c r="E10890" i="1"/>
  <c r="F10890" i="1"/>
  <c r="H10890" i="1"/>
  <c r="A10891" i="1"/>
  <c r="B10891" i="1"/>
  <c r="C10891" i="1"/>
  <c r="D10891" i="1"/>
  <c r="E10891" i="1"/>
  <c r="F10891" i="1"/>
  <c r="H10891" i="1"/>
  <c r="A10892" i="1"/>
  <c r="B10892" i="1"/>
  <c r="C10892" i="1"/>
  <c r="D10892" i="1"/>
  <c r="E10892" i="1"/>
  <c r="F10892" i="1"/>
  <c r="H10892" i="1"/>
  <c r="A10893" i="1"/>
  <c r="B10893" i="1"/>
  <c r="C10893" i="1"/>
  <c r="D10893" i="1"/>
  <c r="E10893" i="1"/>
  <c r="F10893" i="1"/>
  <c r="H10893" i="1"/>
  <c r="A10894" i="1"/>
  <c r="B10894" i="1"/>
  <c r="C10894" i="1"/>
  <c r="D10894" i="1"/>
  <c r="E10894" i="1"/>
  <c r="F10894" i="1"/>
  <c r="H10894" i="1"/>
  <c r="A10895" i="1"/>
  <c r="B10895" i="1"/>
  <c r="C10895" i="1"/>
  <c r="D10895" i="1"/>
  <c r="E10895" i="1"/>
  <c r="F10895" i="1"/>
  <c r="H10895" i="1"/>
  <c r="A10896" i="1"/>
  <c r="B10896" i="1"/>
  <c r="C10896" i="1"/>
  <c r="D10896" i="1"/>
  <c r="E10896" i="1"/>
  <c r="F10896" i="1"/>
  <c r="H10896" i="1"/>
  <c r="A10897" i="1"/>
  <c r="B10897" i="1"/>
  <c r="C10897" i="1"/>
  <c r="D10897" i="1"/>
  <c r="E10897" i="1"/>
  <c r="F10897" i="1"/>
  <c r="H10897" i="1"/>
  <c r="A10898" i="1"/>
  <c r="B10898" i="1"/>
  <c r="C10898" i="1"/>
  <c r="D10898" i="1"/>
  <c r="E10898" i="1"/>
  <c r="F10898" i="1"/>
  <c r="H10898" i="1"/>
  <c r="A10899" i="1"/>
  <c r="B10899" i="1"/>
  <c r="C10899" i="1"/>
  <c r="D10899" i="1"/>
  <c r="E10899" i="1"/>
  <c r="F10899" i="1"/>
  <c r="H10899" i="1"/>
  <c r="A10900" i="1"/>
  <c r="B10900" i="1"/>
  <c r="C10900" i="1"/>
  <c r="D10900" i="1"/>
  <c r="E10900" i="1"/>
  <c r="F10900" i="1"/>
  <c r="H10900" i="1"/>
  <c r="A10901" i="1"/>
  <c r="B10901" i="1"/>
  <c r="C10901" i="1"/>
  <c r="D10901" i="1"/>
  <c r="E10901" i="1"/>
  <c r="F10901" i="1"/>
  <c r="H10901" i="1"/>
  <c r="A10902" i="1"/>
  <c r="B10902" i="1"/>
  <c r="C10902" i="1"/>
  <c r="D10902" i="1"/>
  <c r="E10902" i="1"/>
  <c r="F10902" i="1"/>
  <c r="H10902" i="1"/>
  <c r="A10903" i="1"/>
  <c r="B10903" i="1"/>
  <c r="C10903" i="1"/>
  <c r="D10903" i="1"/>
  <c r="E10903" i="1"/>
  <c r="F10903" i="1"/>
  <c r="H10903" i="1"/>
  <c r="A10904" i="1"/>
  <c r="B10904" i="1"/>
  <c r="C10904" i="1"/>
  <c r="D10904" i="1"/>
  <c r="E10904" i="1"/>
  <c r="F10904" i="1"/>
  <c r="H10904" i="1"/>
  <c r="A10905" i="1"/>
  <c r="B10905" i="1"/>
  <c r="C10905" i="1"/>
  <c r="D10905" i="1"/>
  <c r="E10905" i="1"/>
  <c r="F10905" i="1"/>
  <c r="H10905" i="1"/>
  <c r="A10906" i="1"/>
  <c r="B10906" i="1"/>
  <c r="C10906" i="1"/>
  <c r="D10906" i="1"/>
  <c r="E10906" i="1"/>
  <c r="F10906" i="1"/>
  <c r="H10906" i="1"/>
  <c r="A10907" i="1"/>
  <c r="B10907" i="1"/>
  <c r="C10907" i="1"/>
  <c r="D10907" i="1"/>
  <c r="E10907" i="1"/>
  <c r="F10907" i="1"/>
  <c r="H10907" i="1"/>
  <c r="A10908" i="1"/>
  <c r="B10908" i="1"/>
  <c r="C10908" i="1"/>
  <c r="D10908" i="1"/>
  <c r="E10908" i="1"/>
  <c r="F10908" i="1"/>
  <c r="H10908" i="1"/>
  <c r="A10909" i="1"/>
  <c r="B10909" i="1"/>
  <c r="C10909" i="1"/>
  <c r="D10909" i="1"/>
  <c r="E10909" i="1"/>
  <c r="F10909" i="1"/>
  <c r="H10909" i="1"/>
  <c r="A10910" i="1"/>
  <c r="B10910" i="1"/>
  <c r="C10910" i="1"/>
  <c r="D10910" i="1"/>
  <c r="E10910" i="1"/>
  <c r="F10910" i="1"/>
  <c r="H10910" i="1"/>
  <c r="A10911" i="1"/>
  <c r="B10911" i="1"/>
  <c r="C10911" i="1"/>
  <c r="D10911" i="1"/>
  <c r="E10911" i="1"/>
  <c r="F10911" i="1"/>
  <c r="H10911" i="1"/>
  <c r="A10912" i="1"/>
  <c r="B10912" i="1"/>
  <c r="C10912" i="1"/>
  <c r="D10912" i="1"/>
  <c r="E10912" i="1"/>
  <c r="F10912" i="1"/>
  <c r="H10912" i="1"/>
  <c r="A10913" i="1"/>
  <c r="B10913" i="1"/>
  <c r="C10913" i="1"/>
  <c r="D10913" i="1"/>
  <c r="E10913" i="1"/>
  <c r="F10913" i="1"/>
  <c r="H10913" i="1"/>
  <c r="A10914" i="1"/>
  <c r="B10914" i="1"/>
  <c r="C10914" i="1"/>
  <c r="D10914" i="1"/>
  <c r="E10914" i="1"/>
  <c r="F10914" i="1"/>
  <c r="H10914" i="1"/>
  <c r="A10915" i="1"/>
  <c r="B10915" i="1"/>
  <c r="C10915" i="1"/>
  <c r="D10915" i="1"/>
  <c r="E10915" i="1"/>
  <c r="F10915" i="1"/>
  <c r="H10915" i="1"/>
  <c r="A10916" i="1"/>
  <c r="B10916" i="1"/>
  <c r="C10916" i="1"/>
  <c r="D10916" i="1"/>
  <c r="E10916" i="1"/>
  <c r="F10916" i="1"/>
  <c r="H10916" i="1"/>
  <c r="A10917" i="1"/>
  <c r="B10917" i="1"/>
  <c r="C10917" i="1"/>
  <c r="D10917" i="1"/>
  <c r="E10917" i="1"/>
  <c r="F10917" i="1"/>
  <c r="H10917" i="1"/>
  <c r="A10918" i="1"/>
  <c r="B10918" i="1"/>
  <c r="C10918" i="1"/>
  <c r="D10918" i="1"/>
  <c r="E10918" i="1"/>
  <c r="F10918" i="1"/>
  <c r="H10918" i="1"/>
  <c r="A10919" i="1"/>
  <c r="B10919" i="1"/>
  <c r="C10919" i="1"/>
  <c r="D10919" i="1"/>
  <c r="E10919" i="1"/>
  <c r="F10919" i="1"/>
  <c r="H10919" i="1"/>
  <c r="A10920" i="1"/>
  <c r="B10920" i="1"/>
  <c r="C10920" i="1"/>
  <c r="D10920" i="1"/>
  <c r="E10920" i="1"/>
  <c r="F10920" i="1"/>
  <c r="H10920" i="1"/>
  <c r="A10921" i="1"/>
  <c r="B10921" i="1"/>
  <c r="C10921" i="1"/>
  <c r="D10921" i="1"/>
  <c r="E10921" i="1"/>
  <c r="F10921" i="1"/>
  <c r="H10921" i="1"/>
  <c r="A10922" i="1"/>
  <c r="B10922" i="1"/>
  <c r="C10922" i="1"/>
  <c r="D10922" i="1"/>
  <c r="E10922" i="1"/>
  <c r="F10922" i="1"/>
  <c r="H10922" i="1"/>
  <c r="A10923" i="1"/>
  <c r="B10923" i="1"/>
  <c r="C10923" i="1"/>
  <c r="D10923" i="1"/>
  <c r="E10923" i="1"/>
  <c r="F10923" i="1"/>
  <c r="H10923" i="1"/>
  <c r="A10924" i="1"/>
  <c r="B10924" i="1"/>
  <c r="C10924" i="1"/>
  <c r="D10924" i="1"/>
  <c r="E10924" i="1"/>
  <c r="F10924" i="1"/>
  <c r="H10924" i="1"/>
  <c r="A10925" i="1"/>
  <c r="B10925" i="1"/>
  <c r="C10925" i="1"/>
  <c r="D10925" i="1"/>
  <c r="E10925" i="1"/>
  <c r="F10925" i="1"/>
  <c r="H10925" i="1"/>
  <c r="A10926" i="1"/>
  <c r="B10926" i="1"/>
  <c r="C10926" i="1"/>
  <c r="D10926" i="1"/>
  <c r="E10926" i="1"/>
  <c r="F10926" i="1"/>
  <c r="H10926" i="1"/>
  <c r="A10927" i="1"/>
  <c r="B10927" i="1"/>
  <c r="C10927" i="1"/>
  <c r="D10927" i="1"/>
  <c r="E10927" i="1"/>
  <c r="F10927" i="1"/>
  <c r="H10927" i="1"/>
  <c r="A10928" i="1"/>
  <c r="B10928" i="1"/>
  <c r="C10928" i="1"/>
  <c r="D10928" i="1"/>
  <c r="E10928" i="1"/>
  <c r="F10928" i="1"/>
  <c r="H10928" i="1"/>
  <c r="A10929" i="1"/>
  <c r="B10929" i="1"/>
  <c r="C10929" i="1"/>
  <c r="D10929" i="1"/>
  <c r="E10929" i="1"/>
  <c r="F10929" i="1"/>
  <c r="H10929" i="1"/>
  <c r="A10930" i="1"/>
  <c r="B10930" i="1"/>
  <c r="C10930" i="1"/>
  <c r="D10930" i="1"/>
  <c r="E10930" i="1"/>
  <c r="F10930" i="1"/>
  <c r="H10930" i="1"/>
  <c r="A10931" i="1"/>
  <c r="B10931" i="1"/>
  <c r="C10931" i="1"/>
  <c r="D10931" i="1"/>
  <c r="E10931" i="1"/>
  <c r="F10931" i="1"/>
  <c r="H10931" i="1"/>
  <c r="A10932" i="1"/>
  <c r="B10932" i="1"/>
  <c r="C10932" i="1"/>
  <c r="D10932" i="1"/>
  <c r="E10932" i="1"/>
  <c r="F10932" i="1"/>
  <c r="H10932" i="1"/>
  <c r="A10933" i="1"/>
  <c r="B10933" i="1"/>
  <c r="C10933" i="1"/>
  <c r="D10933" i="1"/>
  <c r="E10933" i="1"/>
  <c r="F10933" i="1"/>
  <c r="H10933" i="1"/>
  <c r="A10934" i="1"/>
  <c r="B10934" i="1"/>
  <c r="C10934" i="1"/>
  <c r="D10934" i="1"/>
  <c r="E10934" i="1"/>
  <c r="F10934" i="1"/>
  <c r="H10934" i="1"/>
  <c r="A10935" i="1"/>
  <c r="B10935" i="1"/>
  <c r="C10935" i="1"/>
  <c r="D10935" i="1"/>
  <c r="E10935" i="1"/>
  <c r="F10935" i="1"/>
  <c r="H10935" i="1"/>
  <c r="A10936" i="1"/>
  <c r="B10936" i="1"/>
  <c r="C10936" i="1"/>
  <c r="D10936" i="1"/>
  <c r="E10936" i="1"/>
  <c r="F10936" i="1"/>
  <c r="H10936" i="1"/>
  <c r="A10937" i="1"/>
  <c r="B10937" i="1"/>
  <c r="C10937" i="1"/>
  <c r="D10937" i="1"/>
  <c r="E10937" i="1"/>
  <c r="F10937" i="1"/>
  <c r="H10937" i="1"/>
  <c r="A10938" i="1"/>
  <c r="B10938" i="1"/>
  <c r="C10938" i="1"/>
  <c r="D10938" i="1"/>
  <c r="E10938" i="1"/>
  <c r="F10938" i="1"/>
  <c r="H10938" i="1"/>
  <c r="A10939" i="1"/>
  <c r="B10939" i="1"/>
  <c r="C10939" i="1"/>
  <c r="D10939" i="1"/>
  <c r="E10939" i="1"/>
  <c r="F10939" i="1"/>
  <c r="H10939" i="1"/>
  <c r="A10940" i="1"/>
  <c r="B10940" i="1"/>
  <c r="C10940" i="1"/>
  <c r="D10940" i="1"/>
  <c r="E10940" i="1"/>
  <c r="F10940" i="1"/>
  <c r="H10940" i="1"/>
  <c r="A10941" i="1"/>
  <c r="B10941" i="1"/>
  <c r="C10941" i="1"/>
  <c r="D10941" i="1"/>
  <c r="E10941" i="1"/>
  <c r="F10941" i="1"/>
  <c r="H10941" i="1"/>
  <c r="A10942" i="1"/>
  <c r="B10942" i="1"/>
  <c r="C10942" i="1"/>
  <c r="D10942" i="1"/>
  <c r="E10942" i="1"/>
  <c r="F10942" i="1"/>
  <c r="H10942" i="1"/>
  <c r="A10943" i="1"/>
  <c r="B10943" i="1"/>
  <c r="C10943" i="1"/>
  <c r="D10943" i="1"/>
  <c r="E10943" i="1"/>
  <c r="F10943" i="1"/>
  <c r="H10943" i="1"/>
  <c r="A10944" i="1"/>
  <c r="B10944" i="1"/>
  <c r="C10944" i="1"/>
  <c r="D10944" i="1"/>
  <c r="E10944" i="1"/>
  <c r="F10944" i="1"/>
  <c r="H10944" i="1"/>
  <c r="A10945" i="1"/>
  <c r="B10945" i="1"/>
  <c r="C10945" i="1"/>
  <c r="D10945" i="1"/>
  <c r="E10945" i="1"/>
  <c r="F10945" i="1"/>
  <c r="H10945" i="1"/>
  <c r="A10946" i="1"/>
  <c r="B10946" i="1"/>
  <c r="C10946" i="1"/>
  <c r="D10946" i="1"/>
  <c r="E10946" i="1"/>
  <c r="F10946" i="1"/>
  <c r="H10946" i="1"/>
  <c r="A10947" i="1"/>
  <c r="B10947" i="1"/>
  <c r="C10947" i="1"/>
  <c r="D10947" i="1"/>
  <c r="E10947" i="1"/>
  <c r="F10947" i="1"/>
  <c r="H10947" i="1"/>
  <c r="A10948" i="1"/>
  <c r="B10948" i="1"/>
  <c r="C10948" i="1"/>
  <c r="D10948" i="1"/>
  <c r="E10948" i="1"/>
  <c r="F10948" i="1"/>
  <c r="H10948" i="1"/>
  <c r="A10949" i="1"/>
  <c r="B10949" i="1"/>
  <c r="C10949" i="1"/>
  <c r="D10949" i="1"/>
  <c r="E10949" i="1"/>
  <c r="F10949" i="1"/>
  <c r="H10949" i="1"/>
  <c r="A10950" i="1"/>
  <c r="B10950" i="1"/>
  <c r="C10950" i="1"/>
  <c r="D10950" i="1"/>
  <c r="E10950" i="1"/>
  <c r="F10950" i="1"/>
  <c r="H10950" i="1"/>
  <c r="A10951" i="1"/>
  <c r="B10951" i="1"/>
  <c r="C10951" i="1"/>
  <c r="D10951" i="1"/>
  <c r="E10951" i="1"/>
  <c r="F10951" i="1"/>
  <c r="H10951" i="1"/>
  <c r="A10952" i="1"/>
  <c r="B10952" i="1"/>
  <c r="C10952" i="1"/>
  <c r="D10952" i="1"/>
  <c r="E10952" i="1"/>
  <c r="F10952" i="1"/>
  <c r="H10952" i="1"/>
  <c r="A10953" i="1"/>
  <c r="B10953" i="1"/>
  <c r="C10953" i="1"/>
  <c r="D10953" i="1"/>
  <c r="E10953" i="1"/>
  <c r="F10953" i="1"/>
  <c r="H10953" i="1"/>
  <c r="A10954" i="1"/>
  <c r="B10954" i="1"/>
  <c r="C10954" i="1"/>
  <c r="D10954" i="1"/>
  <c r="E10954" i="1"/>
  <c r="F10954" i="1"/>
  <c r="H10954" i="1"/>
  <c r="A10955" i="1"/>
  <c r="B10955" i="1"/>
  <c r="C10955" i="1"/>
  <c r="D10955" i="1"/>
  <c r="E10955" i="1"/>
  <c r="F10955" i="1"/>
  <c r="H10955" i="1"/>
  <c r="A10956" i="1"/>
  <c r="B10956" i="1"/>
  <c r="C10956" i="1"/>
  <c r="D10956" i="1"/>
  <c r="E10956" i="1"/>
  <c r="F10956" i="1"/>
  <c r="H10956" i="1"/>
  <c r="A10957" i="1"/>
  <c r="B10957" i="1"/>
  <c r="C10957" i="1"/>
  <c r="D10957" i="1"/>
  <c r="E10957" i="1"/>
  <c r="F10957" i="1"/>
  <c r="H10957" i="1"/>
  <c r="A10958" i="1"/>
  <c r="B10958" i="1"/>
  <c r="C10958" i="1"/>
  <c r="D10958" i="1"/>
  <c r="E10958" i="1"/>
  <c r="F10958" i="1"/>
  <c r="H10958" i="1"/>
  <c r="A10959" i="1"/>
  <c r="B10959" i="1"/>
  <c r="C10959" i="1"/>
  <c r="D10959" i="1"/>
  <c r="E10959" i="1"/>
  <c r="F10959" i="1"/>
  <c r="H10959" i="1"/>
  <c r="A10960" i="1"/>
  <c r="B10960" i="1"/>
  <c r="C10960" i="1"/>
  <c r="D10960" i="1"/>
  <c r="E10960" i="1"/>
  <c r="F10960" i="1"/>
  <c r="H10960" i="1"/>
  <c r="A10961" i="1"/>
  <c r="B10961" i="1"/>
  <c r="C10961" i="1"/>
  <c r="D10961" i="1"/>
  <c r="E10961" i="1"/>
  <c r="F10961" i="1"/>
  <c r="H10961" i="1"/>
  <c r="A10962" i="1"/>
  <c r="B10962" i="1"/>
  <c r="C10962" i="1"/>
  <c r="D10962" i="1"/>
  <c r="E10962" i="1"/>
  <c r="F10962" i="1"/>
  <c r="H10962" i="1"/>
  <c r="A10963" i="1"/>
  <c r="B10963" i="1"/>
  <c r="C10963" i="1"/>
  <c r="D10963" i="1"/>
  <c r="E10963" i="1"/>
  <c r="F10963" i="1"/>
  <c r="H10963" i="1"/>
  <c r="A10964" i="1"/>
  <c r="B10964" i="1"/>
  <c r="C10964" i="1"/>
  <c r="D10964" i="1"/>
  <c r="E10964" i="1"/>
  <c r="F10964" i="1"/>
  <c r="H10964" i="1"/>
  <c r="A10965" i="1"/>
  <c r="B10965" i="1"/>
  <c r="C10965" i="1"/>
  <c r="D10965" i="1"/>
  <c r="E10965" i="1"/>
  <c r="F10965" i="1"/>
  <c r="H10965" i="1"/>
  <c r="A10966" i="1"/>
  <c r="B10966" i="1"/>
  <c r="C10966" i="1"/>
  <c r="D10966" i="1"/>
  <c r="E10966" i="1"/>
  <c r="F10966" i="1"/>
  <c r="H10966" i="1"/>
  <c r="A10967" i="1"/>
  <c r="B10967" i="1"/>
  <c r="C10967" i="1"/>
  <c r="D10967" i="1"/>
  <c r="E10967" i="1"/>
  <c r="F10967" i="1"/>
  <c r="H10967" i="1"/>
  <c r="A10968" i="1"/>
  <c r="B10968" i="1"/>
  <c r="C10968" i="1"/>
  <c r="D10968" i="1"/>
  <c r="E10968" i="1"/>
  <c r="F10968" i="1"/>
  <c r="H10968" i="1"/>
  <c r="A10969" i="1"/>
  <c r="B10969" i="1"/>
  <c r="C10969" i="1"/>
  <c r="D10969" i="1"/>
  <c r="E10969" i="1"/>
  <c r="F10969" i="1"/>
  <c r="H10969" i="1"/>
  <c r="A10970" i="1"/>
  <c r="B10970" i="1"/>
  <c r="C10970" i="1"/>
  <c r="D10970" i="1"/>
  <c r="E10970" i="1"/>
  <c r="F10970" i="1"/>
  <c r="H10970" i="1"/>
  <c r="A10971" i="1"/>
  <c r="B10971" i="1"/>
  <c r="C10971" i="1"/>
  <c r="D10971" i="1"/>
  <c r="E10971" i="1"/>
  <c r="F10971" i="1"/>
  <c r="H10971" i="1"/>
  <c r="A10972" i="1"/>
  <c r="B10972" i="1"/>
  <c r="C10972" i="1"/>
  <c r="D10972" i="1"/>
  <c r="E10972" i="1"/>
  <c r="F10972" i="1"/>
  <c r="H10972" i="1"/>
  <c r="A10973" i="1"/>
  <c r="B10973" i="1"/>
  <c r="C10973" i="1"/>
  <c r="D10973" i="1"/>
  <c r="E10973" i="1"/>
  <c r="F10973" i="1"/>
  <c r="H10973" i="1"/>
  <c r="A10974" i="1"/>
  <c r="B10974" i="1"/>
  <c r="C10974" i="1"/>
  <c r="D10974" i="1"/>
  <c r="E10974" i="1"/>
  <c r="F10974" i="1"/>
  <c r="H10974" i="1"/>
  <c r="A10975" i="1"/>
  <c r="B10975" i="1"/>
  <c r="C10975" i="1"/>
  <c r="D10975" i="1"/>
  <c r="E10975" i="1"/>
  <c r="F10975" i="1"/>
  <c r="H10975" i="1"/>
  <c r="A10976" i="1"/>
  <c r="B10976" i="1"/>
  <c r="C10976" i="1"/>
  <c r="D10976" i="1"/>
  <c r="E10976" i="1"/>
  <c r="F10976" i="1"/>
  <c r="H10976" i="1"/>
  <c r="A10977" i="1"/>
  <c r="B10977" i="1"/>
  <c r="C10977" i="1"/>
  <c r="D10977" i="1"/>
  <c r="E10977" i="1"/>
  <c r="F10977" i="1"/>
  <c r="H10977" i="1"/>
  <c r="A10978" i="1"/>
  <c r="B10978" i="1"/>
  <c r="C10978" i="1"/>
  <c r="D10978" i="1"/>
  <c r="E10978" i="1"/>
  <c r="F10978" i="1"/>
  <c r="H10978" i="1"/>
  <c r="A10979" i="1"/>
  <c r="B10979" i="1"/>
  <c r="C10979" i="1"/>
  <c r="D10979" i="1"/>
  <c r="E10979" i="1"/>
  <c r="F10979" i="1"/>
  <c r="H10979" i="1"/>
  <c r="A10980" i="1"/>
  <c r="B10980" i="1"/>
  <c r="C10980" i="1"/>
  <c r="D10980" i="1"/>
  <c r="E10980" i="1"/>
  <c r="F10980" i="1"/>
  <c r="H10980" i="1"/>
  <c r="A10981" i="1"/>
  <c r="B10981" i="1"/>
  <c r="C10981" i="1"/>
  <c r="D10981" i="1"/>
  <c r="E10981" i="1"/>
  <c r="F10981" i="1"/>
  <c r="H10981" i="1"/>
  <c r="A10982" i="1"/>
  <c r="B10982" i="1"/>
  <c r="C10982" i="1"/>
  <c r="D10982" i="1"/>
  <c r="E10982" i="1"/>
  <c r="F10982" i="1"/>
  <c r="H10982" i="1"/>
  <c r="A10983" i="1"/>
  <c r="B10983" i="1"/>
  <c r="C10983" i="1"/>
  <c r="D10983" i="1"/>
  <c r="E10983" i="1"/>
  <c r="F10983" i="1"/>
  <c r="H10983" i="1"/>
  <c r="A10984" i="1"/>
  <c r="B10984" i="1"/>
  <c r="C10984" i="1"/>
  <c r="D10984" i="1"/>
  <c r="E10984" i="1"/>
  <c r="F10984" i="1"/>
  <c r="H10984" i="1"/>
  <c r="A10985" i="1"/>
  <c r="B10985" i="1"/>
  <c r="C10985" i="1"/>
  <c r="D10985" i="1"/>
  <c r="E10985" i="1"/>
  <c r="F10985" i="1"/>
  <c r="H10985" i="1"/>
  <c r="A10986" i="1"/>
  <c r="B10986" i="1"/>
  <c r="C10986" i="1"/>
  <c r="D10986" i="1"/>
  <c r="E10986" i="1"/>
  <c r="F10986" i="1"/>
  <c r="H10986" i="1"/>
  <c r="A10987" i="1"/>
  <c r="B10987" i="1"/>
  <c r="C10987" i="1"/>
  <c r="D10987" i="1"/>
  <c r="E10987" i="1"/>
  <c r="F10987" i="1"/>
  <c r="H10987" i="1"/>
  <c r="A10988" i="1"/>
  <c r="B10988" i="1"/>
  <c r="C10988" i="1"/>
  <c r="D10988" i="1"/>
  <c r="E10988" i="1"/>
  <c r="F10988" i="1"/>
  <c r="H10988" i="1"/>
  <c r="A10989" i="1"/>
  <c r="B10989" i="1"/>
  <c r="C10989" i="1"/>
  <c r="D10989" i="1"/>
  <c r="E10989" i="1"/>
  <c r="F10989" i="1"/>
  <c r="H10989" i="1"/>
  <c r="A10990" i="1"/>
  <c r="B10990" i="1"/>
  <c r="C10990" i="1"/>
  <c r="D10990" i="1"/>
  <c r="E10990" i="1"/>
  <c r="F10990" i="1"/>
  <c r="H10990" i="1"/>
  <c r="A10991" i="1"/>
  <c r="B10991" i="1"/>
  <c r="C10991" i="1"/>
  <c r="D10991" i="1"/>
  <c r="E10991" i="1"/>
  <c r="F10991" i="1"/>
  <c r="H10991" i="1"/>
  <c r="A10992" i="1"/>
  <c r="B10992" i="1"/>
  <c r="C10992" i="1"/>
  <c r="D10992" i="1"/>
  <c r="E10992" i="1"/>
  <c r="F10992" i="1"/>
  <c r="H10992" i="1"/>
  <c r="A10993" i="1"/>
  <c r="B10993" i="1"/>
  <c r="C10993" i="1"/>
  <c r="D10993" i="1"/>
  <c r="E10993" i="1"/>
  <c r="F10993" i="1"/>
  <c r="H10993" i="1"/>
  <c r="A10994" i="1"/>
  <c r="B10994" i="1"/>
  <c r="C10994" i="1"/>
  <c r="D10994" i="1"/>
  <c r="E10994" i="1"/>
  <c r="F10994" i="1"/>
  <c r="H10994" i="1"/>
  <c r="A10995" i="1"/>
  <c r="B10995" i="1"/>
  <c r="C10995" i="1"/>
  <c r="D10995" i="1"/>
  <c r="E10995" i="1"/>
  <c r="F10995" i="1"/>
  <c r="H10995" i="1"/>
  <c r="A10996" i="1"/>
  <c r="B10996" i="1"/>
  <c r="C10996" i="1"/>
  <c r="D10996" i="1"/>
  <c r="E10996" i="1"/>
  <c r="F10996" i="1"/>
  <c r="H10996" i="1"/>
  <c r="A10997" i="1"/>
  <c r="B10997" i="1"/>
  <c r="C10997" i="1"/>
  <c r="D10997" i="1"/>
  <c r="E10997" i="1"/>
  <c r="F10997" i="1"/>
  <c r="H10997" i="1"/>
  <c r="A10998" i="1"/>
  <c r="B10998" i="1"/>
  <c r="C10998" i="1"/>
  <c r="D10998" i="1"/>
  <c r="E10998" i="1"/>
  <c r="F10998" i="1"/>
  <c r="H10998" i="1"/>
  <c r="A10999" i="1"/>
  <c r="B10999" i="1"/>
  <c r="C10999" i="1"/>
  <c r="D10999" i="1"/>
  <c r="E10999" i="1"/>
  <c r="F10999" i="1"/>
  <c r="H10999" i="1"/>
  <c r="A11000" i="1"/>
  <c r="B11000" i="1"/>
  <c r="C11000" i="1"/>
  <c r="D11000" i="1"/>
  <c r="E11000" i="1"/>
  <c r="F11000" i="1"/>
  <c r="H11000" i="1"/>
  <c r="A11001" i="1"/>
  <c r="B11001" i="1"/>
  <c r="C11001" i="1"/>
  <c r="D11001" i="1"/>
  <c r="E11001" i="1"/>
  <c r="F11001" i="1"/>
  <c r="H11001" i="1"/>
  <c r="A11002" i="1"/>
  <c r="B11002" i="1"/>
  <c r="C11002" i="1"/>
  <c r="D11002" i="1"/>
  <c r="E11002" i="1"/>
  <c r="F11002" i="1"/>
  <c r="H11002" i="1"/>
  <c r="A11003" i="1"/>
  <c r="B11003" i="1"/>
  <c r="C11003" i="1"/>
  <c r="D11003" i="1"/>
  <c r="E11003" i="1"/>
  <c r="F11003" i="1"/>
  <c r="H11003" i="1"/>
  <c r="A11004" i="1"/>
  <c r="B11004" i="1"/>
  <c r="C11004" i="1"/>
  <c r="D11004" i="1"/>
  <c r="E11004" i="1"/>
  <c r="F11004" i="1"/>
  <c r="H11004" i="1"/>
  <c r="A11005" i="1"/>
  <c r="B11005" i="1"/>
  <c r="C11005" i="1"/>
  <c r="D11005" i="1"/>
  <c r="E11005" i="1"/>
  <c r="F11005" i="1"/>
  <c r="H11005" i="1"/>
  <c r="A11006" i="1"/>
  <c r="B11006" i="1"/>
  <c r="C11006" i="1"/>
  <c r="D11006" i="1"/>
  <c r="E11006" i="1"/>
  <c r="F11006" i="1"/>
  <c r="H11006" i="1"/>
  <c r="A11007" i="1"/>
  <c r="B11007" i="1"/>
  <c r="C11007" i="1"/>
  <c r="D11007" i="1"/>
  <c r="E11007" i="1"/>
  <c r="F11007" i="1"/>
  <c r="H11007" i="1"/>
  <c r="A11008" i="1"/>
  <c r="B11008" i="1"/>
  <c r="C11008" i="1"/>
  <c r="D11008" i="1"/>
  <c r="E11008" i="1"/>
  <c r="F11008" i="1"/>
  <c r="H11008" i="1"/>
  <c r="A11009" i="1"/>
  <c r="B11009" i="1"/>
  <c r="C11009" i="1"/>
  <c r="D11009" i="1"/>
  <c r="E11009" i="1"/>
  <c r="F11009" i="1"/>
  <c r="H11009" i="1"/>
  <c r="A11010" i="1"/>
  <c r="B11010" i="1"/>
  <c r="C11010" i="1"/>
  <c r="D11010" i="1"/>
  <c r="E11010" i="1"/>
  <c r="F11010" i="1"/>
  <c r="H11010" i="1"/>
  <c r="A11011" i="1"/>
  <c r="B11011" i="1"/>
  <c r="C11011" i="1"/>
  <c r="D11011" i="1"/>
  <c r="E11011" i="1"/>
  <c r="F11011" i="1"/>
  <c r="H11011" i="1"/>
  <c r="A11012" i="1"/>
  <c r="B11012" i="1"/>
  <c r="C11012" i="1"/>
  <c r="D11012" i="1"/>
  <c r="E11012" i="1"/>
  <c r="F11012" i="1"/>
  <c r="H11012" i="1"/>
  <c r="A11013" i="1"/>
  <c r="B11013" i="1"/>
  <c r="C11013" i="1"/>
  <c r="D11013" i="1"/>
  <c r="E11013" i="1"/>
  <c r="F11013" i="1"/>
  <c r="H11013" i="1"/>
  <c r="A11014" i="1"/>
  <c r="B11014" i="1"/>
  <c r="C11014" i="1"/>
  <c r="D11014" i="1"/>
  <c r="E11014" i="1"/>
  <c r="F11014" i="1"/>
  <c r="H11014" i="1"/>
  <c r="A11015" i="1"/>
  <c r="B11015" i="1"/>
  <c r="C11015" i="1"/>
  <c r="D11015" i="1"/>
  <c r="E11015" i="1"/>
  <c r="F11015" i="1"/>
  <c r="H11015" i="1"/>
  <c r="A11016" i="1"/>
  <c r="B11016" i="1"/>
  <c r="C11016" i="1"/>
  <c r="D11016" i="1"/>
  <c r="E11016" i="1"/>
  <c r="F11016" i="1"/>
  <c r="H11016" i="1"/>
  <c r="A11017" i="1"/>
  <c r="B11017" i="1"/>
  <c r="C11017" i="1"/>
  <c r="D11017" i="1"/>
  <c r="E11017" i="1"/>
  <c r="F11017" i="1"/>
  <c r="H11017" i="1"/>
  <c r="A11018" i="1"/>
  <c r="B11018" i="1"/>
  <c r="C11018" i="1"/>
  <c r="D11018" i="1"/>
  <c r="E11018" i="1"/>
  <c r="F11018" i="1"/>
  <c r="H11018" i="1"/>
  <c r="A11019" i="1"/>
  <c r="B11019" i="1"/>
  <c r="C11019" i="1"/>
  <c r="D11019" i="1"/>
  <c r="E11019" i="1"/>
  <c r="F11019" i="1"/>
  <c r="H11019" i="1"/>
  <c r="A11020" i="1"/>
  <c r="B11020" i="1"/>
  <c r="C11020" i="1"/>
  <c r="D11020" i="1"/>
  <c r="E11020" i="1"/>
  <c r="F11020" i="1"/>
  <c r="H11020" i="1"/>
  <c r="A11021" i="1"/>
  <c r="B11021" i="1"/>
  <c r="C11021" i="1"/>
  <c r="D11021" i="1"/>
  <c r="E11021" i="1"/>
  <c r="F11021" i="1"/>
  <c r="H11021" i="1"/>
  <c r="A11022" i="1"/>
  <c r="B11022" i="1"/>
  <c r="C11022" i="1"/>
  <c r="D11022" i="1"/>
  <c r="E11022" i="1"/>
  <c r="F11022" i="1"/>
  <c r="H11022" i="1"/>
  <c r="A11023" i="1"/>
  <c r="B11023" i="1"/>
  <c r="C11023" i="1"/>
  <c r="D11023" i="1"/>
  <c r="E11023" i="1"/>
  <c r="F11023" i="1"/>
  <c r="H11023" i="1"/>
  <c r="A11024" i="1"/>
  <c r="B11024" i="1"/>
  <c r="C11024" i="1"/>
  <c r="D11024" i="1"/>
  <c r="E11024" i="1"/>
  <c r="F11024" i="1"/>
  <c r="H11024" i="1"/>
  <c r="A11025" i="1"/>
  <c r="B11025" i="1"/>
  <c r="C11025" i="1"/>
  <c r="D11025" i="1"/>
  <c r="E11025" i="1"/>
  <c r="F11025" i="1"/>
  <c r="H11025" i="1"/>
  <c r="A11026" i="1"/>
  <c r="B11026" i="1"/>
  <c r="C11026" i="1"/>
  <c r="D11026" i="1"/>
  <c r="E11026" i="1"/>
  <c r="F11026" i="1"/>
  <c r="H11026" i="1"/>
  <c r="A11027" i="1"/>
  <c r="B11027" i="1"/>
  <c r="C11027" i="1"/>
  <c r="D11027" i="1"/>
  <c r="E11027" i="1"/>
  <c r="F11027" i="1"/>
  <c r="H11027" i="1"/>
  <c r="A11028" i="1"/>
  <c r="B11028" i="1"/>
  <c r="C11028" i="1"/>
  <c r="D11028" i="1"/>
  <c r="E11028" i="1"/>
  <c r="F11028" i="1"/>
  <c r="H11028" i="1"/>
  <c r="A11029" i="1"/>
  <c r="B11029" i="1"/>
  <c r="C11029" i="1"/>
  <c r="D11029" i="1"/>
  <c r="E11029" i="1"/>
  <c r="F11029" i="1"/>
  <c r="H11029" i="1"/>
  <c r="A11030" i="1"/>
  <c r="B11030" i="1"/>
  <c r="C11030" i="1"/>
  <c r="D11030" i="1"/>
  <c r="E11030" i="1"/>
  <c r="F11030" i="1"/>
  <c r="H11030" i="1"/>
  <c r="A11031" i="1"/>
  <c r="B11031" i="1"/>
  <c r="C11031" i="1"/>
  <c r="D11031" i="1"/>
  <c r="E11031" i="1"/>
  <c r="F11031" i="1"/>
  <c r="H11031" i="1"/>
  <c r="A11032" i="1"/>
  <c r="B11032" i="1"/>
  <c r="C11032" i="1"/>
  <c r="D11032" i="1"/>
  <c r="E11032" i="1"/>
  <c r="F11032" i="1"/>
  <c r="H11032" i="1"/>
  <c r="A11033" i="1"/>
  <c r="B11033" i="1"/>
  <c r="C11033" i="1"/>
  <c r="D11033" i="1"/>
  <c r="E11033" i="1"/>
  <c r="F11033" i="1"/>
  <c r="H11033" i="1"/>
  <c r="A11034" i="1"/>
  <c r="B11034" i="1"/>
  <c r="C11034" i="1"/>
  <c r="D11034" i="1"/>
  <c r="E11034" i="1"/>
  <c r="F11034" i="1"/>
  <c r="H11034" i="1"/>
  <c r="A11035" i="1"/>
  <c r="B11035" i="1"/>
  <c r="C11035" i="1"/>
  <c r="D11035" i="1"/>
  <c r="E11035" i="1"/>
  <c r="F11035" i="1"/>
  <c r="H11035" i="1"/>
  <c r="A11036" i="1"/>
  <c r="B11036" i="1"/>
  <c r="C11036" i="1"/>
  <c r="D11036" i="1"/>
  <c r="E11036" i="1"/>
  <c r="F11036" i="1"/>
  <c r="H11036" i="1"/>
  <c r="A11037" i="1"/>
  <c r="B11037" i="1"/>
  <c r="C11037" i="1"/>
  <c r="D11037" i="1"/>
  <c r="E11037" i="1"/>
  <c r="F11037" i="1"/>
  <c r="H11037" i="1"/>
  <c r="A11038" i="1"/>
  <c r="B11038" i="1"/>
  <c r="C11038" i="1"/>
  <c r="D11038" i="1"/>
  <c r="E11038" i="1"/>
  <c r="F11038" i="1"/>
  <c r="H11038" i="1"/>
  <c r="A11039" i="1"/>
  <c r="B11039" i="1"/>
  <c r="C11039" i="1"/>
  <c r="D11039" i="1"/>
  <c r="E11039" i="1"/>
  <c r="F11039" i="1"/>
  <c r="H11039" i="1"/>
  <c r="A11040" i="1"/>
  <c r="B11040" i="1"/>
  <c r="C11040" i="1"/>
  <c r="D11040" i="1"/>
  <c r="E11040" i="1"/>
  <c r="F11040" i="1"/>
  <c r="H11040" i="1"/>
  <c r="A11041" i="1"/>
  <c r="B11041" i="1"/>
  <c r="C11041" i="1"/>
  <c r="D11041" i="1"/>
  <c r="E11041" i="1"/>
  <c r="F11041" i="1"/>
  <c r="H11041" i="1"/>
  <c r="A11042" i="1"/>
  <c r="B11042" i="1"/>
  <c r="C11042" i="1"/>
  <c r="D11042" i="1"/>
  <c r="E11042" i="1"/>
  <c r="F11042" i="1"/>
  <c r="H11042" i="1"/>
  <c r="A11043" i="1"/>
  <c r="B11043" i="1"/>
  <c r="C11043" i="1"/>
  <c r="D11043" i="1"/>
  <c r="E11043" i="1"/>
  <c r="F11043" i="1"/>
  <c r="H11043" i="1"/>
  <c r="A11044" i="1"/>
  <c r="B11044" i="1"/>
  <c r="C11044" i="1"/>
  <c r="D11044" i="1"/>
  <c r="E11044" i="1"/>
  <c r="F11044" i="1"/>
  <c r="H11044" i="1"/>
  <c r="A11045" i="1"/>
  <c r="B11045" i="1"/>
  <c r="C11045" i="1"/>
  <c r="D11045" i="1"/>
  <c r="E11045" i="1"/>
  <c r="F11045" i="1"/>
  <c r="H11045" i="1"/>
  <c r="A11046" i="1"/>
  <c r="B11046" i="1"/>
  <c r="C11046" i="1"/>
  <c r="D11046" i="1"/>
  <c r="E11046" i="1"/>
  <c r="F11046" i="1"/>
  <c r="H11046" i="1"/>
  <c r="A11047" i="1"/>
  <c r="B11047" i="1"/>
  <c r="C11047" i="1"/>
  <c r="D11047" i="1"/>
  <c r="E11047" i="1"/>
  <c r="F11047" i="1"/>
  <c r="H11047" i="1"/>
  <c r="A11048" i="1"/>
  <c r="B11048" i="1"/>
  <c r="C11048" i="1"/>
  <c r="D11048" i="1"/>
  <c r="E11048" i="1"/>
  <c r="F11048" i="1"/>
  <c r="H11048" i="1"/>
  <c r="A11049" i="1"/>
  <c r="B11049" i="1"/>
  <c r="C11049" i="1"/>
  <c r="D11049" i="1"/>
  <c r="E11049" i="1"/>
  <c r="F11049" i="1"/>
  <c r="H11049" i="1"/>
  <c r="A11050" i="1"/>
  <c r="B11050" i="1"/>
  <c r="C11050" i="1"/>
  <c r="D11050" i="1"/>
  <c r="E11050" i="1"/>
  <c r="F11050" i="1"/>
  <c r="H11050" i="1"/>
  <c r="A11051" i="1"/>
  <c r="B11051" i="1"/>
  <c r="C11051" i="1"/>
  <c r="D11051" i="1"/>
  <c r="E11051" i="1"/>
  <c r="F11051" i="1"/>
  <c r="H11051" i="1"/>
  <c r="A11052" i="1"/>
  <c r="B11052" i="1"/>
  <c r="C11052" i="1"/>
  <c r="D11052" i="1"/>
  <c r="E11052" i="1"/>
  <c r="F11052" i="1"/>
  <c r="H11052" i="1"/>
  <c r="A11053" i="1"/>
  <c r="B11053" i="1"/>
  <c r="C11053" i="1"/>
  <c r="D11053" i="1"/>
  <c r="E11053" i="1"/>
  <c r="F11053" i="1"/>
  <c r="H11053" i="1"/>
  <c r="A11054" i="1"/>
  <c r="B11054" i="1"/>
  <c r="C11054" i="1"/>
  <c r="D11054" i="1"/>
  <c r="E11054" i="1"/>
  <c r="F11054" i="1"/>
  <c r="H11054" i="1"/>
  <c r="A11055" i="1"/>
  <c r="B11055" i="1"/>
  <c r="C11055" i="1"/>
  <c r="D11055" i="1"/>
  <c r="E11055" i="1"/>
  <c r="F11055" i="1"/>
  <c r="H11055" i="1"/>
  <c r="A11056" i="1"/>
  <c r="B11056" i="1"/>
  <c r="C11056" i="1"/>
  <c r="D11056" i="1"/>
  <c r="E11056" i="1"/>
  <c r="F11056" i="1"/>
  <c r="H11056" i="1"/>
  <c r="A11057" i="1"/>
  <c r="B11057" i="1"/>
  <c r="C11057" i="1"/>
  <c r="D11057" i="1"/>
  <c r="E11057" i="1"/>
  <c r="F11057" i="1"/>
  <c r="H11057" i="1"/>
  <c r="A11058" i="1"/>
  <c r="B11058" i="1"/>
  <c r="C11058" i="1"/>
  <c r="D11058" i="1"/>
  <c r="E11058" i="1"/>
  <c r="F11058" i="1"/>
  <c r="H11058" i="1"/>
  <c r="A11059" i="1"/>
  <c r="B11059" i="1"/>
  <c r="C11059" i="1"/>
  <c r="D11059" i="1"/>
  <c r="E11059" i="1"/>
  <c r="F11059" i="1"/>
  <c r="H11059" i="1"/>
  <c r="A11060" i="1"/>
  <c r="B11060" i="1"/>
  <c r="C11060" i="1"/>
  <c r="D11060" i="1"/>
  <c r="E11060" i="1"/>
  <c r="F11060" i="1"/>
  <c r="H11060" i="1"/>
  <c r="A11061" i="1"/>
  <c r="B11061" i="1"/>
  <c r="C11061" i="1"/>
  <c r="D11061" i="1"/>
  <c r="E11061" i="1"/>
  <c r="F11061" i="1"/>
  <c r="H11061" i="1"/>
  <c r="A11062" i="1"/>
  <c r="B11062" i="1"/>
  <c r="C11062" i="1"/>
  <c r="D11062" i="1"/>
  <c r="E11062" i="1"/>
  <c r="F11062" i="1"/>
  <c r="H11062" i="1"/>
  <c r="A11063" i="1"/>
  <c r="B11063" i="1"/>
  <c r="C11063" i="1"/>
  <c r="D11063" i="1"/>
  <c r="E11063" i="1"/>
  <c r="F11063" i="1"/>
  <c r="H11063" i="1"/>
  <c r="A11064" i="1"/>
  <c r="B11064" i="1"/>
  <c r="C11064" i="1"/>
  <c r="D11064" i="1"/>
  <c r="E11064" i="1"/>
  <c r="F11064" i="1"/>
  <c r="H11064" i="1"/>
  <c r="A11065" i="1"/>
  <c r="B11065" i="1"/>
  <c r="C11065" i="1"/>
  <c r="D11065" i="1"/>
  <c r="E11065" i="1"/>
  <c r="F11065" i="1"/>
  <c r="H11065" i="1"/>
  <c r="A11066" i="1"/>
  <c r="B11066" i="1"/>
  <c r="C11066" i="1"/>
  <c r="D11066" i="1"/>
  <c r="E11066" i="1"/>
  <c r="F11066" i="1"/>
  <c r="H11066" i="1"/>
  <c r="A11067" i="1"/>
  <c r="B11067" i="1"/>
  <c r="C11067" i="1"/>
  <c r="D11067" i="1"/>
  <c r="E11067" i="1"/>
  <c r="F11067" i="1"/>
  <c r="H11067" i="1"/>
  <c r="A11068" i="1"/>
  <c r="B11068" i="1"/>
  <c r="C11068" i="1"/>
  <c r="D11068" i="1"/>
  <c r="E11068" i="1"/>
  <c r="F11068" i="1"/>
  <c r="H11068" i="1"/>
  <c r="A11069" i="1"/>
  <c r="B11069" i="1"/>
  <c r="C11069" i="1"/>
  <c r="D11069" i="1"/>
  <c r="E11069" i="1"/>
  <c r="F11069" i="1"/>
  <c r="H11069" i="1"/>
  <c r="A11070" i="1"/>
  <c r="B11070" i="1"/>
  <c r="C11070" i="1"/>
  <c r="D11070" i="1"/>
  <c r="E11070" i="1"/>
  <c r="F11070" i="1"/>
  <c r="H11070" i="1"/>
  <c r="A11071" i="1"/>
  <c r="B11071" i="1"/>
  <c r="C11071" i="1"/>
  <c r="D11071" i="1"/>
  <c r="E11071" i="1"/>
  <c r="F11071" i="1"/>
  <c r="H11071" i="1"/>
  <c r="A11072" i="1"/>
  <c r="B11072" i="1"/>
  <c r="C11072" i="1"/>
  <c r="D11072" i="1"/>
  <c r="E11072" i="1"/>
  <c r="F11072" i="1"/>
  <c r="H11072" i="1"/>
  <c r="A11073" i="1"/>
  <c r="B11073" i="1"/>
  <c r="C11073" i="1"/>
  <c r="D11073" i="1"/>
  <c r="E11073" i="1"/>
  <c r="F11073" i="1"/>
  <c r="H11073" i="1"/>
  <c r="A11074" i="1"/>
  <c r="B11074" i="1"/>
  <c r="C11074" i="1"/>
  <c r="D11074" i="1"/>
  <c r="E11074" i="1"/>
  <c r="F11074" i="1"/>
  <c r="H11074" i="1"/>
  <c r="A11075" i="1"/>
  <c r="B11075" i="1"/>
  <c r="C11075" i="1"/>
  <c r="D11075" i="1"/>
  <c r="E11075" i="1"/>
  <c r="F11075" i="1"/>
  <c r="H11075" i="1"/>
  <c r="A11076" i="1"/>
  <c r="B11076" i="1"/>
  <c r="C11076" i="1"/>
  <c r="D11076" i="1"/>
  <c r="E11076" i="1"/>
  <c r="F11076" i="1"/>
  <c r="H11076" i="1"/>
  <c r="A11077" i="1"/>
  <c r="B11077" i="1"/>
  <c r="C11077" i="1"/>
  <c r="D11077" i="1"/>
  <c r="E11077" i="1"/>
  <c r="F11077" i="1"/>
  <c r="H11077" i="1"/>
  <c r="A11078" i="1"/>
  <c r="B11078" i="1"/>
  <c r="C11078" i="1"/>
  <c r="D11078" i="1"/>
  <c r="E11078" i="1"/>
  <c r="F11078" i="1"/>
  <c r="H11078" i="1"/>
  <c r="A11079" i="1"/>
  <c r="B11079" i="1"/>
  <c r="C11079" i="1"/>
  <c r="D11079" i="1"/>
  <c r="E11079" i="1"/>
  <c r="F11079" i="1"/>
  <c r="H11079" i="1"/>
  <c r="A11080" i="1"/>
  <c r="B11080" i="1"/>
  <c r="C11080" i="1"/>
  <c r="D11080" i="1"/>
  <c r="E11080" i="1"/>
  <c r="F11080" i="1"/>
  <c r="H11080" i="1"/>
  <c r="A11081" i="1"/>
  <c r="B11081" i="1"/>
  <c r="C11081" i="1"/>
  <c r="D11081" i="1"/>
  <c r="E11081" i="1"/>
  <c r="F11081" i="1"/>
  <c r="H11081" i="1"/>
  <c r="A11082" i="1"/>
  <c r="B11082" i="1"/>
  <c r="C11082" i="1"/>
  <c r="D11082" i="1"/>
  <c r="E11082" i="1"/>
  <c r="F11082" i="1"/>
  <c r="H11082" i="1"/>
  <c r="A11083" i="1"/>
  <c r="B11083" i="1"/>
  <c r="C11083" i="1"/>
  <c r="D11083" i="1"/>
  <c r="E11083" i="1"/>
  <c r="F11083" i="1"/>
  <c r="H11083" i="1"/>
  <c r="A11084" i="1"/>
  <c r="B11084" i="1"/>
  <c r="C11084" i="1"/>
  <c r="D11084" i="1"/>
  <c r="E11084" i="1"/>
  <c r="F11084" i="1"/>
  <c r="H11084" i="1"/>
  <c r="A11085" i="1"/>
  <c r="B11085" i="1"/>
  <c r="C11085" i="1"/>
  <c r="D11085" i="1"/>
  <c r="E11085" i="1"/>
  <c r="F11085" i="1"/>
  <c r="H11085" i="1"/>
  <c r="A11086" i="1"/>
  <c r="B11086" i="1"/>
  <c r="C11086" i="1"/>
  <c r="D11086" i="1"/>
  <c r="E11086" i="1"/>
  <c r="F11086" i="1"/>
  <c r="H11086" i="1"/>
  <c r="A11087" i="1"/>
  <c r="B11087" i="1"/>
  <c r="C11087" i="1"/>
  <c r="D11087" i="1"/>
  <c r="E11087" i="1"/>
  <c r="F11087" i="1"/>
  <c r="H11087" i="1"/>
  <c r="A11088" i="1"/>
  <c r="B11088" i="1"/>
  <c r="C11088" i="1"/>
  <c r="D11088" i="1"/>
  <c r="E11088" i="1"/>
  <c r="F11088" i="1"/>
  <c r="H11088" i="1"/>
  <c r="A11089" i="1"/>
  <c r="B11089" i="1"/>
  <c r="C11089" i="1"/>
  <c r="D11089" i="1"/>
  <c r="E11089" i="1"/>
  <c r="F11089" i="1"/>
  <c r="H11089" i="1"/>
  <c r="A11090" i="1"/>
  <c r="B11090" i="1"/>
  <c r="C11090" i="1"/>
  <c r="D11090" i="1"/>
  <c r="E11090" i="1"/>
  <c r="F11090" i="1"/>
  <c r="H11090" i="1"/>
  <c r="A11091" i="1"/>
  <c r="B11091" i="1"/>
  <c r="C11091" i="1"/>
  <c r="D11091" i="1"/>
  <c r="E11091" i="1"/>
  <c r="F11091" i="1"/>
  <c r="H11091" i="1"/>
  <c r="A11092" i="1"/>
  <c r="B11092" i="1"/>
  <c r="C11092" i="1"/>
  <c r="D11092" i="1"/>
  <c r="E11092" i="1"/>
  <c r="F11092" i="1"/>
  <c r="H11092" i="1"/>
  <c r="A11093" i="1"/>
  <c r="B11093" i="1"/>
  <c r="C11093" i="1"/>
  <c r="D11093" i="1"/>
  <c r="E11093" i="1"/>
  <c r="F11093" i="1"/>
  <c r="H11093" i="1"/>
  <c r="A11094" i="1"/>
  <c r="B11094" i="1"/>
  <c r="C11094" i="1"/>
  <c r="D11094" i="1"/>
  <c r="E11094" i="1"/>
  <c r="F11094" i="1"/>
  <c r="H11094" i="1"/>
  <c r="A11095" i="1"/>
  <c r="B11095" i="1"/>
  <c r="C11095" i="1"/>
  <c r="D11095" i="1"/>
  <c r="E11095" i="1"/>
  <c r="F11095" i="1"/>
  <c r="H11095" i="1"/>
  <c r="A11096" i="1"/>
  <c r="B11096" i="1"/>
  <c r="C11096" i="1"/>
  <c r="D11096" i="1"/>
  <c r="E11096" i="1"/>
  <c r="F11096" i="1"/>
  <c r="H11096" i="1"/>
  <c r="A11097" i="1"/>
  <c r="B11097" i="1"/>
  <c r="C11097" i="1"/>
  <c r="D11097" i="1"/>
  <c r="E11097" i="1"/>
  <c r="F11097" i="1"/>
  <c r="H11097" i="1"/>
  <c r="A11098" i="1"/>
  <c r="B11098" i="1"/>
  <c r="C11098" i="1"/>
  <c r="D11098" i="1"/>
  <c r="E11098" i="1"/>
  <c r="F11098" i="1"/>
  <c r="H11098" i="1"/>
  <c r="A11099" i="1"/>
  <c r="B11099" i="1"/>
  <c r="C11099" i="1"/>
  <c r="D11099" i="1"/>
  <c r="E11099" i="1"/>
  <c r="F11099" i="1"/>
  <c r="H11099" i="1"/>
  <c r="A11100" i="1"/>
  <c r="B11100" i="1"/>
  <c r="C11100" i="1"/>
  <c r="D11100" i="1"/>
  <c r="E11100" i="1"/>
  <c r="F11100" i="1"/>
  <c r="H11100" i="1"/>
  <c r="A11101" i="1"/>
  <c r="B11101" i="1"/>
  <c r="C11101" i="1"/>
  <c r="D11101" i="1"/>
  <c r="E11101" i="1"/>
  <c r="F11101" i="1"/>
  <c r="H11101" i="1"/>
  <c r="A11102" i="1"/>
  <c r="B11102" i="1"/>
  <c r="C11102" i="1"/>
  <c r="D11102" i="1"/>
  <c r="E11102" i="1"/>
  <c r="F11102" i="1"/>
  <c r="H11102" i="1"/>
  <c r="A11103" i="1"/>
  <c r="B11103" i="1"/>
  <c r="C11103" i="1"/>
  <c r="D11103" i="1"/>
  <c r="E11103" i="1"/>
  <c r="F11103" i="1"/>
  <c r="H11103" i="1"/>
  <c r="A11104" i="1"/>
  <c r="B11104" i="1"/>
  <c r="C11104" i="1"/>
  <c r="D11104" i="1"/>
  <c r="E11104" i="1"/>
  <c r="F11104" i="1"/>
  <c r="H11104" i="1"/>
  <c r="A11105" i="1"/>
  <c r="B11105" i="1"/>
  <c r="C11105" i="1"/>
  <c r="D11105" i="1"/>
  <c r="E11105" i="1"/>
  <c r="F11105" i="1"/>
  <c r="H11105" i="1"/>
  <c r="A11106" i="1"/>
  <c r="B11106" i="1"/>
  <c r="C11106" i="1"/>
  <c r="D11106" i="1"/>
  <c r="E11106" i="1"/>
  <c r="F11106" i="1"/>
  <c r="H11106" i="1"/>
  <c r="A11107" i="1"/>
  <c r="B11107" i="1"/>
  <c r="C11107" i="1"/>
  <c r="D11107" i="1"/>
  <c r="E11107" i="1"/>
  <c r="F11107" i="1"/>
  <c r="H11107" i="1"/>
  <c r="A11108" i="1"/>
  <c r="B11108" i="1"/>
  <c r="C11108" i="1"/>
  <c r="D11108" i="1"/>
  <c r="E11108" i="1"/>
  <c r="F11108" i="1"/>
  <c r="H11108" i="1"/>
  <c r="A11109" i="1"/>
  <c r="B11109" i="1"/>
  <c r="C11109" i="1"/>
  <c r="D11109" i="1"/>
  <c r="E11109" i="1"/>
  <c r="F11109" i="1"/>
  <c r="H11109" i="1"/>
  <c r="A11110" i="1"/>
  <c r="B11110" i="1"/>
  <c r="C11110" i="1"/>
  <c r="D11110" i="1"/>
  <c r="E11110" i="1"/>
  <c r="F11110" i="1"/>
  <c r="H11110" i="1"/>
  <c r="A11111" i="1"/>
  <c r="B11111" i="1"/>
  <c r="C11111" i="1"/>
  <c r="D11111" i="1"/>
  <c r="E11111" i="1"/>
  <c r="F11111" i="1"/>
  <c r="H11111" i="1"/>
  <c r="A11112" i="1"/>
  <c r="B11112" i="1"/>
  <c r="C11112" i="1"/>
  <c r="D11112" i="1"/>
  <c r="E11112" i="1"/>
  <c r="F11112" i="1"/>
  <c r="H11112" i="1"/>
  <c r="A11113" i="1"/>
  <c r="B11113" i="1"/>
  <c r="C11113" i="1"/>
  <c r="D11113" i="1"/>
  <c r="E11113" i="1"/>
  <c r="F11113" i="1"/>
  <c r="H11113" i="1"/>
  <c r="A11114" i="1"/>
  <c r="B11114" i="1"/>
  <c r="C11114" i="1"/>
  <c r="D11114" i="1"/>
  <c r="E11114" i="1"/>
  <c r="F11114" i="1"/>
  <c r="H11114" i="1"/>
  <c r="A11115" i="1"/>
  <c r="B11115" i="1"/>
  <c r="C11115" i="1"/>
  <c r="D11115" i="1"/>
  <c r="E11115" i="1"/>
  <c r="F11115" i="1"/>
  <c r="H11115" i="1"/>
  <c r="A11116" i="1"/>
  <c r="B11116" i="1"/>
  <c r="C11116" i="1"/>
  <c r="D11116" i="1"/>
  <c r="E11116" i="1"/>
  <c r="F11116" i="1"/>
  <c r="H11116" i="1"/>
  <c r="A11117" i="1"/>
  <c r="B11117" i="1"/>
  <c r="C11117" i="1"/>
  <c r="D11117" i="1"/>
  <c r="E11117" i="1"/>
  <c r="F11117" i="1"/>
  <c r="H11117" i="1"/>
  <c r="A11118" i="1"/>
  <c r="B11118" i="1"/>
  <c r="C11118" i="1"/>
  <c r="D11118" i="1"/>
  <c r="E11118" i="1"/>
  <c r="F11118" i="1"/>
  <c r="H11118" i="1"/>
  <c r="A11119" i="1"/>
  <c r="B11119" i="1"/>
  <c r="C11119" i="1"/>
  <c r="D11119" i="1"/>
  <c r="E11119" i="1"/>
  <c r="F11119" i="1"/>
  <c r="H11119" i="1"/>
  <c r="A11120" i="1"/>
  <c r="B11120" i="1"/>
  <c r="C11120" i="1"/>
  <c r="D11120" i="1"/>
  <c r="E11120" i="1"/>
  <c r="F11120" i="1"/>
  <c r="H11120" i="1"/>
  <c r="A11121" i="1"/>
  <c r="B11121" i="1"/>
  <c r="C11121" i="1"/>
  <c r="D11121" i="1"/>
  <c r="E11121" i="1"/>
  <c r="F11121" i="1"/>
  <c r="H11121" i="1"/>
  <c r="A11122" i="1"/>
  <c r="B11122" i="1"/>
  <c r="C11122" i="1"/>
  <c r="D11122" i="1"/>
  <c r="E11122" i="1"/>
  <c r="F11122" i="1"/>
  <c r="H11122" i="1"/>
  <c r="A11123" i="1"/>
  <c r="B11123" i="1"/>
  <c r="C11123" i="1"/>
  <c r="D11123" i="1"/>
  <c r="E11123" i="1"/>
  <c r="F11123" i="1"/>
  <c r="H11123" i="1"/>
  <c r="A11124" i="1"/>
  <c r="B11124" i="1"/>
  <c r="C11124" i="1"/>
  <c r="D11124" i="1"/>
  <c r="E11124" i="1"/>
  <c r="F11124" i="1"/>
  <c r="H11124" i="1"/>
  <c r="A11125" i="1"/>
  <c r="B11125" i="1"/>
  <c r="C11125" i="1"/>
  <c r="D11125" i="1"/>
  <c r="E11125" i="1"/>
  <c r="F11125" i="1"/>
  <c r="H11125" i="1"/>
  <c r="A11126" i="1"/>
  <c r="B11126" i="1"/>
  <c r="C11126" i="1"/>
  <c r="D11126" i="1"/>
  <c r="E11126" i="1"/>
  <c r="F11126" i="1"/>
  <c r="H11126" i="1"/>
  <c r="A11127" i="1"/>
  <c r="B11127" i="1"/>
  <c r="C11127" i="1"/>
  <c r="D11127" i="1"/>
  <c r="E11127" i="1"/>
  <c r="F11127" i="1"/>
  <c r="H11127" i="1"/>
  <c r="A11128" i="1"/>
  <c r="B11128" i="1"/>
  <c r="C11128" i="1"/>
  <c r="D11128" i="1"/>
  <c r="E11128" i="1"/>
  <c r="F11128" i="1"/>
  <c r="H11128" i="1"/>
  <c r="A11129" i="1"/>
  <c r="B11129" i="1"/>
  <c r="C11129" i="1"/>
  <c r="D11129" i="1"/>
  <c r="E11129" i="1"/>
  <c r="F11129" i="1"/>
  <c r="H11129" i="1"/>
  <c r="A11130" i="1"/>
  <c r="B11130" i="1"/>
  <c r="C11130" i="1"/>
  <c r="D11130" i="1"/>
  <c r="E11130" i="1"/>
  <c r="F11130" i="1"/>
  <c r="H11130" i="1"/>
  <c r="A11131" i="1"/>
  <c r="B11131" i="1"/>
  <c r="C11131" i="1"/>
  <c r="D11131" i="1"/>
  <c r="E11131" i="1"/>
  <c r="F11131" i="1"/>
  <c r="H11131" i="1"/>
  <c r="A11132" i="1"/>
  <c r="B11132" i="1"/>
  <c r="C11132" i="1"/>
  <c r="D11132" i="1"/>
  <c r="E11132" i="1"/>
  <c r="F11132" i="1"/>
  <c r="H11132" i="1"/>
  <c r="A11133" i="1"/>
  <c r="B11133" i="1"/>
  <c r="C11133" i="1"/>
  <c r="D11133" i="1"/>
  <c r="E11133" i="1"/>
  <c r="F11133" i="1"/>
  <c r="H11133" i="1"/>
  <c r="A11134" i="1"/>
  <c r="B11134" i="1"/>
  <c r="C11134" i="1"/>
  <c r="D11134" i="1"/>
  <c r="E11134" i="1"/>
  <c r="F11134" i="1"/>
  <c r="H11134" i="1"/>
  <c r="A11135" i="1"/>
  <c r="B11135" i="1"/>
  <c r="C11135" i="1"/>
  <c r="D11135" i="1"/>
  <c r="E11135" i="1"/>
  <c r="F11135" i="1"/>
  <c r="H11135" i="1"/>
  <c r="A11136" i="1"/>
  <c r="B11136" i="1"/>
  <c r="C11136" i="1"/>
  <c r="D11136" i="1"/>
  <c r="E11136" i="1"/>
  <c r="F11136" i="1"/>
  <c r="H11136" i="1"/>
  <c r="A11137" i="1"/>
  <c r="B11137" i="1"/>
  <c r="C11137" i="1"/>
  <c r="D11137" i="1"/>
  <c r="E11137" i="1"/>
  <c r="F11137" i="1"/>
  <c r="H11137" i="1"/>
  <c r="A11138" i="1"/>
  <c r="B11138" i="1"/>
  <c r="C11138" i="1"/>
  <c r="D11138" i="1"/>
  <c r="E11138" i="1"/>
  <c r="F11138" i="1"/>
  <c r="H11138" i="1"/>
  <c r="A11139" i="1"/>
  <c r="B11139" i="1"/>
  <c r="C11139" i="1"/>
  <c r="D11139" i="1"/>
  <c r="E11139" i="1"/>
  <c r="F11139" i="1"/>
  <c r="H11139" i="1"/>
  <c r="A11140" i="1"/>
  <c r="B11140" i="1"/>
  <c r="C11140" i="1"/>
  <c r="D11140" i="1"/>
  <c r="E11140" i="1"/>
  <c r="F11140" i="1"/>
  <c r="H11140" i="1"/>
  <c r="A11141" i="1"/>
  <c r="B11141" i="1"/>
  <c r="C11141" i="1"/>
  <c r="D11141" i="1"/>
  <c r="E11141" i="1"/>
  <c r="F11141" i="1"/>
  <c r="H11141" i="1"/>
  <c r="A11142" i="1"/>
  <c r="B11142" i="1"/>
  <c r="C11142" i="1"/>
  <c r="D11142" i="1"/>
  <c r="E11142" i="1"/>
  <c r="F11142" i="1"/>
  <c r="H11142" i="1"/>
  <c r="A11143" i="1"/>
  <c r="B11143" i="1"/>
  <c r="C11143" i="1"/>
  <c r="D11143" i="1"/>
  <c r="E11143" i="1"/>
  <c r="F11143" i="1"/>
  <c r="H11143" i="1"/>
  <c r="A11144" i="1"/>
  <c r="B11144" i="1"/>
  <c r="C11144" i="1"/>
  <c r="D11144" i="1"/>
  <c r="E11144" i="1"/>
  <c r="F11144" i="1"/>
  <c r="H11144" i="1"/>
  <c r="A11145" i="1"/>
  <c r="B11145" i="1"/>
  <c r="C11145" i="1"/>
  <c r="D11145" i="1"/>
  <c r="E11145" i="1"/>
  <c r="F11145" i="1"/>
  <c r="H11145" i="1"/>
  <c r="A11146" i="1"/>
  <c r="B11146" i="1"/>
  <c r="C11146" i="1"/>
  <c r="D11146" i="1"/>
  <c r="E11146" i="1"/>
  <c r="F11146" i="1"/>
  <c r="H11146" i="1"/>
  <c r="A11147" i="1"/>
  <c r="B11147" i="1"/>
  <c r="C11147" i="1"/>
  <c r="D11147" i="1"/>
  <c r="E11147" i="1"/>
  <c r="F11147" i="1"/>
  <c r="H11147" i="1"/>
  <c r="A11148" i="1"/>
  <c r="B11148" i="1"/>
  <c r="C11148" i="1"/>
  <c r="D11148" i="1"/>
  <c r="E11148" i="1"/>
  <c r="F11148" i="1"/>
  <c r="H11148" i="1"/>
  <c r="A11149" i="1"/>
  <c r="B11149" i="1"/>
  <c r="C11149" i="1"/>
  <c r="D11149" i="1"/>
  <c r="E11149" i="1"/>
  <c r="F11149" i="1"/>
  <c r="H11149" i="1"/>
  <c r="A11150" i="1"/>
  <c r="B11150" i="1"/>
  <c r="C11150" i="1"/>
  <c r="D11150" i="1"/>
  <c r="E11150" i="1"/>
  <c r="F11150" i="1"/>
  <c r="H11150" i="1"/>
  <c r="A11151" i="1"/>
  <c r="B11151" i="1"/>
  <c r="C11151" i="1"/>
  <c r="D11151" i="1"/>
  <c r="E11151" i="1"/>
  <c r="F11151" i="1"/>
  <c r="H11151" i="1"/>
  <c r="A11152" i="1"/>
  <c r="B11152" i="1"/>
  <c r="C11152" i="1"/>
  <c r="D11152" i="1"/>
  <c r="E11152" i="1"/>
  <c r="F11152" i="1"/>
  <c r="H11152" i="1"/>
  <c r="A11153" i="1"/>
  <c r="B11153" i="1"/>
  <c r="C11153" i="1"/>
  <c r="D11153" i="1"/>
  <c r="E11153" i="1"/>
  <c r="F11153" i="1"/>
  <c r="H11153" i="1"/>
  <c r="A11154" i="1"/>
  <c r="B11154" i="1"/>
  <c r="C11154" i="1"/>
  <c r="D11154" i="1"/>
  <c r="E11154" i="1"/>
  <c r="F11154" i="1"/>
  <c r="H11154" i="1"/>
  <c r="A11155" i="1"/>
  <c r="B11155" i="1"/>
  <c r="C11155" i="1"/>
  <c r="D11155" i="1"/>
  <c r="E11155" i="1"/>
  <c r="F11155" i="1"/>
  <c r="H11155" i="1"/>
  <c r="A11156" i="1"/>
  <c r="B11156" i="1"/>
  <c r="C11156" i="1"/>
  <c r="D11156" i="1"/>
  <c r="E11156" i="1"/>
  <c r="F11156" i="1"/>
  <c r="H11156" i="1"/>
  <c r="A11157" i="1"/>
  <c r="B11157" i="1"/>
  <c r="C11157" i="1"/>
  <c r="D11157" i="1"/>
  <c r="E11157" i="1"/>
  <c r="F11157" i="1"/>
  <c r="H11157" i="1"/>
  <c r="A11158" i="1"/>
  <c r="B11158" i="1"/>
  <c r="C11158" i="1"/>
  <c r="D11158" i="1"/>
  <c r="E11158" i="1"/>
  <c r="F11158" i="1"/>
  <c r="H11158" i="1"/>
  <c r="A11159" i="1"/>
  <c r="B11159" i="1"/>
  <c r="C11159" i="1"/>
  <c r="D11159" i="1"/>
  <c r="E11159" i="1"/>
  <c r="F11159" i="1"/>
  <c r="H11159" i="1"/>
  <c r="A11160" i="1"/>
  <c r="B11160" i="1"/>
  <c r="C11160" i="1"/>
  <c r="D11160" i="1"/>
  <c r="E11160" i="1"/>
  <c r="F11160" i="1"/>
  <c r="H11160" i="1"/>
  <c r="A11161" i="1"/>
  <c r="B11161" i="1"/>
  <c r="C11161" i="1"/>
  <c r="D11161" i="1"/>
  <c r="E11161" i="1"/>
  <c r="F11161" i="1"/>
  <c r="H11161" i="1"/>
  <c r="A11162" i="1"/>
  <c r="B11162" i="1"/>
  <c r="C11162" i="1"/>
  <c r="D11162" i="1"/>
  <c r="E11162" i="1"/>
  <c r="F11162" i="1"/>
  <c r="H11162" i="1"/>
  <c r="A11163" i="1"/>
  <c r="B11163" i="1"/>
  <c r="C11163" i="1"/>
  <c r="D11163" i="1"/>
  <c r="E11163" i="1"/>
  <c r="F11163" i="1"/>
  <c r="H11163" i="1"/>
  <c r="A11164" i="1"/>
  <c r="B11164" i="1"/>
  <c r="C11164" i="1"/>
  <c r="D11164" i="1"/>
  <c r="E11164" i="1"/>
  <c r="F11164" i="1"/>
  <c r="H11164" i="1"/>
  <c r="A11165" i="1"/>
  <c r="B11165" i="1"/>
  <c r="C11165" i="1"/>
  <c r="D11165" i="1"/>
  <c r="E11165" i="1"/>
  <c r="F11165" i="1"/>
  <c r="H11165" i="1"/>
  <c r="A11166" i="1"/>
  <c r="B11166" i="1"/>
  <c r="C11166" i="1"/>
  <c r="D11166" i="1"/>
  <c r="E11166" i="1"/>
  <c r="F11166" i="1"/>
  <c r="H11166" i="1"/>
  <c r="A11167" i="1"/>
  <c r="B11167" i="1"/>
  <c r="C11167" i="1"/>
  <c r="D11167" i="1"/>
  <c r="E11167" i="1"/>
  <c r="F11167" i="1"/>
  <c r="H11167" i="1"/>
  <c r="A11168" i="1"/>
  <c r="B11168" i="1"/>
  <c r="C11168" i="1"/>
  <c r="D11168" i="1"/>
  <c r="E11168" i="1"/>
  <c r="F11168" i="1"/>
  <c r="H11168" i="1"/>
  <c r="A11169" i="1"/>
  <c r="B11169" i="1"/>
  <c r="C11169" i="1"/>
  <c r="D11169" i="1"/>
  <c r="E11169" i="1"/>
  <c r="F11169" i="1"/>
  <c r="H11169" i="1"/>
  <c r="A11170" i="1"/>
  <c r="B11170" i="1"/>
  <c r="C11170" i="1"/>
  <c r="D11170" i="1"/>
  <c r="E11170" i="1"/>
  <c r="F11170" i="1"/>
  <c r="H11170" i="1"/>
  <c r="A11171" i="1"/>
  <c r="B11171" i="1"/>
  <c r="C11171" i="1"/>
  <c r="D11171" i="1"/>
  <c r="E11171" i="1"/>
  <c r="F11171" i="1"/>
  <c r="H11171" i="1"/>
  <c r="A11172" i="1"/>
  <c r="B11172" i="1"/>
  <c r="C11172" i="1"/>
  <c r="D11172" i="1"/>
  <c r="E11172" i="1"/>
  <c r="F11172" i="1"/>
  <c r="H11172" i="1"/>
  <c r="A11173" i="1"/>
  <c r="B11173" i="1"/>
  <c r="C11173" i="1"/>
  <c r="D11173" i="1"/>
  <c r="E11173" i="1"/>
  <c r="F11173" i="1"/>
  <c r="H11173" i="1"/>
  <c r="A11174" i="1"/>
  <c r="B11174" i="1"/>
  <c r="C11174" i="1"/>
  <c r="D11174" i="1"/>
  <c r="E11174" i="1"/>
  <c r="F11174" i="1"/>
  <c r="H11174" i="1"/>
  <c r="A11175" i="1"/>
  <c r="B11175" i="1"/>
  <c r="C11175" i="1"/>
  <c r="D11175" i="1"/>
  <c r="E11175" i="1"/>
  <c r="F11175" i="1"/>
  <c r="H11175" i="1"/>
  <c r="A11176" i="1"/>
  <c r="B11176" i="1"/>
  <c r="C11176" i="1"/>
  <c r="D11176" i="1"/>
  <c r="E11176" i="1"/>
  <c r="F11176" i="1"/>
  <c r="H11176" i="1"/>
  <c r="A11177" i="1"/>
  <c r="B11177" i="1"/>
  <c r="C11177" i="1"/>
  <c r="D11177" i="1"/>
  <c r="E11177" i="1"/>
  <c r="F11177" i="1"/>
  <c r="H11177" i="1"/>
  <c r="A11178" i="1"/>
  <c r="B11178" i="1"/>
  <c r="C11178" i="1"/>
  <c r="D11178" i="1"/>
  <c r="E11178" i="1"/>
  <c r="F11178" i="1"/>
  <c r="H11178" i="1"/>
  <c r="A11179" i="1"/>
  <c r="B11179" i="1"/>
  <c r="C11179" i="1"/>
  <c r="D11179" i="1"/>
  <c r="E11179" i="1"/>
  <c r="F11179" i="1"/>
  <c r="H11179" i="1"/>
  <c r="A11180" i="1"/>
  <c r="B11180" i="1"/>
  <c r="C11180" i="1"/>
  <c r="D11180" i="1"/>
  <c r="E11180" i="1"/>
  <c r="F11180" i="1"/>
  <c r="H11180" i="1"/>
  <c r="A11181" i="1"/>
  <c r="B11181" i="1"/>
  <c r="C11181" i="1"/>
  <c r="D11181" i="1"/>
  <c r="E11181" i="1"/>
  <c r="F11181" i="1"/>
  <c r="H11181" i="1"/>
  <c r="A11182" i="1"/>
  <c r="B11182" i="1"/>
  <c r="C11182" i="1"/>
  <c r="D11182" i="1"/>
  <c r="E11182" i="1"/>
  <c r="F11182" i="1"/>
  <c r="H11182" i="1"/>
  <c r="A11183" i="1"/>
  <c r="B11183" i="1"/>
  <c r="C11183" i="1"/>
  <c r="D11183" i="1"/>
  <c r="E11183" i="1"/>
  <c r="F11183" i="1"/>
  <c r="H11183" i="1"/>
  <c r="A11184" i="1"/>
  <c r="B11184" i="1"/>
  <c r="C11184" i="1"/>
  <c r="D11184" i="1"/>
  <c r="E11184" i="1"/>
  <c r="F11184" i="1"/>
  <c r="H11184" i="1"/>
  <c r="A11185" i="1"/>
  <c r="B11185" i="1"/>
  <c r="C11185" i="1"/>
  <c r="D11185" i="1"/>
  <c r="E11185" i="1"/>
  <c r="F11185" i="1"/>
  <c r="H11185" i="1"/>
  <c r="A11186" i="1"/>
  <c r="B11186" i="1"/>
  <c r="C11186" i="1"/>
  <c r="D11186" i="1"/>
  <c r="E11186" i="1"/>
  <c r="F11186" i="1"/>
  <c r="H11186" i="1"/>
  <c r="A11187" i="1"/>
  <c r="B11187" i="1"/>
  <c r="C11187" i="1"/>
  <c r="D11187" i="1"/>
  <c r="E11187" i="1"/>
  <c r="F11187" i="1"/>
  <c r="H11187" i="1"/>
  <c r="A11188" i="1"/>
  <c r="B11188" i="1"/>
  <c r="C11188" i="1"/>
  <c r="D11188" i="1"/>
  <c r="E11188" i="1"/>
  <c r="F11188" i="1"/>
  <c r="H11188" i="1"/>
  <c r="A11189" i="1"/>
  <c r="B11189" i="1"/>
  <c r="C11189" i="1"/>
  <c r="D11189" i="1"/>
  <c r="E11189" i="1"/>
  <c r="F11189" i="1"/>
  <c r="H11189" i="1"/>
  <c r="A11190" i="1"/>
  <c r="B11190" i="1"/>
  <c r="C11190" i="1"/>
  <c r="D11190" i="1"/>
  <c r="E11190" i="1"/>
  <c r="F11190" i="1"/>
  <c r="H11190" i="1"/>
  <c r="A11191" i="1"/>
  <c r="B11191" i="1"/>
  <c r="C11191" i="1"/>
  <c r="D11191" i="1"/>
  <c r="E11191" i="1"/>
  <c r="F11191" i="1"/>
  <c r="H11191" i="1"/>
  <c r="A11192" i="1"/>
  <c r="B11192" i="1"/>
  <c r="C11192" i="1"/>
  <c r="D11192" i="1"/>
  <c r="E11192" i="1"/>
  <c r="F11192" i="1"/>
  <c r="H11192" i="1"/>
  <c r="A11193" i="1"/>
  <c r="B11193" i="1"/>
  <c r="C11193" i="1"/>
  <c r="D11193" i="1"/>
  <c r="E11193" i="1"/>
  <c r="F11193" i="1"/>
  <c r="H11193" i="1"/>
  <c r="A11194" i="1"/>
  <c r="B11194" i="1"/>
  <c r="C11194" i="1"/>
  <c r="D11194" i="1"/>
  <c r="E11194" i="1"/>
  <c r="F11194" i="1"/>
  <c r="H11194" i="1"/>
  <c r="A11195" i="1"/>
  <c r="B11195" i="1"/>
  <c r="C11195" i="1"/>
  <c r="D11195" i="1"/>
  <c r="E11195" i="1"/>
  <c r="F11195" i="1"/>
  <c r="H11195" i="1"/>
  <c r="A11196" i="1"/>
  <c r="B11196" i="1"/>
  <c r="C11196" i="1"/>
  <c r="D11196" i="1"/>
  <c r="E11196" i="1"/>
  <c r="F11196" i="1"/>
  <c r="H11196" i="1"/>
  <c r="A11197" i="1"/>
  <c r="B11197" i="1"/>
  <c r="C11197" i="1"/>
  <c r="D11197" i="1"/>
  <c r="E11197" i="1"/>
  <c r="F11197" i="1"/>
  <c r="H11197" i="1"/>
  <c r="A11198" i="1"/>
  <c r="B11198" i="1"/>
  <c r="C11198" i="1"/>
  <c r="D11198" i="1"/>
  <c r="E11198" i="1"/>
  <c r="F11198" i="1"/>
  <c r="H11198" i="1"/>
  <c r="A11199" i="1"/>
  <c r="B11199" i="1"/>
  <c r="C11199" i="1"/>
  <c r="D11199" i="1"/>
  <c r="E11199" i="1"/>
  <c r="F11199" i="1"/>
  <c r="H11199" i="1"/>
  <c r="A11200" i="1"/>
  <c r="B11200" i="1"/>
  <c r="C11200" i="1"/>
  <c r="D11200" i="1"/>
  <c r="E11200" i="1"/>
  <c r="F11200" i="1"/>
  <c r="H11200" i="1"/>
  <c r="A11201" i="1"/>
  <c r="B11201" i="1"/>
  <c r="C11201" i="1"/>
  <c r="D11201" i="1"/>
  <c r="E11201" i="1"/>
  <c r="F11201" i="1"/>
  <c r="H11201" i="1"/>
  <c r="A11202" i="1"/>
  <c r="B11202" i="1"/>
  <c r="C11202" i="1"/>
  <c r="D11202" i="1"/>
  <c r="E11202" i="1"/>
  <c r="F11202" i="1"/>
  <c r="H11202" i="1"/>
  <c r="A11203" i="1"/>
  <c r="B11203" i="1"/>
  <c r="C11203" i="1"/>
  <c r="D11203" i="1"/>
  <c r="E11203" i="1"/>
  <c r="F11203" i="1"/>
  <c r="H11203" i="1"/>
  <c r="A11204" i="1"/>
  <c r="B11204" i="1"/>
  <c r="C11204" i="1"/>
  <c r="D11204" i="1"/>
  <c r="E11204" i="1"/>
  <c r="F11204" i="1"/>
  <c r="H11204" i="1"/>
  <c r="A11205" i="1"/>
  <c r="B11205" i="1"/>
  <c r="C11205" i="1"/>
  <c r="D11205" i="1"/>
  <c r="E11205" i="1"/>
  <c r="F11205" i="1"/>
  <c r="H11205" i="1"/>
  <c r="A11206" i="1"/>
  <c r="B11206" i="1"/>
  <c r="C11206" i="1"/>
  <c r="D11206" i="1"/>
  <c r="E11206" i="1"/>
  <c r="F11206" i="1"/>
  <c r="H11206" i="1"/>
  <c r="A11207" i="1"/>
  <c r="B11207" i="1"/>
  <c r="C11207" i="1"/>
  <c r="D11207" i="1"/>
  <c r="E11207" i="1"/>
  <c r="F11207" i="1"/>
  <c r="H11207" i="1"/>
  <c r="A11208" i="1"/>
  <c r="B11208" i="1"/>
  <c r="C11208" i="1"/>
  <c r="D11208" i="1"/>
  <c r="E11208" i="1"/>
  <c r="F11208" i="1"/>
  <c r="H11208" i="1"/>
  <c r="A11209" i="1"/>
  <c r="B11209" i="1"/>
  <c r="C11209" i="1"/>
  <c r="D11209" i="1"/>
  <c r="E11209" i="1"/>
  <c r="F11209" i="1"/>
  <c r="H11209" i="1"/>
  <c r="A11210" i="1"/>
  <c r="B11210" i="1"/>
  <c r="C11210" i="1"/>
  <c r="D11210" i="1"/>
  <c r="E11210" i="1"/>
  <c r="F11210" i="1"/>
  <c r="H11210" i="1"/>
  <c r="A11211" i="1"/>
  <c r="B11211" i="1"/>
  <c r="C11211" i="1"/>
  <c r="D11211" i="1"/>
  <c r="E11211" i="1"/>
  <c r="F11211" i="1"/>
  <c r="H11211" i="1"/>
  <c r="A11212" i="1"/>
  <c r="B11212" i="1"/>
  <c r="C11212" i="1"/>
  <c r="D11212" i="1"/>
  <c r="E11212" i="1"/>
  <c r="F11212" i="1"/>
  <c r="H11212" i="1"/>
  <c r="A11213" i="1"/>
  <c r="B11213" i="1"/>
  <c r="C11213" i="1"/>
  <c r="D11213" i="1"/>
  <c r="E11213" i="1"/>
  <c r="F11213" i="1"/>
  <c r="H11213" i="1"/>
  <c r="A11214" i="1"/>
  <c r="B11214" i="1"/>
  <c r="C11214" i="1"/>
  <c r="D11214" i="1"/>
  <c r="E11214" i="1"/>
  <c r="F11214" i="1"/>
  <c r="H11214" i="1"/>
  <c r="A11215" i="1"/>
  <c r="B11215" i="1"/>
  <c r="C11215" i="1"/>
  <c r="D11215" i="1"/>
  <c r="E11215" i="1"/>
  <c r="F11215" i="1"/>
  <c r="H11215" i="1"/>
  <c r="A11216" i="1"/>
  <c r="B11216" i="1"/>
  <c r="C11216" i="1"/>
  <c r="D11216" i="1"/>
  <c r="E11216" i="1"/>
  <c r="F11216" i="1"/>
  <c r="H11216" i="1"/>
  <c r="A11217" i="1"/>
  <c r="B11217" i="1"/>
  <c r="C11217" i="1"/>
  <c r="D11217" i="1"/>
  <c r="E11217" i="1"/>
  <c r="F11217" i="1"/>
  <c r="H11217" i="1"/>
  <c r="A11218" i="1"/>
  <c r="B11218" i="1"/>
  <c r="C11218" i="1"/>
  <c r="D11218" i="1"/>
  <c r="E11218" i="1"/>
  <c r="F11218" i="1"/>
  <c r="H11218" i="1"/>
  <c r="A11219" i="1"/>
  <c r="B11219" i="1"/>
  <c r="C11219" i="1"/>
  <c r="D11219" i="1"/>
  <c r="E11219" i="1"/>
  <c r="F11219" i="1"/>
  <c r="H11219" i="1"/>
  <c r="A11220" i="1"/>
  <c r="B11220" i="1"/>
  <c r="C11220" i="1"/>
  <c r="D11220" i="1"/>
  <c r="E11220" i="1"/>
  <c r="F11220" i="1"/>
  <c r="H11220" i="1"/>
  <c r="A11221" i="1"/>
  <c r="B11221" i="1"/>
  <c r="C11221" i="1"/>
  <c r="D11221" i="1"/>
  <c r="E11221" i="1"/>
  <c r="F11221" i="1"/>
  <c r="H11221" i="1"/>
  <c r="A11222" i="1"/>
  <c r="B11222" i="1"/>
  <c r="C11222" i="1"/>
  <c r="D11222" i="1"/>
  <c r="E11222" i="1"/>
  <c r="F11222" i="1"/>
  <c r="H11222" i="1"/>
  <c r="A11223" i="1"/>
  <c r="B11223" i="1"/>
  <c r="C11223" i="1"/>
  <c r="D11223" i="1"/>
  <c r="E11223" i="1"/>
  <c r="F11223" i="1"/>
  <c r="H11223" i="1"/>
  <c r="A11224" i="1"/>
  <c r="B11224" i="1"/>
  <c r="C11224" i="1"/>
  <c r="D11224" i="1"/>
  <c r="E11224" i="1"/>
  <c r="F11224" i="1"/>
  <c r="H11224" i="1"/>
  <c r="A11225" i="1"/>
  <c r="B11225" i="1"/>
  <c r="C11225" i="1"/>
  <c r="D11225" i="1"/>
  <c r="E11225" i="1"/>
  <c r="F11225" i="1"/>
  <c r="H11225" i="1"/>
  <c r="A11226" i="1"/>
  <c r="B11226" i="1"/>
  <c r="C11226" i="1"/>
  <c r="D11226" i="1"/>
  <c r="E11226" i="1"/>
  <c r="F11226" i="1"/>
  <c r="H11226" i="1"/>
  <c r="A11227" i="1"/>
  <c r="B11227" i="1"/>
  <c r="C11227" i="1"/>
  <c r="D11227" i="1"/>
  <c r="E11227" i="1"/>
  <c r="F11227" i="1"/>
  <c r="H11227" i="1"/>
  <c r="A11228" i="1"/>
  <c r="B11228" i="1"/>
  <c r="C11228" i="1"/>
  <c r="D11228" i="1"/>
  <c r="E11228" i="1"/>
  <c r="F11228" i="1"/>
  <c r="H11228" i="1"/>
  <c r="A11229" i="1"/>
  <c r="B11229" i="1"/>
  <c r="C11229" i="1"/>
  <c r="D11229" i="1"/>
  <c r="E11229" i="1"/>
  <c r="F11229" i="1"/>
  <c r="H11229" i="1"/>
  <c r="A11230" i="1"/>
  <c r="B11230" i="1"/>
  <c r="C11230" i="1"/>
  <c r="D11230" i="1"/>
  <c r="E11230" i="1"/>
  <c r="F11230" i="1"/>
  <c r="H11230" i="1"/>
  <c r="A11231" i="1"/>
  <c r="B11231" i="1"/>
  <c r="C11231" i="1"/>
  <c r="D11231" i="1"/>
  <c r="E11231" i="1"/>
  <c r="F11231" i="1"/>
  <c r="H11231" i="1"/>
  <c r="A11232" i="1"/>
  <c r="B11232" i="1"/>
  <c r="C11232" i="1"/>
  <c r="D11232" i="1"/>
  <c r="E11232" i="1"/>
  <c r="F11232" i="1"/>
  <c r="H11232" i="1"/>
  <c r="A11233" i="1"/>
  <c r="B11233" i="1"/>
  <c r="C11233" i="1"/>
  <c r="D11233" i="1"/>
  <c r="E11233" i="1"/>
  <c r="F11233" i="1"/>
  <c r="H11233" i="1"/>
  <c r="A11234" i="1"/>
  <c r="B11234" i="1"/>
  <c r="C11234" i="1"/>
  <c r="D11234" i="1"/>
  <c r="E11234" i="1"/>
  <c r="F11234" i="1"/>
  <c r="H11234" i="1"/>
  <c r="A11235" i="1"/>
  <c r="B11235" i="1"/>
  <c r="C11235" i="1"/>
  <c r="D11235" i="1"/>
  <c r="E11235" i="1"/>
  <c r="F11235" i="1"/>
  <c r="H11235" i="1"/>
  <c r="A11236" i="1"/>
  <c r="B11236" i="1"/>
  <c r="C11236" i="1"/>
  <c r="D11236" i="1"/>
  <c r="E11236" i="1"/>
  <c r="F11236" i="1"/>
  <c r="H11236" i="1"/>
  <c r="A11237" i="1"/>
  <c r="B11237" i="1"/>
  <c r="C11237" i="1"/>
  <c r="D11237" i="1"/>
  <c r="E11237" i="1"/>
  <c r="F11237" i="1"/>
  <c r="H11237" i="1"/>
  <c r="A11238" i="1"/>
  <c r="B11238" i="1"/>
  <c r="C11238" i="1"/>
  <c r="D11238" i="1"/>
  <c r="E11238" i="1"/>
  <c r="F11238" i="1"/>
  <c r="H11238" i="1"/>
  <c r="A11239" i="1"/>
  <c r="B11239" i="1"/>
  <c r="C11239" i="1"/>
  <c r="D11239" i="1"/>
  <c r="E11239" i="1"/>
  <c r="F11239" i="1"/>
  <c r="H11239" i="1"/>
  <c r="A11240" i="1"/>
  <c r="B11240" i="1"/>
  <c r="C11240" i="1"/>
  <c r="D11240" i="1"/>
  <c r="E11240" i="1"/>
  <c r="F11240" i="1"/>
  <c r="H11240" i="1"/>
  <c r="A11241" i="1"/>
  <c r="B11241" i="1"/>
  <c r="C11241" i="1"/>
  <c r="D11241" i="1"/>
  <c r="E11241" i="1"/>
  <c r="F11241" i="1"/>
  <c r="H11241" i="1"/>
  <c r="A11242" i="1"/>
  <c r="B11242" i="1"/>
  <c r="C11242" i="1"/>
  <c r="D11242" i="1"/>
  <c r="E11242" i="1"/>
  <c r="F11242" i="1"/>
  <c r="H11242" i="1"/>
  <c r="A11243" i="1"/>
  <c r="B11243" i="1"/>
  <c r="C11243" i="1"/>
  <c r="D11243" i="1"/>
  <c r="E11243" i="1"/>
  <c r="F11243" i="1"/>
  <c r="H11243" i="1"/>
  <c r="A11244" i="1"/>
  <c r="B11244" i="1"/>
  <c r="C11244" i="1"/>
  <c r="D11244" i="1"/>
  <c r="E11244" i="1"/>
  <c r="F11244" i="1"/>
  <c r="H11244" i="1"/>
  <c r="A11245" i="1"/>
  <c r="B11245" i="1"/>
  <c r="C11245" i="1"/>
  <c r="D11245" i="1"/>
  <c r="E11245" i="1"/>
  <c r="F11245" i="1"/>
  <c r="H11245" i="1"/>
  <c r="A11246" i="1"/>
  <c r="B11246" i="1"/>
  <c r="C11246" i="1"/>
  <c r="D11246" i="1"/>
  <c r="E11246" i="1"/>
  <c r="F11246" i="1"/>
  <c r="H11246" i="1"/>
  <c r="A11247" i="1"/>
  <c r="B11247" i="1"/>
  <c r="C11247" i="1"/>
  <c r="D11247" i="1"/>
  <c r="E11247" i="1"/>
  <c r="F11247" i="1"/>
  <c r="H11247" i="1"/>
  <c r="A11248" i="1"/>
  <c r="B11248" i="1"/>
  <c r="C11248" i="1"/>
  <c r="D11248" i="1"/>
  <c r="E11248" i="1"/>
  <c r="F11248" i="1"/>
  <c r="H11248" i="1"/>
  <c r="A11249" i="1"/>
  <c r="B11249" i="1"/>
  <c r="C11249" i="1"/>
  <c r="D11249" i="1"/>
  <c r="E11249" i="1"/>
  <c r="F11249" i="1"/>
  <c r="H11249" i="1"/>
  <c r="A11250" i="1"/>
  <c r="B11250" i="1"/>
  <c r="C11250" i="1"/>
  <c r="D11250" i="1"/>
  <c r="E11250" i="1"/>
  <c r="F11250" i="1"/>
  <c r="H11250" i="1"/>
  <c r="A11251" i="1"/>
  <c r="B11251" i="1"/>
  <c r="C11251" i="1"/>
  <c r="D11251" i="1"/>
  <c r="E11251" i="1"/>
  <c r="F11251" i="1"/>
  <c r="H11251" i="1"/>
  <c r="A11252" i="1"/>
  <c r="B11252" i="1"/>
  <c r="C11252" i="1"/>
  <c r="D11252" i="1"/>
  <c r="E11252" i="1"/>
  <c r="F11252" i="1"/>
  <c r="H11252" i="1"/>
  <c r="A11253" i="1"/>
  <c r="B11253" i="1"/>
  <c r="C11253" i="1"/>
  <c r="D11253" i="1"/>
  <c r="E11253" i="1"/>
  <c r="F11253" i="1"/>
  <c r="H11253" i="1"/>
  <c r="A11254" i="1"/>
  <c r="B11254" i="1"/>
  <c r="C11254" i="1"/>
  <c r="D11254" i="1"/>
  <c r="E11254" i="1"/>
  <c r="F11254" i="1"/>
  <c r="H11254" i="1"/>
  <c r="A11255" i="1"/>
  <c r="B11255" i="1"/>
  <c r="C11255" i="1"/>
  <c r="D11255" i="1"/>
  <c r="E11255" i="1"/>
  <c r="F11255" i="1"/>
  <c r="H11255" i="1"/>
  <c r="A11256" i="1"/>
  <c r="B11256" i="1"/>
  <c r="C11256" i="1"/>
  <c r="D11256" i="1"/>
  <c r="E11256" i="1"/>
  <c r="F11256" i="1"/>
  <c r="H11256" i="1"/>
  <c r="A11257" i="1"/>
  <c r="B11257" i="1"/>
  <c r="C11257" i="1"/>
  <c r="D11257" i="1"/>
  <c r="E11257" i="1"/>
  <c r="F11257" i="1"/>
  <c r="H11257" i="1"/>
  <c r="A11258" i="1"/>
  <c r="B11258" i="1"/>
  <c r="C11258" i="1"/>
  <c r="D11258" i="1"/>
  <c r="E11258" i="1"/>
  <c r="F11258" i="1"/>
  <c r="H11258" i="1"/>
  <c r="A11259" i="1"/>
  <c r="B11259" i="1"/>
  <c r="C11259" i="1"/>
  <c r="D11259" i="1"/>
  <c r="E11259" i="1"/>
  <c r="F11259" i="1"/>
  <c r="H11259" i="1"/>
  <c r="A11260" i="1"/>
  <c r="B11260" i="1"/>
  <c r="C11260" i="1"/>
  <c r="D11260" i="1"/>
  <c r="E11260" i="1"/>
  <c r="F11260" i="1"/>
  <c r="H11260" i="1"/>
  <c r="A11261" i="1"/>
  <c r="B11261" i="1"/>
  <c r="C11261" i="1"/>
  <c r="D11261" i="1"/>
  <c r="E11261" i="1"/>
  <c r="F11261" i="1"/>
  <c r="H11261" i="1"/>
  <c r="A11262" i="1"/>
  <c r="B11262" i="1"/>
  <c r="C11262" i="1"/>
  <c r="D11262" i="1"/>
  <c r="E11262" i="1"/>
  <c r="F11262" i="1"/>
  <c r="H11262" i="1"/>
  <c r="A11263" i="1"/>
  <c r="B11263" i="1"/>
  <c r="C11263" i="1"/>
  <c r="D11263" i="1"/>
  <c r="E11263" i="1"/>
  <c r="F11263" i="1"/>
  <c r="H11263" i="1"/>
  <c r="A11264" i="1"/>
  <c r="B11264" i="1"/>
  <c r="C11264" i="1"/>
  <c r="D11264" i="1"/>
  <c r="E11264" i="1"/>
  <c r="F11264" i="1"/>
  <c r="H11264" i="1"/>
  <c r="A11265" i="1"/>
  <c r="B11265" i="1"/>
  <c r="C11265" i="1"/>
  <c r="D11265" i="1"/>
  <c r="E11265" i="1"/>
  <c r="F11265" i="1"/>
  <c r="H11265" i="1"/>
  <c r="A11266" i="1"/>
  <c r="B11266" i="1"/>
  <c r="C11266" i="1"/>
  <c r="D11266" i="1"/>
  <c r="E11266" i="1"/>
  <c r="F11266" i="1"/>
  <c r="H11266" i="1"/>
  <c r="A11267" i="1"/>
  <c r="B11267" i="1"/>
  <c r="C11267" i="1"/>
  <c r="D11267" i="1"/>
  <c r="E11267" i="1"/>
  <c r="F11267" i="1"/>
  <c r="H11267" i="1"/>
  <c r="A11268" i="1"/>
  <c r="B11268" i="1"/>
  <c r="C11268" i="1"/>
  <c r="D11268" i="1"/>
  <c r="E11268" i="1"/>
  <c r="F11268" i="1"/>
  <c r="H11268" i="1"/>
  <c r="A11269" i="1"/>
  <c r="B11269" i="1"/>
  <c r="C11269" i="1"/>
  <c r="D11269" i="1"/>
  <c r="E11269" i="1"/>
  <c r="F11269" i="1"/>
  <c r="H11269" i="1"/>
  <c r="A11270" i="1"/>
  <c r="B11270" i="1"/>
  <c r="C11270" i="1"/>
  <c r="D11270" i="1"/>
  <c r="E11270" i="1"/>
  <c r="F11270" i="1"/>
  <c r="H11270" i="1"/>
  <c r="A11271" i="1"/>
  <c r="B11271" i="1"/>
  <c r="C11271" i="1"/>
  <c r="D11271" i="1"/>
  <c r="E11271" i="1"/>
  <c r="F11271" i="1"/>
  <c r="H11271" i="1"/>
  <c r="A11272" i="1"/>
  <c r="B11272" i="1"/>
  <c r="C11272" i="1"/>
  <c r="D11272" i="1"/>
  <c r="E11272" i="1"/>
  <c r="F11272" i="1"/>
  <c r="H11272" i="1"/>
  <c r="A11273" i="1"/>
  <c r="B11273" i="1"/>
  <c r="C11273" i="1"/>
  <c r="D11273" i="1"/>
  <c r="E11273" i="1"/>
  <c r="F11273" i="1"/>
  <c r="H11273" i="1"/>
  <c r="A11274" i="1"/>
  <c r="B11274" i="1"/>
  <c r="C11274" i="1"/>
  <c r="D11274" i="1"/>
  <c r="E11274" i="1"/>
  <c r="F11274" i="1"/>
  <c r="H11274" i="1"/>
  <c r="A11275" i="1"/>
  <c r="B11275" i="1"/>
  <c r="C11275" i="1"/>
  <c r="D11275" i="1"/>
  <c r="E11275" i="1"/>
  <c r="F11275" i="1"/>
  <c r="H11275" i="1"/>
  <c r="A11276" i="1"/>
  <c r="B11276" i="1"/>
  <c r="C11276" i="1"/>
  <c r="D11276" i="1"/>
  <c r="E11276" i="1"/>
  <c r="F11276" i="1"/>
  <c r="H11276" i="1"/>
  <c r="A11277" i="1"/>
  <c r="B11277" i="1"/>
  <c r="C11277" i="1"/>
  <c r="D11277" i="1"/>
  <c r="E11277" i="1"/>
  <c r="F11277" i="1"/>
  <c r="H11277" i="1"/>
  <c r="A11278" i="1"/>
  <c r="B11278" i="1"/>
  <c r="C11278" i="1"/>
  <c r="D11278" i="1"/>
  <c r="E11278" i="1"/>
  <c r="F11278" i="1"/>
  <c r="H11278" i="1"/>
  <c r="A11279" i="1"/>
  <c r="B11279" i="1"/>
  <c r="C11279" i="1"/>
  <c r="D11279" i="1"/>
  <c r="E11279" i="1"/>
  <c r="F11279" i="1"/>
  <c r="H11279" i="1"/>
  <c r="A11280" i="1"/>
  <c r="B11280" i="1"/>
  <c r="C11280" i="1"/>
  <c r="D11280" i="1"/>
  <c r="E11280" i="1"/>
  <c r="F11280" i="1"/>
  <c r="H11280" i="1"/>
  <c r="A11281" i="1"/>
  <c r="B11281" i="1"/>
  <c r="C11281" i="1"/>
  <c r="D11281" i="1"/>
  <c r="E11281" i="1"/>
  <c r="F11281" i="1"/>
  <c r="H11281" i="1"/>
  <c r="A11282" i="1"/>
  <c r="B11282" i="1"/>
  <c r="C11282" i="1"/>
  <c r="D11282" i="1"/>
  <c r="E11282" i="1"/>
  <c r="F11282" i="1"/>
  <c r="H11282" i="1"/>
  <c r="A11283" i="1"/>
  <c r="B11283" i="1"/>
  <c r="C11283" i="1"/>
  <c r="D11283" i="1"/>
  <c r="E11283" i="1"/>
  <c r="F11283" i="1"/>
  <c r="H11283" i="1"/>
  <c r="A11284" i="1"/>
  <c r="B11284" i="1"/>
  <c r="C11284" i="1"/>
  <c r="D11284" i="1"/>
  <c r="E11284" i="1"/>
  <c r="F11284" i="1"/>
  <c r="H11284" i="1"/>
  <c r="A11285" i="1"/>
  <c r="B11285" i="1"/>
  <c r="C11285" i="1"/>
  <c r="D11285" i="1"/>
  <c r="E11285" i="1"/>
  <c r="F11285" i="1"/>
  <c r="H11285" i="1"/>
  <c r="A11286" i="1"/>
  <c r="B11286" i="1"/>
  <c r="C11286" i="1"/>
  <c r="D11286" i="1"/>
  <c r="E11286" i="1"/>
  <c r="F11286" i="1"/>
  <c r="H11286" i="1"/>
  <c r="A11287" i="1"/>
  <c r="B11287" i="1"/>
  <c r="C11287" i="1"/>
  <c r="D11287" i="1"/>
  <c r="E11287" i="1"/>
  <c r="F11287" i="1"/>
  <c r="H11287" i="1"/>
  <c r="A11288" i="1"/>
  <c r="B11288" i="1"/>
  <c r="C11288" i="1"/>
  <c r="D11288" i="1"/>
  <c r="E11288" i="1"/>
  <c r="F11288" i="1"/>
  <c r="H11288" i="1"/>
  <c r="A11289" i="1"/>
  <c r="B11289" i="1"/>
  <c r="C11289" i="1"/>
  <c r="D11289" i="1"/>
  <c r="E11289" i="1"/>
  <c r="F11289" i="1"/>
  <c r="H11289" i="1"/>
  <c r="A11290" i="1"/>
  <c r="B11290" i="1"/>
  <c r="C11290" i="1"/>
  <c r="D11290" i="1"/>
  <c r="E11290" i="1"/>
  <c r="F11290" i="1"/>
  <c r="H11290" i="1"/>
  <c r="A11291" i="1"/>
  <c r="B11291" i="1"/>
  <c r="C11291" i="1"/>
  <c r="D11291" i="1"/>
  <c r="E11291" i="1"/>
  <c r="F11291" i="1"/>
  <c r="H11291" i="1"/>
  <c r="A11292" i="1"/>
  <c r="B11292" i="1"/>
  <c r="C11292" i="1"/>
  <c r="D11292" i="1"/>
  <c r="E11292" i="1"/>
  <c r="F11292" i="1"/>
  <c r="H11292" i="1"/>
  <c r="A11293" i="1"/>
  <c r="B11293" i="1"/>
  <c r="C11293" i="1"/>
  <c r="D11293" i="1"/>
  <c r="E11293" i="1"/>
  <c r="F11293" i="1"/>
  <c r="H11293" i="1"/>
  <c r="A11294" i="1"/>
  <c r="B11294" i="1"/>
  <c r="C11294" i="1"/>
  <c r="D11294" i="1"/>
  <c r="E11294" i="1"/>
  <c r="F11294" i="1"/>
  <c r="H11294" i="1"/>
  <c r="A11295" i="1"/>
  <c r="B11295" i="1"/>
  <c r="C11295" i="1"/>
  <c r="D11295" i="1"/>
  <c r="E11295" i="1"/>
  <c r="F11295" i="1"/>
  <c r="H11295" i="1"/>
  <c r="A11296" i="1"/>
  <c r="B11296" i="1"/>
  <c r="C11296" i="1"/>
  <c r="D11296" i="1"/>
  <c r="E11296" i="1"/>
  <c r="F11296" i="1"/>
  <c r="H11296" i="1"/>
  <c r="A11297" i="1"/>
  <c r="B11297" i="1"/>
  <c r="C11297" i="1"/>
  <c r="D11297" i="1"/>
  <c r="E11297" i="1"/>
  <c r="F11297" i="1"/>
  <c r="H11297" i="1"/>
  <c r="A11298" i="1"/>
  <c r="B11298" i="1"/>
  <c r="C11298" i="1"/>
  <c r="D11298" i="1"/>
  <c r="E11298" i="1"/>
  <c r="F11298" i="1"/>
  <c r="H11298" i="1"/>
  <c r="A11299" i="1"/>
  <c r="B11299" i="1"/>
  <c r="C11299" i="1"/>
  <c r="D11299" i="1"/>
  <c r="E11299" i="1"/>
  <c r="F11299" i="1"/>
  <c r="H11299" i="1"/>
  <c r="A11300" i="1"/>
  <c r="B11300" i="1"/>
  <c r="C11300" i="1"/>
  <c r="D11300" i="1"/>
  <c r="E11300" i="1"/>
  <c r="F11300" i="1"/>
  <c r="H11300" i="1"/>
  <c r="A11301" i="1"/>
  <c r="B11301" i="1"/>
  <c r="C11301" i="1"/>
  <c r="D11301" i="1"/>
  <c r="E11301" i="1"/>
  <c r="F11301" i="1"/>
  <c r="H11301" i="1"/>
  <c r="A11302" i="1"/>
  <c r="B11302" i="1"/>
  <c r="C11302" i="1"/>
  <c r="D11302" i="1"/>
  <c r="E11302" i="1"/>
  <c r="F11302" i="1"/>
  <c r="H11302" i="1"/>
  <c r="A11303" i="1"/>
  <c r="B11303" i="1"/>
  <c r="C11303" i="1"/>
  <c r="D11303" i="1"/>
  <c r="E11303" i="1"/>
  <c r="F11303" i="1"/>
  <c r="H11303" i="1"/>
  <c r="A11304" i="1"/>
  <c r="B11304" i="1"/>
  <c r="C11304" i="1"/>
  <c r="D11304" i="1"/>
  <c r="E11304" i="1"/>
  <c r="F11304" i="1"/>
  <c r="H11304" i="1"/>
  <c r="A11305" i="1"/>
  <c r="B11305" i="1"/>
  <c r="C11305" i="1"/>
  <c r="D11305" i="1"/>
  <c r="E11305" i="1"/>
  <c r="F11305" i="1"/>
  <c r="H11305" i="1"/>
  <c r="A11306" i="1"/>
  <c r="B11306" i="1"/>
  <c r="C11306" i="1"/>
  <c r="D11306" i="1"/>
  <c r="E11306" i="1"/>
  <c r="F11306" i="1"/>
  <c r="H11306" i="1"/>
  <c r="A11307" i="1"/>
  <c r="B11307" i="1"/>
  <c r="C11307" i="1"/>
  <c r="D11307" i="1"/>
  <c r="E11307" i="1"/>
  <c r="F11307" i="1"/>
  <c r="H11307" i="1"/>
  <c r="A11308" i="1"/>
  <c r="B11308" i="1"/>
  <c r="C11308" i="1"/>
  <c r="D11308" i="1"/>
  <c r="E11308" i="1"/>
  <c r="F11308" i="1"/>
  <c r="H11308" i="1"/>
  <c r="A11309" i="1"/>
  <c r="B11309" i="1"/>
  <c r="C11309" i="1"/>
  <c r="D11309" i="1"/>
  <c r="E11309" i="1"/>
  <c r="F11309" i="1"/>
  <c r="H11309" i="1"/>
  <c r="A11310" i="1"/>
  <c r="B11310" i="1"/>
  <c r="C11310" i="1"/>
  <c r="D11310" i="1"/>
  <c r="E11310" i="1"/>
  <c r="F11310" i="1"/>
  <c r="H11310" i="1"/>
  <c r="A11311" i="1"/>
  <c r="B11311" i="1"/>
  <c r="C11311" i="1"/>
  <c r="D11311" i="1"/>
  <c r="E11311" i="1"/>
  <c r="F11311" i="1"/>
  <c r="H11311" i="1"/>
  <c r="A11312" i="1"/>
  <c r="B11312" i="1"/>
  <c r="C11312" i="1"/>
  <c r="D11312" i="1"/>
  <c r="E11312" i="1"/>
  <c r="F11312" i="1"/>
  <c r="H11312" i="1"/>
  <c r="A11313" i="1"/>
  <c r="B11313" i="1"/>
  <c r="C11313" i="1"/>
  <c r="D11313" i="1"/>
  <c r="E11313" i="1"/>
  <c r="F11313" i="1"/>
  <c r="H11313" i="1"/>
  <c r="A11314" i="1"/>
  <c r="B11314" i="1"/>
  <c r="C11314" i="1"/>
  <c r="D11314" i="1"/>
  <c r="E11314" i="1"/>
  <c r="F11314" i="1"/>
  <c r="H11314" i="1"/>
  <c r="A11315" i="1"/>
  <c r="B11315" i="1"/>
  <c r="C11315" i="1"/>
  <c r="D11315" i="1"/>
  <c r="E11315" i="1"/>
  <c r="F11315" i="1"/>
  <c r="H11315" i="1"/>
  <c r="A11316" i="1"/>
  <c r="B11316" i="1"/>
  <c r="C11316" i="1"/>
  <c r="D11316" i="1"/>
  <c r="E11316" i="1"/>
  <c r="F11316" i="1"/>
  <c r="H11316" i="1"/>
  <c r="A11317" i="1"/>
  <c r="B11317" i="1"/>
  <c r="C11317" i="1"/>
  <c r="D11317" i="1"/>
  <c r="E11317" i="1"/>
  <c r="F11317" i="1"/>
  <c r="H11317" i="1"/>
  <c r="A11318" i="1"/>
  <c r="B11318" i="1"/>
  <c r="C11318" i="1"/>
  <c r="D11318" i="1"/>
  <c r="E11318" i="1"/>
  <c r="F11318" i="1"/>
  <c r="H11318" i="1"/>
  <c r="A11319" i="1"/>
  <c r="B11319" i="1"/>
  <c r="C11319" i="1"/>
  <c r="D11319" i="1"/>
  <c r="E11319" i="1"/>
  <c r="F11319" i="1"/>
  <c r="H11319" i="1"/>
  <c r="A11320" i="1"/>
  <c r="B11320" i="1"/>
  <c r="C11320" i="1"/>
  <c r="D11320" i="1"/>
  <c r="E11320" i="1"/>
  <c r="F11320" i="1"/>
  <c r="H11320" i="1"/>
  <c r="A11321" i="1"/>
  <c r="B11321" i="1"/>
  <c r="C11321" i="1"/>
  <c r="D11321" i="1"/>
  <c r="E11321" i="1"/>
  <c r="F11321" i="1"/>
  <c r="H11321" i="1"/>
  <c r="A11322" i="1"/>
  <c r="B11322" i="1"/>
  <c r="C11322" i="1"/>
  <c r="D11322" i="1"/>
  <c r="E11322" i="1"/>
  <c r="F11322" i="1"/>
  <c r="H11322" i="1"/>
  <c r="A11323" i="1"/>
  <c r="B11323" i="1"/>
  <c r="C11323" i="1"/>
  <c r="D11323" i="1"/>
  <c r="E11323" i="1"/>
  <c r="F11323" i="1"/>
  <c r="H11323" i="1"/>
  <c r="A11324" i="1"/>
  <c r="B11324" i="1"/>
  <c r="C11324" i="1"/>
  <c r="D11324" i="1"/>
  <c r="E11324" i="1"/>
  <c r="F11324" i="1"/>
  <c r="H11324" i="1"/>
  <c r="A11325" i="1"/>
  <c r="B11325" i="1"/>
  <c r="C11325" i="1"/>
  <c r="D11325" i="1"/>
  <c r="E11325" i="1"/>
  <c r="F11325" i="1"/>
  <c r="H11325" i="1"/>
  <c r="A11326" i="1"/>
  <c r="B11326" i="1"/>
  <c r="C11326" i="1"/>
  <c r="D11326" i="1"/>
  <c r="E11326" i="1"/>
  <c r="F11326" i="1"/>
  <c r="H11326" i="1"/>
  <c r="A11327" i="1"/>
  <c r="B11327" i="1"/>
  <c r="C11327" i="1"/>
  <c r="D11327" i="1"/>
  <c r="E11327" i="1"/>
  <c r="F11327" i="1"/>
  <c r="H11327" i="1"/>
  <c r="A11328" i="1"/>
  <c r="B11328" i="1"/>
  <c r="C11328" i="1"/>
  <c r="D11328" i="1"/>
  <c r="E11328" i="1"/>
  <c r="F11328" i="1"/>
  <c r="H11328" i="1"/>
  <c r="A11329" i="1"/>
  <c r="B11329" i="1"/>
  <c r="C11329" i="1"/>
  <c r="D11329" i="1"/>
  <c r="E11329" i="1"/>
  <c r="F11329" i="1"/>
  <c r="H11329" i="1"/>
  <c r="A11330" i="1"/>
  <c r="B11330" i="1"/>
  <c r="C11330" i="1"/>
  <c r="D11330" i="1"/>
  <c r="E11330" i="1"/>
  <c r="F11330" i="1"/>
  <c r="H11330" i="1"/>
  <c r="A11331" i="1"/>
  <c r="B11331" i="1"/>
  <c r="C11331" i="1"/>
  <c r="D11331" i="1"/>
  <c r="E11331" i="1"/>
  <c r="F11331" i="1"/>
  <c r="H11331" i="1"/>
  <c r="A11332" i="1"/>
  <c r="B11332" i="1"/>
  <c r="C11332" i="1"/>
  <c r="D11332" i="1"/>
  <c r="E11332" i="1"/>
  <c r="F11332" i="1"/>
  <c r="H11332" i="1"/>
  <c r="A11333" i="1"/>
  <c r="B11333" i="1"/>
  <c r="C11333" i="1"/>
  <c r="D11333" i="1"/>
  <c r="E11333" i="1"/>
  <c r="F11333" i="1"/>
  <c r="H11333" i="1"/>
  <c r="A11334" i="1"/>
  <c r="B11334" i="1"/>
  <c r="C11334" i="1"/>
  <c r="D11334" i="1"/>
  <c r="E11334" i="1"/>
  <c r="F11334" i="1"/>
  <c r="H11334" i="1"/>
  <c r="A11335" i="1"/>
  <c r="B11335" i="1"/>
  <c r="C11335" i="1"/>
  <c r="D11335" i="1"/>
  <c r="E11335" i="1"/>
  <c r="F11335" i="1"/>
  <c r="H11335" i="1"/>
  <c r="A11336" i="1"/>
  <c r="B11336" i="1"/>
  <c r="C11336" i="1"/>
  <c r="D11336" i="1"/>
  <c r="E11336" i="1"/>
  <c r="F11336" i="1"/>
  <c r="H11336" i="1"/>
  <c r="A11337" i="1"/>
  <c r="B11337" i="1"/>
  <c r="C11337" i="1"/>
  <c r="D11337" i="1"/>
  <c r="E11337" i="1"/>
  <c r="F11337" i="1"/>
  <c r="H11337" i="1"/>
  <c r="A11338" i="1"/>
  <c r="B11338" i="1"/>
  <c r="C11338" i="1"/>
  <c r="D11338" i="1"/>
  <c r="E11338" i="1"/>
  <c r="F11338" i="1"/>
  <c r="H11338" i="1"/>
  <c r="A11339" i="1"/>
  <c r="B11339" i="1"/>
  <c r="C11339" i="1"/>
  <c r="D11339" i="1"/>
  <c r="E11339" i="1"/>
  <c r="F11339" i="1"/>
  <c r="H11339" i="1"/>
  <c r="A11340" i="1"/>
  <c r="B11340" i="1"/>
  <c r="C11340" i="1"/>
  <c r="D11340" i="1"/>
  <c r="E11340" i="1"/>
  <c r="F11340" i="1"/>
  <c r="H11340" i="1"/>
  <c r="A11341" i="1"/>
  <c r="B11341" i="1"/>
  <c r="C11341" i="1"/>
  <c r="D11341" i="1"/>
  <c r="E11341" i="1"/>
  <c r="F11341" i="1"/>
  <c r="H11341" i="1"/>
  <c r="A11342" i="1"/>
  <c r="B11342" i="1"/>
  <c r="C11342" i="1"/>
  <c r="D11342" i="1"/>
  <c r="E11342" i="1"/>
  <c r="F11342" i="1"/>
  <c r="H11342" i="1"/>
  <c r="A11343" i="1"/>
  <c r="B11343" i="1"/>
  <c r="C11343" i="1"/>
  <c r="D11343" i="1"/>
  <c r="E11343" i="1"/>
  <c r="F11343" i="1"/>
  <c r="H11343" i="1"/>
  <c r="A11344" i="1"/>
  <c r="B11344" i="1"/>
  <c r="C11344" i="1"/>
  <c r="D11344" i="1"/>
  <c r="E11344" i="1"/>
  <c r="F11344" i="1"/>
  <c r="H11344" i="1"/>
  <c r="A11345" i="1"/>
  <c r="B11345" i="1"/>
  <c r="C11345" i="1"/>
  <c r="D11345" i="1"/>
  <c r="E11345" i="1"/>
  <c r="F11345" i="1"/>
  <c r="H11345" i="1"/>
  <c r="A11346" i="1"/>
  <c r="B11346" i="1"/>
  <c r="C11346" i="1"/>
  <c r="D11346" i="1"/>
  <c r="E11346" i="1"/>
  <c r="F11346" i="1"/>
  <c r="H11346" i="1"/>
  <c r="A11347" i="1"/>
  <c r="B11347" i="1"/>
  <c r="C11347" i="1"/>
  <c r="D11347" i="1"/>
  <c r="E11347" i="1"/>
  <c r="F11347" i="1"/>
  <c r="H11347" i="1"/>
  <c r="A11348" i="1"/>
  <c r="B11348" i="1"/>
  <c r="C11348" i="1"/>
  <c r="D11348" i="1"/>
  <c r="E11348" i="1"/>
  <c r="F11348" i="1"/>
  <c r="H11348" i="1"/>
  <c r="A11349" i="1"/>
  <c r="B11349" i="1"/>
  <c r="C11349" i="1"/>
  <c r="D11349" i="1"/>
  <c r="E11349" i="1"/>
  <c r="F11349" i="1"/>
  <c r="H11349" i="1"/>
  <c r="A11350" i="1"/>
  <c r="B11350" i="1"/>
  <c r="C11350" i="1"/>
  <c r="D11350" i="1"/>
  <c r="E11350" i="1"/>
  <c r="F11350" i="1"/>
  <c r="H11350" i="1"/>
  <c r="A11351" i="1"/>
  <c r="B11351" i="1"/>
  <c r="C11351" i="1"/>
  <c r="D11351" i="1"/>
  <c r="E11351" i="1"/>
  <c r="F11351" i="1"/>
  <c r="H11351" i="1"/>
  <c r="A11352" i="1"/>
  <c r="B11352" i="1"/>
  <c r="C11352" i="1"/>
  <c r="D11352" i="1"/>
  <c r="E11352" i="1"/>
  <c r="F11352" i="1"/>
  <c r="H11352" i="1"/>
  <c r="A11353" i="1"/>
  <c r="B11353" i="1"/>
  <c r="C11353" i="1"/>
  <c r="D11353" i="1"/>
  <c r="E11353" i="1"/>
  <c r="F11353" i="1"/>
  <c r="H11353" i="1"/>
  <c r="A11354" i="1"/>
  <c r="B11354" i="1"/>
  <c r="C11354" i="1"/>
  <c r="D11354" i="1"/>
  <c r="E11354" i="1"/>
  <c r="F11354" i="1"/>
  <c r="H11354" i="1"/>
  <c r="A11355" i="1"/>
  <c r="B11355" i="1"/>
  <c r="C11355" i="1"/>
  <c r="D11355" i="1"/>
  <c r="E11355" i="1"/>
  <c r="F11355" i="1"/>
  <c r="H11355" i="1"/>
  <c r="A11356" i="1"/>
  <c r="B11356" i="1"/>
  <c r="C11356" i="1"/>
  <c r="D11356" i="1"/>
  <c r="E11356" i="1"/>
  <c r="F11356" i="1"/>
  <c r="H11356" i="1"/>
  <c r="A11357" i="1"/>
  <c r="B11357" i="1"/>
  <c r="C11357" i="1"/>
  <c r="D11357" i="1"/>
  <c r="E11357" i="1"/>
  <c r="F11357" i="1"/>
  <c r="H11357" i="1"/>
  <c r="A11358" i="1"/>
  <c r="B11358" i="1"/>
  <c r="C11358" i="1"/>
  <c r="D11358" i="1"/>
  <c r="E11358" i="1"/>
  <c r="F11358" i="1"/>
  <c r="H11358" i="1"/>
  <c r="A11359" i="1"/>
  <c r="B11359" i="1"/>
  <c r="C11359" i="1"/>
  <c r="D11359" i="1"/>
  <c r="E11359" i="1"/>
  <c r="F11359" i="1"/>
  <c r="H11359" i="1"/>
  <c r="A11360" i="1"/>
  <c r="B11360" i="1"/>
  <c r="C11360" i="1"/>
  <c r="D11360" i="1"/>
  <c r="E11360" i="1"/>
  <c r="F11360" i="1"/>
  <c r="H11360" i="1"/>
  <c r="A11361" i="1"/>
  <c r="B11361" i="1"/>
  <c r="C11361" i="1"/>
  <c r="D11361" i="1"/>
  <c r="E11361" i="1"/>
  <c r="F11361" i="1"/>
  <c r="H11361" i="1"/>
  <c r="A11362" i="1"/>
  <c r="B11362" i="1"/>
  <c r="C11362" i="1"/>
  <c r="D11362" i="1"/>
  <c r="E11362" i="1"/>
  <c r="F11362" i="1"/>
  <c r="H11362" i="1"/>
  <c r="A11363" i="1"/>
  <c r="B11363" i="1"/>
  <c r="C11363" i="1"/>
  <c r="D11363" i="1"/>
  <c r="E11363" i="1"/>
  <c r="F11363" i="1"/>
  <c r="H11363" i="1"/>
  <c r="A11364" i="1"/>
  <c r="B11364" i="1"/>
  <c r="C11364" i="1"/>
  <c r="D11364" i="1"/>
  <c r="E11364" i="1"/>
  <c r="F11364" i="1"/>
  <c r="H11364" i="1"/>
  <c r="A11365" i="1"/>
  <c r="B11365" i="1"/>
  <c r="C11365" i="1"/>
  <c r="D11365" i="1"/>
  <c r="E11365" i="1"/>
  <c r="F11365" i="1"/>
  <c r="H11365" i="1"/>
  <c r="A11366" i="1"/>
  <c r="B11366" i="1"/>
  <c r="C11366" i="1"/>
  <c r="D11366" i="1"/>
  <c r="E11366" i="1"/>
  <c r="F11366" i="1"/>
  <c r="H11366" i="1"/>
  <c r="A11367" i="1"/>
  <c r="B11367" i="1"/>
  <c r="C11367" i="1"/>
  <c r="D11367" i="1"/>
  <c r="E11367" i="1"/>
  <c r="F11367" i="1"/>
  <c r="H11367" i="1"/>
  <c r="A11368" i="1"/>
  <c r="B11368" i="1"/>
  <c r="C11368" i="1"/>
  <c r="D11368" i="1"/>
  <c r="E11368" i="1"/>
  <c r="F11368" i="1"/>
  <c r="H11368" i="1"/>
  <c r="A11369" i="1"/>
  <c r="B11369" i="1"/>
  <c r="C11369" i="1"/>
  <c r="D11369" i="1"/>
  <c r="E11369" i="1"/>
  <c r="F11369" i="1"/>
  <c r="H11369" i="1"/>
  <c r="A11370" i="1"/>
  <c r="B11370" i="1"/>
  <c r="C11370" i="1"/>
  <c r="D11370" i="1"/>
  <c r="E11370" i="1"/>
  <c r="F11370" i="1"/>
  <c r="H11370" i="1"/>
  <c r="A11371" i="1"/>
  <c r="B11371" i="1"/>
  <c r="C11371" i="1"/>
  <c r="D11371" i="1"/>
  <c r="E11371" i="1"/>
  <c r="F11371" i="1"/>
  <c r="H11371" i="1"/>
  <c r="A11372" i="1"/>
  <c r="B11372" i="1"/>
  <c r="C11372" i="1"/>
  <c r="D11372" i="1"/>
  <c r="E11372" i="1"/>
  <c r="F11372" i="1"/>
  <c r="H11372" i="1"/>
  <c r="A11373" i="1"/>
  <c r="B11373" i="1"/>
  <c r="C11373" i="1"/>
  <c r="D11373" i="1"/>
  <c r="E11373" i="1"/>
  <c r="F11373" i="1"/>
  <c r="H11373" i="1"/>
  <c r="A11374" i="1"/>
  <c r="B11374" i="1"/>
  <c r="C11374" i="1"/>
  <c r="D11374" i="1"/>
  <c r="E11374" i="1"/>
  <c r="F11374" i="1"/>
  <c r="H11374" i="1"/>
  <c r="A11375" i="1"/>
  <c r="B11375" i="1"/>
  <c r="C11375" i="1"/>
  <c r="D11375" i="1"/>
  <c r="E11375" i="1"/>
  <c r="F11375" i="1"/>
  <c r="H11375" i="1"/>
  <c r="A11376" i="1"/>
  <c r="B11376" i="1"/>
  <c r="C11376" i="1"/>
  <c r="D11376" i="1"/>
  <c r="E11376" i="1"/>
  <c r="F11376" i="1"/>
  <c r="H11376" i="1"/>
  <c r="A11377" i="1"/>
  <c r="B11377" i="1"/>
  <c r="C11377" i="1"/>
  <c r="D11377" i="1"/>
  <c r="E11377" i="1"/>
  <c r="F11377" i="1"/>
  <c r="H11377" i="1"/>
  <c r="A11378" i="1"/>
  <c r="B11378" i="1"/>
  <c r="C11378" i="1"/>
  <c r="D11378" i="1"/>
  <c r="E11378" i="1"/>
  <c r="F11378" i="1"/>
  <c r="H11378" i="1"/>
  <c r="A11379" i="1"/>
  <c r="B11379" i="1"/>
  <c r="C11379" i="1"/>
  <c r="D11379" i="1"/>
  <c r="E11379" i="1"/>
  <c r="F11379" i="1"/>
  <c r="H11379" i="1"/>
  <c r="A11380" i="1"/>
  <c r="B11380" i="1"/>
  <c r="C11380" i="1"/>
  <c r="D11380" i="1"/>
  <c r="E11380" i="1"/>
  <c r="F11380" i="1"/>
  <c r="H11380" i="1"/>
  <c r="A11381" i="1"/>
  <c r="B11381" i="1"/>
  <c r="C11381" i="1"/>
  <c r="D11381" i="1"/>
  <c r="E11381" i="1"/>
  <c r="F11381" i="1"/>
  <c r="H11381" i="1"/>
  <c r="A11382" i="1"/>
  <c r="B11382" i="1"/>
  <c r="C11382" i="1"/>
  <c r="D11382" i="1"/>
  <c r="E11382" i="1"/>
  <c r="F11382" i="1"/>
  <c r="H11382" i="1"/>
  <c r="A11383" i="1"/>
  <c r="B11383" i="1"/>
  <c r="C11383" i="1"/>
  <c r="D11383" i="1"/>
  <c r="E11383" i="1"/>
  <c r="F11383" i="1"/>
  <c r="H11383" i="1"/>
  <c r="A11384" i="1"/>
  <c r="B11384" i="1"/>
  <c r="C11384" i="1"/>
  <c r="D11384" i="1"/>
  <c r="E11384" i="1"/>
  <c r="F11384" i="1"/>
  <c r="H11384" i="1"/>
  <c r="A11385" i="1"/>
  <c r="B11385" i="1"/>
  <c r="C11385" i="1"/>
  <c r="D11385" i="1"/>
  <c r="E11385" i="1"/>
  <c r="F11385" i="1"/>
  <c r="H11385" i="1"/>
  <c r="A11386" i="1"/>
  <c r="B11386" i="1"/>
  <c r="C11386" i="1"/>
  <c r="D11386" i="1"/>
  <c r="E11386" i="1"/>
  <c r="F11386" i="1"/>
  <c r="H11386" i="1"/>
  <c r="A11387" i="1"/>
  <c r="B11387" i="1"/>
  <c r="C11387" i="1"/>
  <c r="D11387" i="1"/>
  <c r="E11387" i="1"/>
  <c r="F11387" i="1"/>
  <c r="H11387" i="1"/>
  <c r="A11388" i="1"/>
  <c r="B11388" i="1"/>
  <c r="C11388" i="1"/>
  <c r="D11388" i="1"/>
  <c r="E11388" i="1"/>
  <c r="F11388" i="1"/>
  <c r="H11388" i="1"/>
  <c r="A11389" i="1"/>
  <c r="B11389" i="1"/>
  <c r="C11389" i="1"/>
  <c r="D11389" i="1"/>
  <c r="E11389" i="1"/>
  <c r="F11389" i="1"/>
  <c r="H11389" i="1"/>
  <c r="A11390" i="1"/>
  <c r="B11390" i="1"/>
  <c r="C11390" i="1"/>
  <c r="D11390" i="1"/>
  <c r="E11390" i="1"/>
  <c r="F11390" i="1"/>
  <c r="H11390" i="1"/>
  <c r="A11391" i="1"/>
  <c r="B11391" i="1"/>
  <c r="C11391" i="1"/>
  <c r="D11391" i="1"/>
  <c r="E11391" i="1"/>
  <c r="F11391" i="1"/>
  <c r="H11391" i="1"/>
  <c r="A11392" i="1"/>
  <c r="B11392" i="1"/>
  <c r="C11392" i="1"/>
  <c r="D11392" i="1"/>
  <c r="E11392" i="1"/>
  <c r="F11392" i="1"/>
  <c r="H11392" i="1"/>
  <c r="A11393" i="1"/>
  <c r="B11393" i="1"/>
  <c r="C11393" i="1"/>
  <c r="D11393" i="1"/>
  <c r="E11393" i="1"/>
  <c r="F11393" i="1"/>
  <c r="H11393" i="1"/>
  <c r="A11394" i="1"/>
  <c r="B11394" i="1"/>
  <c r="C11394" i="1"/>
  <c r="D11394" i="1"/>
  <c r="E11394" i="1"/>
  <c r="F11394" i="1"/>
  <c r="H11394" i="1"/>
  <c r="A11395" i="1"/>
  <c r="B11395" i="1"/>
  <c r="C11395" i="1"/>
  <c r="D11395" i="1"/>
  <c r="E11395" i="1"/>
  <c r="F11395" i="1"/>
  <c r="H11395" i="1"/>
  <c r="A11396" i="1"/>
  <c r="B11396" i="1"/>
  <c r="C11396" i="1"/>
  <c r="D11396" i="1"/>
  <c r="E11396" i="1"/>
  <c r="F11396" i="1"/>
  <c r="H11396" i="1"/>
  <c r="A11397" i="1"/>
  <c r="B11397" i="1"/>
  <c r="C11397" i="1"/>
  <c r="D11397" i="1"/>
  <c r="E11397" i="1"/>
  <c r="F11397" i="1"/>
  <c r="H11397" i="1"/>
  <c r="A11398" i="1"/>
  <c r="B11398" i="1"/>
  <c r="C11398" i="1"/>
  <c r="D11398" i="1"/>
  <c r="E11398" i="1"/>
  <c r="F11398" i="1"/>
  <c r="H11398" i="1"/>
  <c r="A11399" i="1"/>
  <c r="B11399" i="1"/>
  <c r="C11399" i="1"/>
  <c r="D11399" i="1"/>
  <c r="E11399" i="1"/>
  <c r="F11399" i="1"/>
  <c r="H11399" i="1"/>
  <c r="A11400" i="1"/>
  <c r="B11400" i="1"/>
  <c r="C11400" i="1"/>
  <c r="D11400" i="1"/>
  <c r="E11400" i="1"/>
  <c r="F11400" i="1"/>
  <c r="H11400" i="1"/>
  <c r="A11401" i="1"/>
  <c r="B11401" i="1"/>
  <c r="C11401" i="1"/>
  <c r="D11401" i="1"/>
  <c r="E11401" i="1"/>
  <c r="F11401" i="1"/>
  <c r="H11401" i="1"/>
  <c r="A11402" i="1"/>
  <c r="B11402" i="1"/>
  <c r="C11402" i="1"/>
  <c r="D11402" i="1"/>
  <c r="E11402" i="1"/>
  <c r="F11402" i="1"/>
  <c r="H11402" i="1"/>
  <c r="A11403" i="1"/>
  <c r="B11403" i="1"/>
  <c r="C11403" i="1"/>
  <c r="D11403" i="1"/>
  <c r="E11403" i="1"/>
  <c r="F11403" i="1"/>
  <c r="H11403" i="1"/>
  <c r="A11404" i="1"/>
  <c r="B11404" i="1"/>
  <c r="C11404" i="1"/>
  <c r="D11404" i="1"/>
  <c r="E11404" i="1"/>
  <c r="F11404" i="1"/>
  <c r="H11404" i="1"/>
  <c r="A11405" i="1"/>
  <c r="B11405" i="1"/>
  <c r="C11405" i="1"/>
  <c r="D11405" i="1"/>
  <c r="E11405" i="1"/>
  <c r="F11405" i="1"/>
  <c r="H11405" i="1"/>
  <c r="A11406" i="1"/>
  <c r="B11406" i="1"/>
  <c r="C11406" i="1"/>
  <c r="D11406" i="1"/>
  <c r="E11406" i="1"/>
  <c r="F11406" i="1"/>
  <c r="H11406" i="1"/>
  <c r="A11407" i="1"/>
  <c r="B11407" i="1"/>
  <c r="C11407" i="1"/>
  <c r="D11407" i="1"/>
  <c r="E11407" i="1"/>
  <c r="F11407" i="1"/>
  <c r="H11407" i="1"/>
  <c r="A11408" i="1"/>
  <c r="B11408" i="1"/>
  <c r="C11408" i="1"/>
  <c r="D11408" i="1"/>
  <c r="E11408" i="1"/>
  <c r="F11408" i="1"/>
  <c r="H11408" i="1"/>
  <c r="A11409" i="1"/>
  <c r="B11409" i="1"/>
  <c r="C11409" i="1"/>
  <c r="D11409" i="1"/>
  <c r="E11409" i="1"/>
  <c r="F11409" i="1"/>
  <c r="H11409" i="1"/>
  <c r="A11410" i="1"/>
  <c r="B11410" i="1"/>
  <c r="C11410" i="1"/>
  <c r="D11410" i="1"/>
  <c r="E11410" i="1"/>
  <c r="F11410" i="1"/>
  <c r="H11410" i="1"/>
  <c r="A11411" i="1"/>
  <c r="B11411" i="1"/>
  <c r="C11411" i="1"/>
  <c r="D11411" i="1"/>
  <c r="E11411" i="1"/>
  <c r="F11411" i="1"/>
  <c r="H11411" i="1"/>
  <c r="A11412" i="1"/>
  <c r="B11412" i="1"/>
  <c r="C11412" i="1"/>
  <c r="D11412" i="1"/>
  <c r="E11412" i="1"/>
  <c r="F11412" i="1"/>
  <c r="H11412" i="1"/>
  <c r="A11413" i="1"/>
  <c r="B11413" i="1"/>
  <c r="C11413" i="1"/>
  <c r="D11413" i="1"/>
  <c r="E11413" i="1"/>
  <c r="F11413" i="1"/>
  <c r="H11413" i="1"/>
  <c r="A11414" i="1"/>
  <c r="B11414" i="1"/>
  <c r="C11414" i="1"/>
  <c r="D11414" i="1"/>
  <c r="E11414" i="1"/>
  <c r="F11414" i="1"/>
  <c r="H11414" i="1"/>
  <c r="A11415" i="1"/>
  <c r="B11415" i="1"/>
  <c r="C11415" i="1"/>
  <c r="D11415" i="1"/>
  <c r="E11415" i="1"/>
  <c r="F11415" i="1"/>
  <c r="H11415" i="1"/>
  <c r="A11416" i="1"/>
  <c r="B11416" i="1"/>
  <c r="C11416" i="1"/>
  <c r="D11416" i="1"/>
  <c r="E11416" i="1"/>
  <c r="F11416" i="1"/>
  <c r="H11416" i="1"/>
  <c r="A11417" i="1"/>
  <c r="B11417" i="1"/>
  <c r="C11417" i="1"/>
  <c r="D11417" i="1"/>
  <c r="E11417" i="1"/>
  <c r="F11417" i="1"/>
  <c r="H11417" i="1"/>
  <c r="A11418" i="1"/>
  <c r="B11418" i="1"/>
  <c r="C11418" i="1"/>
  <c r="D11418" i="1"/>
  <c r="E11418" i="1"/>
  <c r="F11418" i="1"/>
  <c r="H11418" i="1"/>
  <c r="A11419" i="1"/>
  <c r="B11419" i="1"/>
  <c r="C11419" i="1"/>
  <c r="D11419" i="1"/>
  <c r="E11419" i="1"/>
  <c r="F11419" i="1"/>
  <c r="H11419" i="1"/>
  <c r="A11420" i="1"/>
  <c r="B11420" i="1"/>
  <c r="C11420" i="1"/>
  <c r="D11420" i="1"/>
  <c r="E11420" i="1"/>
  <c r="F11420" i="1"/>
  <c r="H11420" i="1"/>
  <c r="A11421" i="1"/>
  <c r="B11421" i="1"/>
  <c r="C11421" i="1"/>
  <c r="D11421" i="1"/>
  <c r="E11421" i="1"/>
  <c r="F11421" i="1"/>
  <c r="H11421" i="1"/>
  <c r="A11422" i="1"/>
  <c r="B11422" i="1"/>
  <c r="C11422" i="1"/>
  <c r="D11422" i="1"/>
  <c r="E11422" i="1"/>
  <c r="F11422" i="1"/>
  <c r="H11422" i="1"/>
  <c r="A11423" i="1"/>
  <c r="B11423" i="1"/>
  <c r="C11423" i="1"/>
  <c r="D11423" i="1"/>
  <c r="E11423" i="1"/>
  <c r="F11423" i="1"/>
  <c r="H11423" i="1"/>
  <c r="A11424" i="1"/>
  <c r="B11424" i="1"/>
  <c r="C11424" i="1"/>
  <c r="D11424" i="1"/>
  <c r="E11424" i="1"/>
  <c r="F11424" i="1"/>
  <c r="H11424" i="1"/>
  <c r="A11425" i="1"/>
  <c r="B11425" i="1"/>
  <c r="C11425" i="1"/>
  <c r="D11425" i="1"/>
  <c r="E11425" i="1"/>
  <c r="F11425" i="1"/>
  <c r="H11425" i="1"/>
  <c r="A11426" i="1"/>
  <c r="B11426" i="1"/>
  <c r="C11426" i="1"/>
  <c r="D11426" i="1"/>
  <c r="E11426" i="1"/>
  <c r="F11426" i="1"/>
  <c r="H11426" i="1"/>
  <c r="A11427" i="1"/>
  <c r="B11427" i="1"/>
  <c r="C11427" i="1"/>
  <c r="D11427" i="1"/>
  <c r="E11427" i="1"/>
  <c r="F11427" i="1"/>
  <c r="H11427" i="1"/>
  <c r="A11428" i="1"/>
  <c r="B11428" i="1"/>
  <c r="C11428" i="1"/>
  <c r="D11428" i="1"/>
  <c r="E11428" i="1"/>
  <c r="F11428" i="1"/>
  <c r="H11428" i="1"/>
  <c r="A11429" i="1"/>
  <c r="B11429" i="1"/>
  <c r="C11429" i="1"/>
  <c r="D11429" i="1"/>
  <c r="E11429" i="1"/>
  <c r="F11429" i="1"/>
  <c r="H11429" i="1"/>
  <c r="A11430" i="1"/>
  <c r="B11430" i="1"/>
  <c r="C11430" i="1"/>
  <c r="D11430" i="1"/>
  <c r="E11430" i="1"/>
  <c r="F11430" i="1"/>
  <c r="H11430" i="1"/>
  <c r="A11431" i="1"/>
  <c r="B11431" i="1"/>
  <c r="C11431" i="1"/>
  <c r="D11431" i="1"/>
  <c r="E11431" i="1"/>
  <c r="F11431" i="1"/>
  <c r="H11431" i="1"/>
  <c r="A11432" i="1"/>
  <c r="B11432" i="1"/>
  <c r="C11432" i="1"/>
  <c r="D11432" i="1"/>
  <c r="E11432" i="1"/>
  <c r="F11432" i="1"/>
  <c r="H11432" i="1"/>
  <c r="A11433" i="1"/>
  <c r="B11433" i="1"/>
  <c r="C11433" i="1"/>
  <c r="D11433" i="1"/>
  <c r="E11433" i="1"/>
  <c r="F11433" i="1"/>
  <c r="H11433" i="1"/>
  <c r="A11434" i="1"/>
  <c r="B11434" i="1"/>
  <c r="C11434" i="1"/>
  <c r="D11434" i="1"/>
  <c r="E11434" i="1"/>
  <c r="F11434" i="1"/>
  <c r="H11434" i="1"/>
  <c r="A11435" i="1"/>
  <c r="B11435" i="1"/>
  <c r="C11435" i="1"/>
  <c r="D11435" i="1"/>
  <c r="E11435" i="1"/>
  <c r="F11435" i="1"/>
  <c r="H11435" i="1"/>
  <c r="A11436" i="1"/>
  <c r="B11436" i="1"/>
  <c r="C11436" i="1"/>
  <c r="D11436" i="1"/>
  <c r="E11436" i="1"/>
  <c r="F11436" i="1"/>
  <c r="H11436" i="1"/>
  <c r="A11437" i="1"/>
  <c r="B11437" i="1"/>
  <c r="C11437" i="1"/>
  <c r="D11437" i="1"/>
  <c r="E11437" i="1"/>
  <c r="F11437" i="1"/>
  <c r="H11437" i="1"/>
  <c r="A11438" i="1"/>
  <c r="B11438" i="1"/>
  <c r="C11438" i="1"/>
  <c r="D11438" i="1"/>
  <c r="E11438" i="1"/>
  <c r="F11438" i="1"/>
  <c r="H11438" i="1"/>
  <c r="A11439" i="1"/>
  <c r="B11439" i="1"/>
  <c r="C11439" i="1"/>
  <c r="D11439" i="1"/>
  <c r="E11439" i="1"/>
  <c r="F11439" i="1"/>
  <c r="H11439" i="1"/>
  <c r="A11440" i="1"/>
  <c r="B11440" i="1"/>
  <c r="C11440" i="1"/>
  <c r="D11440" i="1"/>
  <c r="E11440" i="1"/>
  <c r="F11440" i="1"/>
  <c r="H11440" i="1"/>
  <c r="A11441" i="1"/>
  <c r="B11441" i="1"/>
  <c r="C11441" i="1"/>
  <c r="D11441" i="1"/>
  <c r="E11441" i="1"/>
  <c r="F11441" i="1"/>
  <c r="H11441" i="1"/>
  <c r="A11442" i="1"/>
  <c r="B11442" i="1"/>
  <c r="C11442" i="1"/>
  <c r="D11442" i="1"/>
  <c r="E11442" i="1"/>
  <c r="F11442" i="1"/>
  <c r="H11442" i="1"/>
  <c r="A11443" i="1"/>
  <c r="B11443" i="1"/>
  <c r="C11443" i="1"/>
  <c r="D11443" i="1"/>
  <c r="E11443" i="1"/>
  <c r="F11443" i="1"/>
  <c r="H11443" i="1"/>
  <c r="A11444" i="1"/>
  <c r="B11444" i="1"/>
  <c r="C11444" i="1"/>
  <c r="D11444" i="1"/>
  <c r="E11444" i="1"/>
  <c r="F11444" i="1"/>
  <c r="H11444" i="1"/>
  <c r="A11445" i="1"/>
  <c r="B11445" i="1"/>
  <c r="C11445" i="1"/>
  <c r="D11445" i="1"/>
  <c r="E11445" i="1"/>
  <c r="F11445" i="1"/>
  <c r="H11445" i="1"/>
  <c r="A11446" i="1"/>
  <c r="B11446" i="1"/>
  <c r="C11446" i="1"/>
  <c r="D11446" i="1"/>
  <c r="E11446" i="1"/>
  <c r="F11446" i="1"/>
  <c r="H11446" i="1"/>
  <c r="A11447" i="1"/>
  <c r="B11447" i="1"/>
  <c r="C11447" i="1"/>
  <c r="D11447" i="1"/>
  <c r="E11447" i="1"/>
  <c r="F11447" i="1"/>
  <c r="H11447" i="1"/>
  <c r="A11448" i="1"/>
  <c r="B11448" i="1"/>
  <c r="C11448" i="1"/>
  <c r="D11448" i="1"/>
  <c r="E11448" i="1"/>
  <c r="F11448" i="1"/>
  <c r="H11448" i="1"/>
  <c r="A11449" i="1"/>
  <c r="B11449" i="1"/>
  <c r="C11449" i="1"/>
  <c r="D11449" i="1"/>
  <c r="E11449" i="1"/>
  <c r="F11449" i="1"/>
  <c r="H11449" i="1"/>
  <c r="A11450" i="1"/>
  <c r="B11450" i="1"/>
  <c r="C11450" i="1"/>
  <c r="D11450" i="1"/>
  <c r="E11450" i="1"/>
  <c r="F11450" i="1"/>
  <c r="H11450" i="1"/>
  <c r="A11451" i="1"/>
  <c r="B11451" i="1"/>
  <c r="C11451" i="1"/>
  <c r="D11451" i="1"/>
  <c r="E11451" i="1"/>
  <c r="F11451" i="1"/>
  <c r="H11451" i="1"/>
  <c r="A11452" i="1"/>
  <c r="B11452" i="1"/>
  <c r="C11452" i="1"/>
  <c r="D11452" i="1"/>
  <c r="E11452" i="1"/>
  <c r="F11452" i="1"/>
  <c r="H11452" i="1"/>
  <c r="A11453" i="1"/>
  <c r="B11453" i="1"/>
  <c r="C11453" i="1"/>
  <c r="D11453" i="1"/>
  <c r="E11453" i="1"/>
  <c r="F11453" i="1"/>
  <c r="H11453" i="1"/>
  <c r="A11454" i="1"/>
  <c r="B11454" i="1"/>
  <c r="C11454" i="1"/>
  <c r="D11454" i="1"/>
  <c r="E11454" i="1"/>
  <c r="F11454" i="1"/>
  <c r="H11454" i="1"/>
  <c r="A11455" i="1"/>
  <c r="B11455" i="1"/>
  <c r="C11455" i="1"/>
  <c r="D11455" i="1"/>
  <c r="E11455" i="1"/>
  <c r="F11455" i="1"/>
  <c r="H11455" i="1"/>
  <c r="A11456" i="1"/>
  <c r="B11456" i="1"/>
  <c r="C11456" i="1"/>
  <c r="D11456" i="1"/>
  <c r="E11456" i="1"/>
  <c r="F11456" i="1"/>
  <c r="H11456" i="1"/>
  <c r="A11457" i="1"/>
  <c r="B11457" i="1"/>
  <c r="C11457" i="1"/>
  <c r="D11457" i="1"/>
  <c r="E11457" i="1"/>
  <c r="F11457" i="1"/>
  <c r="H11457" i="1"/>
  <c r="A11458" i="1"/>
  <c r="B11458" i="1"/>
  <c r="C11458" i="1"/>
  <c r="D11458" i="1"/>
  <c r="E11458" i="1"/>
  <c r="F11458" i="1"/>
  <c r="H11458" i="1"/>
  <c r="A11459" i="1"/>
  <c r="B11459" i="1"/>
  <c r="C11459" i="1"/>
  <c r="D11459" i="1"/>
  <c r="E11459" i="1"/>
  <c r="F11459" i="1"/>
  <c r="H11459" i="1"/>
  <c r="A11460" i="1"/>
  <c r="B11460" i="1"/>
  <c r="C11460" i="1"/>
  <c r="D11460" i="1"/>
  <c r="E11460" i="1"/>
  <c r="F11460" i="1"/>
  <c r="H11460" i="1"/>
  <c r="A11461" i="1"/>
  <c r="B11461" i="1"/>
  <c r="C11461" i="1"/>
  <c r="D11461" i="1"/>
  <c r="E11461" i="1"/>
  <c r="F11461" i="1"/>
  <c r="H11461" i="1"/>
  <c r="A11462" i="1"/>
  <c r="B11462" i="1"/>
  <c r="C11462" i="1"/>
  <c r="D11462" i="1"/>
  <c r="E11462" i="1"/>
  <c r="F11462" i="1"/>
  <c r="H11462" i="1"/>
  <c r="A11463" i="1"/>
  <c r="B11463" i="1"/>
  <c r="C11463" i="1"/>
  <c r="D11463" i="1"/>
  <c r="E11463" i="1"/>
  <c r="F11463" i="1"/>
  <c r="H11463" i="1"/>
  <c r="A11464" i="1"/>
  <c r="B11464" i="1"/>
  <c r="C11464" i="1"/>
  <c r="D11464" i="1"/>
  <c r="E11464" i="1"/>
  <c r="F11464" i="1"/>
  <c r="H11464" i="1"/>
  <c r="A11465" i="1"/>
  <c r="B11465" i="1"/>
  <c r="C11465" i="1"/>
  <c r="D11465" i="1"/>
  <c r="E11465" i="1"/>
  <c r="F11465" i="1"/>
  <c r="H11465" i="1"/>
  <c r="A11466" i="1"/>
  <c r="B11466" i="1"/>
  <c r="C11466" i="1"/>
  <c r="D11466" i="1"/>
  <c r="E11466" i="1"/>
  <c r="F11466" i="1"/>
  <c r="H11466" i="1"/>
  <c r="A11467" i="1"/>
  <c r="B11467" i="1"/>
  <c r="C11467" i="1"/>
  <c r="D11467" i="1"/>
  <c r="E11467" i="1"/>
  <c r="F11467" i="1"/>
  <c r="H11467" i="1"/>
  <c r="A11468" i="1"/>
  <c r="B11468" i="1"/>
  <c r="C11468" i="1"/>
  <c r="D11468" i="1"/>
  <c r="E11468" i="1"/>
  <c r="F11468" i="1"/>
  <c r="H11468" i="1"/>
  <c r="A11469" i="1"/>
  <c r="B11469" i="1"/>
  <c r="C11469" i="1"/>
  <c r="D11469" i="1"/>
  <c r="E11469" i="1"/>
  <c r="F11469" i="1"/>
  <c r="H11469" i="1"/>
  <c r="A11470" i="1"/>
  <c r="B11470" i="1"/>
  <c r="C11470" i="1"/>
  <c r="D11470" i="1"/>
  <c r="E11470" i="1"/>
  <c r="F11470" i="1"/>
  <c r="H11470" i="1"/>
  <c r="A11471" i="1"/>
  <c r="B11471" i="1"/>
  <c r="C11471" i="1"/>
  <c r="D11471" i="1"/>
  <c r="E11471" i="1"/>
  <c r="F11471" i="1"/>
  <c r="H11471" i="1"/>
  <c r="A11472" i="1"/>
  <c r="B11472" i="1"/>
  <c r="C11472" i="1"/>
  <c r="D11472" i="1"/>
  <c r="E11472" i="1"/>
  <c r="F11472" i="1"/>
  <c r="H11472" i="1"/>
  <c r="A11473" i="1"/>
  <c r="B11473" i="1"/>
  <c r="C11473" i="1"/>
  <c r="D11473" i="1"/>
  <c r="E11473" i="1"/>
  <c r="F11473" i="1"/>
  <c r="H11473" i="1"/>
  <c r="A11474" i="1"/>
  <c r="B11474" i="1"/>
  <c r="C11474" i="1"/>
  <c r="D11474" i="1"/>
  <c r="E11474" i="1"/>
  <c r="F11474" i="1"/>
  <c r="H11474" i="1"/>
  <c r="A11475" i="1"/>
  <c r="B11475" i="1"/>
  <c r="C11475" i="1"/>
  <c r="D11475" i="1"/>
  <c r="E11475" i="1"/>
  <c r="F11475" i="1"/>
  <c r="H11475" i="1"/>
  <c r="A11476" i="1"/>
  <c r="B11476" i="1"/>
  <c r="C11476" i="1"/>
  <c r="D11476" i="1"/>
  <c r="E11476" i="1"/>
  <c r="F11476" i="1"/>
  <c r="H11476" i="1"/>
  <c r="A11477" i="1"/>
  <c r="B11477" i="1"/>
  <c r="C11477" i="1"/>
  <c r="D11477" i="1"/>
  <c r="E11477" i="1"/>
  <c r="F11477" i="1"/>
  <c r="H11477" i="1"/>
  <c r="A11478" i="1"/>
  <c r="B11478" i="1"/>
  <c r="C11478" i="1"/>
  <c r="D11478" i="1"/>
  <c r="E11478" i="1"/>
  <c r="F11478" i="1"/>
  <c r="H11478" i="1"/>
  <c r="A11479" i="1"/>
  <c r="B11479" i="1"/>
  <c r="C11479" i="1"/>
  <c r="D11479" i="1"/>
  <c r="E11479" i="1"/>
  <c r="F11479" i="1"/>
  <c r="H11479" i="1"/>
  <c r="A11480" i="1"/>
  <c r="B11480" i="1"/>
  <c r="C11480" i="1"/>
  <c r="D11480" i="1"/>
  <c r="E11480" i="1"/>
  <c r="F11480" i="1"/>
  <c r="H11480" i="1"/>
  <c r="A11481" i="1"/>
  <c r="B11481" i="1"/>
  <c r="C11481" i="1"/>
  <c r="D11481" i="1"/>
  <c r="E11481" i="1"/>
  <c r="F11481" i="1"/>
  <c r="H11481" i="1"/>
  <c r="A11482" i="1"/>
  <c r="B11482" i="1"/>
  <c r="C11482" i="1"/>
  <c r="D11482" i="1"/>
  <c r="E11482" i="1"/>
  <c r="F11482" i="1"/>
  <c r="H11482" i="1"/>
  <c r="A11483" i="1"/>
  <c r="B11483" i="1"/>
  <c r="C11483" i="1"/>
  <c r="D11483" i="1"/>
  <c r="E11483" i="1"/>
  <c r="F11483" i="1"/>
  <c r="H11483" i="1"/>
  <c r="A11484" i="1"/>
  <c r="B11484" i="1"/>
  <c r="C11484" i="1"/>
  <c r="D11484" i="1"/>
  <c r="E11484" i="1"/>
  <c r="F11484" i="1"/>
  <c r="H11484" i="1"/>
  <c r="A11485" i="1"/>
  <c r="B11485" i="1"/>
  <c r="C11485" i="1"/>
  <c r="D11485" i="1"/>
  <c r="E11485" i="1"/>
  <c r="F11485" i="1"/>
  <c r="H11485" i="1"/>
  <c r="A11486" i="1"/>
  <c r="B11486" i="1"/>
  <c r="C11486" i="1"/>
  <c r="D11486" i="1"/>
  <c r="E11486" i="1"/>
  <c r="F11486" i="1"/>
  <c r="H11486" i="1"/>
  <c r="A11487" i="1"/>
  <c r="B11487" i="1"/>
  <c r="C11487" i="1"/>
  <c r="D11487" i="1"/>
  <c r="E11487" i="1"/>
  <c r="F11487" i="1"/>
  <c r="H11487" i="1"/>
  <c r="A11488" i="1"/>
  <c r="B11488" i="1"/>
  <c r="C11488" i="1"/>
  <c r="D11488" i="1"/>
  <c r="E11488" i="1"/>
  <c r="F11488" i="1"/>
  <c r="H11488" i="1"/>
  <c r="A11489" i="1"/>
  <c r="B11489" i="1"/>
  <c r="C11489" i="1"/>
  <c r="D11489" i="1"/>
  <c r="E11489" i="1"/>
  <c r="F11489" i="1"/>
  <c r="H11489" i="1"/>
  <c r="A11490" i="1"/>
  <c r="B11490" i="1"/>
  <c r="C11490" i="1"/>
  <c r="D11490" i="1"/>
  <c r="E11490" i="1"/>
  <c r="F11490" i="1"/>
  <c r="H11490" i="1"/>
  <c r="A11491" i="1"/>
  <c r="B11491" i="1"/>
  <c r="C11491" i="1"/>
  <c r="D11491" i="1"/>
  <c r="E11491" i="1"/>
  <c r="F11491" i="1"/>
  <c r="H11491" i="1"/>
  <c r="A11492" i="1"/>
  <c r="B11492" i="1"/>
  <c r="C11492" i="1"/>
  <c r="D11492" i="1"/>
  <c r="E11492" i="1"/>
  <c r="F11492" i="1"/>
  <c r="H11492" i="1"/>
  <c r="A11493" i="1"/>
  <c r="B11493" i="1"/>
  <c r="C11493" i="1"/>
  <c r="D11493" i="1"/>
  <c r="E11493" i="1"/>
  <c r="F11493" i="1"/>
  <c r="H11493" i="1"/>
  <c r="A11494" i="1"/>
  <c r="B11494" i="1"/>
  <c r="C11494" i="1"/>
  <c r="D11494" i="1"/>
  <c r="E11494" i="1"/>
  <c r="F11494" i="1"/>
  <c r="H11494" i="1"/>
  <c r="A11495" i="1"/>
  <c r="B11495" i="1"/>
  <c r="C11495" i="1"/>
  <c r="D11495" i="1"/>
  <c r="E11495" i="1"/>
  <c r="F11495" i="1"/>
  <c r="H11495" i="1"/>
  <c r="A11496" i="1"/>
  <c r="B11496" i="1"/>
  <c r="C11496" i="1"/>
  <c r="D11496" i="1"/>
  <c r="E11496" i="1"/>
  <c r="F11496" i="1"/>
  <c r="H11496" i="1"/>
  <c r="A11497" i="1"/>
  <c r="B11497" i="1"/>
  <c r="C11497" i="1"/>
  <c r="D11497" i="1"/>
  <c r="E11497" i="1"/>
  <c r="F11497" i="1"/>
  <c r="H11497" i="1"/>
  <c r="A11498" i="1"/>
  <c r="B11498" i="1"/>
  <c r="C11498" i="1"/>
  <c r="D11498" i="1"/>
  <c r="E11498" i="1"/>
  <c r="F11498" i="1"/>
  <c r="H11498" i="1"/>
  <c r="A11499" i="1"/>
  <c r="B11499" i="1"/>
  <c r="C11499" i="1"/>
  <c r="D11499" i="1"/>
  <c r="E11499" i="1"/>
  <c r="F11499" i="1"/>
  <c r="H11499" i="1"/>
  <c r="A11500" i="1"/>
  <c r="B11500" i="1"/>
  <c r="C11500" i="1"/>
  <c r="D11500" i="1"/>
  <c r="E11500" i="1"/>
  <c r="F11500" i="1"/>
  <c r="H11500" i="1"/>
  <c r="A11501" i="1"/>
  <c r="B11501" i="1"/>
  <c r="C11501" i="1"/>
  <c r="D11501" i="1"/>
  <c r="E11501" i="1"/>
  <c r="F11501" i="1"/>
  <c r="H11501" i="1"/>
  <c r="A11502" i="1"/>
  <c r="B11502" i="1"/>
  <c r="C11502" i="1"/>
  <c r="D11502" i="1"/>
  <c r="E11502" i="1"/>
  <c r="F11502" i="1"/>
  <c r="H11502" i="1"/>
  <c r="A11503" i="1"/>
  <c r="B11503" i="1"/>
  <c r="C11503" i="1"/>
  <c r="D11503" i="1"/>
  <c r="E11503" i="1"/>
  <c r="F11503" i="1"/>
  <c r="H11503" i="1"/>
  <c r="A11504" i="1"/>
  <c r="B11504" i="1"/>
  <c r="C11504" i="1"/>
  <c r="D11504" i="1"/>
  <c r="E11504" i="1"/>
  <c r="F11504" i="1"/>
  <c r="H11504" i="1"/>
  <c r="A11505" i="1"/>
  <c r="B11505" i="1"/>
  <c r="C11505" i="1"/>
  <c r="D11505" i="1"/>
  <c r="E11505" i="1"/>
  <c r="F11505" i="1"/>
  <c r="H11505" i="1"/>
  <c r="A11506" i="1"/>
  <c r="B11506" i="1"/>
  <c r="C11506" i="1"/>
  <c r="D11506" i="1"/>
  <c r="E11506" i="1"/>
  <c r="F11506" i="1"/>
  <c r="H11506" i="1"/>
  <c r="A11507" i="1"/>
  <c r="B11507" i="1"/>
  <c r="C11507" i="1"/>
  <c r="D11507" i="1"/>
  <c r="E11507" i="1"/>
  <c r="F11507" i="1"/>
  <c r="H11507" i="1"/>
  <c r="A11508" i="1"/>
  <c r="B11508" i="1"/>
  <c r="C11508" i="1"/>
  <c r="D11508" i="1"/>
  <c r="E11508" i="1"/>
  <c r="F11508" i="1"/>
  <c r="H11508" i="1"/>
  <c r="A11509" i="1"/>
  <c r="B11509" i="1"/>
  <c r="C11509" i="1"/>
  <c r="D11509" i="1"/>
  <c r="E11509" i="1"/>
  <c r="F11509" i="1"/>
  <c r="H11509" i="1"/>
  <c r="A11510" i="1"/>
  <c r="B11510" i="1"/>
  <c r="C11510" i="1"/>
  <c r="D11510" i="1"/>
  <c r="E11510" i="1"/>
  <c r="F11510" i="1"/>
  <c r="H11510" i="1"/>
  <c r="A11511" i="1"/>
  <c r="B11511" i="1"/>
  <c r="C11511" i="1"/>
  <c r="D11511" i="1"/>
  <c r="E11511" i="1"/>
  <c r="F11511" i="1"/>
  <c r="H11511" i="1"/>
  <c r="A11512" i="1"/>
  <c r="B11512" i="1"/>
  <c r="C11512" i="1"/>
  <c r="D11512" i="1"/>
  <c r="E11512" i="1"/>
  <c r="F11512" i="1"/>
  <c r="H11512" i="1"/>
  <c r="A11513" i="1"/>
  <c r="B11513" i="1"/>
  <c r="C11513" i="1"/>
  <c r="D11513" i="1"/>
  <c r="E11513" i="1"/>
  <c r="F11513" i="1"/>
  <c r="H11513" i="1"/>
  <c r="A11514" i="1"/>
  <c r="B11514" i="1"/>
  <c r="C11514" i="1"/>
  <c r="D11514" i="1"/>
  <c r="E11514" i="1"/>
  <c r="F11514" i="1"/>
  <c r="H11514" i="1"/>
  <c r="A11515" i="1"/>
  <c r="B11515" i="1"/>
  <c r="C11515" i="1"/>
  <c r="D11515" i="1"/>
  <c r="E11515" i="1"/>
  <c r="F11515" i="1"/>
  <c r="H11515" i="1"/>
  <c r="A11516" i="1"/>
  <c r="B11516" i="1"/>
  <c r="C11516" i="1"/>
  <c r="D11516" i="1"/>
  <c r="E11516" i="1"/>
  <c r="F11516" i="1"/>
  <c r="H11516" i="1"/>
  <c r="A11517" i="1"/>
  <c r="B11517" i="1"/>
  <c r="C11517" i="1"/>
  <c r="D11517" i="1"/>
  <c r="E11517" i="1"/>
  <c r="F11517" i="1"/>
  <c r="H11517" i="1"/>
  <c r="A11518" i="1"/>
  <c r="B11518" i="1"/>
  <c r="C11518" i="1"/>
  <c r="D11518" i="1"/>
  <c r="E11518" i="1"/>
  <c r="F11518" i="1"/>
  <c r="H11518" i="1"/>
  <c r="A11519" i="1"/>
  <c r="B11519" i="1"/>
  <c r="C11519" i="1"/>
  <c r="D11519" i="1"/>
  <c r="E11519" i="1"/>
  <c r="F11519" i="1"/>
  <c r="H11519" i="1"/>
  <c r="A11520" i="1"/>
  <c r="B11520" i="1"/>
  <c r="C11520" i="1"/>
  <c r="D11520" i="1"/>
  <c r="E11520" i="1"/>
  <c r="F11520" i="1"/>
  <c r="H11520" i="1"/>
  <c r="A11521" i="1"/>
  <c r="B11521" i="1"/>
  <c r="C11521" i="1"/>
  <c r="D11521" i="1"/>
  <c r="E11521" i="1"/>
  <c r="F11521" i="1"/>
  <c r="H11521" i="1"/>
  <c r="A11522" i="1"/>
  <c r="B11522" i="1"/>
  <c r="C11522" i="1"/>
  <c r="D11522" i="1"/>
  <c r="E11522" i="1"/>
  <c r="F11522" i="1"/>
  <c r="H11522" i="1"/>
  <c r="A11523" i="1"/>
  <c r="B11523" i="1"/>
  <c r="C11523" i="1"/>
  <c r="D11523" i="1"/>
  <c r="E11523" i="1"/>
  <c r="F11523" i="1"/>
  <c r="H11523" i="1"/>
  <c r="A11524" i="1"/>
  <c r="B11524" i="1"/>
  <c r="C11524" i="1"/>
  <c r="D11524" i="1"/>
  <c r="E11524" i="1"/>
  <c r="F11524" i="1"/>
  <c r="H11524" i="1"/>
  <c r="A11525" i="1"/>
  <c r="B11525" i="1"/>
  <c r="C11525" i="1"/>
  <c r="D11525" i="1"/>
  <c r="E11525" i="1"/>
  <c r="F11525" i="1"/>
  <c r="H11525" i="1"/>
  <c r="A11526" i="1"/>
  <c r="B11526" i="1"/>
  <c r="C11526" i="1"/>
  <c r="D11526" i="1"/>
  <c r="E11526" i="1"/>
  <c r="F11526" i="1"/>
  <c r="H11526" i="1"/>
  <c r="A11527" i="1"/>
  <c r="B11527" i="1"/>
  <c r="C11527" i="1"/>
  <c r="D11527" i="1"/>
  <c r="E11527" i="1"/>
  <c r="F11527" i="1"/>
  <c r="H11527" i="1"/>
  <c r="A11528" i="1"/>
  <c r="B11528" i="1"/>
  <c r="C11528" i="1"/>
  <c r="D11528" i="1"/>
  <c r="E11528" i="1"/>
  <c r="F11528" i="1"/>
  <c r="H11528" i="1"/>
  <c r="A11529" i="1"/>
  <c r="B11529" i="1"/>
  <c r="C11529" i="1"/>
  <c r="D11529" i="1"/>
  <c r="E11529" i="1"/>
  <c r="F11529" i="1"/>
  <c r="H11529" i="1"/>
  <c r="A11530" i="1"/>
  <c r="B11530" i="1"/>
  <c r="C11530" i="1"/>
  <c r="D11530" i="1"/>
  <c r="E11530" i="1"/>
  <c r="F11530" i="1"/>
  <c r="H11530" i="1"/>
  <c r="A11531" i="1"/>
  <c r="B11531" i="1"/>
  <c r="C11531" i="1"/>
  <c r="D11531" i="1"/>
  <c r="E11531" i="1"/>
  <c r="F11531" i="1"/>
  <c r="H11531" i="1"/>
  <c r="A11532" i="1"/>
  <c r="B11532" i="1"/>
  <c r="C11532" i="1"/>
  <c r="D11532" i="1"/>
  <c r="E11532" i="1"/>
  <c r="F11532" i="1"/>
  <c r="H11532" i="1"/>
  <c r="A11533" i="1"/>
  <c r="B11533" i="1"/>
  <c r="C11533" i="1"/>
  <c r="D11533" i="1"/>
  <c r="E11533" i="1"/>
  <c r="F11533" i="1"/>
  <c r="H11533" i="1"/>
  <c r="A11534" i="1"/>
  <c r="B11534" i="1"/>
  <c r="C11534" i="1"/>
  <c r="D11534" i="1"/>
  <c r="E11534" i="1"/>
  <c r="F11534" i="1"/>
  <c r="H11534" i="1"/>
  <c r="A11535" i="1"/>
  <c r="B11535" i="1"/>
  <c r="C11535" i="1"/>
  <c r="D11535" i="1"/>
  <c r="E11535" i="1"/>
  <c r="F11535" i="1"/>
  <c r="H11535" i="1"/>
  <c r="A11536" i="1"/>
  <c r="B11536" i="1"/>
  <c r="C11536" i="1"/>
  <c r="D11536" i="1"/>
  <c r="E11536" i="1"/>
  <c r="F11536" i="1"/>
  <c r="H11536" i="1"/>
  <c r="A11537" i="1"/>
  <c r="B11537" i="1"/>
  <c r="C11537" i="1"/>
  <c r="D11537" i="1"/>
  <c r="E11537" i="1"/>
  <c r="F11537" i="1"/>
  <c r="H11537" i="1"/>
  <c r="A11538" i="1"/>
  <c r="B11538" i="1"/>
  <c r="C11538" i="1"/>
  <c r="D11538" i="1"/>
  <c r="E11538" i="1"/>
  <c r="F11538" i="1"/>
  <c r="H11538" i="1"/>
  <c r="A11539" i="1"/>
  <c r="B11539" i="1"/>
  <c r="C11539" i="1"/>
  <c r="D11539" i="1"/>
  <c r="E11539" i="1"/>
  <c r="F11539" i="1"/>
  <c r="H11539" i="1"/>
  <c r="A11540" i="1"/>
  <c r="B11540" i="1"/>
  <c r="C11540" i="1"/>
  <c r="D11540" i="1"/>
  <c r="E11540" i="1"/>
  <c r="F11540" i="1"/>
  <c r="H11540" i="1"/>
  <c r="A11541" i="1"/>
  <c r="B11541" i="1"/>
  <c r="C11541" i="1"/>
  <c r="D11541" i="1"/>
  <c r="E11541" i="1"/>
  <c r="F11541" i="1"/>
  <c r="H11541" i="1"/>
  <c r="A11542" i="1"/>
  <c r="B11542" i="1"/>
  <c r="C11542" i="1"/>
  <c r="D11542" i="1"/>
  <c r="E11542" i="1"/>
  <c r="F11542" i="1"/>
  <c r="H11542" i="1"/>
  <c r="A11543" i="1"/>
  <c r="B11543" i="1"/>
  <c r="C11543" i="1"/>
  <c r="D11543" i="1"/>
  <c r="E11543" i="1"/>
  <c r="F11543" i="1"/>
  <c r="H11543" i="1"/>
  <c r="A11544" i="1"/>
  <c r="B11544" i="1"/>
  <c r="C11544" i="1"/>
  <c r="D11544" i="1"/>
  <c r="E11544" i="1"/>
  <c r="F11544" i="1"/>
  <c r="H11544" i="1"/>
  <c r="A11545" i="1"/>
  <c r="B11545" i="1"/>
  <c r="C11545" i="1"/>
  <c r="D11545" i="1"/>
  <c r="E11545" i="1"/>
  <c r="F11545" i="1"/>
  <c r="H11545" i="1"/>
  <c r="A11546" i="1"/>
  <c r="B11546" i="1"/>
  <c r="C11546" i="1"/>
  <c r="D11546" i="1"/>
  <c r="E11546" i="1"/>
  <c r="F11546" i="1"/>
  <c r="H11546" i="1"/>
  <c r="A11547" i="1"/>
  <c r="B11547" i="1"/>
  <c r="C11547" i="1"/>
  <c r="D11547" i="1"/>
  <c r="E11547" i="1"/>
  <c r="F11547" i="1"/>
  <c r="H11547" i="1"/>
  <c r="A11548" i="1"/>
  <c r="B11548" i="1"/>
  <c r="C11548" i="1"/>
  <c r="D11548" i="1"/>
  <c r="E11548" i="1"/>
  <c r="F11548" i="1"/>
  <c r="H11548" i="1"/>
  <c r="A11549" i="1"/>
  <c r="B11549" i="1"/>
  <c r="C11549" i="1"/>
  <c r="D11549" i="1"/>
  <c r="E11549" i="1"/>
  <c r="F11549" i="1"/>
  <c r="H11549" i="1"/>
  <c r="A11550" i="1"/>
  <c r="B11550" i="1"/>
  <c r="C11550" i="1"/>
  <c r="D11550" i="1"/>
  <c r="E11550" i="1"/>
  <c r="F11550" i="1"/>
  <c r="H11550" i="1"/>
  <c r="A11551" i="1"/>
  <c r="B11551" i="1"/>
  <c r="C11551" i="1"/>
  <c r="D11551" i="1"/>
  <c r="E11551" i="1"/>
  <c r="F11551" i="1"/>
  <c r="H11551" i="1"/>
  <c r="A11552" i="1"/>
  <c r="B11552" i="1"/>
  <c r="C11552" i="1"/>
  <c r="D11552" i="1"/>
  <c r="E11552" i="1"/>
  <c r="F11552" i="1"/>
  <c r="H11552" i="1"/>
  <c r="A11553" i="1"/>
  <c r="B11553" i="1"/>
  <c r="C11553" i="1"/>
  <c r="D11553" i="1"/>
  <c r="E11553" i="1"/>
  <c r="F11553" i="1"/>
  <c r="H11553" i="1"/>
  <c r="A11554" i="1"/>
  <c r="B11554" i="1"/>
  <c r="C11554" i="1"/>
  <c r="D11554" i="1"/>
  <c r="E11554" i="1"/>
  <c r="F11554" i="1"/>
  <c r="H11554" i="1"/>
  <c r="A11555" i="1"/>
  <c r="B11555" i="1"/>
  <c r="C11555" i="1"/>
  <c r="D11555" i="1"/>
  <c r="E11555" i="1"/>
  <c r="F11555" i="1"/>
  <c r="H11555" i="1"/>
  <c r="A11556" i="1"/>
  <c r="B11556" i="1"/>
  <c r="C11556" i="1"/>
  <c r="D11556" i="1"/>
  <c r="E11556" i="1"/>
  <c r="F11556" i="1"/>
  <c r="H11556" i="1"/>
  <c r="A11557" i="1"/>
  <c r="B11557" i="1"/>
  <c r="C11557" i="1"/>
  <c r="D11557" i="1"/>
  <c r="E11557" i="1"/>
  <c r="F11557" i="1"/>
  <c r="H11557" i="1"/>
  <c r="A11558" i="1"/>
  <c r="B11558" i="1"/>
  <c r="C11558" i="1"/>
  <c r="D11558" i="1"/>
  <c r="E11558" i="1"/>
  <c r="F11558" i="1"/>
  <c r="H11558" i="1"/>
  <c r="A11559" i="1"/>
  <c r="B11559" i="1"/>
  <c r="C11559" i="1"/>
  <c r="D11559" i="1"/>
  <c r="E11559" i="1"/>
  <c r="F11559" i="1"/>
  <c r="H11559" i="1"/>
  <c r="A11560" i="1"/>
  <c r="B11560" i="1"/>
  <c r="C11560" i="1"/>
  <c r="D11560" i="1"/>
  <c r="E11560" i="1"/>
  <c r="F11560" i="1"/>
  <c r="H11560" i="1"/>
  <c r="A11561" i="1"/>
  <c r="B11561" i="1"/>
  <c r="C11561" i="1"/>
  <c r="D11561" i="1"/>
  <c r="E11561" i="1"/>
  <c r="F11561" i="1"/>
  <c r="H11561" i="1"/>
  <c r="A11562" i="1"/>
  <c r="B11562" i="1"/>
  <c r="C11562" i="1"/>
  <c r="D11562" i="1"/>
  <c r="E11562" i="1"/>
  <c r="F11562" i="1"/>
  <c r="H11562" i="1"/>
  <c r="A11563" i="1"/>
  <c r="B11563" i="1"/>
  <c r="C11563" i="1"/>
  <c r="D11563" i="1"/>
  <c r="E11563" i="1"/>
  <c r="F11563" i="1"/>
  <c r="H11563" i="1"/>
  <c r="A11564" i="1"/>
  <c r="B11564" i="1"/>
  <c r="C11564" i="1"/>
  <c r="D11564" i="1"/>
  <c r="E11564" i="1"/>
  <c r="F11564" i="1"/>
  <c r="H11564" i="1"/>
  <c r="A11565" i="1"/>
  <c r="B11565" i="1"/>
  <c r="C11565" i="1"/>
  <c r="D11565" i="1"/>
  <c r="E11565" i="1"/>
  <c r="F11565" i="1"/>
  <c r="H11565" i="1"/>
  <c r="A11566" i="1"/>
  <c r="B11566" i="1"/>
  <c r="C11566" i="1"/>
  <c r="D11566" i="1"/>
  <c r="E11566" i="1"/>
  <c r="F11566" i="1"/>
  <c r="H11566" i="1"/>
  <c r="A11567" i="1"/>
  <c r="B11567" i="1"/>
  <c r="C11567" i="1"/>
  <c r="D11567" i="1"/>
  <c r="E11567" i="1"/>
  <c r="F11567" i="1"/>
  <c r="H11567" i="1"/>
  <c r="A11568" i="1"/>
  <c r="B11568" i="1"/>
  <c r="C11568" i="1"/>
  <c r="D11568" i="1"/>
  <c r="E11568" i="1"/>
  <c r="F11568" i="1"/>
  <c r="H11568" i="1"/>
  <c r="A11569" i="1"/>
  <c r="B11569" i="1"/>
  <c r="C11569" i="1"/>
  <c r="D11569" i="1"/>
  <c r="E11569" i="1"/>
  <c r="F11569" i="1"/>
  <c r="H11569" i="1"/>
  <c r="A11570" i="1"/>
  <c r="B11570" i="1"/>
  <c r="C11570" i="1"/>
  <c r="D11570" i="1"/>
  <c r="E11570" i="1"/>
  <c r="F11570" i="1"/>
  <c r="H11570" i="1"/>
  <c r="A11571" i="1"/>
  <c r="B11571" i="1"/>
  <c r="C11571" i="1"/>
  <c r="D11571" i="1"/>
  <c r="E11571" i="1"/>
  <c r="F11571" i="1"/>
  <c r="H11571" i="1"/>
  <c r="A11572" i="1"/>
  <c r="B11572" i="1"/>
  <c r="C11572" i="1"/>
  <c r="D11572" i="1"/>
  <c r="E11572" i="1"/>
  <c r="F11572" i="1"/>
  <c r="H11572" i="1"/>
  <c r="A11573" i="1"/>
  <c r="B11573" i="1"/>
  <c r="C11573" i="1"/>
  <c r="D11573" i="1"/>
  <c r="E11573" i="1"/>
  <c r="F11573" i="1"/>
  <c r="H11573" i="1"/>
  <c r="A11574" i="1"/>
  <c r="B11574" i="1"/>
  <c r="C11574" i="1"/>
  <c r="D11574" i="1"/>
  <c r="E11574" i="1"/>
  <c r="F11574" i="1"/>
  <c r="H11574" i="1"/>
  <c r="A11575" i="1"/>
  <c r="B11575" i="1"/>
  <c r="C11575" i="1"/>
  <c r="D11575" i="1"/>
  <c r="E11575" i="1"/>
  <c r="F11575" i="1"/>
  <c r="H11575" i="1"/>
  <c r="A11576" i="1"/>
  <c r="B11576" i="1"/>
  <c r="C11576" i="1"/>
  <c r="D11576" i="1"/>
  <c r="E11576" i="1"/>
  <c r="F11576" i="1"/>
  <c r="H11576" i="1"/>
  <c r="A11577" i="1"/>
  <c r="B11577" i="1"/>
  <c r="C11577" i="1"/>
  <c r="D11577" i="1"/>
  <c r="E11577" i="1"/>
  <c r="F11577" i="1"/>
  <c r="H11577" i="1"/>
  <c r="A11578" i="1"/>
  <c r="B11578" i="1"/>
  <c r="C11578" i="1"/>
  <c r="D11578" i="1"/>
  <c r="E11578" i="1"/>
  <c r="F11578" i="1"/>
  <c r="H11578" i="1"/>
  <c r="A11579" i="1"/>
  <c r="B11579" i="1"/>
  <c r="C11579" i="1"/>
  <c r="D11579" i="1"/>
  <c r="E11579" i="1"/>
  <c r="F11579" i="1"/>
  <c r="H11579" i="1"/>
  <c r="A11580" i="1"/>
  <c r="B11580" i="1"/>
  <c r="C11580" i="1"/>
  <c r="D11580" i="1"/>
  <c r="E11580" i="1"/>
  <c r="F11580" i="1"/>
  <c r="H11580" i="1"/>
  <c r="A11581" i="1"/>
  <c r="B11581" i="1"/>
  <c r="C11581" i="1"/>
  <c r="D11581" i="1"/>
  <c r="E11581" i="1"/>
  <c r="F11581" i="1"/>
  <c r="H11581" i="1"/>
  <c r="A11582" i="1"/>
  <c r="B11582" i="1"/>
  <c r="C11582" i="1"/>
  <c r="D11582" i="1"/>
  <c r="E11582" i="1"/>
  <c r="F11582" i="1"/>
  <c r="H11582" i="1"/>
  <c r="A11583" i="1"/>
  <c r="B11583" i="1"/>
  <c r="C11583" i="1"/>
  <c r="D11583" i="1"/>
  <c r="E11583" i="1"/>
  <c r="F11583" i="1"/>
  <c r="H11583" i="1"/>
  <c r="A11584" i="1"/>
  <c r="B11584" i="1"/>
  <c r="C11584" i="1"/>
  <c r="D11584" i="1"/>
  <c r="E11584" i="1"/>
  <c r="F11584" i="1"/>
  <c r="H11584" i="1"/>
  <c r="A11585" i="1"/>
  <c r="B11585" i="1"/>
  <c r="C11585" i="1"/>
  <c r="D11585" i="1"/>
  <c r="E11585" i="1"/>
  <c r="F11585" i="1"/>
  <c r="H11585" i="1"/>
  <c r="A11586" i="1"/>
  <c r="B11586" i="1"/>
  <c r="C11586" i="1"/>
  <c r="D11586" i="1"/>
  <c r="E11586" i="1"/>
  <c r="F11586" i="1"/>
  <c r="H11586" i="1"/>
  <c r="A11587" i="1"/>
  <c r="B11587" i="1"/>
  <c r="C11587" i="1"/>
  <c r="D11587" i="1"/>
  <c r="E11587" i="1"/>
  <c r="F11587" i="1"/>
  <c r="H11587" i="1"/>
  <c r="A11588" i="1"/>
  <c r="B11588" i="1"/>
  <c r="C11588" i="1"/>
  <c r="D11588" i="1"/>
  <c r="E11588" i="1"/>
  <c r="F11588" i="1"/>
  <c r="H11588" i="1"/>
  <c r="A11589" i="1"/>
  <c r="B11589" i="1"/>
  <c r="C11589" i="1"/>
  <c r="D11589" i="1"/>
  <c r="E11589" i="1"/>
  <c r="F11589" i="1"/>
  <c r="H11589" i="1"/>
  <c r="A11590" i="1"/>
  <c r="B11590" i="1"/>
  <c r="C11590" i="1"/>
  <c r="D11590" i="1"/>
  <c r="E11590" i="1"/>
  <c r="F11590" i="1"/>
  <c r="H11590" i="1"/>
  <c r="A11591" i="1"/>
  <c r="B11591" i="1"/>
  <c r="C11591" i="1"/>
  <c r="D11591" i="1"/>
  <c r="E11591" i="1"/>
  <c r="F11591" i="1"/>
  <c r="H11591" i="1"/>
  <c r="A11592" i="1"/>
  <c r="B11592" i="1"/>
  <c r="C11592" i="1"/>
  <c r="D11592" i="1"/>
  <c r="E11592" i="1"/>
  <c r="F11592" i="1"/>
  <c r="H11592" i="1"/>
  <c r="A11593" i="1"/>
  <c r="B11593" i="1"/>
  <c r="C11593" i="1"/>
  <c r="D11593" i="1"/>
  <c r="E11593" i="1"/>
  <c r="F11593" i="1"/>
  <c r="H11593" i="1"/>
  <c r="A11594" i="1"/>
  <c r="B11594" i="1"/>
  <c r="C11594" i="1"/>
  <c r="D11594" i="1"/>
  <c r="E11594" i="1"/>
  <c r="F11594" i="1"/>
  <c r="H11594" i="1"/>
  <c r="A11595" i="1"/>
  <c r="B11595" i="1"/>
  <c r="C11595" i="1"/>
  <c r="D11595" i="1"/>
  <c r="E11595" i="1"/>
  <c r="F11595" i="1"/>
  <c r="H11595" i="1"/>
  <c r="A11596" i="1"/>
  <c r="B11596" i="1"/>
  <c r="C11596" i="1"/>
  <c r="D11596" i="1"/>
  <c r="E11596" i="1"/>
  <c r="F11596" i="1"/>
  <c r="H11596" i="1"/>
  <c r="A11597" i="1"/>
  <c r="B11597" i="1"/>
  <c r="C11597" i="1"/>
  <c r="D11597" i="1"/>
  <c r="E11597" i="1"/>
  <c r="F11597" i="1"/>
  <c r="H11597" i="1"/>
  <c r="A11598" i="1"/>
  <c r="B11598" i="1"/>
  <c r="C11598" i="1"/>
  <c r="D11598" i="1"/>
  <c r="E11598" i="1"/>
  <c r="F11598" i="1"/>
  <c r="H11598" i="1"/>
  <c r="A11599" i="1"/>
  <c r="B11599" i="1"/>
  <c r="C11599" i="1"/>
  <c r="D11599" i="1"/>
  <c r="E11599" i="1"/>
  <c r="F11599" i="1"/>
  <c r="H11599" i="1"/>
  <c r="A11600" i="1"/>
  <c r="B11600" i="1"/>
  <c r="C11600" i="1"/>
  <c r="D11600" i="1"/>
  <c r="E11600" i="1"/>
  <c r="F11600" i="1"/>
  <c r="H11600" i="1"/>
  <c r="A11601" i="1"/>
  <c r="B11601" i="1"/>
  <c r="C11601" i="1"/>
  <c r="D11601" i="1"/>
  <c r="E11601" i="1"/>
  <c r="F11601" i="1"/>
  <c r="H11601" i="1"/>
  <c r="A11602" i="1"/>
  <c r="B11602" i="1"/>
  <c r="C11602" i="1"/>
  <c r="D11602" i="1"/>
  <c r="E11602" i="1"/>
  <c r="F11602" i="1"/>
  <c r="H11602" i="1"/>
  <c r="A11603" i="1"/>
  <c r="B11603" i="1"/>
  <c r="C11603" i="1"/>
  <c r="D11603" i="1"/>
  <c r="E11603" i="1"/>
  <c r="F11603" i="1"/>
  <c r="H11603" i="1"/>
  <c r="A11604" i="1"/>
  <c r="B11604" i="1"/>
  <c r="C11604" i="1"/>
  <c r="D11604" i="1"/>
  <c r="E11604" i="1"/>
  <c r="F11604" i="1"/>
  <c r="H11604" i="1"/>
  <c r="A11605" i="1"/>
  <c r="B11605" i="1"/>
  <c r="C11605" i="1"/>
  <c r="D11605" i="1"/>
  <c r="E11605" i="1"/>
  <c r="F11605" i="1"/>
  <c r="H11605" i="1"/>
  <c r="A11606" i="1"/>
  <c r="B11606" i="1"/>
  <c r="C11606" i="1"/>
  <c r="D11606" i="1"/>
  <c r="E11606" i="1"/>
  <c r="F11606" i="1"/>
  <c r="H11606" i="1"/>
  <c r="A11607" i="1"/>
  <c r="B11607" i="1"/>
  <c r="C11607" i="1"/>
  <c r="D11607" i="1"/>
  <c r="E11607" i="1"/>
  <c r="F11607" i="1"/>
  <c r="H11607" i="1"/>
  <c r="A11608" i="1"/>
  <c r="B11608" i="1"/>
  <c r="C11608" i="1"/>
  <c r="D11608" i="1"/>
  <c r="E11608" i="1"/>
  <c r="F11608" i="1"/>
  <c r="H11608" i="1"/>
  <c r="A11609" i="1"/>
  <c r="B11609" i="1"/>
  <c r="C11609" i="1"/>
  <c r="D11609" i="1"/>
  <c r="E11609" i="1"/>
  <c r="F11609" i="1"/>
  <c r="H11609" i="1"/>
  <c r="A11610" i="1"/>
  <c r="B11610" i="1"/>
  <c r="C11610" i="1"/>
  <c r="D11610" i="1"/>
  <c r="E11610" i="1"/>
  <c r="F11610" i="1"/>
  <c r="H11610" i="1"/>
  <c r="A11611" i="1"/>
  <c r="B11611" i="1"/>
  <c r="C11611" i="1"/>
  <c r="D11611" i="1"/>
  <c r="E11611" i="1"/>
  <c r="F11611" i="1"/>
  <c r="H11611" i="1"/>
  <c r="A11612" i="1"/>
  <c r="B11612" i="1"/>
  <c r="C11612" i="1"/>
  <c r="D11612" i="1"/>
  <c r="E11612" i="1"/>
  <c r="F11612" i="1"/>
  <c r="H11612" i="1"/>
  <c r="A11613" i="1"/>
  <c r="B11613" i="1"/>
  <c r="C11613" i="1"/>
  <c r="D11613" i="1"/>
  <c r="E11613" i="1"/>
  <c r="F11613" i="1"/>
  <c r="H11613" i="1"/>
  <c r="A11614" i="1"/>
  <c r="B11614" i="1"/>
  <c r="C11614" i="1"/>
  <c r="D11614" i="1"/>
  <c r="E11614" i="1"/>
  <c r="F11614" i="1"/>
  <c r="H11614" i="1"/>
  <c r="A11615" i="1"/>
  <c r="B11615" i="1"/>
  <c r="C11615" i="1"/>
  <c r="D11615" i="1"/>
  <c r="E11615" i="1"/>
  <c r="F11615" i="1"/>
  <c r="H11615" i="1"/>
  <c r="A11616" i="1"/>
  <c r="B11616" i="1"/>
  <c r="C11616" i="1"/>
  <c r="D11616" i="1"/>
  <c r="E11616" i="1"/>
  <c r="F11616" i="1"/>
  <c r="H11616" i="1"/>
  <c r="A11617" i="1"/>
  <c r="B11617" i="1"/>
  <c r="C11617" i="1"/>
  <c r="D11617" i="1"/>
  <c r="E11617" i="1"/>
  <c r="F11617" i="1"/>
  <c r="H11617" i="1"/>
  <c r="A11618" i="1"/>
  <c r="B11618" i="1"/>
  <c r="C11618" i="1"/>
  <c r="D11618" i="1"/>
  <c r="E11618" i="1"/>
  <c r="F11618" i="1"/>
  <c r="H11618" i="1"/>
  <c r="A11619" i="1"/>
  <c r="B11619" i="1"/>
  <c r="C11619" i="1"/>
  <c r="D11619" i="1"/>
  <c r="E11619" i="1"/>
  <c r="F11619" i="1"/>
  <c r="H11619" i="1"/>
  <c r="A11620" i="1"/>
  <c r="B11620" i="1"/>
  <c r="C11620" i="1"/>
  <c r="D11620" i="1"/>
  <c r="E11620" i="1"/>
  <c r="F11620" i="1"/>
  <c r="H11620" i="1"/>
  <c r="A11621" i="1"/>
  <c r="B11621" i="1"/>
  <c r="C11621" i="1"/>
  <c r="D11621" i="1"/>
  <c r="E11621" i="1"/>
  <c r="F11621" i="1"/>
  <c r="H11621" i="1"/>
  <c r="A11622" i="1"/>
  <c r="B11622" i="1"/>
  <c r="C11622" i="1"/>
  <c r="D11622" i="1"/>
  <c r="E11622" i="1"/>
  <c r="F11622" i="1"/>
  <c r="H11622" i="1"/>
  <c r="A11623" i="1"/>
  <c r="B11623" i="1"/>
  <c r="C11623" i="1"/>
  <c r="D11623" i="1"/>
  <c r="E11623" i="1"/>
  <c r="F11623" i="1"/>
  <c r="H11623" i="1"/>
  <c r="A11624" i="1"/>
  <c r="B11624" i="1"/>
  <c r="C11624" i="1"/>
  <c r="D11624" i="1"/>
  <c r="E11624" i="1"/>
  <c r="F11624" i="1"/>
  <c r="H11624" i="1"/>
  <c r="A11625" i="1"/>
  <c r="B11625" i="1"/>
  <c r="C11625" i="1"/>
  <c r="D11625" i="1"/>
  <c r="E11625" i="1"/>
  <c r="F11625" i="1"/>
  <c r="H11625" i="1"/>
  <c r="A11626" i="1"/>
  <c r="B11626" i="1"/>
  <c r="C11626" i="1"/>
  <c r="D11626" i="1"/>
  <c r="E11626" i="1"/>
  <c r="F11626" i="1"/>
  <c r="H11626" i="1"/>
  <c r="A11627" i="1"/>
  <c r="B11627" i="1"/>
  <c r="C11627" i="1"/>
  <c r="D11627" i="1"/>
  <c r="E11627" i="1"/>
  <c r="F11627" i="1"/>
  <c r="H11627" i="1"/>
  <c r="A11628" i="1"/>
  <c r="B11628" i="1"/>
  <c r="C11628" i="1"/>
  <c r="D11628" i="1"/>
  <c r="E11628" i="1"/>
  <c r="F11628" i="1"/>
  <c r="H11628" i="1"/>
  <c r="A11629" i="1"/>
  <c r="B11629" i="1"/>
  <c r="C11629" i="1"/>
  <c r="D11629" i="1"/>
  <c r="E11629" i="1"/>
  <c r="F11629" i="1"/>
  <c r="H11629" i="1"/>
  <c r="A11630" i="1"/>
  <c r="B11630" i="1"/>
  <c r="C11630" i="1"/>
  <c r="D11630" i="1"/>
  <c r="E11630" i="1"/>
  <c r="F11630" i="1"/>
  <c r="H11630" i="1"/>
  <c r="A11631" i="1"/>
  <c r="B11631" i="1"/>
  <c r="C11631" i="1"/>
  <c r="D11631" i="1"/>
  <c r="E11631" i="1"/>
  <c r="F11631" i="1"/>
  <c r="H11631" i="1"/>
  <c r="A11632" i="1"/>
  <c r="B11632" i="1"/>
  <c r="C11632" i="1"/>
  <c r="D11632" i="1"/>
  <c r="E11632" i="1"/>
  <c r="F11632" i="1"/>
  <c r="H11632" i="1"/>
  <c r="A11633" i="1"/>
  <c r="B11633" i="1"/>
  <c r="C11633" i="1"/>
  <c r="D11633" i="1"/>
  <c r="E11633" i="1"/>
  <c r="F11633" i="1"/>
  <c r="H11633" i="1"/>
  <c r="A11634" i="1"/>
  <c r="B11634" i="1"/>
  <c r="C11634" i="1"/>
  <c r="D11634" i="1"/>
  <c r="E11634" i="1"/>
  <c r="F11634" i="1"/>
  <c r="H11634" i="1"/>
  <c r="A11635" i="1"/>
  <c r="B11635" i="1"/>
  <c r="C11635" i="1"/>
  <c r="D11635" i="1"/>
  <c r="E11635" i="1"/>
  <c r="F11635" i="1"/>
  <c r="H11635" i="1"/>
  <c r="A11636" i="1"/>
  <c r="B11636" i="1"/>
  <c r="C11636" i="1"/>
  <c r="D11636" i="1"/>
  <c r="E11636" i="1"/>
  <c r="F11636" i="1"/>
  <c r="H11636" i="1"/>
  <c r="A11637" i="1"/>
  <c r="B11637" i="1"/>
  <c r="C11637" i="1"/>
  <c r="D11637" i="1"/>
  <c r="E11637" i="1"/>
  <c r="F11637" i="1"/>
  <c r="H11637" i="1"/>
  <c r="A11638" i="1"/>
  <c r="B11638" i="1"/>
  <c r="C11638" i="1"/>
  <c r="D11638" i="1"/>
  <c r="E11638" i="1"/>
  <c r="F11638" i="1"/>
  <c r="H11638" i="1"/>
  <c r="A11639" i="1"/>
  <c r="B11639" i="1"/>
  <c r="C11639" i="1"/>
  <c r="D11639" i="1"/>
  <c r="E11639" i="1"/>
  <c r="F11639" i="1"/>
  <c r="H11639" i="1"/>
  <c r="A11640" i="1"/>
  <c r="B11640" i="1"/>
  <c r="C11640" i="1"/>
  <c r="D11640" i="1"/>
  <c r="E11640" i="1"/>
  <c r="F11640" i="1"/>
  <c r="H11640" i="1"/>
  <c r="A11641" i="1"/>
  <c r="B11641" i="1"/>
  <c r="C11641" i="1"/>
  <c r="D11641" i="1"/>
  <c r="E11641" i="1"/>
  <c r="F11641" i="1"/>
  <c r="H11641" i="1"/>
  <c r="A11642" i="1"/>
  <c r="B11642" i="1"/>
  <c r="C11642" i="1"/>
  <c r="D11642" i="1"/>
  <c r="E11642" i="1"/>
  <c r="F11642" i="1"/>
  <c r="H11642" i="1"/>
  <c r="A11643" i="1"/>
  <c r="B11643" i="1"/>
  <c r="C11643" i="1"/>
  <c r="D11643" i="1"/>
  <c r="E11643" i="1"/>
  <c r="F11643" i="1"/>
  <c r="H11643" i="1"/>
  <c r="A11644" i="1"/>
  <c r="B11644" i="1"/>
  <c r="C11644" i="1"/>
  <c r="D11644" i="1"/>
  <c r="E11644" i="1"/>
  <c r="F11644" i="1"/>
  <c r="H11644" i="1"/>
  <c r="A11645" i="1"/>
  <c r="B11645" i="1"/>
  <c r="C11645" i="1"/>
  <c r="D11645" i="1"/>
  <c r="E11645" i="1"/>
  <c r="F11645" i="1"/>
  <c r="H11645" i="1"/>
  <c r="A11646" i="1"/>
  <c r="B11646" i="1"/>
  <c r="C11646" i="1"/>
  <c r="D11646" i="1"/>
  <c r="E11646" i="1"/>
  <c r="F11646" i="1"/>
  <c r="H11646" i="1"/>
  <c r="A11647" i="1"/>
  <c r="B11647" i="1"/>
  <c r="C11647" i="1"/>
  <c r="D11647" i="1"/>
  <c r="E11647" i="1"/>
  <c r="F11647" i="1"/>
  <c r="H11647" i="1"/>
  <c r="A11648" i="1"/>
  <c r="B11648" i="1"/>
  <c r="C11648" i="1"/>
  <c r="D11648" i="1"/>
  <c r="E11648" i="1"/>
  <c r="F11648" i="1"/>
  <c r="H11648" i="1"/>
  <c r="A11649" i="1"/>
  <c r="B11649" i="1"/>
  <c r="C11649" i="1"/>
  <c r="D11649" i="1"/>
  <c r="E11649" i="1"/>
  <c r="F11649" i="1"/>
  <c r="H11649" i="1"/>
  <c r="A11650" i="1"/>
  <c r="B11650" i="1"/>
  <c r="C11650" i="1"/>
  <c r="D11650" i="1"/>
  <c r="E11650" i="1"/>
  <c r="F11650" i="1"/>
  <c r="H11650" i="1"/>
  <c r="A11651" i="1"/>
  <c r="B11651" i="1"/>
  <c r="C11651" i="1"/>
  <c r="D11651" i="1"/>
  <c r="E11651" i="1"/>
  <c r="F11651" i="1"/>
  <c r="H11651" i="1"/>
  <c r="A11652" i="1"/>
  <c r="B11652" i="1"/>
  <c r="C11652" i="1"/>
  <c r="D11652" i="1"/>
  <c r="E11652" i="1"/>
  <c r="F11652" i="1"/>
  <c r="H11652" i="1"/>
  <c r="A11653" i="1"/>
  <c r="B11653" i="1"/>
  <c r="C11653" i="1"/>
  <c r="D11653" i="1"/>
  <c r="E11653" i="1"/>
  <c r="F11653" i="1"/>
  <c r="H11653" i="1"/>
  <c r="A11654" i="1"/>
  <c r="B11654" i="1"/>
  <c r="C11654" i="1"/>
  <c r="D11654" i="1"/>
  <c r="E11654" i="1"/>
  <c r="F11654" i="1"/>
  <c r="H11654" i="1"/>
  <c r="A11655" i="1"/>
  <c r="B11655" i="1"/>
  <c r="C11655" i="1"/>
  <c r="D11655" i="1"/>
  <c r="E11655" i="1"/>
  <c r="F11655" i="1"/>
  <c r="H11655" i="1"/>
  <c r="A11656" i="1"/>
  <c r="B11656" i="1"/>
  <c r="C11656" i="1"/>
  <c r="D11656" i="1"/>
  <c r="E11656" i="1"/>
  <c r="F11656" i="1"/>
  <c r="H11656" i="1"/>
  <c r="A11657" i="1"/>
  <c r="B11657" i="1"/>
  <c r="C11657" i="1"/>
  <c r="D11657" i="1"/>
  <c r="E11657" i="1"/>
  <c r="F11657" i="1"/>
  <c r="H11657" i="1"/>
  <c r="A11658" i="1"/>
  <c r="B11658" i="1"/>
  <c r="C11658" i="1"/>
  <c r="D11658" i="1"/>
  <c r="E11658" i="1"/>
  <c r="F11658" i="1"/>
  <c r="H11658" i="1"/>
  <c r="A11659" i="1"/>
  <c r="B11659" i="1"/>
  <c r="C11659" i="1"/>
  <c r="D11659" i="1"/>
  <c r="E11659" i="1"/>
  <c r="F11659" i="1"/>
  <c r="H11659" i="1"/>
  <c r="A11660" i="1"/>
  <c r="B11660" i="1"/>
  <c r="C11660" i="1"/>
  <c r="D11660" i="1"/>
  <c r="E11660" i="1"/>
  <c r="F11660" i="1"/>
  <c r="H11660" i="1"/>
  <c r="A11661" i="1"/>
  <c r="B11661" i="1"/>
  <c r="C11661" i="1"/>
  <c r="D11661" i="1"/>
  <c r="E11661" i="1"/>
  <c r="F11661" i="1"/>
  <c r="H11661" i="1"/>
  <c r="A11662" i="1"/>
  <c r="B11662" i="1"/>
  <c r="C11662" i="1"/>
  <c r="D11662" i="1"/>
  <c r="E11662" i="1"/>
  <c r="F11662" i="1"/>
  <c r="H11662" i="1"/>
  <c r="A11663" i="1"/>
  <c r="B11663" i="1"/>
  <c r="C11663" i="1"/>
  <c r="D11663" i="1"/>
  <c r="E11663" i="1"/>
  <c r="F11663" i="1"/>
  <c r="H11663" i="1"/>
  <c r="A11664" i="1"/>
  <c r="B11664" i="1"/>
  <c r="C11664" i="1"/>
  <c r="D11664" i="1"/>
  <c r="E11664" i="1"/>
  <c r="F11664" i="1"/>
  <c r="H11664" i="1"/>
  <c r="A11665" i="1"/>
  <c r="B11665" i="1"/>
  <c r="C11665" i="1"/>
  <c r="D11665" i="1"/>
  <c r="E11665" i="1"/>
  <c r="F11665" i="1"/>
  <c r="H11665" i="1"/>
  <c r="A11666" i="1"/>
  <c r="B11666" i="1"/>
  <c r="C11666" i="1"/>
  <c r="D11666" i="1"/>
  <c r="E11666" i="1"/>
  <c r="F11666" i="1"/>
  <c r="H11666" i="1"/>
  <c r="A11667" i="1"/>
  <c r="B11667" i="1"/>
  <c r="C11667" i="1"/>
  <c r="D11667" i="1"/>
  <c r="E11667" i="1"/>
  <c r="F11667" i="1"/>
  <c r="H11667" i="1"/>
  <c r="A11668" i="1"/>
  <c r="B11668" i="1"/>
  <c r="C11668" i="1"/>
  <c r="D11668" i="1"/>
  <c r="E11668" i="1"/>
  <c r="F11668" i="1"/>
  <c r="H11668" i="1"/>
  <c r="A11669" i="1"/>
  <c r="B11669" i="1"/>
  <c r="C11669" i="1"/>
  <c r="D11669" i="1"/>
  <c r="E11669" i="1"/>
  <c r="F11669" i="1"/>
  <c r="H11669" i="1"/>
  <c r="A11670" i="1"/>
  <c r="B11670" i="1"/>
  <c r="C11670" i="1"/>
  <c r="D11670" i="1"/>
  <c r="E11670" i="1"/>
  <c r="F11670" i="1"/>
  <c r="H11670" i="1"/>
  <c r="A11671" i="1"/>
  <c r="B11671" i="1"/>
  <c r="C11671" i="1"/>
  <c r="D11671" i="1"/>
  <c r="E11671" i="1"/>
  <c r="F11671" i="1"/>
  <c r="H11671" i="1"/>
  <c r="A11672" i="1"/>
  <c r="B11672" i="1"/>
  <c r="C11672" i="1"/>
  <c r="D11672" i="1"/>
  <c r="E11672" i="1"/>
  <c r="F11672" i="1"/>
  <c r="H11672" i="1"/>
  <c r="A11673" i="1"/>
  <c r="B11673" i="1"/>
  <c r="C11673" i="1"/>
  <c r="D11673" i="1"/>
  <c r="E11673" i="1"/>
  <c r="F11673" i="1"/>
  <c r="H11673" i="1"/>
  <c r="A11674" i="1"/>
  <c r="B11674" i="1"/>
  <c r="C11674" i="1"/>
  <c r="D11674" i="1"/>
  <c r="E11674" i="1"/>
  <c r="F11674" i="1"/>
  <c r="H11674" i="1"/>
  <c r="A11675" i="1"/>
  <c r="B11675" i="1"/>
  <c r="C11675" i="1"/>
  <c r="D11675" i="1"/>
  <c r="E11675" i="1"/>
  <c r="F11675" i="1"/>
  <c r="H11675" i="1"/>
  <c r="A11676" i="1"/>
  <c r="B11676" i="1"/>
  <c r="C11676" i="1"/>
  <c r="D11676" i="1"/>
  <c r="E11676" i="1"/>
  <c r="F11676" i="1"/>
  <c r="H11676" i="1"/>
  <c r="A11677" i="1"/>
  <c r="B11677" i="1"/>
  <c r="C11677" i="1"/>
  <c r="D11677" i="1"/>
  <c r="E11677" i="1"/>
  <c r="F11677" i="1"/>
  <c r="H11677" i="1"/>
  <c r="A11678" i="1"/>
  <c r="B11678" i="1"/>
  <c r="C11678" i="1"/>
  <c r="D11678" i="1"/>
  <c r="E11678" i="1"/>
  <c r="F11678" i="1"/>
  <c r="H11678" i="1"/>
  <c r="A11679" i="1"/>
  <c r="B11679" i="1"/>
  <c r="C11679" i="1"/>
  <c r="D11679" i="1"/>
  <c r="E11679" i="1"/>
  <c r="F11679" i="1"/>
  <c r="H11679" i="1"/>
  <c r="A11680" i="1"/>
  <c r="B11680" i="1"/>
  <c r="C11680" i="1"/>
  <c r="D11680" i="1"/>
  <c r="E11680" i="1"/>
  <c r="F11680" i="1"/>
  <c r="H11680" i="1"/>
  <c r="A11681" i="1"/>
  <c r="B11681" i="1"/>
  <c r="C11681" i="1"/>
  <c r="D11681" i="1"/>
  <c r="E11681" i="1"/>
  <c r="F11681" i="1"/>
  <c r="H11681" i="1"/>
  <c r="A11682" i="1"/>
  <c r="B11682" i="1"/>
  <c r="C11682" i="1"/>
  <c r="D11682" i="1"/>
  <c r="E11682" i="1"/>
  <c r="F11682" i="1"/>
  <c r="H11682" i="1"/>
  <c r="A11683" i="1"/>
  <c r="B11683" i="1"/>
  <c r="C11683" i="1"/>
  <c r="D11683" i="1"/>
  <c r="E11683" i="1"/>
  <c r="F11683" i="1"/>
  <c r="H11683" i="1"/>
  <c r="A11684" i="1"/>
  <c r="B11684" i="1"/>
  <c r="C11684" i="1"/>
  <c r="D11684" i="1"/>
  <c r="E11684" i="1"/>
  <c r="F11684" i="1"/>
  <c r="H11684" i="1"/>
  <c r="A11685" i="1"/>
  <c r="B11685" i="1"/>
  <c r="C11685" i="1"/>
  <c r="D11685" i="1"/>
  <c r="E11685" i="1"/>
  <c r="F11685" i="1"/>
  <c r="H11685" i="1"/>
  <c r="A11686" i="1"/>
  <c r="B11686" i="1"/>
  <c r="C11686" i="1"/>
  <c r="D11686" i="1"/>
  <c r="E11686" i="1"/>
  <c r="F11686" i="1"/>
  <c r="H11686" i="1"/>
  <c r="A11687" i="1"/>
  <c r="B11687" i="1"/>
  <c r="C11687" i="1"/>
  <c r="D11687" i="1"/>
  <c r="E11687" i="1"/>
  <c r="F11687" i="1"/>
  <c r="H11687" i="1"/>
  <c r="A11688" i="1"/>
  <c r="B11688" i="1"/>
  <c r="C11688" i="1"/>
  <c r="D11688" i="1"/>
  <c r="E11688" i="1"/>
  <c r="F11688" i="1"/>
  <c r="H11688" i="1"/>
  <c r="A11689" i="1"/>
  <c r="B11689" i="1"/>
  <c r="C11689" i="1"/>
  <c r="D11689" i="1"/>
  <c r="E11689" i="1"/>
  <c r="F11689" i="1"/>
  <c r="H11689" i="1"/>
  <c r="A11690" i="1"/>
  <c r="B11690" i="1"/>
  <c r="C11690" i="1"/>
  <c r="D11690" i="1"/>
  <c r="E11690" i="1"/>
  <c r="F11690" i="1"/>
  <c r="H11690" i="1"/>
  <c r="A11691" i="1"/>
  <c r="B11691" i="1"/>
  <c r="C11691" i="1"/>
  <c r="D11691" i="1"/>
  <c r="E11691" i="1"/>
  <c r="F11691" i="1"/>
  <c r="H11691" i="1"/>
  <c r="A11692" i="1"/>
  <c r="B11692" i="1"/>
  <c r="C11692" i="1"/>
  <c r="D11692" i="1"/>
  <c r="E11692" i="1"/>
  <c r="F11692" i="1"/>
  <c r="H11692" i="1"/>
  <c r="A11693" i="1"/>
  <c r="B11693" i="1"/>
  <c r="C11693" i="1"/>
  <c r="D11693" i="1"/>
  <c r="E11693" i="1"/>
  <c r="F11693" i="1"/>
  <c r="H11693" i="1"/>
  <c r="A11694" i="1"/>
  <c r="B11694" i="1"/>
  <c r="C11694" i="1"/>
  <c r="D11694" i="1"/>
  <c r="E11694" i="1"/>
  <c r="F11694" i="1"/>
  <c r="H11694" i="1"/>
  <c r="A11695" i="1"/>
  <c r="B11695" i="1"/>
  <c r="C11695" i="1"/>
  <c r="D11695" i="1"/>
  <c r="E11695" i="1"/>
  <c r="F11695" i="1"/>
  <c r="H11695" i="1"/>
  <c r="A11696" i="1"/>
  <c r="B11696" i="1"/>
  <c r="C11696" i="1"/>
  <c r="D11696" i="1"/>
  <c r="E11696" i="1"/>
  <c r="F11696" i="1"/>
  <c r="H11696" i="1"/>
  <c r="A11697" i="1"/>
  <c r="B11697" i="1"/>
  <c r="C11697" i="1"/>
  <c r="D11697" i="1"/>
  <c r="E11697" i="1"/>
  <c r="F11697" i="1"/>
  <c r="H11697" i="1"/>
  <c r="A11698" i="1"/>
  <c r="B11698" i="1"/>
  <c r="C11698" i="1"/>
  <c r="D11698" i="1"/>
  <c r="E11698" i="1"/>
  <c r="F11698" i="1"/>
  <c r="H11698" i="1"/>
  <c r="A11699" i="1"/>
  <c r="B11699" i="1"/>
  <c r="C11699" i="1"/>
  <c r="D11699" i="1"/>
  <c r="E11699" i="1"/>
  <c r="F11699" i="1"/>
  <c r="H11699" i="1"/>
  <c r="A11700" i="1"/>
  <c r="B11700" i="1"/>
  <c r="C11700" i="1"/>
  <c r="D11700" i="1"/>
  <c r="E11700" i="1"/>
  <c r="F11700" i="1"/>
  <c r="H11700" i="1"/>
  <c r="A11701" i="1"/>
  <c r="B11701" i="1"/>
  <c r="C11701" i="1"/>
  <c r="D11701" i="1"/>
  <c r="E11701" i="1"/>
  <c r="F11701" i="1"/>
  <c r="H11701" i="1"/>
  <c r="A11702" i="1"/>
  <c r="B11702" i="1"/>
  <c r="C11702" i="1"/>
  <c r="D11702" i="1"/>
  <c r="E11702" i="1"/>
  <c r="F11702" i="1"/>
  <c r="H11702" i="1"/>
  <c r="A11703" i="1"/>
  <c r="B11703" i="1"/>
  <c r="C11703" i="1"/>
  <c r="D11703" i="1"/>
  <c r="E11703" i="1"/>
  <c r="F11703" i="1"/>
  <c r="H11703" i="1"/>
  <c r="A11704" i="1"/>
  <c r="B11704" i="1"/>
  <c r="C11704" i="1"/>
  <c r="D11704" i="1"/>
  <c r="E11704" i="1"/>
  <c r="F11704" i="1"/>
  <c r="H11704" i="1"/>
  <c r="A11705" i="1"/>
  <c r="B11705" i="1"/>
  <c r="C11705" i="1"/>
  <c r="D11705" i="1"/>
  <c r="E11705" i="1"/>
  <c r="F11705" i="1"/>
  <c r="H11705" i="1"/>
  <c r="A11706" i="1"/>
  <c r="B11706" i="1"/>
  <c r="C11706" i="1"/>
  <c r="D11706" i="1"/>
  <c r="E11706" i="1"/>
  <c r="F11706" i="1"/>
  <c r="H11706" i="1"/>
  <c r="A11707" i="1"/>
  <c r="B11707" i="1"/>
  <c r="C11707" i="1"/>
  <c r="D11707" i="1"/>
  <c r="E11707" i="1"/>
  <c r="F11707" i="1"/>
  <c r="H11707" i="1"/>
  <c r="A11708" i="1"/>
  <c r="B11708" i="1"/>
  <c r="C11708" i="1"/>
  <c r="D11708" i="1"/>
  <c r="E11708" i="1"/>
  <c r="F11708" i="1"/>
  <c r="H11708" i="1"/>
  <c r="A11709" i="1"/>
  <c r="B11709" i="1"/>
  <c r="C11709" i="1"/>
  <c r="D11709" i="1"/>
  <c r="E11709" i="1"/>
  <c r="F11709" i="1"/>
  <c r="H11709" i="1"/>
  <c r="A11710" i="1"/>
  <c r="B11710" i="1"/>
  <c r="C11710" i="1"/>
  <c r="D11710" i="1"/>
  <c r="E11710" i="1"/>
  <c r="F11710" i="1"/>
  <c r="H11710" i="1"/>
  <c r="A11711" i="1"/>
  <c r="B11711" i="1"/>
  <c r="C11711" i="1"/>
  <c r="D11711" i="1"/>
  <c r="E11711" i="1"/>
  <c r="F11711" i="1"/>
  <c r="H11711" i="1"/>
  <c r="A11712" i="1"/>
  <c r="B11712" i="1"/>
  <c r="C11712" i="1"/>
  <c r="D11712" i="1"/>
  <c r="E11712" i="1"/>
  <c r="F11712" i="1"/>
  <c r="H11712" i="1"/>
  <c r="A11713" i="1"/>
  <c r="B11713" i="1"/>
  <c r="C11713" i="1"/>
  <c r="D11713" i="1"/>
  <c r="E11713" i="1"/>
  <c r="F11713" i="1"/>
  <c r="H11713" i="1"/>
  <c r="A11714" i="1"/>
  <c r="B11714" i="1"/>
  <c r="C11714" i="1"/>
  <c r="D11714" i="1"/>
  <c r="E11714" i="1"/>
  <c r="F11714" i="1"/>
  <c r="H11714" i="1"/>
  <c r="A11715" i="1"/>
  <c r="B11715" i="1"/>
  <c r="C11715" i="1"/>
  <c r="D11715" i="1"/>
  <c r="E11715" i="1"/>
  <c r="F11715" i="1"/>
  <c r="H11715" i="1"/>
  <c r="A11716" i="1"/>
  <c r="B11716" i="1"/>
  <c r="C11716" i="1"/>
  <c r="D11716" i="1"/>
  <c r="E11716" i="1"/>
  <c r="F11716" i="1"/>
  <c r="H11716" i="1"/>
  <c r="A11717" i="1"/>
  <c r="B11717" i="1"/>
  <c r="C11717" i="1"/>
  <c r="D11717" i="1"/>
  <c r="E11717" i="1"/>
  <c r="F11717" i="1"/>
  <c r="H11717" i="1"/>
  <c r="A11718" i="1"/>
  <c r="B11718" i="1"/>
  <c r="C11718" i="1"/>
  <c r="D11718" i="1"/>
  <c r="E11718" i="1"/>
  <c r="F11718" i="1"/>
  <c r="H11718" i="1"/>
  <c r="A11719" i="1"/>
  <c r="B11719" i="1"/>
  <c r="C11719" i="1"/>
  <c r="D11719" i="1"/>
  <c r="E11719" i="1"/>
  <c r="F11719" i="1"/>
  <c r="H11719" i="1"/>
  <c r="A11720" i="1"/>
  <c r="B11720" i="1"/>
  <c r="C11720" i="1"/>
  <c r="D11720" i="1"/>
  <c r="E11720" i="1"/>
  <c r="F11720" i="1"/>
  <c r="H11720" i="1"/>
  <c r="A11721" i="1"/>
  <c r="B11721" i="1"/>
  <c r="C11721" i="1"/>
  <c r="D11721" i="1"/>
  <c r="E11721" i="1"/>
  <c r="F11721" i="1"/>
  <c r="H11721" i="1"/>
  <c r="A11722" i="1"/>
  <c r="B11722" i="1"/>
  <c r="C11722" i="1"/>
  <c r="D11722" i="1"/>
  <c r="E11722" i="1"/>
  <c r="F11722" i="1"/>
  <c r="H11722" i="1"/>
  <c r="A11723" i="1"/>
  <c r="B11723" i="1"/>
  <c r="C11723" i="1"/>
  <c r="D11723" i="1"/>
  <c r="E11723" i="1"/>
  <c r="F11723" i="1"/>
  <c r="H11723" i="1"/>
  <c r="A11724" i="1"/>
  <c r="B11724" i="1"/>
  <c r="C11724" i="1"/>
  <c r="D11724" i="1"/>
  <c r="E11724" i="1"/>
  <c r="F11724" i="1"/>
  <c r="H11724" i="1"/>
  <c r="A11725" i="1"/>
  <c r="B11725" i="1"/>
  <c r="C11725" i="1"/>
  <c r="D11725" i="1"/>
  <c r="E11725" i="1"/>
  <c r="F11725" i="1"/>
  <c r="H11725" i="1"/>
  <c r="A11726" i="1"/>
  <c r="B11726" i="1"/>
  <c r="C11726" i="1"/>
  <c r="D11726" i="1"/>
  <c r="E11726" i="1"/>
  <c r="F11726" i="1"/>
  <c r="H11726" i="1"/>
  <c r="A11727" i="1"/>
  <c r="B11727" i="1"/>
  <c r="C11727" i="1"/>
  <c r="D11727" i="1"/>
  <c r="E11727" i="1"/>
  <c r="F11727" i="1"/>
  <c r="H11727" i="1"/>
  <c r="A11728" i="1"/>
  <c r="B11728" i="1"/>
  <c r="C11728" i="1"/>
  <c r="D11728" i="1"/>
  <c r="E11728" i="1"/>
  <c r="F11728" i="1"/>
  <c r="H11728" i="1"/>
  <c r="A11729" i="1"/>
  <c r="B11729" i="1"/>
  <c r="C11729" i="1"/>
  <c r="D11729" i="1"/>
  <c r="E11729" i="1"/>
  <c r="F11729" i="1"/>
  <c r="H11729" i="1"/>
  <c r="A11730" i="1"/>
  <c r="B11730" i="1"/>
  <c r="C11730" i="1"/>
  <c r="D11730" i="1"/>
  <c r="E11730" i="1"/>
  <c r="F11730" i="1"/>
  <c r="H11730" i="1"/>
  <c r="A11731" i="1"/>
  <c r="B11731" i="1"/>
  <c r="C11731" i="1"/>
  <c r="D11731" i="1"/>
  <c r="E11731" i="1"/>
  <c r="F11731" i="1"/>
  <c r="H11731" i="1"/>
  <c r="A11732" i="1"/>
  <c r="B11732" i="1"/>
  <c r="C11732" i="1"/>
  <c r="D11732" i="1"/>
  <c r="E11732" i="1"/>
  <c r="F11732" i="1"/>
  <c r="H11732" i="1"/>
  <c r="A11733" i="1"/>
  <c r="B11733" i="1"/>
  <c r="C11733" i="1"/>
  <c r="D11733" i="1"/>
  <c r="E11733" i="1"/>
  <c r="F11733" i="1"/>
  <c r="H11733" i="1"/>
  <c r="A11734" i="1"/>
  <c r="B11734" i="1"/>
  <c r="C11734" i="1"/>
  <c r="D11734" i="1"/>
  <c r="E11734" i="1"/>
  <c r="F11734" i="1"/>
  <c r="H11734" i="1"/>
  <c r="A11735" i="1"/>
  <c r="B11735" i="1"/>
  <c r="C11735" i="1"/>
  <c r="D11735" i="1"/>
  <c r="E11735" i="1"/>
  <c r="F11735" i="1"/>
  <c r="H11735" i="1"/>
  <c r="A11736" i="1"/>
  <c r="B11736" i="1"/>
  <c r="C11736" i="1"/>
  <c r="D11736" i="1"/>
  <c r="E11736" i="1"/>
  <c r="F11736" i="1"/>
  <c r="H11736" i="1"/>
  <c r="A11737" i="1"/>
  <c r="B11737" i="1"/>
  <c r="C11737" i="1"/>
  <c r="D11737" i="1"/>
  <c r="E11737" i="1"/>
  <c r="F11737" i="1"/>
  <c r="H11737" i="1"/>
  <c r="A11738" i="1"/>
  <c r="B11738" i="1"/>
  <c r="C11738" i="1"/>
  <c r="D11738" i="1"/>
  <c r="E11738" i="1"/>
  <c r="F11738" i="1"/>
  <c r="H11738" i="1"/>
  <c r="A11739" i="1"/>
  <c r="B11739" i="1"/>
  <c r="C11739" i="1"/>
  <c r="D11739" i="1"/>
  <c r="E11739" i="1"/>
  <c r="F11739" i="1"/>
  <c r="H11739" i="1"/>
  <c r="A11740" i="1"/>
  <c r="B11740" i="1"/>
  <c r="C11740" i="1"/>
  <c r="D11740" i="1"/>
  <c r="E11740" i="1"/>
  <c r="F11740" i="1"/>
  <c r="H11740" i="1"/>
  <c r="A11741" i="1"/>
  <c r="B11741" i="1"/>
  <c r="C11741" i="1"/>
  <c r="D11741" i="1"/>
  <c r="E11741" i="1"/>
  <c r="F11741" i="1"/>
  <c r="H11741" i="1"/>
  <c r="A11742" i="1"/>
  <c r="B11742" i="1"/>
  <c r="C11742" i="1"/>
  <c r="D11742" i="1"/>
  <c r="E11742" i="1"/>
  <c r="F11742" i="1"/>
  <c r="H11742" i="1"/>
  <c r="A11743" i="1"/>
  <c r="B11743" i="1"/>
  <c r="C11743" i="1"/>
  <c r="D11743" i="1"/>
  <c r="E11743" i="1"/>
  <c r="F11743" i="1"/>
  <c r="H11743" i="1"/>
  <c r="A11744" i="1"/>
  <c r="B11744" i="1"/>
  <c r="C11744" i="1"/>
  <c r="D11744" i="1"/>
  <c r="E11744" i="1"/>
  <c r="F11744" i="1"/>
  <c r="H11744" i="1"/>
  <c r="A11745" i="1"/>
  <c r="B11745" i="1"/>
  <c r="C11745" i="1"/>
  <c r="D11745" i="1"/>
  <c r="E11745" i="1"/>
  <c r="F11745" i="1"/>
  <c r="H11745" i="1"/>
  <c r="A11746" i="1"/>
  <c r="B11746" i="1"/>
  <c r="C11746" i="1"/>
  <c r="D11746" i="1"/>
  <c r="E11746" i="1"/>
  <c r="F11746" i="1"/>
  <c r="H11746" i="1"/>
  <c r="A11747" i="1"/>
  <c r="B11747" i="1"/>
  <c r="C11747" i="1"/>
  <c r="D11747" i="1"/>
  <c r="E11747" i="1"/>
  <c r="F11747" i="1"/>
  <c r="H11747" i="1"/>
  <c r="A11748" i="1"/>
  <c r="B11748" i="1"/>
  <c r="C11748" i="1"/>
  <c r="D11748" i="1"/>
  <c r="E11748" i="1"/>
  <c r="F11748" i="1"/>
  <c r="H11748" i="1"/>
  <c r="A11749" i="1"/>
  <c r="B11749" i="1"/>
  <c r="C11749" i="1"/>
  <c r="D11749" i="1"/>
  <c r="E11749" i="1"/>
  <c r="F11749" i="1"/>
  <c r="H11749" i="1"/>
  <c r="A11750" i="1"/>
  <c r="B11750" i="1"/>
  <c r="C11750" i="1"/>
  <c r="D11750" i="1"/>
  <c r="E11750" i="1"/>
  <c r="F11750" i="1"/>
  <c r="H11750" i="1"/>
  <c r="A11751" i="1"/>
  <c r="B11751" i="1"/>
  <c r="C11751" i="1"/>
  <c r="D11751" i="1"/>
  <c r="E11751" i="1"/>
  <c r="F11751" i="1"/>
  <c r="H11751" i="1"/>
  <c r="A11752" i="1"/>
  <c r="B11752" i="1"/>
  <c r="C11752" i="1"/>
  <c r="D11752" i="1"/>
  <c r="E11752" i="1"/>
  <c r="F11752" i="1"/>
  <c r="H11752" i="1"/>
  <c r="A11753" i="1"/>
  <c r="B11753" i="1"/>
  <c r="C11753" i="1"/>
  <c r="D11753" i="1"/>
  <c r="E11753" i="1"/>
  <c r="F11753" i="1"/>
  <c r="H11753" i="1"/>
  <c r="A11754" i="1"/>
  <c r="B11754" i="1"/>
  <c r="C11754" i="1"/>
  <c r="D11754" i="1"/>
  <c r="E11754" i="1"/>
  <c r="F11754" i="1"/>
  <c r="H11754" i="1"/>
  <c r="A11755" i="1"/>
  <c r="B11755" i="1"/>
  <c r="C11755" i="1"/>
  <c r="D11755" i="1"/>
  <c r="E11755" i="1"/>
  <c r="F11755" i="1"/>
  <c r="H11755" i="1"/>
  <c r="A11756" i="1"/>
  <c r="B11756" i="1"/>
  <c r="C11756" i="1"/>
  <c r="D11756" i="1"/>
  <c r="E11756" i="1"/>
  <c r="F11756" i="1"/>
  <c r="H11756" i="1"/>
  <c r="A11757" i="1"/>
  <c r="B11757" i="1"/>
  <c r="C11757" i="1"/>
  <c r="D11757" i="1"/>
  <c r="E11757" i="1"/>
  <c r="F11757" i="1"/>
  <c r="H11757" i="1"/>
  <c r="A11758" i="1"/>
  <c r="B11758" i="1"/>
  <c r="C11758" i="1"/>
  <c r="D11758" i="1"/>
  <c r="E11758" i="1"/>
  <c r="F11758" i="1"/>
  <c r="H11758" i="1"/>
  <c r="A11759" i="1"/>
  <c r="B11759" i="1"/>
  <c r="C11759" i="1"/>
  <c r="D11759" i="1"/>
  <c r="E11759" i="1"/>
  <c r="F11759" i="1"/>
  <c r="H11759" i="1"/>
  <c r="A11760" i="1"/>
  <c r="B11760" i="1"/>
  <c r="C11760" i="1"/>
  <c r="D11760" i="1"/>
  <c r="E11760" i="1"/>
  <c r="F11760" i="1"/>
  <c r="H11760" i="1"/>
  <c r="A11761" i="1"/>
  <c r="B11761" i="1"/>
  <c r="C11761" i="1"/>
  <c r="D11761" i="1"/>
  <c r="E11761" i="1"/>
  <c r="F11761" i="1"/>
  <c r="H11761" i="1"/>
  <c r="A11762" i="1"/>
  <c r="B11762" i="1"/>
  <c r="C11762" i="1"/>
  <c r="D11762" i="1"/>
  <c r="E11762" i="1"/>
  <c r="F11762" i="1"/>
  <c r="H11762" i="1"/>
  <c r="A11763" i="1"/>
  <c r="B11763" i="1"/>
  <c r="C11763" i="1"/>
  <c r="D11763" i="1"/>
  <c r="E11763" i="1"/>
  <c r="F11763" i="1"/>
  <c r="H11763" i="1"/>
  <c r="A11764" i="1"/>
  <c r="B11764" i="1"/>
  <c r="C11764" i="1"/>
  <c r="D11764" i="1"/>
  <c r="E11764" i="1"/>
  <c r="F11764" i="1"/>
  <c r="H11764" i="1"/>
  <c r="A11765" i="1"/>
  <c r="B11765" i="1"/>
  <c r="C11765" i="1"/>
  <c r="D11765" i="1"/>
  <c r="E11765" i="1"/>
  <c r="F11765" i="1"/>
  <c r="H11765" i="1"/>
  <c r="A11766" i="1"/>
  <c r="B11766" i="1"/>
  <c r="C11766" i="1"/>
  <c r="D11766" i="1"/>
  <c r="E11766" i="1"/>
  <c r="F11766" i="1"/>
  <c r="H11766" i="1"/>
  <c r="A11767" i="1"/>
  <c r="B11767" i="1"/>
  <c r="C11767" i="1"/>
  <c r="D11767" i="1"/>
  <c r="E11767" i="1"/>
  <c r="F11767" i="1"/>
  <c r="H11767" i="1"/>
  <c r="A11768" i="1"/>
  <c r="B11768" i="1"/>
  <c r="C11768" i="1"/>
  <c r="D11768" i="1"/>
  <c r="E11768" i="1"/>
  <c r="F11768" i="1"/>
  <c r="H11768" i="1"/>
  <c r="A11769" i="1"/>
  <c r="B11769" i="1"/>
  <c r="C11769" i="1"/>
  <c r="D11769" i="1"/>
  <c r="E11769" i="1"/>
  <c r="F11769" i="1"/>
  <c r="H11769" i="1"/>
  <c r="A11770" i="1"/>
  <c r="B11770" i="1"/>
  <c r="C11770" i="1"/>
  <c r="D11770" i="1"/>
  <c r="E11770" i="1"/>
  <c r="F11770" i="1"/>
  <c r="H11770" i="1"/>
  <c r="A11771" i="1"/>
  <c r="B11771" i="1"/>
  <c r="C11771" i="1"/>
  <c r="D11771" i="1"/>
  <c r="E11771" i="1"/>
  <c r="F11771" i="1"/>
  <c r="H11771" i="1"/>
  <c r="A11772" i="1"/>
  <c r="B11772" i="1"/>
  <c r="C11772" i="1"/>
  <c r="D11772" i="1"/>
  <c r="E11772" i="1"/>
  <c r="F11772" i="1"/>
  <c r="H11772" i="1"/>
  <c r="A11773" i="1"/>
  <c r="B11773" i="1"/>
  <c r="C11773" i="1"/>
  <c r="D11773" i="1"/>
  <c r="E11773" i="1"/>
  <c r="F11773" i="1"/>
  <c r="H11773" i="1"/>
  <c r="A11774" i="1"/>
  <c r="B11774" i="1"/>
  <c r="C11774" i="1"/>
  <c r="D11774" i="1"/>
  <c r="E11774" i="1"/>
  <c r="F11774" i="1"/>
  <c r="H11774" i="1"/>
  <c r="A11775" i="1"/>
  <c r="B11775" i="1"/>
  <c r="C11775" i="1"/>
  <c r="D11775" i="1"/>
  <c r="E11775" i="1"/>
  <c r="F11775" i="1"/>
  <c r="H11775" i="1"/>
  <c r="A11776" i="1"/>
  <c r="B11776" i="1"/>
  <c r="C11776" i="1"/>
  <c r="D11776" i="1"/>
  <c r="E11776" i="1"/>
  <c r="F11776" i="1"/>
  <c r="H11776" i="1"/>
  <c r="A11777" i="1"/>
  <c r="B11777" i="1"/>
  <c r="C11777" i="1"/>
  <c r="D11777" i="1"/>
  <c r="E11777" i="1"/>
  <c r="F11777" i="1"/>
  <c r="H11777" i="1"/>
  <c r="A11778" i="1"/>
  <c r="B11778" i="1"/>
  <c r="C11778" i="1"/>
  <c r="D11778" i="1"/>
  <c r="E11778" i="1"/>
  <c r="F11778" i="1"/>
  <c r="H11778" i="1"/>
  <c r="A11779" i="1"/>
  <c r="B11779" i="1"/>
  <c r="C11779" i="1"/>
  <c r="D11779" i="1"/>
  <c r="E11779" i="1"/>
  <c r="F11779" i="1"/>
  <c r="H11779" i="1"/>
  <c r="A11780" i="1"/>
  <c r="B11780" i="1"/>
  <c r="C11780" i="1"/>
  <c r="D11780" i="1"/>
  <c r="E11780" i="1"/>
  <c r="F11780" i="1"/>
  <c r="H11780" i="1"/>
  <c r="A11781" i="1"/>
  <c r="B11781" i="1"/>
  <c r="C11781" i="1"/>
  <c r="D11781" i="1"/>
  <c r="E11781" i="1"/>
  <c r="F11781" i="1"/>
  <c r="H11781" i="1"/>
  <c r="A11782" i="1"/>
  <c r="B11782" i="1"/>
  <c r="C11782" i="1"/>
  <c r="D11782" i="1"/>
  <c r="E11782" i="1"/>
  <c r="F11782" i="1"/>
  <c r="H11782" i="1"/>
  <c r="A11783" i="1"/>
  <c r="B11783" i="1"/>
  <c r="C11783" i="1"/>
  <c r="D11783" i="1"/>
  <c r="E11783" i="1"/>
  <c r="F11783" i="1"/>
  <c r="H11783" i="1"/>
  <c r="A11784" i="1"/>
  <c r="B11784" i="1"/>
  <c r="C11784" i="1"/>
  <c r="D11784" i="1"/>
  <c r="E11784" i="1"/>
  <c r="F11784" i="1"/>
  <c r="H11784" i="1"/>
  <c r="A11785" i="1"/>
  <c r="B11785" i="1"/>
  <c r="C11785" i="1"/>
  <c r="D11785" i="1"/>
  <c r="E11785" i="1"/>
  <c r="F11785" i="1"/>
  <c r="H11785" i="1"/>
  <c r="A11786" i="1"/>
  <c r="B11786" i="1"/>
  <c r="C11786" i="1"/>
  <c r="D11786" i="1"/>
  <c r="E11786" i="1"/>
  <c r="F11786" i="1"/>
  <c r="H11786" i="1"/>
  <c r="A11787" i="1"/>
  <c r="B11787" i="1"/>
  <c r="C11787" i="1"/>
  <c r="D11787" i="1"/>
  <c r="E11787" i="1"/>
  <c r="F11787" i="1"/>
  <c r="H11787" i="1"/>
  <c r="A11788" i="1"/>
  <c r="B11788" i="1"/>
  <c r="C11788" i="1"/>
  <c r="D11788" i="1"/>
  <c r="E11788" i="1"/>
  <c r="F11788" i="1"/>
  <c r="H11788" i="1"/>
  <c r="A11789" i="1"/>
  <c r="B11789" i="1"/>
  <c r="C11789" i="1"/>
  <c r="D11789" i="1"/>
  <c r="E11789" i="1"/>
  <c r="F11789" i="1"/>
  <c r="H11789" i="1"/>
  <c r="A11790" i="1"/>
  <c r="B11790" i="1"/>
  <c r="C11790" i="1"/>
  <c r="D11790" i="1"/>
  <c r="E11790" i="1"/>
  <c r="F11790" i="1"/>
  <c r="H11790" i="1"/>
  <c r="A11791" i="1"/>
  <c r="B11791" i="1"/>
  <c r="C11791" i="1"/>
  <c r="D11791" i="1"/>
  <c r="E11791" i="1"/>
  <c r="F11791" i="1"/>
  <c r="H11791" i="1"/>
  <c r="A11792" i="1"/>
  <c r="B11792" i="1"/>
  <c r="C11792" i="1"/>
  <c r="D11792" i="1"/>
  <c r="E11792" i="1"/>
  <c r="F11792" i="1"/>
  <c r="H11792" i="1"/>
  <c r="A11793" i="1"/>
  <c r="B11793" i="1"/>
  <c r="C11793" i="1"/>
  <c r="D11793" i="1"/>
  <c r="E11793" i="1"/>
  <c r="F11793" i="1"/>
  <c r="H11793" i="1"/>
  <c r="A11794" i="1"/>
  <c r="B11794" i="1"/>
  <c r="C11794" i="1"/>
  <c r="D11794" i="1"/>
  <c r="E11794" i="1"/>
  <c r="F11794" i="1"/>
  <c r="H11794" i="1"/>
  <c r="A11795" i="1"/>
  <c r="B11795" i="1"/>
  <c r="C11795" i="1"/>
  <c r="D11795" i="1"/>
  <c r="E11795" i="1"/>
  <c r="F11795" i="1"/>
  <c r="H11795" i="1"/>
  <c r="A11796" i="1"/>
  <c r="B11796" i="1"/>
  <c r="C11796" i="1"/>
  <c r="D11796" i="1"/>
  <c r="E11796" i="1"/>
  <c r="F11796" i="1"/>
  <c r="H11796" i="1"/>
  <c r="A11797" i="1"/>
  <c r="B11797" i="1"/>
  <c r="C11797" i="1"/>
  <c r="D11797" i="1"/>
  <c r="E11797" i="1"/>
  <c r="F11797" i="1"/>
  <c r="H11797" i="1"/>
  <c r="A11798" i="1"/>
  <c r="B11798" i="1"/>
  <c r="C11798" i="1"/>
  <c r="D11798" i="1"/>
  <c r="E11798" i="1"/>
  <c r="F11798" i="1"/>
  <c r="H11798" i="1"/>
  <c r="A11799" i="1"/>
  <c r="B11799" i="1"/>
  <c r="C11799" i="1"/>
  <c r="D11799" i="1"/>
  <c r="E11799" i="1"/>
  <c r="F11799" i="1"/>
  <c r="H11799" i="1"/>
  <c r="A11800" i="1"/>
  <c r="B11800" i="1"/>
  <c r="C11800" i="1"/>
  <c r="D11800" i="1"/>
  <c r="E11800" i="1"/>
  <c r="F11800" i="1"/>
  <c r="H11800" i="1"/>
  <c r="A11801" i="1"/>
  <c r="B11801" i="1"/>
  <c r="C11801" i="1"/>
  <c r="D11801" i="1"/>
  <c r="E11801" i="1"/>
  <c r="F11801" i="1"/>
  <c r="H11801" i="1"/>
  <c r="A11802" i="1"/>
  <c r="B11802" i="1"/>
  <c r="C11802" i="1"/>
  <c r="D11802" i="1"/>
  <c r="E11802" i="1"/>
  <c r="F11802" i="1"/>
  <c r="H11802" i="1"/>
  <c r="A11803" i="1"/>
  <c r="B11803" i="1"/>
  <c r="C11803" i="1"/>
  <c r="D11803" i="1"/>
  <c r="E11803" i="1"/>
  <c r="F11803" i="1"/>
  <c r="H11803" i="1"/>
  <c r="A11804" i="1"/>
  <c r="B11804" i="1"/>
  <c r="C11804" i="1"/>
  <c r="D11804" i="1"/>
  <c r="E11804" i="1"/>
  <c r="F11804" i="1"/>
  <c r="H11804" i="1"/>
  <c r="A11805" i="1"/>
  <c r="B11805" i="1"/>
  <c r="C11805" i="1"/>
  <c r="D11805" i="1"/>
  <c r="E11805" i="1"/>
  <c r="F11805" i="1"/>
  <c r="H11805" i="1"/>
  <c r="A11806" i="1"/>
  <c r="B11806" i="1"/>
  <c r="C11806" i="1"/>
  <c r="D11806" i="1"/>
  <c r="E11806" i="1"/>
  <c r="F11806" i="1"/>
  <c r="H11806" i="1"/>
  <c r="A11807" i="1"/>
  <c r="B11807" i="1"/>
  <c r="C11807" i="1"/>
  <c r="D11807" i="1"/>
  <c r="E11807" i="1"/>
  <c r="F11807" i="1"/>
  <c r="H11807" i="1"/>
  <c r="A11808" i="1"/>
  <c r="B11808" i="1"/>
  <c r="C11808" i="1"/>
  <c r="D11808" i="1"/>
  <c r="E11808" i="1"/>
  <c r="F11808" i="1"/>
  <c r="H11808" i="1"/>
  <c r="A11809" i="1"/>
  <c r="B11809" i="1"/>
  <c r="C11809" i="1"/>
  <c r="D11809" i="1"/>
  <c r="E11809" i="1"/>
  <c r="F11809" i="1"/>
  <c r="H11809" i="1"/>
  <c r="A11810" i="1"/>
  <c r="B11810" i="1"/>
  <c r="C11810" i="1"/>
  <c r="D11810" i="1"/>
  <c r="E11810" i="1"/>
  <c r="F11810" i="1"/>
  <c r="H11810" i="1"/>
  <c r="A11811" i="1"/>
  <c r="B11811" i="1"/>
  <c r="C11811" i="1"/>
  <c r="D11811" i="1"/>
  <c r="E11811" i="1"/>
  <c r="F11811" i="1"/>
  <c r="H11811" i="1"/>
  <c r="A11812" i="1"/>
  <c r="B11812" i="1"/>
  <c r="C11812" i="1"/>
  <c r="D11812" i="1"/>
  <c r="E11812" i="1"/>
  <c r="F11812" i="1"/>
  <c r="H11812" i="1"/>
  <c r="A11813" i="1"/>
  <c r="B11813" i="1"/>
  <c r="C11813" i="1"/>
  <c r="D11813" i="1"/>
  <c r="E11813" i="1"/>
  <c r="F11813" i="1"/>
  <c r="H11813" i="1"/>
  <c r="A11814" i="1"/>
  <c r="B11814" i="1"/>
  <c r="C11814" i="1"/>
  <c r="D11814" i="1"/>
  <c r="E11814" i="1"/>
  <c r="F11814" i="1"/>
  <c r="H11814" i="1"/>
  <c r="A11815" i="1"/>
  <c r="B11815" i="1"/>
  <c r="C11815" i="1"/>
  <c r="D11815" i="1"/>
  <c r="E11815" i="1"/>
  <c r="F11815" i="1"/>
  <c r="H11815" i="1"/>
  <c r="A11816" i="1"/>
  <c r="B11816" i="1"/>
  <c r="C11816" i="1"/>
  <c r="D11816" i="1"/>
  <c r="E11816" i="1"/>
  <c r="F11816" i="1"/>
  <c r="H11816" i="1"/>
  <c r="A11817" i="1"/>
  <c r="B11817" i="1"/>
  <c r="C11817" i="1"/>
  <c r="D11817" i="1"/>
  <c r="E11817" i="1"/>
  <c r="F11817" i="1"/>
  <c r="H11817" i="1"/>
  <c r="A11818" i="1"/>
  <c r="B11818" i="1"/>
  <c r="C11818" i="1"/>
  <c r="D11818" i="1"/>
  <c r="E11818" i="1"/>
  <c r="F11818" i="1"/>
  <c r="H11818" i="1"/>
  <c r="A11819" i="1"/>
  <c r="B11819" i="1"/>
  <c r="C11819" i="1"/>
  <c r="D11819" i="1"/>
  <c r="E11819" i="1"/>
  <c r="F11819" i="1"/>
  <c r="H11819" i="1"/>
  <c r="A11820" i="1"/>
  <c r="B11820" i="1"/>
  <c r="C11820" i="1"/>
  <c r="D11820" i="1"/>
  <c r="E11820" i="1"/>
  <c r="F11820" i="1"/>
  <c r="H11820" i="1"/>
  <c r="A11821" i="1"/>
  <c r="B11821" i="1"/>
  <c r="C11821" i="1"/>
  <c r="D11821" i="1"/>
  <c r="E11821" i="1"/>
  <c r="F11821" i="1"/>
  <c r="H11821" i="1"/>
  <c r="A11822" i="1"/>
  <c r="B11822" i="1"/>
  <c r="C11822" i="1"/>
  <c r="D11822" i="1"/>
  <c r="E11822" i="1"/>
  <c r="F11822" i="1"/>
  <c r="H11822" i="1"/>
  <c r="A11823" i="1"/>
  <c r="B11823" i="1"/>
  <c r="C11823" i="1"/>
  <c r="D11823" i="1"/>
  <c r="E11823" i="1"/>
  <c r="F11823" i="1"/>
  <c r="H11823" i="1"/>
  <c r="A11824" i="1"/>
  <c r="B11824" i="1"/>
  <c r="C11824" i="1"/>
  <c r="D11824" i="1"/>
  <c r="E11824" i="1"/>
  <c r="F11824" i="1"/>
  <c r="H11824" i="1"/>
  <c r="A11825" i="1"/>
  <c r="B11825" i="1"/>
  <c r="C11825" i="1"/>
  <c r="D11825" i="1"/>
  <c r="E11825" i="1"/>
  <c r="F11825" i="1"/>
  <c r="H11825" i="1"/>
  <c r="A11826" i="1"/>
  <c r="B11826" i="1"/>
  <c r="C11826" i="1"/>
  <c r="D11826" i="1"/>
  <c r="E11826" i="1"/>
  <c r="F11826" i="1"/>
  <c r="H11826" i="1"/>
  <c r="A11827" i="1"/>
  <c r="B11827" i="1"/>
  <c r="C11827" i="1"/>
  <c r="D11827" i="1"/>
  <c r="E11827" i="1"/>
  <c r="F11827" i="1"/>
  <c r="H11827" i="1"/>
  <c r="A11828" i="1"/>
  <c r="B11828" i="1"/>
  <c r="C11828" i="1"/>
  <c r="D11828" i="1"/>
  <c r="E11828" i="1"/>
  <c r="F11828" i="1"/>
  <c r="H11828" i="1"/>
  <c r="A11829" i="1"/>
  <c r="B11829" i="1"/>
  <c r="C11829" i="1"/>
  <c r="D11829" i="1"/>
  <c r="E11829" i="1"/>
  <c r="F11829" i="1"/>
  <c r="H11829" i="1"/>
  <c r="A11830" i="1"/>
  <c r="B11830" i="1"/>
  <c r="C11830" i="1"/>
  <c r="D11830" i="1"/>
  <c r="E11830" i="1"/>
  <c r="F11830" i="1"/>
  <c r="H11830" i="1"/>
  <c r="A11831" i="1"/>
  <c r="B11831" i="1"/>
  <c r="C11831" i="1"/>
  <c r="D11831" i="1"/>
  <c r="E11831" i="1"/>
  <c r="F11831" i="1"/>
  <c r="H11831" i="1"/>
  <c r="A11832" i="1"/>
  <c r="B11832" i="1"/>
  <c r="C11832" i="1"/>
  <c r="D11832" i="1"/>
  <c r="E11832" i="1"/>
  <c r="F11832" i="1"/>
  <c r="H11832" i="1"/>
  <c r="A11833" i="1"/>
  <c r="B11833" i="1"/>
  <c r="C11833" i="1"/>
  <c r="D11833" i="1"/>
  <c r="E11833" i="1"/>
  <c r="F11833" i="1"/>
  <c r="H11833" i="1"/>
  <c r="A11834" i="1"/>
  <c r="B11834" i="1"/>
  <c r="C11834" i="1"/>
  <c r="D11834" i="1"/>
  <c r="E11834" i="1"/>
  <c r="F11834" i="1"/>
  <c r="H11834" i="1"/>
  <c r="A11835" i="1"/>
  <c r="B11835" i="1"/>
  <c r="C11835" i="1"/>
  <c r="D11835" i="1"/>
  <c r="E11835" i="1"/>
  <c r="F11835" i="1"/>
  <c r="H11835" i="1"/>
  <c r="A11836" i="1"/>
  <c r="B11836" i="1"/>
  <c r="C11836" i="1"/>
  <c r="D11836" i="1"/>
  <c r="E11836" i="1"/>
  <c r="F11836" i="1"/>
  <c r="H11836" i="1"/>
  <c r="A11837" i="1"/>
  <c r="B11837" i="1"/>
  <c r="C11837" i="1"/>
  <c r="D11837" i="1"/>
  <c r="E11837" i="1"/>
  <c r="F11837" i="1"/>
  <c r="H11837" i="1"/>
  <c r="A11838" i="1"/>
  <c r="B11838" i="1"/>
  <c r="C11838" i="1"/>
  <c r="D11838" i="1"/>
  <c r="E11838" i="1"/>
  <c r="F11838" i="1"/>
  <c r="H11838" i="1"/>
  <c r="A11839" i="1"/>
  <c r="B11839" i="1"/>
  <c r="C11839" i="1"/>
  <c r="D11839" i="1"/>
  <c r="E11839" i="1"/>
  <c r="F11839" i="1"/>
  <c r="H11839" i="1"/>
  <c r="A11840" i="1"/>
  <c r="B11840" i="1"/>
  <c r="C11840" i="1"/>
  <c r="D11840" i="1"/>
  <c r="E11840" i="1"/>
  <c r="F11840" i="1"/>
  <c r="H11840" i="1"/>
  <c r="A11841" i="1"/>
  <c r="B11841" i="1"/>
  <c r="C11841" i="1"/>
  <c r="D11841" i="1"/>
  <c r="E11841" i="1"/>
  <c r="F11841" i="1"/>
  <c r="H11841" i="1"/>
  <c r="A11842" i="1"/>
  <c r="B11842" i="1"/>
  <c r="C11842" i="1"/>
  <c r="D11842" i="1"/>
  <c r="E11842" i="1"/>
  <c r="F11842" i="1"/>
  <c r="H11842" i="1"/>
  <c r="A11843" i="1"/>
  <c r="B11843" i="1"/>
  <c r="C11843" i="1"/>
  <c r="D11843" i="1"/>
  <c r="E11843" i="1"/>
  <c r="F11843" i="1"/>
  <c r="H11843" i="1"/>
  <c r="A11844" i="1"/>
  <c r="B11844" i="1"/>
  <c r="C11844" i="1"/>
  <c r="D11844" i="1"/>
  <c r="E11844" i="1"/>
  <c r="F11844" i="1"/>
  <c r="H11844" i="1"/>
  <c r="A11845" i="1"/>
  <c r="B11845" i="1"/>
  <c r="C11845" i="1"/>
  <c r="D11845" i="1"/>
  <c r="E11845" i="1"/>
  <c r="F11845" i="1"/>
  <c r="H11845" i="1"/>
  <c r="A11846" i="1"/>
  <c r="B11846" i="1"/>
  <c r="C11846" i="1"/>
  <c r="D11846" i="1"/>
  <c r="E11846" i="1"/>
  <c r="F11846" i="1"/>
  <c r="H11846" i="1"/>
  <c r="A11847" i="1"/>
  <c r="B11847" i="1"/>
  <c r="C11847" i="1"/>
  <c r="D11847" i="1"/>
  <c r="E11847" i="1"/>
  <c r="F11847" i="1"/>
  <c r="H11847" i="1"/>
  <c r="A11848" i="1"/>
  <c r="B11848" i="1"/>
  <c r="C11848" i="1"/>
  <c r="D11848" i="1"/>
  <c r="E11848" i="1"/>
  <c r="F11848" i="1"/>
  <c r="H11848" i="1"/>
  <c r="A11849" i="1"/>
  <c r="B11849" i="1"/>
  <c r="C11849" i="1"/>
  <c r="D11849" i="1"/>
  <c r="E11849" i="1"/>
  <c r="F11849" i="1"/>
  <c r="H11849" i="1"/>
  <c r="A11850" i="1"/>
  <c r="B11850" i="1"/>
  <c r="C11850" i="1"/>
  <c r="D11850" i="1"/>
  <c r="E11850" i="1"/>
  <c r="F11850" i="1"/>
  <c r="H11850" i="1"/>
  <c r="A11851" i="1"/>
  <c r="B11851" i="1"/>
  <c r="C11851" i="1"/>
  <c r="D11851" i="1"/>
  <c r="E11851" i="1"/>
  <c r="F11851" i="1"/>
  <c r="H11851" i="1"/>
  <c r="A11852" i="1"/>
  <c r="B11852" i="1"/>
  <c r="C11852" i="1"/>
  <c r="D11852" i="1"/>
  <c r="E11852" i="1"/>
  <c r="F11852" i="1"/>
  <c r="H11852" i="1"/>
  <c r="A11853" i="1"/>
  <c r="B11853" i="1"/>
  <c r="C11853" i="1"/>
  <c r="D11853" i="1"/>
  <c r="E11853" i="1"/>
  <c r="F11853" i="1"/>
  <c r="H11853" i="1"/>
  <c r="A11854" i="1"/>
  <c r="B11854" i="1"/>
  <c r="C11854" i="1"/>
  <c r="D11854" i="1"/>
  <c r="E11854" i="1"/>
  <c r="F11854" i="1"/>
  <c r="H11854" i="1"/>
  <c r="A11855" i="1"/>
  <c r="B11855" i="1"/>
  <c r="C11855" i="1"/>
  <c r="D11855" i="1"/>
  <c r="E11855" i="1"/>
  <c r="F11855" i="1"/>
  <c r="H11855" i="1"/>
  <c r="A11856" i="1"/>
  <c r="B11856" i="1"/>
  <c r="C11856" i="1"/>
  <c r="D11856" i="1"/>
  <c r="E11856" i="1"/>
  <c r="F11856" i="1"/>
  <c r="H11856" i="1"/>
  <c r="A11857" i="1"/>
  <c r="B11857" i="1"/>
  <c r="C11857" i="1"/>
  <c r="D11857" i="1"/>
  <c r="E11857" i="1"/>
  <c r="F11857" i="1"/>
  <c r="H11857" i="1"/>
  <c r="A11858" i="1"/>
  <c r="B11858" i="1"/>
  <c r="C11858" i="1"/>
  <c r="D11858" i="1"/>
  <c r="E11858" i="1"/>
  <c r="F11858" i="1"/>
  <c r="H11858" i="1"/>
  <c r="A11859" i="1"/>
  <c r="B11859" i="1"/>
  <c r="C11859" i="1"/>
  <c r="D11859" i="1"/>
  <c r="E11859" i="1"/>
  <c r="F11859" i="1"/>
  <c r="H11859" i="1"/>
  <c r="A11860" i="1"/>
  <c r="B11860" i="1"/>
  <c r="C11860" i="1"/>
  <c r="D11860" i="1"/>
  <c r="E11860" i="1"/>
  <c r="F11860" i="1"/>
  <c r="H11860" i="1"/>
  <c r="A11861" i="1"/>
  <c r="B11861" i="1"/>
  <c r="C11861" i="1"/>
  <c r="D11861" i="1"/>
  <c r="E11861" i="1"/>
  <c r="F11861" i="1"/>
  <c r="H11861" i="1"/>
  <c r="A11862" i="1"/>
  <c r="B11862" i="1"/>
  <c r="C11862" i="1"/>
  <c r="D11862" i="1"/>
  <c r="E11862" i="1"/>
  <c r="F11862" i="1"/>
  <c r="H11862" i="1"/>
  <c r="A11863" i="1"/>
  <c r="B11863" i="1"/>
  <c r="C11863" i="1"/>
  <c r="D11863" i="1"/>
  <c r="E11863" i="1"/>
  <c r="F11863" i="1"/>
  <c r="H11863" i="1"/>
  <c r="A11864" i="1"/>
  <c r="B11864" i="1"/>
  <c r="C11864" i="1"/>
  <c r="D11864" i="1"/>
  <c r="E11864" i="1"/>
  <c r="F11864" i="1"/>
  <c r="H11864" i="1"/>
  <c r="A11865" i="1"/>
  <c r="B11865" i="1"/>
  <c r="C11865" i="1"/>
  <c r="D11865" i="1"/>
  <c r="E11865" i="1"/>
  <c r="F11865" i="1"/>
  <c r="H11865" i="1"/>
  <c r="A11866" i="1"/>
  <c r="B11866" i="1"/>
  <c r="C11866" i="1"/>
  <c r="D11866" i="1"/>
  <c r="E11866" i="1"/>
  <c r="F11866" i="1"/>
  <c r="H11866" i="1"/>
  <c r="A11867" i="1"/>
  <c r="B11867" i="1"/>
  <c r="C11867" i="1"/>
  <c r="D11867" i="1"/>
  <c r="E11867" i="1"/>
  <c r="F11867" i="1"/>
  <c r="H11867" i="1"/>
  <c r="A11868" i="1"/>
  <c r="B11868" i="1"/>
  <c r="C11868" i="1"/>
  <c r="D11868" i="1"/>
  <c r="E11868" i="1"/>
  <c r="F11868" i="1"/>
  <c r="H11868" i="1"/>
  <c r="A11869" i="1"/>
  <c r="B11869" i="1"/>
  <c r="C11869" i="1"/>
  <c r="D11869" i="1"/>
  <c r="E11869" i="1"/>
  <c r="F11869" i="1"/>
  <c r="H11869" i="1"/>
  <c r="A11870" i="1"/>
  <c r="B11870" i="1"/>
  <c r="C11870" i="1"/>
  <c r="D11870" i="1"/>
  <c r="E11870" i="1"/>
  <c r="F11870" i="1"/>
  <c r="H11870" i="1"/>
  <c r="A11871" i="1"/>
  <c r="B11871" i="1"/>
  <c r="C11871" i="1"/>
  <c r="D11871" i="1"/>
  <c r="E11871" i="1"/>
  <c r="F11871" i="1"/>
  <c r="H11871" i="1"/>
  <c r="A11872" i="1"/>
  <c r="B11872" i="1"/>
  <c r="C11872" i="1"/>
  <c r="D11872" i="1"/>
  <c r="E11872" i="1"/>
  <c r="F11872" i="1"/>
  <c r="H11872" i="1"/>
  <c r="A11873" i="1"/>
  <c r="B11873" i="1"/>
  <c r="C11873" i="1"/>
  <c r="D11873" i="1"/>
  <c r="E11873" i="1"/>
  <c r="F11873" i="1"/>
  <c r="H11873" i="1"/>
  <c r="A11874" i="1"/>
  <c r="B11874" i="1"/>
  <c r="C11874" i="1"/>
  <c r="D11874" i="1"/>
  <c r="E11874" i="1"/>
  <c r="F11874" i="1"/>
  <c r="H11874" i="1"/>
  <c r="A11875" i="1"/>
  <c r="B11875" i="1"/>
  <c r="C11875" i="1"/>
  <c r="D11875" i="1"/>
  <c r="E11875" i="1"/>
  <c r="F11875" i="1"/>
  <c r="H11875" i="1"/>
  <c r="A11876" i="1"/>
  <c r="B11876" i="1"/>
  <c r="C11876" i="1"/>
  <c r="D11876" i="1"/>
  <c r="E11876" i="1"/>
  <c r="F11876" i="1"/>
  <c r="H11876" i="1"/>
  <c r="A11877" i="1"/>
  <c r="B11877" i="1"/>
  <c r="C11877" i="1"/>
  <c r="D11877" i="1"/>
  <c r="E11877" i="1"/>
  <c r="F11877" i="1"/>
  <c r="H11877" i="1"/>
  <c r="A11878" i="1"/>
  <c r="B11878" i="1"/>
  <c r="C11878" i="1"/>
  <c r="D11878" i="1"/>
  <c r="E11878" i="1"/>
  <c r="F11878" i="1"/>
  <c r="H11878" i="1"/>
  <c r="A11879" i="1"/>
  <c r="B11879" i="1"/>
  <c r="C11879" i="1"/>
  <c r="D11879" i="1"/>
  <c r="E11879" i="1"/>
  <c r="F11879" i="1"/>
  <c r="H11879" i="1"/>
  <c r="A11880" i="1"/>
  <c r="B11880" i="1"/>
  <c r="C11880" i="1"/>
  <c r="D11880" i="1"/>
  <c r="E11880" i="1"/>
  <c r="F11880" i="1"/>
  <c r="H11880" i="1"/>
  <c r="A11881" i="1"/>
  <c r="B11881" i="1"/>
  <c r="C11881" i="1"/>
  <c r="D11881" i="1"/>
  <c r="E11881" i="1"/>
  <c r="F11881" i="1"/>
  <c r="H11881" i="1"/>
  <c r="A11882" i="1"/>
  <c r="B11882" i="1"/>
  <c r="C11882" i="1"/>
  <c r="D11882" i="1"/>
  <c r="E11882" i="1"/>
  <c r="F11882" i="1"/>
  <c r="H11882" i="1"/>
  <c r="A11883" i="1"/>
  <c r="B11883" i="1"/>
  <c r="C11883" i="1"/>
  <c r="D11883" i="1"/>
  <c r="E11883" i="1"/>
  <c r="F11883" i="1"/>
  <c r="H11883" i="1"/>
  <c r="A11884" i="1"/>
  <c r="B11884" i="1"/>
  <c r="C11884" i="1"/>
  <c r="D11884" i="1"/>
  <c r="E11884" i="1"/>
  <c r="F11884" i="1"/>
  <c r="H11884" i="1"/>
  <c r="A11885" i="1"/>
  <c r="B11885" i="1"/>
  <c r="C11885" i="1"/>
  <c r="D11885" i="1"/>
  <c r="E11885" i="1"/>
  <c r="F11885" i="1"/>
  <c r="H11885" i="1"/>
  <c r="A11886" i="1"/>
  <c r="B11886" i="1"/>
  <c r="C11886" i="1"/>
  <c r="D11886" i="1"/>
  <c r="E11886" i="1"/>
  <c r="F11886" i="1"/>
  <c r="H11886" i="1"/>
  <c r="A11887" i="1"/>
  <c r="B11887" i="1"/>
  <c r="C11887" i="1"/>
  <c r="D11887" i="1"/>
  <c r="E11887" i="1"/>
  <c r="F11887" i="1"/>
  <c r="H11887" i="1"/>
  <c r="A11888" i="1"/>
  <c r="B11888" i="1"/>
  <c r="C11888" i="1"/>
  <c r="D11888" i="1"/>
  <c r="E11888" i="1"/>
  <c r="F11888" i="1"/>
  <c r="H11888" i="1"/>
  <c r="A11889" i="1"/>
  <c r="B11889" i="1"/>
  <c r="C11889" i="1"/>
  <c r="D11889" i="1"/>
  <c r="E11889" i="1"/>
  <c r="F11889" i="1"/>
  <c r="H11889" i="1"/>
  <c r="A11890" i="1"/>
  <c r="B11890" i="1"/>
  <c r="C11890" i="1"/>
  <c r="D11890" i="1"/>
  <c r="E11890" i="1"/>
  <c r="F11890" i="1"/>
  <c r="H11890" i="1"/>
  <c r="A11891" i="1"/>
  <c r="B11891" i="1"/>
  <c r="C11891" i="1"/>
  <c r="D11891" i="1"/>
  <c r="E11891" i="1"/>
  <c r="F11891" i="1"/>
  <c r="H11891" i="1"/>
  <c r="A11892" i="1"/>
  <c r="B11892" i="1"/>
  <c r="C11892" i="1"/>
  <c r="D11892" i="1"/>
  <c r="E11892" i="1"/>
  <c r="F11892" i="1"/>
  <c r="H11892" i="1"/>
  <c r="A11893" i="1"/>
  <c r="B11893" i="1"/>
  <c r="C11893" i="1"/>
  <c r="D11893" i="1"/>
  <c r="E11893" i="1"/>
  <c r="F11893" i="1"/>
  <c r="H11893" i="1"/>
  <c r="A11894" i="1"/>
  <c r="B11894" i="1"/>
  <c r="C11894" i="1"/>
  <c r="D11894" i="1"/>
  <c r="E11894" i="1"/>
  <c r="F11894" i="1"/>
  <c r="H11894" i="1"/>
  <c r="A11895" i="1"/>
  <c r="B11895" i="1"/>
  <c r="C11895" i="1"/>
  <c r="D11895" i="1"/>
  <c r="E11895" i="1"/>
  <c r="F11895" i="1"/>
  <c r="H11895" i="1"/>
  <c r="A11896" i="1"/>
  <c r="B11896" i="1"/>
  <c r="C11896" i="1"/>
  <c r="D11896" i="1"/>
  <c r="E11896" i="1"/>
  <c r="F11896" i="1"/>
  <c r="H11896" i="1"/>
  <c r="A11897" i="1"/>
  <c r="B11897" i="1"/>
  <c r="C11897" i="1"/>
  <c r="D11897" i="1"/>
  <c r="E11897" i="1"/>
  <c r="F11897" i="1"/>
  <c r="H11897" i="1"/>
  <c r="A11898" i="1"/>
  <c r="B11898" i="1"/>
  <c r="C11898" i="1"/>
  <c r="D11898" i="1"/>
  <c r="E11898" i="1"/>
  <c r="F11898" i="1"/>
  <c r="H11898" i="1"/>
  <c r="A11899" i="1"/>
  <c r="B11899" i="1"/>
  <c r="C11899" i="1"/>
  <c r="D11899" i="1"/>
  <c r="E11899" i="1"/>
  <c r="F11899" i="1"/>
  <c r="H11899" i="1"/>
  <c r="A11900" i="1"/>
  <c r="B11900" i="1"/>
  <c r="C11900" i="1"/>
  <c r="D11900" i="1"/>
  <c r="E11900" i="1"/>
  <c r="F11900" i="1"/>
  <c r="H11900" i="1"/>
  <c r="A11901" i="1"/>
  <c r="B11901" i="1"/>
  <c r="C11901" i="1"/>
  <c r="D11901" i="1"/>
  <c r="E11901" i="1"/>
  <c r="F11901" i="1"/>
  <c r="H11901" i="1"/>
  <c r="A11902" i="1"/>
  <c r="B11902" i="1"/>
  <c r="C11902" i="1"/>
  <c r="D11902" i="1"/>
  <c r="E11902" i="1"/>
  <c r="F11902" i="1"/>
  <c r="H11902" i="1"/>
  <c r="A11903" i="1"/>
  <c r="B11903" i="1"/>
  <c r="C11903" i="1"/>
  <c r="D11903" i="1"/>
  <c r="E11903" i="1"/>
  <c r="F11903" i="1"/>
  <c r="H11903" i="1"/>
  <c r="A11904" i="1"/>
  <c r="B11904" i="1"/>
  <c r="C11904" i="1"/>
  <c r="D11904" i="1"/>
  <c r="E11904" i="1"/>
  <c r="F11904" i="1"/>
  <c r="H11904" i="1"/>
  <c r="A11905" i="1"/>
  <c r="B11905" i="1"/>
  <c r="C11905" i="1"/>
  <c r="D11905" i="1"/>
  <c r="E11905" i="1"/>
  <c r="F11905" i="1"/>
  <c r="H11905" i="1"/>
  <c r="A11906" i="1"/>
  <c r="B11906" i="1"/>
  <c r="C11906" i="1"/>
  <c r="D11906" i="1"/>
  <c r="E11906" i="1"/>
  <c r="F11906" i="1"/>
  <c r="H11906" i="1"/>
  <c r="A11907" i="1"/>
  <c r="B11907" i="1"/>
  <c r="C11907" i="1"/>
  <c r="D11907" i="1"/>
  <c r="E11907" i="1"/>
  <c r="F11907" i="1"/>
  <c r="H11907" i="1"/>
  <c r="A11908" i="1"/>
  <c r="B11908" i="1"/>
  <c r="C11908" i="1"/>
  <c r="D11908" i="1"/>
  <c r="E11908" i="1"/>
  <c r="F11908" i="1"/>
  <c r="H11908" i="1"/>
  <c r="A11909" i="1"/>
  <c r="B11909" i="1"/>
  <c r="C11909" i="1"/>
  <c r="D11909" i="1"/>
  <c r="E11909" i="1"/>
  <c r="F11909" i="1"/>
  <c r="H11909" i="1"/>
  <c r="A11910" i="1"/>
  <c r="B11910" i="1"/>
  <c r="C11910" i="1"/>
  <c r="D11910" i="1"/>
  <c r="E11910" i="1"/>
  <c r="F11910" i="1"/>
  <c r="H11910" i="1"/>
  <c r="A11911" i="1"/>
  <c r="B11911" i="1"/>
  <c r="C11911" i="1"/>
  <c r="D11911" i="1"/>
  <c r="E11911" i="1"/>
  <c r="F11911" i="1"/>
  <c r="H11911" i="1"/>
  <c r="A11912" i="1"/>
  <c r="B11912" i="1"/>
  <c r="C11912" i="1"/>
  <c r="D11912" i="1"/>
  <c r="E11912" i="1"/>
  <c r="F11912" i="1"/>
  <c r="H11912" i="1"/>
  <c r="A11913" i="1"/>
  <c r="B11913" i="1"/>
  <c r="C11913" i="1"/>
  <c r="D11913" i="1"/>
  <c r="E11913" i="1"/>
  <c r="F11913" i="1"/>
  <c r="H11913" i="1"/>
  <c r="A11914" i="1"/>
  <c r="B11914" i="1"/>
  <c r="C11914" i="1"/>
  <c r="D11914" i="1"/>
  <c r="E11914" i="1"/>
  <c r="F11914" i="1"/>
  <c r="H11914" i="1"/>
  <c r="A11915" i="1"/>
  <c r="B11915" i="1"/>
  <c r="C11915" i="1"/>
  <c r="D11915" i="1"/>
  <c r="E11915" i="1"/>
  <c r="F11915" i="1"/>
  <c r="H11915" i="1"/>
  <c r="A11916" i="1"/>
  <c r="B11916" i="1"/>
  <c r="C11916" i="1"/>
  <c r="D11916" i="1"/>
  <c r="E11916" i="1"/>
  <c r="F11916" i="1"/>
  <c r="H11916" i="1"/>
  <c r="A11917" i="1"/>
  <c r="B11917" i="1"/>
  <c r="C11917" i="1"/>
  <c r="D11917" i="1"/>
  <c r="E11917" i="1"/>
  <c r="F11917" i="1"/>
  <c r="H11917" i="1"/>
  <c r="A11918" i="1"/>
  <c r="B11918" i="1"/>
  <c r="C11918" i="1"/>
  <c r="D11918" i="1"/>
  <c r="E11918" i="1"/>
  <c r="F11918" i="1"/>
  <c r="H11918" i="1"/>
  <c r="A11919" i="1"/>
  <c r="B11919" i="1"/>
  <c r="C11919" i="1"/>
  <c r="D11919" i="1"/>
  <c r="E11919" i="1"/>
  <c r="F11919" i="1"/>
  <c r="H11919" i="1"/>
  <c r="A11920" i="1"/>
  <c r="B11920" i="1"/>
  <c r="C11920" i="1"/>
  <c r="D11920" i="1"/>
  <c r="E11920" i="1"/>
  <c r="F11920" i="1"/>
  <c r="H11920" i="1"/>
  <c r="A11921" i="1"/>
  <c r="B11921" i="1"/>
  <c r="C11921" i="1"/>
  <c r="D11921" i="1"/>
  <c r="E11921" i="1"/>
  <c r="F11921" i="1"/>
  <c r="H11921" i="1"/>
  <c r="A11922" i="1"/>
  <c r="B11922" i="1"/>
  <c r="C11922" i="1"/>
  <c r="D11922" i="1"/>
  <c r="E11922" i="1"/>
  <c r="F11922" i="1"/>
  <c r="H11922" i="1"/>
  <c r="A11923" i="1"/>
  <c r="B11923" i="1"/>
  <c r="C11923" i="1"/>
  <c r="D11923" i="1"/>
  <c r="E11923" i="1"/>
  <c r="F11923" i="1"/>
  <c r="H11923" i="1"/>
  <c r="A11924" i="1"/>
  <c r="B11924" i="1"/>
  <c r="C11924" i="1"/>
  <c r="D11924" i="1"/>
  <c r="E11924" i="1"/>
  <c r="F11924" i="1"/>
  <c r="H11924" i="1"/>
  <c r="A11925" i="1"/>
  <c r="B11925" i="1"/>
  <c r="C11925" i="1"/>
  <c r="D11925" i="1"/>
  <c r="E11925" i="1"/>
  <c r="F11925" i="1"/>
  <c r="H11925" i="1"/>
  <c r="A11926" i="1"/>
  <c r="B11926" i="1"/>
  <c r="C11926" i="1"/>
  <c r="D11926" i="1"/>
  <c r="E11926" i="1"/>
  <c r="F11926" i="1"/>
  <c r="H11926" i="1"/>
  <c r="A11927" i="1"/>
  <c r="B11927" i="1"/>
  <c r="C11927" i="1"/>
  <c r="D11927" i="1"/>
  <c r="E11927" i="1"/>
  <c r="F11927" i="1"/>
  <c r="H11927" i="1"/>
  <c r="A11928" i="1"/>
  <c r="B11928" i="1"/>
  <c r="C11928" i="1"/>
  <c r="D11928" i="1"/>
  <c r="E11928" i="1"/>
  <c r="F11928" i="1"/>
  <c r="H11928" i="1"/>
  <c r="A11929" i="1"/>
  <c r="B11929" i="1"/>
  <c r="C11929" i="1"/>
  <c r="D11929" i="1"/>
  <c r="E11929" i="1"/>
  <c r="F11929" i="1"/>
  <c r="H11929" i="1"/>
  <c r="A11930" i="1"/>
  <c r="B11930" i="1"/>
  <c r="C11930" i="1"/>
  <c r="D11930" i="1"/>
  <c r="E11930" i="1"/>
  <c r="F11930" i="1"/>
  <c r="H11930" i="1"/>
  <c r="A11931" i="1"/>
  <c r="B11931" i="1"/>
  <c r="C11931" i="1"/>
  <c r="D11931" i="1"/>
  <c r="E11931" i="1"/>
  <c r="F11931" i="1"/>
  <c r="H11931" i="1"/>
  <c r="A11932" i="1"/>
  <c r="B11932" i="1"/>
  <c r="C11932" i="1"/>
  <c r="D11932" i="1"/>
  <c r="E11932" i="1"/>
  <c r="F11932" i="1"/>
  <c r="H11932" i="1"/>
  <c r="A11933" i="1"/>
  <c r="B11933" i="1"/>
  <c r="C11933" i="1"/>
  <c r="D11933" i="1"/>
  <c r="E11933" i="1"/>
  <c r="F11933" i="1"/>
  <c r="H11933" i="1"/>
  <c r="A11934" i="1"/>
  <c r="B11934" i="1"/>
  <c r="C11934" i="1"/>
  <c r="D11934" i="1"/>
  <c r="E11934" i="1"/>
  <c r="F11934" i="1"/>
  <c r="H11934" i="1"/>
  <c r="A11935" i="1"/>
  <c r="B11935" i="1"/>
  <c r="C11935" i="1"/>
  <c r="D11935" i="1"/>
  <c r="E11935" i="1"/>
  <c r="F11935" i="1"/>
  <c r="H11935" i="1"/>
  <c r="A11936" i="1"/>
  <c r="B11936" i="1"/>
  <c r="C11936" i="1"/>
  <c r="D11936" i="1"/>
  <c r="E11936" i="1"/>
  <c r="F11936" i="1"/>
  <c r="H11936" i="1"/>
  <c r="A11937" i="1"/>
  <c r="B11937" i="1"/>
  <c r="C11937" i="1"/>
  <c r="D11937" i="1"/>
  <c r="E11937" i="1"/>
  <c r="F11937" i="1"/>
  <c r="H11937" i="1"/>
  <c r="A11938" i="1"/>
  <c r="B11938" i="1"/>
  <c r="C11938" i="1"/>
  <c r="D11938" i="1"/>
  <c r="E11938" i="1"/>
  <c r="F11938" i="1"/>
  <c r="H11938" i="1"/>
  <c r="A11939" i="1"/>
  <c r="B11939" i="1"/>
  <c r="C11939" i="1"/>
  <c r="D11939" i="1"/>
  <c r="E11939" i="1"/>
  <c r="F11939" i="1"/>
  <c r="H11939" i="1"/>
  <c r="A11940" i="1"/>
  <c r="B11940" i="1"/>
  <c r="C11940" i="1"/>
  <c r="D11940" i="1"/>
  <c r="E11940" i="1"/>
  <c r="F11940" i="1"/>
  <c r="H11940" i="1"/>
  <c r="A11941" i="1"/>
  <c r="B11941" i="1"/>
  <c r="C11941" i="1"/>
  <c r="D11941" i="1"/>
  <c r="E11941" i="1"/>
  <c r="F11941" i="1"/>
  <c r="H11941" i="1"/>
  <c r="A11942" i="1"/>
  <c r="B11942" i="1"/>
  <c r="C11942" i="1"/>
  <c r="D11942" i="1"/>
  <c r="E11942" i="1"/>
  <c r="F11942" i="1"/>
  <c r="H11942" i="1"/>
  <c r="A11943" i="1"/>
  <c r="B11943" i="1"/>
  <c r="C11943" i="1"/>
  <c r="D11943" i="1"/>
  <c r="E11943" i="1"/>
  <c r="F11943" i="1"/>
  <c r="H11943" i="1"/>
  <c r="A11944" i="1"/>
  <c r="B11944" i="1"/>
  <c r="C11944" i="1"/>
  <c r="D11944" i="1"/>
  <c r="E11944" i="1"/>
  <c r="F11944" i="1"/>
  <c r="H11944" i="1"/>
  <c r="A11945" i="1"/>
  <c r="B11945" i="1"/>
  <c r="C11945" i="1"/>
  <c r="D11945" i="1"/>
  <c r="E11945" i="1"/>
  <c r="F11945" i="1"/>
  <c r="H11945" i="1"/>
  <c r="A11946" i="1"/>
  <c r="B11946" i="1"/>
  <c r="C11946" i="1"/>
  <c r="D11946" i="1"/>
  <c r="E11946" i="1"/>
  <c r="F11946" i="1"/>
  <c r="H11946" i="1"/>
  <c r="A11947" i="1"/>
  <c r="B11947" i="1"/>
  <c r="C11947" i="1"/>
  <c r="D11947" i="1"/>
  <c r="E11947" i="1"/>
  <c r="F11947" i="1"/>
  <c r="H11947" i="1"/>
  <c r="A11948" i="1"/>
  <c r="B11948" i="1"/>
  <c r="C11948" i="1"/>
  <c r="D11948" i="1"/>
  <c r="E11948" i="1"/>
  <c r="F11948" i="1"/>
  <c r="H11948" i="1"/>
  <c r="A11949" i="1"/>
  <c r="B11949" i="1"/>
  <c r="C11949" i="1"/>
  <c r="D11949" i="1"/>
  <c r="E11949" i="1"/>
  <c r="F11949" i="1"/>
  <c r="H11949" i="1"/>
  <c r="A11950" i="1"/>
  <c r="B11950" i="1"/>
  <c r="C11950" i="1"/>
  <c r="D11950" i="1"/>
  <c r="E11950" i="1"/>
  <c r="F11950" i="1"/>
  <c r="H11950" i="1"/>
  <c r="A11951" i="1"/>
  <c r="B11951" i="1"/>
  <c r="C11951" i="1"/>
  <c r="D11951" i="1"/>
  <c r="E11951" i="1"/>
  <c r="F11951" i="1"/>
  <c r="H11951" i="1"/>
  <c r="A11952" i="1"/>
  <c r="B11952" i="1"/>
  <c r="C11952" i="1"/>
  <c r="D11952" i="1"/>
  <c r="E11952" i="1"/>
  <c r="F11952" i="1"/>
  <c r="H11952" i="1"/>
  <c r="A11953" i="1"/>
  <c r="B11953" i="1"/>
  <c r="C11953" i="1"/>
  <c r="D11953" i="1"/>
  <c r="E11953" i="1"/>
  <c r="F11953" i="1"/>
  <c r="H11953" i="1"/>
  <c r="A11954" i="1"/>
  <c r="B11954" i="1"/>
  <c r="C11954" i="1"/>
  <c r="D11954" i="1"/>
  <c r="E11954" i="1"/>
  <c r="F11954" i="1"/>
  <c r="H11954" i="1"/>
  <c r="A11955" i="1"/>
  <c r="B11955" i="1"/>
  <c r="C11955" i="1"/>
  <c r="D11955" i="1"/>
  <c r="E11955" i="1"/>
  <c r="F11955" i="1"/>
  <c r="H11955" i="1"/>
  <c r="A11956" i="1"/>
  <c r="B11956" i="1"/>
  <c r="C11956" i="1"/>
  <c r="D11956" i="1"/>
  <c r="E11956" i="1"/>
  <c r="F11956" i="1"/>
  <c r="H11956" i="1"/>
  <c r="A11957" i="1"/>
  <c r="B11957" i="1"/>
  <c r="C11957" i="1"/>
  <c r="D11957" i="1"/>
  <c r="E11957" i="1"/>
  <c r="F11957" i="1"/>
  <c r="H11957" i="1"/>
  <c r="A11958" i="1"/>
  <c r="B11958" i="1"/>
  <c r="C11958" i="1"/>
  <c r="D11958" i="1"/>
  <c r="E11958" i="1"/>
  <c r="F11958" i="1"/>
  <c r="H11958" i="1"/>
  <c r="A11959" i="1"/>
  <c r="B11959" i="1"/>
  <c r="C11959" i="1"/>
  <c r="D11959" i="1"/>
  <c r="E11959" i="1"/>
  <c r="F11959" i="1"/>
  <c r="H11959" i="1"/>
  <c r="A11960" i="1"/>
  <c r="B11960" i="1"/>
  <c r="C11960" i="1"/>
  <c r="D11960" i="1"/>
  <c r="E11960" i="1"/>
  <c r="F11960" i="1"/>
  <c r="H11960" i="1"/>
  <c r="A11961" i="1"/>
  <c r="B11961" i="1"/>
  <c r="C11961" i="1"/>
  <c r="D11961" i="1"/>
  <c r="E11961" i="1"/>
  <c r="F11961" i="1"/>
  <c r="H11961" i="1"/>
  <c r="A11962" i="1"/>
  <c r="B11962" i="1"/>
  <c r="C11962" i="1"/>
  <c r="D11962" i="1"/>
  <c r="E11962" i="1"/>
  <c r="F11962" i="1"/>
  <c r="H11962" i="1"/>
  <c r="A11963" i="1"/>
  <c r="B11963" i="1"/>
  <c r="C11963" i="1"/>
  <c r="D11963" i="1"/>
  <c r="E11963" i="1"/>
  <c r="F11963" i="1"/>
  <c r="H11963" i="1"/>
  <c r="A11964" i="1"/>
  <c r="B11964" i="1"/>
  <c r="C11964" i="1"/>
  <c r="D11964" i="1"/>
  <c r="E11964" i="1"/>
  <c r="F11964" i="1"/>
  <c r="H11964" i="1"/>
  <c r="A11965" i="1"/>
  <c r="B11965" i="1"/>
  <c r="C11965" i="1"/>
  <c r="D11965" i="1"/>
  <c r="E11965" i="1"/>
  <c r="F11965" i="1"/>
  <c r="H11965" i="1"/>
  <c r="A11966" i="1"/>
  <c r="B11966" i="1"/>
  <c r="C11966" i="1"/>
  <c r="D11966" i="1"/>
  <c r="E11966" i="1"/>
  <c r="F11966" i="1"/>
  <c r="H11966" i="1"/>
  <c r="A11967" i="1"/>
  <c r="B11967" i="1"/>
  <c r="C11967" i="1"/>
  <c r="D11967" i="1"/>
  <c r="E11967" i="1"/>
  <c r="F11967" i="1"/>
  <c r="H11967" i="1"/>
  <c r="A11968" i="1"/>
  <c r="B11968" i="1"/>
  <c r="C11968" i="1"/>
  <c r="D11968" i="1"/>
  <c r="E11968" i="1"/>
  <c r="F11968" i="1"/>
  <c r="H11968" i="1"/>
  <c r="A11969" i="1"/>
  <c r="B11969" i="1"/>
  <c r="C11969" i="1"/>
  <c r="D11969" i="1"/>
  <c r="E11969" i="1"/>
  <c r="F11969" i="1"/>
  <c r="H11969" i="1"/>
  <c r="A11970" i="1"/>
  <c r="B11970" i="1"/>
  <c r="C11970" i="1"/>
  <c r="D11970" i="1"/>
  <c r="E11970" i="1"/>
  <c r="F11970" i="1"/>
  <c r="H11970" i="1"/>
  <c r="A11971" i="1"/>
  <c r="B11971" i="1"/>
  <c r="C11971" i="1"/>
  <c r="D11971" i="1"/>
  <c r="E11971" i="1"/>
  <c r="F11971" i="1"/>
  <c r="H11971" i="1"/>
  <c r="A11972" i="1"/>
  <c r="B11972" i="1"/>
  <c r="C11972" i="1"/>
  <c r="D11972" i="1"/>
  <c r="E11972" i="1"/>
  <c r="F11972" i="1"/>
  <c r="H11972" i="1"/>
  <c r="A11973" i="1"/>
  <c r="B11973" i="1"/>
  <c r="C11973" i="1"/>
  <c r="D11973" i="1"/>
  <c r="E11973" i="1"/>
  <c r="F11973" i="1"/>
  <c r="H11973" i="1"/>
  <c r="A11974" i="1"/>
  <c r="B11974" i="1"/>
  <c r="C11974" i="1"/>
  <c r="D11974" i="1"/>
  <c r="E11974" i="1"/>
  <c r="F11974" i="1"/>
  <c r="H11974" i="1"/>
  <c r="A11975" i="1"/>
  <c r="B11975" i="1"/>
  <c r="C11975" i="1"/>
  <c r="D11975" i="1"/>
  <c r="E11975" i="1"/>
  <c r="F11975" i="1"/>
  <c r="H11975" i="1"/>
  <c r="A11976" i="1"/>
  <c r="B11976" i="1"/>
  <c r="C11976" i="1"/>
  <c r="D11976" i="1"/>
  <c r="E11976" i="1"/>
  <c r="F11976" i="1"/>
  <c r="H11976" i="1"/>
  <c r="A11977" i="1"/>
  <c r="B11977" i="1"/>
  <c r="C11977" i="1"/>
  <c r="D11977" i="1"/>
  <c r="E11977" i="1"/>
  <c r="F11977" i="1"/>
  <c r="H11977" i="1"/>
  <c r="A11978" i="1"/>
  <c r="B11978" i="1"/>
  <c r="C11978" i="1"/>
  <c r="D11978" i="1"/>
  <c r="E11978" i="1"/>
  <c r="F11978" i="1"/>
  <c r="H11978" i="1"/>
  <c r="A11979" i="1"/>
  <c r="B11979" i="1"/>
  <c r="C11979" i="1"/>
  <c r="D11979" i="1"/>
  <c r="E11979" i="1"/>
  <c r="F11979" i="1"/>
  <c r="H11979" i="1"/>
  <c r="A11980" i="1"/>
  <c r="B11980" i="1"/>
  <c r="C11980" i="1"/>
  <c r="D11980" i="1"/>
  <c r="E11980" i="1"/>
  <c r="F11980" i="1"/>
  <c r="H11980" i="1"/>
  <c r="A11981" i="1"/>
  <c r="B11981" i="1"/>
  <c r="C11981" i="1"/>
  <c r="D11981" i="1"/>
  <c r="E11981" i="1"/>
  <c r="F11981" i="1"/>
  <c r="H11981" i="1"/>
  <c r="A11982" i="1"/>
  <c r="B11982" i="1"/>
  <c r="C11982" i="1"/>
  <c r="D11982" i="1"/>
  <c r="E11982" i="1"/>
  <c r="F11982" i="1"/>
  <c r="H11982" i="1"/>
  <c r="A11983" i="1"/>
  <c r="B11983" i="1"/>
  <c r="C11983" i="1"/>
  <c r="D11983" i="1"/>
  <c r="E11983" i="1"/>
  <c r="F11983" i="1"/>
  <c r="H11983" i="1"/>
  <c r="A11984" i="1"/>
  <c r="B11984" i="1"/>
  <c r="C11984" i="1"/>
  <c r="D11984" i="1"/>
  <c r="E11984" i="1"/>
  <c r="F11984" i="1"/>
  <c r="H11984" i="1"/>
  <c r="A11985" i="1"/>
  <c r="B11985" i="1"/>
  <c r="C11985" i="1"/>
  <c r="D11985" i="1"/>
  <c r="E11985" i="1"/>
  <c r="F11985" i="1"/>
  <c r="H11985" i="1"/>
  <c r="A11986" i="1"/>
  <c r="B11986" i="1"/>
  <c r="C11986" i="1"/>
  <c r="D11986" i="1"/>
  <c r="E11986" i="1"/>
  <c r="F11986" i="1"/>
  <c r="H11986" i="1"/>
  <c r="A11987" i="1"/>
  <c r="B11987" i="1"/>
  <c r="C11987" i="1"/>
  <c r="D11987" i="1"/>
  <c r="E11987" i="1"/>
  <c r="F11987" i="1"/>
  <c r="H11987" i="1"/>
  <c r="A11988" i="1"/>
  <c r="B11988" i="1"/>
  <c r="C11988" i="1"/>
  <c r="D11988" i="1"/>
  <c r="E11988" i="1"/>
  <c r="F11988" i="1"/>
  <c r="H11988" i="1"/>
  <c r="A11989" i="1"/>
  <c r="B11989" i="1"/>
  <c r="C11989" i="1"/>
  <c r="D11989" i="1"/>
  <c r="E11989" i="1"/>
  <c r="F11989" i="1"/>
  <c r="H11989" i="1"/>
  <c r="A11990" i="1"/>
  <c r="B11990" i="1"/>
  <c r="C11990" i="1"/>
  <c r="D11990" i="1"/>
  <c r="E11990" i="1"/>
  <c r="F11990" i="1"/>
  <c r="H11990" i="1"/>
  <c r="A11991" i="1"/>
  <c r="B11991" i="1"/>
  <c r="C11991" i="1"/>
  <c r="D11991" i="1"/>
  <c r="E11991" i="1"/>
  <c r="F11991" i="1"/>
  <c r="H11991" i="1"/>
  <c r="A11992" i="1"/>
  <c r="B11992" i="1"/>
  <c r="C11992" i="1"/>
  <c r="D11992" i="1"/>
  <c r="E11992" i="1"/>
  <c r="F11992" i="1"/>
  <c r="H11992" i="1"/>
  <c r="A11993" i="1"/>
  <c r="B11993" i="1"/>
  <c r="C11993" i="1"/>
  <c r="D11993" i="1"/>
  <c r="E11993" i="1"/>
  <c r="F11993" i="1"/>
  <c r="H11993" i="1"/>
  <c r="A11994" i="1"/>
  <c r="B11994" i="1"/>
  <c r="C11994" i="1"/>
  <c r="D11994" i="1"/>
  <c r="E11994" i="1"/>
  <c r="F11994" i="1"/>
  <c r="H11994" i="1"/>
  <c r="A11995" i="1"/>
  <c r="B11995" i="1"/>
  <c r="C11995" i="1"/>
  <c r="D11995" i="1"/>
  <c r="E11995" i="1"/>
  <c r="F11995" i="1"/>
  <c r="H11995" i="1"/>
  <c r="A11996" i="1"/>
  <c r="B11996" i="1"/>
  <c r="C11996" i="1"/>
  <c r="D11996" i="1"/>
  <c r="E11996" i="1"/>
  <c r="F11996" i="1"/>
  <c r="H11996" i="1"/>
  <c r="A11997" i="1"/>
  <c r="B11997" i="1"/>
  <c r="C11997" i="1"/>
  <c r="D11997" i="1"/>
  <c r="E11997" i="1"/>
  <c r="F11997" i="1"/>
  <c r="H11997" i="1"/>
  <c r="A11998" i="1"/>
  <c r="B11998" i="1"/>
  <c r="C11998" i="1"/>
  <c r="D11998" i="1"/>
  <c r="E11998" i="1"/>
  <c r="F11998" i="1"/>
  <c r="H11998" i="1"/>
  <c r="A11999" i="1"/>
  <c r="B11999" i="1"/>
  <c r="C11999" i="1"/>
  <c r="D11999" i="1"/>
  <c r="E11999" i="1"/>
  <c r="F11999" i="1"/>
  <c r="H11999" i="1"/>
  <c r="A12000" i="1"/>
  <c r="B12000" i="1"/>
  <c r="C12000" i="1"/>
  <c r="D12000" i="1"/>
  <c r="E12000" i="1"/>
  <c r="F12000" i="1"/>
  <c r="H12000" i="1"/>
  <c r="A12001" i="1"/>
  <c r="B12001" i="1"/>
  <c r="C12001" i="1"/>
  <c r="D12001" i="1"/>
  <c r="E12001" i="1"/>
  <c r="F12001" i="1"/>
  <c r="H12001" i="1"/>
  <c r="A12002" i="1"/>
  <c r="B12002" i="1"/>
  <c r="C12002" i="1"/>
  <c r="D12002" i="1"/>
  <c r="E12002" i="1"/>
  <c r="F12002" i="1"/>
  <c r="H12002" i="1"/>
  <c r="A12003" i="1"/>
  <c r="B12003" i="1"/>
  <c r="C12003" i="1"/>
  <c r="D12003" i="1"/>
  <c r="E12003" i="1"/>
  <c r="F12003" i="1"/>
  <c r="H12003" i="1"/>
  <c r="A12004" i="1"/>
  <c r="B12004" i="1"/>
  <c r="C12004" i="1"/>
  <c r="D12004" i="1"/>
  <c r="E12004" i="1"/>
  <c r="F12004" i="1"/>
  <c r="H12004" i="1"/>
  <c r="A12005" i="1"/>
  <c r="B12005" i="1"/>
  <c r="C12005" i="1"/>
  <c r="D12005" i="1"/>
  <c r="E12005" i="1"/>
  <c r="F12005" i="1"/>
  <c r="H12005" i="1"/>
  <c r="A12006" i="1"/>
  <c r="B12006" i="1"/>
  <c r="C12006" i="1"/>
  <c r="D12006" i="1"/>
  <c r="E12006" i="1"/>
  <c r="F12006" i="1"/>
  <c r="H12006" i="1"/>
  <c r="A12007" i="1"/>
  <c r="B12007" i="1"/>
  <c r="C12007" i="1"/>
  <c r="D12007" i="1"/>
  <c r="E12007" i="1"/>
  <c r="F12007" i="1"/>
  <c r="H12007" i="1"/>
  <c r="A12008" i="1"/>
  <c r="B12008" i="1"/>
  <c r="C12008" i="1"/>
  <c r="D12008" i="1"/>
  <c r="E12008" i="1"/>
  <c r="F12008" i="1"/>
  <c r="H12008" i="1"/>
  <c r="A12009" i="1"/>
  <c r="B12009" i="1"/>
  <c r="C12009" i="1"/>
  <c r="D12009" i="1"/>
  <c r="E12009" i="1"/>
  <c r="F12009" i="1"/>
  <c r="H12009" i="1"/>
  <c r="A12010" i="1"/>
  <c r="B12010" i="1"/>
  <c r="C12010" i="1"/>
  <c r="D12010" i="1"/>
  <c r="E12010" i="1"/>
  <c r="F12010" i="1"/>
  <c r="H12010" i="1"/>
  <c r="A12011" i="1"/>
  <c r="B12011" i="1"/>
  <c r="C12011" i="1"/>
  <c r="D12011" i="1"/>
  <c r="E12011" i="1"/>
  <c r="F12011" i="1"/>
  <c r="H12011" i="1"/>
  <c r="A12012" i="1"/>
  <c r="B12012" i="1"/>
  <c r="C12012" i="1"/>
  <c r="D12012" i="1"/>
  <c r="E12012" i="1"/>
  <c r="F12012" i="1"/>
  <c r="H12012" i="1"/>
  <c r="A12013" i="1"/>
  <c r="B12013" i="1"/>
  <c r="C12013" i="1"/>
  <c r="D12013" i="1"/>
  <c r="E12013" i="1"/>
  <c r="F12013" i="1"/>
  <c r="H12013" i="1"/>
  <c r="A12014" i="1"/>
  <c r="B12014" i="1"/>
  <c r="C12014" i="1"/>
  <c r="D12014" i="1"/>
  <c r="E12014" i="1"/>
  <c r="F12014" i="1"/>
  <c r="H12014" i="1"/>
  <c r="A12015" i="1"/>
  <c r="B12015" i="1"/>
  <c r="C12015" i="1"/>
  <c r="D12015" i="1"/>
  <c r="E12015" i="1"/>
  <c r="F12015" i="1"/>
  <c r="H12015" i="1"/>
  <c r="A12016" i="1"/>
  <c r="B12016" i="1"/>
  <c r="C12016" i="1"/>
  <c r="D12016" i="1"/>
  <c r="E12016" i="1"/>
  <c r="F12016" i="1"/>
  <c r="H12016" i="1"/>
  <c r="A12017" i="1"/>
  <c r="B12017" i="1"/>
  <c r="C12017" i="1"/>
  <c r="D12017" i="1"/>
  <c r="E12017" i="1"/>
  <c r="F12017" i="1"/>
  <c r="H12017" i="1"/>
  <c r="A12018" i="1"/>
  <c r="B12018" i="1"/>
  <c r="C12018" i="1"/>
  <c r="D12018" i="1"/>
  <c r="E12018" i="1"/>
  <c r="F12018" i="1"/>
  <c r="H12018" i="1"/>
  <c r="A12019" i="1"/>
  <c r="B12019" i="1"/>
  <c r="C12019" i="1"/>
  <c r="D12019" i="1"/>
  <c r="E12019" i="1"/>
  <c r="F12019" i="1"/>
  <c r="H12019" i="1"/>
  <c r="A12020" i="1"/>
  <c r="B12020" i="1"/>
  <c r="C12020" i="1"/>
  <c r="D12020" i="1"/>
  <c r="E12020" i="1"/>
  <c r="F12020" i="1"/>
  <c r="H12020" i="1"/>
  <c r="A12021" i="1"/>
  <c r="B12021" i="1"/>
  <c r="C12021" i="1"/>
  <c r="D12021" i="1"/>
  <c r="E12021" i="1"/>
  <c r="F12021" i="1"/>
  <c r="H12021" i="1"/>
  <c r="A12022" i="1"/>
  <c r="B12022" i="1"/>
  <c r="C12022" i="1"/>
  <c r="D12022" i="1"/>
  <c r="E12022" i="1"/>
  <c r="F12022" i="1"/>
  <c r="H12022" i="1"/>
  <c r="A12023" i="1"/>
  <c r="B12023" i="1"/>
  <c r="C12023" i="1"/>
  <c r="D12023" i="1"/>
  <c r="E12023" i="1"/>
  <c r="F12023" i="1"/>
  <c r="H12023" i="1"/>
  <c r="A12024" i="1"/>
  <c r="B12024" i="1"/>
  <c r="C12024" i="1"/>
  <c r="D12024" i="1"/>
  <c r="E12024" i="1"/>
  <c r="F12024" i="1"/>
  <c r="H12024" i="1"/>
  <c r="A12025" i="1"/>
  <c r="B12025" i="1"/>
  <c r="C12025" i="1"/>
  <c r="D12025" i="1"/>
  <c r="E12025" i="1"/>
  <c r="F12025" i="1"/>
  <c r="H12025" i="1"/>
  <c r="A12026" i="1"/>
  <c r="B12026" i="1"/>
  <c r="C12026" i="1"/>
  <c r="D12026" i="1"/>
  <c r="E12026" i="1"/>
  <c r="F12026" i="1"/>
  <c r="H12026" i="1"/>
  <c r="A12027" i="1"/>
  <c r="B12027" i="1"/>
  <c r="C12027" i="1"/>
  <c r="D12027" i="1"/>
  <c r="E12027" i="1"/>
  <c r="F12027" i="1"/>
  <c r="H12027" i="1"/>
  <c r="A12028" i="1"/>
  <c r="B12028" i="1"/>
  <c r="C12028" i="1"/>
  <c r="D12028" i="1"/>
  <c r="E12028" i="1"/>
  <c r="F12028" i="1"/>
  <c r="H12028" i="1"/>
  <c r="A12029" i="1"/>
  <c r="B12029" i="1"/>
  <c r="C12029" i="1"/>
  <c r="D12029" i="1"/>
  <c r="E12029" i="1"/>
  <c r="F12029" i="1"/>
  <c r="H12029" i="1"/>
  <c r="A12030" i="1"/>
  <c r="B12030" i="1"/>
  <c r="C12030" i="1"/>
  <c r="D12030" i="1"/>
  <c r="E12030" i="1"/>
  <c r="F12030" i="1"/>
  <c r="H12030" i="1"/>
  <c r="A12031" i="1"/>
  <c r="B12031" i="1"/>
  <c r="C12031" i="1"/>
  <c r="D12031" i="1"/>
  <c r="E12031" i="1"/>
  <c r="F12031" i="1"/>
  <c r="H12031" i="1"/>
  <c r="A12032" i="1"/>
  <c r="B12032" i="1"/>
  <c r="C12032" i="1"/>
  <c r="D12032" i="1"/>
  <c r="E12032" i="1"/>
  <c r="F12032" i="1"/>
  <c r="H12032" i="1"/>
  <c r="A12033" i="1"/>
  <c r="B12033" i="1"/>
  <c r="C12033" i="1"/>
  <c r="D12033" i="1"/>
  <c r="E12033" i="1"/>
  <c r="F12033" i="1"/>
  <c r="H12033" i="1"/>
  <c r="A12034" i="1"/>
  <c r="B12034" i="1"/>
  <c r="C12034" i="1"/>
  <c r="D12034" i="1"/>
  <c r="E12034" i="1"/>
  <c r="F12034" i="1"/>
  <c r="H12034" i="1"/>
  <c r="A12035" i="1"/>
  <c r="B12035" i="1"/>
  <c r="C12035" i="1"/>
  <c r="D12035" i="1"/>
  <c r="E12035" i="1"/>
  <c r="F12035" i="1"/>
  <c r="H12035" i="1"/>
  <c r="A12036" i="1"/>
  <c r="B12036" i="1"/>
  <c r="C12036" i="1"/>
  <c r="D12036" i="1"/>
  <c r="E12036" i="1"/>
  <c r="F12036" i="1"/>
  <c r="H12036" i="1"/>
  <c r="A12037" i="1"/>
  <c r="B12037" i="1"/>
  <c r="C12037" i="1"/>
  <c r="D12037" i="1"/>
  <c r="E12037" i="1"/>
  <c r="F12037" i="1"/>
  <c r="H12037" i="1"/>
  <c r="A12038" i="1"/>
  <c r="B12038" i="1"/>
  <c r="C12038" i="1"/>
  <c r="D12038" i="1"/>
  <c r="E12038" i="1"/>
  <c r="F12038" i="1"/>
  <c r="H12038" i="1"/>
  <c r="A12039" i="1"/>
  <c r="B12039" i="1"/>
  <c r="C12039" i="1"/>
  <c r="D12039" i="1"/>
  <c r="E12039" i="1"/>
  <c r="F12039" i="1"/>
  <c r="H12039" i="1"/>
  <c r="A12040" i="1"/>
  <c r="B12040" i="1"/>
  <c r="C12040" i="1"/>
  <c r="D12040" i="1"/>
  <c r="E12040" i="1"/>
  <c r="F12040" i="1"/>
  <c r="H12040" i="1"/>
  <c r="A12041" i="1"/>
  <c r="B12041" i="1"/>
  <c r="C12041" i="1"/>
  <c r="D12041" i="1"/>
  <c r="E12041" i="1"/>
  <c r="F12041" i="1"/>
  <c r="H12041" i="1"/>
  <c r="A12042" i="1"/>
  <c r="B12042" i="1"/>
  <c r="C12042" i="1"/>
  <c r="D12042" i="1"/>
  <c r="E12042" i="1"/>
  <c r="F12042" i="1"/>
  <c r="H12042" i="1"/>
  <c r="A12043" i="1"/>
  <c r="B12043" i="1"/>
  <c r="C12043" i="1"/>
  <c r="D12043" i="1"/>
  <c r="E12043" i="1"/>
  <c r="F12043" i="1"/>
  <c r="H12043" i="1"/>
  <c r="A12044" i="1"/>
  <c r="B12044" i="1"/>
  <c r="C12044" i="1"/>
  <c r="D12044" i="1"/>
  <c r="E12044" i="1"/>
  <c r="F12044" i="1"/>
  <c r="H12044" i="1"/>
  <c r="A12045" i="1"/>
  <c r="B12045" i="1"/>
  <c r="C12045" i="1"/>
  <c r="D12045" i="1"/>
  <c r="E12045" i="1"/>
  <c r="F12045" i="1"/>
  <c r="H12045" i="1"/>
  <c r="A12046" i="1"/>
  <c r="B12046" i="1"/>
  <c r="C12046" i="1"/>
  <c r="D12046" i="1"/>
  <c r="E12046" i="1"/>
  <c r="F12046" i="1"/>
  <c r="H12046" i="1"/>
  <c r="A12047" i="1"/>
  <c r="B12047" i="1"/>
  <c r="C12047" i="1"/>
  <c r="D12047" i="1"/>
  <c r="E12047" i="1"/>
  <c r="F12047" i="1"/>
  <c r="H12047" i="1"/>
  <c r="A12048" i="1"/>
  <c r="B12048" i="1"/>
  <c r="C12048" i="1"/>
  <c r="D12048" i="1"/>
  <c r="E12048" i="1"/>
  <c r="F12048" i="1"/>
  <c r="H12048" i="1"/>
  <c r="A12049" i="1"/>
  <c r="B12049" i="1"/>
  <c r="C12049" i="1"/>
  <c r="D12049" i="1"/>
  <c r="E12049" i="1"/>
  <c r="F12049" i="1"/>
  <c r="H12049" i="1"/>
  <c r="A12050" i="1"/>
  <c r="B12050" i="1"/>
  <c r="C12050" i="1"/>
  <c r="D12050" i="1"/>
  <c r="E12050" i="1"/>
  <c r="F12050" i="1"/>
  <c r="H12050" i="1"/>
  <c r="A12051" i="1"/>
  <c r="B12051" i="1"/>
  <c r="C12051" i="1"/>
  <c r="D12051" i="1"/>
  <c r="E12051" i="1"/>
  <c r="F12051" i="1"/>
  <c r="H12051" i="1"/>
  <c r="A12052" i="1"/>
  <c r="B12052" i="1"/>
  <c r="C12052" i="1"/>
  <c r="D12052" i="1"/>
  <c r="E12052" i="1"/>
  <c r="F12052" i="1"/>
  <c r="H12052" i="1"/>
  <c r="A12053" i="1"/>
  <c r="B12053" i="1"/>
  <c r="C12053" i="1"/>
  <c r="D12053" i="1"/>
  <c r="E12053" i="1"/>
  <c r="F12053" i="1"/>
  <c r="H12053" i="1"/>
  <c r="A12054" i="1"/>
  <c r="B12054" i="1"/>
  <c r="C12054" i="1"/>
  <c r="D12054" i="1"/>
  <c r="E12054" i="1"/>
  <c r="F12054" i="1"/>
  <c r="H12054" i="1"/>
  <c r="A12055" i="1"/>
  <c r="B12055" i="1"/>
  <c r="C12055" i="1"/>
  <c r="D12055" i="1"/>
  <c r="E12055" i="1"/>
  <c r="F12055" i="1"/>
  <c r="H12055" i="1"/>
  <c r="A12056" i="1"/>
  <c r="B12056" i="1"/>
  <c r="C12056" i="1"/>
  <c r="D12056" i="1"/>
  <c r="E12056" i="1"/>
  <c r="F12056" i="1"/>
  <c r="H12056" i="1"/>
  <c r="A12057" i="1"/>
  <c r="B12057" i="1"/>
  <c r="C12057" i="1"/>
  <c r="D12057" i="1"/>
  <c r="E12057" i="1"/>
  <c r="F12057" i="1"/>
  <c r="H12057" i="1"/>
  <c r="A12058" i="1"/>
  <c r="B12058" i="1"/>
  <c r="C12058" i="1"/>
  <c r="D12058" i="1"/>
  <c r="E12058" i="1"/>
  <c r="F12058" i="1"/>
  <c r="H12058" i="1"/>
  <c r="A12059" i="1"/>
  <c r="B12059" i="1"/>
  <c r="C12059" i="1"/>
  <c r="D12059" i="1"/>
  <c r="E12059" i="1"/>
  <c r="F12059" i="1"/>
  <c r="H12059" i="1"/>
  <c r="A12060" i="1"/>
  <c r="B12060" i="1"/>
  <c r="C12060" i="1"/>
  <c r="D12060" i="1"/>
  <c r="E12060" i="1"/>
  <c r="F12060" i="1"/>
  <c r="H12060" i="1"/>
  <c r="A12061" i="1"/>
  <c r="B12061" i="1"/>
  <c r="C12061" i="1"/>
  <c r="D12061" i="1"/>
  <c r="E12061" i="1"/>
  <c r="F12061" i="1"/>
  <c r="H12061" i="1"/>
  <c r="A12062" i="1"/>
  <c r="B12062" i="1"/>
  <c r="C12062" i="1"/>
  <c r="D12062" i="1"/>
  <c r="E12062" i="1"/>
  <c r="F12062" i="1"/>
  <c r="H12062" i="1"/>
  <c r="A12063" i="1"/>
  <c r="B12063" i="1"/>
  <c r="C12063" i="1"/>
  <c r="D12063" i="1"/>
  <c r="E12063" i="1"/>
  <c r="F12063" i="1"/>
  <c r="H12063" i="1"/>
  <c r="A12064" i="1"/>
  <c r="B12064" i="1"/>
  <c r="C12064" i="1"/>
  <c r="D12064" i="1"/>
  <c r="E12064" i="1"/>
  <c r="F12064" i="1"/>
  <c r="H12064" i="1"/>
  <c r="A12065" i="1"/>
  <c r="B12065" i="1"/>
  <c r="C12065" i="1"/>
  <c r="D12065" i="1"/>
  <c r="E12065" i="1"/>
  <c r="F12065" i="1"/>
  <c r="H12065" i="1"/>
  <c r="A12066" i="1"/>
  <c r="B12066" i="1"/>
  <c r="C12066" i="1"/>
  <c r="D12066" i="1"/>
  <c r="E12066" i="1"/>
  <c r="F12066" i="1"/>
  <c r="H12066" i="1"/>
  <c r="A12067" i="1"/>
  <c r="B12067" i="1"/>
  <c r="C12067" i="1"/>
  <c r="D12067" i="1"/>
  <c r="E12067" i="1"/>
  <c r="F12067" i="1"/>
  <c r="H12067" i="1"/>
  <c r="A12068" i="1"/>
  <c r="B12068" i="1"/>
  <c r="C12068" i="1"/>
  <c r="D12068" i="1"/>
  <c r="E12068" i="1"/>
  <c r="F12068" i="1"/>
  <c r="H12068" i="1"/>
  <c r="A12069" i="1"/>
  <c r="B12069" i="1"/>
  <c r="C12069" i="1"/>
  <c r="D12069" i="1"/>
  <c r="E12069" i="1"/>
  <c r="F12069" i="1"/>
  <c r="H12069" i="1"/>
  <c r="A12070" i="1"/>
  <c r="B12070" i="1"/>
  <c r="C12070" i="1"/>
  <c r="D12070" i="1"/>
  <c r="E12070" i="1"/>
  <c r="F12070" i="1"/>
  <c r="H12070" i="1"/>
  <c r="A12071" i="1"/>
  <c r="B12071" i="1"/>
  <c r="C12071" i="1"/>
  <c r="D12071" i="1"/>
  <c r="E12071" i="1"/>
  <c r="F12071" i="1"/>
  <c r="H12071" i="1"/>
  <c r="A12072" i="1"/>
  <c r="B12072" i="1"/>
  <c r="C12072" i="1"/>
  <c r="D12072" i="1"/>
  <c r="E12072" i="1"/>
  <c r="F12072" i="1"/>
  <c r="H12072" i="1"/>
  <c r="A12073" i="1"/>
  <c r="B12073" i="1"/>
  <c r="C12073" i="1"/>
  <c r="D12073" i="1"/>
  <c r="E12073" i="1"/>
  <c r="F12073" i="1"/>
  <c r="H12073" i="1"/>
  <c r="A12074" i="1"/>
  <c r="B12074" i="1"/>
  <c r="C12074" i="1"/>
  <c r="D12074" i="1"/>
  <c r="E12074" i="1"/>
  <c r="F12074" i="1"/>
  <c r="H12074" i="1"/>
  <c r="A12075" i="1"/>
  <c r="B12075" i="1"/>
  <c r="C12075" i="1"/>
  <c r="D12075" i="1"/>
  <c r="E12075" i="1"/>
  <c r="F12075" i="1"/>
  <c r="H12075" i="1"/>
  <c r="A12076" i="1"/>
  <c r="B12076" i="1"/>
  <c r="C12076" i="1"/>
  <c r="D12076" i="1"/>
  <c r="E12076" i="1"/>
  <c r="F12076" i="1"/>
  <c r="H12076" i="1"/>
  <c r="A12077" i="1"/>
  <c r="B12077" i="1"/>
  <c r="C12077" i="1"/>
  <c r="D12077" i="1"/>
  <c r="E12077" i="1"/>
  <c r="F12077" i="1"/>
  <c r="H12077" i="1"/>
  <c r="A12078" i="1"/>
  <c r="B12078" i="1"/>
  <c r="C12078" i="1"/>
  <c r="D12078" i="1"/>
  <c r="E12078" i="1"/>
  <c r="F12078" i="1"/>
  <c r="H12078" i="1"/>
  <c r="A12079" i="1"/>
  <c r="B12079" i="1"/>
  <c r="C12079" i="1"/>
  <c r="D12079" i="1"/>
  <c r="E12079" i="1"/>
  <c r="F12079" i="1"/>
  <c r="H12079" i="1"/>
  <c r="A12080" i="1"/>
  <c r="B12080" i="1"/>
  <c r="C12080" i="1"/>
  <c r="D12080" i="1"/>
  <c r="E12080" i="1"/>
  <c r="F12080" i="1"/>
  <c r="H12080" i="1"/>
  <c r="A12081" i="1"/>
  <c r="B12081" i="1"/>
  <c r="C12081" i="1"/>
  <c r="D12081" i="1"/>
  <c r="E12081" i="1"/>
  <c r="F12081" i="1"/>
  <c r="H12081" i="1"/>
  <c r="A12082" i="1"/>
  <c r="B12082" i="1"/>
  <c r="C12082" i="1"/>
  <c r="D12082" i="1"/>
  <c r="E12082" i="1"/>
  <c r="F12082" i="1"/>
  <c r="H12082" i="1"/>
  <c r="A12083" i="1"/>
  <c r="B12083" i="1"/>
  <c r="C12083" i="1"/>
  <c r="D12083" i="1"/>
  <c r="E12083" i="1"/>
  <c r="F12083" i="1"/>
  <c r="H12083" i="1"/>
  <c r="A12084" i="1"/>
  <c r="B12084" i="1"/>
  <c r="C12084" i="1"/>
  <c r="D12084" i="1"/>
  <c r="E12084" i="1"/>
  <c r="F12084" i="1"/>
  <c r="H12084" i="1"/>
  <c r="A12085" i="1"/>
  <c r="B12085" i="1"/>
  <c r="C12085" i="1"/>
  <c r="D12085" i="1"/>
  <c r="E12085" i="1"/>
  <c r="F12085" i="1"/>
  <c r="H12085" i="1"/>
  <c r="A12086" i="1"/>
  <c r="B12086" i="1"/>
  <c r="C12086" i="1"/>
  <c r="D12086" i="1"/>
  <c r="E12086" i="1"/>
  <c r="F12086" i="1"/>
  <c r="H12086" i="1"/>
  <c r="A12087" i="1"/>
  <c r="B12087" i="1"/>
  <c r="C12087" i="1"/>
  <c r="D12087" i="1"/>
  <c r="E12087" i="1"/>
  <c r="F12087" i="1"/>
  <c r="H12087" i="1"/>
  <c r="A12088" i="1"/>
  <c r="B12088" i="1"/>
  <c r="C12088" i="1"/>
  <c r="D12088" i="1"/>
  <c r="E12088" i="1"/>
  <c r="F12088" i="1"/>
  <c r="H12088" i="1"/>
  <c r="A12089" i="1"/>
  <c r="B12089" i="1"/>
  <c r="C12089" i="1"/>
  <c r="D12089" i="1"/>
  <c r="E12089" i="1"/>
  <c r="F12089" i="1"/>
  <c r="H12089" i="1"/>
  <c r="A12090" i="1"/>
  <c r="B12090" i="1"/>
  <c r="C12090" i="1"/>
  <c r="D12090" i="1"/>
  <c r="E12090" i="1"/>
  <c r="F12090" i="1"/>
  <c r="H12090" i="1"/>
  <c r="A12091" i="1"/>
  <c r="B12091" i="1"/>
  <c r="C12091" i="1"/>
  <c r="D12091" i="1"/>
  <c r="E12091" i="1"/>
  <c r="F12091" i="1"/>
  <c r="H12091" i="1"/>
  <c r="A12092" i="1"/>
  <c r="B12092" i="1"/>
  <c r="C12092" i="1"/>
  <c r="D12092" i="1"/>
  <c r="E12092" i="1"/>
  <c r="F12092" i="1"/>
  <c r="H12092" i="1"/>
  <c r="A12093" i="1"/>
  <c r="B12093" i="1"/>
  <c r="C12093" i="1"/>
  <c r="D12093" i="1"/>
  <c r="E12093" i="1"/>
  <c r="F12093" i="1"/>
  <c r="H12093" i="1"/>
  <c r="A12094" i="1"/>
  <c r="B12094" i="1"/>
  <c r="C12094" i="1"/>
  <c r="D12094" i="1"/>
  <c r="E12094" i="1"/>
  <c r="F12094" i="1"/>
  <c r="H12094" i="1"/>
  <c r="A12095" i="1"/>
  <c r="B12095" i="1"/>
  <c r="C12095" i="1"/>
  <c r="D12095" i="1"/>
  <c r="E12095" i="1"/>
  <c r="F12095" i="1"/>
  <c r="H12095" i="1"/>
  <c r="A12096" i="1"/>
  <c r="B12096" i="1"/>
  <c r="C12096" i="1"/>
  <c r="D12096" i="1"/>
  <c r="E12096" i="1"/>
  <c r="F12096" i="1"/>
  <c r="H12096" i="1"/>
  <c r="A12097" i="1"/>
  <c r="B12097" i="1"/>
  <c r="C12097" i="1"/>
  <c r="D12097" i="1"/>
  <c r="E12097" i="1"/>
  <c r="F12097" i="1"/>
  <c r="H12097" i="1"/>
  <c r="A12098" i="1"/>
  <c r="B12098" i="1"/>
  <c r="C12098" i="1"/>
  <c r="D12098" i="1"/>
  <c r="E12098" i="1"/>
  <c r="F12098" i="1"/>
  <c r="H12098" i="1"/>
  <c r="A12099" i="1"/>
  <c r="B12099" i="1"/>
  <c r="C12099" i="1"/>
  <c r="D12099" i="1"/>
  <c r="E12099" i="1"/>
  <c r="F12099" i="1"/>
  <c r="H12099" i="1"/>
  <c r="A12100" i="1"/>
  <c r="B12100" i="1"/>
  <c r="C12100" i="1"/>
  <c r="D12100" i="1"/>
  <c r="E12100" i="1"/>
  <c r="F12100" i="1"/>
  <c r="H12100" i="1"/>
  <c r="A12101" i="1"/>
  <c r="B12101" i="1"/>
  <c r="C12101" i="1"/>
  <c r="D12101" i="1"/>
  <c r="E12101" i="1"/>
  <c r="F12101" i="1"/>
  <c r="H12101" i="1"/>
  <c r="A12102" i="1"/>
  <c r="B12102" i="1"/>
  <c r="C12102" i="1"/>
  <c r="D12102" i="1"/>
  <c r="E12102" i="1"/>
  <c r="F12102" i="1"/>
  <c r="H12102" i="1"/>
  <c r="A12103" i="1"/>
  <c r="B12103" i="1"/>
  <c r="C12103" i="1"/>
  <c r="D12103" i="1"/>
  <c r="E12103" i="1"/>
  <c r="F12103" i="1"/>
  <c r="H12103" i="1"/>
  <c r="A12104" i="1"/>
  <c r="B12104" i="1"/>
  <c r="C12104" i="1"/>
  <c r="D12104" i="1"/>
  <c r="E12104" i="1"/>
  <c r="F12104" i="1"/>
  <c r="H12104" i="1"/>
  <c r="A12105" i="1"/>
  <c r="B12105" i="1"/>
  <c r="C12105" i="1"/>
  <c r="D12105" i="1"/>
  <c r="E12105" i="1"/>
  <c r="F12105" i="1"/>
  <c r="H12105" i="1"/>
  <c r="A12106" i="1"/>
  <c r="B12106" i="1"/>
  <c r="C12106" i="1"/>
  <c r="D12106" i="1"/>
  <c r="E12106" i="1"/>
  <c r="F12106" i="1"/>
  <c r="H12106" i="1"/>
  <c r="A12107" i="1"/>
  <c r="B12107" i="1"/>
  <c r="C12107" i="1"/>
  <c r="D12107" i="1"/>
  <c r="E12107" i="1"/>
  <c r="F12107" i="1"/>
  <c r="H12107" i="1"/>
  <c r="A12108" i="1"/>
  <c r="B12108" i="1"/>
  <c r="C12108" i="1"/>
  <c r="D12108" i="1"/>
  <c r="E12108" i="1"/>
  <c r="F12108" i="1"/>
  <c r="H12108" i="1"/>
  <c r="A12109" i="1"/>
  <c r="B12109" i="1"/>
  <c r="C12109" i="1"/>
  <c r="D12109" i="1"/>
  <c r="E12109" i="1"/>
  <c r="F12109" i="1"/>
  <c r="H12109" i="1"/>
  <c r="A12110" i="1"/>
  <c r="B12110" i="1"/>
  <c r="C12110" i="1"/>
  <c r="D12110" i="1"/>
  <c r="E12110" i="1"/>
  <c r="F12110" i="1"/>
  <c r="H12110" i="1"/>
  <c r="A12111" i="1"/>
  <c r="B12111" i="1"/>
  <c r="C12111" i="1"/>
  <c r="D12111" i="1"/>
  <c r="E12111" i="1"/>
  <c r="F12111" i="1"/>
  <c r="H12111" i="1"/>
  <c r="A12112" i="1"/>
  <c r="B12112" i="1"/>
  <c r="C12112" i="1"/>
  <c r="D12112" i="1"/>
  <c r="E12112" i="1"/>
  <c r="F12112" i="1"/>
  <c r="H12112" i="1"/>
  <c r="A12113" i="1"/>
  <c r="B12113" i="1"/>
  <c r="C12113" i="1"/>
  <c r="D12113" i="1"/>
  <c r="E12113" i="1"/>
  <c r="F12113" i="1"/>
  <c r="H12113" i="1"/>
  <c r="A12114" i="1"/>
  <c r="B12114" i="1"/>
  <c r="C12114" i="1"/>
  <c r="D12114" i="1"/>
  <c r="E12114" i="1"/>
  <c r="F12114" i="1"/>
  <c r="H12114" i="1"/>
  <c r="A12115" i="1"/>
  <c r="B12115" i="1"/>
  <c r="C12115" i="1"/>
  <c r="D12115" i="1"/>
  <c r="E12115" i="1"/>
  <c r="F12115" i="1"/>
  <c r="H12115" i="1"/>
  <c r="A12116" i="1"/>
  <c r="B12116" i="1"/>
  <c r="C12116" i="1"/>
  <c r="D12116" i="1"/>
  <c r="E12116" i="1"/>
  <c r="F12116" i="1"/>
  <c r="H12116" i="1"/>
  <c r="A12117" i="1"/>
  <c r="B12117" i="1"/>
  <c r="C12117" i="1"/>
  <c r="D12117" i="1"/>
  <c r="E12117" i="1"/>
  <c r="F12117" i="1"/>
  <c r="H12117" i="1"/>
  <c r="A12118" i="1"/>
  <c r="B12118" i="1"/>
  <c r="C12118" i="1"/>
  <c r="D12118" i="1"/>
  <c r="E12118" i="1"/>
  <c r="F12118" i="1"/>
  <c r="H12118" i="1"/>
  <c r="A12119" i="1"/>
  <c r="B12119" i="1"/>
  <c r="C12119" i="1"/>
  <c r="D12119" i="1"/>
  <c r="E12119" i="1"/>
  <c r="F12119" i="1"/>
  <c r="H12119" i="1"/>
  <c r="A12120" i="1"/>
  <c r="B12120" i="1"/>
  <c r="C12120" i="1"/>
  <c r="D12120" i="1"/>
  <c r="E12120" i="1"/>
  <c r="F12120" i="1"/>
  <c r="H12120" i="1"/>
  <c r="A12121" i="1"/>
  <c r="B12121" i="1"/>
  <c r="C12121" i="1"/>
  <c r="D12121" i="1"/>
  <c r="E12121" i="1"/>
  <c r="F12121" i="1"/>
  <c r="H12121" i="1"/>
  <c r="A12122" i="1"/>
  <c r="B12122" i="1"/>
  <c r="C12122" i="1"/>
  <c r="D12122" i="1"/>
  <c r="E12122" i="1"/>
  <c r="F12122" i="1"/>
  <c r="H12122" i="1"/>
  <c r="A12123" i="1"/>
  <c r="B12123" i="1"/>
  <c r="C12123" i="1"/>
  <c r="D12123" i="1"/>
  <c r="E12123" i="1"/>
  <c r="F12123" i="1"/>
  <c r="H12123" i="1"/>
  <c r="A12124" i="1"/>
  <c r="B12124" i="1"/>
  <c r="C12124" i="1"/>
  <c r="D12124" i="1"/>
  <c r="E12124" i="1"/>
  <c r="F12124" i="1"/>
  <c r="H12124" i="1"/>
  <c r="A12125" i="1"/>
  <c r="B12125" i="1"/>
  <c r="C12125" i="1"/>
  <c r="D12125" i="1"/>
  <c r="E12125" i="1"/>
  <c r="F12125" i="1"/>
  <c r="H12125" i="1"/>
  <c r="A12126" i="1"/>
  <c r="B12126" i="1"/>
  <c r="C12126" i="1"/>
  <c r="D12126" i="1"/>
  <c r="E12126" i="1"/>
  <c r="F12126" i="1"/>
  <c r="H12126" i="1"/>
  <c r="A12127" i="1"/>
  <c r="B12127" i="1"/>
  <c r="C12127" i="1"/>
  <c r="D12127" i="1"/>
  <c r="E12127" i="1"/>
  <c r="F12127" i="1"/>
  <c r="H12127" i="1"/>
  <c r="A12128" i="1"/>
  <c r="B12128" i="1"/>
  <c r="C12128" i="1"/>
  <c r="D12128" i="1"/>
  <c r="E12128" i="1"/>
  <c r="F12128" i="1"/>
  <c r="H12128" i="1"/>
  <c r="A12129" i="1"/>
  <c r="B12129" i="1"/>
  <c r="C12129" i="1"/>
  <c r="D12129" i="1"/>
  <c r="E12129" i="1"/>
  <c r="F12129" i="1"/>
  <c r="H12129" i="1"/>
  <c r="A12130" i="1"/>
  <c r="B12130" i="1"/>
  <c r="C12130" i="1"/>
  <c r="D12130" i="1"/>
  <c r="E12130" i="1"/>
  <c r="F12130" i="1"/>
  <c r="H12130" i="1"/>
  <c r="A12131" i="1"/>
  <c r="B12131" i="1"/>
  <c r="C12131" i="1"/>
  <c r="D12131" i="1"/>
  <c r="E12131" i="1"/>
  <c r="F12131" i="1"/>
  <c r="H12131" i="1"/>
  <c r="A12132" i="1"/>
  <c r="B12132" i="1"/>
  <c r="C12132" i="1"/>
  <c r="D12132" i="1"/>
  <c r="E12132" i="1"/>
  <c r="F12132" i="1"/>
  <c r="H12132" i="1"/>
  <c r="A12133" i="1"/>
  <c r="B12133" i="1"/>
  <c r="C12133" i="1"/>
  <c r="D12133" i="1"/>
  <c r="E12133" i="1"/>
  <c r="F12133" i="1"/>
  <c r="H12133" i="1"/>
  <c r="A12134" i="1"/>
  <c r="B12134" i="1"/>
  <c r="C12134" i="1"/>
  <c r="D12134" i="1"/>
  <c r="E12134" i="1"/>
  <c r="F12134" i="1"/>
  <c r="H12134" i="1"/>
  <c r="A12135" i="1"/>
  <c r="B12135" i="1"/>
  <c r="C12135" i="1"/>
  <c r="D12135" i="1"/>
  <c r="E12135" i="1"/>
  <c r="F12135" i="1"/>
  <c r="H12135" i="1"/>
  <c r="A12136" i="1"/>
  <c r="B12136" i="1"/>
  <c r="C12136" i="1"/>
  <c r="D12136" i="1"/>
  <c r="E12136" i="1"/>
  <c r="F12136" i="1"/>
  <c r="H12136" i="1"/>
  <c r="A12137" i="1"/>
  <c r="B12137" i="1"/>
  <c r="C12137" i="1"/>
  <c r="D12137" i="1"/>
  <c r="E12137" i="1"/>
  <c r="F12137" i="1"/>
  <c r="H12137" i="1"/>
  <c r="A12138" i="1"/>
  <c r="B12138" i="1"/>
  <c r="C12138" i="1"/>
  <c r="D12138" i="1"/>
  <c r="E12138" i="1"/>
  <c r="F12138" i="1"/>
  <c r="H12138" i="1"/>
  <c r="A12139" i="1"/>
  <c r="B12139" i="1"/>
  <c r="C12139" i="1"/>
  <c r="D12139" i="1"/>
  <c r="E12139" i="1"/>
  <c r="F12139" i="1"/>
  <c r="H12139" i="1"/>
  <c r="A12140" i="1"/>
  <c r="B12140" i="1"/>
  <c r="C12140" i="1"/>
  <c r="D12140" i="1"/>
  <c r="E12140" i="1"/>
  <c r="F12140" i="1"/>
  <c r="H12140" i="1"/>
  <c r="A12141" i="1"/>
  <c r="B12141" i="1"/>
  <c r="C12141" i="1"/>
  <c r="D12141" i="1"/>
  <c r="E12141" i="1"/>
  <c r="F12141" i="1"/>
  <c r="H12141" i="1"/>
  <c r="A12142" i="1"/>
  <c r="B12142" i="1"/>
  <c r="C12142" i="1"/>
  <c r="D12142" i="1"/>
  <c r="E12142" i="1"/>
  <c r="F12142" i="1"/>
  <c r="H12142" i="1"/>
  <c r="A12143" i="1"/>
  <c r="B12143" i="1"/>
  <c r="C12143" i="1"/>
  <c r="D12143" i="1"/>
  <c r="E12143" i="1"/>
  <c r="F12143" i="1"/>
  <c r="H12143" i="1"/>
  <c r="A12144" i="1"/>
  <c r="B12144" i="1"/>
  <c r="C12144" i="1"/>
  <c r="D12144" i="1"/>
  <c r="E12144" i="1"/>
  <c r="F12144" i="1"/>
  <c r="H12144" i="1"/>
  <c r="A12145" i="1"/>
  <c r="B12145" i="1"/>
  <c r="C12145" i="1"/>
  <c r="D12145" i="1"/>
  <c r="E12145" i="1"/>
  <c r="F12145" i="1"/>
  <c r="H12145" i="1"/>
  <c r="A12146" i="1"/>
  <c r="B12146" i="1"/>
  <c r="C12146" i="1"/>
  <c r="D12146" i="1"/>
  <c r="E12146" i="1"/>
  <c r="F12146" i="1"/>
  <c r="H12146" i="1"/>
  <c r="A12147" i="1"/>
  <c r="B12147" i="1"/>
  <c r="C12147" i="1"/>
  <c r="D12147" i="1"/>
  <c r="E12147" i="1"/>
  <c r="F12147" i="1"/>
  <c r="H12147" i="1"/>
  <c r="A12148" i="1"/>
  <c r="B12148" i="1"/>
  <c r="C12148" i="1"/>
  <c r="D12148" i="1"/>
  <c r="E12148" i="1"/>
  <c r="F12148" i="1"/>
  <c r="H12148" i="1"/>
  <c r="A12149" i="1"/>
  <c r="B12149" i="1"/>
  <c r="C12149" i="1"/>
  <c r="D12149" i="1"/>
  <c r="E12149" i="1"/>
  <c r="F12149" i="1"/>
  <c r="H12149" i="1"/>
  <c r="A12150" i="1"/>
  <c r="B12150" i="1"/>
  <c r="C12150" i="1"/>
  <c r="D12150" i="1"/>
  <c r="E12150" i="1"/>
  <c r="F12150" i="1"/>
  <c r="H12150" i="1"/>
  <c r="A12151" i="1"/>
  <c r="B12151" i="1"/>
  <c r="C12151" i="1"/>
  <c r="D12151" i="1"/>
  <c r="E12151" i="1"/>
  <c r="F12151" i="1"/>
  <c r="H12151" i="1"/>
  <c r="A12152" i="1"/>
  <c r="B12152" i="1"/>
  <c r="C12152" i="1"/>
  <c r="D12152" i="1"/>
  <c r="E12152" i="1"/>
  <c r="F12152" i="1"/>
  <c r="H12152" i="1"/>
  <c r="A12153" i="1"/>
  <c r="B12153" i="1"/>
  <c r="C12153" i="1"/>
  <c r="D12153" i="1"/>
  <c r="E12153" i="1"/>
  <c r="F12153" i="1"/>
  <c r="H12153" i="1"/>
  <c r="A12154" i="1"/>
  <c r="B12154" i="1"/>
  <c r="C12154" i="1"/>
  <c r="D12154" i="1"/>
  <c r="E12154" i="1"/>
  <c r="F12154" i="1"/>
  <c r="H12154" i="1"/>
  <c r="A12155" i="1"/>
  <c r="B12155" i="1"/>
  <c r="C12155" i="1"/>
  <c r="D12155" i="1"/>
  <c r="E12155" i="1"/>
  <c r="F12155" i="1"/>
  <c r="H12155" i="1"/>
  <c r="A12156" i="1"/>
  <c r="B12156" i="1"/>
  <c r="C12156" i="1"/>
  <c r="D12156" i="1"/>
  <c r="E12156" i="1"/>
  <c r="F12156" i="1"/>
  <c r="H12156" i="1"/>
  <c r="A12157" i="1"/>
  <c r="B12157" i="1"/>
  <c r="C12157" i="1"/>
  <c r="D12157" i="1"/>
  <c r="E12157" i="1"/>
  <c r="F12157" i="1"/>
  <c r="H12157" i="1"/>
  <c r="A12158" i="1"/>
  <c r="B12158" i="1"/>
  <c r="C12158" i="1"/>
  <c r="D12158" i="1"/>
  <c r="E12158" i="1"/>
  <c r="F12158" i="1"/>
  <c r="H12158" i="1"/>
  <c r="A12159" i="1"/>
  <c r="B12159" i="1"/>
  <c r="C12159" i="1"/>
  <c r="D12159" i="1"/>
  <c r="E12159" i="1"/>
  <c r="F12159" i="1"/>
  <c r="H12159" i="1"/>
  <c r="A12160" i="1"/>
  <c r="B12160" i="1"/>
  <c r="C12160" i="1"/>
  <c r="D12160" i="1"/>
  <c r="E12160" i="1"/>
  <c r="F12160" i="1"/>
  <c r="H12160" i="1"/>
  <c r="A12161" i="1"/>
  <c r="B12161" i="1"/>
  <c r="C12161" i="1"/>
  <c r="D12161" i="1"/>
  <c r="E12161" i="1"/>
  <c r="F12161" i="1"/>
  <c r="H12161" i="1"/>
  <c r="A12162" i="1"/>
  <c r="B12162" i="1"/>
  <c r="C12162" i="1"/>
  <c r="D12162" i="1"/>
  <c r="E12162" i="1"/>
  <c r="F12162" i="1"/>
  <c r="H12162" i="1"/>
  <c r="A12163" i="1"/>
  <c r="B12163" i="1"/>
  <c r="C12163" i="1"/>
  <c r="D12163" i="1"/>
  <c r="E12163" i="1"/>
  <c r="F12163" i="1"/>
  <c r="H12163" i="1"/>
  <c r="A12164" i="1"/>
  <c r="B12164" i="1"/>
  <c r="C12164" i="1"/>
  <c r="D12164" i="1"/>
  <c r="E12164" i="1"/>
  <c r="F12164" i="1"/>
  <c r="H12164" i="1"/>
  <c r="A12165" i="1"/>
  <c r="B12165" i="1"/>
  <c r="C12165" i="1"/>
  <c r="D12165" i="1"/>
  <c r="E12165" i="1"/>
  <c r="F12165" i="1"/>
  <c r="H12165" i="1"/>
  <c r="A12166" i="1"/>
  <c r="B12166" i="1"/>
  <c r="C12166" i="1"/>
  <c r="D12166" i="1"/>
  <c r="E12166" i="1"/>
  <c r="F12166" i="1"/>
  <c r="H12166" i="1"/>
  <c r="A12167" i="1"/>
  <c r="B12167" i="1"/>
  <c r="C12167" i="1"/>
  <c r="D12167" i="1"/>
  <c r="E12167" i="1"/>
  <c r="F12167" i="1"/>
  <c r="H12167" i="1"/>
  <c r="A12168" i="1"/>
  <c r="B12168" i="1"/>
  <c r="C12168" i="1"/>
  <c r="D12168" i="1"/>
  <c r="E12168" i="1"/>
  <c r="F12168" i="1"/>
  <c r="H12168" i="1"/>
  <c r="A12169" i="1"/>
  <c r="B12169" i="1"/>
  <c r="C12169" i="1"/>
  <c r="D12169" i="1"/>
  <c r="E12169" i="1"/>
  <c r="F12169" i="1"/>
  <c r="H12169" i="1"/>
  <c r="A12170" i="1"/>
  <c r="B12170" i="1"/>
  <c r="C12170" i="1"/>
  <c r="D12170" i="1"/>
  <c r="E12170" i="1"/>
  <c r="F12170" i="1"/>
  <c r="H12170" i="1"/>
  <c r="A12171" i="1"/>
  <c r="B12171" i="1"/>
  <c r="C12171" i="1"/>
  <c r="D12171" i="1"/>
  <c r="E12171" i="1"/>
  <c r="F12171" i="1"/>
  <c r="H12171" i="1"/>
  <c r="A12172" i="1"/>
  <c r="B12172" i="1"/>
  <c r="C12172" i="1"/>
  <c r="D12172" i="1"/>
  <c r="E12172" i="1"/>
  <c r="F12172" i="1"/>
  <c r="H12172" i="1"/>
  <c r="A12173" i="1"/>
  <c r="B12173" i="1"/>
  <c r="C12173" i="1"/>
  <c r="D12173" i="1"/>
  <c r="E12173" i="1"/>
  <c r="F12173" i="1"/>
  <c r="H12173" i="1"/>
  <c r="A12174" i="1"/>
  <c r="B12174" i="1"/>
  <c r="C12174" i="1"/>
  <c r="D12174" i="1"/>
  <c r="E12174" i="1"/>
  <c r="F12174" i="1"/>
  <c r="H12174" i="1"/>
  <c r="A12175" i="1"/>
  <c r="B12175" i="1"/>
  <c r="C12175" i="1"/>
  <c r="D12175" i="1"/>
  <c r="E12175" i="1"/>
  <c r="F12175" i="1"/>
  <c r="H12175" i="1"/>
  <c r="A12176" i="1"/>
  <c r="B12176" i="1"/>
  <c r="C12176" i="1"/>
  <c r="D12176" i="1"/>
  <c r="E12176" i="1"/>
  <c r="F12176" i="1"/>
  <c r="H12176" i="1"/>
  <c r="A12177" i="1"/>
  <c r="B12177" i="1"/>
  <c r="C12177" i="1"/>
  <c r="D12177" i="1"/>
  <c r="E12177" i="1"/>
  <c r="F12177" i="1"/>
  <c r="H12177" i="1"/>
  <c r="A12178" i="1"/>
  <c r="B12178" i="1"/>
  <c r="C12178" i="1"/>
  <c r="D12178" i="1"/>
  <c r="E12178" i="1"/>
  <c r="F12178" i="1"/>
  <c r="H12178" i="1"/>
  <c r="A12179" i="1"/>
  <c r="B12179" i="1"/>
  <c r="C12179" i="1"/>
  <c r="D12179" i="1"/>
  <c r="E12179" i="1"/>
  <c r="F12179" i="1"/>
  <c r="H12179" i="1"/>
  <c r="A12180" i="1"/>
  <c r="B12180" i="1"/>
  <c r="C12180" i="1"/>
  <c r="D12180" i="1"/>
  <c r="E12180" i="1"/>
  <c r="F12180" i="1"/>
  <c r="H12180" i="1"/>
  <c r="A12181" i="1"/>
  <c r="B12181" i="1"/>
  <c r="C12181" i="1"/>
  <c r="D12181" i="1"/>
  <c r="E12181" i="1"/>
  <c r="F12181" i="1"/>
  <c r="H12181" i="1"/>
  <c r="A12182" i="1"/>
  <c r="B12182" i="1"/>
  <c r="C12182" i="1"/>
  <c r="D12182" i="1"/>
  <c r="E12182" i="1"/>
  <c r="F12182" i="1"/>
  <c r="H12182" i="1"/>
  <c r="A12183" i="1"/>
  <c r="B12183" i="1"/>
  <c r="C12183" i="1"/>
  <c r="D12183" i="1"/>
  <c r="E12183" i="1"/>
  <c r="F12183" i="1"/>
  <c r="H12183" i="1"/>
  <c r="A12184" i="1"/>
  <c r="B12184" i="1"/>
  <c r="C12184" i="1"/>
  <c r="D12184" i="1"/>
  <c r="E12184" i="1"/>
  <c r="F12184" i="1"/>
  <c r="H12184" i="1"/>
  <c r="A12185" i="1"/>
  <c r="B12185" i="1"/>
  <c r="C12185" i="1"/>
  <c r="D12185" i="1"/>
  <c r="E12185" i="1"/>
  <c r="F12185" i="1"/>
  <c r="H12185" i="1"/>
  <c r="A12186" i="1"/>
  <c r="B12186" i="1"/>
  <c r="C12186" i="1"/>
  <c r="D12186" i="1"/>
  <c r="E12186" i="1"/>
  <c r="F12186" i="1"/>
  <c r="H12186" i="1"/>
  <c r="A12187" i="1"/>
  <c r="B12187" i="1"/>
  <c r="C12187" i="1"/>
  <c r="D12187" i="1"/>
  <c r="E12187" i="1"/>
  <c r="F12187" i="1"/>
  <c r="H12187" i="1"/>
  <c r="A12188" i="1"/>
  <c r="B12188" i="1"/>
  <c r="C12188" i="1"/>
  <c r="D12188" i="1"/>
  <c r="E12188" i="1"/>
  <c r="F12188" i="1"/>
  <c r="H12188" i="1"/>
  <c r="A12189" i="1"/>
  <c r="B12189" i="1"/>
  <c r="C12189" i="1"/>
  <c r="D12189" i="1"/>
  <c r="E12189" i="1"/>
  <c r="F12189" i="1"/>
  <c r="H12189" i="1"/>
  <c r="A12190" i="1"/>
  <c r="B12190" i="1"/>
  <c r="C12190" i="1"/>
  <c r="D12190" i="1"/>
  <c r="E12190" i="1"/>
  <c r="F12190" i="1"/>
  <c r="H12190" i="1"/>
  <c r="A12191" i="1"/>
  <c r="B12191" i="1"/>
  <c r="C12191" i="1"/>
  <c r="D12191" i="1"/>
  <c r="E12191" i="1"/>
  <c r="F12191" i="1"/>
  <c r="H12191" i="1"/>
  <c r="A12192" i="1"/>
  <c r="B12192" i="1"/>
  <c r="C12192" i="1"/>
  <c r="D12192" i="1"/>
  <c r="E12192" i="1"/>
  <c r="F12192" i="1"/>
  <c r="H12192" i="1"/>
  <c r="A12193" i="1"/>
  <c r="B12193" i="1"/>
  <c r="C12193" i="1"/>
  <c r="D12193" i="1"/>
  <c r="E12193" i="1"/>
  <c r="F12193" i="1"/>
  <c r="H12193" i="1"/>
  <c r="A12194" i="1"/>
  <c r="B12194" i="1"/>
  <c r="C12194" i="1"/>
  <c r="D12194" i="1"/>
  <c r="E12194" i="1"/>
  <c r="F12194" i="1"/>
  <c r="H12194" i="1"/>
  <c r="A12195" i="1"/>
  <c r="B12195" i="1"/>
  <c r="C12195" i="1"/>
  <c r="D12195" i="1"/>
  <c r="E12195" i="1"/>
  <c r="F12195" i="1"/>
  <c r="H12195" i="1"/>
  <c r="A12196" i="1"/>
  <c r="B12196" i="1"/>
  <c r="C12196" i="1"/>
  <c r="D12196" i="1"/>
  <c r="E12196" i="1"/>
  <c r="F12196" i="1"/>
  <c r="H12196" i="1"/>
  <c r="A12197" i="1"/>
  <c r="B12197" i="1"/>
  <c r="C12197" i="1"/>
  <c r="D12197" i="1"/>
  <c r="E12197" i="1"/>
  <c r="F12197" i="1"/>
  <c r="H12197" i="1"/>
  <c r="A12198" i="1"/>
  <c r="B12198" i="1"/>
  <c r="C12198" i="1"/>
  <c r="D12198" i="1"/>
  <c r="E12198" i="1"/>
  <c r="F12198" i="1"/>
  <c r="H12198" i="1"/>
  <c r="A12199" i="1"/>
  <c r="B12199" i="1"/>
  <c r="C12199" i="1"/>
  <c r="D12199" i="1"/>
  <c r="E12199" i="1"/>
  <c r="F12199" i="1"/>
  <c r="H12199" i="1"/>
  <c r="A12200" i="1"/>
  <c r="B12200" i="1"/>
  <c r="C12200" i="1"/>
  <c r="D12200" i="1"/>
  <c r="E12200" i="1"/>
  <c r="F12200" i="1"/>
  <c r="H12200" i="1"/>
  <c r="A12201" i="1"/>
  <c r="B12201" i="1"/>
  <c r="C12201" i="1"/>
  <c r="D12201" i="1"/>
  <c r="E12201" i="1"/>
  <c r="F12201" i="1"/>
  <c r="H12201" i="1"/>
  <c r="A12202" i="1"/>
  <c r="B12202" i="1"/>
  <c r="C12202" i="1"/>
  <c r="D12202" i="1"/>
  <c r="E12202" i="1"/>
  <c r="F12202" i="1"/>
  <c r="H12202" i="1"/>
  <c r="A12203" i="1"/>
  <c r="B12203" i="1"/>
  <c r="C12203" i="1"/>
  <c r="D12203" i="1"/>
  <c r="E12203" i="1"/>
  <c r="F12203" i="1"/>
  <c r="H12203" i="1"/>
  <c r="A12204" i="1"/>
  <c r="B12204" i="1"/>
  <c r="C12204" i="1"/>
  <c r="D12204" i="1"/>
  <c r="E12204" i="1"/>
  <c r="F12204" i="1"/>
  <c r="H12204" i="1"/>
  <c r="A12205" i="1"/>
  <c r="B12205" i="1"/>
  <c r="C12205" i="1"/>
  <c r="D12205" i="1"/>
  <c r="E12205" i="1"/>
  <c r="F12205" i="1"/>
  <c r="H12205" i="1"/>
  <c r="A12206" i="1"/>
  <c r="B12206" i="1"/>
  <c r="C12206" i="1"/>
  <c r="D12206" i="1"/>
  <c r="E12206" i="1"/>
  <c r="F12206" i="1"/>
  <c r="H12206" i="1"/>
  <c r="A12207" i="1"/>
  <c r="B12207" i="1"/>
  <c r="C12207" i="1"/>
  <c r="D12207" i="1"/>
  <c r="E12207" i="1"/>
  <c r="F12207" i="1"/>
  <c r="H12207" i="1"/>
  <c r="A12208" i="1"/>
  <c r="B12208" i="1"/>
  <c r="C12208" i="1"/>
  <c r="D12208" i="1"/>
  <c r="E12208" i="1"/>
  <c r="F12208" i="1"/>
  <c r="H12208" i="1"/>
  <c r="A12209" i="1"/>
  <c r="B12209" i="1"/>
  <c r="C12209" i="1"/>
  <c r="D12209" i="1"/>
  <c r="E12209" i="1"/>
  <c r="F12209" i="1"/>
  <c r="H12209" i="1"/>
  <c r="A12210" i="1"/>
  <c r="B12210" i="1"/>
  <c r="C12210" i="1"/>
  <c r="D12210" i="1"/>
  <c r="E12210" i="1"/>
  <c r="F12210" i="1"/>
  <c r="H12210" i="1"/>
  <c r="A12211" i="1"/>
  <c r="B12211" i="1"/>
  <c r="C12211" i="1"/>
  <c r="D12211" i="1"/>
  <c r="E12211" i="1"/>
  <c r="F12211" i="1"/>
  <c r="H12211" i="1"/>
  <c r="A12212" i="1"/>
  <c r="B12212" i="1"/>
  <c r="C12212" i="1"/>
  <c r="D12212" i="1"/>
  <c r="E12212" i="1"/>
  <c r="F12212" i="1"/>
  <c r="H12212" i="1"/>
  <c r="A12213" i="1"/>
  <c r="B12213" i="1"/>
  <c r="C12213" i="1"/>
  <c r="D12213" i="1"/>
  <c r="E12213" i="1"/>
  <c r="F12213" i="1"/>
  <c r="H12213" i="1"/>
  <c r="A12214" i="1"/>
  <c r="B12214" i="1"/>
  <c r="C12214" i="1"/>
  <c r="D12214" i="1"/>
  <c r="E12214" i="1"/>
  <c r="F12214" i="1"/>
  <c r="H12214" i="1"/>
  <c r="A12215" i="1"/>
  <c r="B12215" i="1"/>
  <c r="C12215" i="1"/>
  <c r="D12215" i="1"/>
  <c r="E12215" i="1"/>
  <c r="F12215" i="1"/>
  <c r="H12215" i="1"/>
  <c r="A12216" i="1"/>
  <c r="B12216" i="1"/>
  <c r="C12216" i="1"/>
  <c r="D12216" i="1"/>
  <c r="E12216" i="1"/>
  <c r="F12216" i="1"/>
  <c r="H12216" i="1"/>
  <c r="A12217" i="1"/>
  <c r="B12217" i="1"/>
  <c r="C12217" i="1"/>
  <c r="D12217" i="1"/>
  <c r="E12217" i="1"/>
  <c r="F12217" i="1"/>
  <c r="H12217" i="1"/>
  <c r="A12218" i="1"/>
  <c r="B12218" i="1"/>
  <c r="C12218" i="1"/>
  <c r="D12218" i="1"/>
  <c r="E12218" i="1"/>
  <c r="F12218" i="1"/>
  <c r="H12218" i="1"/>
  <c r="A12219" i="1"/>
  <c r="B12219" i="1"/>
  <c r="C12219" i="1"/>
  <c r="D12219" i="1"/>
  <c r="E12219" i="1"/>
  <c r="F12219" i="1"/>
  <c r="H12219" i="1"/>
  <c r="A12220" i="1"/>
  <c r="B12220" i="1"/>
  <c r="C12220" i="1"/>
  <c r="D12220" i="1"/>
  <c r="E12220" i="1"/>
  <c r="F12220" i="1"/>
  <c r="H12220" i="1"/>
  <c r="A12221" i="1"/>
  <c r="B12221" i="1"/>
  <c r="C12221" i="1"/>
  <c r="D12221" i="1"/>
  <c r="E12221" i="1"/>
  <c r="F12221" i="1"/>
  <c r="H12221" i="1"/>
  <c r="A12222" i="1"/>
  <c r="B12222" i="1"/>
  <c r="C12222" i="1"/>
  <c r="D12222" i="1"/>
  <c r="E12222" i="1"/>
  <c r="F12222" i="1"/>
  <c r="H12222" i="1"/>
  <c r="A12223" i="1"/>
  <c r="B12223" i="1"/>
  <c r="C12223" i="1"/>
  <c r="D12223" i="1"/>
  <c r="E12223" i="1"/>
  <c r="F12223" i="1"/>
  <c r="H12223" i="1"/>
  <c r="A12224" i="1"/>
  <c r="B12224" i="1"/>
  <c r="C12224" i="1"/>
  <c r="D12224" i="1"/>
  <c r="E12224" i="1"/>
  <c r="F12224" i="1"/>
  <c r="H12224" i="1"/>
  <c r="A12225" i="1"/>
  <c r="B12225" i="1"/>
  <c r="C12225" i="1"/>
  <c r="D12225" i="1"/>
  <c r="E12225" i="1"/>
  <c r="F12225" i="1"/>
  <c r="H12225" i="1"/>
  <c r="A12226" i="1"/>
  <c r="B12226" i="1"/>
  <c r="C12226" i="1"/>
  <c r="D12226" i="1"/>
  <c r="E12226" i="1"/>
  <c r="F12226" i="1"/>
  <c r="H12226" i="1"/>
  <c r="A12227" i="1"/>
  <c r="B12227" i="1"/>
  <c r="C12227" i="1"/>
  <c r="D12227" i="1"/>
  <c r="E12227" i="1"/>
  <c r="F12227" i="1"/>
  <c r="H12227" i="1"/>
  <c r="A12228" i="1"/>
  <c r="B12228" i="1"/>
  <c r="C12228" i="1"/>
  <c r="D12228" i="1"/>
  <c r="E12228" i="1"/>
  <c r="F12228" i="1"/>
  <c r="H12228" i="1"/>
  <c r="A12229" i="1"/>
  <c r="B12229" i="1"/>
  <c r="C12229" i="1"/>
  <c r="D12229" i="1"/>
  <c r="E12229" i="1"/>
  <c r="F12229" i="1"/>
  <c r="H12229" i="1"/>
  <c r="A12230" i="1"/>
  <c r="B12230" i="1"/>
  <c r="C12230" i="1"/>
  <c r="D12230" i="1"/>
  <c r="E12230" i="1"/>
  <c r="F12230" i="1"/>
  <c r="H12230" i="1"/>
  <c r="A12231" i="1"/>
  <c r="B12231" i="1"/>
  <c r="C12231" i="1"/>
  <c r="D12231" i="1"/>
  <c r="E12231" i="1"/>
  <c r="F12231" i="1"/>
  <c r="H12231" i="1"/>
  <c r="A12232" i="1"/>
  <c r="B12232" i="1"/>
  <c r="C12232" i="1"/>
  <c r="D12232" i="1"/>
  <c r="E12232" i="1"/>
  <c r="F12232" i="1"/>
  <c r="H12232" i="1"/>
  <c r="A12233" i="1"/>
  <c r="B12233" i="1"/>
  <c r="C12233" i="1"/>
  <c r="D12233" i="1"/>
  <c r="E12233" i="1"/>
  <c r="F12233" i="1"/>
  <c r="H12233" i="1"/>
  <c r="A12234" i="1"/>
  <c r="B12234" i="1"/>
  <c r="C12234" i="1"/>
  <c r="D12234" i="1"/>
  <c r="E12234" i="1"/>
  <c r="F12234" i="1"/>
  <c r="H12234" i="1"/>
  <c r="A12235" i="1"/>
  <c r="B12235" i="1"/>
  <c r="C12235" i="1"/>
  <c r="D12235" i="1"/>
  <c r="E12235" i="1"/>
  <c r="F12235" i="1"/>
  <c r="H12235" i="1"/>
  <c r="A12236" i="1"/>
  <c r="B12236" i="1"/>
  <c r="C12236" i="1"/>
  <c r="D12236" i="1"/>
  <c r="E12236" i="1"/>
  <c r="F12236" i="1"/>
  <c r="H12236" i="1"/>
  <c r="A12237" i="1"/>
  <c r="B12237" i="1"/>
  <c r="C12237" i="1"/>
  <c r="D12237" i="1"/>
  <c r="E12237" i="1"/>
  <c r="F12237" i="1"/>
  <c r="H12237" i="1"/>
  <c r="A12238" i="1"/>
  <c r="B12238" i="1"/>
  <c r="C12238" i="1"/>
  <c r="D12238" i="1"/>
  <c r="E12238" i="1"/>
  <c r="F12238" i="1"/>
  <c r="H12238" i="1"/>
  <c r="A12239" i="1"/>
  <c r="B12239" i="1"/>
  <c r="C12239" i="1"/>
  <c r="D12239" i="1"/>
  <c r="E12239" i="1"/>
  <c r="F12239" i="1"/>
  <c r="H12239" i="1"/>
  <c r="A12240" i="1"/>
  <c r="B12240" i="1"/>
  <c r="C12240" i="1"/>
  <c r="D12240" i="1"/>
  <c r="E12240" i="1"/>
  <c r="F12240" i="1"/>
  <c r="H12240" i="1"/>
  <c r="A12241" i="1"/>
  <c r="B12241" i="1"/>
  <c r="C12241" i="1"/>
  <c r="D12241" i="1"/>
  <c r="E12241" i="1"/>
  <c r="F12241" i="1"/>
  <c r="H12241" i="1"/>
  <c r="A12242" i="1"/>
  <c r="B12242" i="1"/>
  <c r="C12242" i="1"/>
  <c r="D12242" i="1"/>
  <c r="E12242" i="1"/>
  <c r="F12242" i="1"/>
  <c r="H12242" i="1"/>
  <c r="A12243" i="1"/>
  <c r="B12243" i="1"/>
  <c r="C12243" i="1"/>
  <c r="D12243" i="1"/>
  <c r="E12243" i="1"/>
  <c r="F12243" i="1"/>
  <c r="H12243" i="1"/>
  <c r="A12244" i="1"/>
  <c r="B12244" i="1"/>
  <c r="C12244" i="1"/>
  <c r="D12244" i="1"/>
  <c r="E12244" i="1"/>
  <c r="F12244" i="1"/>
  <c r="H12244" i="1"/>
  <c r="A12245" i="1"/>
  <c r="B12245" i="1"/>
  <c r="C12245" i="1"/>
  <c r="D12245" i="1"/>
  <c r="E12245" i="1"/>
  <c r="F12245" i="1"/>
  <c r="H12245" i="1"/>
  <c r="A12246" i="1"/>
  <c r="B12246" i="1"/>
  <c r="C12246" i="1"/>
  <c r="D12246" i="1"/>
  <c r="E12246" i="1"/>
  <c r="F12246" i="1"/>
  <c r="H12246" i="1"/>
  <c r="A12247" i="1"/>
  <c r="B12247" i="1"/>
  <c r="C12247" i="1"/>
  <c r="D12247" i="1"/>
  <c r="E12247" i="1"/>
  <c r="F12247" i="1"/>
  <c r="H12247" i="1"/>
  <c r="A12248" i="1"/>
  <c r="B12248" i="1"/>
  <c r="C12248" i="1"/>
  <c r="D12248" i="1"/>
  <c r="E12248" i="1"/>
  <c r="F12248" i="1"/>
  <c r="H12248" i="1"/>
  <c r="A12249" i="1"/>
  <c r="B12249" i="1"/>
  <c r="C12249" i="1"/>
  <c r="D12249" i="1"/>
  <c r="E12249" i="1"/>
  <c r="F12249" i="1"/>
  <c r="H12249" i="1"/>
  <c r="A12250" i="1"/>
  <c r="B12250" i="1"/>
  <c r="C12250" i="1"/>
  <c r="D12250" i="1"/>
  <c r="E12250" i="1"/>
  <c r="F12250" i="1"/>
  <c r="H12250" i="1"/>
  <c r="A12251" i="1"/>
  <c r="B12251" i="1"/>
  <c r="C12251" i="1"/>
  <c r="D12251" i="1"/>
  <c r="E12251" i="1"/>
  <c r="F12251" i="1"/>
  <c r="H12251" i="1"/>
  <c r="A12252" i="1"/>
  <c r="B12252" i="1"/>
  <c r="C12252" i="1"/>
  <c r="D12252" i="1"/>
  <c r="E12252" i="1"/>
  <c r="F12252" i="1"/>
  <c r="H12252" i="1"/>
  <c r="A12253" i="1"/>
  <c r="B12253" i="1"/>
  <c r="C12253" i="1"/>
  <c r="D12253" i="1"/>
  <c r="E12253" i="1"/>
  <c r="F12253" i="1"/>
  <c r="H12253" i="1"/>
  <c r="A12254" i="1"/>
  <c r="B12254" i="1"/>
  <c r="C12254" i="1"/>
  <c r="D12254" i="1"/>
  <c r="E12254" i="1"/>
  <c r="F12254" i="1"/>
  <c r="H12254" i="1"/>
  <c r="A12255" i="1"/>
  <c r="B12255" i="1"/>
  <c r="C12255" i="1"/>
  <c r="D12255" i="1"/>
  <c r="E12255" i="1"/>
  <c r="F12255" i="1"/>
  <c r="H12255" i="1"/>
  <c r="A12256" i="1"/>
  <c r="B12256" i="1"/>
  <c r="C12256" i="1"/>
  <c r="D12256" i="1"/>
  <c r="E12256" i="1"/>
  <c r="F12256" i="1"/>
  <c r="H12256" i="1"/>
  <c r="A12257" i="1"/>
  <c r="B12257" i="1"/>
  <c r="C12257" i="1"/>
  <c r="D12257" i="1"/>
  <c r="E12257" i="1"/>
  <c r="F12257" i="1"/>
  <c r="H12257" i="1"/>
  <c r="A12258" i="1"/>
  <c r="B12258" i="1"/>
  <c r="C12258" i="1"/>
  <c r="D12258" i="1"/>
  <c r="E12258" i="1"/>
  <c r="F12258" i="1"/>
  <c r="H12258" i="1"/>
  <c r="A12259" i="1"/>
  <c r="B12259" i="1"/>
  <c r="C12259" i="1"/>
  <c r="D12259" i="1"/>
  <c r="E12259" i="1"/>
  <c r="F12259" i="1"/>
  <c r="H12259" i="1"/>
  <c r="A12260" i="1"/>
  <c r="B12260" i="1"/>
  <c r="C12260" i="1"/>
  <c r="D12260" i="1"/>
  <c r="E12260" i="1"/>
  <c r="F12260" i="1"/>
  <c r="H12260" i="1"/>
  <c r="A12261" i="1"/>
  <c r="B12261" i="1"/>
  <c r="C12261" i="1"/>
  <c r="D12261" i="1"/>
  <c r="E12261" i="1"/>
  <c r="F12261" i="1"/>
  <c r="H12261" i="1"/>
  <c r="A12262" i="1"/>
  <c r="B12262" i="1"/>
  <c r="C12262" i="1"/>
  <c r="D12262" i="1"/>
  <c r="E12262" i="1"/>
  <c r="F12262" i="1"/>
  <c r="H12262" i="1"/>
  <c r="A12263" i="1"/>
  <c r="B12263" i="1"/>
  <c r="C12263" i="1"/>
  <c r="D12263" i="1"/>
  <c r="E12263" i="1"/>
  <c r="F12263" i="1"/>
  <c r="H12263" i="1"/>
  <c r="A12264" i="1"/>
  <c r="B12264" i="1"/>
  <c r="C12264" i="1"/>
  <c r="D12264" i="1"/>
  <c r="E12264" i="1"/>
  <c r="F12264" i="1"/>
  <c r="H12264" i="1"/>
  <c r="A12265" i="1"/>
  <c r="B12265" i="1"/>
  <c r="C12265" i="1"/>
  <c r="D12265" i="1"/>
  <c r="E12265" i="1"/>
  <c r="F12265" i="1"/>
  <c r="H12265" i="1"/>
  <c r="A12266" i="1"/>
  <c r="B12266" i="1"/>
  <c r="C12266" i="1"/>
  <c r="D12266" i="1"/>
  <c r="E12266" i="1"/>
  <c r="F12266" i="1"/>
  <c r="H12266" i="1"/>
  <c r="A12267" i="1"/>
  <c r="B12267" i="1"/>
  <c r="C12267" i="1"/>
  <c r="D12267" i="1"/>
  <c r="E12267" i="1"/>
  <c r="F12267" i="1"/>
  <c r="H12267" i="1"/>
  <c r="A12268" i="1"/>
  <c r="B12268" i="1"/>
  <c r="C12268" i="1"/>
  <c r="D12268" i="1"/>
  <c r="E12268" i="1"/>
  <c r="F12268" i="1"/>
  <c r="H12268" i="1"/>
  <c r="A12269" i="1"/>
  <c r="B12269" i="1"/>
  <c r="C12269" i="1"/>
  <c r="D12269" i="1"/>
  <c r="E12269" i="1"/>
  <c r="F12269" i="1"/>
  <c r="H12269" i="1"/>
  <c r="A12270" i="1"/>
  <c r="B12270" i="1"/>
  <c r="C12270" i="1"/>
  <c r="D12270" i="1"/>
  <c r="E12270" i="1"/>
  <c r="F12270" i="1"/>
  <c r="H12270" i="1"/>
  <c r="A12271" i="1"/>
  <c r="B12271" i="1"/>
  <c r="C12271" i="1"/>
  <c r="D12271" i="1"/>
  <c r="E12271" i="1"/>
  <c r="F12271" i="1"/>
  <c r="H12271" i="1"/>
  <c r="A12272" i="1"/>
  <c r="B12272" i="1"/>
  <c r="C12272" i="1"/>
  <c r="D12272" i="1"/>
  <c r="E12272" i="1"/>
  <c r="F12272" i="1"/>
  <c r="H12272" i="1"/>
  <c r="A12273" i="1"/>
  <c r="B12273" i="1"/>
  <c r="C12273" i="1"/>
  <c r="D12273" i="1"/>
  <c r="E12273" i="1"/>
  <c r="F12273" i="1"/>
  <c r="H12273" i="1"/>
  <c r="A12274" i="1"/>
  <c r="B12274" i="1"/>
  <c r="C12274" i="1"/>
  <c r="D12274" i="1"/>
  <c r="E12274" i="1"/>
  <c r="F12274" i="1"/>
  <c r="H12274" i="1"/>
  <c r="A12275" i="1"/>
  <c r="B12275" i="1"/>
  <c r="C12275" i="1"/>
  <c r="D12275" i="1"/>
  <c r="E12275" i="1"/>
  <c r="F12275" i="1"/>
  <c r="H12275" i="1"/>
  <c r="A12276" i="1"/>
  <c r="B12276" i="1"/>
  <c r="C12276" i="1"/>
  <c r="D12276" i="1"/>
  <c r="E12276" i="1"/>
  <c r="F12276" i="1"/>
  <c r="H12276" i="1"/>
  <c r="A12277" i="1"/>
  <c r="B12277" i="1"/>
  <c r="C12277" i="1"/>
  <c r="D12277" i="1"/>
  <c r="E12277" i="1"/>
  <c r="F12277" i="1"/>
  <c r="H12277" i="1"/>
  <c r="A12278" i="1"/>
  <c r="B12278" i="1"/>
  <c r="C12278" i="1"/>
  <c r="D12278" i="1"/>
  <c r="E12278" i="1"/>
  <c r="F12278" i="1"/>
  <c r="H12278" i="1"/>
  <c r="A12279" i="1"/>
  <c r="B12279" i="1"/>
  <c r="C12279" i="1"/>
  <c r="D12279" i="1"/>
  <c r="E12279" i="1"/>
  <c r="F12279" i="1"/>
  <c r="H12279" i="1"/>
  <c r="A12280" i="1"/>
  <c r="B12280" i="1"/>
  <c r="C12280" i="1"/>
  <c r="D12280" i="1"/>
  <c r="E12280" i="1"/>
  <c r="F12280" i="1"/>
  <c r="H12280" i="1"/>
  <c r="A12281" i="1"/>
  <c r="B12281" i="1"/>
  <c r="C12281" i="1"/>
  <c r="D12281" i="1"/>
  <c r="E12281" i="1"/>
  <c r="F12281" i="1"/>
  <c r="H12281" i="1"/>
  <c r="A12282" i="1"/>
  <c r="B12282" i="1"/>
  <c r="C12282" i="1"/>
  <c r="D12282" i="1"/>
  <c r="E12282" i="1"/>
  <c r="F12282" i="1"/>
  <c r="H12282" i="1"/>
  <c r="A12283" i="1"/>
  <c r="B12283" i="1"/>
  <c r="C12283" i="1"/>
  <c r="D12283" i="1"/>
  <c r="E12283" i="1"/>
  <c r="F12283" i="1"/>
  <c r="H12283" i="1"/>
  <c r="A12284" i="1"/>
  <c r="B12284" i="1"/>
  <c r="C12284" i="1"/>
  <c r="D12284" i="1"/>
  <c r="E12284" i="1"/>
  <c r="F12284" i="1"/>
  <c r="H12284" i="1"/>
  <c r="A12285" i="1"/>
  <c r="B12285" i="1"/>
  <c r="C12285" i="1"/>
  <c r="D12285" i="1"/>
  <c r="E12285" i="1"/>
  <c r="F12285" i="1"/>
  <c r="H12285" i="1"/>
  <c r="A12286" i="1"/>
  <c r="B12286" i="1"/>
  <c r="C12286" i="1"/>
  <c r="D12286" i="1"/>
  <c r="E12286" i="1"/>
  <c r="F12286" i="1"/>
  <c r="H12286" i="1"/>
  <c r="A12287" i="1"/>
  <c r="B12287" i="1"/>
  <c r="C12287" i="1"/>
  <c r="D12287" i="1"/>
  <c r="E12287" i="1"/>
  <c r="F12287" i="1"/>
  <c r="H12287" i="1"/>
  <c r="A12288" i="1"/>
  <c r="B12288" i="1"/>
  <c r="C12288" i="1"/>
  <c r="D12288" i="1"/>
  <c r="E12288" i="1"/>
  <c r="F12288" i="1"/>
  <c r="H12288" i="1"/>
  <c r="A12289" i="1"/>
  <c r="B12289" i="1"/>
  <c r="C12289" i="1"/>
  <c r="D12289" i="1"/>
  <c r="E12289" i="1"/>
  <c r="F12289" i="1"/>
  <c r="H12289" i="1"/>
  <c r="A12290" i="1"/>
  <c r="B12290" i="1"/>
  <c r="C12290" i="1"/>
  <c r="D12290" i="1"/>
  <c r="E12290" i="1"/>
  <c r="F12290" i="1"/>
  <c r="H12290" i="1"/>
  <c r="A12291" i="1"/>
  <c r="B12291" i="1"/>
  <c r="C12291" i="1"/>
  <c r="D12291" i="1"/>
  <c r="E12291" i="1"/>
  <c r="F12291" i="1"/>
  <c r="H12291" i="1"/>
  <c r="A12292" i="1"/>
  <c r="B12292" i="1"/>
  <c r="C12292" i="1"/>
  <c r="D12292" i="1"/>
  <c r="E12292" i="1"/>
  <c r="F12292" i="1"/>
  <c r="H12292" i="1"/>
  <c r="A12293" i="1"/>
  <c r="B12293" i="1"/>
  <c r="C12293" i="1"/>
  <c r="D12293" i="1"/>
  <c r="E12293" i="1"/>
  <c r="F12293" i="1"/>
  <c r="H12293" i="1"/>
  <c r="A12294" i="1"/>
  <c r="B12294" i="1"/>
  <c r="C12294" i="1"/>
  <c r="D12294" i="1"/>
  <c r="E12294" i="1"/>
  <c r="F12294" i="1"/>
  <c r="H12294" i="1"/>
  <c r="A12295" i="1"/>
  <c r="B12295" i="1"/>
  <c r="C12295" i="1"/>
  <c r="D12295" i="1"/>
  <c r="E12295" i="1"/>
  <c r="F12295" i="1"/>
  <c r="H12295" i="1"/>
  <c r="A12296" i="1"/>
  <c r="B12296" i="1"/>
  <c r="C12296" i="1"/>
  <c r="D12296" i="1"/>
  <c r="E12296" i="1"/>
  <c r="F12296" i="1"/>
  <c r="H12296" i="1"/>
  <c r="A12297" i="1"/>
  <c r="B12297" i="1"/>
  <c r="C12297" i="1"/>
  <c r="D12297" i="1"/>
  <c r="E12297" i="1"/>
  <c r="F12297" i="1"/>
  <c r="H12297" i="1"/>
  <c r="A12298" i="1"/>
  <c r="B12298" i="1"/>
  <c r="C12298" i="1"/>
  <c r="D12298" i="1"/>
  <c r="E12298" i="1"/>
  <c r="F12298" i="1"/>
  <c r="H12298" i="1"/>
  <c r="A12299" i="1"/>
  <c r="B12299" i="1"/>
  <c r="C12299" i="1"/>
  <c r="D12299" i="1"/>
  <c r="E12299" i="1"/>
  <c r="F12299" i="1"/>
  <c r="H12299" i="1"/>
  <c r="A12300" i="1"/>
  <c r="B12300" i="1"/>
  <c r="C12300" i="1"/>
  <c r="D12300" i="1"/>
  <c r="E12300" i="1"/>
  <c r="F12300" i="1"/>
  <c r="H12300" i="1"/>
  <c r="A12301" i="1"/>
  <c r="B12301" i="1"/>
  <c r="C12301" i="1"/>
  <c r="D12301" i="1"/>
  <c r="E12301" i="1"/>
  <c r="F12301" i="1"/>
  <c r="H12301" i="1"/>
  <c r="A12302" i="1"/>
  <c r="B12302" i="1"/>
  <c r="C12302" i="1"/>
  <c r="D12302" i="1"/>
  <c r="E12302" i="1"/>
  <c r="F12302" i="1"/>
  <c r="H12302" i="1"/>
  <c r="A12303" i="1"/>
  <c r="B12303" i="1"/>
  <c r="C12303" i="1"/>
  <c r="D12303" i="1"/>
  <c r="E12303" i="1"/>
  <c r="F12303" i="1"/>
  <c r="H12303" i="1"/>
  <c r="A12304" i="1"/>
  <c r="B12304" i="1"/>
  <c r="C12304" i="1"/>
  <c r="D12304" i="1"/>
  <c r="E12304" i="1"/>
  <c r="F12304" i="1"/>
  <c r="H12304" i="1"/>
  <c r="A12305" i="1"/>
  <c r="B12305" i="1"/>
  <c r="C12305" i="1"/>
  <c r="D12305" i="1"/>
  <c r="E12305" i="1"/>
  <c r="F12305" i="1"/>
  <c r="H12305" i="1"/>
  <c r="A12306" i="1"/>
  <c r="B12306" i="1"/>
  <c r="C12306" i="1"/>
  <c r="D12306" i="1"/>
  <c r="E12306" i="1"/>
  <c r="F12306" i="1"/>
  <c r="H12306" i="1"/>
  <c r="A12307" i="1"/>
  <c r="B12307" i="1"/>
  <c r="C12307" i="1"/>
  <c r="D12307" i="1"/>
  <c r="E12307" i="1"/>
  <c r="F12307" i="1"/>
  <c r="H12307" i="1"/>
  <c r="A12308" i="1"/>
  <c r="B12308" i="1"/>
  <c r="C12308" i="1"/>
  <c r="D12308" i="1"/>
  <c r="E12308" i="1"/>
  <c r="F12308" i="1"/>
  <c r="H12308" i="1"/>
  <c r="A12309" i="1"/>
  <c r="B12309" i="1"/>
  <c r="C12309" i="1"/>
  <c r="D12309" i="1"/>
  <c r="E12309" i="1"/>
  <c r="F12309" i="1"/>
  <c r="H12309" i="1"/>
  <c r="A12310" i="1"/>
  <c r="B12310" i="1"/>
  <c r="C12310" i="1"/>
  <c r="D12310" i="1"/>
  <c r="E12310" i="1"/>
  <c r="F12310" i="1"/>
  <c r="H12310" i="1"/>
  <c r="A12311" i="1"/>
  <c r="B12311" i="1"/>
  <c r="C12311" i="1"/>
  <c r="D12311" i="1"/>
  <c r="E12311" i="1"/>
  <c r="F12311" i="1"/>
  <c r="H12311" i="1"/>
  <c r="A12312" i="1"/>
  <c r="B12312" i="1"/>
  <c r="C12312" i="1"/>
  <c r="D12312" i="1"/>
  <c r="E12312" i="1"/>
  <c r="F12312" i="1"/>
  <c r="H12312" i="1"/>
  <c r="A12313" i="1"/>
  <c r="B12313" i="1"/>
  <c r="C12313" i="1"/>
  <c r="D12313" i="1"/>
  <c r="E12313" i="1"/>
  <c r="F12313" i="1"/>
  <c r="H12313" i="1"/>
  <c r="A12314" i="1"/>
  <c r="B12314" i="1"/>
  <c r="C12314" i="1"/>
  <c r="D12314" i="1"/>
  <c r="E12314" i="1"/>
  <c r="F12314" i="1"/>
  <c r="H12314" i="1"/>
  <c r="A12315" i="1"/>
  <c r="B12315" i="1"/>
  <c r="C12315" i="1"/>
  <c r="D12315" i="1"/>
  <c r="E12315" i="1"/>
  <c r="F12315" i="1"/>
  <c r="H12315" i="1"/>
  <c r="A12316" i="1"/>
  <c r="B12316" i="1"/>
  <c r="C12316" i="1"/>
  <c r="D12316" i="1"/>
  <c r="E12316" i="1"/>
  <c r="F12316" i="1"/>
  <c r="H12316" i="1"/>
  <c r="A12317" i="1"/>
  <c r="B12317" i="1"/>
  <c r="C12317" i="1"/>
  <c r="D12317" i="1"/>
  <c r="E12317" i="1"/>
  <c r="F12317" i="1"/>
  <c r="H12317" i="1"/>
  <c r="A12318" i="1"/>
  <c r="B12318" i="1"/>
  <c r="C12318" i="1"/>
  <c r="D12318" i="1"/>
  <c r="E12318" i="1"/>
  <c r="F12318" i="1"/>
  <c r="H12318" i="1"/>
  <c r="A12319" i="1"/>
  <c r="B12319" i="1"/>
  <c r="C12319" i="1"/>
  <c r="D12319" i="1"/>
  <c r="E12319" i="1"/>
  <c r="F12319" i="1"/>
  <c r="H12319" i="1"/>
  <c r="A12320" i="1"/>
  <c r="B12320" i="1"/>
  <c r="C12320" i="1"/>
  <c r="D12320" i="1"/>
  <c r="E12320" i="1"/>
  <c r="F12320" i="1"/>
  <c r="H12320" i="1"/>
  <c r="A12321" i="1"/>
  <c r="B12321" i="1"/>
  <c r="C12321" i="1"/>
  <c r="D12321" i="1"/>
  <c r="E12321" i="1"/>
  <c r="F12321" i="1"/>
  <c r="H12321" i="1"/>
  <c r="A12322" i="1"/>
  <c r="B12322" i="1"/>
  <c r="C12322" i="1"/>
  <c r="D12322" i="1"/>
  <c r="E12322" i="1"/>
  <c r="F12322" i="1"/>
  <c r="H12322" i="1"/>
  <c r="A12323" i="1"/>
  <c r="B12323" i="1"/>
  <c r="C12323" i="1"/>
  <c r="D12323" i="1"/>
  <c r="E12323" i="1"/>
  <c r="F12323" i="1"/>
  <c r="H12323" i="1"/>
  <c r="A12324" i="1"/>
  <c r="B12324" i="1"/>
  <c r="C12324" i="1"/>
  <c r="D12324" i="1"/>
  <c r="E12324" i="1"/>
  <c r="F12324" i="1"/>
  <c r="H12324" i="1"/>
  <c r="A12325" i="1"/>
  <c r="B12325" i="1"/>
  <c r="C12325" i="1"/>
  <c r="D12325" i="1"/>
  <c r="E12325" i="1"/>
  <c r="F12325" i="1"/>
  <c r="H12325" i="1"/>
  <c r="A12326" i="1"/>
  <c r="B12326" i="1"/>
  <c r="C12326" i="1"/>
  <c r="D12326" i="1"/>
  <c r="E12326" i="1"/>
  <c r="F12326" i="1"/>
  <c r="H12326" i="1"/>
  <c r="A12327" i="1"/>
  <c r="B12327" i="1"/>
  <c r="C12327" i="1"/>
  <c r="D12327" i="1"/>
  <c r="E12327" i="1"/>
  <c r="F12327" i="1"/>
  <c r="H12327" i="1"/>
  <c r="A12328" i="1"/>
  <c r="B12328" i="1"/>
  <c r="C12328" i="1"/>
  <c r="D12328" i="1"/>
  <c r="E12328" i="1"/>
  <c r="F12328" i="1"/>
  <c r="H12328" i="1"/>
  <c r="A12329" i="1"/>
  <c r="B12329" i="1"/>
  <c r="C12329" i="1"/>
  <c r="D12329" i="1"/>
  <c r="E12329" i="1"/>
  <c r="F12329" i="1"/>
  <c r="H12329" i="1"/>
  <c r="A12330" i="1"/>
  <c r="B12330" i="1"/>
  <c r="C12330" i="1"/>
  <c r="D12330" i="1"/>
  <c r="E12330" i="1"/>
  <c r="F12330" i="1"/>
  <c r="H12330" i="1"/>
  <c r="A12331" i="1"/>
  <c r="B12331" i="1"/>
  <c r="C12331" i="1"/>
  <c r="D12331" i="1"/>
  <c r="E12331" i="1"/>
  <c r="F12331" i="1"/>
  <c r="H12331" i="1"/>
  <c r="A12332" i="1"/>
  <c r="B12332" i="1"/>
  <c r="C12332" i="1"/>
  <c r="D12332" i="1"/>
  <c r="E12332" i="1"/>
  <c r="F12332" i="1"/>
  <c r="H12332" i="1"/>
  <c r="A12333" i="1"/>
  <c r="B12333" i="1"/>
  <c r="C12333" i="1"/>
  <c r="D12333" i="1"/>
  <c r="E12333" i="1"/>
  <c r="F12333" i="1"/>
  <c r="H12333" i="1"/>
  <c r="A12334" i="1"/>
  <c r="B12334" i="1"/>
  <c r="C12334" i="1"/>
  <c r="D12334" i="1"/>
  <c r="E12334" i="1"/>
  <c r="F12334" i="1"/>
  <c r="H12334" i="1"/>
  <c r="A12335" i="1"/>
  <c r="B12335" i="1"/>
  <c r="C12335" i="1"/>
  <c r="D12335" i="1"/>
  <c r="E12335" i="1"/>
  <c r="F12335" i="1"/>
  <c r="H12335" i="1"/>
  <c r="A12336" i="1"/>
  <c r="B12336" i="1"/>
  <c r="C12336" i="1"/>
  <c r="D12336" i="1"/>
  <c r="E12336" i="1"/>
  <c r="F12336" i="1"/>
  <c r="H12336" i="1"/>
  <c r="A12337" i="1"/>
  <c r="B12337" i="1"/>
  <c r="C12337" i="1"/>
  <c r="D12337" i="1"/>
  <c r="E12337" i="1"/>
  <c r="F12337" i="1"/>
  <c r="H12337" i="1"/>
  <c r="A12338" i="1"/>
  <c r="B12338" i="1"/>
  <c r="C12338" i="1"/>
  <c r="D12338" i="1"/>
  <c r="E12338" i="1"/>
  <c r="F12338" i="1"/>
  <c r="H12338" i="1"/>
  <c r="A12339" i="1"/>
  <c r="B12339" i="1"/>
  <c r="C12339" i="1"/>
  <c r="D12339" i="1"/>
  <c r="E12339" i="1"/>
  <c r="F12339" i="1"/>
  <c r="H12339" i="1"/>
  <c r="A12340" i="1"/>
  <c r="B12340" i="1"/>
  <c r="C12340" i="1"/>
  <c r="D12340" i="1"/>
  <c r="E12340" i="1"/>
  <c r="F12340" i="1"/>
  <c r="H12340" i="1"/>
  <c r="A12341" i="1"/>
  <c r="B12341" i="1"/>
  <c r="C12341" i="1"/>
  <c r="D12341" i="1"/>
  <c r="E12341" i="1"/>
  <c r="F12341" i="1"/>
  <c r="H12341" i="1"/>
  <c r="A12342" i="1"/>
  <c r="B12342" i="1"/>
  <c r="C12342" i="1"/>
  <c r="D12342" i="1"/>
  <c r="E12342" i="1"/>
  <c r="F12342" i="1"/>
  <c r="H12342" i="1"/>
  <c r="A12343" i="1"/>
  <c r="B12343" i="1"/>
  <c r="C12343" i="1"/>
  <c r="D12343" i="1"/>
  <c r="E12343" i="1"/>
  <c r="F12343" i="1"/>
  <c r="H12343" i="1"/>
  <c r="A12344" i="1"/>
  <c r="B12344" i="1"/>
  <c r="C12344" i="1"/>
  <c r="D12344" i="1"/>
  <c r="E12344" i="1"/>
  <c r="F12344" i="1"/>
  <c r="H12344" i="1"/>
  <c r="A12345" i="1"/>
  <c r="B12345" i="1"/>
  <c r="C12345" i="1"/>
  <c r="D12345" i="1"/>
  <c r="E12345" i="1"/>
  <c r="F12345" i="1"/>
  <c r="H12345" i="1"/>
  <c r="A12346" i="1"/>
  <c r="B12346" i="1"/>
  <c r="C12346" i="1"/>
  <c r="D12346" i="1"/>
  <c r="E12346" i="1"/>
  <c r="F12346" i="1"/>
  <c r="H12346" i="1"/>
  <c r="A12347" i="1"/>
  <c r="B12347" i="1"/>
  <c r="C12347" i="1"/>
  <c r="D12347" i="1"/>
  <c r="E12347" i="1"/>
  <c r="F12347" i="1"/>
  <c r="H12347" i="1"/>
  <c r="A12348" i="1"/>
  <c r="B12348" i="1"/>
  <c r="C12348" i="1"/>
  <c r="D12348" i="1"/>
  <c r="E12348" i="1"/>
  <c r="F12348" i="1"/>
  <c r="H12348" i="1"/>
  <c r="A12349" i="1"/>
  <c r="B12349" i="1"/>
  <c r="C12349" i="1"/>
  <c r="D12349" i="1"/>
  <c r="E12349" i="1"/>
  <c r="F12349" i="1"/>
  <c r="H12349" i="1"/>
  <c r="A12350" i="1"/>
  <c r="B12350" i="1"/>
  <c r="C12350" i="1"/>
  <c r="D12350" i="1"/>
  <c r="E12350" i="1"/>
  <c r="F12350" i="1"/>
  <c r="H12350" i="1"/>
  <c r="A12351" i="1"/>
  <c r="B12351" i="1"/>
  <c r="C12351" i="1"/>
  <c r="D12351" i="1"/>
  <c r="E12351" i="1"/>
  <c r="F12351" i="1"/>
  <c r="H12351" i="1"/>
  <c r="A12352" i="1"/>
  <c r="B12352" i="1"/>
  <c r="C12352" i="1"/>
  <c r="D12352" i="1"/>
  <c r="E12352" i="1"/>
  <c r="F12352" i="1"/>
  <c r="H12352" i="1"/>
  <c r="A12353" i="1"/>
  <c r="B12353" i="1"/>
  <c r="C12353" i="1"/>
  <c r="D12353" i="1"/>
  <c r="E12353" i="1"/>
  <c r="F12353" i="1"/>
  <c r="H12353" i="1"/>
  <c r="A12354" i="1"/>
  <c r="B12354" i="1"/>
  <c r="C12354" i="1"/>
  <c r="D12354" i="1"/>
  <c r="E12354" i="1"/>
  <c r="F12354" i="1"/>
  <c r="H12354" i="1"/>
  <c r="A12355" i="1"/>
  <c r="B12355" i="1"/>
  <c r="C12355" i="1"/>
  <c r="D12355" i="1"/>
  <c r="E12355" i="1"/>
  <c r="F12355" i="1"/>
  <c r="H12355" i="1"/>
  <c r="A12356" i="1"/>
  <c r="B12356" i="1"/>
  <c r="C12356" i="1"/>
  <c r="D12356" i="1"/>
  <c r="E12356" i="1"/>
  <c r="F12356" i="1"/>
  <c r="H12356" i="1"/>
  <c r="A12357" i="1"/>
  <c r="B12357" i="1"/>
  <c r="C12357" i="1"/>
  <c r="D12357" i="1"/>
  <c r="E12357" i="1"/>
  <c r="F12357" i="1"/>
  <c r="H12357" i="1"/>
  <c r="A12358" i="1"/>
  <c r="B12358" i="1"/>
  <c r="C12358" i="1"/>
  <c r="D12358" i="1"/>
  <c r="E12358" i="1"/>
  <c r="F12358" i="1"/>
  <c r="H12358" i="1"/>
  <c r="A12359" i="1"/>
  <c r="B12359" i="1"/>
  <c r="C12359" i="1"/>
  <c r="D12359" i="1"/>
  <c r="E12359" i="1"/>
  <c r="F12359" i="1"/>
  <c r="H12359" i="1"/>
  <c r="A12360" i="1"/>
  <c r="B12360" i="1"/>
  <c r="C12360" i="1"/>
  <c r="D12360" i="1"/>
  <c r="E12360" i="1"/>
  <c r="F12360" i="1"/>
  <c r="H12360" i="1"/>
  <c r="A12361" i="1"/>
  <c r="B12361" i="1"/>
  <c r="C12361" i="1"/>
  <c r="D12361" i="1"/>
  <c r="E12361" i="1"/>
  <c r="F12361" i="1"/>
  <c r="H12361" i="1"/>
  <c r="A12362" i="1"/>
  <c r="B12362" i="1"/>
  <c r="C12362" i="1"/>
  <c r="D12362" i="1"/>
  <c r="E12362" i="1"/>
  <c r="F12362" i="1"/>
  <c r="H12362" i="1"/>
  <c r="A12363" i="1"/>
  <c r="B12363" i="1"/>
  <c r="C12363" i="1"/>
  <c r="D12363" i="1"/>
  <c r="E12363" i="1"/>
  <c r="F12363" i="1"/>
  <c r="H12363" i="1"/>
  <c r="A12364" i="1"/>
  <c r="B12364" i="1"/>
  <c r="C12364" i="1"/>
  <c r="D12364" i="1"/>
  <c r="E12364" i="1"/>
  <c r="F12364" i="1"/>
  <c r="H12364" i="1"/>
  <c r="A12365" i="1"/>
  <c r="B12365" i="1"/>
  <c r="C12365" i="1"/>
  <c r="D12365" i="1"/>
  <c r="E12365" i="1"/>
  <c r="F12365" i="1"/>
  <c r="H12365" i="1"/>
  <c r="A12366" i="1"/>
  <c r="B12366" i="1"/>
  <c r="C12366" i="1"/>
  <c r="D12366" i="1"/>
  <c r="E12366" i="1"/>
  <c r="F12366" i="1"/>
  <c r="H12366" i="1"/>
  <c r="A12367" i="1"/>
  <c r="B12367" i="1"/>
  <c r="C12367" i="1"/>
  <c r="D12367" i="1"/>
  <c r="E12367" i="1"/>
  <c r="F12367" i="1"/>
  <c r="H12367" i="1"/>
  <c r="A12368" i="1"/>
  <c r="B12368" i="1"/>
  <c r="C12368" i="1"/>
  <c r="D12368" i="1"/>
  <c r="E12368" i="1"/>
  <c r="F12368" i="1"/>
  <c r="H12368" i="1"/>
  <c r="A12369" i="1"/>
  <c r="B12369" i="1"/>
  <c r="C12369" i="1"/>
  <c r="D12369" i="1"/>
  <c r="E12369" i="1"/>
  <c r="F12369" i="1"/>
  <c r="H12369" i="1"/>
  <c r="A12370" i="1"/>
  <c r="B12370" i="1"/>
  <c r="C12370" i="1"/>
  <c r="D12370" i="1"/>
  <c r="E12370" i="1"/>
  <c r="F12370" i="1"/>
  <c r="H12370" i="1"/>
  <c r="A12371" i="1"/>
  <c r="B12371" i="1"/>
  <c r="C12371" i="1"/>
  <c r="D12371" i="1"/>
  <c r="E12371" i="1"/>
  <c r="F12371" i="1"/>
  <c r="H12371" i="1"/>
  <c r="A12372" i="1"/>
  <c r="B12372" i="1"/>
  <c r="C12372" i="1"/>
  <c r="D12372" i="1"/>
  <c r="E12372" i="1"/>
  <c r="F12372" i="1"/>
  <c r="H12372" i="1"/>
  <c r="A12373" i="1"/>
  <c r="B12373" i="1"/>
  <c r="C12373" i="1"/>
  <c r="D12373" i="1"/>
  <c r="E12373" i="1"/>
  <c r="F12373" i="1"/>
  <c r="H12373" i="1"/>
  <c r="A12374" i="1"/>
  <c r="B12374" i="1"/>
  <c r="C12374" i="1"/>
  <c r="D12374" i="1"/>
  <c r="E12374" i="1"/>
  <c r="F12374" i="1"/>
  <c r="H12374" i="1"/>
  <c r="A12375" i="1"/>
  <c r="B12375" i="1"/>
  <c r="C12375" i="1"/>
  <c r="D12375" i="1"/>
  <c r="E12375" i="1"/>
  <c r="F12375" i="1"/>
  <c r="H12375" i="1"/>
  <c r="A12376" i="1"/>
  <c r="B12376" i="1"/>
  <c r="C12376" i="1"/>
  <c r="D12376" i="1"/>
  <c r="E12376" i="1"/>
  <c r="F12376" i="1"/>
  <c r="H12376" i="1"/>
  <c r="A12377" i="1"/>
  <c r="B12377" i="1"/>
  <c r="C12377" i="1"/>
  <c r="D12377" i="1"/>
  <c r="E12377" i="1"/>
  <c r="F12377" i="1"/>
  <c r="H12377" i="1"/>
  <c r="A12378" i="1"/>
  <c r="B12378" i="1"/>
  <c r="C12378" i="1"/>
  <c r="D12378" i="1"/>
  <c r="E12378" i="1"/>
  <c r="F12378" i="1"/>
  <c r="H12378" i="1"/>
  <c r="A12379" i="1"/>
  <c r="B12379" i="1"/>
  <c r="C12379" i="1"/>
  <c r="D12379" i="1"/>
  <c r="E12379" i="1"/>
  <c r="F12379" i="1"/>
  <c r="H12379" i="1"/>
  <c r="A12380" i="1"/>
  <c r="B12380" i="1"/>
  <c r="C12380" i="1"/>
  <c r="D12380" i="1"/>
  <c r="E12380" i="1"/>
  <c r="F12380" i="1"/>
  <c r="H12380" i="1"/>
  <c r="A12381" i="1"/>
  <c r="B12381" i="1"/>
  <c r="C12381" i="1"/>
  <c r="D12381" i="1"/>
  <c r="E12381" i="1"/>
  <c r="F12381" i="1"/>
  <c r="H12381" i="1"/>
  <c r="A12382" i="1"/>
  <c r="B12382" i="1"/>
  <c r="C12382" i="1"/>
  <c r="D12382" i="1"/>
  <c r="E12382" i="1"/>
  <c r="F12382" i="1"/>
  <c r="H12382" i="1"/>
  <c r="A12383" i="1"/>
  <c r="B12383" i="1"/>
  <c r="C12383" i="1"/>
  <c r="D12383" i="1"/>
  <c r="E12383" i="1"/>
  <c r="F12383" i="1"/>
  <c r="H12383" i="1"/>
  <c r="A12384" i="1"/>
  <c r="B12384" i="1"/>
  <c r="C12384" i="1"/>
  <c r="D12384" i="1"/>
  <c r="E12384" i="1"/>
  <c r="F12384" i="1"/>
  <c r="H12384" i="1"/>
  <c r="A12385" i="1"/>
  <c r="B12385" i="1"/>
  <c r="C12385" i="1"/>
  <c r="D12385" i="1"/>
  <c r="E12385" i="1"/>
  <c r="F12385" i="1"/>
  <c r="H12385" i="1"/>
  <c r="A12386" i="1"/>
  <c r="B12386" i="1"/>
  <c r="C12386" i="1"/>
  <c r="D12386" i="1"/>
  <c r="E12386" i="1"/>
  <c r="F12386" i="1"/>
  <c r="H12386" i="1"/>
  <c r="A12387" i="1"/>
  <c r="B12387" i="1"/>
  <c r="C12387" i="1"/>
  <c r="D12387" i="1"/>
  <c r="E12387" i="1"/>
  <c r="F12387" i="1"/>
  <c r="H12387" i="1"/>
  <c r="A12388" i="1"/>
  <c r="B12388" i="1"/>
  <c r="C12388" i="1"/>
  <c r="D12388" i="1"/>
  <c r="E12388" i="1"/>
  <c r="F12388" i="1"/>
  <c r="H12388" i="1"/>
  <c r="A12389" i="1"/>
  <c r="B12389" i="1"/>
  <c r="C12389" i="1"/>
  <c r="D12389" i="1"/>
  <c r="E12389" i="1"/>
  <c r="F12389" i="1"/>
  <c r="H12389" i="1"/>
  <c r="A12390" i="1"/>
  <c r="B12390" i="1"/>
  <c r="C12390" i="1"/>
  <c r="D12390" i="1"/>
  <c r="E12390" i="1"/>
  <c r="F12390" i="1"/>
  <c r="H12390" i="1"/>
  <c r="A12391" i="1"/>
  <c r="B12391" i="1"/>
  <c r="C12391" i="1"/>
  <c r="D12391" i="1"/>
  <c r="E12391" i="1"/>
  <c r="F12391" i="1"/>
  <c r="H12391" i="1"/>
  <c r="A12392" i="1"/>
  <c r="B12392" i="1"/>
  <c r="C12392" i="1"/>
  <c r="D12392" i="1"/>
  <c r="E12392" i="1"/>
  <c r="F12392" i="1"/>
  <c r="H12392" i="1"/>
  <c r="A12393" i="1"/>
  <c r="B12393" i="1"/>
  <c r="C12393" i="1"/>
  <c r="D12393" i="1"/>
  <c r="E12393" i="1"/>
  <c r="F12393" i="1"/>
  <c r="H12393" i="1"/>
  <c r="A12394" i="1"/>
  <c r="B12394" i="1"/>
  <c r="C12394" i="1"/>
  <c r="D12394" i="1"/>
  <c r="E12394" i="1"/>
  <c r="F12394" i="1"/>
  <c r="H12394" i="1"/>
  <c r="A12395" i="1"/>
  <c r="B12395" i="1"/>
  <c r="C12395" i="1"/>
  <c r="D12395" i="1"/>
  <c r="E12395" i="1"/>
  <c r="F12395" i="1"/>
  <c r="H12395" i="1"/>
  <c r="A12396" i="1"/>
  <c r="B12396" i="1"/>
  <c r="C12396" i="1"/>
  <c r="D12396" i="1"/>
  <c r="E12396" i="1"/>
  <c r="F12396" i="1"/>
  <c r="H12396" i="1"/>
  <c r="A12397" i="1"/>
  <c r="B12397" i="1"/>
  <c r="C12397" i="1"/>
  <c r="D12397" i="1"/>
  <c r="E12397" i="1"/>
  <c r="F12397" i="1"/>
  <c r="H12397" i="1"/>
  <c r="A12398" i="1"/>
  <c r="B12398" i="1"/>
  <c r="C12398" i="1"/>
  <c r="D12398" i="1"/>
  <c r="E12398" i="1"/>
  <c r="F12398" i="1"/>
  <c r="H12398" i="1"/>
  <c r="A12399" i="1"/>
  <c r="B12399" i="1"/>
  <c r="C12399" i="1"/>
  <c r="D12399" i="1"/>
  <c r="E12399" i="1"/>
  <c r="F12399" i="1"/>
  <c r="H12399" i="1"/>
  <c r="A12400" i="1"/>
  <c r="B12400" i="1"/>
  <c r="C12400" i="1"/>
  <c r="D12400" i="1"/>
  <c r="E12400" i="1"/>
  <c r="F12400" i="1"/>
  <c r="H12400" i="1"/>
  <c r="A12401" i="1"/>
  <c r="B12401" i="1"/>
  <c r="C12401" i="1"/>
  <c r="D12401" i="1"/>
  <c r="E12401" i="1"/>
  <c r="F12401" i="1"/>
  <c r="H12401" i="1"/>
  <c r="A12402" i="1"/>
  <c r="B12402" i="1"/>
  <c r="C12402" i="1"/>
  <c r="D12402" i="1"/>
  <c r="E12402" i="1"/>
  <c r="F12402" i="1"/>
  <c r="H12402" i="1"/>
  <c r="A12403" i="1"/>
  <c r="B12403" i="1"/>
  <c r="C12403" i="1"/>
  <c r="D12403" i="1"/>
  <c r="E12403" i="1"/>
  <c r="F12403" i="1"/>
  <c r="H12403" i="1"/>
  <c r="A12404" i="1"/>
  <c r="B12404" i="1"/>
  <c r="C12404" i="1"/>
  <c r="D12404" i="1"/>
  <c r="E12404" i="1"/>
  <c r="F12404" i="1"/>
  <c r="H12404" i="1"/>
  <c r="A12405" i="1"/>
  <c r="B12405" i="1"/>
  <c r="C12405" i="1"/>
  <c r="D12405" i="1"/>
  <c r="E12405" i="1"/>
  <c r="F12405" i="1"/>
  <c r="H12405" i="1"/>
  <c r="A12406" i="1"/>
  <c r="B12406" i="1"/>
  <c r="C12406" i="1"/>
  <c r="D12406" i="1"/>
  <c r="E12406" i="1"/>
  <c r="F12406" i="1"/>
  <c r="H12406" i="1"/>
  <c r="A12407" i="1"/>
  <c r="B12407" i="1"/>
  <c r="C12407" i="1"/>
  <c r="D12407" i="1"/>
  <c r="E12407" i="1"/>
  <c r="F12407" i="1"/>
  <c r="H12407" i="1"/>
  <c r="A12408" i="1"/>
  <c r="B12408" i="1"/>
  <c r="C12408" i="1"/>
  <c r="D12408" i="1"/>
  <c r="E12408" i="1"/>
  <c r="F12408" i="1"/>
  <c r="H12408" i="1"/>
  <c r="A12409" i="1"/>
  <c r="B12409" i="1"/>
  <c r="C12409" i="1"/>
  <c r="D12409" i="1"/>
  <c r="E12409" i="1"/>
  <c r="F12409" i="1"/>
  <c r="H12409" i="1"/>
  <c r="A12410" i="1"/>
  <c r="B12410" i="1"/>
  <c r="C12410" i="1"/>
  <c r="D12410" i="1"/>
  <c r="E12410" i="1"/>
  <c r="F12410" i="1"/>
  <c r="H12410" i="1"/>
  <c r="A12411" i="1"/>
  <c r="B12411" i="1"/>
  <c r="C12411" i="1"/>
  <c r="D12411" i="1"/>
  <c r="E12411" i="1"/>
  <c r="F12411" i="1"/>
  <c r="H12411" i="1"/>
  <c r="A12412" i="1"/>
  <c r="B12412" i="1"/>
  <c r="C12412" i="1"/>
  <c r="D12412" i="1"/>
  <c r="E12412" i="1"/>
  <c r="F12412" i="1"/>
  <c r="H12412" i="1"/>
  <c r="A12413" i="1"/>
  <c r="B12413" i="1"/>
  <c r="C12413" i="1"/>
  <c r="D12413" i="1"/>
  <c r="E12413" i="1"/>
  <c r="F12413" i="1"/>
  <c r="H12413" i="1"/>
  <c r="A12414" i="1"/>
  <c r="B12414" i="1"/>
  <c r="C12414" i="1"/>
  <c r="D12414" i="1"/>
  <c r="E12414" i="1"/>
  <c r="F12414" i="1"/>
  <c r="H12414" i="1"/>
  <c r="A12415" i="1"/>
  <c r="B12415" i="1"/>
  <c r="C12415" i="1"/>
  <c r="D12415" i="1"/>
  <c r="E12415" i="1"/>
  <c r="F12415" i="1"/>
  <c r="H12415" i="1"/>
  <c r="A12416" i="1"/>
  <c r="B12416" i="1"/>
  <c r="C12416" i="1"/>
  <c r="D12416" i="1"/>
  <c r="E12416" i="1"/>
  <c r="F12416" i="1"/>
  <c r="H12416" i="1"/>
  <c r="A12417" i="1"/>
  <c r="B12417" i="1"/>
  <c r="C12417" i="1"/>
  <c r="D12417" i="1"/>
  <c r="E12417" i="1"/>
  <c r="F12417" i="1"/>
  <c r="H12417" i="1"/>
  <c r="A12418" i="1"/>
  <c r="B12418" i="1"/>
  <c r="C12418" i="1"/>
  <c r="D12418" i="1"/>
  <c r="E12418" i="1"/>
  <c r="F12418" i="1"/>
  <c r="H12418" i="1"/>
  <c r="A12419" i="1"/>
  <c r="B12419" i="1"/>
  <c r="C12419" i="1"/>
  <c r="D12419" i="1"/>
  <c r="E12419" i="1"/>
  <c r="F12419" i="1"/>
  <c r="H12419" i="1"/>
  <c r="A12420" i="1"/>
  <c r="B12420" i="1"/>
  <c r="C12420" i="1"/>
  <c r="D12420" i="1"/>
  <c r="E12420" i="1"/>
  <c r="F12420" i="1"/>
  <c r="H12420" i="1"/>
  <c r="A12421" i="1"/>
  <c r="B12421" i="1"/>
  <c r="C12421" i="1"/>
  <c r="D12421" i="1"/>
  <c r="E12421" i="1"/>
  <c r="F12421" i="1"/>
  <c r="H12421" i="1"/>
  <c r="A12422" i="1"/>
  <c r="B12422" i="1"/>
  <c r="C12422" i="1"/>
  <c r="D12422" i="1"/>
  <c r="E12422" i="1"/>
  <c r="F12422" i="1"/>
  <c r="H12422" i="1"/>
  <c r="A12423" i="1"/>
  <c r="B12423" i="1"/>
  <c r="C12423" i="1"/>
  <c r="D12423" i="1"/>
  <c r="E12423" i="1"/>
  <c r="F12423" i="1"/>
  <c r="H12423" i="1"/>
  <c r="A12424" i="1"/>
  <c r="B12424" i="1"/>
  <c r="C12424" i="1"/>
  <c r="D12424" i="1"/>
  <c r="E12424" i="1"/>
  <c r="F12424" i="1"/>
  <c r="H12424" i="1"/>
  <c r="A12425" i="1"/>
  <c r="B12425" i="1"/>
  <c r="C12425" i="1"/>
  <c r="D12425" i="1"/>
  <c r="E12425" i="1"/>
  <c r="F12425" i="1"/>
  <c r="H12425" i="1"/>
  <c r="A12426" i="1"/>
  <c r="B12426" i="1"/>
  <c r="C12426" i="1"/>
  <c r="D12426" i="1"/>
  <c r="E12426" i="1"/>
  <c r="F12426" i="1"/>
  <c r="H12426" i="1"/>
  <c r="A12427" i="1"/>
  <c r="B12427" i="1"/>
  <c r="C12427" i="1"/>
  <c r="D12427" i="1"/>
  <c r="E12427" i="1"/>
  <c r="F12427" i="1"/>
  <c r="H12427" i="1"/>
  <c r="A12428" i="1"/>
  <c r="B12428" i="1"/>
  <c r="C12428" i="1"/>
  <c r="D12428" i="1"/>
  <c r="E12428" i="1"/>
  <c r="F12428" i="1"/>
  <c r="H12428" i="1"/>
  <c r="A12429" i="1"/>
  <c r="B12429" i="1"/>
  <c r="C12429" i="1"/>
  <c r="D12429" i="1"/>
  <c r="E12429" i="1"/>
  <c r="F12429" i="1"/>
  <c r="H12429" i="1"/>
  <c r="A12430" i="1"/>
  <c r="B12430" i="1"/>
  <c r="C12430" i="1"/>
  <c r="D12430" i="1"/>
  <c r="E12430" i="1"/>
  <c r="F12430" i="1"/>
  <c r="H12430" i="1"/>
  <c r="A12431" i="1"/>
  <c r="B12431" i="1"/>
  <c r="C12431" i="1"/>
  <c r="D12431" i="1"/>
  <c r="E12431" i="1"/>
  <c r="F12431" i="1"/>
  <c r="H12431" i="1"/>
  <c r="A12432" i="1"/>
  <c r="B12432" i="1"/>
  <c r="C12432" i="1"/>
  <c r="D12432" i="1"/>
  <c r="E12432" i="1"/>
  <c r="F12432" i="1"/>
  <c r="H12432" i="1"/>
  <c r="A12433" i="1"/>
  <c r="B12433" i="1"/>
  <c r="C12433" i="1"/>
  <c r="D12433" i="1"/>
  <c r="E12433" i="1"/>
  <c r="F12433" i="1"/>
  <c r="H12433" i="1"/>
  <c r="A12434" i="1"/>
  <c r="B12434" i="1"/>
  <c r="C12434" i="1"/>
  <c r="D12434" i="1"/>
  <c r="E12434" i="1"/>
  <c r="F12434" i="1"/>
  <c r="H12434" i="1"/>
  <c r="A12435" i="1"/>
  <c r="B12435" i="1"/>
  <c r="C12435" i="1"/>
  <c r="D12435" i="1"/>
  <c r="E12435" i="1"/>
  <c r="F12435" i="1"/>
  <c r="H12435" i="1"/>
  <c r="A12436" i="1"/>
  <c r="B12436" i="1"/>
  <c r="C12436" i="1"/>
  <c r="D12436" i="1"/>
  <c r="E12436" i="1"/>
  <c r="F12436" i="1"/>
  <c r="H12436" i="1"/>
  <c r="A12437" i="1"/>
  <c r="B12437" i="1"/>
  <c r="C12437" i="1"/>
  <c r="D12437" i="1"/>
  <c r="E12437" i="1"/>
  <c r="F12437" i="1"/>
  <c r="H12437" i="1"/>
  <c r="A12438" i="1"/>
  <c r="B12438" i="1"/>
  <c r="C12438" i="1"/>
  <c r="D12438" i="1"/>
  <c r="E12438" i="1"/>
  <c r="F12438" i="1"/>
  <c r="H12438" i="1"/>
  <c r="A12439" i="1"/>
  <c r="B12439" i="1"/>
  <c r="C12439" i="1"/>
  <c r="D12439" i="1"/>
  <c r="E12439" i="1"/>
  <c r="F12439" i="1"/>
  <c r="H12439" i="1"/>
  <c r="A12440" i="1"/>
  <c r="B12440" i="1"/>
  <c r="C12440" i="1"/>
  <c r="D12440" i="1"/>
  <c r="E12440" i="1"/>
  <c r="F12440" i="1"/>
  <c r="H12440" i="1"/>
  <c r="A12441" i="1"/>
  <c r="B12441" i="1"/>
  <c r="C12441" i="1"/>
  <c r="D12441" i="1"/>
  <c r="E12441" i="1"/>
  <c r="F12441" i="1"/>
  <c r="H12441" i="1"/>
  <c r="A12442" i="1"/>
  <c r="B12442" i="1"/>
  <c r="C12442" i="1"/>
  <c r="D12442" i="1"/>
  <c r="E12442" i="1"/>
  <c r="F12442" i="1"/>
  <c r="H12442" i="1"/>
  <c r="A12443" i="1"/>
  <c r="B12443" i="1"/>
  <c r="C12443" i="1"/>
  <c r="D12443" i="1"/>
  <c r="E12443" i="1"/>
  <c r="F12443" i="1"/>
  <c r="H12443" i="1"/>
  <c r="A12444" i="1"/>
  <c r="B12444" i="1"/>
  <c r="C12444" i="1"/>
  <c r="D12444" i="1"/>
  <c r="E12444" i="1"/>
  <c r="F12444" i="1"/>
  <c r="H12444" i="1"/>
  <c r="A12445" i="1"/>
  <c r="B12445" i="1"/>
  <c r="C12445" i="1"/>
  <c r="D12445" i="1"/>
  <c r="E12445" i="1"/>
  <c r="F12445" i="1"/>
  <c r="H12445" i="1"/>
  <c r="A12446" i="1"/>
  <c r="B12446" i="1"/>
  <c r="C12446" i="1"/>
  <c r="D12446" i="1"/>
  <c r="E12446" i="1"/>
  <c r="F12446" i="1"/>
  <c r="H12446" i="1"/>
  <c r="A12447" i="1"/>
  <c r="B12447" i="1"/>
  <c r="C12447" i="1"/>
  <c r="D12447" i="1"/>
  <c r="E12447" i="1"/>
  <c r="F12447" i="1"/>
  <c r="H12447" i="1"/>
  <c r="A12448" i="1"/>
  <c r="B12448" i="1"/>
  <c r="C12448" i="1"/>
  <c r="D12448" i="1"/>
  <c r="E12448" i="1"/>
  <c r="F12448" i="1"/>
  <c r="H12448" i="1"/>
  <c r="A12449" i="1"/>
  <c r="B12449" i="1"/>
  <c r="C12449" i="1"/>
  <c r="D12449" i="1"/>
  <c r="E12449" i="1"/>
  <c r="F12449" i="1"/>
  <c r="H12449" i="1"/>
  <c r="A12450" i="1"/>
  <c r="B12450" i="1"/>
  <c r="C12450" i="1"/>
  <c r="D12450" i="1"/>
  <c r="E12450" i="1"/>
  <c r="F12450" i="1"/>
  <c r="H12450" i="1"/>
  <c r="A12451" i="1"/>
  <c r="B12451" i="1"/>
  <c r="C12451" i="1"/>
  <c r="D12451" i="1"/>
  <c r="E12451" i="1"/>
  <c r="F12451" i="1"/>
  <c r="H12451" i="1"/>
  <c r="A12452" i="1"/>
  <c r="B12452" i="1"/>
  <c r="C12452" i="1"/>
  <c r="D12452" i="1"/>
  <c r="E12452" i="1"/>
  <c r="F12452" i="1"/>
  <c r="H12452" i="1"/>
  <c r="A12453" i="1"/>
  <c r="B12453" i="1"/>
  <c r="C12453" i="1"/>
  <c r="D12453" i="1"/>
  <c r="E12453" i="1"/>
  <c r="F12453" i="1"/>
  <c r="H12453" i="1"/>
  <c r="A12454" i="1"/>
  <c r="B12454" i="1"/>
  <c r="C12454" i="1"/>
  <c r="D12454" i="1"/>
  <c r="E12454" i="1"/>
  <c r="F12454" i="1"/>
  <c r="H12454" i="1"/>
  <c r="A12455" i="1"/>
  <c r="B12455" i="1"/>
  <c r="C12455" i="1"/>
  <c r="D12455" i="1"/>
  <c r="E12455" i="1"/>
  <c r="F12455" i="1"/>
  <c r="H12455" i="1"/>
  <c r="A12456" i="1"/>
  <c r="B12456" i="1"/>
  <c r="C12456" i="1"/>
  <c r="D12456" i="1"/>
  <c r="E12456" i="1"/>
  <c r="F12456" i="1"/>
  <c r="H12456" i="1"/>
  <c r="A12457" i="1"/>
  <c r="B12457" i="1"/>
  <c r="C12457" i="1"/>
  <c r="D12457" i="1"/>
  <c r="E12457" i="1"/>
  <c r="F12457" i="1"/>
  <c r="H12457" i="1"/>
  <c r="A12458" i="1"/>
  <c r="B12458" i="1"/>
  <c r="C12458" i="1"/>
  <c r="D12458" i="1"/>
  <c r="E12458" i="1"/>
  <c r="F12458" i="1"/>
  <c r="H12458" i="1"/>
  <c r="A12459" i="1"/>
  <c r="B12459" i="1"/>
  <c r="C12459" i="1"/>
  <c r="D12459" i="1"/>
  <c r="E12459" i="1"/>
  <c r="F12459" i="1"/>
  <c r="H12459" i="1"/>
  <c r="A12460" i="1"/>
  <c r="B12460" i="1"/>
  <c r="C12460" i="1"/>
  <c r="D12460" i="1"/>
  <c r="E12460" i="1"/>
  <c r="F12460" i="1"/>
  <c r="H12460" i="1"/>
  <c r="A12461" i="1"/>
  <c r="B12461" i="1"/>
  <c r="C12461" i="1"/>
  <c r="D12461" i="1"/>
  <c r="E12461" i="1"/>
  <c r="F12461" i="1"/>
  <c r="H12461" i="1"/>
  <c r="A12462" i="1"/>
  <c r="B12462" i="1"/>
  <c r="C12462" i="1"/>
  <c r="D12462" i="1"/>
  <c r="E12462" i="1"/>
  <c r="F12462" i="1"/>
  <c r="H12462" i="1"/>
  <c r="A12463" i="1"/>
  <c r="B12463" i="1"/>
  <c r="C12463" i="1"/>
  <c r="D12463" i="1"/>
  <c r="E12463" i="1"/>
  <c r="F12463" i="1"/>
  <c r="H12463" i="1"/>
  <c r="A12464" i="1"/>
  <c r="B12464" i="1"/>
  <c r="C12464" i="1"/>
  <c r="D12464" i="1"/>
  <c r="E12464" i="1"/>
  <c r="F12464" i="1"/>
  <c r="H12464" i="1"/>
  <c r="A12465" i="1"/>
  <c r="B12465" i="1"/>
  <c r="C12465" i="1"/>
  <c r="D12465" i="1"/>
  <c r="E12465" i="1"/>
  <c r="F12465" i="1"/>
  <c r="H12465" i="1"/>
  <c r="A12466" i="1"/>
  <c r="B12466" i="1"/>
  <c r="C12466" i="1"/>
  <c r="D12466" i="1"/>
  <c r="E12466" i="1"/>
  <c r="F12466" i="1"/>
  <c r="H12466" i="1"/>
  <c r="A12467" i="1"/>
  <c r="B12467" i="1"/>
  <c r="C12467" i="1"/>
  <c r="D12467" i="1"/>
  <c r="E12467" i="1"/>
  <c r="F12467" i="1"/>
  <c r="H12467" i="1"/>
  <c r="A12468" i="1"/>
  <c r="B12468" i="1"/>
  <c r="C12468" i="1"/>
  <c r="D12468" i="1"/>
  <c r="E12468" i="1"/>
  <c r="F12468" i="1"/>
  <c r="H12468" i="1"/>
  <c r="A12469" i="1"/>
  <c r="B12469" i="1"/>
  <c r="C12469" i="1"/>
  <c r="D12469" i="1"/>
  <c r="E12469" i="1"/>
  <c r="F12469" i="1"/>
  <c r="H12469" i="1"/>
  <c r="A12470" i="1"/>
  <c r="B12470" i="1"/>
  <c r="C12470" i="1"/>
  <c r="D12470" i="1"/>
  <c r="E12470" i="1"/>
  <c r="F12470" i="1"/>
  <c r="H12470" i="1"/>
  <c r="A12471" i="1"/>
  <c r="B12471" i="1"/>
  <c r="C12471" i="1"/>
  <c r="D12471" i="1"/>
  <c r="E12471" i="1"/>
  <c r="F12471" i="1"/>
  <c r="H12471" i="1"/>
  <c r="A12472" i="1"/>
  <c r="B12472" i="1"/>
  <c r="C12472" i="1"/>
  <c r="D12472" i="1"/>
  <c r="E12472" i="1"/>
  <c r="F12472" i="1"/>
  <c r="H12472" i="1"/>
  <c r="A12473" i="1"/>
  <c r="B12473" i="1"/>
  <c r="C12473" i="1"/>
  <c r="D12473" i="1"/>
  <c r="E12473" i="1"/>
  <c r="F12473" i="1"/>
  <c r="H12473" i="1"/>
  <c r="A12474" i="1"/>
  <c r="B12474" i="1"/>
  <c r="C12474" i="1"/>
  <c r="D12474" i="1"/>
  <c r="E12474" i="1"/>
  <c r="F12474" i="1"/>
  <c r="H12474" i="1"/>
  <c r="A12475" i="1"/>
  <c r="B12475" i="1"/>
  <c r="C12475" i="1"/>
  <c r="D12475" i="1"/>
  <c r="E12475" i="1"/>
  <c r="F12475" i="1"/>
  <c r="H12475" i="1"/>
  <c r="A12476" i="1"/>
  <c r="B12476" i="1"/>
  <c r="C12476" i="1"/>
  <c r="D12476" i="1"/>
  <c r="E12476" i="1"/>
  <c r="F12476" i="1"/>
  <c r="H12476" i="1"/>
  <c r="A12477" i="1"/>
  <c r="B12477" i="1"/>
  <c r="C12477" i="1"/>
  <c r="D12477" i="1"/>
  <c r="E12477" i="1"/>
  <c r="F12477" i="1"/>
  <c r="H12477" i="1"/>
  <c r="A12478" i="1"/>
  <c r="B12478" i="1"/>
  <c r="C12478" i="1"/>
  <c r="D12478" i="1"/>
  <c r="E12478" i="1"/>
  <c r="F12478" i="1"/>
  <c r="H12478" i="1"/>
  <c r="A12479" i="1"/>
  <c r="B12479" i="1"/>
  <c r="C12479" i="1"/>
  <c r="D12479" i="1"/>
  <c r="E12479" i="1"/>
  <c r="F12479" i="1"/>
  <c r="H12479" i="1"/>
  <c r="A12480" i="1"/>
  <c r="B12480" i="1"/>
  <c r="C12480" i="1"/>
  <c r="D12480" i="1"/>
  <c r="E12480" i="1"/>
  <c r="F12480" i="1"/>
  <c r="H12480" i="1"/>
  <c r="A12481" i="1"/>
  <c r="B12481" i="1"/>
  <c r="C12481" i="1"/>
  <c r="D12481" i="1"/>
  <c r="E12481" i="1"/>
  <c r="F12481" i="1"/>
  <c r="H12481" i="1"/>
  <c r="A12482" i="1"/>
  <c r="B12482" i="1"/>
  <c r="C12482" i="1"/>
  <c r="D12482" i="1"/>
  <c r="E12482" i="1"/>
  <c r="F12482" i="1"/>
  <c r="H12482" i="1"/>
  <c r="A12483" i="1"/>
  <c r="B12483" i="1"/>
  <c r="C12483" i="1"/>
  <c r="D12483" i="1"/>
  <c r="E12483" i="1"/>
  <c r="F12483" i="1"/>
  <c r="H12483" i="1"/>
  <c r="A12484" i="1"/>
  <c r="B12484" i="1"/>
  <c r="C12484" i="1"/>
  <c r="D12484" i="1"/>
  <c r="E12484" i="1"/>
  <c r="F12484" i="1"/>
  <c r="H12484" i="1"/>
  <c r="A12485" i="1"/>
  <c r="B12485" i="1"/>
  <c r="C12485" i="1"/>
  <c r="D12485" i="1"/>
  <c r="E12485" i="1"/>
  <c r="F12485" i="1"/>
  <c r="H12485" i="1"/>
  <c r="A12486" i="1"/>
  <c r="B12486" i="1"/>
  <c r="C12486" i="1"/>
  <c r="D12486" i="1"/>
  <c r="E12486" i="1"/>
  <c r="F12486" i="1"/>
  <c r="H12486" i="1"/>
  <c r="A12487" i="1"/>
  <c r="B12487" i="1"/>
  <c r="C12487" i="1"/>
  <c r="D12487" i="1"/>
  <c r="E12487" i="1"/>
  <c r="F12487" i="1"/>
  <c r="H12487" i="1"/>
  <c r="A12488" i="1"/>
  <c r="B12488" i="1"/>
  <c r="C12488" i="1"/>
  <c r="D12488" i="1"/>
  <c r="E12488" i="1"/>
  <c r="F12488" i="1"/>
  <c r="H12488" i="1"/>
  <c r="A12489" i="1"/>
  <c r="B12489" i="1"/>
  <c r="C12489" i="1"/>
  <c r="D12489" i="1"/>
  <c r="E12489" i="1"/>
  <c r="F12489" i="1"/>
  <c r="H12489" i="1"/>
  <c r="A12490" i="1"/>
  <c r="B12490" i="1"/>
  <c r="C12490" i="1"/>
  <c r="D12490" i="1"/>
  <c r="E12490" i="1"/>
  <c r="F12490" i="1"/>
  <c r="H12490" i="1"/>
  <c r="A12491" i="1"/>
  <c r="B12491" i="1"/>
  <c r="C12491" i="1"/>
  <c r="D12491" i="1"/>
  <c r="E12491" i="1"/>
  <c r="F12491" i="1"/>
  <c r="H12491" i="1"/>
  <c r="A12492" i="1"/>
  <c r="B12492" i="1"/>
  <c r="C12492" i="1"/>
  <c r="D12492" i="1"/>
  <c r="E12492" i="1"/>
  <c r="F12492" i="1"/>
  <c r="H12492" i="1"/>
  <c r="A12493" i="1"/>
  <c r="B12493" i="1"/>
  <c r="C12493" i="1"/>
  <c r="D12493" i="1"/>
  <c r="E12493" i="1"/>
  <c r="F12493" i="1"/>
  <c r="H12493" i="1"/>
  <c r="A12494" i="1"/>
  <c r="B12494" i="1"/>
  <c r="C12494" i="1"/>
  <c r="D12494" i="1"/>
  <c r="E12494" i="1"/>
  <c r="F12494" i="1"/>
  <c r="H12494" i="1"/>
  <c r="A12495" i="1"/>
  <c r="B12495" i="1"/>
  <c r="C12495" i="1"/>
  <c r="D12495" i="1"/>
  <c r="E12495" i="1"/>
  <c r="F12495" i="1"/>
  <c r="H12495" i="1"/>
  <c r="A12496" i="1"/>
  <c r="B12496" i="1"/>
  <c r="C12496" i="1"/>
  <c r="D12496" i="1"/>
  <c r="E12496" i="1"/>
  <c r="F12496" i="1"/>
  <c r="H12496" i="1"/>
  <c r="A12497" i="1"/>
  <c r="B12497" i="1"/>
  <c r="C12497" i="1"/>
  <c r="D12497" i="1"/>
  <c r="E12497" i="1"/>
  <c r="F12497" i="1"/>
  <c r="H12497" i="1"/>
  <c r="A12498" i="1"/>
  <c r="B12498" i="1"/>
  <c r="C12498" i="1"/>
  <c r="D12498" i="1"/>
  <c r="E12498" i="1"/>
  <c r="F12498" i="1"/>
  <c r="H12498" i="1"/>
  <c r="A12499" i="1"/>
  <c r="B12499" i="1"/>
  <c r="C12499" i="1"/>
  <c r="D12499" i="1"/>
  <c r="E12499" i="1"/>
  <c r="F12499" i="1"/>
  <c r="H12499" i="1"/>
  <c r="A12500" i="1"/>
  <c r="B12500" i="1"/>
  <c r="C12500" i="1"/>
  <c r="D12500" i="1"/>
  <c r="E12500" i="1"/>
  <c r="F12500" i="1"/>
  <c r="H12500" i="1"/>
  <c r="A12501" i="1"/>
  <c r="B12501" i="1"/>
  <c r="C12501" i="1"/>
  <c r="D12501" i="1"/>
  <c r="E12501" i="1"/>
  <c r="F12501" i="1"/>
  <c r="H12501" i="1"/>
  <c r="A12502" i="1"/>
  <c r="B12502" i="1"/>
  <c r="C12502" i="1"/>
  <c r="D12502" i="1"/>
  <c r="E12502" i="1"/>
  <c r="F12502" i="1"/>
  <c r="H12502" i="1"/>
  <c r="A12503" i="1"/>
  <c r="B12503" i="1"/>
  <c r="C12503" i="1"/>
  <c r="D12503" i="1"/>
  <c r="E12503" i="1"/>
  <c r="F12503" i="1"/>
  <c r="H12503" i="1"/>
  <c r="A12504" i="1"/>
  <c r="B12504" i="1"/>
  <c r="C12504" i="1"/>
  <c r="D12504" i="1"/>
  <c r="E12504" i="1"/>
  <c r="F12504" i="1"/>
  <c r="H12504" i="1"/>
  <c r="A12505" i="1"/>
  <c r="B12505" i="1"/>
  <c r="C12505" i="1"/>
  <c r="D12505" i="1"/>
  <c r="E12505" i="1"/>
  <c r="F12505" i="1"/>
  <c r="H12505" i="1"/>
  <c r="A12506" i="1"/>
  <c r="B12506" i="1"/>
  <c r="C12506" i="1"/>
  <c r="D12506" i="1"/>
  <c r="E12506" i="1"/>
  <c r="F12506" i="1"/>
  <c r="H12506" i="1"/>
  <c r="A12507" i="1"/>
  <c r="B12507" i="1"/>
  <c r="C12507" i="1"/>
  <c r="D12507" i="1"/>
  <c r="E12507" i="1"/>
  <c r="F12507" i="1"/>
  <c r="H12507" i="1"/>
  <c r="A12508" i="1"/>
  <c r="B12508" i="1"/>
  <c r="C12508" i="1"/>
  <c r="D12508" i="1"/>
  <c r="E12508" i="1"/>
  <c r="F12508" i="1"/>
  <c r="H12508" i="1"/>
  <c r="A12509" i="1"/>
  <c r="B12509" i="1"/>
  <c r="C12509" i="1"/>
  <c r="D12509" i="1"/>
  <c r="E12509" i="1"/>
  <c r="F12509" i="1"/>
  <c r="H12509" i="1"/>
  <c r="A12510" i="1"/>
  <c r="B12510" i="1"/>
  <c r="C12510" i="1"/>
  <c r="D12510" i="1"/>
  <c r="E12510" i="1"/>
  <c r="F12510" i="1"/>
  <c r="H12510" i="1"/>
  <c r="A12511" i="1"/>
  <c r="B12511" i="1"/>
  <c r="C12511" i="1"/>
  <c r="D12511" i="1"/>
  <c r="E12511" i="1"/>
  <c r="F12511" i="1"/>
  <c r="H12511" i="1"/>
  <c r="A12512" i="1"/>
  <c r="B12512" i="1"/>
  <c r="C12512" i="1"/>
  <c r="D12512" i="1"/>
  <c r="E12512" i="1"/>
  <c r="F12512" i="1"/>
  <c r="H12512" i="1"/>
  <c r="A12513" i="1"/>
  <c r="B12513" i="1"/>
  <c r="C12513" i="1"/>
  <c r="D12513" i="1"/>
  <c r="E12513" i="1"/>
  <c r="F12513" i="1"/>
  <c r="H12513" i="1"/>
  <c r="A12514" i="1"/>
  <c r="B12514" i="1"/>
  <c r="C12514" i="1"/>
  <c r="D12514" i="1"/>
  <c r="E12514" i="1"/>
  <c r="F12514" i="1"/>
  <c r="H12514" i="1"/>
  <c r="A12515" i="1"/>
  <c r="B12515" i="1"/>
  <c r="C12515" i="1"/>
  <c r="D12515" i="1"/>
  <c r="E12515" i="1"/>
  <c r="F12515" i="1"/>
  <c r="H12515" i="1"/>
  <c r="A12516" i="1"/>
  <c r="B12516" i="1"/>
  <c r="C12516" i="1"/>
  <c r="D12516" i="1"/>
  <c r="E12516" i="1"/>
  <c r="F12516" i="1"/>
  <c r="H12516" i="1"/>
  <c r="A12517" i="1"/>
  <c r="B12517" i="1"/>
  <c r="C12517" i="1"/>
  <c r="D12517" i="1"/>
  <c r="E12517" i="1"/>
  <c r="F12517" i="1"/>
  <c r="H12517" i="1"/>
  <c r="A12518" i="1"/>
  <c r="B12518" i="1"/>
  <c r="C12518" i="1"/>
  <c r="D12518" i="1"/>
  <c r="E12518" i="1"/>
  <c r="F12518" i="1"/>
  <c r="H12518" i="1"/>
  <c r="A12519" i="1"/>
  <c r="B12519" i="1"/>
  <c r="C12519" i="1"/>
  <c r="D12519" i="1"/>
  <c r="E12519" i="1"/>
  <c r="F12519" i="1"/>
  <c r="H12519" i="1"/>
  <c r="A12520" i="1"/>
  <c r="B12520" i="1"/>
  <c r="C12520" i="1"/>
  <c r="D12520" i="1"/>
  <c r="E12520" i="1"/>
  <c r="F12520" i="1"/>
  <c r="H12520" i="1"/>
  <c r="A12521" i="1"/>
  <c r="B12521" i="1"/>
  <c r="C12521" i="1"/>
  <c r="D12521" i="1"/>
  <c r="E12521" i="1"/>
  <c r="F12521" i="1"/>
  <c r="H12521" i="1"/>
  <c r="A12522" i="1"/>
  <c r="B12522" i="1"/>
  <c r="C12522" i="1"/>
  <c r="D12522" i="1"/>
  <c r="E12522" i="1"/>
  <c r="F12522" i="1"/>
  <c r="H12522" i="1"/>
  <c r="A12523" i="1"/>
  <c r="B12523" i="1"/>
  <c r="C12523" i="1"/>
  <c r="D12523" i="1"/>
  <c r="E12523" i="1"/>
  <c r="F12523" i="1"/>
  <c r="H12523" i="1"/>
  <c r="A12524" i="1"/>
  <c r="B12524" i="1"/>
  <c r="C12524" i="1"/>
  <c r="D12524" i="1"/>
  <c r="E12524" i="1"/>
  <c r="F12524" i="1"/>
  <c r="H12524" i="1"/>
  <c r="A12525" i="1"/>
  <c r="B12525" i="1"/>
  <c r="C12525" i="1"/>
  <c r="D12525" i="1"/>
  <c r="E12525" i="1"/>
  <c r="F12525" i="1"/>
  <c r="H12525" i="1"/>
  <c r="A12526" i="1"/>
  <c r="B12526" i="1"/>
  <c r="C12526" i="1"/>
  <c r="D12526" i="1"/>
  <c r="E12526" i="1"/>
  <c r="F12526" i="1"/>
  <c r="H12526" i="1"/>
  <c r="A12527" i="1"/>
  <c r="B12527" i="1"/>
  <c r="C12527" i="1"/>
  <c r="D12527" i="1"/>
  <c r="E12527" i="1"/>
  <c r="F12527" i="1"/>
  <c r="H12527" i="1"/>
  <c r="A12528" i="1"/>
  <c r="B12528" i="1"/>
  <c r="C12528" i="1"/>
  <c r="D12528" i="1"/>
  <c r="E12528" i="1"/>
  <c r="F12528" i="1"/>
  <c r="H12528" i="1"/>
  <c r="A12529" i="1"/>
  <c r="B12529" i="1"/>
  <c r="C12529" i="1"/>
  <c r="D12529" i="1"/>
  <c r="E12529" i="1"/>
  <c r="F12529" i="1"/>
  <c r="H12529" i="1"/>
  <c r="A12530" i="1"/>
  <c r="B12530" i="1"/>
  <c r="C12530" i="1"/>
  <c r="D12530" i="1"/>
  <c r="E12530" i="1"/>
  <c r="F12530" i="1"/>
  <c r="H12530" i="1"/>
  <c r="A12531" i="1"/>
  <c r="B12531" i="1"/>
  <c r="C12531" i="1"/>
  <c r="D12531" i="1"/>
  <c r="E12531" i="1"/>
  <c r="F12531" i="1"/>
  <c r="H12531" i="1"/>
  <c r="A12532" i="1"/>
  <c r="B12532" i="1"/>
  <c r="C12532" i="1"/>
  <c r="D12532" i="1"/>
  <c r="E12532" i="1"/>
  <c r="F12532" i="1"/>
  <c r="H12532" i="1"/>
  <c r="A12533" i="1"/>
  <c r="B12533" i="1"/>
  <c r="C12533" i="1"/>
  <c r="D12533" i="1"/>
  <c r="E12533" i="1"/>
  <c r="F12533" i="1"/>
  <c r="H12533" i="1"/>
  <c r="A12534" i="1"/>
  <c r="B12534" i="1"/>
  <c r="C12534" i="1"/>
  <c r="D12534" i="1"/>
  <c r="E12534" i="1"/>
  <c r="F12534" i="1"/>
  <c r="H12534" i="1"/>
  <c r="A12535" i="1"/>
  <c r="B12535" i="1"/>
  <c r="C12535" i="1"/>
  <c r="D12535" i="1"/>
  <c r="E12535" i="1"/>
  <c r="F12535" i="1"/>
  <c r="H12535" i="1"/>
  <c r="A12536" i="1"/>
  <c r="B12536" i="1"/>
  <c r="C12536" i="1"/>
  <c r="D12536" i="1"/>
  <c r="E12536" i="1"/>
  <c r="F12536" i="1"/>
  <c r="H12536" i="1"/>
  <c r="A12537" i="1"/>
  <c r="B12537" i="1"/>
  <c r="C12537" i="1"/>
  <c r="D12537" i="1"/>
  <c r="E12537" i="1"/>
  <c r="F12537" i="1"/>
  <c r="H12537" i="1"/>
  <c r="A12538" i="1"/>
  <c r="B12538" i="1"/>
  <c r="C12538" i="1"/>
  <c r="D12538" i="1"/>
  <c r="E12538" i="1"/>
  <c r="F12538" i="1"/>
  <c r="H12538" i="1"/>
  <c r="A12539" i="1"/>
  <c r="B12539" i="1"/>
  <c r="C12539" i="1"/>
  <c r="D12539" i="1"/>
  <c r="E12539" i="1"/>
  <c r="F12539" i="1"/>
  <c r="H12539" i="1"/>
  <c r="A12540" i="1"/>
  <c r="B12540" i="1"/>
  <c r="C12540" i="1"/>
  <c r="D12540" i="1"/>
  <c r="E12540" i="1"/>
  <c r="F12540" i="1"/>
  <c r="H12540" i="1"/>
  <c r="A12541" i="1"/>
  <c r="B12541" i="1"/>
  <c r="C12541" i="1"/>
  <c r="D12541" i="1"/>
  <c r="E12541" i="1"/>
  <c r="F12541" i="1"/>
  <c r="H12541" i="1"/>
  <c r="A12542" i="1"/>
  <c r="B12542" i="1"/>
  <c r="C12542" i="1"/>
  <c r="D12542" i="1"/>
  <c r="E12542" i="1"/>
  <c r="F12542" i="1"/>
  <c r="H12542" i="1"/>
  <c r="A12543" i="1"/>
  <c r="B12543" i="1"/>
  <c r="C12543" i="1"/>
  <c r="D12543" i="1"/>
  <c r="E12543" i="1"/>
  <c r="F12543" i="1"/>
  <c r="H12543" i="1"/>
  <c r="A12544" i="1"/>
  <c r="B12544" i="1"/>
  <c r="C12544" i="1"/>
  <c r="D12544" i="1"/>
  <c r="E12544" i="1"/>
  <c r="F12544" i="1"/>
  <c r="H12544" i="1"/>
  <c r="A12545" i="1"/>
  <c r="B12545" i="1"/>
  <c r="C12545" i="1"/>
  <c r="D12545" i="1"/>
  <c r="E12545" i="1"/>
  <c r="F12545" i="1"/>
  <c r="H12545" i="1"/>
  <c r="A12546" i="1"/>
  <c r="B12546" i="1"/>
  <c r="C12546" i="1"/>
  <c r="D12546" i="1"/>
  <c r="E12546" i="1"/>
  <c r="F12546" i="1"/>
  <c r="H12546" i="1"/>
  <c r="A12547" i="1"/>
  <c r="B12547" i="1"/>
  <c r="C12547" i="1"/>
  <c r="D12547" i="1"/>
  <c r="E12547" i="1"/>
  <c r="F12547" i="1"/>
  <c r="H12547" i="1"/>
  <c r="A12548" i="1"/>
  <c r="B12548" i="1"/>
  <c r="C12548" i="1"/>
  <c r="D12548" i="1"/>
  <c r="E12548" i="1"/>
  <c r="F12548" i="1"/>
  <c r="H12548" i="1"/>
  <c r="A12549" i="1"/>
  <c r="B12549" i="1"/>
  <c r="C12549" i="1"/>
  <c r="D12549" i="1"/>
  <c r="E12549" i="1"/>
  <c r="F12549" i="1"/>
  <c r="H12549" i="1"/>
  <c r="A12550" i="1"/>
  <c r="B12550" i="1"/>
  <c r="C12550" i="1"/>
  <c r="D12550" i="1"/>
  <c r="E12550" i="1"/>
  <c r="F12550" i="1"/>
  <c r="H12550" i="1"/>
  <c r="A12551" i="1"/>
  <c r="B12551" i="1"/>
  <c r="C12551" i="1"/>
  <c r="D12551" i="1"/>
  <c r="E12551" i="1"/>
  <c r="F12551" i="1"/>
  <c r="H12551" i="1"/>
  <c r="A12552" i="1"/>
  <c r="B12552" i="1"/>
  <c r="C12552" i="1"/>
  <c r="D12552" i="1"/>
  <c r="E12552" i="1"/>
  <c r="F12552" i="1"/>
  <c r="H12552" i="1"/>
  <c r="A12553" i="1"/>
  <c r="B12553" i="1"/>
  <c r="C12553" i="1"/>
  <c r="D12553" i="1"/>
  <c r="E12553" i="1"/>
  <c r="F12553" i="1"/>
  <c r="H12553" i="1"/>
  <c r="A12554" i="1"/>
  <c r="B12554" i="1"/>
  <c r="C12554" i="1"/>
  <c r="D12554" i="1"/>
  <c r="E12554" i="1"/>
  <c r="F12554" i="1"/>
  <c r="H12554" i="1"/>
  <c r="A12555" i="1"/>
  <c r="B12555" i="1"/>
  <c r="C12555" i="1"/>
  <c r="D12555" i="1"/>
  <c r="E12555" i="1"/>
  <c r="F12555" i="1"/>
  <c r="H12555" i="1"/>
  <c r="A12556" i="1"/>
  <c r="B12556" i="1"/>
  <c r="C12556" i="1"/>
  <c r="D12556" i="1"/>
  <c r="E12556" i="1"/>
  <c r="F12556" i="1"/>
  <c r="H12556" i="1"/>
  <c r="A12557" i="1"/>
  <c r="B12557" i="1"/>
  <c r="C12557" i="1"/>
  <c r="D12557" i="1"/>
  <c r="E12557" i="1"/>
  <c r="F12557" i="1"/>
  <c r="H12557" i="1"/>
  <c r="A12558" i="1"/>
  <c r="B12558" i="1"/>
  <c r="C12558" i="1"/>
  <c r="D12558" i="1"/>
  <c r="E12558" i="1"/>
  <c r="F12558" i="1"/>
  <c r="H12558" i="1"/>
  <c r="A12559" i="1"/>
  <c r="B12559" i="1"/>
  <c r="C12559" i="1"/>
  <c r="D12559" i="1"/>
  <c r="E12559" i="1"/>
  <c r="F12559" i="1"/>
  <c r="H12559" i="1"/>
  <c r="A12560" i="1"/>
  <c r="B12560" i="1"/>
  <c r="C12560" i="1"/>
  <c r="D12560" i="1"/>
  <c r="E12560" i="1"/>
  <c r="F12560" i="1"/>
  <c r="H12560" i="1"/>
  <c r="A12561" i="1"/>
  <c r="B12561" i="1"/>
  <c r="C12561" i="1"/>
  <c r="D12561" i="1"/>
  <c r="E12561" i="1"/>
  <c r="F12561" i="1"/>
  <c r="H12561" i="1"/>
  <c r="A12562" i="1"/>
  <c r="B12562" i="1"/>
  <c r="C12562" i="1"/>
  <c r="D12562" i="1"/>
  <c r="E12562" i="1"/>
  <c r="F12562" i="1"/>
  <c r="H12562" i="1"/>
  <c r="A12563" i="1"/>
  <c r="B12563" i="1"/>
  <c r="C12563" i="1"/>
  <c r="D12563" i="1"/>
  <c r="E12563" i="1"/>
  <c r="F12563" i="1"/>
  <c r="H12563" i="1"/>
  <c r="A12564" i="1"/>
  <c r="B12564" i="1"/>
  <c r="C12564" i="1"/>
  <c r="D12564" i="1"/>
  <c r="E12564" i="1"/>
  <c r="F12564" i="1"/>
  <c r="H12564" i="1"/>
  <c r="A12565" i="1"/>
  <c r="B12565" i="1"/>
  <c r="C12565" i="1"/>
  <c r="D12565" i="1"/>
  <c r="E12565" i="1"/>
  <c r="F12565" i="1"/>
  <c r="H12565" i="1"/>
  <c r="A12566" i="1"/>
  <c r="B12566" i="1"/>
  <c r="C12566" i="1"/>
  <c r="D12566" i="1"/>
  <c r="E12566" i="1"/>
  <c r="F12566" i="1"/>
  <c r="H12566" i="1"/>
  <c r="A12567" i="1"/>
  <c r="B12567" i="1"/>
  <c r="C12567" i="1"/>
  <c r="D12567" i="1"/>
  <c r="E12567" i="1"/>
  <c r="F12567" i="1"/>
  <c r="H12567" i="1"/>
  <c r="A12568" i="1"/>
  <c r="B12568" i="1"/>
  <c r="C12568" i="1"/>
  <c r="D12568" i="1"/>
  <c r="E12568" i="1"/>
  <c r="F12568" i="1"/>
  <c r="H12568" i="1"/>
  <c r="A12569" i="1"/>
  <c r="B12569" i="1"/>
  <c r="C12569" i="1"/>
  <c r="D12569" i="1"/>
  <c r="E12569" i="1"/>
  <c r="F12569" i="1"/>
  <c r="H12569" i="1"/>
  <c r="A12570" i="1"/>
  <c r="B12570" i="1"/>
  <c r="C12570" i="1"/>
  <c r="D12570" i="1"/>
  <c r="E12570" i="1"/>
  <c r="F12570" i="1"/>
  <c r="H12570" i="1"/>
  <c r="A12571" i="1"/>
  <c r="B12571" i="1"/>
  <c r="C12571" i="1"/>
  <c r="D12571" i="1"/>
  <c r="E12571" i="1"/>
  <c r="F12571" i="1"/>
  <c r="H12571" i="1"/>
  <c r="A12572" i="1"/>
  <c r="B12572" i="1"/>
  <c r="C12572" i="1"/>
  <c r="D12572" i="1"/>
  <c r="E12572" i="1"/>
  <c r="F12572" i="1"/>
  <c r="H12572" i="1"/>
  <c r="A12573" i="1"/>
  <c r="B12573" i="1"/>
  <c r="C12573" i="1"/>
  <c r="D12573" i="1"/>
  <c r="E12573" i="1"/>
  <c r="F12573" i="1"/>
  <c r="H12573" i="1"/>
  <c r="A12574" i="1"/>
  <c r="B12574" i="1"/>
  <c r="C12574" i="1"/>
  <c r="D12574" i="1"/>
  <c r="E12574" i="1"/>
  <c r="F12574" i="1"/>
  <c r="H12574" i="1"/>
  <c r="A12575" i="1"/>
  <c r="B12575" i="1"/>
  <c r="C12575" i="1"/>
  <c r="D12575" i="1"/>
  <c r="E12575" i="1"/>
  <c r="F12575" i="1"/>
  <c r="H12575" i="1"/>
  <c r="A12576" i="1"/>
  <c r="B12576" i="1"/>
  <c r="C12576" i="1"/>
  <c r="D12576" i="1"/>
  <c r="E12576" i="1"/>
  <c r="F12576" i="1"/>
  <c r="H12576" i="1"/>
  <c r="A12577" i="1"/>
  <c r="B12577" i="1"/>
  <c r="C12577" i="1"/>
  <c r="D12577" i="1"/>
  <c r="E12577" i="1"/>
  <c r="F12577" i="1"/>
  <c r="H12577" i="1"/>
  <c r="A12578" i="1"/>
  <c r="B12578" i="1"/>
  <c r="C12578" i="1"/>
  <c r="D12578" i="1"/>
  <c r="E12578" i="1"/>
  <c r="F12578" i="1"/>
  <c r="H12578" i="1"/>
  <c r="A12579" i="1"/>
  <c r="B12579" i="1"/>
  <c r="C12579" i="1"/>
  <c r="D12579" i="1"/>
  <c r="E12579" i="1"/>
  <c r="F12579" i="1"/>
  <c r="H12579" i="1"/>
  <c r="A12580" i="1"/>
  <c r="B12580" i="1"/>
  <c r="C12580" i="1"/>
  <c r="D12580" i="1"/>
  <c r="E12580" i="1"/>
  <c r="F12580" i="1"/>
  <c r="H12580" i="1"/>
  <c r="A12581" i="1"/>
  <c r="B12581" i="1"/>
  <c r="C12581" i="1"/>
  <c r="D12581" i="1"/>
  <c r="E12581" i="1"/>
  <c r="F12581" i="1"/>
  <c r="H12581" i="1"/>
  <c r="A12582" i="1"/>
  <c r="B12582" i="1"/>
  <c r="C12582" i="1"/>
  <c r="D12582" i="1"/>
  <c r="E12582" i="1"/>
  <c r="F12582" i="1"/>
  <c r="H12582" i="1"/>
  <c r="A12583" i="1"/>
  <c r="B12583" i="1"/>
  <c r="C12583" i="1"/>
  <c r="D12583" i="1"/>
  <c r="E12583" i="1"/>
  <c r="F12583" i="1"/>
  <c r="H12583" i="1"/>
  <c r="A12584" i="1"/>
  <c r="B12584" i="1"/>
  <c r="C12584" i="1"/>
  <c r="D12584" i="1"/>
  <c r="E12584" i="1"/>
  <c r="F12584" i="1"/>
  <c r="H12584" i="1"/>
  <c r="A12585" i="1"/>
  <c r="B12585" i="1"/>
  <c r="C12585" i="1"/>
  <c r="D12585" i="1"/>
  <c r="E12585" i="1"/>
  <c r="F12585" i="1"/>
  <c r="H12585" i="1"/>
  <c r="A12586" i="1"/>
  <c r="B12586" i="1"/>
  <c r="C12586" i="1"/>
  <c r="D12586" i="1"/>
  <c r="E12586" i="1"/>
  <c r="F12586" i="1"/>
  <c r="H12586" i="1"/>
  <c r="A12587" i="1"/>
  <c r="B12587" i="1"/>
  <c r="C12587" i="1"/>
  <c r="D12587" i="1"/>
  <c r="E12587" i="1"/>
  <c r="F12587" i="1"/>
  <c r="H12587" i="1"/>
  <c r="A12588" i="1"/>
  <c r="B12588" i="1"/>
  <c r="C12588" i="1"/>
  <c r="D12588" i="1"/>
  <c r="E12588" i="1"/>
  <c r="F12588" i="1"/>
  <c r="H12588" i="1"/>
  <c r="A12589" i="1"/>
  <c r="B12589" i="1"/>
  <c r="C12589" i="1"/>
  <c r="D12589" i="1"/>
  <c r="E12589" i="1"/>
  <c r="F12589" i="1"/>
  <c r="H12589" i="1"/>
  <c r="A12590" i="1"/>
  <c r="B12590" i="1"/>
  <c r="C12590" i="1"/>
  <c r="D12590" i="1"/>
  <c r="E12590" i="1"/>
  <c r="F12590" i="1"/>
  <c r="H12590" i="1"/>
  <c r="A12591" i="1"/>
  <c r="B12591" i="1"/>
  <c r="C12591" i="1"/>
  <c r="D12591" i="1"/>
  <c r="E12591" i="1"/>
  <c r="F12591" i="1"/>
  <c r="H12591" i="1"/>
  <c r="A12592" i="1"/>
  <c r="B12592" i="1"/>
  <c r="C12592" i="1"/>
  <c r="D12592" i="1"/>
  <c r="E12592" i="1"/>
  <c r="F12592" i="1"/>
  <c r="H12592" i="1"/>
  <c r="A12593" i="1"/>
  <c r="B12593" i="1"/>
  <c r="C12593" i="1"/>
  <c r="D12593" i="1"/>
  <c r="E12593" i="1"/>
  <c r="F12593" i="1"/>
  <c r="H12593" i="1"/>
  <c r="A12594" i="1"/>
  <c r="B12594" i="1"/>
  <c r="C12594" i="1"/>
  <c r="D12594" i="1"/>
  <c r="E12594" i="1"/>
  <c r="F12594" i="1"/>
  <c r="H12594" i="1"/>
  <c r="A12595" i="1"/>
  <c r="B12595" i="1"/>
  <c r="C12595" i="1"/>
  <c r="D12595" i="1"/>
  <c r="E12595" i="1"/>
  <c r="F12595" i="1"/>
  <c r="H12595" i="1"/>
  <c r="A12596" i="1"/>
  <c r="B12596" i="1"/>
  <c r="C12596" i="1"/>
  <c r="D12596" i="1"/>
  <c r="E12596" i="1"/>
  <c r="F12596" i="1"/>
  <c r="H12596" i="1"/>
  <c r="A12597" i="1"/>
  <c r="B12597" i="1"/>
  <c r="C12597" i="1"/>
  <c r="D12597" i="1"/>
  <c r="E12597" i="1"/>
  <c r="F12597" i="1"/>
  <c r="H12597" i="1"/>
  <c r="A12598" i="1"/>
  <c r="B12598" i="1"/>
  <c r="C12598" i="1"/>
  <c r="D12598" i="1"/>
  <c r="E12598" i="1"/>
  <c r="F12598" i="1"/>
  <c r="H12598" i="1"/>
  <c r="A12599" i="1"/>
  <c r="B12599" i="1"/>
  <c r="C12599" i="1"/>
  <c r="D12599" i="1"/>
  <c r="E12599" i="1"/>
  <c r="F12599" i="1"/>
  <c r="H12599" i="1"/>
  <c r="A12600" i="1"/>
  <c r="B12600" i="1"/>
  <c r="C12600" i="1"/>
  <c r="D12600" i="1"/>
  <c r="E12600" i="1"/>
  <c r="F12600" i="1"/>
  <c r="H12600" i="1"/>
  <c r="A12601" i="1"/>
  <c r="B12601" i="1"/>
  <c r="C12601" i="1"/>
  <c r="D12601" i="1"/>
  <c r="E12601" i="1"/>
  <c r="F12601" i="1"/>
  <c r="H12601" i="1"/>
  <c r="A12602" i="1"/>
  <c r="B12602" i="1"/>
  <c r="C12602" i="1"/>
  <c r="D12602" i="1"/>
  <c r="E12602" i="1"/>
  <c r="F12602" i="1"/>
  <c r="H12602" i="1"/>
  <c r="A12603" i="1"/>
  <c r="B12603" i="1"/>
  <c r="C12603" i="1"/>
  <c r="D12603" i="1"/>
  <c r="E12603" i="1"/>
  <c r="F12603" i="1"/>
  <c r="H12603" i="1"/>
  <c r="A12604" i="1"/>
  <c r="B12604" i="1"/>
  <c r="C12604" i="1"/>
  <c r="D12604" i="1"/>
  <c r="E12604" i="1"/>
  <c r="F12604" i="1"/>
  <c r="H12604" i="1"/>
  <c r="A12605" i="1"/>
  <c r="B12605" i="1"/>
  <c r="C12605" i="1"/>
  <c r="D12605" i="1"/>
  <c r="E12605" i="1"/>
  <c r="F12605" i="1"/>
  <c r="H12605" i="1"/>
  <c r="A12606" i="1"/>
  <c r="B12606" i="1"/>
  <c r="C12606" i="1"/>
  <c r="D12606" i="1"/>
  <c r="E12606" i="1"/>
  <c r="F12606" i="1"/>
  <c r="H12606" i="1"/>
  <c r="A12607" i="1"/>
  <c r="B12607" i="1"/>
  <c r="C12607" i="1"/>
  <c r="D12607" i="1"/>
  <c r="E12607" i="1"/>
  <c r="F12607" i="1"/>
  <c r="H12607" i="1"/>
  <c r="A12608" i="1"/>
  <c r="B12608" i="1"/>
  <c r="C12608" i="1"/>
  <c r="D12608" i="1"/>
  <c r="E12608" i="1"/>
  <c r="F12608" i="1"/>
  <c r="H12608" i="1"/>
  <c r="A12609" i="1"/>
  <c r="B12609" i="1"/>
  <c r="C12609" i="1"/>
  <c r="D12609" i="1"/>
  <c r="E12609" i="1"/>
  <c r="F12609" i="1"/>
  <c r="H12609" i="1"/>
  <c r="A12610" i="1"/>
  <c r="B12610" i="1"/>
  <c r="C12610" i="1"/>
  <c r="D12610" i="1"/>
  <c r="E12610" i="1"/>
  <c r="F12610" i="1"/>
  <c r="H12610" i="1"/>
  <c r="A12611" i="1"/>
  <c r="B12611" i="1"/>
  <c r="C12611" i="1"/>
  <c r="D12611" i="1"/>
  <c r="E12611" i="1"/>
  <c r="F12611" i="1"/>
  <c r="H12611" i="1"/>
  <c r="A12612" i="1"/>
  <c r="B12612" i="1"/>
  <c r="C12612" i="1"/>
  <c r="D12612" i="1"/>
  <c r="E12612" i="1"/>
  <c r="F12612" i="1"/>
  <c r="H12612" i="1"/>
  <c r="A12613" i="1"/>
  <c r="B12613" i="1"/>
  <c r="C12613" i="1"/>
  <c r="D12613" i="1"/>
  <c r="E12613" i="1"/>
  <c r="F12613" i="1"/>
  <c r="H12613" i="1"/>
  <c r="A12614" i="1"/>
  <c r="B12614" i="1"/>
  <c r="C12614" i="1"/>
  <c r="D12614" i="1"/>
  <c r="E12614" i="1"/>
  <c r="F12614" i="1"/>
  <c r="H12614" i="1"/>
  <c r="A12615" i="1"/>
  <c r="B12615" i="1"/>
  <c r="C12615" i="1"/>
  <c r="D12615" i="1"/>
  <c r="E12615" i="1"/>
  <c r="F12615" i="1"/>
  <c r="H12615" i="1"/>
  <c r="A12616" i="1"/>
  <c r="B12616" i="1"/>
  <c r="C12616" i="1"/>
  <c r="D12616" i="1"/>
  <c r="E12616" i="1"/>
  <c r="F12616" i="1"/>
  <c r="H12616" i="1"/>
  <c r="A12617" i="1"/>
  <c r="B12617" i="1"/>
  <c r="C12617" i="1"/>
  <c r="D12617" i="1"/>
  <c r="E12617" i="1"/>
  <c r="F12617" i="1"/>
  <c r="H12617" i="1"/>
  <c r="A12618" i="1"/>
  <c r="B12618" i="1"/>
  <c r="C12618" i="1"/>
  <c r="D12618" i="1"/>
  <c r="E12618" i="1"/>
  <c r="F12618" i="1"/>
  <c r="H12618" i="1"/>
  <c r="A12619" i="1"/>
  <c r="B12619" i="1"/>
  <c r="C12619" i="1"/>
  <c r="D12619" i="1"/>
  <c r="E12619" i="1"/>
  <c r="F12619" i="1"/>
  <c r="H12619" i="1"/>
  <c r="A12620" i="1"/>
  <c r="B12620" i="1"/>
  <c r="C12620" i="1"/>
  <c r="D12620" i="1"/>
  <c r="E12620" i="1"/>
  <c r="F12620" i="1"/>
  <c r="H12620" i="1"/>
  <c r="A12621" i="1"/>
  <c r="B12621" i="1"/>
  <c r="C12621" i="1"/>
  <c r="D12621" i="1"/>
  <c r="E12621" i="1"/>
  <c r="F12621" i="1"/>
  <c r="H12621" i="1"/>
  <c r="A12622" i="1"/>
  <c r="B12622" i="1"/>
  <c r="C12622" i="1"/>
  <c r="D12622" i="1"/>
  <c r="E12622" i="1"/>
  <c r="F12622" i="1"/>
  <c r="H12622" i="1"/>
  <c r="A12623" i="1"/>
  <c r="B12623" i="1"/>
  <c r="C12623" i="1"/>
  <c r="D12623" i="1"/>
  <c r="E12623" i="1"/>
  <c r="F12623" i="1"/>
  <c r="H12623" i="1"/>
  <c r="A12624" i="1"/>
  <c r="B12624" i="1"/>
  <c r="C12624" i="1"/>
  <c r="D12624" i="1"/>
  <c r="E12624" i="1"/>
  <c r="F12624" i="1"/>
  <c r="H12624" i="1"/>
  <c r="A12625" i="1"/>
  <c r="B12625" i="1"/>
  <c r="C12625" i="1"/>
  <c r="D12625" i="1"/>
  <c r="E12625" i="1"/>
  <c r="F12625" i="1"/>
  <c r="H12625" i="1"/>
  <c r="A12626" i="1"/>
  <c r="B12626" i="1"/>
  <c r="C12626" i="1"/>
  <c r="D12626" i="1"/>
  <c r="E12626" i="1"/>
  <c r="F12626" i="1"/>
  <c r="H12626" i="1"/>
  <c r="A12627" i="1"/>
  <c r="B12627" i="1"/>
  <c r="C12627" i="1"/>
  <c r="D12627" i="1"/>
  <c r="E12627" i="1"/>
  <c r="F12627" i="1"/>
  <c r="H12627" i="1"/>
  <c r="A12628" i="1"/>
  <c r="B12628" i="1"/>
  <c r="C12628" i="1"/>
  <c r="D12628" i="1"/>
  <c r="E12628" i="1"/>
  <c r="F12628" i="1"/>
  <c r="H12628" i="1"/>
  <c r="A12629" i="1"/>
  <c r="B12629" i="1"/>
  <c r="C12629" i="1"/>
  <c r="D12629" i="1"/>
  <c r="E12629" i="1"/>
  <c r="F12629" i="1"/>
  <c r="H12629" i="1"/>
  <c r="A12630" i="1"/>
  <c r="B12630" i="1"/>
  <c r="C12630" i="1"/>
  <c r="D12630" i="1"/>
  <c r="E12630" i="1"/>
  <c r="F12630" i="1"/>
  <c r="H12630" i="1"/>
  <c r="A12631" i="1"/>
  <c r="B12631" i="1"/>
  <c r="C12631" i="1"/>
  <c r="D12631" i="1"/>
  <c r="E12631" i="1"/>
  <c r="F12631" i="1"/>
  <c r="H12631" i="1"/>
  <c r="A12632" i="1"/>
  <c r="B12632" i="1"/>
  <c r="C12632" i="1"/>
  <c r="D12632" i="1"/>
  <c r="E12632" i="1"/>
  <c r="F12632" i="1"/>
  <c r="H12632" i="1"/>
  <c r="A12633" i="1"/>
  <c r="B12633" i="1"/>
  <c r="C12633" i="1"/>
  <c r="D12633" i="1"/>
  <c r="E12633" i="1"/>
  <c r="F12633" i="1"/>
  <c r="H12633" i="1"/>
  <c r="A12634" i="1"/>
  <c r="B12634" i="1"/>
  <c r="C12634" i="1"/>
  <c r="D12634" i="1"/>
  <c r="E12634" i="1"/>
  <c r="F12634" i="1"/>
  <c r="H12634" i="1"/>
  <c r="A12635" i="1"/>
  <c r="B12635" i="1"/>
  <c r="C12635" i="1"/>
  <c r="D12635" i="1"/>
  <c r="E12635" i="1"/>
  <c r="F12635" i="1"/>
  <c r="H12635" i="1"/>
  <c r="A12636" i="1"/>
  <c r="B12636" i="1"/>
  <c r="C12636" i="1"/>
  <c r="D12636" i="1"/>
  <c r="E12636" i="1"/>
  <c r="F12636" i="1"/>
  <c r="H12636" i="1"/>
  <c r="A12637" i="1"/>
  <c r="B12637" i="1"/>
  <c r="C12637" i="1"/>
  <c r="D12637" i="1"/>
  <c r="E12637" i="1"/>
  <c r="F12637" i="1"/>
  <c r="H12637" i="1"/>
  <c r="A12638" i="1"/>
  <c r="B12638" i="1"/>
  <c r="C12638" i="1"/>
  <c r="D12638" i="1"/>
  <c r="E12638" i="1"/>
  <c r="F12638" i="1"/>
  <c r="H12638" i="1"/>
  <c r="A12639" i="1"/>
  <c r="B12639" i="1"/>
  <c r="C12639" i="1"/>
  <c r="D12639" i="1"/>
  <c r="E12639" i="1"/>
  <c r="F12639" i="1"/>
  <c r="H12639" i="1"/>
  <c r="A12640" i="1"/>
  <c r="B12640" i="1"/>
  <c r="C12640" i="1"/>
  <c r="D12640" i="1"/>
  <c r="E12640" i="1"/>
  <c r="F12640" i="1"/>
  <c r="H12640" i="1"/>
  <c r="A12641" i="1"/>
  <c r="B12641" i="1"/>
  <c r="C12641" i="1"/>
  <c r="D12641" i="1"/>
  <c r="E12641" i="1"/>
  <c r="F12641" i="1"/>
  <c r="H12641" i="1"/>
  <c r="A12642" i="1"/>
  <c r="B12642" i="1"/>
  <c r="C12642" i="1"/>
  <c r="D12642" i="1"/>
  <c r="E12642" i="1"/>
  <c r="F12642" i="1"/>
  <c r="H12642" i="1"/>
  <c r="A12643" i="1"/>
  <c r="B12643" i="1"/>
  <c r="C12643" i="1"/>
  <c r="D12643" i="1"/>
  <c r="E12643" i="1"/>
  <c r="F12643" i="1"/>
  <c r="H12643" i="1"/>
  <c r="A12644" i="1"/>
  <c r="B12644" i="1"/>
  <c r="C12644" i="1"/>
  <c r="D12644" i="1"/>
  <c r="E12644" i="1"/>
  <c r="F12644" i="1"/>
  <c r="H12644" i="1"/>
  <c r="A12645" i="1"/>
  <c r="B12645" i="1"/>
  <c r="C12645" i="1"/>
  <c r="D12645" i="1"/>
  <c r="E12645" i="1"/>
  <c r="F12645" i="1"/>
  <c r="H12645" i="1"/>
  <c r="A12646" i="1"/>
  <c r="B12646" i="1"/>
  <c r="C12646" i="1"/>
  <c r="D12646" i="1"/>
  <c r="E12646" i="1"/>
  <c r="F12646" i="1"/>
  <c r="H12646" i="1"/>
  <c r="A12647" i="1"/>
  <c r="B12647" i="1"/>
  <c r="C12647" i="1"/>
  <c r="D12647" i="1"/>
  <c r="E12647" i="1"/>
  <c r="F12647" i="1"/>
  <c r="H12647" i="1"/>
  <c r="A12648" i="1"/>
  <c r="B12648" i="1"/>
  <c r="C12648" i="1"/>
  <c r="D12648" i="1"/>
  <c r="E12648" i="1"/>
  <c r="F12648" i="1"/>
  <c r="H12648" i="1"/>
  <c r="A12649" i="1"/>
  <c r="B12649" i="1"/>
  <c r="C12649" i="1"/>
  <c r="D12649" i="1"/>
  <c r="E12649" i="1"/>
  <c r="F12649" i="1"/>
  <c r="H12649" i="1"/>
  <c r="A12650" i="1"/>
  <c r="B12650" i="1"/>
  <c r="C12650" i="1"/>
  <c r="D12650" i="1"/>
  <c r="E12650" i="1"/>
  <c r="F12650" i="1"/>
  <c r="H12650" i="1"/>
  <c r="A12651" i="1"/>
  <c r="B12651" i="1"/>
  <c r="C12651" i="1"/>
  <c r="D12651" i="1"/>
  <c r="E12651" i="1"/>
  <c r="F12651" i="1"/>
  <c r="H12651" i="1"/>
  <c r="A12652" i="1"/>
  <c r="B12652" i="1"/>
  <c r="C12652" i="1"/>
  <c r="D12652" i="1"/>
  <c r="E12652" i="1"/>
  <c r="F12652" i="1"/>
  <c r="H12652" i="1"/>
  <c r="A12653" i="1"/>
  <c r="B12653" i="1"/>
  <c r="C12653" i="1"/>
  <c r="D12653" i="1"/>
  <c r="E12653" i="1"/>
  <c r="F12653" i="1"/>
  <c r="H12653" i="1"/>
  <c r="A12654" i="1"/>
  <c r="B12654" i="1"/>
  <c r="C12654" i="1"/>
  <c r="D12654" i="1"/>
  <c r="E12654" i="1"/>
  <c r="F12654" i="1"/>
  <c r="H12654" i="1"/>
  <c r="A12655" i="1"/>
  <c r="B12655" i="1"/>
  <c r="C12655" i="1"/>
  <c r="D12655" i="1"/>
  <c r="E12655" i="1"/>
  <c r="F12655" i="1"/>
  <c r="H12655" i="1"/>
  <c r="A12656" i="1"/>
  <c r="B12656" i="1"/>
  <c r="C12656" i="1"/>
  <c r="D12656" i="1"/>
  <c r="E12656" i="1"/>
  <c r="F12656" i="1"/>
  <c r="H12656" i="1"/>
  <c r="A12657" i="1"/>
  <c r="B12657" i="1"/>
  <c r="C12657" i="1"/>
  <c r="D12657" i="1"/>
  <c r="E12657" i="1"/>
  <c r="F12657" i="1"/>
  <c r="H12657" i="1"/>
  <c r="A12658" i="1"/>
  <c r="B12658" i="1"/>
  <c r="C12658" i="1"/>
  <c r="D12658" i="1"/>
  <c r="E12658" i="1"/>
  <c r="F12658" i="1"/>
  <c r="H12658" i="1"/>
  <c r="A12659" i="1"/>
  <c r="B12659" i="1"/>
  <c r="C12659" i="1"/>
  <c r="D12659" i="1"/>
  <c r="E12659" i="1"/>
  <c r="F12659" i="1"/>
  <c r="H12659" i="1"/>
  <c r="A12660" i="1"/>
  <c r="B12660" i="1"/>
  <c r="C12660" i="1"/>
  <c r="D12660" i="1"/>
  <c r="E12660" i="1"/>
  <c r="F12660" i="1"/>
  <c r="H12660" i="1"/>
  <c r="A12661" i="1"/>
  <c r="B12661" i="1"/>
  <c r="C12661" i="1"/>
  <c r="D12661" i="1"/>
  <c r="E12661" i="1"/>
  <c r="F12661" i="1"/>
  <c r="H12661" i="1"/>
  <c r="A12662" i="1"/>
  <c r="B12662" i="1"/>
  <c r="C12662" i="1"/>
  <c r="D12662" i="1"/>
  <c r="E12662" i="1"/>
  <c r="F12662" i="1"/>
  <c r="H12662" i="1"/>
  <c r="A12663" i="1"/>
  <c r="B12663" i="1"/>
  <c r="C12663" i="1"/>
  <c r="D12663" i="1"/>
  <c r="E12663" i="1"/>
  <c r="F12663" i="1"/>
  <c r="H12663" i="1"/>
  <c r="A12664" i="1"/>
  <c r="B12664" i="1"/>
  <c r="C12664" i="1"/>
  <c r="D12664" i="1"/>
  <c r="E12664" i="1"/>
  <c r="F12664" i="1"/>
  <c r="H12664" i="1"/>
  <c r="A12665" i="1"/>
  <c r="B12665" i="1"/>
  <c r="C12665" i="1"/>
  <c r="D12665" i="1"/>
  <c r="E12665" i="1"/>
  <c r="F12665" i="1"/>
  <c r="H12665" i="1"/>
  <c r="A12666" i="1"/>
  <c r="B12666" i="1"/>
  <c r="C12666" i="1"/>
  <c r="D12666" i="1"/>
  <c r="E12666" i="1"/>
  <c r="F12666" i="1"/>
  <c r="H12666" i="1"/>
  <c r="A12667" i="1"/>
  <c r="B12667" i="1"/>
  <c r="C12667" i="1"/>
  <c r="D12667" i="1"/>
  <c r="E12667" i="1"/>
  <c r="F12667" i="1"/>
  <c r="H12667" i="1"/>
  <c r="A12668" i="1"/>
  <c r="B12668" i="1"/>
  <c r="C12668" i="1"/>
  <c r="D12668" i="1"/>
  <c r="E12668" i="1"/>
  <c r="F12668" i="1"/>
  <c r="H12668" i="1"/>
  <c r="A12669" i="1"/>
  <c r="B12669" i="1"/>
  <c r="C12669" i="1"/>
  <c r="D12669" i="1"/>
  <c r="E12669" i="1"/>
  <c r="F12669" i="1"/>
  <c r="H12669" i="1"/>
  <c r="A12670" i="1"/>
  <c r="B12670" i="1"/>
  <c r="C12670" i="1"/>
  <c r="D12670" i="1"/>
  <c r="E12670" i="1"/>
  <c r="F12670" i="1"/>
  <c r="H12670" i="1"/>
  <c r="A12671" i="1"/>
  <c r="B12671" i="1"/>
  <c r="C12671" i="1"/>
  <c r="D12671" i="1"/>
  <c r="E12671" i="1"/>
  <c r="F12671" i="1"/>
  <c r="H12671" i="1"/>
  <c r="A12672" i="1"/>
  <c r="B12672" i="1"/>
  <c r="C12672" i="1"/>
  <c r="D12672" i="1"/>
  <c r="E12672" i="1"/>
  <c r="F12672" i="1"/>
  <c r="H12672" i="1"/>
  <c r="A12673" i="1"/>
  <c r="B12673" i="1"/>
  <c r="C12673" i="1"/>
  <c r="D12673" i="1"/>
  <c r="E12673" i="1"/>
  <c r="F12673" i="1"/>
  <c r="H12673" i="1"/>
  <c r="A12674" i="1"/>
  <c r="B12674" i="1"/>
  <c r="C12674" i="1"/>
  <c r="D12674" i="1"/>
  <c r="E12674" i="1"/>
  <c r="F12674" i="1"/>
  <c r="H12674" i="1"/>
  <c r="A12675" i="1"/>
  <c r="B12675" i="1"/>
  <c r="C12675" i="1"/>
  <c r="D12675" i="1"/>
  <c r="E12675" i="1"/>
  <c r="F12675" i="1"/>
  <c r="H12675" i="1"/>
  <c r="A12676" i="1"/>
  <c r="B12676" i="1"/>
  <c r="C12676" i="1"/>
  <c r="D12676" i="1"/>
  <c r="E12676" i="1"/>
  <c r="F12676" i="1"/>
  <c r="H12676" i="1"/>
  <c r="A12677" i="1"/>
  <c r="B12677" i="1"/>
  <c r="C12677" i="1"/>
  <c r="D12677" i="1"/>
  <c r="E12677" i="1"/>
  <c r="F12677" i="1"/>
  <c r="H12677" i="1"/>
  <c r="A12678" i="1"/>
  <c r="B12678" i="1"/>
  <c r="C12678" i="1"/>
  <c r="D12678" i="1"/>
  <c r="E12678" i="1"/>
  <c r="F12678" i="1"/>
  <c r="H12678" i="1"/>
  <c r="A12679" i="1"/>
  <c r="B12679" i="1"/>
  <c r="C12679" i="1"/>
  <c r="D12679" i="1"/>
  <c r="E12679" i="1"/>
  <c r="F12679" i="1"/>
  <c r="H12679" i="1"/>
  <c r="A12680" i="1"/>
  <c r="B12680" i="1"/>
  <c r="C12680" i="1"/>
  <c r="D12680" i="1"/>
  <c r="E12680" i="1"/>
  <c r="F12680" i="1"/>
  <c r="H12680" i="1"/>
  <c r="A12681" i="1"/>
  <c r="B12681" i="1"/>
  <c r="C12681" i="1"/>
  <c r="D12681" i="1"/>
  <c r="E12681" i="1"/>
  <c r="F12681" i="1"/>
  <c r="H12681" i="1"/>
  <c r="A12682" i="1"/>
  <c r="B12682" i="1"/>
  <c r="C12682" i="1"/>
  <c r="D12682" i="1"/>
  <c r="E12682" i="1"/>
  <c r="F12682" i="1"/>
  <c r="H12682" i="1"/>
  <c r="A12683" i="1"/>
  <c r="B12683" i="1"/>
  <c r="C12683" i="1"/>
  <c r="D12683" i="1"/>
  <c r="E12683" i="1"/>
  <c r="F12683" i="1"/>
  <c r="H12683" i="1"/>
  <c r="A12684" i="1"/>
  <c r="B12684" i="1"/>
  <c r="C12684" i="1"/>
  <c r="D12684" i="1"/>
  <c r="E12684" i="1"/>
  <c r="F12684" i="1"/>
  <c r="H12684" i="1"/>
  <c r="A12685" i="1"/>
  <c r="B12685" i="1"/>
  <c r="C12685" i="1"/>
  <c r="D12685" i="1"/>
  <c r="E12685" i="1"/>
  <c r="F12685" i="1"/>
  <c r="H12685" i="1"/>
  <c r="A12686" i="1"/>
  <c r="B12686" i="1"/>
  <c r="C12686" i="1"/>
  <c r="D12686" i="1"/>
  <c r="E12686" i="1"/>
  <c r="F12686" i="1"/>
  <c r="H12686" i="1"/>
  <c r="A12687" i="1"/>
  <c r="B12687" i="1"/>
  <c r="C12687" i="1"/>
  <c r="D12687" i="1"/>
  <c r="E12687" i="1"/>
  <c r="F12687" i="1"/>
  <c r="H12687" i="1"/>
  <c r="A12688" i="1"/>
  <c r="B12688" i="1"/>
  <c r="C12688" i="1"/>
  <c r="D12688" i="1"/>
  <c r="E12688" i="1"/>
  <c r="F12688" i="1"/>
  <c r="H12688" i="1"/>
  <c r="A12689" i="1"/>
  <c r="B12689" i="1"/>
  <c r="C12689" i="1"/>
  <c r="D12689" i="1"/>
  <c r="E12689" i="1"/>
  <c r="F12689" i="1"/>
  <c r="H12689" i="1"/>
  <c r="A12690" i="1"/>
  <c r="B12690" i="1"/>
  <c r="C12690" i="1"/>
  <c r="D12690" i="1"/>
  <c r="E12690" i="1"/>
  <c r="F12690" i="1"/>
  <c r="H12690" i="1"/>
  <c r="A12691" i="1"/>
  <c r="B12691" i="1"/>
  <c r="C12691" i="1"/>
  <c r="D12691" i="1"/>
  <c r="E12691" i="1"/>
  <c r="F12691" i="1"/>
  <c r="H12691" i="1"/>
  <c r="A12692" i="1"/>
  <c r="B12692" i="1"/>
  <c r="C12692" i="1"/>
  <c r="D12692" i="1"/>
  <c r="E12692" i="1"/>
  <c r="F12692" i="1"/>
  <c r="H12692" i="1"/>
  <c r="A12693" i="1"/>
  <c r="B12693" i="1"/>
  <c r="C12693" i="1"/>
  <c r="D12693" i="1"/>
  <c r="E12693" i="1"/>
  <c r="F12693" i="1"/>
  <c r="H12693" i="1"/>
  <c r="A12694" i="1"/>
  <c r="B12694" i="1"/>
  <c r="C12694" i="1"/>
  <c r="D12694" i="1"/>
  <c r="E12694" i="1"/>
  <c r="F12694" i="1"/>
  <c r="H12694" i="1"/>
  <c r="A12695" i="1"/>
  <c r="B12695" i="1"/>
  <c r="C12695" i="1"/>
  <c r="D12695" i="1"/>
  <c r="E12695" i="1"/>
  <c r="F12695" i="1"/>
  <c r="H12695" i="1"/>
  <c r="A12696" i="1"/>
  <c r="B12696" i="1"/>
  <c r="C12696" i="1"/>
  <c r="D12696" i="1"/>
  <c r="E12696" i="1"/>
  <c r="F12696" i="1"/>
  <c r="H12696" i="1"/>
  <c r="A12697" i="1"/>
  <c r="B12697" i="1"/>
  <c r="C12697" i="1"/>
  <c r="D12697" i="1"/>
  <c r="E12697" i="1"/>
  <c r="F12697" i="1"/>
  <c r="H12697" i="1"/>
  <c r="A12698" i="1"/>
  <c r="B12698" i="1"/>
  <c r="C12698" i="1"/>
  <c r="D12698" i="1"/>
  <c r="E12698" i="1"/>
  <c r="F12698" i="1"/>
  <c r="H12698" i="1"/>
  <c r="A12699" i="1"/>
  <c r="B12699" i="1"/>
  <c r="C12699" i="1"/>
  <c r="D12699" i="1"/>
  <c r="E12699" i="1"/>
  <c r="F12699" i="1"/>
  <c r="H12699" i="1"/>
  <c r="A12700" i="1"/>
  <c r="B12700" i="1"/>
  <c r="C12700" i="1"/>
  <c r="D12700" i="1"/>
  <c r="E12700" i="1"/>
  <c r="F12700" i="1"/>
  <c r="H12700" i="1"/>
  <c r="A12701" i="1"/>
  <c r="B12701" i="1"/>
  <c r="C12701" i="1"/>
  <c r="D12701" i="1"/>
  <c r="E12701" i="1"/>
  <c r="F12701" i="1"/>
  <c r="H12701" i="1"/>
  <c r="A12702" i="1"/>
  <c r="B12702" i="1"/>
  <c r="C12702" i="1"/>
  <c r="D12702" i="1"/>
  <c r="E12702" i="1"/>
  <c r="F12702" i="1"/>
  <c r="H12702" i="1"/>
  <c r="A12703" i="1"/>
  <c r="B12703" i="1"/>
  <c r="C12703" i="1"/>
  <c r="D12703" i="1"/>
  <c r="E12703" i="1"/>
  <c r="F12703" i="1"/>
  <c r="H12703" i="1"/>
  <c r="A12704" i="1"/>
  <c r="B12704" i="1"/>
  <c r="C12704" i="1"/>
  <c r="D12704" i="1"/>
  <c r="E12704" i="1"/>
  <c r="F12704" i="1"/>
  <c r="H12704" i="1"/>
  <c r="A12705" i="1"/>
  <c r="B12705" i="1"/>
  <c r="C12705" i="1"/>
  <c r="D12705" i="1"/>
  <c r="E12705" i="1"/>
  <c r="F12705" i="1"/>
  <c r="H12705" i="1"/>
  <c r="A12706" i="1"/>
  <c r="B12706" i="1"/>
  <c r="C12706" i="1"/>
  <c r="D12706" i="1"/>
  <c r="E12706" i="1"/>
  <c r="F12706" i="1"/>
  <c r="H12706" i="1"/>
  <c r="A12707" i="1"/>
  <c r="B12707" i="1"/>
  <c r="C12707" i="1"/>
  <c r="D12707" i="1"/>
  <c r="E12707" i="1"/>
  <c r="F12707" i="1"/>
  <c r="H12707" i="1"/>
  <c r="A12708" i="1"/>
  <c r="B12708" i="1"/>
  <c r="C12708" i="1"/>
  <c r="D12708" i="1"/>
  <c r="E12708" i="1"/>
  <c r="F12708" i="1"/>
  <c r="H12708" i="1"/>
  <c r="A12709" i="1"/>
  <c r="B12709" i="1"/>
  <c r="C12709" i="1"/>
  <c r="D12709" i="1"/>
  <c r="E12709" i="1"/>
  <c r="F12709" i="1"/>
  <c r="H12709" i="1"/>
  <c r="A12710" i="1"/>
  <c r="B12710" i="1"/>
  <c r="C12710" i="1"/>
  <c r="D12710" i="1"/>
  <c r="E12710" i="1"/>
  <c r="F12710" i="1"/>
  <c r="H12710" i="1"/>
  <c r="A12711" i="1"/>
  <c r="B12711" i="1"/>
  <c r="C12711" i="1"/>
  <c r="D12711" i="1"/>
  <c r="E12711" i="1"/>
  <c r="F12711" i="1"/>
  <c r="H12711" i="1"/>
  <c r="A12712" i="1"/>
  <c r="B12712" i="1"/>
  <c r="C12712" i="1"/>
  <c r="D12712" i="1"/>
  <c r="E12712" i="1"/>
  <c r="F12712" i="1"/>
  <c r="H12712" i="1"/>
  <c r="A12713" i="1"/>
  <c r="B12713" i="1"/>
  <c r="C12713" i="1"/>
  <c r="D12713" i="1"/>
  <c r="E12713" i="1"/>
  <c r="F12713" i="1"/>
  <c r="H12713" i="1"/>
  <c r="A12714" i="1"/>
  <c r="B12714" i="1"/>
  <c r="C12714" i="1"/>
  <c r="D12714" i="1"/>
  <c r="E12714" i="1"/>
  <c r="F12714" i="1"/>
  <c r="H12714" i="1"/>
  <c r="A12715" i="1"/>
  <c r="B12715" i="1"/>
  <c r="C12715" i="1"/>
  <c r="D12715" i="1"/>
  <c r="E12715" i="1"/>
  <c r="F12715" i="1"/>
  <c r="H12715" i="1"/>
  <c r="A12716" i="1"/>
  <c r="B12716" i="1"/>
  <c r="C12716" i="1"/>
  <c r="D12716" i="1"/>
  <c r="E12716" i="1"/>
  <c r="F12716" i="1"/>
  <c r="H12716" i="1"/>
  <c r="A12717" i="1"/>
  <c r="B12717" i="1"/>
  <c r="C12717" i="1"/>
  <c r="D12717" i="1"/>
  <c r="E12717" i="1"/>
  <c r="F12717" i="1"/>
  <c r="H12717" i="1"/>
  <c r="A12718" i="1"/>
  <c r="B12718" i="1"/>
  <c r="C12718" i="1"/>
  <c r="D12718" i="1"/>
  <c r="E12718" i="1"/>
  <c r="F12718" i="1"/>
  <c r="H12718" i="1"/>
  <c r="A12719" i="1"/>
  <c r="B12719" i="1"/>
  <c r="C12719" i="1"/>
  <c r="D12719" i="1"/>
  <c r="E12719" i="1"/>
  <c r="F12719" i="1"/>
  <c r="H12719" i="1"/>
  <c r="A12720" i="1"/>
  <c r="B12720" i="1"/>
  <c r="C12720" i="1"/>
  <c r="D12720" i="1"/>
  <c r="E12720" i="1"/>
  <c r="F12720" i="1"/>
  <c r="H12720" i="1"/>
  <c r="A12721" i="1"/>
  <c r="B12721" i="1"/>
  <c r="C12721" i="1"/>
  <c r="D12721" i="1"/>
  <c r="E12721" i="1"/>
  <c r="F12721" i="1"/>
  <c r="H12721" i="1"/>
  <c r="A12722" i="1"/>
  <c r="B12722" i="1"/>
  <c r="C12722" i="1"/>
  <c r="D12722" i="1"/>
  <c r="E12722" i="1"/>
  <c r="F12722" i="1"/>
  <c r="H12722" i="1"/>
  <c r="A12723" i="1"/>
  <c r="B12723" i="1"/>
  <c r="C12723" i="1"/>
  <c r="D12723" i="1"/>
  <c r="E12723" i="1"/>
  <c r="F12723" i="1"/>
  <c r="H12723" i="1"/>
  <c r="A12724" i="1"/>
  <c r="B12724" i="1"/>
  <c r="C12724" i="1"/>
  <c r="D12724" i="1"/>
  <c r="E12724" i="1"/>
  <c r="F12724" i="1"/>
  <c r="H12724" i="1"/>
  <c r="A12725" i="1"/>
  <c r="B12725" i="1"/>
  <c r="C12725" i="1"/>
  <c r="D12725" i="1"/>
  <c r="E12725" i="1"/>
  <c r="F12725" i="1"/>
  <c r="H12725" i="1"/>
  <c r="A12726" i="1"/>
  <c r="B12726" i="1"/>
  <c r="C12726" i="1"/>
  <c r="D12726" i="1"/>
  <c r="E12726" i="1"/>
  <c r="F12726" i="1"/>
  <c r="H12726" i="1"/>
  <c r="A12727" i="1"/>
  <c r="B12727" i="1"/>
  <c r="C12727" i="1"/>
  <c r="D12727" i="1"/>
  <c r="E12727" i="1"/>
  <c r="F12727" i="1"/>
  <c r="H12727" i="1"/>
  <c r="A12728" i="1"/>
  <c r="B12728" i="1"/>
  <c r="C12728" i="1"/>
  <c r="D12728" i="1"/>
  <c r="E12728" i="1"/>
  <c r="F12728" i="1"/>
  <c r="H12728" i="1"/>
  <c r="A12729" i="1"/>
  <c r="B12729" i="1"/>
  <c r="C12729" i="1"/>
  <c r="D12729" i="1"/>
  <c r="E12729" i="1"/>
  <c r="F12729" i="1"/>
  <c r="H12729" i="1"/>
  <c r="A12730" i="1"/>
  <c r="B12730" i="1"/>
  <c r="C12730" i="1"/>
  <c r="D12730" i="1"/>
  <c r="E12730" i="1"/>
  <c r="F12730" i="1"/>
  <c r="H12730" i="1"/>
  <c r="A12731" i="1"/>
  <c r="B12731" i="1"/>
  <c r="C12731" i="1"/>
  <c r="D12731" i="1"/>
  <c r="E12731" i="1"/>
  <c r="F12731" i="1"/>
  <c r="H12731" i="1"/>
  <c r="A12732" i="1"/>
  <c r="B12732" i="1"/>
  <c r="C12732" i="1"/>
  <c r="D12732" i="1"/>
  <c r="E12732" i="1"/>
  <c r="F12732" i="1"/>
  <c r="H12732" i="1"/>
  <c r="A12733" i="1"/>
  <c r="B12733" i="1"/>
  <c r="C12733" i="1"/>
  <c r="D12733" i="1"/>
  <c r="E12733" i="1"/>
  <c r="F12733" i="1"/>
  <c r="H12733" i="1"/>
  <c r="A12734" i="1"/>
  <c r="B12734" i="1"/>
  <c r="C12734" i="1"/>
  <c r="D12734" i="1"/>
  <c r="E12734" i="1"/>
  <c r="F12734" i="1"/>
  <c r="H12734" i="1"/>
  <c r="A12735" i="1"/>
  <c r="B12735" i="1"/>
  <c r="C12735" i="1"/>
  <c r="D12735" i="1"/>
  <c r="E12735" i="1"/>
  <c r="F12735" i="1"/>
  <c r="H12735" i="1"/>
  <c r="A12736" i="1"/>
  <c r="B12736" i="1"/>
  <c r="C12736" i="1"/>
  <c r="D12736" i="1"/>
  <c r="E12736" i="1"/>
  <c r="F12736" i="1"/>
  <c r="H12736" i="1"/>
  <c r="A12737" i="1"/>
  <c r="B12737" i="1"/>
  <c r="C12737" i="1"/>
  <c r="D12737" i="1"/>
  <c r="E12737" i="1"/>
  <c r="F12737" i="1"/>
  <c r="H12737" i="1"/>
  <c r="A12738" i="1"/>
  <c r="B12738" i="1"/>
  <c r="C12738" i="1"/>
  <c r="D12738" i="1"/>
  <c r="E12738" i="1"/>
  <c r="F12738" i="1"/>
  <c r="H12738" i="1"/>
  <c r="A12739" i="1"/>
  <c r="B12739" i="1"/>
  <c r="C12739" i="1"/>
  <c r="D12739" i="1"/>
  <c r="E12739" i="1"/>
  <c r="F12739" i="1"/>
  <c r="H12739" i="1"/>
  <c r="A12740" i="1"/>
  <c r="B12740" i="1"/>
  <c r="C12740" i="1"/>
  <c r="D12740" i="1"/>
  <c r="E12740" i="1"/>
  <c r="F12740" i="1"/>
  <c r="H12740" i="1"/>
  <c r="A12741" i="1"/>
  <c r="B12741" i="1"/>
  <c r="C12741" i="1"/>
  <c r="D12741" i="1"/>
  <c r="E12741" i="1"/>
  <c r="F12741" i="1"/>
  <c r="H12741" i="1"/>
  <c r="A12742" i="1"/>
  <c r="B12742" i="1"/>
  <c r="C12742" i="1"/>
  <c r="D12742" i="1"/>
  <c r="E12742" i="1"/>
  <c r="F12742" i="1"/>
  <c r="H12742" i="1"/>
  <c r="A12743" i="1"/>
  <c r="B12743" i="1"/>
  <c r="C12743" i="1"/>
  <c r="D12743" i="1"/>
  <c r="E12743" i="1"/>
  <c r="F12743" i="1"/>
  <c r="H12743" i="1"/>
  <c r="A12744" i="1"/>
  <c r="B12744" i="1"/>
  <c r="C12744" i="1"/>
  <c r="D12744" i="1"/>
  <c r="E12744" i="1"/>
  <c r="F12744" i="1"/>
  <c r="H12744" i="1"/>
  <c r="A12745" i="1"/>
  <c r="B12745" i="1"/>
  <c r="C12745" i="1"/>
  <c r="D12745" i="1"/>
  <c r="E12745" i="1"/>
  <c r="F12745" i="1"/>
  <c r="H12745" i="1"/>
  <c r="A12746" i="1"/>
  <c r="B12746" i="1"/>
  <c r="C12746" i="1"/>
  <c r="D12746" i="1"/>
  <c r="E12746" i="1"/>
  <c r="F12746" i="1"/>
  <c r="H12746" i="1"/>
  <c r="A12747" i="1"/>
  <c r="B12747" i="1"/>
  <c r="C12747" i="1"/>
  <c r="D12747" i="1"/>
  <c r="E12747" i="1"/>
  <c r="F12747" i="1"/>
  <c r="H12747" i="1"/>
  <c r="A12748" i="1"/>
  <c r="B12748" i="1"/>
  <c r="C12748" i="1"/>
  <c r="D12748" i="1"/>
  <c r="E12748" i="1"/>
  <c r="F12748" i="1"/>
  <c r="H12748" i="1"/>
  <c r="A12749" i="1"/>
  <c r="B12749" i="1"/>
  <c r="C12749" i="1"/>
  <c r="D12749" i="1"/>
  <c r="E12749" i="1"/>
  <c r="F12749" i="1"/>
  <c r="H12749" i="1"/>
  <c r="A12750" i="1"/>
  <c r="B12750" i="1"/>
  <c r="C12750" i="1"/>
  <c r="D12750" i="1"/>
  <c r="E12750" i="1"/>
  <c r="F12750" i="1"/>
  <c r="H12750" i="1"/>
  <c r="A12751" i="1"/>
  <c r="B12751" i="1"/>
  <c r="C12751" i="1"/>
  <c r="D12751" i="1"/>
  <c r="E12751" i="1"/>
  <c r="F12751" i="1"/>
  <c r="H12751" i="1"/>
  <c r="A12752" i="1"/>
  <c r="B12752" i="1"/>
  <c r="C12752" i="1"/>
  <c r="D12752" i="1"/>
  <c r="E12752" i="1"/>
  <c r="F12752" i="1"/>
  <c r="H12752" i="1"/>
  <c r="A12753" i="1"/>
  <c r="B12753" i="1"/>
  <c r="C12753" i="1"/>
  <c r="D12753" i="1"/>
  <c r="E12753" i="1"/>
  <c r="F12753" i="1"/>
  <c r="H12753" i="1"/>
  <c r="A12754" i="1"/>
  <c r="B12754" i="1"/>
  <c r="C12754" i="1"/>
  <c r="D12754" i="1"/>
  <c r="E12754" i="1"/>
  <c r="F12754" i="1"/>
  <c r="H12754" i="1"/>
  <c r="A12755" i="1"/>
  <c r="B12755" i="1"/>
  <c r="C12755" i="1"/>
  <c r="D12755" i="1"/>
  <c r="E12755" i="1"/>
  <c r="F12755" i="1"/>
  <c r="H12755" i="1"/>
  <c r="A12756" i="1"/>
  <c r="B12756" i="1"/>
  <c r="C12756" i="1"/>
  <c r="D12756" i="1"/>
  <c r="E12756" i="1"/>
  <c r="F12756" i="1"/>
  <c r="H12756" i="1"/>
  <c r="A12757" i="1"/>
  <c r="B12757" i="1"/>
  <c r="C12757" i="1"/>
  <c r="D12757" i="1"/>
  <c r="E12757" i="1"/>
  <c r="F12757" i="1"/>
  <c r="H12757" i="1"/>
  <c r="A12758" i="1"/>
  <c r="B12758" i="1"/>
  <c r="C12758" i="1"/>
  <c r="D12758" i="1"/>
  <c r="E12758" i="1"/>
  <c r="F12758" i="1"/>
  <c r="H12758" i="1"/>
  <c r="A12759" i="1"/>
  <c r="B12759" i="1"/>
  <c r="C12759" i="1"/>
  <c r="D12759" i="1"/>
  <c r="E12759" i="1"/>
  <c r="F12759" i="1"/>
  <c r="H12759" i="1"/>
  <c r="A12760" i="1"/>
  <c r="B12760" i="1"/>
  <c r="C12760" i="1"/>
  <c r="D12760" i="1"/>
  <c r="E12760" i="1"/>
  <c r="F12760" i="1"/>
  <c r="H12760" i="1"/>
  <c r="A12761" i="1"/>
  <c r="B12761" i="1"/>
  <c r="C12761" i="1"/>
  <c r="D12761" i="1"/>
  <c r="E12761" i="1"/>
  <c r="F12761" i="1"/>
  <c r="H12761" i="1"/>
  <c r="A12762" i="1"/>
  <c r="B12762" i="1"/>
  <c r="C12762" i="1"/>
  <c r="D12762" i="1"/>
  <c r="E12762" i="1"/>
  <c r="F12762" i="1"/>
  <c r="H12762" i="1"/>
  <c r="A12763" i="1"/>
  <c r="B12763" i="1"/>
  <c r="C12763" i="1"/>
  <c r="D12763" i="1"/>
  <c r="E12763" i="1"/>
  <c r="F12763" i="1"/>
  <c r="H12763" i="1"/>
  <c r="A12764" i="1"/>
  <c r="B12764" i="1"/>
  <c r="C12764" i="1"/>
  <c r="D12764" i="1"/>
  <c r="E12764" i="1"/>
  <c r="F12764" i="1"/>
  <c r="H12764" i="1"/>
  <c r="A12765" i="1"/>
  <c r="B12765" i="1"/>
  <c r="C12765" i="1"/>
  <c r="D12765" i="1"/>
  <c r="E12765" i="1"/>
  <c r="F12765" i="1"/>
  <c r="H12765" i="1"/>
  <c r="A12766" i="1"/>
  <c r="B12766" i="1"/>
  <c r="C12766" i="1"/>
  <c r="D12766" i="1"/>
  <c r="E12766" i="1"/>
  <c r="F12766" i="1"/>
  <c r="H12766" i="1"/>
  <c r="A12767" i="1"/>
  <c r="B12767" i="1"/>
  <c r="C12767" i="1"/>
  <c r="D12767" i="1"/>
  <c r="E12767" i="1"/>
  <c r="F12767" i="1"/>
  <c r="H12767" i="1"/>
  <c r="A12768" i="1"/>
  <c r="B12768" i="1"/>
  <c r="C12768" i="1"/>
  <c r="D12768" i="1"/>
  <c r="E12768" i="1"/>
  <c r="F12768" i="1"/>
  <c r="H12768" i="1"/>
  <c r="A12769" i="1"/>
  <c r="B12769" i="1"/>
  <c r="C12769" i="1"/>
  <c r="D12769" i="1"/>
  <c r="E12769" i="1"/>
  <c r="F12769" i="1"/>
  <c r="H12769" i="1"/>
  <c r="A12770" i="1"/>
  <c r="B12770" i="1"/>
  <c r="C12770" i="1"/>
  <c r="D12770" i="1"/>
  <c r="E12770" i="1"/>
  <c r="F12770" i="1"/>
  <c r="H12770" i="1"/>
  <c r="A12771" i="1"/>
  <c r="B12771" i="1"/>
  <c r="C12771" i="1"/>
  <c r="D12771" i="1"/>
  <c r="E12771" i="1"/>
  <c r="F12771" i="1"/>
  <c r="H12771" i="1"/>
  <c r="A12772" i="1"/>
  <c r="B12772" i="1"/>
  <c r="C12772" i="1"/>
  <c r="D12772" i="1"/>
  <c r="E12772" i="1"/>
  <c r="F12772" i="1"/>
  <c r="H12772" i="1"/>
  <c r="A12773" i="1"/>
  <c r="B12773" i="1"/>
  <c r="C12773" i="1"/>
  <c r="D12773" i="1"/>
  <c r="E12773" i="1"/>
  <c r="F12773" i="1"/>
  <c r="H12773" i="1"/>
  <c r="A12774" i="1"/>
  <c r="B12774" i="1"/>
  <c r="C12774" i="1"/>
  <c r="D12774" i="1"/>
  <c r="E12774" i="1"/>
  <c r="F12774" i="1"/>
  <c r="H12774" i="1"/>
  <c r="A12775" i="1"/>
  <c r="B12775" i="1"/>
  <c r="C12775" i="1"/>
  <c r="D12775" i="1"/>
  <c r="E12775" i="1"/>
  <c r="F12775" i="1"/>
  <c r="H12775" i="1"/>
  <c r="A12776" i="1"/>
  <c r="B12776" i="1"/>
  <c r="C12776" i="1"/>
  <c r="D12776" i="1"/>
  <c r="E12776" i="1"/>
  <c r="F12776" i="1"/>
  <c r="H12776" i="1"/>
  <c r="A12777" i="1"/>
  <c r="B12777" i="1"/>
  <c r="C12777" i="1"/>
  <c r="D12777" i="1"/>
  <c r="E12777" i="1"/>
  <c r="F12777" i="1"/>
  <c r="H12777" i="1"/>
  <c r="A12778" i="1"/>
  <c r="B12778" i="1"/>
  <c r="C12778" i="1"/>
  <c r="D12778" i="1"/>
  <c r="E12778" i="1"/>
  <c r="F12778" i="1"/>
  <c r="H12778" i="1"/>
  <c r="A12779" i="1"/>
  <c r="B12779" i="1"/>
  <c r="C12779" i="1"/>
  <c r="D12779" i="1"/>
  <c r="E12779" i="1"/>
  <c r="F12779" i="1"/>
  <c r="H12779" i="1"/>
  <c r="A12780" i="1"/>
  <c r="B12780" i="1"/>
  <c r="C12780" i="1"/>
  <c r="D12780" i="1"/>
  <c r="E12780" i="1"/>
  <c r="F12780" i="1"/>
  <c r="H12780" i="1"/>
  <c r="A12781" i="1"/>
  <c r="B12781" i="1"/>
  <c r="C12781" i="1"/>
  <c r="D12781" i="1"/>
  <c r="E12781" i="1"/>
  <c r="F12781" i="1"/>
  <c r="H12781" i="1"/>
  <c r="A12782" i="1"/>
  <c r="B12782" i="1"/>
  <c r="C12782" i="1"/>
  <c r="D12782" i="1"/>
  <c r="E12782" i="1"/>
  <c r="F12782" i="1"/>
  <c r="H12782" i="1"/>
  <c r="A12783" i="1"/>
  <c r="B12783" i="1"/>
  <c r="C12783" i="1"/>
  <c r="D12783" i="1"/>
  <c r="E12783" i="1"/>
  <c r="F12783" i="1"/>
  <c r="H12783" i="1"/>
  <c r="A12784" i="1"/>
  <c r="B12784" i="1"/>
  <c r="C12784" i="1"/>
  <c r="D12784" i="1"/>
  <c r="E12784" i="1"/>
  <c r="F12784" i="1"/>
  <c r="H12784" i="1"/>
  <c r="A12785" i="1"/>
  <c r="B12785" i="1"/>
  <c r="C12785" i="1"/>
  <c r="D12785" i="1"/>
  <c r="E12785" i="1"/>
  <c r="F12785" i="1"/>
  <c r="H12785" i="1"/>
  <c r="A12786" i="1"/>
  <c r="B12786" i="1"/>
  <c r="C12786" i="1"/>
  <c r="D12786" i="1"/>
  <c r="E12786" i="1"/>
  <c r="F12786" i="1"/>
  <c r="H12786" i="1"/>
  <c r="A12787" i="1"/>
  <c r="B12787" i="1"/>
  <c r="C12787" i="1"/>
  <c r="D12787" i="1"/>
  <c r="E12787" i="1"/>
  <c r="F12787" i="1"/>
  <c r="H12787" i="1"/>
  <c r="A12788" i="1"/>
  <c r="B12788" i="1"/>
  <c r="C12788" i="1"/>
  <c r="D12788" i="1"/>
  <c r="E12788" i="1"/>
  <c r="F12788" i="1"/>
  <c r="H12788" i="1"/>
  <c r="A12789" i="1"/>
  <c r="B12789" i="1"/>
  <c r="C12789" i="1"/>
  <c r="D12789" i="1"/>
  <c r="E12789" i="1"/>
  <c r="F12789" i="1"/>
  <c r="H12789" i="1"/>
  <c r="A12790" i="1"/>
  <c r="B12790" i="1"/>
  <c r="C12790" i="1"/>
  <c r="D12790" i="1"/>
  <c r="E12790" i="1"/>
  <c r="F12790" i="1"/>
  <c r="H12790" i="1"/>
  <c r="A12791" i="1"/>
  <c r="B12791" i="1"/>
  <c r="C12791" i="1"/>
  <c r="D12791" i="1"/>
  <c r="E12791" i="1"/>
  <c r="F12791" i="1"/>
  <c r="H12791" i="1"/>
  <c r="A12792" i="1"/>
  <c r="B12792" i="1"/>
  <c r="C12792" i="1"/>
  <c r="D12792" i="1"/>
  <c r="E12792" i="1"/>
  <c r="F12792" i="1"/>
  <c r="H12792" i="1"/>
  <c r="A12793" i="1"/>
  <c r="B12793" i="1"/>
  <c r="C12793" i="1"/>
  <c r="D12793" i="1"/>
  <c r="E12793" i="1"/>
  <c r="F12793" i="1"/>
  <c r="H12793" i="1"/>
  <c r="A12794" i="1"/>
  <c r="B12794" i="1"/>
  <c r="C12794" i="1"/>
  <c r="D12794" i="1"/>
  <c r="E12794" i="1"/>
  <c r="F12794" i="1"/>
  <c r="H12794" i="1"/>
  <c r="A12795" i="1"/>
  <c r="B12795" i="1"/>
  <c r="C12795" i="1"/>
  <c r="D12795" i="1"/>
  <c r="E12795" i="1"/>
  <c r="F12795" i="1"/>
  <c r="H12795" i="1"/>
  <c r="A12796" i="1"/>
  <c r="B12796" i="1"/>
  <c r="C12796" i="1"/>
  <c r="D12796" i="1"/>
  <c r="E12796" i="1"/>
  <c r="F12796" i="1"/>
  <c r="H12796" i="1"/>
  <c r="A12797" i="1"/>
  <c r="B12797" i="1"/>
  <c r="C12797" i="1"/>
  <c r="D12797" i="1"/>
  <c r="E12797" i="1"/>
  <c r="F12797" i="1"/>
  <c r="H12797" i="1"/>
  <c r="A12798" i="1"/>
  <c r="B12798" i="1"/>
  <c r="C12798" i="1"/>
  <c r="D12798" i="1"/>
  <c r="E12798" i="1"/>
  <c r="F12798" i="1"/>
  <c r="H12798" i="1"/>
  <c r="A12799" i="1"/>
  <c r="B12799" i="1"/>
  <c r="C12799" i="1"/>
  <c r="D12799" i="1"/>
  <c r="E12799" i="1"/>
  <c r="F12799" i="1"/>
  <c r="H12799" i="1"/>
  <c r="A12800" i="1"/>
  <c r="B12800" i="1"/>
  <c r="C12800" i="1"/>
  <c r="D12800" i="1"/>
  <c r="E12800" i="1"/>
  <c r="F12800" i="1"/>
  <c r="H12800" i="1"/>
  <c r="A12801" i="1"/>
  <c r="B12801" i="1"/>
  <c r="C12801" i="1"/>
  <c r="D12801" i="1"/>
  <c r="E12801" i="1"/>
  <c r="F12801" i="1"/>
  <c r="H12801" i="1"/>
  <c r="A12802" i="1"/>
  <c r="B12802" i="1"/>
  <c r="C12802" i="1"/>
  <c r="D12802" i="1"/>
  <c r="E12802" i="1"/>
  <c r="F12802" i="1"/>
  <c r="H12802" i="1"/>
  <c r="A12803" i="1"/>
  <c r="B12803" i="1"/>
  <c r="C12803" i="1"/>
  <c r="D12803" i="1"/>
  <c r="E12803" i="1"/>
  <c r="F12803" i="1"/>
  <c r="H12803" i="1"/>
  <c r="A12804" i="1"/>
  <c r="B12804" i="1"/>
  <c r="C12804" i="1"/>
  <c r="D12804" i="1"/>
  <c r="E12804" i="1"/>
  <c r="F12804" i="1"/>
  <c r="H12804" i="1"/>
  <c r="A12805" i="1"/>
  <c r="B12805" i="1"/>
  <c r="C12805" i="1"/>
  <c r="D12805" i="1"/>
  <c r="E12805" i="1"/>
  <c r="F12805" i="1"/>
  <c r="H12805" i="1"/>
  <c r="A12806" i="1"/>
  <c r="B12806" i="1"/>
  <c r="C12806" i="1"/>
  <c r="D12806" i="1"/>
  <c r="E12806" i="1"/>
  <c r="F12806" i="1"/>
  <c r="H12806" i="1"/>
  <c r="A12807" i="1"/>
  <c r="B12807" i="1"/>
  <c r="C12807" i="1"/>
  <c r="D12807" i="1"/>
  <c r="E12807" i="1"/>
  <c r="F12807" i="1"/>
  <c r="H12807" i="1"/>
  <c r="A12808" i="1"/>
  <c r="B12808" i="1"/>
  <c r="C12808" i="1"/>
  <c r="D12808" i="1"/>
  <c r="E12808" i="1"/>
  <c r="F12808" i="1"/>
  <c r="H12808" i="1"/>
  <c r="A12809" i="1"/>
  <c r="B12809" i="1"/>
  <c r="C12809" i="1"/>
  <c r="D12809" i="1"/>
  <c r="E12809" i="1"/>
  <c r="F12809" i="1"/>
  <c r="H12809" i="1"/>
  <c r="A12810" i="1"/>
  <c r="B12810" i="1"/>
  <c r="C12810" i="1"/>
  <c r="D12810" i="1"/>
  <c r="E12810" i="1"/>
  <c r="F12810" i="1"/>
  <c r="H12810" i="1"/>
  <c r="A12811" i="1"/>
  <c r="B12811" i="1"/>
  <c r="C12811" i="1"/>
  <c r="D12811" i="1"/>
  <c r="E12811" i="1"/>
  <c r="F12811" i="1"/>
  <c r="H12811" i="1"/>
  <c r="A12812" i="1"/>
  <c r="B12812" i="1"/>
  <c r="C12812" i="1"/>
  <c r="D12812" i="1"/>
  <c r="E12812" i="1"/>
  <c r="F12812" i="1"/>
  <c r="H12812" i="1"/>
  <c r="A12813" i="1"/>
  <c r="B12813" i="1"/>
  <c r="C12813" i="1"/>
  <c r="D12813" i="1"/>
  <c r="E12813" i="1"/>
  <c r="F12813" i="1"/>
  <c r="H12813" i="1"/>
  <c r="A12814" i="1"/>
  <c r="B12814" i="1"/>
  <c r="C12814" i="1"/>
  <c r="D12814" i="1"/>
  <c r="E12814" i="1"/>
  <c r="F12814" i="1"/>
  <c r="H12814" i="1"/>
  <c r="A12815" i="1"/>
  <c r="B12815" i="1"/>
  <c r="C12815" i="1"/>
  <c r="D12815" i="1"/>
  <c r="E12815" i="1"/>
  <c r="F12815" i="1"/>
  <c r="H12815" i="1"/>
  <c r="A12816" i="1"/>
  <c r="B12816" i="1"/>
  <c r="C12816" i="1"/>
  <c r="D12816" i="1"/>
  <c r="E12816" i="1"/>
  <c r="F12816" i="1"/>
  <c r="H12816" i="1"/>
  <c r="A12817" i="1"/>
  <c r="B12817" i="1"/>
  <c r="C12817" i="1"/>
  <c r="D12817" i="1"/>
  <c r="E12817" i="1"/>
  <c r="F12817" i="1"/>
  <c r="H12817" i="1"/>
  <c r="A12818" i="1"/>
  <c r="B12818" i="1"/>
  <c r="C12818" i="1"/>
  <c r="D12818" i="1"/>
  <c r="E12818" i="1"/>
  <c r="F12818" i="1"/>
  <c r="H12818" i="1"/>
  <c r="A12819" i="1"/>
  <c r="B12819" i="1"/>
  <c r="C12819" i="1"/>
  <c r="D12819" i="1"/>
  <c r="E12819" i="1"/>
  <c r="F12819" i="1"/>
  <c r="H12819" i="1"/>
  <c r="A12820" i="1"/>
  <c r="B12820" i="1"/>
  <c r="C12820" i="1"/>
  <c r="D12820" i="1"/>
  <c r="E12820" i="1"/>
  <c r="F12820" i="1"/>
  <c r="H12820" i="1"/>
  <c r="A12821" i="1"/>
  <c r="B12821" i="1"/>
  <c r="C12821" i="1"/>
  <c r="D12821" i="1"/>
  <c r="E12821" i="1"/>
  <c r="F12821" i="1"/>
  <c r="H12821" i="1"/>
  <c r="A12822" i="1"/>
  <c r="B12822" i="1"/>
  <c r="C12822" i="1"/>
  <c r="D12822" i="1"/>
  <c r="E12822" i="1"/>
  <c r="F12822" i="1"/>
  <c r="H12822" i="1"/>
  <c r="A12823" i="1"/>
  <c r="B12823" i="1"/>
  <c r="C12823" i="1"/>
  <c r="D12823" i="1"/>
  <c r="E12823" i="1"/>
  <c r="F12823" i="1"/>
  <c r="H12823" i="1"/>
  <c r="A12824" i="1"/>
  <c r="B12824" i="1"/>
  <c r="C12824" i="1"/>
  <c r="D12824" i="1"/>
  <c r="E12824" i="1"/>
  <c r="F12824" i="1"/>
  <c r="H12824" i="1"/>
  <c r="A12825" i="1"/>
  <c r="B12825" i="1"/>
  <c r="C12825" i="1"/>
  <c r="D12825" i="1"/>
  <c r="E12825" i="1"/>
  <c r="F12825" i="1"/>
  <c r="H12825" i="1"/>
  <c r="A12826" i="1"/>
  <c r="B12826" i="1"/>
  <c r="C12826" i="1"/>
  <c r="D12826" i="1"/>
  <c r="E12826" i="1"/>
  <c r="F12826" i="1"/>
  <c r="H12826" i="1"/>
  <c r="A12827" i="1"/>
  <c r="B12827" i="1"/>
  <c r="C12827" i="1"/>
  <c r="D12827" i="1"/>
  <c r="E12827" i="1"/>
  <c r="F12827" i="1"/>
  <c r="H12827" i="1"/>
  <c r="A12828" i="1"/>
  <c r="B12828" i="1"/>
  <c r="C12828" i="1"/>
  <c r="D12828" i="1"/>
  <c r="E12828" i="1"/>
  <c r="F12828" i="1"/>
  <c r="H12828" i="1"/>
  <c r="A12829" i="1"/>
  <c r="B12829" i="1"/>
  <c r="C12829" i="1"/>
  <c r="D12829" i="1"/>
  <c r="E12829" i="1"/>
  <c r="F12829" i="1"/>
  <c r="H12829" i="1"/>
  <c r="A12830" i="1"/>
  <c r="B12830" i="1"/>
  <c r="C12830" i="1"/>
  <c r="D12830" i="1"/>
  <c r="E12830" i="1"/>
  <c r="F12830" i="1"/>
  <c r="H12830" i="1"/>
  <c r="A12831" i="1"/>
  <c r="B12831" i="1"/>
  <c r="C12831" i="1"/>
  <c r="D12831" i="1"/>
  <c r="E12831" i="1"/>
  <c r="F12831" i="1"/>
  <c r="H12831" i="1"/>
  <c r="A12832" i="1"/>
  <c r="B12832" i="1"/>
  <c r="C12832" i="1"/>
  <c r="D12832" i="1"/>
  <c r="E12832" i="1"/>
  <c r="F12832" i="1"/>
  <c r="H12832" i="1"/>
  <c r="A12833" i="1"/>
  <c r="B12833" i="1"/>
  <c r="C12833" i="1"/>
  <c r="D12833" i="1"/>
  <c r="E12833" i="1"/>
  <c r="F12833" i="1"/>
  <c r="H12833" i="1"/>
  <c r="A12834" i="1"/>
  <c r="B12834" i="1"/>
  <c r="C12834" i="1"/>
  <c r="D12834" i="1"/>
  <c r="E12834" i="1"/>
  <c r="F12834" i="1"/>
  <c r="H12834" i="1"/>
  <c r="A12835" i="1"/>
  <c r="B12835" i="1"/>
  <c r="C12835" i="1"/>
  <c r="D12835" i="1"/>
  <c r="E12835" i="1"/>
  <c r="F12835" i="1"/>
  <c r="H12835" i="1"/>
  <c r="A12836" i="1"/>
  <c r="B12836" i="1"/>
  <c r="C12836" i="1"/>
  <c r="D12836" i="1"/>
  <c r="E12836" i="1"/>
  <c r="F12836" i="1"/>
  <c r="H12836" i="1"/>
  <c r="A12837" i="1"/>
  <c r="B12837" i="1"/>
  <c r="C12837" i="1"/>
  <c r="D12837" i="1"/>
  <c r="E12837" i="1"/>
  <c r="F12837" i="1"/>
  <c r="H12837" i="1"/>
  <c r="A12838" i="1"/>
  <c r="B12838" i="1"/>
  <c r="C12838" i="1"/>
  <c r="D12838" i="1"/>
  <c r="E12838" i="1"/>
  <c r="F12838" i="1"/>
  <c r="H12838" i="1"/>
  <c r="A12839" i="1"/>
  <c r="B12839" i="1"/>
  <c r="C12839" i="1"/>
  <c r="D12839" i="1"/>
  <c r="E12839" i="1"/>
  <c r="F12839" i="1"/>
  <c r="H12839" i="1"/>
  <c r="A12840" i="1"/>
  <c r="B12840" i="1"/>
  <c r="C12840" i="1"/>
  <c r="D12840" i="1"/>
  <c r="E12840" i="1"/>
  <c r="F12840" i="1"/>
  <c r="H12840" i="1"/>
  <c r="A12841" i="1"/>
  <c r="B12841" i="1"/>
  <c r="C12841" i="1"/>
  <c r="D12841" i="1"/>
  <c r="E12841" i="1"/>
  <c r="F12841" i="1"/>
  <c r="H12841" i="1"/>
  <c r="A12842" i="1"/>
  <c r="B12842" i="1"/>
  <c r="C12842" i="1"/>
  <c r="D12842" i="1"/>
  <c r="E12842" i="1"/>
  <c r="F12842" i="1"/>
  <c r="H12842" i="1"/>
  <c r="A12843" i="1"/>
  <c r="B12843" i="1"/>
  <c r="C12843" i="1"/>
  <c r="D12843" i="1"/>
  <c r="E12843" i="1"/>
  <c r="F12843" i="1"/>
  <c r="H12843" i="1"/>
  <c r="A12844" i="1"/>
  <c r="B12844" i="1"/>
  <c r="C12844" i="1"/>
  <c r="D12844" i="1"/>
  <c r="E12844" i="1"/>
  <c r="F12844" i="1"/>
  <c r="H12844" i="1"/>
  <c r="A12845" i="1"/>
  <c r="B12845" i="1"/>
  <c r="C12845" i="1"/>
  <c r="D12845" i="1"/>
  <c r="E12845" i="1"/>
  <c r="F12845" i="1"/>
  <c r="H12845" i="1"/>
  <c r="A12846" i="1"/>
  <c r="B12846" i="1"/>
  <c r="C12846" i="1"/>
  <c r="D12846" i="1"/>
  <c r="E12846" i="1"/>
  <c r="F12846" i="1"/>
  <c r="H12846" i="1"/>
  <c r="A12847" i="1"/>
  <c r="B12847" i="1"/>
  <c r="C12847" i="1"/>
  <c r="D12847" i="1"/>
  <c r="E12847" i="1"/>
  <c r="F12847" i="1"/>
  <c r="H12847" i="1"/>
  <c r="A12848" i="1"/>
  <c r="B12848" i="1"/>
  <c r="C12848" i="1"/>
  <c r="D12848" i="1"/>
  <c r="E12848" i="1"/>
  <c r="F12848" i="1"/>
  <c r="H12848" i="1"/>
  <c r="A12849" i="1"/>
  <c r="B12849" i="1"/>
  <c r="C12849" i="1"/>
  <c r="D12849" i="1"/>
  <c r="E12849" i="1"/>
  <c r="F12849" i="1"/>
  <c r="H12849" i="1"/>
  <c r="A12850" i="1"/>
  <c r="B12850" i="1"/>
  <c r="C12850" i="1"/>
  <c r="D12850" i="1"/>
  <c r="E12850" i="1"/>
  <c r="F12850" i="1"/>
  <c r="H12850" i="1"/>
  <c r="A12851" i="1"/>
  <c r="B12851" i="1"/>
  <c r="C12851" i="1"/>
  <c r="D12851" i="1"/>
  <c r="E12851" i="1"/>
  <c r="F12851" i="1"/>
  <c r="H12851" i="1"/>
  <c r="A12852" i="1"/>
  <c r="B12852" i="1"/>
  <c r="C12852" i="1"/>
  <c r="D12852" i="1"/>
  <c r="E12852" i="1"/>
  <c r="F12852" i="1"/>
  <c r="H12852" i="1"/>
  <c r="A12853" i="1"/>
  <c r="B12853" i="1"/>
  <c r="C12853" i="1"/>
  <c r="D12853" i="1"/>
  <c r="E12853" i="1"/>
  <c r="F12853" i="1"/>
  <c r="H12853" i="1"/>
  <c r="A12854" i="1"/>
  <c r="B12854" i="1"/>
  <c r="C12854" i="1"/>
  <c r="D12854" i="1"/>
  <c r="E12854" i="1"/>
  <c r="F12854" i="1"/>
  <c r="H12854" i="1"/>
  <c r="A12855" i="1"/>
  <c r="B12855" i="1"/>
  <c r="C12855" i="1"/>
  <c r="D12855" i="1"/>
  <c r="E12855" i="1"/>
  <c r="F12855" i="1"/>
  <c r="H12855" i="1"/>
  <c r="A12856" i="1"/>
  <c r="B12856" i="1"/>
  <c r="C12856" i="1"/>
  <c r="D12856" i="1"/>
  <c r="E12856" i="1"/>
  <c r="F12856" i="1"/>
  <c r="H12856" i="1"/>
  <c r="A12857" i="1"/>
  <c r="B12857" i="1"/>
  <c r="C12857" i="1"/>
  <c r="D12857" i="1"/>
  <c r="E12857" i="1"/>
  <c r="F12857" i="1"/>
  <c r="H12857" i="1"/>
  <c r="A12858" i="1"/>
  <c r="B12858" i="1"/>
  <c r="C12858" i="1"/>
  <c r="D12858" i="1"/>
  <c r="E12858" i="1"/>
  <c r="F12858" i="1"/>
  <c r="H12858" i="1"/>
  <c r="A12859" i="1"/>
  <c r="B12859" i="1"/>
  <c r="C12859" i="1"/>
  <c r="D12859" i="1"/>
  <c r="E12859" i="1"/>
  <c r="F12859" i="1"/>
  <c r="H12859" i="1"/>
  <c r="A12860" i="1"/>
  <c r="B12860" i="1"/>
  <c r="C12860" i="1"/>
  <c r="D12860" i="1"/>
  <c r="E12860" i="1"/>
  <c r="F12860" i="1"/>
  <c r="H12860" i="1"/>
  <c r="A12861" i="1"/>
  <c r="B12861" i="1"/>
  <c r="C12861" i="1"/>
  <c r="D12861" i="1"/>
  <c r="E12861" i="1"/>
  <c r="F12861" i="1"/>
  <c r="H12861" i="1"/>
  <c r="A12862" i="1"/>
  <c r="B12862" i="1"/>
  <c r="C12862" i="1"/>
  <c r="D12862" i="1"/>
  <c r="E12862" i="1"/>
  <c r="F12862" i="1"/>
  <c r="H12862" i="1"/>
  <c r="A12863" i="1"/>
  <c r="B12863" i="1"/>
  <c r="C12863" i="1"/>
  <c r="D12863" i="1"/>
  <c r="E12863" i="1"/>
  <c r="F12863" i="1"/>
  <c r="H12863" i="1"/>
  <c r="A12864" i="1"/>
  <c r="B12864" i="1"/>
  <c r="C12864" i="1"/>
  <c r="D12864" i="1"/>
  <c r="E12864" i="1"/>
  <c r="F12864" i="1"/>
  <c r="H12864" i="1"/>
  <c r="A12865" i="1"/>
  <c r="B12865" i="1"/>
  <c r="C12865" i="1"/>
  <c r="D12865" i="1"/>
  <c r="E12865" i="1"/>
  <c r="F12865" i="1"/>
  <c r="H12865" i="1"/>
  <c r="A12866" i="1"/>
  <c r="B12866" i="1"/>
  <c r="C12866" i="1"/>
  <c r="D12866" i="1"/>
  <c r="E12866" i="1"/>
  <c r="F12866" i="1"/>
  <c r="H12866" i="1"/>
  <c r="A12867" i="1"/>
  <c r="B12867" i="1"/>
  <c r="C12867" i="1"/>
  <c r="D12867" i="1"/>
  <c r="E12867" i="1"/>
  <c r="F12867" i="1"/>
  <c r="H12867" i="1"/>
  <c r="A12868" i="1"/>
  <c r="B12868" i="1"/>
  <c r="C12868" i="1"/>
  <c r="D12868" i="1"/>
  <c r="E12868" i="1"/>
  <c r="F12868" i="1"/>
  <c r="H12868" i="1"/>
  <c r="A12869" i="1"/>
  <c r="B12869" i="1"/>
  <c r="C12869" i="1"/>
  <c r="D12869" i="1"/>
  <c r="E12869" i="1"/>
  <c r="F12869" i="1"/>
  <c r="H12869" i="1"/>
  <c r="A12870" i="1"/>
  <c r="B12870" i="1"/>
  <c r="C12870" i="1"/>
  <c r="D12870" i="1"/>
  <c r="E12870" i="1"/>
  <c r="F12870" i="1"/>
  <c r="H12870" i="1"/>
  <c r="A12871" i="1"/>
  <c r="B12871" i="1"/>
  <c r="C12871" i="1"/>
  <c r="D12871" i="1"/>
  <c r="E12871" i="1"/>
  <c r="F12871" i="1"/>
  <c r="H12871" i="1"/>
  <c r="A12872" i="1"/>
  <c r="B12872" i="1"/>
  <c r="C12872" i="1"/>
  <c r="D12872" i="1"/>
  <c r="E12872" i="1"/>
  <c r="F12872" i="1"/>
  <c r="H12872" i="1"/>
  <c r="A12873" i="1"/>
  <c r="B12873" i="1"/>
  <c r="C12873" i="1"/>
  <c r="D12873" i="1"/>
  <c r="E12873" i="1"/>
  <c r="F12873" i="1"/>
  <c r="H12873" i="1"/>
  <c r="A12874" i="1"/>
  <c r="B12874" i="1"/>
  <c r="C12874" i="1"/>
  <c r="D12874" i="1"/>
  <c r="E12874" i="1"/>
  <c r="F12874" i="1"/>
  <c r="H12874" i="1"/>
  <c r="A12875" i="1"/>
  <c r="B12875" i="1"/>
  <c r="C12875" i="1"/>
  <c r="D12875" i="1"/>
  <c r="E12875" i="1"/>
  <c r="F12875" i="1"/>
  <c r="H12875" i="1"/>
  <c r="A12876" i="1"/>
  <c r="B12876" i="1"/>
  <c r="C12876" i="1"/>
  <c r="D12876" i="1"/>
  <c r="E12876" i="1"/>
  <c r="F12876" i="1"/>
  <c r="H12876" i="1"/>
  <c r="A12877" i="1"/>
  <c r="B12877" i="1"/>
  <c r="C12877" i="1"/>
  <c r="D12877" i="1"/>
  <c r="E12877" i="1"/>
  <c r="F12877" i="1"/>
  <c r="H12877" i="1"/>
  <c r="A12878" i="1"/>
  <c r="B12878" i="1"/>
  <c r="C12878" i="1"/>
  <c r="D12878" i="1"/>
  <c r="E12878" i="1"/>
  <c r="F12878" i="1"/>
  <c r="H12878" i="1"/>
  <c r="A12879" i="1"/>
  <c r="B12879" i="1"/>
  <c r="C12879" i="1"/>
  <c r="D12879" i="1"/>
  <c r="E12879" i="1"/>
  <c r="F12879" i="1"/>
  <c r="H12879" i="1"/>
  <c r="A12880" i="1"/>
  <c r="B12880" i="1"/>
  <c r="C12880" i="1"/>
  <c r="D12880" i="1"/>
  <c r="E12880" i="1"/>
  <c r="F12880" i="1"/>
  <c r="H12880" i="1"/>
  <c r="A12881" i="1"/>
  <c r="B12881" i="1"/>
  <c r="C12881" i="1"/>
  <c r="D12881" i="1"/>
  <c r="E12881" i="1"/>
  <c r="F12881" i="1"/>
  <c r="H12881" i="1"/>
  <c r="A12882" i="1"/>
  <c r="B12882" i="1"/>
  <c r="C12882" i="1"/>
  <c r="D12882" i="1"/>
  <c r="E12882" i="1"/>
  <c r="F12882" i="1"/>
  <c r="H12882" i="1"/>
  <c r="A12883" i="1"/>
  <c r="B12883" i="1"/>
  <c r="C12883" i="1"/>
  <c r="D12883" i="1"/>
  <c r="E12883" i="1"/>
  <c r="F12883" i="1"/>
  <c r="H12883" i="1"/>
  <c r="A12884" i="1"/>
  <c r="B12884" i="1"/>
  <c r="C12884" i="1"/>
  <c r="D12884" i="1"/>
  <c r="E12884" i="1"/>
  <c r="F12884" i="1"/>
  <c r="H12884" i="1"/>
  <c r="A12885" i="1"/>
  <c r="B12885" i="1"/>
  <c r="C12885" i="1"/>
  <c r="D12885" i="1"/>
  <c r="E12885" i="1"/>
  <c r="F12885" i="1"/>
  <c r="H12885" i="1"/>
  <c r="A12886" i="1"/>
  <c r="B12886" i="1"/>
  <c r="C12886" i="1"/>
  <c r="D12886" i="1"/>
  <c r="E12886" i="1"/>
  <c r="F12886" i="1"/>
  <c r="H12886" i="1"/>
  <c r="A12887" i="1"/>
  <c r="B12887" i="1"/>
  <c r="C12887" i="1"/>
  <c r="D12887" i="1"/>
  <c r="E12887" i="1"/>
  <c r="F12887" i="1"/>
  <c r="H12887" i="1"/>
  <c r="A12888" i="1"/>
  <c r="B12888" i="1"/>
  <c r="C12888" i="1"/>
  <c r="D12888" i="1"/>
  <c r="E12888" i="1"/>
  <c r="F12888" i="1"/>
  <c r="H12888" i="1"/>
  <c r="A12889" i="1"/>
  <c r="B12889" i="1"/>
  <c r="C12889" i="1"/>
  <c r="D12889" i="1"/>
  <c r="E12889" i="1"/>
  <c r="F12889" i="1"/>
  <c r="H12889" i="1"/>
  <c r="A12890" i="1"/>
  <c r="B12890" i="1"/>
  <c r="C12890" i="1"/>
  <c r="D12890" i="1"/>
  <c r="E12890" i="1"/>
  <c r="F12890" i="1"/>
  <c r="H12890" i="1"/>
  <c r="A12891" i="1"/>
  <c r="B12891" i="1"/>
  <c r="C12891" i="1"/>
  <c r="D12891" i="1"/>
  <c r="E12891" i="1"/>
  <c r="F12891" i="1"/>
  <c r="H12891" i="1"/>
  <c r="A12892" i="1"/>
  <c r="B12892" i="1"/>
  <c r="C12892" i="1"/>
  <c r="D12892" i="1"/>
  <c r="E12892" i="1"/>
  <c r="F12892" i="1"/>
  <c r="H12892" i="1"/>
  <c r="A12893" i="1"/>
  <c r="B12893" i="1"/>
  <c r="C12893" i="1"/>
  <c r="D12893" i="1"/>
  <c r="E12893" i="1"/>
  <c r="F12893" i="1"/>
  <c r="H12893" i="1"/>
  <c r="A12894" i="1"/>
  <c r="B12894" i="1"/>
  <c r="C12894" i="1"/>
  <c r="D12894" i="1"/>
  <c r="E12894" i="1"/>
  <c r="F12894" i="1"/>
  <c r="H12894" i="1"/>
  <c r="A12895" i="1"/>
  <c r="B12895" i="1"/>
  <c r="C12895" i="1"/>
  <c r="D12895" i="1"/>
  <c r="E12895" i="1"/>
  <c r="F12895" i="1"/>
  <c r="H12895" i="1"/>
  <c r="A12896" i="1"/>
  <c r="B12896" i="1"/>
  <c r="C12896" i="1"/>
  <c r="D12896" i="1"/>
  <c r="E12896" i="1"/>
  <c r="F12896" i="1"/>
  <c r="H12896" i="1"/>
  <c r="A12897" i="1"/>
  <c r="B12897" i="1"/>
  <c r="C12897" i="1"/>
  <c r="D12897" i="1"/>
  <c r="E12897" i="1"/>
  <c r="F12897" i="1"/>
  <c r="H12897" i="1"/>
  <c r="A12898" i="1"/>
  <c r="B12898" i="1"/>
  <c r="C12898" i="1"/>
  <c r="D12898" i="1"/>
  <c r="E12898" i="1"/>
  <c r="F12898" i="1"/>
  <c r="H12898" i="1"/>
  <c r="A12899" i="1"/>
  <c r="B12899" i="1"/>
  <c r="C12899" i="1"/>
  <c r="D12899" i="1"/>
  <c r="E12899" i="1"/>
  <c r="F12899" i="1"/>
  <c r="H12899" i="1"/>
  <c r="A12900" i="1"/>
  <c r="B12900" i="1"/>
  <c r="C12900" i="1"/>
  <c r="D12900" i="1"/>
  <c r="E12900" i="1"/>
  <c r="F12900" i="1"/>
  <c r="H12900" i="1"/>
  <c r="A12901" i="1"/>
  <c r="B12901" i="1"/>
  <c r="C12901" i="1"/>
  <c r="D12901" i="1"/>
  <c r="E12901" i="1"/>
  <c r="F12901" i="1"/>
  <c r="H12901" i="1"/>
  <c r="A12902" i="1"/>
  <c r="B12902" i="1"/>
  <c r="C12902" i="1"/>
  <c r="D12902" i="1"/>
  <c r="E12902" i="1"/>
  <c r="F12902" i="1"/>
  <c r="H12902" i="1"/>
  <c r="A12903" i="1"/>
  <c r="B12903" i="1"/>
  <c r="C12903" i="1"/>
  <c r="D12903" i="1"/>
  <c r="E12903" i="1"/>
  <c r="F12903" i="1"/>
  <c r="H12903" i="1"/>
  <c r="A12904" i="1"/>
  <c r="B12904" i="1"/>
  <c r="C12904" i="1"/>
  <c r="D12904" i="1"/>
  <c r="E12904" i="1"/>
  <c r="F12904" i="1"/>
  <c r="H12904" i="1"/>
  <c r="A12905" i="1"/>
  <c r="B12905" i="1"/>
  <c r="C12905" i="1"/>
  <c r="D12905" i="1"/>
  <c r="E12905" i="1"/>
  <c r="F12905" i="1"/>
  <c r="H12905" i="1"/>
  <c r="A12906" i="1"/>
  <c r="B12906" i="1"/>
  <c r="C12906" i="1"/>
  <c r="D12906" i="1"/>
  <c r="E12906" i="1"/>
  <c r="F12906" i="1"/>
  <c r="H12906" i="1"/>
  <c r="A12907" i="1"/>
  <c r="B12907" i="1"/>
  <c r="C12907" i="1"/>
  <c r="D12907" i="1"/>
  <c r="E12907" i="1"/>
  <c r="F12907" i="1"/>
  <c r="H12907" i="1"/>
  <c r="A12908" i="1"/>
  <c r="B12908" i="1"/>
  <c r="C12908" i="1"/>
  <c r="D12908" i="1"/>
  <c r="E12908" i="1"/>
  <c r="F12908" i="1"/>
  <c r="H12908" i="1"/>
  <c r="A12909" i="1"/>
  <c r="B12909" i="1"/>
  <c r="C12909" i="1"/>
  <c r="D12909" i="1"/>
  <c r="E12909" i="1"/>
  <c r="F12909" i="1"/>
  <c r="H12909" i="1"/>
  <c r="A12910" i="1"/>
  <c r="B12910" i="1"/>
  <c r="C12910" i="1"/>
  <c r="D12910" i="1"/>
  <c r="E12910" i="1"/>
  <c r="F12910" i="1"/>
  <c r="H12910" i="1"/>
  <c r="A12911" i="1"/>
  <c r="B12911" i="1"/>
  <c r="C12911" i="1"/>
  <c r="D12911" i="1"/>
  <c r="E12911" i="1"/>
  <c r="F12911" i="1"/>
  <c r="H12911" i="1"/>
  <c r="A12912" i="1"/>
  <c r="B12912" i="1"/>
  <c r="C12912" i="1"/>
  <c r="D12912" i="1"/>
  <c r="E12912" i="1"/>
  <c r="F12912" i="1"/>
  <c r="H12912" i="1"/>
  <c r="A12913" i="1"/>
  <c r="B12913" i="1"/>
  <c r="C12913" i="1"/>
  <c r="D12913" i="1"/>
  <c r="E12913" i="1"/>
  <c r="F12913" i="1"/>
  <c r="H12913" i="1"/>
  <c r="A12914" i="1"/>
  <c r="B12914" i="1"/>
  <c r="C12914" i="1"/>
  <c r="D12914" i="1"/>
  <c r="E12914" i="1"/>
  <c r="F12914" i="1"/>
  <c r="H12914" i="1"/>
  <c r="A12915" i="1"/>
  <c r="B12915" i="1"/>
  <c r="C12915" i="1"/>
  <c r="D12915" i="1"/>
  <c r="E12915" i="1"/>
  <c r="F12915" i="1"/>
  <c r="H12915" i="1"/>
  <c r="A12916" i="1"/>
  <c r="B12916" i="1"/>
  <c r="C12916" i="1"/>
  <c r="D12916" i="1"/>
  <c r="E12916" i="1"/>
  <c r="F12916" i="1"/>
  <c r="H12916" i="1"/>
  <c r="A12917" i="1"/>
  <c r="B12917" i="1"/>
  <c r="C12917" i="1"/>
  <c r="D12917" i="1"/>
  <c r="E12917" i="1"/>
  <c r="F12917" i="1"/>
  <c r="H12917" i="1"/>
  <c r="A12918" i="1"/>
  <c r="B12918" i="1"/>
  <c r="C12918" i="1"/>
  <c r="D12918" i="1"/>
  <c r="E12918" i="1"/>
  <c r="F12918" i="1"/>
  <c r="H12918" i="1"/>
  <c r="A12919" i="1"/>
  <c r="B12919" i="1"/>
  <c r="C12919" i="1"/>
  <c r="D12919" i="1"/>
  <c r="E12919" i="1"/>
  <c r="F12919" i="1"/>
  <c r="H12919" i="1"/>
  <c r="A12920" i="1"/>
  <c r="B12920" i="1"/>
  <c r="C12920" i="1"/>
  <c r="D12920" i="1"/>
  <c r="E12920" i="1"/>
  <c r="F12920" i="1"/>
  <c r="H12920" i="1"/>
  <c r="A12921" i="1"/>
  <c r="B12921" i="1"/>
  <c r="C12921" i="1"/>
  <c r="D12921" i="1"/>
  <c r="E12921" i="1"/>
  <c r="F12921" i="1"/>
  <c r="H12921" i="1"/>
  <c r="A12922" i="1"/>
  <c r="B12922" i="1"/>
  <c r="C12922" i="1"/>
  <c r="D12922" i="1"/>
  <c r="E12922" i="1"/>
  <c r="F12922" i="1"/>
  <c r="H12922" i="1"/>
  <c r="A12923" i="1"/>
  <c r="B12923" i="1"/>
  <c r="C12923" i="1"/>
  <c r="D12923" i="1"/>
  <c r="E12923" i="1"/>
  <c r="F12923" i="1"/>
  <c r="H12923" i="1"/>
  <c r="A12924" i="1"/>
  <c r="B12924" i="1"/>
  <c r="C12924" i="1"/>
  <c r="D12924" i="1"/>
  <c r="E12924" i="1"/>
  <c r="F12924" i="1"/>
  <c r="H12924" i="1"/>
  <c r="A12925" i="1"/>
  <c r="B12925" i="1"/>
  <c r="C12925" i="1"/>
  <c r="D12925" i="1"/>
  <c r="E12925" i="1"/>
  <c r="F12925" i="1"/>
  <c r="H12925" i="1"/>
  <c r="A12926" i="1"/>
  <c r="B12926" i="1"/>
  <c r="C12926" i="1"/>
  <c r="D12926" i="1"/>
  <c r="E12926" i="1"/>
  <c r="F12926" i="1"/>
  <c r="H12926" i="1"/>
  <c r="A12927" i="1"/>
  <c r="B12927" i="1"/>
  <c r="C12927" i="1"/>
  <c r="D12927" i="1"/>
  <c r="E12927" i="1"/>
  <c r="F12927" i="1"/>
  <c r="H12927" i="1"/>
  <c r="A12928" i="1"/>
  <c r="B12928" i="1"/>
  <c r="C12928" i="1"/>
  <c r="D12928" i="1"/>
  <c r="E12928" i="1"/>
  <c r="F12928" i="1"/>
  <c r="H12928" i="1"/>
  <c r="A12929" i="1"/>
  <c r="B12929" i="1"/>
  <c r="C12929" i="1"/>
  <c r="D12929" i="1"/>
  <c r="E12929" i="1"/>
  <c r="F12929" i="1"/>
  <c r="H12929" i="1"/>
  <c r="A12930" i="1"/>
  <c r="B12930" i="1"/>
  <c r="C12930" i="1"/>
  <c r="D12930" i="1"/>
  <c r="E12930" i="1"/>
  <c r="F12930" i="1"/>
  <c r="H12930" i="1"/>
  <c r="A12931" i="1"/>
  <c r="B12931" i="1"/>
  <c r="C12931" i="1"/>
  <c r="D12931" i="1"/>
  <c r="E12931" i="1"/>
  <c r="F12931" i="1"/>
  <c r="H12931" i="1"/>
  <c r="A12932" i="1"/>
  <c r="B12932" i="1"/>
  <c r="C12932" i="1"/>
  <c r="D12932" i="1"/>
  <c r="E12932" i="1"/>
  <c r="F12932" i="1"/>
  <c r="H12932" i="1"/>
  <c r="A12933" i="1"/>
  <c r="B12933" i="1"/>
  <c r="C12933" i="1"/>
  <c r="D12933" i="1"/>
  <c r="E12933" i="1"/>
  <c r="F12933" i="1"/>
  <c r="H12933" i="1"/>
  <c r="A12934" i="1"/>
  <c r="B12934" i="1"/>
  <c r="C12934" i="1"/>
  <c r="D12934" i="1"/>
  <c r="E12934" i="1"/>
  <c r="F12934" i="1"/>
  <c r="H12934" i="1"/>
  <c r="A12935" i="1"/>
  <c r="B12935" i="1"/>
  <c r="C12935" i="1"/>
  <c r="D12935" i="1"/>
  <c r="E12935" i="1"/>
  <c r="F12935" i="1"/>
  <c r="H12935" i="1"/>
  <c r="A12936" i="1"/>
  <c r="B12936" i="1"/>
  <c r="C12936" i="1"/>
  <c r="D12936" i="1"/>
  <c r="E12936" i="1"/>
  <c r="F12936" i="1"/>
  <c r="H12936" i="1"/>
  <c r="A12937" i="1"/>
  <c r="B12937" i="1"/>
  <c r="C12937" i="1"/>
  <c r="D12937" i="1"/>
  <c r="E12937" i="1"/>
  <c r="F12937" i="1"/>
  <c r="H12937" i="1"/>
  <c r="A12938" i="1"/>
  <c r="B12938" i="1"/>
  <c r="C12938" i="1"/>
  <c r="D12938" i="1"/>
  <c r="E12938" i="1"/>
  <c r="F12938" i="1"/>
  <c r="H12938" i="1"/>
  <c r="A12939" i="1"/>
  <c r="B12939" i="1"/>
  <c r="C12939" i="1"/>
  <c r="D12939" i="1"/>
  <c r="E12939" i="1"/>
  <c r="F12939" i="1"/>
  <c r="H12939" i="1"/>
  <c r="A12940" i="1"/>
  <c r="B12940" i="1"/>
  <c r="C12940" i="1"/>
  <c r="D12940" i="1"/>
  <c r="E12940" i="1"/>
  <c r="F12940" i="1"/>
  <c r="H12940" i="1"/>
  <c r="A12941" i="1"/>
  <c r="B12941" i="1"/>
  <c r="C12941" i="1"/>
  <c r="D12941" i="1"/>
  <c r="E12941" i="1"/>
  <c r="F12941" i="1"/>
  <c r="H12941" i="1"/>
  <c r="A12942" i="1"/>
  <c r="B12942" i="1"/>
  <c r="C12942" i="1"/>
  <c r="D12942" i="1"/>
  <c r="E12942" i="1"/>
  <c r="F12942" i="1"/>
  <c r="H12942" i="1"/>
  <c r="A12943" i="1"/>
  <c r="B12943" i="1"/>
  <c r="C12943" i="1"/>
  <c r="D12943" i="1"/>
  <c r="E12943" i="1"/>
  <c r="F12943" i="1"/>
  <c r="H12943" i="1"/>
  <c r="A12944" i="1"/>
  <c r="B12944" i="1"/>
  <c r="C12944" i="1"/>
  <c r="D12944" i="1"/>
  <c r="E12944" i="1"/>
  <c r="F12944" i="1"/>
  <c r="H12944" i="1"/>
  <c r="A12945" i="1"/>
  <c r="B12945" i="1"/>
  <c r="C12945" i="1"/>
  <c r="D12945" i="1"/>
  <c r="E12945" i="1"/>
  <c r="F12945" i="1"/>
  <c r="H12945" i="1"/>
  <c r="A12946" i="1"/>
  <c r="B12946" i="1"/>
  <c r="C12946" i="1"/>
  <c r="D12946" i="1"/>
  <c r="E12946" i="1"/>
  <c r="F12946" i="1"/>
  <c r="H12946" i="1"/>
  <c r="A12947" i="1"/>
  <c r="B12947" i="1"/>
  <c r="C12947" i="1"/>
  <c r="D12947" i="1"/>
  <c r="E12947" i="1"/>
  <c r="F12947" i="1"/>
  <c r="H12947" i="1"/>
  <c r="A12948" i="1"/>
  <c r="B12948" i="1"/>
  <c r="C12948" i="1"/>
  <c r="D12948" i="1"/>
  <c r="E12948" i="1"/>
  <c r="F12948" i="1"/>
  <c r="H12948" i="1"/>
  <c r="A12949" i="1"/>
  <c r="B12949" i="1"/>
  <c r="C12949" i="1"/>
  <c r="D12949" i="1"/>
  <c r="E12949" i="1"/>
  <c r="F12949" i="1"/>
  <c r="H12949" i="1"/>
  <c r="A12950" i="1"/>
  <c r="B12950" i="1"/>
  <c r="C12950" i="1"/>
  <c r="D12950" i="1"/>
  <c r="E12950" i="1"/>
  <c r="F12950" i="1"/>
  <c r="H12950" i="1"/>
  <c r="A12951" i="1"/>
  <c r="B12951" i="1"/>
  <c r="C12951" i="1"/>
  <c r="D12951" i="1"/>
  <c r="E12951" i="1"/>
  <c r="F12951" i="1"/>
  <c r="H12951" i="1"/>
  <c r="A12952" i="1"/>
  <c r="B12952" i="1"/>
  <c r="C12952" i="1"/>
  <c r="D12952" i="1"/>
  <c r="E12952" i="1"/>
  <c r="F12952" i="1"/>
  <c r="H12952" i="1"/>
  <c r="A12953" i="1"/>
  <c r="B12953" i="1"/>
  <c r="C12953" i="1"/>
  <c r="D12953" i="1"/>
  <c r="E12953" i="1"/>
  <c r="F12953" i="1"/>
  <c r="H12953" i="1"/>
  <c r="A12954" i="1"/>
  <c r="B12954" i="1"/>
  <c r="C12954" i="1"/>
  <c r="D12954" i="1"/>
  <c r="E12954" i="1"/>
  <c r="F12954" i="1"/>
  <c r="H12954" i="1"/>
  <c r="A12955" i="1"/>
  <c r="B12955" i="1"/>
  <c r="C12955" i="1"/>
  <c r="D12955" i="1"/>
  <c r="E12955" i="1"/>
  <c r="F12955" i="1"/>
  <c r="H12955" i="1"/>
  <c r="A12956" i="1"/>
  <c r="B12956" i="1"/>
  <c r="C12956" i="1"/>
  <c r="D12956" i="1"/>
  <c r="E12956" i="1"/>
  <c r="F12956" i="1"/>
  <c r="H12956" i="1"/>
  <c r="A12957" i="1"/>
  <c r="B12957" i="1"/>
  <c r="C12957" i="1"/>
  <c r="D12957" i="1"/>
  <c r="E12957" i="1"/>
  <c r="F12957" i="1"/>
  <c r="H12957" i="1"/>
  <c r="A12958" i="1"/>
  <c r="B12958" i="1"/>
  <c r="C12958" i="1"/>
  <c r="D12958" i="1"/>
  <c r="E12958" i="1"/>
  <c r="F12958" i="1"/>
  <c r="H12958" i="1"/>
  <c r="A12959" i="1"/>
  <c r="B12959" i="1"/>
  <c r="C12959" i="1"/>
  <c r="D12959" i="1"/>
  <c r="E12959" i="1"/>
  <c r="F12959" i="1"/>
  <c r="H12959" i="1"/>
  <c r="A12960" i="1"/>
  <c r="B12960" i="1"/>
  <c r="C12960" i="1"/>
  <c r="D12960" i="1"/>
  <c r="E12960" i="1"/>
  <c r="F12960" i="1"/>
  <c r="H12960" i="1"/>
  <c r="A12961" i="1"/>
  <c r="B12961" i="1"/>
  <c r="C12961" i="1"/>
  <c r="D12961" i="1"/>
  <c r="E12961" i="1"/>
  <c r="F12961" i="1"/>
  <c r="H12961" i="1"/>
  <c r="A12962" i="1"/>
  <c r="B12962" i="1"/>
  <c r="C12962" i="1"/>
  <c r="D12962" i="1"/>
  <c r="E12962" i="1"/>
  <c r="F12962" i="1"/>
  <c r="H12962" i="1"/>
  <c r="A12963" i="1"/>
  <c r="B12963" i="1"/>
  <c r="C12963" i="1"/>
  <c r="D12963" i="1"/>
  <c r="E12963" i="1"/>
  <c r="F12963" i="1"/>
  <c r="H12963" i="1"/>
  <c r="A12964" i="1"/>
  <c r="B12964" i="1"/>
  <c r="C12964" i="1"/>
  <c r="D12964" i="1"/>
  <c r="E12964" i="1"/>
  <c r="F12964" i="1"/>
  <c r="H12964" i="1"/>
  <c r="A12965" i="1"/>
  <c r="B12965" i="1"/>
  <c r="C12965" i="1"/>
  <c r="D12965" i="1"/>
  <c r="E12965" i="1"/>
  <c r="F12965" i="1"/>
  <c r="H12965" i="1"/>
  <c r="A12966" i="1"/>
  <c r="B12966" i="1"/>
  <c r="C12966" i="1"/>
  <c r="D12966" i="1"/>
  <c r="E12966" i="1"/>
  <c r="F12966" i="1"/>
  <c r="H12966" i="1"/>
  <c r="A12967" i="1"/>
  <c r="B12967" i="1"/>
  <c r="C12967" i="1"/>
  <c r="D12967" i="1"/>
  <c r="E12967" i="1"/>
  <c r="F12967" i="1"/>
  <c r="H12967" i="1"/>
  <c r="A12968" i="1"/>
  <c r="B12968" i="1"/>
  <c r="C12968" i="1"/>
  <c r="D12968" i="1"/>
  <c r="E12968" i="1"/>
  <c r="F12968" i="1"/>
  <c r="H12968" i="1"/>
  <c r="A12969" i="1"/>
  <c r="B12969" i="1"/>
  <c r="C12969" i="1"/>
  <c r="D12969" i="1"/>
  <c r="E12969" i="1"/>
  <c r="F12969" i="1"/>
  <c r="H12969" i="1"/>
  <c r="A12970" i="1"/>
  <c r="B12970" i="1"/>
  <c r="C12970" i="1"/>
  <c r="D12970" i="1"/>
  <c r="E12970" i="1"/>
  <c r="F12970" i="1"/>
  <c r="H12970" i="1"/>
  <c r="A12971" i="1"/>
  <c r="B12971" i="1"/>
  <c r="C12971" i="1"/>
  <c r="D12971" i="1"/>
  <c r="E12971" i="1"/>
  <c r="F12971" i="1"/>
  <c r="H12971" i="1"/>
  <c r="A12972" i="1"/>
  <c r="B12972" i="1"/>
  <c r="C12972" i="1"/>
  <c r="D12972" i="1"/>
  <c r="E12972" i="1"/>
  <c r="F12972" i="1"/>
  <c r="H12972" i="1"/>
  <c r="A12973" i="1"/>
  <c r="B12973" i="1"/>
  <c r="C12973" i="1"/>
  <c r="D12973" i="1"/>
  <c r="E12973" i="1"/>
  <c r="F12973" i="1"/>
  <c r="H12973" i="1"/>
  <c r="A12974" i="1"/>
  <c r="B12974" i="1"/>
  <c r="C12974" i="1"/>
  <c r="D12974" i="1"/>
  <c r="E12974" i="1"/>
  <c r="F12974" i="1"/>
  <c r="H12974" i="1"/>
  <c r="A12975" i="1"/>
  <c r="B12975" i="1"/>
  <c r="C12975" i="1"/>
  <c r="D12975" i="1"/>
  <c r="E12975" i="1"/>
  <c r="F12975" i="1"/>
  <c r="H12975" i="1"/>
  <c r="A12976" i="1"/>
  <c r="B12976" i="1"/>
  <c r="C12976" i="1"/>
  <c r="D12976" i="1"/>
  <c r="E12976" i="1"/>
  <c r="F12976" i="1"/>
  <c r="H12976" i="1"/>
  <c r="A12977" i="1"/>
  <c r="B12977" i="1"/>
  <c r="C12977" i="1"/>
  <c r="D12977" i="1"/>
  <c r="E12977" i="1"/>
  <c r="F12977" i="1"/>
  <c r="H12977" i="1"/>
  <c r="A12978" i="1"/>
  <c r="B12978" i="1"/>
  <c r="C12978" i="1"/>
  <c r="D12978" i="1"/>
  <c r="E12978" i="1"/>
  <c r="F12978" i="1"/>
  <c r="H12978" i="1"/>
  <c r="A12979" i="1"/>
  <c r="B12979" i="1"/>
  <c r="C12979" i="1"/>
  <c r="D12979" i="1"/>
  <c r="E12979" i="1"/>
  <c r="F12979" i="1"/>
  <c r="H12979" i="1"/>
  <c r="A12980" i="1"/>
  <c r="B12980" i="1"/>
  <c r="C12980" i="1"/>
  <c r="D12980" i="1"/>
  <c r="E12980" i="1"/>
  <c r="F12980" i="1"/>
  <c r="H12980" i="1"/>
  <c r="A12981" i="1"/>
  <c r="B12981" i="1"/>
  <c r="C12981" i="1"/>
  <c r="D12981" i="1"/>
  <c r="E12981" i="1"/>
  <c r="F12981" i="1"/>
  <c r="H12981" i="1"/>
  <c r="A12982" i="1"/>
  <c r="B12982" i="1"/>
  <c r="C12982" i="1"/>
  <c r="D12982" i="1"/>
  <c r="E12982" i="1"/>
  <c r="F12982" i="1"/>
  <c r="H12982" i="1"/>
  <c r="A12983" i="1"/>
  <c r="B12983" i="1"/>
  <c r="C12983" i="1"/>
  <c r="D12983" i="1"/>
  <c r="E12983" i="1"/>
  <c r="F12983" i="1"/>
  <c r="H12983" i="1"/>
  <c r="A12984" i="1"/>
  <c r="B12984" i="1"/>
  <c r="C12984" i="1"/>
  <c r="D12984" i="1"/>
  <c r="E12984" i="1"/>
  <c r="F12984" i="1"/>
  <c r="H12984" i="1"/>
  <c r="A12985" i="1"/>
  <c r="B12985" i="1"/>
  <c r="C12985" i="1"/>
  <c r="D12985" i="1"/>
  <c r="E12985" i="1"/>
  <c r="F12985" i="1"/>
  <c r="H12985" i="1"/>
  <c r="A12986" i="1"/>
  <c r="B12986" i="1"/>
  <c r="C12986" i="1"/>
  <c r="D12986" i="1"/>
  <c r="E12986" i="1"/>
  <c r="F12986" i="1"/>
  <c r="H12986" i="1"/>
  <c r="A12987" i="1"/>
  <c r="B12987" i="1"/>
  <c r="C12987" i="1"/>
  <c r="D12987" i="1"/>
  <c r="E12987" i="1"/>
  <c r="F12987" i="1"/>
  <c r="H12987" i="1"/>
  <c r="A12988" i="1"/>
  <c r="B12988" i="1"/>
  <c r="C12988" i="1"/>
  <c r="D12988" i="1"/>
  <c r="E12988" i="1"/>
  <c r="F12988" i="1"/>
  <c r="H12988" i="1"/>
  <c r="A12989" i="1"/>
  <c r="B12989" i="1"/>
  <c r="C12989" i="1"/>
  <c r="D12989" i="1"/>
  <c r="E12989" i="1"/>
  <c r="F12989" i="1"/>
  <c r="H12989" i="1"/>
  <c r="A12990" i="1"/>
  <c r="B12990" i="1"/>
  <c r="C12990" i="1"/>
  <c r="D12990" i="1"/>
  <c r="E12990" i="1"/>
  <c r="F12990" i="1"/>
  <c r="H12990" i="1"/>
  <c r="A12991" i="1"/>
  <c r="B12991" i="1"/>
  <c r="C12991" i="1"/>
  <c r="D12991" i="1"/>
  <c r="E12991" i="1"/>
  <c r="F12991" i="1"/>
  <c r="H12991" i="1"/>
  <c r="A12992" i="1"/>
  <c r="B12992" i="1"/>
  <c r="C12992" i="1"/>
  <c r="D12992" i="1"/>
  <c r="E12992" i="1"/>
  <c r="F12992" i="1"/>
  <c r="H12992" i="1"/>
  <c r="A12993" i="1"/>
  <c r="B12993" i="1"/>
  <c r="C12993" i="1"/>
  <c r="D12993" i="1"/>
  <c r="E12993" i="1"/>
  <c r="F12993" i="1"/>
  <c r="H12993" i="1"/>
  <c r="A12994" i="1"/>
  <c r="B12994" i="1"/>
  <c r="C12994" i="1"/>
  <c r="D12994" i="1"/>
  <c r="E12994" i="1"/>
  <c r="F12994" i="1"/>
  <c r="H12994" i="1"/>
  <c r="A12995" i="1"/>
  <c r="B12995" i="1"/>
  <c r="C12995" i="1"/>
  <c r="D12995" i="1"/>
  <c r="E12995" i="1"/>
  <c r="F12995" i="1"/>
  <c r="H12995" i="1"/>
  <c r="A12996" i="1"/>
  <c r="B12996" i="1"/>
  <c r="C12996" i="1"/>
  <c r="D12996" i="1"/>
  <c r="E12996" i="1"/>
  <c r="F12996" i="1"/>
  <c r="H12996" i="1"/>
  <c r="A12997" i="1"/>
  <c r="B12997" i="1"/>
  <c r="C12997" i="1"/>
  <c r="D12997" i="1"/>
  <c r="E12997" i="1"/>
  <c r="F12997" i="1"/>
  <c r="H12997" i="1"/>
  <c r="A12998" i="1"/>
  <c r="B12998" i="1"/>
  <c r="C12998" i="1"/>
  <c r="D12998" i="1"/>
  <c r="E12998" i="1"/>
  <c r="F12998" i="1"/>
  <c r="H12998" i="1"/>
  <c r="A12999" i="1"/>
  <c r="B12999" i="1"/>
  <c r="C12999" i="1"/>
  <c r="D12999" i="1"/>
  <c r="E12999" i="1"/>
  <c r="F12999" i="1"/>
  <c r="H12999" i="1"/>
  <c r="A13000" i="1"/>
  <c r="B13000" i="1"/>
  <c r="C13000" i="1"/>
  <c r="D13000" i="1"/>
  <c r="E13000" i="1"/>
  <c r="F13000" i="1"/>
  <c r="H13000" i="1"/>
  <c r="A13001" i="1"/>
  <c r="B13001" i="1"/>
  <c r="C13001" i="1"/>
  <c r="D13001" i="1"/>
  <c r="E13001" i="1"/>
  <c r="F13001" i="1"/>
  <c r="H13001" i="1"/>
  <c r="A13002" i="1"/>
  <c r="B13002" i="1"/>
  <c r="C13002" i="1"/>
  <c r="D13002" i="1"/>
  <c r="E13002" i="1"/>
  <c r="F13002" i="1"/>
  <c r="H13002" i="1"/>
  <c r="A13003" i="1"/>
  <c r="B13003" i="1"/>
  <c r="C13003" i="1"/>
  <c r="D13003" i="1"/>
  <c r="E13003" i="1"/>
  <c r="F13003" i="1"/>
  <c r="H13003" i="1"/>
  <c r="A13004" i="1"/>
  <c r="B13004" i="1"/>
  <c r="C13004" i="1"/>
  <c r="D13004" i="1"/>
  <c r="E13004" i="1"/>
  <c r="F13004" i="1"/>
  <c r="H13004" i="1"/>
  <c r="A13005" i="1"/>
  <c r="B13005" i="1"/>
  <c r="C13005" i="1"/>
  <c r="D13005" i="1"/>
  <c r="E13005" i="1"/>
  <c r="F13005" i="1"/>
  <c r="H13005" i="1"/>
  <c r="A13006" i="1"/>
  <c r="B13006" i="1"/>
  <c r="C13006" i="1"/>
  <c r="D13006" i="1"/>
  <c r="E13006" i="1"/>
  <c r="F13006" i="1"/>
  <c r="H13006" i="1"/>
  <c r="A13007" i="1"/>
  <c r="B13007" i="1"/>
  <c r="C13007" i="1"/>
  <c r="D13007" i="1"/>
  <c r="E13007" i="1"/>
  <c r="F13007" i="1"/>
  <c r="H13007" i="1"/>
  <c r="A13008" i="1"/>
  <c r="B13008" i="1"/>
  <c r="C13008" i="1"/>
  <c r="D13008" i="1"/>
  <c r="E13008" i="1"/>
  <c r="F13008" i="1"/>
  <c r="H13008" i="1"/>
  <c r="A13009" i="1"/>
  <c r="B13009" i="1"/>
  <c r="C13009" i="1"/>
  <c r="D13009" i="1"/>
  <c r="E13009" i="1"/>
  <c r="F13009" i="1"/>
  <c r="H13009" i="1"/>
  <c r="A13010" i="1"/>
  <c r="B13010" i="1"/>
  <c r="C13010" i="1"/>
  <c r="D13010" i="1"/>
  <c r="E13010" i="1"/>
  <c r="F13010" i="1"/>
  <c r="H13010" i="1"/>
  <c r="A13011" i="1"/>
  <c r="B13011" i="1"/>
  <c r="C13011" i="1"/>
  <c r="D13011" i="1"/>
  <c r="E13011" i="1"/>
  <c r="F13011" i="1"/>
  <c r="H13011" i="1"/>
  <c r="A13012" i="1"/>
  <c r="B13012" i="1"/>
  <c r="C13012" i="1"/>
  <c r="D13012" i="1"/>
  <c r="E13012" i="1"/>
  <c r="F13012" i="1"/>
  <c r="H13012" i="1"/>
  <c r="A13013" i="1"/>
  <c r="B13013" i="1"/>
  <c r="C13013" i="1"/>
  <c r="D13013" i="1"/>
  <c r="E13013" i="1"/>
  <c r="F13013" i="1"/>
  <c r="H13013" i="1"/>
  <c r="A13014" i="1"/>
  <c r="B13014" i="1"/>
  <c r="C13014" i="1"/>
  <c r="D13014" i="1"/>
  <c r="E13014" i="1"/>
  <c r="F13014" i="1"/>
  <c r="H13014" i="1"/>
  <c r="A13015" i="1"/>
  <c r="B13015" i="1"/>
  <c r="C13015" i="1"/>
  <c r="D13015" i="1"/>
  <c r="E13015" i="1"/>
  <c r="F13015" i="1"/>
  <c r="H13015" i="1"/>
  <c r="A13016" i="1"/>
  <c r="B13016" i="1"/>
  <c r="C13016" i="1"/>
  <c r="D13016" i="1"/>
  <c r="E13016" i="1"/>
  <c r="F13016" i="1"/>
  <c r="H13016" i="1"/>
  <c r="A13017" i="1"/>
  <c r="B13017" i="1"/>
  <c r="C13017" i="1"/>
  <c r="D13017" i="1"/>
  <c r="E13017" i="1"/>
  <c r="F13017" i="1"/>
  <c r="H13017" i="1"/>
  <c r="A13018" i="1"/>
  <c r="B13018" i="1"/>
  <c r="C13018" i="1"/>
  <c r="D13018" i="1"/>
  <c r="E13018" i="1"/>
  <c r="F13018" i="1"/>
  <c r="H13018" i="1"/>
  <c r="A13019" i="1"/>
  <c r="B13019" i="1"/>
  <c r="C13019" i="1"/>
  <c r="D13019" i="1"/>
  <c r="E13019" i="1"/>
  <c r="F13019" i="1"/>
  <c r="H13019" i="1"/>
  <c r="A13020" i="1"/>
  <c r="B13020" i="1"/>
  <c r="C13020" i="1"/>
  <c r="D13020" i="1"/>
  <c r="E13020" i="1"/>
  <c r="F13020" i="1"/>
  <c r="H13020" i="1"/>
  <c r="A13021" i="1"/>
  <c r="B13021" i="1"/>
  <c r="C13021" i="1"/>
  <c r="D13021" i="1"/>
  <c r="E13021" i="1"/>
  <c r="F13021" i="1"/>
  <c r="H13021" i="1"/>
  <c r="A13022" i="1"/>
  <c r="B13022" i="1"/>
  <c r="C13022" i="1"/>
  <c r="D13022" i="1"/>
  <c r="E13022" i="1"/>
  <c r="F13022" i="1"/>
  <c r="H13022" i="1"/>
  <c r="A13023" i="1"/>
  <c r="B13023" i="1"/>
  <c r="C13023" i="1"/>
  <c r="D13023" i="1"/>
  <c r="E13023" i="1"/>
  <c r="F13023" i="1"/>
  <c r="H13023" i="1"/>
  <c r="A13024" i="1"/>
  <c r="B13024" i="1"/>
  <c r="C13024" i="1"/>
  <c r="D13024" i="1"/>
  <c r="E13024" i="1"/>
  <c r="F13024" i="1"/>
  <c r="H13024" i="1"/>
  <c r="A13025" i="1"/>
  <c r="B13025" i="1"/>
  <c r="C13025" i="1"/>
  <c r="D13025" i="1"/>
  <c r="E13025" i="1"/>
  <c r="F13025" i="1"/>
  <c r="H13025" i="1"/>
  <c r="A13026" i="1"/>
  <c r="B13026" i="1"/>
  <c r="C13026" i="1"/>
  <c r="D13026" i="1"/>
  <c r="E13026" i="1"/>
  <c r="F13026" i="1"/>
  <c r="H13026" i="1"/>
  <c r="A13027" i="1"/>
  <c r="B13027" i="1"/>
  <c r="C13027" i="1"/>
  <c r="D13027" i="1"/>
  <c r="E13027" i="1"/>
  <c r="F13027" i="1"/>
  <c r="H13027" i="1"/>
  <c r="A13028" i="1"/>
  <c r="B13028" i="1"/>
  <c r="C13028" i="1"/>
  <c r="D13028" i="1"/>
  <c r="E13028" i="1"/>
  <c r="F13028" i="1"/>
  <c r="H13028" i="1"/>
  <c r="A13029" i="1"/>
  <c r="B13029" i="1"/>
  <c r="C13029" i="1"/>
  <c r="D13029" i="1"/>
  <c r="E13029" i="1"/>
  <c r="F13029" i="1"/>
  <c r="H13029" i="1"/>
  <c r="A13030" i="1"/>
  <c r="B13030" i="1"/>
  <c r="C13030" i="1"/>
  <c r="D13030" i="1"/>
  <c r="E13030" i="1"/>
  <c r="F13030" i="1"/>
  <c r="H13030" i="1"/>
  <c r="A13031" i="1"/>
  <c r="B13031" i="1"/>
  <c r="C13031" i="1"/>
  <c r="D13031" i="1"/>
  <c r="E13031" i="1"/>
  <c r="F13031" i="1"/>
  <c r="H13031" i="1"/>
  <c r="A13032" i="1"/>
  <c r="B13032" i="1"/>
  <c r="C13032" i="1"/>
  <c r="D13032" i="1"/>
  <c r="E13032" i="1"/>
  <c r="F13032" i="1"/>
  <c r="H13032" i="1"/>
  <c r="A13033" i="1"/>
  <c r="B13033" i="1"/>
  <c r="C13033" i="1"/>
  <c r="D13033" i="1"/>
  <c r="E13033" i="1"/>
  <c r="F13033" i="1"/>
  <c r="H13033" i="1"/>
  <c r="A13034" i="1"/>
  <c r="B13034" i="1"/>
  <c r="C13034" i="1"/>
  <c r="D13034" i="1"/>
  <c r="E13034" i="1"/>
  <c r="F13034" i="1"/>
  <c r="H13034" i="1"/>
  <c r="A13035" i="1"/>
  <c r="B13035" i="1"/>
  <c r="C13035" i="1"/>
  <c r="D13035" i="1"/>
  <c r="E13035" i="1"/>
  <c r="F13035" i="1"/>
  <c r="H13035" i="1"/>
  <c r="A13036" i="1"/>
  <c r="B13036" i="1"/>
  <c r="C13036" i="1"/>
  <c r="D13036" i="1"/>
  <c r="E13036" i="1"/>
  <c r="F13036" i="1"/>
  <c r="H13036" i="1"/>
  <c r="A13037" i="1"/>
  <c r="B13037" i="1"/>
  <c r="C13037" i="1"/>
  <c r="D13037" i="1"/>
  <c r="E13037" i="1"/>
  <c r="F13037" i="1"/>
  <c r="H13037" i="1"/>
  <c r="A13038" i="1"/>
  <c r="B13038" i="1"/>
  <c r="C13038" i="1"/>
  <c r="D13038" i="1"/>
  <c r="E13038" i="1"/>
  <c r="F13038" i="1"/>
  <c r="H13038" i="1"/>
  <c r="A13039" i="1"/>
  <c r="B13039" i="1"/>
  <c r="C13039" i="1"/>
  <c r="D13039" i="1"/>
  <c r="E13039" i="1"/>
  <c r="F13039" i="1"/>
  <c r="H13039" i="1"/>
  <c r="A13040" i="1"/>
  <c r="B13040" i="1"/>
  <c r="C13040" i="1"/>
  <c r="D13040" i="1"/>
  <c r="E13040" i="1"/>
  <c r="F13040" i="1"/>
  <c r="H13040" i="1"/>
  <c r="A13041" i="1"/>
  <c r="B13041" i="1"/>
  <c r="C13041" i="1"/>
  <c r="D13041" i="1"/>
  <c r="E13041" i="1"/>
  <c r="F13041" i="1"/>
  <c r="H13041" i="1"/>
  <c r="A13042" i="1"/>
  <c r="B13042" i="1"/>
  <c r="C13042" i="1"/>
  <c r="D13042" i="1"/>
  <c r="E13042" i="1"/>
  <c r="F13042" i="1"/>
  <c r="H13042" i="1"/>
  <c r="A13043" i="1"/>
  <c r="B13043" i="1"/>
  <c r="C13043" i="1"/>
  <c r="D13043" i="1"/>
  <c r="E13043" i="1"/>
  <c r="F13043" i="1"/>
  <c r="H13043" i="1"/>
  <c r="A13044" i="1"/>
  <c r="B13044" i="1"/>
  <c r="C13044" i="1"/>
  <c r="D13044" i="1"/>
  <c r="E13044" i="1"/>
  <c r="F13044" i="1"/>
  <c r="H13044" i="1"/>
  <c r="A13045" i="1"/>
  <c r="B13045" i="1"/>
  <c r="C13045" i="1"/>
  <c r="D13045" i="1"/>
  <c r="E13045" i="1"/>
  <c r="F13045" i="1"/>
  <c r="H13045" i="1"/>
  <c r="A13046" i="1"/>
  <c r="B13046" i="1"/>
  <c r="C13046" i="1"/>
  <c r="D13046" i="1"/>
  <c r="E13046" i="1"/>
  <c r="F13046" i="1"/>
  <c r="H13046" i="1"/>
  <c r="A13047" i="1"/>
  <c r="B13047" i="1"/>
  <c r="C13047" i="1"/>
  <c r="D13047" i="1"/>
  <c r="E13047" i="1"/>
  <c r="F13047" i="1"/>
  <c r="H13047" i="1"/>
  <c r="A13048" i="1"/>
  <c r="B13048" i="1"/>
  <c r="C13048" i="1"/>
  <c r="D13048" i="1"/>
  <c r="E13048" i="1"/>
  <c r="F13048" i="1"/>
  <c r="H13048" i="1"/>
  <c r="A13049" i="1"/>
  <c r="B13049" i="1"/>
  <c r="C13049" i="1"/>
  <c r="D13049" i="1"/>
  <c r="E13049" i="1"/>
  <c r="F13049" i="1"/>
  <c r="H13049" i="1"/>
  <c r="A13050" i="1"/>
  <c r="B13050" i="1"/>
  <c r="C13050" i="1"/>
  <c r="D13050" i="1"/>
  <c r="E13050" i="1"/>
  <c r="F13050" i="1"/>
  <c r="H13050" i="1"/>
  <c r="A13051" i="1"/>
  <c r="B13051" i="1"/>
  <c r="C13051" i="1"/>
  <c r="D13051" i="1"/>
  <c r="E13051" i="1"/>
  <c r="F13051" i="1"/>
  <c r="H13051" i="1"/>
  <c r="A13052" i="1"/>
  <c r="B13052" i="1"/>
  <c r="C13052" i="1"/>
  <c r="D13052" i="1"/>
  <c r="E13052" i="1"/>
  <c r="F13052" i="1"/>
  <c r="H13052" i="1"/>
  <c r="A13053" i="1"/>
  <c r="B13053" i="1"/>
  <c r="C13053" i="1"/>
  <c r="D13053" i="1"/>
  <c r="E13053" i="1"/>
  <c r="F13053" i="1"/>
  <c r="H13053" i="1"/>
  <c r="A13054" i="1"/>
  <c r="B13054" i="1"/>
  <c r="C13054" i="1"/>
  <c r="D13054" i="1"/>
  <c r="E13054" i="1"/>
  <c r="F13054" i="1"/>
  <c r="H13054" i="1"/>
  <c r="A13055" i="1"/>
  <c r="B13055" i="1"/>
  <c r="C13055" i="1"/>
  <c r="D13055" i="1"/>
  <c r="E13055" i="1"/>
  <c r="F13055" i="1"/>
  <c r="H13055" i="1"/>
  <c r="A13056" i="1"/>
  <c r="B13056" i="1"/>
  <c r="C13056" i="1"/>
  <c r="D13056" i="1"/>
  <c r="E13056" i="1"/>
  <c r="F13056" i="1"/>
  <c r="H13056" i="1"/>
  <c r="A13057" i="1"/>
  <c r="B13057" i="1"/>
  <c r="C13057" i="1"/>
  <c r="D13057" i="1"/>
  <c r="E13057" i="1"/>
  <c r="F13057" i="1"/>
  <c r="H13057" i="1"/>
  <c r="A13058" i="1"/>
  <c r="B13058" i="1"/>
  <c r="C13058" i="1"/>
  <c r="D13058" i="1"/>
  <c r="E13058" i="1"/>
  <c r="F13058" i="1"/>
  <c r="H13058" i="1"/>
  <c r="A13059" i="1"/>
  <c r="B13059" i="1"/>
  <c r="C13059" i="1"/>
  <c r="D13059" i="1"/>
  <c r="E13059" i="1"/>
  <c r="F13059" i="1"/>
  <c r="H13059" i="1"/>
  <c r="A13060" i="1"/>
  <c r="B13060" i="1"/>
  <c r="C13060" i="1"/>
  <c r="D13060" i="1"/>
  <c r="E13060" i="1"/>
  <c r="F13060" i="1"/>
  <c r="H13060" i="1"/>
  <c r="A13061" i="1"/>
  <c r="B13061" i="1"/>
  <c r="C13061" i="1"/>
  <c r="D13061" i="1"/>
  <c r="E13061" i="1"/>
  <c r="F13061" i="1"/>
  <c r="H13061" i="1"/>
  <c r="A13062" i="1"/>
  <c r="B13062" i="1"/>
  <c r="C13062" i="1"/>
  <c r="D13062" i="1"/>
  <c r="E13062" i="1"/>
  <c r="F13062" i="1"/>
  <c r="H13062" i="1"/>
  <c r="A13063" i="1"/>
  <c r="B13063" i="1"/>
  <c r="C13063" i="1"/>
  <c r="D13063" i="1"/>
  <c r="E13063" i="1"/>
  <c r="F13063" i="1"/>
  <c r="H13063" i="1"/>
  <c r="A13064" i="1"/>
  <c r="B13064" i="1"/>
  <c r="C13064" i="1"/>
  <c r="D13064" i="1"/>
  <c r="E13064" i="1"/>
  <c r="F13064" i="1"/>
  <c r="H13064" i="1"/>
  <c r="A13065" i="1"/>
  <c r="B13065" i="1"/>
  <c r="C13065" i="1"/>
  <c r="D13065" i="1"/>
  <c r="E13065" i="1"/>
  <c r="F13065" i="1"/>
  <c r="H13065" i="1"/>
  <c r="A13066" i="1"/>
  <c r="B13066" i="1"/>
  <c r="C13066" i="1"/>
  <c r="D13066" i="1"/>
  <c r="E13066" i="1"/>
  <c r="F13066" i="1"/>
  <c r="H13066" i="1"/>
  <c r="A13067" i="1"/>
  <c r="B13067" i="1"/>
  <c r="C13067" i="1"/>
  <c r="D13067" i="1"/>
  <c r="E13067" i="1"/>
  <c r="F13067" i="1"/>
  <c r="H13067" i="1"/>
  <c r="A13068" i="1"/>
  <c r="B13068" i="1"/>
  <c r="C13068" i="1"/>
  <c r="D13068" i="1"/>
  <c r="E13068" i="1"/>
  <c r="F13068" i="1"/>
  <c r="H13068" i="1"/>
  <c r="A13069" i="1"/>
  <c r="B13069" i="1"/>
  <c r="C13069" i="1"/>
  <c r="D13069" i="1"/>
  <c r="E13069" i="1"/>
  <c r="F13069" i="1"/>
  <c r="H13069" i="1"/>
  <c r="A13070" i="1"/>
  <c r="B13070" i="1"/>
  <c r="C13070" i="1"/>
  <c r="D13070" i="1"/>
  <c r="E13070" i="1"/>
  <c r="F13070" i="1"/>
  <c r="H13070" i="1"/>
  <c r="A13071" i="1"/>
  <c r="B13071" i="1"/>
  <c r="C13071" i="1"/>
  <c r="D13071" i="1"/>
  <c r="E13071" i="1"/>
  <c r="F13071" i="1"/>
  <c r="H13071" i="1"/>
  <c r="A13072" i="1"/>
  <c r="B13072" i="1"/>
  <c r="C13072" i="1"/>
  <c r="D13072" i="1"/>
  <c r="E13072" i="1"/>
  <c r="F13072" i="1"/>
  <c r="H13072" i="1"/>
  <c r="A13073" i="1"/>
  <c r="B13073" i="1"/>
  <c r="C13073" i="1"/>
  <c r="D13073" i="1"/>
  <c r="E13073" i="1"/>
  <c r="F13073" i="1"/>
  <c r="H13073" i="1"/>
  <c r="A13074" i="1"/>
  <c r="B13074" i="1"/>
  <c r="C13074" i="1"/>
  <c r="D13074" i="1"/>
  <c r="E13074" i="1"/>
  <c r="F13074" i="1"/>
  <c r="H13074" i="1"/>
  <c r="A13075" i="1"/>
  <c r="B13075" i="1"/>
  <c r="C13075" i="1"/>
  <c r="D13075" i="1"/>
  <c r="E13075" i="1"/>
  <c r="F13075" i="1"/>
  <c r="H13075" i="1"/>
  <c r="A13076" i="1"/>
  <c r="B13076" i="1"/>
  <c r="C13076" i="1"/>
  <c r="D13076" i="1"/>
  <c r="E13076" i="1"/>
  <c r="F13076" i="1"/>
  <c r="H13076" i="1"/>
  <c r="A13077" i="1"/>
  <c r="B13077" i="1"/>
  <c r="C13077" i="1"/>
  <c r="D13077" i="1"/>
  <c r="E13077" i="1"/>
  <c r="F13077" i="1"/>
  <c r="H13077" i="1"/>
  <c r="A13078" i="1"/>
  <c r="B13078" i="1"/>
  <c r="C13078" i="1"/>
  <c r="D13078" i="1"/>
  <c r="E13078" i="1"/>
  <c r="F13078" i="1"/>
  <c r="H13078" i="1"/>
  <c r="A13079" i="1"/>
  <c r="B13079" i="1"/>
  <c r="C13079" i="1"/>
  <c r="D13079" i="1"/>
  <c r="E13079" i="1"/>
  <c r="F13079" i="1"/>
  <c r="H13079" i="1"/>
  <c r="A13080" i="1"/>
  <c r="B13080" i="1"/>
  <c r="C13080" i="1"/>
  <c r="D13080" i="1"/>
  <c r="E13080" i="1"/>
  <c r="F13080" i="1"/>
  <c r="H13080" i="1"/>
  <c r="A13081" i="1"/>
  <c r="B13081" i="1"/>
  <c r="C13081" i="1"/>
  <c r="D13081" i="1"/>
  <c r="E13081" i="1"/>
  <c r="F13081" i="1"/>
  <c r="H13081" i="1"/>
  <c r="A13082" i="1"/>
  <c r="B13082" i="1"/>
  <c r="C13082" i="1"/>
  <c r="D13082" i="1"/>
  <c r="E13082" i="1"/>
  <c r="F13082" i="1"/>
  <c r="H13082" i="1"/>
  <c r="A13083" i="1"/>
  <c r="B13083" i="1"/>
  <c r="C13083" i="1"/>
  <c r="D13083" i="1"/>
  <c r="E13083" i="1"/>
  <c r="F13083" i="1"/>
  <c r="H13083" i="1"/>
  <c r="A13084" i="1"/>
  <c r="B13084" i="1"/>
  <c r="C13084" i="1"/>
  <c r="D13084" i="1"/>
  <c r="E13084" i="1"/>
  <c r="F13084" i="1"/>
  <c r="H13084" i="1"/>
  <c r="A13085" i="1"/>
  <c r="B13085" i="1"/>
  <c r="C13085" i="1"/>
  <c r="D13085" i="1"/>
  <c r="E13085" i="1"/>
  <c r="F13085" i="1"/>
  <c r="H13085" i="1"/>
  <c r="A13086" i="1"/>
  <c r="B13086" i="1"/>
  <c r="C13086" i="1"/>
  <c r="D13086" i="1"/>
  <c r="E13086" i="1"/>
  <c r="F13086" i="1"/>
  <c r="H13086" i="1"/>
  <c r="A13087" i="1"/>
  <c r="B13087" i="1"/>
  <c r="C13087" i="1"/>
  <c r="D13087" i="1"/>
  <c r="E13087" i="1"/>
  <c r="F13087" i="1"/>
  <c r="H13087" i="1"/>
  <c r="A13088" i="1"/>
  <c r="B13088" i="1"/>
  <c r="C13088" i="1"/>
  <c r="D13088" i="1"/>
  <c r="E13088" i="1"/>
  <c r="F13088" i="1"/>
  <c r="H13088" i="1"/>
  <c r="A13089" i="1"/>
  <c r="B13089" i="1"/>
  <c r="C13089" i="1"/>
  <c r="D13089" i="1"/>
  <c r="E13089" i="1"/>
  <c r="F13089" i="1"/>
  <c r="H13089" i="1"/>
  <c r="A13090" i="1"/>
  <c r="B13090" i="1"/>
  <c r="C13090" i="1"/>
  <c r="D13090" i="1"/>
  <c r="E13090" i="1"/>
  <c r="F13090" i="1"/>
  <c r="H13090" i="1"/>
  <c r="A13091" i="1"/>
  <c r="B13091" i="1"/>
  <c r="C13091" i="1"/>
  <c r="D13091" i="1"/>
  <c r="E13091" i="1"/>
  <c r="F13091" i="1"/>
  <c r="H13091" i="1"/>
  <c r="A13092" i="1"/>
  <c r="B13092" i="1"/>
  <c r="C13092" i="1"/>
  <c r="D13092" i="1"/>
  <c r="E13092" i="1"/>
  <c r="F13092" i="1"/>
  <c r="H13092" i="1"/>
  <c r="A13093" i="1"/>
  <c r="B13093" i="1"/>
  <c r="C13093" i="1"/>
  <c r="D13093" i="1"/>
  <c r="E13093" i="1"/>
  <c r="F13093" i="1"/>
  <c r="H13093" i="1"/>
  <c r="A13094" i="1"/>
  <c r="B13094" i="1"/>
  <c r="C13094" i="1"/>
  <c r="D13094" i="1"/>
  <c r="E13094" i="1"/>
  <c r="F13094" i="1"/>
  <c r="H13094" i="1"/>
  <c r="A13095" i="1"/>
  <c r="B13095" i="1"/>
  <c r="C13095" i="1"/>
  <c r="D13095" i="1"/>
  <c r="E13095" i="1"/>
  <c r="F13095" i="1"/>
  <c r="H13095" i="1"/>
  <c r="A13096" i="1"/>
  <c r="B13096" i="1"/>
  <c r="C13096" i="1"/>
  <c r="D13096" i="1"/>
  <c r="E13096" i="1"/>
  <c r="F13096" i="1"/>
  <c r="H13096" i="1"/>
  <c r="A13097" i="1"/>
  <c r="B13097" i="1"/>
  <c r="C13097" i="1"/>
  <c r="D13097" i="1"/>
  <c r="E13097" i="1"/>
  <c r="F13097" i="1"/>
  <c r="H13097" i="1"/>
  <c r="A13098" i="1"/>
  <c r="B13098" i="1"/>
  <c r="C13098" i="1"/>
  <c r="D13098" i="1"/>
  <c r="E13098" i="1"/>
  <c r="F13098" i="1"/>
  <c r="H13098" i="1"/>
  <c r="A13099" i="1"/>
  <c r="B13099" i="1"/>
  <c r="C13099" i="1"/>
  <c r="D13099" i="1"/>
  <c r="E13099" i="1"/>
  <c r="F13099" i="1"/>
  <c r="H13099" i="1"/>
  <c r="A13100" i="1"/>
  <c r="B13100" i="1"/>
  <c r="C13100" i="1"/>
  <c r="D13100" i="1"/>
  <c r="E13100" i="1"/>
  <c r="F13100" i="1"/>
  <c r="H13100" i="1"/>
  <c r="A13101" i="1"/>
  <c r="B13101" i="1"/>
  <c r="C13101" i="1"/>
  <c r="D13101" i="1"/>
  <c r="E13101" i="1"/>
  <c r="F13101" i="1"/>
  <c r="H13101" i="1"/>
  <c r="A13102" i="1"/>
  <c r="B13102" i="1"/>
  <c r="C13102" i="1"/>
  <c r="D13102" i="1"/>
  <c r="E13102" i="1"/>
  <c r="F13102" i="1"/>
  <c r="H13102" i="1"/>
  <c r="A13103" i="1"/>
  <c r="B13103" i="1"/>
  <c r="C13103" i="1"/>
  <c r="D13103" i="1"/>
  <c r="E13103" i="1"/>
  <c r="F13103" i="1"/>
  <c r="H13103" i="1"/>
  <c r="A13104" i="1"/>
  <c r="B13104" i="1"/>
  <c r="C13104" i="1"/>
  <c r="D13104" i="1"/>
  <c r="E13104" i="1"/>
  <c r="F13104" i="1"/>
  <c r="H13104" i="1"/>
  <c r="A13105" i="1"/>
  <c r="B13105" i="1"/>
  <c r="C13105" i="1"/>
  <c r="D13105" i="1"/>
  <c r="E13105" i="1"/>
  <c r="F13105" i="1"/>
  <c r="H13105" i="1"/>
  <c r="A13106" i="1"/>
  <c r="B13106" i="1"/>
  <c r="C13106" i="1"/>
  <c r="D13106" i="1"/>
  <c r="E13106" i="1"/>
  <c r="F13106" i="1"/>
  <c r="H13106" i="1"/>
  <c r="A13107" i="1"/>
  <c r="B13107" i="1"/>
  <c r="C13107" i="1"/>
  <c r="D13107" i="1"/>
  <c r="E13107" i="1"/>
  <c r="F13107" i="1"/>
  <c r="H13107" i="1"/>
  <c r="A13108" i="1"/>
  <c r="B13108" i="1"/>
  <c r="C13108" i="1"/>
  <c r="D13108" i="1"/>
  <c r="E13108" i="1"/>
  <c r="F13108" i="1"/>
  <c r="H13108" i="1"/>
  <c r="A13109" i="1"/>
  <c r="B13109" i="1"/>
  <c r="C13109" i="1"/>
  <c r="D13109" i="1"/>
  <c r="E13109" i="1"/>
  <c r="F13109" i="1"/>
  <c r="H13109" i="1"/>
  <c r="A13110" i="1"/>
  <c r="B13110" i="1"/>
  <c r="C13110" i="1"/>
  <c r="D13110" i="1"/>
  <c r="E13110" i="1"/>
  <c r="F13110" i="1"/>
  <c r="H13110" i="1"/>
  <c r="A13111" i="1"/>
  <c r="B13111" i="1"/>
  <c r="C13111" i="1"/>
  <c r="D13111" i="1"/>
  <c r="E13111" i="1"/>
  <c r="F13111" i="1"/>
  <c r="H13111" i="1"/>
  <c r="A13112" i="1"/>
  <c r="B13112" i="1"/>
  <c r="C13112" i="1"/>
  <c r="D13112" i="1"/>
  <c r="E13112" i="1"/>
  <c r="F13112" i="1"/>
  <c r="H13112" i="1"/>
  <c r="A13113" i="1"/>
  <c r="B13113" i="1"/>
  <c r="C13113" i="1"/>
  <c r="D13113" i="1"/>
  <c r="E13113" i="1"/>
  <c r="F13113" i="1"/>
  <c r="H13113" i="1"/>
  <c r="A13114" i="1"/>
  <c r="B13114" i="1"/>
  <c r="C13114" i="1"/>
  <c r="D13114" i="1"/>
  <c r="E13114" i="1"/>
  <c r="F13114" i="1"/>
  <c r="H13114" i="1"/>
  <c r="A13115" i="1"/>
  <c r="B13115" i="1"/>
  <c r="C13115" i="1"/>
  <c r="D13115" i="1"/>
  <c r="E13115" i="1"/>
  <c r="F13115" i="1"/>
  <c r="H13115" i="1"/>
  <c r="A13116" i="1"/>
  <c r="B13116" i="1"/>
  <c r="C13116" i="1"/>
  <c r="D13116" i="1"/>
  <c r="E13116" i="1"/>
  <c r="F13116" i="1"/>
  <c r="H13116" i="1"/>
  <c r="A13117" i="1"/>
  <c r="B13117" i="1"/>
  <c r="C13117" i="1"/>
  <c r="D13117" i="1"/>
  <c r="E13117" i="1"/>
  <c r="F13117" i="1"/>
  <c r="H13117" i="1"/>
  <c r="A13118" i="1"/>
  <c r="B13118" i="1"/>
  <c r="C13118" i="1"/>
  <c r="D13118" i="1"/>
  <c r="E13118" i="1"/>
  <c r="F13118" i="1"/>
  <c r="H13118" i="1"/>
  <c r="A13119" i="1"/>
  <c r="B13119" i="1"/>
  <c r="C13119" i="1"/>
  <c r="D13119" i="1"/>
  <c r="E13119" i="1"/>
  <c r="F13119" i="1"/>
  <c r="H13119" i="1"/>
  <c r="A13120" i="1"/>
  <c r="B13120" i="1"/>
  <c r="C13120" i="1"/>
  <c r="D13120" i="1"/>
  <c r="E13120" i="1"/>
  <c r="F13120" i="1"/>
  <c r="H13120" i="1"/>
  <c r="A13121" i="1"/>
  <c r="B13121" i="1"/>
  <c r="C13121" i="1"/>
  <c r="D13121" i="1"/>
  <c r="E13121" i="1"/>
  <c r="F13121" i="1"/>
  <c r="H13121" i="1"/>
  <c r="A13122" i="1"/>
  <c r="B13122" i="1"/>
  <c r="C13122" i="1"/>
  <c r="D13122" i="1"/>
  <c r="E13122" i="1"/>
  <c r="F13122" i="1"/>
  <c r="H13122" i="1"/>
  <c r="A13123" i="1"/>
  <c r="B13123" i="1"/>
  <c r="C13123" i="1"/>
  <c r="D13123" i="1"/>
  <c r="E13123" i="1"/>
  <c r="F13123" i="1"/>
  <c r="H13123" i="1"/>
  <c r="A13124" i="1"/>
  <c r="B13124" i="1"/>
  <c r="C13124" i="1"/>
  <c r="D13124" i="1"/>
  <c r="E13124" i="1"/>
  <c r="F13124" i="1"/>
  <c r="H13124" i="1"/>
  <c r="A13125" i="1"/>
  <c r="B13125" i="1"/>
  <c r="C13125" i="1"/>
  <c r="D13125" i="1"/>
  <c r="E13125" i="1"/>
  <c r="F13125" i="1"/>
  <c r="H13125" i="1"/>
  <c r="A13126" i="1"/>
  <c r="B13126" i="1"/>
  <c r="C13126" i="1"/>
  <c r="D13126" i="1"/>
  <c r="E13126" i="1"/>
  <c r="F13126" i="1"/>
  <c r="H13126" i="1"/>
  <c r="A13127" i="1"/>
  <c r="B13127" i="1"/>
  <c r="C13127" i="1"/>
  <c r="D13127" i="1"/>
  <c r="E13127" i="1"/>
  <c r="F13127" i="1"/>
  <c r="H13127" i="1"/>
  <c r="A13128" i="1"/>
  <c r="B13128" i="1"/>
  <c r="C13128" i="1"/>
  <c r="D13128" i="1"/>
  <c r="E13128" i="1"/>
  <c r="F13128" i="1"/>
  <c r="H13128" i="1"/>
  <c r="A13129" i="1"/>
  <c r="B13129" i="1"/>
  <c r="C13129" i="1"/>
  <c r="D13129" i="1"/>
  <c r="E13129" i="1"/>
  <c r="F13129" i="1"/>
  <c r="H13129" i="1"/>
  <c r="A13130" i="1"/>
  <c r="B13130" i="1"/>
  <c r="C13130" i="1"/>
  <c r="D13130" i="1"/>
  <c r="E13130" i="1"/>
  <c r="F13130" i="1"/>
  <c r="H13130" i="1"/>
  <c r="A13131" i="1"/>
  <c r="B13131" i="1"/>
  <c r="C13131" i="1"/>
  <c r="D13131" i="1"/>
  <c r="E13131" i="1"/>
  <c r="F13131" i="1"/>
  <c r="H13131" i="1"/>
  <c r="A13132" i="1"/>
  <c r="B13132" i="1"/>
  <c r="C13132" i="1"/>
  <c r="D13132" i="1"/>
  <c r="E13132" i="1"/>
  <c r="F13132" i="1"/>
  <c r="H13132" i="1"/>
  <c r="A13133" i="1"/>
  <c r="B13133" i="1"/>
  <c r="C13133" i="1"/>
  <c r="D13133" i="1"/>
  <c r="E13133" i="1"/>
  <c r="F13133" i="1"/>
  <c r="H13133" i="1"/>
  <c r="A13134" i="1"/>
  <c r="B13134" i="1"/>
  <c r="C13134" i="1"/>
  <c r="D13134" i="1"/>
  <c r="E13134" i="1"/>
  <c r="F13134" i="1"/>
  <c r="H13134" i="1"/>
  <c r="A13135" i="1"/>
  <c r="B13135" i="1"/>
  <c r="C13135" i="1"/>
  <c r="D13135" i="1"/>
  <c r="E13135" i="1"/>
  <c r="F13135" i="1"/>
  <c r="H13135" i="1"/>
  <c r="A13136" i="1"/>
  <c r="B13136" i="1"/>
  <c r="C13136" i="1"/>
  <c r="D13136" i="1"/>
  <c r="E13136" i="1"/>
  <c r="F13136" i="1"/>
  <c r="H13136" i="1"/>
  <c r="A13137" i="1"/>
  <c r="B13137" i="1"/>
  <c r="C13137" i="1"/>
  <c r="D13137" i="1"/>
  <c r="E13137" i="1"/>
  <c r="F13137" i="1"/>
  <c r="H13137" i="1"/>
  <c r="A13138" i="1"/>
  <c r="B13138" i="1"/>
  <c r="C13138" i="1"/>
  <c r="D13138" i="1"/>
  <c r="E13138" i="1"/>
  <c r="F13138" i="1"/>
  <c r="H13138" i="1"/>
  <c r="A13139" i="1"/>
  <c r="B13139" i="1"/>
  <c r="C13139" i="1"/>
  <c r="D13139" i="1"/>
  <c r="E13139" i="1"/>
  <c r="F13139" i="1"/>
  <c r="H13139" i="1"/>
  <c r="A13140" i="1"/>
  <c r="B13140" i="1"/>
  <c r="C13140" i="1"/>
  <c r="D13140" i="1"/>
  <c r="E13140" i="1"/>
  <c r="F13140" i="1"/>
  <c r="H13140" i="1"/>
  <c r="A13141" i="1"/>
  <c r="B13141" i="1"/>
  <c r="C13141" i="1"/>
  <c r="D13141" i="1"/>
  <c r="E13141" i="1"/>
  <c r="F13141" i="1"/>
  <c r="H13141" i="1"/>
  <c r="A13142" i="1"/>
  <c r="B13142" i="1"/>
  <c r="C13142" i="1"/>
  <c r="D13142" i="1"/>
  <c r="E13142" i="1"/>
  <c r="F13142" i="1"/>
  <c r="H13142" i="1"/>
  <c r="A13143" i="1"/>
  <c r="B13143" i="1"/>
  <c r="C13143" i="1"/>
  <c r="D13143" i="1"/>
  <c r="E13143" i="1"/>
  <c r="F13143" i="1"/>
  <c r="H13143" i="1"/>
  <c r="A13144" i="1"/>
  <c r="B13144" i="1"/>
  <c r="C13144" i="1"/>
  <c r="D13144" i="1"/>
  <c r="E13144" i="1"/>
  <c r="F13144" i="1"/>
  <c r="H13144" i="1"/>
  <c r="A13145" i="1"/>
  <c r="B13145" i="1"/>
  <c r="C13145" i="1"/>
  <c r="D13145" i="1"/>
  <c r="E13145" i="1"/>
  <c r="F13145" i="1"/>
  <c r="H13145" i="1"/>
  <c r="A13146" i="1"/>
  <c r="B13146" i="1"/>
  <c r="C13146" i="1"/>
  <c r="D13146" i="1"/>
  <c r="E13146" i="1"/>
  <c r="F13146" i="1"/>
  <c r="H13146" i="1"/>
  <c r="A13147" i="1"/>
  <c r="B13147" i="1"/>
  <c r="C13147" i="1"/>
  <c r="D13147" i="1"/>
  <c r="E13147" i="1"/>
  <c r="F13147" i="1"/>
  <c r="H13147" i="1"/>
  <c r="A13148" i="1"/>
  <c r="B13148" i="1"/>
  <c r="C13148" i="1"/>
  <c r="D13148" i="1"/>
  <c r="E13148" i="1"/>
  <c r="F13148" i="1"/>
  <c r="H13148" i="1"/>
  <c r="A13149" i="1"/>
  <c r="B13149" i="1"/>
  <c r="C13149" i="1"/>
  <c r="D13149" i="1"/>
  <c r="E13149" i="1"/>
  <c r="F13149" i="1"/>
  <c r="H13149" i="1"/>
  <c r="A13150" i="1"/>
  <c r="B13150" i="1"/>
  <c r="C13150" i="1"/>
  <c r="D13150" i="1"/>
  <c r="E13150" i="1"/>
  <c r="F13150" i="1"/>
  <c r="H13150" i="1"/>
  <c r="A13151" i="1"/>
  <c r="B13151" i="1"/>
  <c r="C13151" i="1"/>
  <c r="D13151" i="1"/>
  <c r="E13151" i="1"/>
  <c r="F13151" i="1"/>
  <c r="H13151" i="1"/>
  <c r="A13152" i="1"/>
  <c r="B13152" i="1"/>
  <c r="C13152" i="1"/>
  <c r="D13152" i="1"/>
  <c r="E13152" i="1"/>
  <c r="F13152" i="1"/>
  <c r="H13152" i="1"/>
  <c r="A13153" i="1"/>
  <c r="B13153" i="1"/>
  <c r="C13153" i="1"/>
  <c r="D13153" i="1"/>
  <c r="E13153" i="1"/>
  <c r="F13153" i="1"/>
  <c r="H13153" i="1"/>
  <c r="A13154" i="1"/>
  <c r="B13154" i="1"/>
  <c r="C13154" i="1"/>
  <c r="D13154" i="1"/>
  <c r="E13154" i="1"/>
  <c r="F13154" i="1"/>
  <c r="H13154" i="1"/>
  <c r="A13155" i="1"/>
  <c r="B13155" i="1"/>
  <c r="C13155" i="1"/>
  <c r="D13155" i="1"/>
  <c r="E13155" i="1"/>
  <c r="F13155" i="1"/>
  <c r="H13155" i="1"/>
  <c r="A13156" i="1"/>
  <c r="B13156" i="1"/>
  <c r="C13156" i="1"/>
  <c r="D13156" i="1"/>
  <c r="E13156" i="1"/>
  <c r="F13156" i="1"/>
  <c r="H13156" i="1"/>
  <c r="A13157" i="1"/>
  <c r="B13157" i="1"/>
  <c r="C13157" i="1"/>
  <c r="D13157" i="1"/>
  <c r="E13157" i="1"/>
  <c r="F13157" i="1"/>
  <c r="H13157" i="1"/>
  <c r="A13158" i="1"/>
  <c r="B13158" i="1"/>
  <c r="C13158" i="1"/>
  <c r="D13158" i="1"/>
  <c r="E13158" i="1"/>
  <c r="F13158" i="1"/>
  <c r="H13158" i="1"/>
  <c r="A13159" i="1"/>
  <c r="B13159" i="1"/>
  <c r="C13159" i="1"/>
  <c r="D13159" i="1"/>
  <c r="E13159" i="1"/>
  <c r="F13159" i="1"/>
  <c r="H13159" i="1"/>
  <c r="A13160" i="1"/>
  <c r="B13160" i="1"/>
  <c r="C13160" i="1"/>
  <c r="D13160" i="1"/>
  <c r="E13160" i="1"/>
  <c r="F13160" i="1"/>
  <c r="H13160" i="1"/>
  <c r="A13161" i="1"/>
  <c r="B13161" i="1"/>
  <c r="C13161" i="1"/>
  <c r="D13161" i="1"/>
  <c r="E13161" i="1"/>
  <c r="F13161" i="1"/>
  <c r="H13161" i="1"/>
  <c r="A13162" i="1"/>
  <c r="B13162" i="1"/>
  <c r="C13162" i="1"/>
  <c r="D13162" i="1"/>
  <c r="E13162" i="1"/>
  <c r="F13162" i="1"/>
  <c r="H13162" i="1"/>
  <c r="A13163" i="1"/>
  <c r="B13163" i="1"/>
  <c r="C13163" i="1"/>
  <c r="D13163" i="1"/>
  <c r="E13163" i="1"/>
  <c r="F13163" i="1"/>
  <c r="H13163" i="1"/>
  <c r="A13164" i="1"/>
  <c r="B13164" i="1"/>
  <c r="C13164" i="1"/>
  <c r="D13164" i="1"/>
  <c r="E13164" i="1"/>
  <c r="F13164" i="1"/>
  <c r="H13164" i="1"/>
  <c r="A13165" i="1"/>
  <c r="B13165" i="1"/>
  <c r="C13165" i="1"/>
  <c r="D13165" i="1"/>
  <c r="E13165" i="1"/>
  <c r="F13165" i="1"/>
  <c r="H13165" i="1"/>
  <c r="A13166" i="1"/>
  <c r="B13166" i="1"/>
  <c r="C13166" i="1"/>
  <c r="D13166" i="1"/>
  <c r="E13166" i="1"/>
  <c r="F13166" i="1"/>
  <c r="H13166" i="1"/>
  <c r="A13167" i="1"/>
  <c r="B13167" i="1"/>
  <c r="C13167" i="1"/>
  <c r="D13167" i="1"/>
  <c r="E13167" i="1"/>
  <c r="F13167" i="1"/>
  <c r="H13167" i="1"/>
  <c r="A13168" i="1"/>
  <c r="B13168" i="1"/>
  <c r="C13168" i="1"/>
  <c r="D13168" i="1"/>
  <c r="E13168" i="1"/>
  <c r="F13168" i="1"/>
  <c r="H13168" i="1"/>
  <c r="A13169" i="1"/>
  <c r="B13169" i="1"/>
  <c r="C13169" i="1"/>
  <c r="D13169" i="1"/>
  <c r="E13169" i="1"/>
  <c r="F13169" i="1"/>
  <c r="H13169" i="1"/>
  <c r="A13170" i="1"/>
  <c r="B13170" i="1"/>
  <c r="C13170" i="1"/>
  <c r="D13170" i="1"/>
  <c r="E13170" i="1"/>
  <c r="F13170" i="1"/>
  <c r="H13170" i="1"/>
  <c r="A13171" i="1"/>
  <c r="B13171" i="1"/>
  <c r="C13171" i="1"/>
  <c r="D13171" i="1"/>
  <c r="E13171" i="1"/>
  <c r="F13171" i="1"/>
  <c r="H13171" i="1"/>
  <c r="A13172" i="1"/>
  <c r="B13172" i="1"/>
  <c r="C13172" i="1"/>
  <c r="D13172" i="1"/>
  <c r="E13172" i="1"/>
  <c r="F13172" i="1"/>
  <c r="H13172" i="1"/>
  <c r="A13173" i="1"/>
  <c r="B13173" i="1"/>
  <c r="C13173" i="1"/>
  <c r="D13173" i="1"/>
  <c r="E13173" i="1"/>
  <c r="F13173" i="1"/>
  <c r="H13173" i="1"/>
  <c r="A13174" i="1"/>
  <c r="B13174" i="1"/>
  <c r="C13174" i="1"/>
  <c r="D13174" i="1"/>
  <c r="E13174" i="1"/>
  <c r="F13174" i="1"/>
  <c r="H13174" i="1"/>
  <c r="A13175" i="1"/>
  <c r="B13175" i="1"/>
  <c r="C13175" i="1"/>
  <c r="D13175" i="1"/>
  <c r="E13175" i="1"/>
  <c r="F13175" i="1"/>
  <c r="H13175" i="1"/>
  <c r="A13176" i="1"/>
  <c r="B13176" i="1"/>
  <c r="C13176" i="1"/>
  <c r="D13176" i="1"/>
  <c r="E13176" i="1"/>
  <c r="F13176" i="1"/>
  <c r="H13176" i="1"/>
  <c r="A13177" i="1"/>
  <c r="B13177" i="1"/>
  <c r="C13177" i="1"/>
  <c r="D13177" i="1"/>
  <c r="E13177" i="1"/>
  <c r="F13177" i="1"/>
  <c r="H13177" i="1"/>
  <c r="A13178" i="1"/>
  <c r="B13178" i="1"/>
  <c r="C13178" i="1"/>
  <c r="D13178" i="1"/>
  <c r="E13178" i="1"/>
  <c r="F13178" i="1"/>
  <c r="H13178" i="1"/>
  <c r="A13179" i="1"/>
  <c r="B13179" i="1"/>
  <c r="C13179" i="1"/>
  <c r="D13179" i="1"/>
  <c r="E13179" i="1"/>
  <c r="F13179" i="1"/>
  <c r="H13179" i="1"/>
  <c r="A13180" i="1"/>
  <c r="B13180" i="1"/>
  <c r="C13180" i="1"/>
  <c r="D13180" i="1"/>
  <c r="E13180" i="1"/>
  <c r="F13180" i="1"/>
  <c r="H13180" i="1"/>
  <c r="A13181" i="1"/>
  <c r="B13181" i="1"/>
  <c r="C13181" i="1"/>
  <c r="D13181" i="1"/>
  <c r="E13181" i="1"/>
  <c r="F13181" i="1"/>
  <c r="H13181" i="1"/>
  <c r="A13182" i="1"/>
  <c r="B13182" i="1"/>
  <c r="C13182" i="1"/>
  <c r="D13182" i="1"/>
  <c r="E13182" i="1"/>
  <c r="F13182" i="1"/>
  <c r="H13182" i="1"/>
  <c r="A13183" i="1"/>
  <c r="B13183" i="1"/>
  <c r="C13183" i="1"/>
  <c r="D13183" i="1"/>
  <c r="E13183" i="1"/>
  <c r="F13183" i="1"/>
  <c r="H13183" i="1"/>
  <c r="A13184" i="1"/>
  <c r="B13184" i="1"/>
  <c r="C13184" i="1"/>
  <c r="D13184" i="1"/>
  <c r="E13184" i="1"/>
  <c r="F13184" i="1"/>
  <c r="H13184" i="1"/>
  <c r="A13185" i="1"/>
  <c r="B13185" i="1"/>
  <c r="C13185" i="1"/>
  <c r="D13185" i="1"/>
  <c r="E13185" i="1"/>
  <c r="F13185" i="1"/>
  <c r="H13185" i="1"/>
  <c r="A13186" i="1"/>
  <c r="B13186" i="1"/>
  <c r="C13186" i="1"/>
  <c r="D13186" i="1"/>
  <c r="E13186" i="1"/>
  <c r="F13186" i="1"/>
  <c r="H13186" i="1"/>
  <c r="A13187" i="1"/>
  <c r="B13187" i="1"/>
  <c r="C13187" i="1"/>
  <c r="D13187" i="1"/>
  <c r="E13187" i="1"/>
  <c r="F13187" i="1"/>
  <c r="H13187" i="1"/>
  <c r="A13188" i="1"/>
  <c r="B13188" i="1"/>
  <c r="C13188" i="1"/>
  <c r="D13188" i="1"/>
  <c r="E13188" i="1"/>
  <c r="F13188" i="1"/>
  <c r="H13188" i="1"/>
  <c r="A13189" i="1"/>
  <c r="B13189" i="1"/>
  <c r="C13189" i="1"/>
  <c r="D13189" i="1"/>
  <c r="E13189" i="1"/>
  <c r="F13189" i="1"/>
  <c r="H13189" i="1"/>
  <c r="A13190" i="1"/>
  <c r="B13190" i="1"/>
  <c r="C13190" i="1"/>
  <c r="D13190" i="1"/>
  <c r="E13190" i="1"/>
  <c r="F13190" i="1"/>
  <c r="H13190" i="1"/>
  <c r="A13191" i="1"/>
  <c r="B13191" i="1"/>
  <c r="C13191" i="1"/>
  <c r="D13191" i="1"/>
  <c r="E13191" i="1"/>
  <c r="F13191" i="1"/>
  <c r="H13191" i="1"/>
  <c r="A13192" i="1"/>
  <c r="B13192" i="1"/>
  <c r="C13192" i="1"/>
  <c r="D13192" i="1"/>
  <c r="E13192" i="1"/>
  <c r="F13192" i="1"/>
  <c r="H13192" i="1"/>
  <c r="A13193" i="1"/>
  <c r="B13193" i="1"/>
  <c r="C13193" i="1"/>
  <c r="D13193" i="1"/>
  <c r="E13193" i="1"/>
  <c r="F13193" i="1"/>
  <c r="H13193" i="1"/>
  <c r="A13194" i="1"/>
  <c r="B13194" i="1"/>
  <c r="C13194" i="1"/>
  <c r="D13194" i="1"/>
  <c r="E13194" i="1"/>
  <c r="F13194" i="1"/>
  <c r="H13194" i="1"/>
  <c r="A13195" i="1"/>
  <c r="B13195" i="1"/>
  <c r="C13195" i="1"/>
  <c r="D13195" i="1"/>
  <c r="E13195" i="1"/>
  <c r="F13195" i="1"/>
  <c r="H13195" i="1"/>
  <c r="A13196" i="1"/>
  <c r="B13196" i="1"/>
  <c r="C13196" i="1"/>
  <c r="D13196" i="1"/>
  <c r="E13196" i="1"/>
  <c r="F13196" i="1"/>
  <c r="H13196" i="1"/>
  <c r="A13197" i="1"/>
  <c r="B13197" i="1"/>
  <c r="C13197" i="1"/>
  <c r="D13197" i="1"/>
  <c r="E13197" i="1"/>
  <c r="F13197" i="1"/>
  <c r="H13197" i="1"/>
  <c r="A13198" i="1"/>
  <c r="B13198" i="1"/>
  <c r="C13198" i="1"/>
  <c r="D13198" i="1"/>
  <c r="E13198" i="1"/>
  <c r="F13198" i="1"/>
  <c r="H13198" i="1"/>
  <c r="A13199" i="1"/>
  <c r="B13199" i="1"/>
  <c r="C13199" i="1"/>
  <c r="D13199" i="1"/>
  <c r="E13199" i="1"/>
  <c r="F13199" i="1"/>
  <c r="H13199" i="1"/>
  <c r="A13200" i="1"/>
  <c r="B13200" i="1"/>
  <c r="C13200" i="1"/>
  <c r="D13200" i="1"/>
  <c r="E13200" i="1"/>
  <c r="F13200" i="1"/>
  <c r="H13200" i="1"/>
  <c r="A13201" i="1"/>
  <c r="B13201" i="1"/>
  <c r="C13201" i="1"/>
  <c r="D13201" i="1"/>
  <c r="E13201" i="1"/>
  <c r="F13201" i="1"/>
  <c r="H13201" i="1"/>
  <c r="A13202" i="1"/>
  <c r="B13202" i="1"/>
  <c r="C13202" i="1"/>
  <c r="D13202" i="1"/>
  <c r="E13202" i="1"/>
  <c r="F13202" i="1"/>
  <c r="H13202" i="1"/>
  <c r="A13203" i="1"/>
  <c r="B13203" i="1"/>
  <c r="C13203" i="1"/>
  <c r="D13203" i="1"/>
  <c r="E13203" i="1"/>
  <c r="F13203" i="1"/>
  <c r="H13203" i="1"/>
  <c r="A13204" i="1"/>
  <c r="B13204" i="1"/>
  <c r="C13204" i="1"/>
  <c r="D13204" i="1"/>
  <c r="E13204" i="1"/>
  <c r="F13204" i="1"/>
  <c r="H13204" i="1"/>
  <c r="A13205" i="1"/>
  <c r="B13205" i="1"/>
  <c r="C13205" i="1"/>
  <c r="D13205" i="1"/>
  <c r="E13205" i="1"/>
  <c r="F13205" i="1"/>
  <c r="H13205" i="1"/>
  <c r="A13206" i="1"/>
  <c r="B13206" i="1"/>
  <c r="C13206" i="1"/>
  <c r="D13206" i="1"/>
  <c r="E13206" i="1"/>
  <c r="F13206" i="1"/>
  <c r="H13206" i="1"/>
  <c r="A13207" i="1"/>
  <c r="B13207" i="1"/>
  <c r="C13207" i="1"/>
  <c r="D13207" i="1"/>
  <c r="E13207" i="1"/>
  <c r="F13207" i="1"/>
  <c r="H13207" i="1"/>
  <c r="A13208" i="1"/>
  <c r="B13208" i="1"/>
  <c r="C13208" i="1"/>
  <c r="D13208" i="1"/>
  <c r="E13208" i="1"/>
  <c r="F13208" i="1"/>
  <c r="H13208" i="1"/>
  <c r="A13209" i="1"/>
  <c r="B13209" i="1"/>
  <c r="C13209" i="1"/>
  <c r="D13209" i="1"/>
  <c r="E13209" i="1"/>
  <c r="F13209" i="1"/>
  <c r="H13209" i="1"/>
  <c r="A13210" i="1"/>
  <c r="B13210" i="1"/>
  <c r="C13210" i="1"/>
  <c r="D13210" i="1"/>
  <c r="E13210" i="1"/>
  <c r="F13210" i="1"/>
  <c r="H13210" i="1"/>
  <c r="A13211" i="1"/>
  <c r="B13211" i="1"/>
  <c r="C13211" i="1"/>
  <c r="D13211" i="1"/>
  <c r="E13211" i="1"/>
  <c r="F13211" i="1"/>
  <c r="H13211" i="1"/>
  <c r="A13212" i="1"/>
  <c r="B13212" i="1"/>
  <c r="C13212" i="1"/>
  <c r="D13212" i="1"/>
  <c r="E13212" i="1"/>
  <c r="F13212" i="1"/>
  <c r="H13212" i="1"/>
  <c r="A13213" i="1"/>
  <c r="B13213" i="1"/>
  <c r="C13213" i="1"/>
  <c r="D13213" i="1"/>
  <c r="E13213" i="1"/>
  <c r="F13213" i="1"/>
  <c r="H13213" i="1"/>
  <c r="A13214" i="1"/>
  <c r="B13214" i="1"/>
  <c r="C13214" i="1"/>
  <c r="D13214" i="1"/>
  <c r="E13214" i="1"/>
  <c r="F13214" i="1"/>
  <c r="H13214" i="1"/>
  <c r="A13215" i="1"/>
  <c r="B13215" i="1"/>
  <c r="C13215" i="1"/>
  <c r="D13215" i="1"/>
  <c r="E13215" i="1"/>
  <c r="F13215" i="1"/>
  <c r="H13215" i="1"/>
  <c r="A13216" i="1"/>
  <c r="B13216" i="1"/>
  <c r="C13216" i="1"/>
  <c r="D13216" i="1"/>
  <c r="E13216" i="1"/>
  <c r="F13216" i="1"/>
  <c r="H13216" i="1"/>
  <c r="A13217" i="1"/>
  <c r="B13217" i="1"/>
  <c r="C13217" i="1"/>
  <c r="D13217" i="1"/>
  <c r="E13217" i="1"/>
  <c r="F13217" i="1"/>
  <c r="H13217" i="1"/>
  <c r="A13218" i="1"/>
  <c r="B13218" i="1"/>
  <c r="C13218" i="1"/>
  <c r="D13218" i="1"/>
  <c r="E13218" i="1"/>
  <c r="F13218" i="1"/>
  <c r="H13218" i="1"/>
  <c r="A13219" i="1"/>
  <c r="B13219" i="1"/>
  <c r="C13219" i="1"/>
  <c r="D13219" i="1"/>
  <c r="E13219" i="1"/>
  <c r="F13219" i="1"/>
  <c r="H13219" i="1"/>
  <c r="A13220" i="1"/>
  <c r="B13220" i="1"/>
  <c r="C13220" i="1"/>
  <c r="D13220" i="1"/>
  <c r="E13220" i="1"/>
  <c r="F13220" i="1"/>
  <c r="H13220" i="1"/>
  <c r="A13221" i="1"/>
  <c r="B13221" i="1"/>
  <c r="C13221" i="1"/>
  <c r="D13221" i="1"/>
  <c r="E13221" i="1"/>
  <c r="F13221" i="1"/>
  <c r="H13221" i="1"/>
  <c r="A13222" i="1"/>
  <c r="B13222" i="1"/>
  <c r="C13222" i="1"/>
  <c r="D13222" i="1"/>
  <c r="E13222" i="1"/>
  <c r="F13222" i="1"/>
  <c r="H13222" i="1"/>
  <c r="A13223" i="1"/>
  <c r="B13223" i="1"/>
  <c r="C13223" i="1"/>
  <c r="D13223" i="1"/>
  <c r="E13223" i="1"/>
  <c r="F13223" i="1"/>
  <c r="H13223" i="1"/>
  <c r="A13224" i="1"/>
  <c r="B13224" i="1"/>
  <c r="C13224" i="1"/>
  <c r="D13224" i="1"/>
  <c r="E13224" i="1"/>
  <c r="F13224" i="1"/>
  <c r="H13224" i="1"/>
  <c r="A13225" i="1"/>
  <c r="B13225" i="1"/>
  <c r="C13225" i="1"/>
  <c r="D13225" i="1"/>
  <c r="E13225" i="1"/>
  <c r="F13225" i="1"/>
  <c r="H13225" i="1"/>
  <c r="A13226" i="1"/>
  <c r="B13226" i="1"/>
  <c r="C13226" i="1"/>
  <c r="D13226" i="1"/>
  <c r="E13226" i="1"/>
  <c r="F13226" i="1"/>
  <c r="H13226" i="1"/>
  <c r="A13227" i="1"/>
  <c r="B13227" i="1"/>
  <c r="C13227" i="1"/>
  <c r="D13227" i="1"/>
  <c r="E13227" i="1"/>
  <c r="F13227" i="1"/>
  <c r="H13227" i="1"/>
  <c r="A13228" i="1"/>
  <c r="B13228" i="1"/>
  <c r="C13228" i="1"/>
  <c r="D13228" i="1"/>
  <c r="E13228" i="1"/>
  <c r="F13228" i="1"/>
  <c r="H13228" i="1"/>
  <c r="A13229" i="1"/>
  <c r="B13229" i="1"/>
  <c r="C13229" i="1"/>
  <c r="D13229" i="1"/>
  <c r="E13229" i="1"/>
  <c r="F13229" i="1"/>
  <c r="H13229" i="1"/>
  <c r="A13230" i="1"/>
  <c r="B13230" i="1"/>
  <c r="C13230" i="1"/>
  <c r="D13230" i="1"/>
  <c r="E13230" i="1"/>
  <c r="F13230" i="1"/>
  <c r="H13230" i="1"/>
  <c r="A13231" i="1"/>
  <c r="B13231" i="1"/>
  <c r="C13231" i="1"/>
  <c r="D13231" i="1"/>
  <c r="E13231" i="1"/>
  <c r="F13231" i="1"/>
  <c r="H13231" i="1"/>
  <c r="A13232" i="1"/>
  <c r="B13232" i="1"/>
  <c r="C13232" i="1"/>
  <c r="D13232" i="1"/>
  <c r="E13232" i="1"/>
  <c r="F13232" i="1"/>
  <c r="H13232" i="1"/>
  <c r="A13233" i="1"/>
  <c r="B13233" i="1"/>
  <c r="C13233" i="1"/>
  <c r="D13233" i="1"/>
  <c r="E13233" i="1"/>
  <c r="F13233" i="1"/>
  <c r="H13233" i="1"/>
  <c r="A13234" i="1"/>
  <c r="B13234" i="1"/>
  <c r="C13234" i="1"/>
  <c r="D13234" i="1"/>
  <c r="E13234" i="1"/>
  <c r="F13234" i="1"/>
  <c r="H13234" i="1"/>
  <c r="A13235" i="1"/>
  <c r="B13235" i="1"/>
  <c r="C13235" i="1"/>
  <c r="D13235" i="1"/>
  <c r="E13235" i="1"/>
  <c r="F13235" i="1"/>
  <c r="H13235" i="1"/>
  <c r="A13236" i="1"/>
  <c r="B13236" i="1"/>
  <c r="C13236" i="1"/>
  <c r="D13236" i="1"/>
  <c r="E13236" i="1"/>
  <c r="F13236" i="1"/>
  <c r="H13236" i="1"/>
  <c r="A13237" i="1"/>
  <c r="B13237" i="1"/>
  <c r="C13237" i="1"/>
  <c r="D13237" i="1"/>
  <c r="E13237" i="1"/>
  <c r="F13237" i="1"/>
  <c r="H13237" i="1"/>
  <c r="A13238" i="1"/>
  <c r="B13238" i="1"/>
  <c r="C13238" i="1"/>
  <c r="D13238" i="1"/>
  <c r="E13238" i="1"/>
  <c r="F13238" i="1"/>
  <c r="H13238" i="1"/>
  <c r="A13239" i="1"/>
  <c r="B13239" i="1"/>
  <c r="C13239" i="1"/>
  <c r="D13239" i="1"/>
  <c r="E13239" i="1"/>
  <c r="F13239" i="1"/>
  <c r="H13239" i="1"/>
  <c r="A13240" i="1"/>
  <c r="B13240" i="1"/>
  <c r="C13240" i="1"/>
  <c r="D13240" i="1"/>
  <c r="E13240" i="1"/>
  <c r="F13240" i="1"/>
  <c r="H13240" i="1"/>
  <c r="A13241" i="1"/>
  <c r="B13241" i="1"/>
  <c r="C13241" i="1"/>
  <c r="D13241" i="1"/>
  <c r="E13241" i="1"/>
  <c r="F13241" i="1"/>
  <c r="H13241" i="1"/>
  <c r="A13242" i="1"/>
  <c r="B13242" i="1"/>
  <c r="C13242" i="1"/>
  <c r="D13242" i="1"/>
  <c r="E13242" i="1"/>
  <c r="F13242" i="1"/>
  <c r="H13242" i="1"/>
  <c r="A13243" i="1"/>
  <c r="B13243" i="1"/>
  <c r="C13243" i="1"/>
  <c r="D13243" i="1"/>
  <c r="E13243" i="1"/>
  <c r="F13243" i="1"/>
  <c r="H13243" i="1"/>
  <c r="A13244" i="1"/>
  <c r="B13244" i="1"/>
  <c r="C13244" i="1"/>
  <c r="D13244" i="1"/>
  <c r="E13244" i="1"/>
  <c r="F13244" i="1"/>
  <c r="H13244" i="1"/>
  <c r="A13245" i="1"/>
  <c r="B13245" i="1"/>
  <c r="C13245" i="1"/>
  <c r="D13245" i="1"/>
  <c r="E13245" i="1"/>
  <c r="F13245" i="1"/>
  <c r="H13245" i="1"/>
  <c r="A13246" i="1"/>
  <c r="B13246" i="1"/>
  <c r="C13246" i="1"/>
  <c r="D13246" i="1"/>
  <c r="E13246" i="1"/>
  <c r="F13246" i="1"/>
  <c r="H13246" i="1"/>
  <c r="A13247" i="1"/>
  <c r="B13247" i="1"/>
  <c r="C13247" i="1"/>
  <c r="D13247" i="1"/>
  <c r="E13247" i="1"/>
  <c r="F13247" i="1"/>
  <c r="H13247" i="1"/>
  <c r="A13248" i="1"/>
  <c r="B13248" i="1"/>
  <c r="C13248" i="1"/>
  <c r="D13248" i="1"/>
  <c r="E13248" i="1"/>
  <c r="F13248" i="1"/>
  <c r="H13248" i="1"/>
  <c r="A13249" i="1"/>
  <c r="B13249" i="1"/>
  <c r="C13249" i="1"/>
  <c r="D13249" i="1"/>
  <c r="E13249" i="1"/>
  <c r="F13249" i="1"/>
  <c r="H13249" i="1"/>
  <c r="A13250" i="1"/>
  <c r="B13250" i="1"/>
  <c r="C13250" i="1"/>
  <c r="D13250" i="1"/>
  <c r="E13250" i="1"/>
  <c r="F13250" i="1"/>
  <c r="H13250" i="1"/>
  <c r="A13251" i="1"/>
  <c r="B13251" i="1"/>
  <c r="C13251" i="1"/>
  <c r="D13251" i="1"/>
  <c r="E13251" i="1"/>
  <c r="F13251" i="1"/>
  <c r="H13251" i="1"/>
  <c r="A13252" i="1"/>
  <c r="B13252" i="1"/>
  <c r="C13252" i="1"/>
  <c r="D13252" i="1"/>
  <c r="E13252" i="1"/>
  <c r="F13252" i="1"/>
  <c r="H13252" i="1"/>
  <c r="A13253" i="1"/>
  <c r="B13253" i="1"/>
  <c r="C13253" i="1"/>
  <c r="D13253" i="1"/>
  <c r="E13253" i="1"/>
  <c r="F13253" i="1"/>
  <c r="H13253" i="1"/>
  <c r="A13254" i="1"/>
  <c r="B13254" i="1"/>
  <c r="C13254" i="1"/>
  <c r="D13254" i="1"/>
  <c r="E13254" i="1"/>
  <c r="F13254" i="1"/>
  <c r="H13254" i="1"/>
  <c r="A13255" i="1"/>
  <c r="B13255" i="1"/>
  <c r="C13255" i="1"/>
  <c r="D13255" i="1"/>
  <c r="E13255" i="1"/>
  <c r="F13255" i="1"/>
  <c r="H13255" i="1"/>
  <c r="A13256" i="1"/>
  <c r="B13256" i="1"/>
  <c r="C13256" i="1"/>
  <c r="D13256" i="1"/>
  <c r="E13256" i="1"/>
  <c r="F13256" i="1"/>
  <c r="H13256" i="1"/>
  <c r="A13257" i="1"/>
  <c r="B13257" i="1"/>
  <c r="C13257" i="1"/>
  <c r="D13257" i="1"/>
  <c r="E13257" i="1"/>
  <c r="F13257" i="1"/>
  <c r="H13257" i="1"/>
</calcChain>
</file>

<file path=xl/sharedStrings.xml><?xml version="1.0" encoding="utf-8"?>
<sst xmlns="http://schemas.openxmlformats.org/spreadsheetml/2006/main" count="12" uniqueCount="12">
  <si>
    <t>IČZ KV</t>
  </si>
  <si>
    <t>IČZ prov</t>
  </si>
  <si>
    <t>IČP prov</t>
  </si>
  <si>
    <t>Odbornost hl.</t>
  </si>
  <si>
    <t>IČP předep</t>
  </si>
  <si>
    <t>Čís. poj.</t>
  </si>
  <si>
    <t>Datum výk.</t>
  </si>
  <si>
    <t>Kód</t>
  </si>
  <si>
    <t>Počet</t>
  </si>
  <si>
    <t>Body1</t>
  </si>
  <si>
    <t>Kč mat</t>
  </si>
  <si>
    <t>Uhrada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</si>
</sst>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8"/>
      <color theme="3"/>
      <name val="Calibri Light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">
    <xf numFmtId="0" fontId="0" fillId="0" borderId="0" xfId="0"/>
    <xf numFmtId="14" fontId="0" fillId="0" borderId="0" xfId="0" applyNumberFormat="1"/>
  </cellXfs>
  <cellStyles count="42">
    <cellStyle name="20 % – Zvýraznění1" xfId="19" builtinId="30" customBuiltin="1"/>
    <cellStyle name="20 % – Zvýraznění2" xfId="23" builtinId="34" customBuiltin="1"/>
    <cellStyle name="20 % – Zvýraznění3" xfId="27" builtinId="38" customBuiltin="1"/>
    <cellStyle name="20 % – Zvýraznění4" xfId="31" builtinId="42" customBuiltin="1"/>
    <cellStyle name="20 % – Zvýraznění5" xfId="35" builtinId="46" customBuiltin="1"/>
    <cellStyle name="20 % – Zvýraznění6" xfId="39" builtinId="50" customBuiltin="1"/>
    <cellStyle name="40 % – Zvýraznění1" xfId="20" builtinId="31" customBuiltin="1"/>
    <cellStyle name="40 % – Zvýraznění2" xfId="24" builtinId="35" customBuiltin="1"/>
    <cellStyle name="40 % – Zvýraznění3" xfId="28" builtinId="39" customBuiltin="1"/>
    <cellStyle name="40 % – Zvýraznění4" xfId="32" builtinId="43" customBuiltin="1"/>
    <cellStyle name="40 % – Zvýraznění5" xfId="36" builtinId="47" customBuiltin="1"/>
    <cellStyle name="40 % – Zvýraznění6" xfId="40" builtinId="51" customBuiltin="1"/>
    <cellStyle name="60 % – Zvýraznění1" xfId="21" builtinId="32" customBuiltin="1"/>
    <cellStyle name="60 % – Zvýraznění2" xfId="25" builtinId="36" customBuiltin="1"/>
    <cellStyle name="60 % – Zvýraznění3" xfId="29" builtinId="40" customBuiltin="1"/>
    <cellStyle name="60 % – Zvýraznění4" xfId="33" builtinId="44" customBuiltin="1"/>
    <cellStyle name="60 % – Zvýraznění5" xfId="37" builtinId="48" customBuiltin="1"/>
    <cellStyle name="60 % – Zvýraznění6" xfId="41" builtinId="52" customBuiltin="1"/>
    <cellStyle name="Celkem" xfId="17" builtinId="25" customBuiltin="1"/>
    <cellStyle name="Kontrolní buňka" xfId="13" builtinId="23" customBuiltin="1"/>
    <cellStyle name="Nadpis 1" xfId="2" builtinId="16" customBuiltin="1"/>
    <cellStyle name="Nadpis 2" xfId="3" builtinId="17" customBuiltin="1"/>
    <cellStyle name="Nadpis 3" xfId="4" builtinId="18" customBuiltin="1"/>
    <cellStyle name="Nadpis 4" xfId="5" builtinId="19" customBuiltin="1"/>
    <cellStyle name="Název" xfId="1" builtinId="15" customBuiltin="1"/>
    <cellStyle name="Neutrální" xfId="8" builtinId="28" customBuiltin="1"/>
    <cellStyle name="Normální" xfId="0" builtinId="0"/>
    <cellStyle name="Poznámka" xfId="15" builtinId="10" customBuiltin="1"/>
    <cellStyle name="Propojená buňka" xfId="12" builtinId="24" customBuiltin="1"/>
    <cellStyle name="Správně" xfId="6" builtinId="26" customBuiltin="1"/>
    <cellStyle name="Špatně" xfId="7" builtinId="27" customBuiltin="1"/>
    <cellStyle name="Text upozornění" xfId="14" builtinId="11" customBuiltin="1"/>
    <cellStyle name="Vstup" xfId="9" builtinId="20" customBuiltin="1"/>
    <cellStyle name="Výpočet" xfId="11" builtinId="22" customBuiltin="1"/>
    <cellStyle name="Výstup" xfId="10" builtinId="21" customBuiltin="1"/>
    <cellStyle name="Vysvětlující text" xfId="16" builtinId="53" customBuiltin="1"/>
    <cellStyle name="Zvýraznění 1" xfId="18" builtinId="29" customBuiltin="1"/>
    <cellStyle name="Zvýraznění 2" xfId="22" builtinId="33" customBuiltin="1"/>
    <cellStyle name="Zvýraznění 3" xfId="26" builtinId="37" customBuiltin="1"/>
    <cellStyle name="Zvýraznění 4" xfId="30" builtinId="41" customBuiltin="1"/>
    <cellStyle name="Zvýraznění 5" xfId="34" builtinId="45" customBuiltin="1"/>
    <cellStyle name="Zvýraznění 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3257"/>
  <sheetViews>
    <sheetView tabSelected="1" workbookViewId="0">
      <selection activeCell="O6" sqref="O6"/>
    </sheetView>
  </sheetViews>
  <sheetFormatPr defaultRowHeight="15" x14ac:dyDescent="0.25"/>
  <cols>
    <col min="7" max="7" width="10.7109375" customWidth="1"/>
  </cols>
  <sheetData>
    <row r="1" spans="1:12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</row>
    <row r="2" spans="1:12" x14ac:dyDescent="0.25">
      <c r="A2" t="str">
        <f t="shared" ref="A2:A65" si="0">"89301000"</f>
        <v>89301000</v>
      </c>
      <c r="B2" t="str">
        <f>"95498000"</f>
        <v>95498000</v>
      </c>
      <c r="C2" t="str">
        <f>"95498001"</f>
        <v>95498001</v>
      </c>
      <c r="D2" t="str">
        <f>"809"</f>
        <v>809</v>
      </c>
      <c r="E2" t="str">
        <f>"89301172"</f>
        <v>89301172</v>
      </c>
      <c r="F2" t="str">
        <f>"7208155768"</f>
        <v>7208155768</v>
      </c>
      <c r="G2" s="1">
        <v>44592</v>
      </c>
      <c r="H2" t="str">
        <f>"89131"</f>
        <v>89131</v>
      </c>
      <c r="I2">
        <v>1</v>
      </c>
      <c r="J2">
        <v>187</v>
      </c>
      <c r="K2">
        <v>0</v>
      </c>
      <c r="L2">
        <v>261.8</v>
      </c>
    </row>
    <row r="3" spans="1:12" x14ac:dyDescent="0.25">
      <c r="A3" t="str">
        <f t="shared" si="0"/>
        <v>89301000</v>
      </c>
      <c r="B3" t="str">
        <f>"68153000"</f>
        <v>68153000</v>
      </c>
      <c r="C3" t="str">
        <f>"68153001"</f>
        <v>68153001</v>
      </c>
      <c r="D3" t="str">
        <f t="shared" ref="D3:D20" si="1">"801"</f>
        <v>801</v>
      </c>
      <c r="E3" t="str">
        <f t="shared" ref="E3:E22" si="2">"89301167"</f>
        <v>89301167</v>
      </c>
      <c r="F3" t="str">
        <f>"530825172"</f>
        <v>530825172</v>
      </c>
      <c r="G3" s="1">
        <v>44566</v>
      </c>
      <c r="H3" t="str">
        <f>"93227"</f>
        <v>93227</v>
      </c>
      <c r="I3">
        <v>1</v>
      </c>
      <c r="J3">
        <v>947</v>
      </c>
      <c r="K3">
        <v>0</v>
      </c>
      <c r="L3">
        <v>738.66</v>
      </c>
    </row>
    <row r="4" spans="1:12" x14ac:dyDescent="0.25">
      <c r="A4" t="str">
        <f t="shared" si="0"/>
        <v>89301000</v>
      </c>
      <c r="B4" t="str">
        <f>"68153000"</f>
        <v>68153000</v>
      </c>
      <c r="C4" t="str">
        <f>"68153001"</f>
        <v>68153001</v>
      </c>
      <c r="D4" t="str">
        <f t="shared" si="1"/>
        <v>801</v>
      </c>
      <c r="E4" t="str">
        <f t="shared" si="2"/>
        <v>89301167</v>
      </c>
      <c r="F4" t="str">
        <f>"530825172"</f>
        <v>530825172</v>
      </c>
      <c r="G4" s="1">
        <v>44587</v>
      </c>
      <c r="H4" t="str">
        <f>"93227"</f>
        <v>93227</v>
      </c>
      <c r="I4">
        <v>1</v>
      </c>
      <c r="J4">
        <v>947</v>
      </c>
      <c r="K4">
        <v>0</v>
      </c>
      <c r="L4">
        <v>738.66</v>
      </c>
    </row>
    <row r="5" spans="1:12" x14ac:dyDescent="0.25">
      <c r="A5" t="str">
        <f t="shared" si="0"/>
        <v>89301000</v>
      </c>
      <c r="B5" t="str">
        <f t="shared" ref="B5:B22" si="3">"86240000"</f>
        <v>86240000</v>
      </c>
      <c r="C5" t="str">
        <f t="shared" ref="C5:C20" si="4">"86240002"</f>
        <v>86240002</v>
      </c>
      <c r="D5" t="str">
        <f t="shared" si="1"/>
        <v>801</v>
      </c>
      <c r="E5" t="str">
        <f t="shared" si="2"/>
        <v>89301167</v>
      </c>
      <c r="F5" t="str">
        <f t="shared" ref="F5:F22" si="5">"5461103197"</f>
        <v>5461103197</v>
      </c>
      <c r="G5" s="1">
        <v>44573</v>
      </c>
      <c r="H5" t="str">
        <f>"81593"</f>
        <v>81593</v>
      </c>
      <c r="I5">
        <v>1</v>
      </c>
      <c r="J5">
        <v>22</v>
      </c>
      <c r="K5">
        <v>0</v>
      </c>
      <c r="L5">
        <v>17.16</v>
      </c>
    </row>
    <row r="6" spans="1:12" x14ac:dyDescent="0.25">
      <c r="A6" t="str">
        <f t="shared" si="0"/>
        <v>89301000</v>
      </c>
      <c r="B6" t="str">
        <f t="shared" si="3"/>
        <v>86240000</v>
      </c>
      <c r="C6" t="str">
        <f t="shared" si="4"/>
        <v>86240002</v>
      </c>
      <c r="D6" t="str">
        <f t="shared" si="1"/>
        <v>801</v>
      </c>
      <c r="E6" t="str">
        <f t="shared" si="2"/>
        <v>89301167</v>
      </c>
      <c r="F6" t="str">
        <f t="shared" si="5"/>
        <v>5461103197</v>
      </c>
      <c r="G6" s="1">
        <v>44573</v>
      </c>
      <c r="H6" t="str">
        <f>"81393"</f>
        <v>81393</v>
      </c>
      <c r="I6">
        <v>1</v>
      </c>
      <c r="J6">
        <v>24</v>
      </c>
      <c r="K6">
        <v>0</v>
      </c>
      <c r="L6">
        <v>18.72</v>
      </c>
    </row>
    <row r="7" spans="1:12" x14ac:dyDescent="0.25">
      <c r="A7" t="str">
        <f t="shared" si="0"/>
        <v>89301000</v>
      </c>
      <c r="B7" t="str">
        <f t="shared" si="3"/>
        <v>86240000</v>
      </c>
      <c r="C7" t="str">
        <f t="shared" si="4"/>
        <v>86240002</v>
      </c>
      <c r="D7" t="str">
        <f t="shared" si="1"/>
        <v>801</v>
      </c>
      <c r="E7" t="str">
        <f t="shared" si="2"/>
        <v>89301167</v>
      </c>
      <c r="F7" t="str">
        <f t="shared" si="5"/>
        <v>5461103197</v>
      </c>
      <c r="G7" s="1">
        <v>44573</v>
      </c>
      <c r="H7" t="str">
        <f>"81469"</f>
        <v>81469</v>
      </c>
      <c r="I7">
        <v>1</v>
      </c>
      <c r="J7">
        <v>16</v>
      </c>
      <c r="K7">
        <v>0</v>
      </c>
      <c r="L7">
        <v>12.48</v>
      </c>
    </row>
    <row r="8" spans="1:12" x14ac:dyDescent="0.25">
      <c r="A8" t="str">
        <f t="shared" si="0"/>
        <v>89301000</v>
      </c>
      <c r="B8" t="str">
        <f t="shared" si="3"/>
        <v>86240000</v>
      </c>
      <c r="C8" t="str">
        <f t="shared" si="4"/>
        <v>86240002</v>
      </c>
      <c r="D8" t="str">
        <f t="shared" si="1"/>
        <v>801</v>
      </c>
      <c r="E8" t="str">
        <f t="shared" si="2"/>
        <v>89301167</v>
      </c>
      <c r="F8" t="str">
        <f t="shared" si="5"/>
        <v>5461103197</v>
      </c>
      <c r="G8" s="1">
        <v>44573</v>
      </c>
      <c r="H8" t="str">
        <f>"81625"</f>
        <v>81625</v>
      </c>
      <c r="I8">
        <v>1</v>
      </c>
      <c r="J8">
        <v>20</v>
      </c>
      <c r="K8">
        <v>0</v>
      </c>
      <c r="L8">
        <v>15.6</v>
      </c>
    </row>
    <row r="9" spans="1:12" x14ac:dyDescent="0.25">
      <c r="A9" t="str">
        <f t="shared" si="0"/>
        <v>89301000</v>
      </c>
      <c r="B9" t="str">
        <f t="shared" si="3"/>
        <v>86240000</v>
      </c>
      <c r="C9" t="str">
        <f t="shared" si="4"/>
        <v>86240002</v>
      </c>
      <c r="D9" t="str">
        <f t="shared" si="1"/>
        <v>801</v>
      </c>
      <c r="E9" t="str">
        <f t="shared" si="2"/>
        <v>89301167</v>
      </c>
      <c r="F9" t="str">
        <f t="shared" si="5"/>
        <v>5461103197</v>
      </c>
      <c r="G9" s="1">
        <v>44573</v>
      </c>
      <c r="H9" t="str">
        <f>"81621"</f>
        <v>81621</v>
      </c>
      <c r="I9">
        <v>1</v>
      </c>
      <c r="J9">
        <v>19</v>
      </c>
      <c r="K9">
        <v>0</v>
      </c>
      <c r="L9">
        <v>14.82</v>
      </c>
    </row>
    <row r="10" spans="1:12" x14ac:dyDescent="0.25">
      <c r="A10" t="str">
        <f t="shared" si="0"/>
        <v>89301000</v>
      </c>
      <c r="B10" t="str">
        <f t="shared" si="3"/>
        <v>86240000</v>
      </c>
      <c r="C10" t="str">
        <f t="shared" si="4"/>
        <v>86240002</v>
      </c>
      <c r="D10" t="str">
        <f t="shared" si="1"/>
        <v>801</v>
      </c>
      <c r="E10" t="str">
        <f t="shared" si="2"/>
        <v>89301167</v>
      </c>
      <c r="F10" t="str">
        <f t="shared" si="5"/>
        <v>5461103197</v>
      </c>
      <c r="G10" s="1">
        <v>44573</v>
      </c>
      <c r="H10" t="str">
        <f>"81329"</f>
        <v>81329</v>
      </c>
      <c r="I10">
        <v>1</v>
      </c>
      <c r="J10">
        <v>16</v>
      </c>
      <c r="K10">
        <v>0</v>
      </c>
      <c r="L10">
        <v>12.48</v>
      </c>
    </row>
    <row r="11" spans="1:12" x14ac:dyDescent="0.25">
      <c r="A11" t="str">
        <f t="shared" si="0"/>
        <v>89301000</v>
      </c>
      <c r="B11" t="str">
        <f t="shared" si="3"/>
        <v>86240000</v>
      </c>
      <c r="C11" t="str">
        <f t="shared" si="4"/>
        <v>86240002</v>
      </c>
      <c r="D11" t="str">
        <f t="shared" si="1"/>
        <v>801</v>
      </c>
      <c r="E11" t="str">
        <f t="shared" si="2"/>
        <v>89301167</v>
      </c>
      <c r="F11" t="str">
        <f t="shared" si="5"/>
        <v>5461103197</v>
      </c>
      <c r="G11" s="1">
        <v>44573</v>
      </c>
      <c r="H11" t="str">
        <f>"81439"</f>
        <v>81439</v>
      </c>
      <c r="I11">
        <v>1</v>
      </c>
      <c r="J11">
        <v>16</v>
      </c>
      <c r="K11">
        <v>0</v>
      </c>
      <c r="L11">
        <v>12.48</v>
      </c>
    </row>
    <row r="12" spans="1:12" x14ac:dyDescent="0.25">
      <c r="A12" t="str">
        <f t="shared" si="0"/>
        <v>89301000</v>
      </c>
      <c r="B12" t="str">
        <f t="shared" si="3"/>
        <v>86240000</v>
      </c>
      <c r="C12" t="str">
        <f t="shared" si="4"/>
        <v>86240002</v>
      </c>
      <c r="D12" t="str">
        <f t="shared" si="1"/>
        <v>801</v>
      </c>
      <c r="E12" t="str">
        <f t="shared" si="2"/>
        <v>89301167</v>
      </c>
      <c r="F12" t="str">
        <f t="shared" si="5"/>
        <v>5461103197</v>
      </c>
      <c r="G12" s="1">
        <v>44573</v>
      </c>
      <c r="H12" t="str">
        <f>"81361"</f>
        <v>81361</v>
      </c>
      <c r="I12">
        <v>1</v>
      </c>
      <c r="J12">
        <v>17</v>
      </c>
      <c r="K12">
        <v>0</v>
      </c>
      <c r="L12">
        <v>13.26</v>
      </c>
    </row>
    <row r="13" spans="1:12" x14ac:dyDescent="0.25">
      <c r="A13" t="str">
        <f t="shared" si="0"/>
        <v>89301000</v>
      </c>
      <c r="B13" t="str">
        <f t="shared" si="3"/>
        <v>86240000</v>
      </c>
      <c r="C13" t="str">
        <f t="shared" si="4"/>
        <v>86240002</v>
      </c>
      <c r="D13" t="str">
        <f t="shared" si="1"/>
        <v>801</v>
      </c>
      <c r="E13" t="str">
        <f t="shared" si="2"/>
        <v>89301167</v>
      </c>
      <c r="F13" t="str">
        <f t="shared" si="5"/>
        <v>5461103197</v>
      </c>
      <c r="G13" s="1">
        <v>44573</v>
      </c>
      <c r="H13" t="str">
        <f>"81337"</f>
        <v>81337</v>
      </c>
      <c r="I13">
        <v>1</v>
      </c>
      <c r="J13">
        <v>19</v>
      </c>
      <c r="K13">
        <v>0</v>
      </c>
      <c r="L13">
        <v>14.82</v>
      </c>
    </row>
    <row r="14" spans="1:12" x14ac:dyDescent="0.25">
      <c r="A14" t="str">
        <f t="shared" si="0"/>
        <v>89301000</v>
      </c>
      <c r="B14" t="str">
        <f t="shared" si="3"/>
        <v>86240000</v>
      </c>
      <c r="C14" t="str">
        <f t="shared" si="4"/>
        <v>86240002</v>
      </c>
      <c r="D14" t="str">
        <f t="shared" si="1"/>
        <v>801</v>
      </c>
      <c r="E14" t="str">
        <f t="shared" si="2"/>
        <v>89301167</v>
      </c>
      <c r="F14" t="str">
        <f t="shared" si="5"/>
        <v>5461103197</v>
      </c>
      <c r="G14" s="1">
        <v>44573</v>
      </c>
      <c r="H14" t="str">
        <f>"81357"</f>
        <v>81357</v>
      </c>
      <c r="I14">
        <v>1</v>
      </c>
      <c r="J14">
        <v>19</v>
      </c>
      <c r="K14">
        <v>0</v>
      </c>
      <c r="L14">
        <v>14.82</v>
      </c>
    </row>
    <row r="15" spans="1:12" x14ac:dyDescent="0.25">
      <c r="A15" t="str">
        <f t="shared" si="0"/>
        <v>89301000</v>
      </c>
      <c r="B15" t="str">
        <f t="shared" si="3"/>
        <v>86240000</v>
      </c>
      <c r="C15" t="str">
        <f t="shared" si="4"/>
        <v>86240002</v>
      </c>
      <c r="D15" t="str">
        <f t="shared" si="1"/>
        <v>801</v>
      </c>
      <c r="E15" t="str">
        <f t="shared" si="2"/>
        <v>89301167</v>
      </c>
      <c r="F15" t="str">
        <f t="shared" si="5"/>
        <v>5461103197</v>
      </c>
      <c r="G15" s="1">
        <v>44573</v>
      </c>
      <c r="H15" t="str">
        <f>"81435"</f>
        <v>81435</v>
      </c>
      <c r="I15">
        <v>1</v>
      </c>
      <c r="J15">
        <v>22</v>
      </c>
      <c r="K15">
        <v>0</v>
      </c>
      <c r="L15">
        <v>17.16</v>
      </c>
    </row>
    <row r="16" spans="1:12" x14ac:dyDescent="0.25">
      <c r="A16" t="str">
        <f t="shared" si="0"/>
        <v>89301000</v>
      </c>
      <c r="B16" t="str">
        <f t="shared" si="3"/>
        <v>86240000</v>
      </c>
      <c r="C16" t="str">
        <f t="shared" si="4"/>
        <v>86240002</v>
      </c>
      <c r="D16" t="str">
        <f t="shared" si="1"/>
        <v>801</v>
      </c>
      <c r="E16" t="str">
        <f t="shared" si="2"/>
        <v>89301167</v>
      </c>
      <c r="F16" t="str">
        <f t="shared" si="5"/>
        <v>5461103197</v>
      </c>
      <c r="G16" s="1">
        <v>44573</v>
      </c>
      <c r="H16" t="str">
        <f>"81421"</f>
        <v>81421</v>
      </c>
      <c r="I16">
        <v>1</v>
      </c>
      <c r="J16">
        <v>19</v>
      </c>
      <c r="K16">
        <v>0</v>
      </c>
      <c r="L16">
        <v>14.82</v>
      </c>
    </row>
    <row r="17" spans="1:12" x14ac:dyDescent="0.25">
      <c r="A17" t="str">
        <f t="shared" si="0"/>
        <v>89301000</v>
      </c>
      <c r="B17" t="str">
        <f t="shared" si="3"/>
        <v>86240000</v>
      </c>
      <c r="C17" t="str">
        <f t="shared" si="4"/>
        <v>86240002</v>
      </c>
      <c r="D17" t="str">
        <f t="shared" si="1"/>
        <v>801</v>
      </c>
      <c r="E17" t="str">
        <f t="shared" si="2"/>
        <v>89301167</v>
      </c>
      <c r="F17" t="str">
        <f t="shared" si="5"/>
        <v>5461103197</v>
      </c>
      <c r="G17" s="1">
        <v>44573</v>
      </c>
      <c r="H17" t="str">
        <f>"81499"</f>
        <v>81499</v>
      </c>
      <c r="I17">
        <v>1</v>
      </c>
      <c r="J17">
        <v>18</v>
      </c>
      <c r="K17">
        <v>0</v>
      </c>
      <c r="L17">
        <v>14.04</v>
      </c>
    </row>
    <row r="18" spans="1:12" x14ac:dyDescent="0.25">
      <c r="A18" t="str">
        <f t="shared" si="0"/>
        <v>89301000</v>
      </c>
      <c r="B18" t="str">
        <f t="shared" si="3"/>
        <v>86240000</v>
      </c>
      <c r="C18" t="str">
        <f t="shared" si="4"/>
        <v>86240002</v>
      </c>
      <c r="D18" t="str">
        <f t="shared" si="1"/>
        <v>801</v>
      </c>
      <c r="E18" t="str">
        <f t="shared" si="2"/>
        <v>89301167</v>
      </c>
      <c r="F18" t="str">
        <f t="shared" si="5"/>
        <v>5461103197</v>
      </c>
      <c r="G18" s="1">
        <v>44573</v>
      </c>
      <c r="H18" t="str">
        <f>"81383"</f>
        <v>81383</v>
      </c>
      <c r="I18">
        <v>1</v>
      </c>
      <c r="J18">
        <v>23</v>
      </c>
      <c r="K18">
        <v>0</v>
      </c>
      <c r="L18">
        <v>17.940000000000001</v>
      </c>
    </row>
    <row r="19" spans="1:12" x14ac:dyDescent="0.25">
      <c r="A19" t="str">
        <f t="shared" si="0"/>
        <v>89301000</v>
      </c>
      <c r="B19" t="str">
        <f t="shared" si="3"/>
        <v>86240000</v>
      </c>
      <c r="C19" t="str">
        <f t="shared" si="4"/>
        <v>86240002</v>
      </c>
      <c r="D19" t="str">
        <f t="shared" si="1"/>
        <v>801</v>
      </c>
      <c r="E19" t="str">
        <f t="shared" si="2"/>
        <v>89301167</v>
      </c>
      <c r="F19" t="str">
        <f t="shared" si="5"/>
        <v>5461103197</v>
      </c>
      <c r="G19" s="1">
        <v>44573</v>
      </c>
      <c r="H19" t="str">
        <f>"81249"</f>
        <v>81249</v>
      </c>
      <c r="I19">
        <v>1</v>
      </c>
      <c r="J19">
        <v>333</v>
      </c>
      <c r="K19">
        <v>0</v>
      </c>
      <c r="L19">
        <v>259.74</v>
      </c>
    </row>
    <row r="20" spans="1:12" x14ac:dyDescent="0.25">
      <c r="A20" t="str">
        <f t="shared" si="0"/>
        <v>89301000</v>
      </c>
      <c r="B20" t="str">
        <f t="shared" si="3"/>
        <v>86240000</v>
      </c>
      <c r="C20" t="str">
        <f t="shared" si="4"/>
        <v>86240002</v>
      </c>
      <c r="D20" t="str">
        <f t="shared" si="1"/>
        <v>801</v>
      </c>
      <c r="E20" t="str">
        <f t="shared" si="2"/>
        <v>89301167</v>
      </c>
      <c r="F20" t="str">
        <f t="shared" si="5"/>
        <v>5461103197</v>
      </c>
      <c r="G20" s="1">
        <v>44573</v>
      </c>
      <c r="H20" t="str">
        <f>"97111"</f>
        <v>97111</v>
      </c>
      <c r="I20">
        <v>1</v>
      </c>
      <c r="J20">
        <v>18</v>
      </c>
      <c r="K20">
        <v>0</v>
      </c>
      <c r="L20">
        <v>14.04</v>
      </c>
    </row>
    <row r="21" spans="1:12" x14ac:dyDescent="0.25">
      <c r="A21" t="str">
        <f t="shared" si="0"/>
        <v>89301000</v>
      </c>
      <c r="B21" t="str">
        <f t="shared" si="3"/>
        <v>86240000</v>
      </c>
      <c r="C21" t="str">
        <f>"86240006"</f>
        <v>86240006</v>
      </c>
      <c r="D21" t="str">
        <f>"813"</f>
        <v>813</v>
      </c>
      <c r="E21" t="str">
        <f t="shared" si="2"/>
        <v>89301167</v>
      </c>
      <c r="F21" t="str">
        <f t="shared" si="5"/>
        <v>5461103197</v>
      </c>
      <c r="G21" s="1">
        <v>44573</v>
      </c>
      <c r="H21" t="str">
        <f>"91153"</f>
        <v>91153</v>
      </c>
      <c r="I21">
        <v>1</v>
      </c>
      <c r="J21">
        <v>152</v>
      </c>
      <c r="K21">
        <v>0</v>
      </c>
      <c r="L21">
        <v>118.56</v>
      </c>
    </row>
    <row r="22" spans="1:12" x14ac:dyDescent="0.25">
      <c r="A22" t="str">
        <f t="shared" si="0"/>
        <v>89301000</v>
      </c>
      <c r="B22" t="str">
        <f t="shared" si="3"/>
        <v>86240000</v>
      </c>
      <c r="C22" t="str">
        <f>"86240003"</f>
        <v>86240003</v>
      </c>
      <c r="D22" t="str">
        <f>"818"</f>
        <v>818</v>
      </c>
      <c r="E22" t="str">
        <f t="shared" si="2"/>
        <v>89301167</v>
      </c>
      <c r="F22" t="str">
        <f t="shared" si="5"/>
        <v>5461103197</v>
      </c>
      <c r="G22" s="1">
        <v>44573</v>
      </c>
      <c r="H22" t="str">
        <f>"96167"</f>
        <v>96167</v>
      </c>
      <c r="I22">
        <v>1</v>
      </c>
      <c r="J22">
        <v>67</v>
      </c>
      <c r="K22">
        <v>0</v>
      </c>
      <c r="L22">
        <v>60.97</v>
      </c>
    </row>
    <row r="23" spans="1:12" x14ac:dyDescent="0.25">
      <c r="A23" t="str">
        <f t="shared" si="0"/>
        <v>89301000</v>
      </c>
      <c r="B23" t="str">
        <f t="shared" ref="B23:B68" si="6">"78915000"</f>
        <v>78915000</v>
      </c>
      <c r="C23" t="str">
        <f t="shared" ref="C23:C68" si="7">"78915001"</f>
        <v>78915001</v>
      </c>
      <c r="D23" t="str">
        <f t="shared" ref="D23:D68" si="8">"809"</f>
        <v>809</v>
      </c>
      <c r="E23" t="str">
        <f>"89301112"</f>
        <v>89301112</v>
      </c>
      <c r="F23" t="str">
        <f>"0708175292"</f>
        <v>0708175292</v>
      </c>
      <c r="G23" s="1">
        <v>44565</v>
      </c>
      <c r="H23" t="str">
        <f>"09567"</f>
        <v>09567</v>
      </c>
      <c r="I23">
        <v>1</v>
      </c>
      <c r="J23">
        <v>0</v>
      </c>
      <c r="K23">
        <v>0</v>
      </c>
      <c r="L23">
        <v>0</v>
      </c>
    </row>
    <row r="24" spans="1:12" x14ac:dyDescent="0.25">
      <c r="A24" t="str">
        <f t="shared" si="0"/>
        <v>89301000</v>
      </c>
      <c r="B24" t="str">
        <f t="shared" si="6"/>
        <v>78915000</v>
      </c>
      <c r="C24" t="str">
        <f t="shared" si="7"/>
        <v>78915001</v>
      </c>
      <c r="D24" t="str">
        <f t="shared" si="8"/>
        <v>809</v>
      </c>
      <c r="E24" t="str">
        <f>"89301112"</f>
        <v>89301112</v>
      </c>
      <c r="F24" t="str">
        <f>"0708175292"</f>
        <v>0708175292</v>
      </c>
      <c r="G24" s="1">
        <v>44565</v>
      </c>
      <c r="H24" t="str">
        <f>"89713"</f>
        <v>89713</v>
      </c>
      <c r="I24">
        <v>1</v>
      </c>
      <c r="J24">
        <v>5362</v>
      </c>
      <c r="K24">
        <v>0</v>
      </c>
      <c r="L24">
        <v>3217.2</v>
      </c>
    </row>
    <row r="25" spans="1:12" x14ac:dyDescent="0.25">
      <c r="A25" t="str">
        <f t="shared" si="0"/>
        <v>89301000</v>
      </c>
      <c r="B25" t="str">
        <f t="shared" si="6"/>
        <v>78915000</v>
      </c>
      <c r="C25" t="str">
        <f t="shared" si="7"/>
        <v>78915001</v>
      </c>
      <c r="D25" t="str">
        <f t="shared" si="8"/>
        <v>809</v>
      </c>
      <c r="E25" t="str">
        <f>"89301172"</f>
        <v>89301172</v>
      </c>
      <c r="F25" t="str">
        <f>"475419412"</f>
        <v>475419412</v>
      </c>
      <c r="G25" s="1">
        <v>44580</v>
      </c>
      <c r="H25" t="str">
        <f>"89713"</f>
        <v>89713</v>
      </c>
      <c r="I25">
        <v>1</v>
      </c>
      <c r="J25">
        <v>5362</v>
      </c>
      <c r="K25">
        <v>0</v>
      </c>
      <c r="L25">
        <v>3217.2</v>
      </c>
    </row>
    <row r="26" spans="1:12" x14ac:dyDescent="0.25">
      <c r="A26" t="str">
        <f t="shared" si="0"/>
        <v>89301000</v>
      </c>
      <c r="B26" t="str">
        <f t="shared" si="6"/>
        <v>78915000</v>
      </c>
      <c r="C26" t="str">
        <f t="shared" si="7"/>
        <v>78915001</v>
      </c>
      <c r="D26" t="str">
        <f t="shared" si="8"/>
        <v>809</v>
      </c>
      <c r="E26" t="str">
        <f>"89301172"</f>
        <v>89301172</v>
      </c>
      <c r="F26" t="str">
        <f>"475419412"</f>
        <v>475419412</v>
      </c>
      <c r="G26" s="1">
        <v>44580</v>
      </c>
      <c r="H26" t="str">
        <f>"89725"</f>
        <v>89725</v>
      </c>
      <c r="I26">
        <v>1</v>
      </c>
      <c r="J26">
        <v>2839</v>
      </c>
      <c r="K26">
        <v>0</v>
      </c>
      <c r="L26">
        <v>1703.4</v>
      </c>
    </row>
    <row r="27" spans="1:12" x14ac:dyDescent="0.25">
      <c r="A27" t="str">
        <f t="shared" si="0"/>
        <v>89301000</v>
      </c>
      <c r="B27" t="str">
        <f t="shared" si="6"/>
        <v>78915000</v>
      </c>
      <c r="C27" t="str">
        <f t="shared" si="7"/>
        <v>78915001</v>
      </c>
      <c r="D27" t="str">
        <f t="shared" si="8"/>
        <v>809</v>
      </c>
      <c r="E27" t="str">
        <f>"89301042"</f>
        <v>89301042</v>
      </c>
      <c r="F27" t="str">
        <f>"525528085"</f>
        <v>525528085</v>
      </c>
      <c r="G27" s="1">
        <v>44580</v>
      </c>
      <c r="H27" t="str">
        <f>"89715"</f>
        <v>89715</v>
      </c>
      <c r="I27">
        <v>1</v>
      </c>
      <c r="J27">
        <v>5474</v>
      </c>
      <c r="K27">
        <v>0</v>
      </c>
      <c r="L27">
        <v>3284.4</v>
      </c>
    </row>
    <row r="28" spans="1:12" x14ac:dyDescent="0.25">
      <c r="A28" t="str">
        <f t="shared" si="0"/>
        <v>89301000</v>
      </c>
      <c r="B28" t="str">
        <f t="shared" si="6"/>
        <v>78915000</v>
      </c>
      <c r="C28" t="str">
        <f t="shared" si="7"/>
        <v>78915001</v>
      </c>
      <c r="D28" t="str">
        <f t="shared" si="8"/>
        <v>809</v>
      </c>
      <c r="E28" t="str">
        <f>"89301042"</f>
        <v>89301042</v>
      </c>
      <c r="F28" t="str">
        <f>"525528085"</f>
        <v>525528085</v>
      </c>
      <c r="G28" s="1">
        <v>44580</v>
      </c>
      <c r="H28" t="str">
        <f>"89725"</f>
        <v>89725</v>
      </c>
      <c r="I28">
        <v>1</v>
      </c>
      <c r="J28">
        <v>2839</v>
      </c>
      <c r="K28">
        <v>0</v>
      </c>
      <c r="L28">
        <v>1703.4</v>
      </c>
    </row>
    <row r="29" spans="1:12" x14ac:dyDescent="0.25">
      <c r="A29" t="str">
        <f t="shared" si="0"/>
        <v>89301000</v>
      </c>
      <c r="B29" t="str">
        <f t="shared" si="6"/>
        <v>78915000</v>
      </c>
      <c r="C29" t="str">
        <f t="shared" si="7"/>
        <v>78915001</v>
      </c>
      <c r="D29" t="str">
        <f t="shared" si="8"/>
        <v>809</v>
      </c>
      <c r="E29" t="str">
        <f>"89301042"</f>
        <v>89301042</v>
      </c>
      <c r="F29" t="str">
        <f>"525528085"</f>
        <v>525528085</v>
      </c>
      <c r="G29" s="1">
        <v>44580</v>
      </c>
      <c r="H29" t="str">
        <f>"0207733"</f>
        <v>0207733</v>
      </c>
      <c r="I29">
        <v>1</v>
      </c>
      <c r="K29">
        <v>2590.5300000000002</v>
      </c>
      <c r="L29">
        <v>2590.5300000000002</v>
      </c>
    </row>
    <row r="30" spans="1:12" x14ac:dyDescent="0.25">
      <c r="A30" t="str">
        <f t="shared" si="0"/>
        <v>89301000</v>
      </c>
      <c r="B30" t="str">
        <f t="shared" si="6"/>
        <v>78915000</v>
      </c>
      <c r="C30" t="str">
        <f t="shared" si="7"/>
        <v>78915001</v>
      </c>
      <c r="D30" t="str">
        <f t="shared" si="8"/>
        <v>809</v>
      </c>
      <c r="E30" t="str">
        <f>"89301062"</f>
        <v>89301062</v>
      </c>
      <c r="F30" t="str">
        <f>"5753012265"</f>
        <v>5753012265</v>
      </c>
      <c r="G30" s="1">
        <v>44580</v>
      </c>
      <c r="H30" t="str">
        <f>"89713"</f>
        <v>89713</v>
      </c>
      <c r="I30">
        <v>1</v>
      </c>
      <c r="J30">
        <v>5362</v>
      </c>
      <c r="K30">
        <v>0</v>
      </c>
      <c r="L30">
        <v>3217.2</v>
      </c>
    </row>
    <row r="31" spans="1:12" x14ac:dyDescent="0.25">
      <c r="A31" t="str">
        <f t="shared" si="0"/>
        <v>89301000</v>
      </c>
      <c r="B31" t="str">
        <f t="shared" si="6"/>
        <v>78915000</v>
      </c>
      <c r="C31" t="str">
        <f t="shared" si="7"/>
        <v>78915001</v>
      </c>
      <c r="D31" t="str">
        <f t="shared" si="8"/>
        <v>809</v>
      </c>
      <c r="E31" t="str">
        <f>"89301062"</f>
        <v>89301062</v>
      </c>
      <c r="F31" t="str">
        <f>"5753012265"</f>
        <v>5753012265</v>
      </c>
      <c r="G31" s="1">
        <v>44580</v>
      </c>
      <c r="H31" t="str">
        <f>"89725"</f>
        <v>89725</v>
      </c>
      <c r="I31">
        <v>1</v>
      </c>
      <c r="J31">
        <v>2839</v>
      </c>
      <c r="K31">
        <v>0</v>
      </c>
      <c r="L31">
        <v>1703.4</v>
      </c>
    </row>
    <row r="32" spans="1:12" x14ac:dyDescent="0.25">
      <c r="A32" t="str">
        <f t="shared" si="0"/>
        <v>89301000</v>
      </c>
      <c r="B32" t="str">
        <f t="shared" si="6"/>
        <v>78915000</v>
      </c>
      <c r="C32" t="str">
        <f t="shared" si="7"/>
        <v>78915001</v>
      </c>
      <c r="D32" t="str">
        <f t="shared" si="8"/>
        <v>809</v>
      </c>
      <c r="E32" t="str">
        <f>"89301062"</f>
        <v>89301062</v>
      </c>
      <c r="F32" t="str">
        <f>"6155050473"</f>
        <v>6155050473</v>
      </c>
      <c r="G32" s="1">
        <v>44575</v>
      </c>
      <c r="H32" t="str">
        <f>"89713"</f>
        <v>89713</v>
      </c>
      <c r="I32">
        <v>1</v>
      </c>
      <c r="J32">
        <v>5362</v>
      </c>
      <c r="K32">
        <v>0</v>
      </c>
      <c r="L32">
        <v>3217.2</v>
      </c>
    </row>
    <row r="33" spans="1:12" x14ac:dyDescent="0.25">
      <c r="A33" t="str">
        <f t="shared" si="0"/>
        <v>89301000</v>
      </c>
      <c r="B33" t="str">
        <f t="shared" si="6"/>
        <v>78915000</v>
      </c>
      <c r="C33" t="str">
        <f t="shared" si="7"/>
        <v>78915001</v>
      </c>
      <c r="D33" t="str">
        <f t="shared" si="8"/>
        <v>809</v>
      </c>
      <c r="E33" t="str">
        <f>"89301062"</f>
        <v>89301062</v>
      </c>
      <c r="F33" t="str">
        <f>"6155050473"</f>
        <v>6155050473</v>
      </c>
      <c r="G33" s="1">
        <v>44575</v>
      </c>
      <c r="H33" t="str">
        <f>"89725"</f>
        <v>89725</v>
      </c>
      <c r="I33">
        <v>1</v>
      </c>
      <c r="J33">
        <v>2839</v>
      </c>
      <c r="K33">
        <v>0</v>
      </c>
      <c r="L33">
        <v>1703.4</v>
      </c>
    </row>
    <row r="34" spans="1:12" x14ac:dyDescent="0.25">
      <c r="A34" t="str">
        <f t="shared" si="0"/>
        <v>89301000</v>
      </c>
      <c r="B34" t="str">
        <f t="shared" si="6"/>
        <v>78915000</v>
      </c>
      <c r="C34" t="str">
        <f t="shared" si="7"/>
        <v>78915001</v>
      </c>
      <c r="D34" t="str">
        <f t="shared" si="8"/>
        <v>809</v>
      </c>
      <c r="E34" t="str">
        <f>"89301292"</f>
        <v>89301292</v>
      </c>
      <c r="F34" t="str">
        <f>"6252081044"</f>
        <v>6252081044</v>
      </c>
      <c r="G34" s="1">
        <v>44567</v>
      </c>
      <c r="H34" t="str">
        <f>"09569"</f>
        <v>09569</v>
      </c>
      <c r="I34">
        <v>1</v>
      </c>
      <c r="J34">
        <v>0</v>
      </c>
      <c r="K34">
        <v>0</v>
      </c>
      <c r="L34">
        <v>0</v>
      </c>
    </row>
    <row r="35" spans="1:12" x14ac:dyDescent="0.25">
      <c r="A35" t="str">
        <f t="shared" si="0"/>
        <v>89301000</v>
      </c>
      <c r="B35" t="str">
        <f t="shared" si="6"/>
        <v>78915000</v>
      </c>
      <c r="C35" t="str">
        <f t="shared" si="7"/>
        <v>78915001</v>
      </c>
      <c r="D35" t="str">
        <f t="shared" si="8"/>
        <v>809</v>
      </c>
      <c r="E35" t="str">
        <f>"89301292"</f>
        <v>89301292</v>
      </c>
      <c r="F35" t="str">
        <f>"6252081044"</f>
        <v>6252081044</v>
      </c>
      <c r="G35" s="1">
        <v>44567</v>
      </c>
      <c r="H35" t="str">
        <f>"89713"</f>
        <v>89713</v>
      </c>
      <c r="I35">
        <v>1</v>
      </c>
      <c r="J35">
        <v>5362</v>
      </c>
      <c r="K35">
        <v>0</v>
      </c>
      <c r="L35">
        <v>3217.2</v>
      </c>
    </row>
    <row r="36" spans="1:12" x14ac:dyDescent="0.25">
      <c r="A36" t="str">
        <f t="shared" si="0"/>
        <v>89301000</v>
      </c>
      <c r="B36" t="str">
        <f t="shared" si="6"/>
        <v>78915000</v>
      </c>
      <c r="C36" t="str">
        <f t="shared" si="7"/>
        <v>78915001</v>
      </c>
      <c r="D36" t="str">
        <f t="shared" si="8"/>
        <v>809</v>
      </c>
      <c r="E36" t="str">
        <f>"89301062"</f>
        <v>89301062</v>
      </c>
      <c r="F36" t="str">
        <f>"6351290176"</f>
        <v>6351290176</v>
      </c>
      <c r="G36" s="1">
        <v>44572</v>
      </c>
      <c r="H36" t="str">
        <f>"89713"</f>
        <v>89713</v>
      </c>
      <c r="I36">
        <v>1</v>
      </c>
      <c r="J36">
        <v>5362</v>
      </c>
      <c r="K36">
        <v>0</v>
      </c>
      <c r="L36">
        <v>3217.2</v>
      </c>
    </row>
    <row r="37" spans="1:12" x14ac:dyDescent="0.25">
      <c r="A37" t="str">
        <f t="shared" si="0"/>
        <v>89301000</v>
      </c>
      <c r="B37" t="str">
        <f t="shared" si="6"/>
        <v>78915000</v>
      </c>
      <c r="C37" t="str">
        <f t="shared" si="7"/>
        <v>78915001</v>
      </c>
      <c r="D37" t="str">
        <f t="shared" si="8"/>
        <v>809</v>
      </c>
      <c r="E37" t="str">
        <f>"89301062"</f>
        <v>89301062</v>
      </c>
      <c r="F37" t="str">
        <f>"6351290176"</f>
        <v>6351290176</v>
      </c>
      <c r="G37" s="1">
        <v>44572</v>
      </c>
      <c r="H37" t="str">
        <f>"89725"</f>
        <v>89725</v>
      </c>
      <c r="I37">
        <v>1</v>
      </c>
      <c r="J37">
        <v>2839</v>
      </c>
      <c r="K37">
        <v>0</v>
      </c>
      <c r="L37">
        <v>1703.4</v>
      </c>
    </row>
    <row r="38" spans="1:12" x14ac:dyDescent="0.25">
      <c r="A38" t="str">
        <f t="shared" si="0"/>
        <v>89301000</v>
      </c>
      <c r="B38" t="str">
        <f t="shared" si="6"/>
        <v>78915000</v>
      </c>
      <c r="C38" t="str">
        <f t="shared" si="7"/>
        <v>78915001</v>
      </c>
      <c r="D38" t="str">
        <f t="shared" si="8"/>
        <v>809</v>
      </c>
      <c r="E38" t="str">
        <f>"89301212"</f>
        <v>89301212</v>
      </c>
      <c r="F38" t="str">
        <f>"6354031101"</f>
        <v>6354031101</v>
      </c>
      <c r="G38" s="1">
        <v>44572</v>
      </c>
      <c r="H38" t="str">
        <f>"89715"</f>
        <v>89715</v>
      </c>
      <c r="I38">
        <v>1</v>
      </c>
      <c r="J38">
        <v>5474</v>
      </c>
      <c r="K38">
        <v>0</v>
      </c>
      <c r="L38">
        <v>3284.4</v>
      </c>
    </row>
    <row r="39" spans="1:12" x14ac:dyDescent="0.25">
      <c r="A39" t="str">
        <f t="shared" si="0"/>
        <v>89301000</v>
      </c>
      <c r="B39" t="str">
        <f t="shared" si="6"/>
        <v>78915000</v>
      </c>
      <c r="C39" t="str">
        <f t="shared" si="7"/>
        <v>78915001</v>
      </c>
      <c r="D39" t="str">
        <f t="shared" si="8"/>
        <v>809</v>
      </c>
      <c r="E39" t="str">
        <f t="shared" ref="E39:E49" si="9">"89301062"</f>
        <v>89301062</v>
      </c>
      <c r="F39" t="str">
        <f>"6455180490"</f>
        <v>6455180490</v>
      </c>
      <c r="G39" s="1">
        <v>44587</v>
      </c>
      <c r="H39" t="str">
        <f>"89713"</f>
        <v>89713</v>
      </c>
      <c r="I39">
        <v>1</v>
      </c>
      <c r="J39">
        <v>5362</v>
      </c>
      <c r="K39">
        <v>0</v>
      </c>
      <c r="L39">
        <v>3217.2</v>
      </c>
    </row>
    <row r="40" spans="1:12" x14ac:dyDescent="0.25">
      <c r="A40" t="str">
        <f t="shared" si="0"/>
        <v>89301000</v>
      </c>
      <c r="B40" t="str">
        <f t="shared" si="6"/>
        <v>78915000</v>
      </c>
      <c r="C40" t="str">
        <f t="shared" si="7"/>
        <v>78915001</v>
      </c>
      <c r="D40" t="str">
        <f t="shared" si="8"/>
        <v>809</v>
      </c>
      <c r="E40" t="str">
        <f t="shared" si="9"/>
        <v>89301062</v>
      </c>
      <c r="F40" t="str">
        <f>"6954025331"</f>
        <v>6954025331</v>
      </c>
      <c r="G40" s="1">
        <v>44578</v>
      </c>
      <c r="H40" t="str">
        <f>"89713"</f>
        <v>89713</v>
      </c>
      <c r="I40">
        <v>1</v>
      </c>
      <c r="J40">
        <v>5362</v>
      </c>
      <c r="K40">
        <v>0</v>
      </c>
      <c r="L40">
        <v>3217.2</v>
      </c>
    </row>
    <row r="41" spans="1:12" x14ac:dyDescent="0.25">
      <c r="A41" t="str">
        <f t="shared" si="0"/>
        <v>89301000</v>
      </c>
      <c r="B41" t="str">
        <f t="shared" si="6"/>
        <v>78915000</v>
      </c>
      <c r="C41" t="str">
        <f t="shared" si="7"/>
        <v>78915001</v>
      </c>
      <c r="D41" t="str">
        <f t="shared" si="8"/>
        <v>809</v>
      </c>
      <c r="E41" t="str">
        <f t="shared" si="9"/>
        <v>89301062</v>
      </c>
      <c r="F41" t="str">
        <f>"6954025331"</f>
        <v>6954025331</v>
      </c>
      <c r="G41" s="1">
        <v>44578</v>
      </c>
      <c r="H41" t="str">
        <f>"89725"</f>
        <v>89725</v>
      </c>
      <c r="I41">
        <v>1</v>
      </c>
      <c r="J41">
        <v>2839</v>
      </c>
      <c r="K41">
        <v>0</v>
      </c>
      <c r="L41">
        <v>1703.4</v>
      </c>
    </row>
    <row r="42" spans="1:12" x14ac:dyDescent="0.25">
      <c r="A42" t="str">
        <f t="shared" si="0"/>
        <v>89301000</v>
      </c>
      <c r="B42" t="str">
        <f t="shared" si="6"/>
        <v>78915000</v>
      </c>
      <c r="C42" t="str">
        <f t="shared" si="7"/>
        <v>78915001</v>
      </c>
      <c r="D42" t="str">
        <f t="shared" si="8"/>
        <v>809</v>
      </c>
      <c r="E42" t="str">
        <f t="shared" si="9"/>
        <v>89301062</v>
      </c>
      <c r="F42" t="str">
        <f>"6959235316"</f>
        <v>6959235316</v>
      </c>
      <c r="G42" s="1">
        <v>44564</v>
      </c>
      <c r="H42" t="str">
        <f>"89713"</f>
        <v>89713</v>
      </c>
      <c r="I42">
        <v>1</v>
      </c>
      <c r="J42">
        <v>5362</v>
      </c>
      <c r="K42">
        <v>0</v>
      </c>
      <c r="L42">
        <v>3217.2</v>
      </c>
    </row>
    <row r="43" spans="1:12" x14ac:dyDescent="0.25">
      <c r="A43" t="str">
        <f t="shared" si="0"/>
        <v>89301000</v>
      </c>
      <c r="B43" t="str">
        <f t="shared" si="6"/>
        <v>78915000</v>
      </c>
      <c r="C43" t="str">
        <f t="shared" si="7"/>
        <v>78915001</v>
      </c>
      <c r="D43" t="str">
        <f t="shared" si="8"/>
        <v>809</v>
      </c>
      <c r="E43" t="str">
        <f t="shared" si="9"/>
        <v>89301062</v>
      </c>
      <c r="F43" t="str">
        <f>"6959235316"</f>
        <v>6959235316</v>
      </c>
      <c r="G43" s="1">
        <v>44564</v>
      </c>
      <c r="H43" t="str">
        <f>"89725"</f>
        <v>89725</v>
      </c>
      <c r="I43">
        <v>1</v>
      </c>
      <c r="J43">
        <v>2839</v>
      </c>
      <c r="K43">
        <v>0</v>
      </c>
      <c r="L43">
        <v>1703.4</v>
      </c>
    </row>
    <row r="44" spans="1:12" x14ac:dyDescent="0.25">
      <c r="A44" t="str">
        <f t="shared" si="0"/>
        <v>89301000</v>
      </c>
      <c r="B44" t="str">
        <f t="shared" si="6"/>
        <v>78915000</v>
      </c>
      <c r="C44" t="str">
        <f t="shared" si="7"/>
        <v>78915001</v>
      </c>
      <c r="D44" t="str">
        <f t="shared" si="8"/>
        <v>809</v>
      </c>
      <c r="E44" t="str">
        <f t="shared" si="9"/>
        <v>89301062</v>
      </c>
      <c r="F44" t="str">
        <f>"7003215318"</f>
        <v>7003215318</v>
      </c>
      <c r="G44" s="1">
        <v>44572</v>
      </c>
      <c r="H44" t="str">
        <f>"89713"</f>
        <v>89713</v>
      </c>
      <c r="I44">
        <v>1</v>
      </c>
      <c r="J44">
        <v>5362</v>
      </c>
      <c r="K44">
        <v>0</v>
      </c>
      <c r="L44">
        <v>3217.2</v>
      </c>
    </row>
    <row r="45" spans="1:12" x14ac:dyDescent="0.25">
      <c r="A45" t="str">
        <f t="shared" si="0"/>
        <v>89301000</v>
      </c>
      <c r="B45" t="str">
        <f t="shared" si="6"/>
        <v>78915000</v>
      </c>
      <c r="C45" t="str">
        <f t="shared" si="7"/>
        <v>78915001</v>
      </c>
      <c r="D45" t="str">
        <f t="shared" si="8"/>
        <v>809</v>
      </c>
      <c r="E45" t="str">
        <f t="shared" si="9"/>
        <v>89301062</v>
      </c>
      <c r="F45" t="str">
        <f>"7003215318"</f>
        <v>7003215318</v>
      </c>
      <c r="G45" s="1">
        <v>44572</v>
      </c>
      <c r="H45" t="str">
        <f>"89725"</f>
        <v>89725</v>
      </c>
      <c r="I45">
        <v>1</v>
      </c>
      <c r="J45">
        <v>2839</v>
      </c>
      <c r="K45">
        <v>0</v>
      </c>
      <c r="L45">
        <v>1703.4</v>
      </c>
    </row>
    <row r="46" spans="1:12" x14ac:dyDescent="0.25">
      <c r="A46" t="str">
        <f t="shared" si="0"/>
        <v>89301000</v>
      </c>
      <c r="B46" t="str">
        <f t="shared" si="6"/>
        <v>78915000</v>
      </c>
      <c r="C46" t="str">
        <f t="shared" si="7"/>
        <v>78915001</v>
      </c>
      <c r="D46" t="str">
        <f t="shared" si="8"/>
        <v>809</v>
      </c>
      <c r="E46" t="str">
        <f t="shared" si="9"/>
        <v>89301062</v>
      </c>
      <c r="F46" t="str">
        <f>"7062095315"</f>
        <v>7062095315</v>
      </c>
      <c r="G46" s="1">
        <v>44574</v>
      </c>
      <c r="H46" t="str">
        <f>"89713"</f>
        <v>89713</v>
      </c>
      <c r="I46">
        <v>1</v>
      </c>
      <c r="J46">
        <v>5362</v>
      </c>
      <c r="K46">
        <v>0</v>
      </c>
      <c r="L46">
        <v>3217.2</v>
      </c>
    </row>
    <row r="47" spans="1:12" x14ac:dyDescent="0.25">
      <c r="A47" t="str">
        <f t="shared" si="0"/>
        <v>89301000</v>
      </c>
      <c r="B47" t="str">
        <f t="shared" si="6"/>
        <v>78915000</v>
      </c>
      <c r="C47" t="str">
        <f t="shared" si="7"/>
        <v>78915001</v>
      </c>
      <c r="D47" t="str">
        <f t="shared" si="8"/>
        <v>809</v>
      </c>
      <c r="E47" t="str">
        <f t="shared" si="9"/>
        <v>89301062</v>
      </c>
      <c r="F47" t="str">
        <f>"7062095315"</f>
        <v>7062095315</v>
      </c>
      <c r="G47" s="1">
        <v>44574</v>
      </c>
      <c r="H47" t="str">
        <f>"89725"</f>
        <v>89725</v>
      </c>
      <c r="I47">
        <v>1</v>
      </c>
      <c r="J47">
        <v>2839</v>
      </c>
      <c r="K47">
        <v>0</v>
      </c>
      <c r="L47">
        <v>1703.4</v>
      </c>
    </row>
    <row r="48" spans="1:12" x14ac:dyDescent="0.25">
      <c r="A48" t="str">
        <f t="shared" si="0"/>
        <v>89301000</v>
      </c>
      <c r="B48" t="str">
        <f t="shared" si="6"/>
        <v>78915000</v>
      </c>
      <c r="C48" t="str">
        <f t="shared" si="7"/>
        <v>78915001</v>
      </c>
      <c r="D48" t="str">
        <f t="shared" si="8"/>
        <v>809</v>
      </c>
      <c r="E48" t="str">
        <f t="shared" si="9"/>
        <v>89301062</v>
      </c>
      <c r="F48" t="str">
        <f>"7455065332"</f>
        <v>7455065332</v>
      </c>
      <c r="G48" s="1">
        <v>44586</v>
      </c>
      <c r="H48" t="str">
        <f>"89713"</f>
        <v>89713</v>
      </c>
      <c r="I48">
        <v>1</v>
      </c>
      <c r="J48">
        <v>5362</v>
      </c>
      <c r="K48">
        <v>0</v>
      </c>
      <c r="L48">
        <v>3217.2</v>
      </c>
    </row>
    <row r="49" spans="1:12" x14ac:dyDescent="0.25">
      <c r="A49" t="str">
        <f t="shared" si="0"/>
        <v>89301000</v>
      </c>
      <c r="B49" t="str">
        <f t="shared" si="6"/>
        <v>78915000</v>
      </c>
      <c r="C49" t="str">
        <f t="shared" si="7"/>
        <v>78915001</v>
      </c>
      <c r="D49" t="str">
        <f t="shared" si="8"/>
        <v>809</v>
      </c>
      <c r="E49" t="str">
        <f t="shared" si="9"/>
        <v>89301062</v>
      </c>
      <c r="F49" t="str">
        <f>"7455065332"</f>
        <v>7455065332</v>
      </c>
      <c r="G49" s="1">
        <v>44586</v>
      </c>
      <c r="H49" t="str">
        <f>"89725"</f>
        <v>89725</v>
      </c>
      <c r="I49">
        <v>1</v>
      </c>
      <c r="J49">
        <v>2839</v>
      </c>
      <c r="K49">
        <v>0</v>
      </c>
      <c r="L49">
        <v>1703.4</v>
      </c>
    </row>
    <row r="50" spans="1:12" x14ac:dyDescent="0.25">
      <c r="A50" t="str">
        <f t="shared" si="0"/>
        <v>89301000</v>
      </c>
      <c r="B50" t="str">
        <f t="shared" si="6"/>
        <v>78915000</v>
      </c>
      <c r="C50" t="str">
        <f t="shared" si="7"/>
        <v>78915001</v>
      </c>
      <c r="D50" t="str">
        <f t="shared" si="8"/>
        <v>809</v>
      </c>
      <c r="E50" t="str">
        <f>"89301172"</f>
        <v>89301172</v>
      </c>
      <c r="F50" t="str">
        <f>"7654295352"</f>
        <v>7654295352</v>
      </c>
      <c r="G50" s="1">
        <v>44572</v>
      </c>
      <c r="H50" t="str">
        <f>"89713"</f>
        <v>89713</v>
      </c>
      <c r="I50">
        <v>2</v>
      </c>
      <c r="J50">
        <v>10724</v>
      </c>
      <c r="K50">
        <v>0</v>
      </c>
      <c r="L50">
        <v>6434.4</v>
      </c>
    </row>
    <row r="51" spans="1:12" x14ac:dyDescent="0.25">
      <c r="A51" t="str">
        <f t="shared" si="0"/>
        <v>89301000</v>
      </c>
      <c r="B51" t="str">
        <f t="shared" si="6"/>
        <v>78915000</v>
      </c>
      <c r="C51" t="str">
        <f t="shared" si="7"/>
        <v>78915001</v>
      </c>
      <c r="D51" t="str">
        <f t="shared" si="8"/>
        <v>809</v>
      </c>
      <c r="E51" t="str">
        <f>"89301172"</f>
        <v>89301172</v>
      </c>
      <c r="F51" t="str">
        <f>"7654295352"</f>
        <v>7654295352</v>
      </c>
      <c r="G51" s="1">
        <v>44572</v>
      </c>
      <c r="H51" t="str">
        <f>"89725"</f>
        <v>89725</v>
      </c>
      <c r="I51">
        <v>1</v>
      </c>
      <c r="J51">
        <v>2839</v>
      </c>
      <c r="K51">
        <v>0</v>
      </c>
      <c r="L51">
        <v>1703.4</v>
      </c>
    </row>
    <row r="52" spans="1:12" x14ac:dyDescent="0.25">
      <c r="A52" t="str">
        <f t="shared" si="0"/>
        <v>89301000</v>
      </c>
      <c r="B52" t="str">
        <f t="shared" si="6"/>
        <v>78915000</v>
      </c>
      <c r="C52" t="str">
        <f t="shared" si="7"/>
        <v>78915001</v>
      </c>
      <c r="D52" t="str">
        <f t="shared" si="8"/>
        <v>809</v>
      </c>
      <c r="E52" t="str">
        <f>"89301042"</f>
        <v>89301042</v>
      </c>
      <c r="F52" t="str">
        <f>"7655015346"</f>
        <v>7655015346</v>
      </c>
      <c r="G52" s="1">
        <v>44573</v>
      </c>
      <c r="H52" t="str">
        <f>"89715"</f>
        <v>89715</v>
      </c>
      <c r="I52">
        <v>1</v>
      </c>
      <c r="J52">
        <v>5474</v>
      </c>
      <c r="K52">
        <v>0</v>
      </c>
      <c r="L52">
        <v>3284.4</v>
      </c>
    </row>
    <row r="53" spans="1:12" x14ac:dyDescent="0.25">
      <c r="A53" t="str">
        <f t="shared" si="0"/>
        <v>89301000</v>
      </c>
      <c r="B53" t="str">
        <f t="shared" si="6"/>
        <v>78915000</v>
      </c>
      <c r="C53" t="str">
        <f t="shared" si="7"/>
        <v>78915001</v>
      </c>
      <c r="D53" t="str">
        <f t="shared" si="8"/>
        <v>809</v>
      </c>
      <c r="E53" t="str">
        <f>"89301042"</f>
        <v>89301042</v>
      </c>
      <c r="F53" t="str">
        <f>"7655015346"</f>
        <v>7655015346</v>
      </c>
      <c r="G53" s="1">
        <v>44573</v>
      </c>
      <c r="H53" t="str">
        <f>"89725"</f>
        <v>89725</v>
      </c>
      <c r="I53">
        <v>1</v>
      </c>
      <c r="J53">
        <v>2839</v>
      </c>
      <c r="K53">
        <v>0</v>
      </c>
      <c r="L53">
        <v>1703.4</v>
      </c>
    </row>
    <row r="54" spans="1:12" x14ac:dyDescent="0.25">
      <c r="A54" t="str">
        <f t="shared" si="0"/>
        <v>89301000</v>
      </c>
      <c r="B54" t="str">
        <f t="shared" si="6"/>
        <v>78915000</v>
      </c>
      <c r="C54" t="str">
        <f t="shared" si="7"/>
        <v>78915001</v>
      </c>
      <c r="D54" t="str">
        <f t="shared" si="8"/>
        <v>809</v>
      </c>
      <c r="E54" t="str">
        <f>"89301042"</f>
        <v>89301042</v>
      </c>
      <c r="F54" t="str">
        <f>"7655015346"</f>
        <v>7655015346</v>
      </c>
      <c r="G54" s="1">
        <v>44573</v>
      </c>
      <c r="H54" t="str">
        <f>"0207733"</f>
        <v>0207733</v>
      </c>
      <c r="I54">
        <v>1</v>
      </c>
      <c r="K54">
        <v>2590.5300000000002</v>
      </c>
      <c r="L54">
        <v>2590.5300000000002</v>
      </c>
    </row>
    <row r="55" spans="1:12" x14ac:dyDescent="0.25">
      <c r="A55" t="str">
        <f t="shared" si="0"/>
        <v>89301000</v>
      </c>
      <c r="B55" t="str">
        <f t="shared" si="6"/>
        <v>78915000</v>
      </c>
      <c r="C55" t="str">
        <f t="shared" si="7"/>
        <v>78915001</v>
      </c>
      <c r="D55" t="str">
        <f t="shared" si="8"/>
        <v>809</v>
      </c>
      <c r="E55" t="str">
        <f>"89301172"</f>
        <v>89301172</v>
      </c>
      <c r="F55" t="str">
        <f>"7702025309"</f>
        <v>7702025309</v>
      </c>
      <c r="G55" s="1">
        <v>44592</v>
      </c>
      <c r="H55" t="str">
        <f>"89713"</f>
        <v>89713</v>
      </c>
      <c r="I55">
        <v>1</v>
      </c>
      <c r="J55">
        <v>5362</v>
      </c>
      <c r="K55">
        <v>0</v>
      </c>
      <c r="L55">
        <v>3217.2</v>
      </c>
    </row>
    <row r="56" spans="1:12" x14ac:dyDescent="0.25">
      <c r="A56" t="str">
        <f t="shared" si="0"/>
        <v>89301000</v>
      </c>
      <c r="B56" t="str">
        <f t="shared" si="6"/>
        <v>78915000</v>
      </c>
      <c r="C56" t="str">
        <f t="shared" si="7"/>
        <v>78915001</v>
      </c>
      <c r="D56" t="str">
        <f t="shared" si="8"/>
        <v>809</v>
      </c>
      <c r="E56" t="str">
        <f t="shared" ref="E56:E61" si="10">"89301112"</f>
        <v>89301112</v>
      </c>
      <c r="F56" t="str">
        <f>"7711011352"</f>
        <v>7711011352</v>
      </c>
      <c r="G56" s="1">
        <v>44582</v>
      </c>
      <c r="H56" t="str">
        <f>"09569"</f>
        <v>09569</v>
      </c>
      <c r="I56">
        <v>1</v>
      </c>
      <c r="J56">
        <v>0</v>
      </c>
      <c r="K56">
        <v>0</v>
      </c>
      <c r="L56">
        <v>0</v>
      </c>
    </row>
    <row r="57" spans="1:12" x14ac:dyDescent="0.25">
      <c r="A57" t="str">
        <f t="shared" si="0"/>
        <v>89301000</v>
      </c>
      <c r="B57" t="str">
        <f t="shared" si="6"/>
        <v>78915000</v>
      </c>
      <c r="C57" t="str">
        <f t="shared" si="7"/>
        <v>78915001</v>
      </c>
      <c r="D57" t="str">
        <f t="shared" si="8"/>
        <v>809</v>
      </c>
      <c r="E57" t="str">
        <f t="shared" si="10"/>
        <v>89301112</v>
      </c>
      <c r="F57" t="str">
        <f>"7711011352"</f>
        <v>7711011352</v>
      </c>
      <c r="G57" s="1">
        <v>44582</v>
      </c>
      <c r="H57" t="str">
        <f>"89713"</f>
        <v>89713</v>
      </c>
      <c r="I57">
        <v>1</v>
      </c>
      <c r="J57">
        <v>5362</v>
      </c>
      <c r="K57">
        <v>0</v>
      </c>
      <c r="L57">
        <v>3217.2</v>
      </c>
    </row>
    <row r="58" spans="1:12" x14ac:dyDescent="0.25">
      <c r="A58" t="str">
        <f t="shared" si="0"/>
        <v>89301000</v>
      </c>
      <c r="B58" t="str">
        <f t="shared" si="6"/>
        <v>78915000</v>
      </c>
      <c r="C58" t="str">
        <f t="shared" si="7"/>
        <v>78915001</v>
      </c>
      <c r="D58" t="str">
        <f t="shared" si="8"/>
        <v>809</v>
      </c>
      <c r="E58" t="str">
        <f t="shared" si="10"/>
        <v>89301112</v>
      </c>
      <c r="F58" t="str">
        <f>"8105174836"</f>
        <v>8105174836</v>
      </c>
      <c r="G58" s="1">
        <v>44574</v>
      </c>
      <c r="H58" t="str">
        <f>"09567"</f>
        <v>09567</v>
      </c>
      <c r="I58">
        <v>1</v>
      </c>
      <c r="J58">
        <v>0</v>
      </c>
      <c r="K58">
        <v>0</v>
      </c>
      <c r="L58">
        <v>0</v>
      </c>
    </row>
    <row r="59" spans="1:12" x14ac:dyDescent="0.25">
      <c r="A59" t="str">
        <f t="shared" si="0"/>
        <v>89301000</v>
      </c>
      <c r="B59" t="str">
        <f t="shared" si="6"/>
        <v>78915000</v>
      </c>
      <c r="C59" t="str">
        <f t="shared" si="7"/>
        <v>78915001</v>
      </c>
      <c r="D59" t="str">
        <f t="shared" si="8"/>
        <v>809</v>
      </c>
      <c r="E59" t="str">
        <f t="shared" si="10"/>
        <v>89301112</v>
      </c>
      <c r="F59" t="str">
        <f>"8105174836"</f>
        <v>8105174836</v>
      </c>
      <c r="G59" s="1">
        <v>44574</v>
      </c>
      <c r="H59" t="str">
        <f>"89713"</f>
        <v>89713</v>
      </c>
      <c r="I59">
        <v>1</v>
      </c>
      <c r="J59">
        <v>5362</v>
      </c>
      <c r="K59">
        <v>0</v>
      </c>
      <c r="L59">
        <v>3217.2</v>
      </c>
    </row>
    <row r="60" spans="1:12" x14ac:dyDescent="0.25">
      <c r="A60" t="str">
        <f t="shared" si="0"/>
        <v>89301000</v>
      </c>
      <c r="B60" t="str">
        <f t="shared" si="6"/>
        <v>78915000</v>
      </c>
      <c r="C60" t="str">
        <f t="shared" si="7"/>
        <v>78915001</v>
      </c>
      <c r="D60" t="str">
        <f t="shared" si="8"/>
        <v>809</v>
      </c>
      <c r="E60" t="str">
        <f t="shared" si="10"/>
        <v>89301112</v>
      </c>
      <c r="F60" t="str">
        <f>"8711026214"</f>
        <v>8711026214</v>
      </c>
      <c r="G60" s="1">
        <v>44574</v>
      </c>
      <c r="H60" t="str">
        <f>"09569"</f>
        <v>09569</v>
      </c>
      <c r="I60">
        <v>1</v>
      </c>
      <c r="J60">
        <v>0</v>
      </c>
      <c r="K60">
        <v>0</v>
      </c>
      <c r="L60">
        <v>0</v>
      </c>
    </row>
    <row r="61" spans="1:12" x14ac:dyDescent="0.25">
      <c r="A61" t="str">
        <f t="shared" si="0"/>
        <v>89301000</v>
      </c>
      <c r="B61" t="str">
        <f t="shared" si="6"/>
        <v>78915000</v>
      </c>
      <c r="C61" t="str">
        <f t="shared" si="7"/>
        <v>78915001</v>
      </c>
      <c r="D61" t="str">
        <f t="shared" si="8"/>
        <v>809</v>
      </c>
      <c r="E61" t="str">
        <f t="shared" si="10"/>
        <v>89301112</v>
      </c>
      <c r="F61" t="str">
        <f>"8711026214"</f>
        <v>8711026214</v>
      </c>
      <c r="G61" s="1">
        <v>44574</v>
      </c>
      <c r="H61" t="str">
        <f>"89713"</f>
        <v>89713</v>
      </c>
      <c r="I61">
        <v>1</v>
      </c>
      <c r="J61">
        <v>5362</v>
      </c>
      <c r="K61">
        <v>0</v>
      </c>
      <c r="L61">
        <v>3217.2</v>
      </c>
    </row>
    <row r="62" spans="1:12" x14ac:dyDescent="0.25">
      <c r="A62" t="str">
        <f t="shared" si="0"/>
        <v>89301000</v>
      </c>
      <c r="B62" t="str">
        <f t="shared" si="6"/>
        <v>78915000</v>
      </c>
      <c r="C62" t="str">
        <f t="shared" si="7"/>
        <v>78915001</v>
      </c>
      <c r="D62" t="str">
        <f t="shared" si="8"/>
        <v>809</v>
      </c>
      <c r="E62" t="str">
        <f>"89301312"</f>
        <v>89301312</v>
      </c>
      <c r="F62" t="str">
        <f>"9007125732"</f>
        <v>9007125732</v>
      </c>
      <c r="G62" s="1">
        <v>44566</v>
      </c>
      <c r="H62" t="str">
        <f>"09567"</f>
        <v>09567</v>
      </c>
      <c r="I62">
        <v>1</v>
      </c>
      <c r="J62">
        <v>0</v>
      </c>
      <c r="K62">
        <v>0</v>
      </c>
      <c r="L62">
        <v>0</v>
      </c>
    </row>
    <row r="63" spans="1:12" x14ac:dyDescent="0.25">
      <c r="A63" t="str">
        <f t="shared" si="0"/>
        <v>89301000</v>
      </c>
      <c r="B63" t="str">
        <f t="shared" si="6"/>
        <v>78915000</v>
      </c>
      <c r="C63" t="str">
        <f t="shared" si="7"/>
        <v>78915001</v>
      </c>
      <c r="D63" t="str">
        <f t="shared" si="8"/>
        <v>809</v>
      </c>
      <c r="E63" t="str">
        <f>"89301312"</f>
        <v>89301312</v>
      </c>
      <c r="F63" t="str">
        <f>"9007125732"</f>
        <v>9007125732</v>
      </c>
      <c r="G63" s="1">
        <v>44566</v>
      </c>
      <c r="H63" t="str">
        <f>"89713"</f>
        <v>89713</v>
      </c>
      <c r="I63">
        <v>1</v>
      </c>
      <c r="J63">
        <v>5362</v>
      </c>
      <c r="K63">
        <v>0</v>
      </c>
      <c r="L63">
        <v>3217.2</v>
      </c>
    </row>
    <row r="64" spans="1:12" x14ac:dyDescent="0.25">
      <c r="A64" t="str">
        <f t="shared" si="0"/>
        <v>89301000</v>
      </c>
      <c r="B64" t="str">
        <f t="shared" si="6"/>
        <v>78915000</v>
      </c>
      <c r="C64" t="str">
        <f t="shared" si="7"/>
        <v>78915001</v>
      </c>
      <c r="D64" t="str">
        <f t="shared" si="8"/>
        <v>809</v>
      </c>
      <c r="E64" t="str">
        <f>"89301112"</f>
        <v>89301112</v>
      </c>
      <c r="F64" t="str">
        <f>"9306025707"</f>
        <v>9306025707</v>
      </c>
      <c r="G64" s="1">
        <v>44590</v>
      </c>
      <c r="H64" t="str">
        <f>"09569"</f>
        <v>09569</v>
      </c>
      <c r="I64">
        <v>1</v>
      </c>
      <c r="J64">
        <v>0</v>
      </c>
      <c r="K64">
        <v>0</v>
      </c>
      <c r="L64">
        <v>0</v>
      </c>
    </row>
    <row r="65" spans="1:12" x14ac:dyDescent="0.25">
      <c r="A65" t="str">
        <f t="shared" si="0"/>
        <v>89301000</v>
      </c>
      <c r="B65" t="str">
        <f t="shared" si="6"/>
        <v>78915000</v>
      </c>
      <c r="C65" t="str">
        <f t="shared" si="7"/>
        <v>78915001</v>
      </c>
      <c r="D65" t="str">
        <f t="shared" si="8"/>
        <v>809</v>
      </c>
      <c r="E65" t="str">
        <f>"89301112"</f>
        <v>89301112</v>
      </c>
      <c r="F65" t="str">
        <f>"9306025707"</f>
        <v>9306025707</v>
      </c>
      <c r="G65" s="1">
        <v>44590</v>
      </c>
      <c r="H65" t="str">
        <f>"89713"</f>
        <v>89713</v>
      </c>
      <c r="I65">
        <v>1</v>
      </c>
      <c r="J65">
        <v>5362</v>
      </c>
      <c r="K65">
        <v>0</v>
      </c>
      <c r="L65">
        <v>3217.2</v>
      </c>
    </row>
    <row r="66" spans="1:12" x14ac:dyDescent="0.25">
      <c r="A66" t="str">
        <f t="shared" ref="A66:A129" si="11">"89301000"</f>
        <v>89301000</v>
      </c>
      <c r="B66" t="str">
        <f t="shared" si="6"/>
        <v>78915000</v>
      </c>
      <c r="C66" t="str">
        <f t="shared" si="7"/>
        <v>78915001</v>
      </c>
      <c r="D66" t="str">
        <f t="shared" si="8"/>
        <v>809</v>
      </c>
      <c r="E66" t="str">
        <f>"89301212"</f>
        <v>89301212</v>
      </c>
      <c r="F66" t="str">
        <f>"9354025714"</f>
        <v>9354025714</v>
      </c>
      <c r="G66" s="1">
        <v>44580</v>
      </c>
      <c r="H66" t="str">
        <f>"89715"</f>
        <v>89715</v>
      </c>
      <c r="I66">
        <v>1</v>
      </c>
      <c r="J66">
        <v>5474</v>
      </c>
      <c r="K66">
        <v>0</v>
      </c>
      <c r="L66">
        <v>3284.4</v>
      </c>
    </row>
    <row r="67" spans="1:12" x14ac:dyDescent="0.25">
      <c r="A67" t="str">
        <f t="shared" si="11"/>
        <v>89301000</v>
      </c>
      <c r="B67" t="str">
        <f t="shared" si="6"/>
        <v>78915000</v>
      </c>
      <c r="C67" t="str">
        <f t="shared" si="7"/>
        <v>78915001</v>
      </c>
      <c r="D67" t="str">
        <f t="shared" si="8"/>
        <v>809</v>
      </c>
      <c r="E67" t="str">
        <f>"89301212"</f>
        <v>89301212</v>
      </c>
      <c r="F67" t="str">
        <f>"9354025714"</f>
        <v>9354025714</v>
      </c>
      <c r="G67" s="1">
        <v>44580</v>
      </c>
      <c r="H67" t="str">
        <f>"89725"</f>
        <v>89725</v>
      </c>
      <c r="I67">
        <v>1</v>
      </c>
      <c r="J67">
        <v>2839</v>
      </c>
      <c r="K67">
        <v>0</v>
      </c>
      <c r="L67">
        <v>1703.4</v>
      </c>
    </row>
    <row r="68" spans="1:12" x14ac:dyDescent="0.25">
      <c r="A68" t="str">
        <f t="shared" si="11"/>
        <v>89301000</v>
      </c>
      <c r="B68" t="str">
        <f t="shared" si="6"/>
        <v>78915000</v>
      </c>
      <c r="C68" t="str">
        <f t="shared" si="7"/>
        <v>78915001</v>
      </c>
      <c r="D68" t="str">
        <f t="shared" si="8"/>
        <v>809</v>
      </c>
      <c r="E68" t="str">
        <f>"89301212"</f>
        <v>89301212</v>
      </c>
      <c r="F68" t="str">
        <f>"9354025714"</f>
        <v>9354025714</v>
      </c>
      <c r="G68" s="1">
        <v>44580</v>
      </c>
      <c r="H68" t="str">
        <f>"0207733"</f>
        <v>0207733</v>
      </c>
      <c r="I68">
        <v>1</v>
      </c>
      <c r="K68">
        <v>2590.5300000000002</v>
      </c>
      <c r="L68">
        <v>2590.5300000000002</v>
      </c>
    </row>
    <row r="69" spans="1:12" x14ac:dyDescent="0.25">
      <c r="A69" t="str">
        <f t="shared" si="11"/>
        <v>89301000</v>
      </c>
      <c r="B69" t="str">
        <f t="shared" ref="B69:B82" si="12">"93501000"</f>
        <v>93501000</v>
      </c>
      <c r="C69" t="str">
        <f t="shared" ref="C69:C81" si="13">"93501001"</f>
        <v>93501001</v>
      </c>
      <c r="D69" t="str">
        <f t="shared" ref="D69:D81" si="14">"801"</f>
        <v>801</v>
      </c>
      <c r="E69" t="str">
        <f t="shared" ref="E69:E82" si="15">"89301037"</f>
        <v>89301037</v>
      </c>
      <c r="F69" t="str">
        <f t="shared" ref="F69:F82" si="16">"6461161542"</f>
        <v>6461161542</v>
      </c>
      <c r="G69" s="1">
        <v>44582</v>
      </c>
      <c r="H69" t="str">
        <f>"81337"</f>
        <v>81337</v>
      </c>
      <c r="I69">
        <v>1</v>
      </c>
      <c r="J69">
        <v>19</v>
      </c>
      <c r="K69">
        <v>0</v>
      </c>
      <c r="L69">
        <v>14.82</v>
      </c>
    </row>
    <row r="70" spans="1:12" x14ac:dyDescent="0.25">
      <c r="A70" t="str">
        <f t="shared" si="11"/>
        <v>89301000</v>
      </c>
      <c r="B70" t="str">
        <f t="shared" si="12"/>
        <v>93501000</v>
      </c>
      <c r="C70" t="str">
        <f t="shared" si="13"/>
        <v>93501001</v>
      </c>
      <c r="D70" t="str">
        <f t="shared" si="14"/>
        <v>801</v>
      </c>
      <c r="E70" t="str">
        <f t="shared" si="15"/>
        <v>89301037</v>
      </c>
      <c r="F70" t="str">
        <f t="shared" si="16"/>
        <v>6461161542</v>
      </c>
      <c r="G70" s="1">
        <v>44582</v>
      </c>
      <c r="H70" t="str">
        <f>"81357"</f>
        <v>81357</v>
      </c>
      <c r="I70">
        <v>1</v>
      </c>
      <c r="J70">
        <v>19</v>
      </c>
      <c r="K70">
        <v>0</v>
      </c>
      <c r="L70">
        <v>14.82</v>
      </c>
    </row>
    <row r="71" spans="1:12" x14ac:dyDescent="0.25">
      <c r="A71" t="str">
        <f t="shared" si="11"/>
        <v>89301000</v>
      </c>
      <c r="B71" t="str">
        <f t="shared" si="12"/>
        <v>93501000</v>
      </c>
      <c r="C71" t="str">
        <f t="shared" si="13"/>
        <v>93501001</v>
      </c>
      <c r="D71" t="str">
        <f t="shared" si="14"/>
        <v>801</v>
      </c>
      <c r="E71" t="str">
        <f t="shared" si="15"/>
        <v>89301037</v>
      </c>
      <c r="F71" t="str">
        <f t="shared" si="16"/>
        <v>6461161542</v>
      </c>
      <c r="G71" s="1">
        <v>44582</v>
      </c>
      <c r="H71" t="str">
        <f>"81361"</f>
        <v>81361</v>
      </c>
      <c r="I71">
        <v>1</v>
      </c>
      <c r="J71">
        <v>17</v>
      </c>
      <c r="K71">
        <v>0</v>
      </c>
      <c r="L71">
        <v>13.26</v>
      </c>
    </row>
    <row r="72" spans="1:12" x14ac:dyDescent="0.25">
      <c r="A72" t="str">
        <f t="shared" si="11"/>
        <v>89301000</v>
      </c>
      <c r="B72" t="str">
        <f t="shared" si="12"/>
        <v>93501000</v>
      </c>
      <c r="C72" t="str">
        <f t="shared" si="13"/>
        <v>93501001</v>
      </c>
      <c r="D72" t="str">
        <f t="shared" si="14"/>
        <v>801</v>
      </c>
      <c r="E72" t="str">
        <f t="shared" si="15"/>
        <v>89301037</v>
      </c>
      <c r="F72" t="str">
        <f t="shared" si="16"/>
        <v>6461161542</v>
      </c>
      <c r="G72" s="1">
        <v>44582</v>
      </c>
      <c r="H72" t="str">
        <f>"81393"</f>
        <v>81393</v>
      </c>
      <c r="I72">
        <v>1</v>
      </c>
      <c r="J72">
        <v>24</v>
      </c>
      <c r="K72">
        <v>0</v>
      </c>
      <c r="L72">
        <v>18.72</v>
      </c>
    </row>
    <row r="73" spans="1:12" x14ac:dyDescent="0.25">
      <c r="A73" t="str">
        <f t="shared" si="11"/>
        <v>89301000</v>
      </c>
      <c r="B73" t="str">
        <f t="shared" si="12"/>
        <v>93501000</v>
      </c>
      <c r="C73" t="str">
        <f t="shared" si="13"/>
        <v>93501001</v>
      </c>
      <c r="D73" t="str">
        <f t="shared" si="14"/>
        <v>801</v>
      </c>
      <c r="E73" t="str">
        <f t="shared" si="15"/>
        <v>89301037</v>
      </c>
      <c r="F73" t="str">
        <f t="shared" si="16"/>
        <v>6461161542</v>
      </c>
      <c r="G73" s="1">
        <v>44582</v>
      </c>
      <c r="H73" t="str">
        <f>"81421"</f>
        <v>81421</v>
      </c>
      <c r="I73">
        <v>1</v>
      </c>
      <c r="J73">
        <v>19</v>
      </c>
      <c r="K73">
        <v>0</v>
      </c>
      <c r="L73">
        <v>14.82</v>
      </c>
    </row>
    <row r="74" spans="1:12" x14ac:dyDescent="0.25">
      <c r="A74" t="str">
        <f t="shared" si="11"/>
        <v>89301000</v>
      </c>
      <c r="B74" t="str">
        <f t="shared" si="12"/>
        <v>93501000</v>
      </c>
      <c r="C74" t="str">
        <f t="shared" si="13"/>
        <v>93501001</v>
      </c>
      <c r="D74" t="str">
        <f t="shared" si="14"/>
        <v>801</v>
      </c>
      <c r="E74" t="str">
        <f t="shared" si="15"/>
        <v>89301037</v>
      </c>
      <c r="F74" t="str">
        <f t="shared" si="16"/>
        <v>6461161542</v>
      </c>
      <c r="G74" s="1">
        <v>44582</v>
      </c>
      <c r="H74" t="str">
        <f>"81435"</f>
        <v>81435</v>
      </c>
      <c r="I74">
        <v>1</v>
      </c>
      <c r="J74">
        <v>22</v>
      </c>
      <c r="K74">
        <v>0</v>
      </c>
      <c r="L74">
        <v>17.16</v>
      </c>
    </row>
    <row r="75" spans="1:12" x14ac:dyDescent="0.25">
      <c r="A75" t="str">
        <f t="shared" si="11"/>
        <v>89301000</v>
      </c>
      <c r="B75" t="str">
        <f t="shared" si="12"/>
        <v>93501000</v>
      </c>
      <c r="C75" t="str">
        <f t="shared" si="13"/>
        <v>93501001</v>
      </c>
      <c r="D75" t="str">
        <f t="shared" si="14"/>
        <v>801</v>
      </c>
      <c r="E75" t="str">
        <f t="shared" si="15"/>
        <v>89301037</v>
      </c>
      <c r="F75" t="str">
        <f t="shared" si="16"/>
        <v>6461161542</v>
      </c>
      <c r="G75" s="1">
        <v>44582</v>
      </c>
      <c r="H75" t="str">
        <f>"81469"</f>
        <v>81469</v>
      </c>
      <c r="I75">
        <v>1</v>
      </c>
      <c r="J75">
        <v>16</v>
      </c>
      <c r="K75">
        <v>0</v>
      </c>
      <c r="L75">
        <v>12.48</v>
      </c>
    </row>
    <row r="76" spans="1:12" x14ac:dyDescent="0.25">
      <c r="A76" t="str">
        <f t="shared" si="11"/>
        <v>89301000</v>
      </c>
      <c r="B76" t="str">
        <f t="shared" si="12"/>
        <v>93501000</v>
      </c>
      <c r="C76" t="str">
        <f t="shared" si="13"/>
        <v>93501001</v>
      </c>
      <c r="D76" t="str">
        <f t="shared" si="14"/>
        <v>801</v>
      </c>
      <c r="E76" t="str">
        <f t="shared" si="15"/>
        <v>89301037</v>
      </c>
      <c r="F76" t="str">
        <f t="shared" si="16"/>
        <v>6461161542</v>
      </c>
      <c r="G76" s="1">
        <v>44582</v>
      </c>
      <c r="H76" t="str">
        <f>"81499"</f>
        <v>81499</v>
      </c>
      <c r="I76">
        <v>1</v>
      </c>
      <c r="J76">
        <v>18</v>
      </c>
      <c r="K76">
        <v>0</v>
      </c>
      <c r="L76">
        <v>14.04</v>
      </c>
    </row>
    <row r="77" spans="1:12" x14ac:dyDescent="0.25">
      <c r="A77" t="str">
        <f t="shared" si="11"/>
        <v>89301000</v>
      </c>
      <c r="B77" t="str">
        <f t="shared" si="12"/>
        <v>93501000</v>
      </c>
      <c r="C77" t="str">
        <f t="shared" si="13"/>
        <v>93501001</v>
      </c>
      <c r="D77" t="str">
        <f t="shared" si="14"/>
        <v>801</v>
      </c>
      <c r="E77" t="str">
        <f t="shared" si="15"/>
        <v>89301037</v>
      </c>
      <c r="F77" t="str">
        <f t="shared" si="16"/>
        <v>6461161542</v>
      </c>
      <c r="G77" s="1">
        <v>44582</v>
      </c>
      <c r="H77" t="str">
        <f>"81523"</f>
        <v>81523</v>
      </c>
      <c r="I77">
        <v>1</v>
      </c>
      <c r="J77">
        <v>23</v>
      </c>
      <c r="K77">
        <v>0</v>
      </c>
      <c r="L77">
        <v>17.940000000000001</v>
      </c>
    </row>
    <row r="78" spans="1:12" x14ac:dyDescent="0.25">
      <c r="A78" t="str">
        <f t="shared" si="11"/>
        <v>89301000</v>
      </c>
      <c r="B78" t="str">
        <f t="shared" si="12"/>
        <v>93501000</v>
      </c>
      <c r="C78" t="str">
        <f t="shared" si="13"/>
        <v>93501001</v>
      </c>
      <c r="D78" t="str">
        <f t="shared" si="14"/>
        <v>801</v>
      </c>
      <c r="E78" t="str">
        <f t="shared" si="15"/>
        <v>89301037</v>
      </c>
      <c r="F78" t="str">
        <f t="shared" si="16"/>
        <v>6461161542</v>
      </c>
      <c r="G78" s="1">
        <v>44582</v>
      </c>
      <c r="H78" t="str">
        <f>"81593"</f>
        <v>81593</v>
      </c>
      <c r="I78">
        <v>1</v>
      </c>
      <c r="J78">
        <v>22</v>
      </c>
      <c r="K78">
        <v>0</v>
      </c>
      <c r="L78">
        <v>17.16</v>
      </c>
    </row>
    <row r="79" spans="1:12" x14ac:dyDescent="0.25">
      <c r="A79" t="str">
        <f t="shared" si="11"/>
        <v>89301000</v>
      </c>
      <c r="B79" t="str">
        <f t="shared" si="12"/>
        <v>93501000</v>
      </c>
      <c r="C79" t="str">
        <f t="shared" si="13"/>
        <v>93501001</v>
      </c>
      <c r="D79" t="str">
        <f t="shared" si="14"/>
        <v>801</v>
      </c>
      <c r="E79" t="str">
        <f t="shared" si="15"/>
        <v>89301037</v>
      </c>
      <c r="F79" t="str">
        <f t="shared" si="16"/>
        <v>6461161542</v>
      </c>
      <c r="G79" s="1">
        <v>44582</v>
      </c>
      <c r="H79" t="str">
        <f>"81621"</f>
        <v>81621</v>
      </c>
      <c r="I79">
        <v>1</v>
      </c>
      <c r="J79">
        <v>19</v>
      </c>
      <c r="K79">
        <v>0</v>
      </c>
      <c r="L79">
        <v>14.82</v>
      </c>
    </row>
    <row r="80" spans="1:12" x14ac:dyDescent="0.25">
      <c r="A80" t="str">
        <f t="shared" si="11"/>
        <v>89301000</v>
      </c>
      <c r="B80" t="str">
        <f t="shared" si="12"/>
        <v>93501000</v>
      </c>
      <c r="C80" t="str">
        <f t="shared" si="13"/>
        <v>93501001</v>
      </c>
      <c r="D80" t="str">
        <f t="shared" si="14"/>
        <v>801</v>
      </c>
      <c r="E80" t="str">
        <f t="shared" si="15"/>
        <v>89301037</v>
      </c>
      <c r="F80" t="str">
        <f t="shared" si="16"/>
        <v>6461161542</v>
      </c>
      <c r="G80" s="1">
        <v>44582</v>
      </c>
      <c r="H80" t="str">
        <f>"91153"</f>
        <v>91153</v>
      </c>
      <c r="I80">
        <v>1</v>
      </c>
      <c r="J80">
        <v>152</v>
      </c>
      <c r="K80">
        <v>0</v>
      </c>
      <c r="L80">
        <v>118.56</v>
      </c>
    </row>
    <row r="81" spans="1:12" x14ac:dyDescent="0.25">
      <c r="A81" t="str">
        <f t="shared" si="11"/>
        <v>89301000</v>
      </c>
      <c r="B81" t="str">
        <f t="shared" si="12"/>
        <v>93501000</v>
      </c>
      <c r="C81" t="str">
        <f t="shared" si="13"/>
        <v>93501001</v>
      </c>
      <c r="D81" t="str">
        <f t="shared" si="14"/>
        <v>801</v>
      </c>
      <c r="E81" t="str">
        <f t="shared" si="15"/>
        <v>89301037</v>
      </c>
      <c r="F81" t="str">
        <f t="shared" si="16"/>
        <v>6461161542</v>
      </c>
      <c r="G81" s="1">
        <v>44582</v>
      </c>
      <c r="H81" t="str">
        <f>"97111"</f>
        <v>97111</v>
      </c>
      <c r="I81">
        <v>1</v>
      </c>
      <c r="J81">
        <v>18</v>
      </c>
      <c r="K81">
        <v>0</v>
      </c>
      <c r="L81">
        <v>14.04</v>
      </c>
    </row>
    <row r="82" spans="1:12" x14ac:dyDescent="0.25">
      <c r="A82" t="str">
        <f t="shared" si="11"/>
        <v>89301000</v>
      </c>
      <c r="B82" t="str">
        <f t="shared" si="12"/>
        <v>93501000</v>
      </c>
      <c r="C82" t="str">
        <f>"93501005"</f>
        <v>93501005</v>
      </c>
      <c r="D82" t="str">
        <f>"818"</f>
        <v>818</v>
      </c>
      <c r="E82" t="str">
        <f t="shared" si="15"/>
        <v>89301037</v>
      </c>
      <c r="F82" t="str">
        <f t="shared" si="16"/>
        <v>6461161542</v>
      </c>
      <c r="G82" s="1">
        <v>44582</v>
      </c>
      <c r="H82" t="str">
        <f>"96163"</f>
        <v>96163</v>
      </c>
      <c r="I82">
        <v>1</v>
      </c>
      <c r="J82">
        <v>27</v>
      </c>
      <c r="K82">
        <v>0</v>
      </c>
      <c r="L82">
        <v>24.57</v>
      </c>
    </row>
    <row r="83" spans="1:12" x14ac:dyDescent="0.25">
      <c r="A83" t="str">
        <f t="shared" si="11"/>
        <v>89301000</v>
      </c>
      <c r="B83" t="str">
        <f t="shared" ref="B83:C86" si="17">"89434000"</f>
        <v>89434000</v>
      </c>
      <c r="C83" t="str">
        <f t="shared" si="17"/>
        <v>89434000</v>
      </c>
      <c r="D83" t="str">
        <f>"809"</f>
        <v>809</v>
      </c>
      <c r="E83" t="str">
        <f>"89301172"</f>
        <v>89301172</v>
      </c>
      <c r="F83" t="str">
        <f>"6011011325"</f>
        <v>6011011325</v>
      </c>
      <c r="G83" s="1">
        <v>44572</v>
      </c>
      <c r="H83" t="str">
        <f>"89131"</f>
        <v>89131</v>
      </c>
      <c r="I83">
        <v>1</v>
      </c>
      <c r="J83">
        <v>187</v>
      </c>
      <c r="K83">
        <v>0</v>
      </c>
      <c r="L83">
        <v>261.8</v>
      </c>
    </row>
    <row r="84" spans="1:12" x14ac:dyDescent="0.25">
      <c r="A84" t="str">
        <f t="shared" si="11"/>
        <v>89301000</v>
      </c>
      <c r="B84" t="str">
        <f t="shared" si="17"/>
        <v>89434000</v>
      </c>
      <c r="C84" t="str">
        <f t="shared" si="17"/>
        <v>89434000</v>
      </c>
      <c r="D84" t="str">
        <f>"809"</f>
        <v>809</v>
      </c>
      <c r="E84" t="str">
        <f>"89301172"</f>
        <v>89301172</v>
      </c>
      <c r="F84" t="str">
        <f>"6011011325"</f>
        <v>6011011325</v>
      </c>
      <c r="G84" s="1">
        <v>44572</v>
      </c>
      <c r="H84" t="str">
        <f>"89113"</f>
        <v>89113</v>
      </c>
      <c r="I84">
        <v>1</v>
      </c>
      <c r="J84">
        <v>232</v>
      </c>
      <c r="K84">
        <v>0</v>
      </c>
      <c r="L84">
        <v>324.8</v>
      </c>
    </row>
    <row r="85" spans="1:12" x14ac:dyDescent="0.25">
      <c r="A85" t="str">
        <f t="shared" si="11"/>
        <v>89301000</v>
      </c>
      <c r="B85" t="str">
        <f t="shared" si="17"/>
        <v>89434000</v>
      </c>
      <c r="C85" t="str">
        <f t="shared" si="17"/>
        <v>89434000</v>
      </c>
      <c r="D85" t="str">
        <f>"809"</f>
        <v>809</v>
      </c>
      <c r="E85" t="str">
        <f>"89301172"</f>
        <v>89301172</v>
      </c>
      <c r="F85" t="str">
        <f>"6011011325"</f>
        <v>6011011325</v>
      </c>
      <c r="G85" s="1">
        <v>44572</v>
      </c>
      <c r="H85" t="str">
        <f>"89513"</f>
        <v>89513</v>
      </c>
      <c r="I85">
        <v>1</v>
      </c>
      <c r="J85">
        <v>371</v>
      </c>
      <c r="K85">
        <v>0</v>
      </c>
      <c r="L85">
        <v>519.4</v>
      </c>
    </row>
    <row r="86" spans="1:12" x14ac:dyDescent="0.25">
      <c r="A86" t="str">
        <f t="shared" si="11"/>
        <v>89301000</v>
      </c>
      <c r="B86" t="str">
        <f t="shared" si="17"/>
        <v>89434000</v>
      </c>
      <c r="C86" t="str">
        <f t="shared" si="17"/>
        <v>89434000</v>
      </c>
      <c r="D86" t="str">
        <f>"809"</f>
        <v>809</v>
      </c>
      <c r="E86" t="str">
        <f>"89301172"</f>
        <v>89301172</v>
      </c>
      <c r="F86" t="str">
        <f>"6011011325"</f>
        <v>6011011325</v>
      </c>
      <c r="G86" s="1">
        <v>44572</v>
      </c>
      <c r="H86" t="str">
        <f>"89514"</f>
        <v>89514</v>
      </c>
      <c r="I86">
        <v>1</v>
      </c>
      <c r="J86">
        <v>371</v>
      </c>
      <c r="K86">
        <v>0</v>
      </c>
      <c r="L86">
        <v>519.4</v>
      </c>
    </row>
    <row r="87" spans="1:12" x14ac:dyDescent="0.25">
      <c r="A87" t="str">
        <f t="shared" si="11"/>
        <v>89301000</v>
      </c>
      <c r="B87" t="str">
        <f>"89345401"</f>
        <v>89345401</v>
      </c>
      <c r="C87" t="str">
        <f>"89345401"</f>
        <v>89345401</v>
      </c>
      <c r="D87" t="str">
        <f>"809"</f>
        <v>809</v>
      </c>
      <c r="E87" t="str">
        <f>"89301212"</f>
        <v>89301212</v>
      </c>
      <c r="F87" t="str">
        <f>"6451190713"</f>
        <v>6451190713</v>
      </c>
      <c r="G87" s="1">
        <v>44579</v>
      </c>
      <c r="H87" t="str">
        <f>"89131"</f>
        <v>89131</v>
      </c>
      <c r="I87">
        <v>1</v>
      </c>
      <c r="J87">
        <v>187</v>
      </c>
      <c r="K87">
        <v>0</v>
      </c>
      <c r="L87">
        <v>261.8</v>
      </c>
    </row>
    <row r="88" spans="1:12" x14ac:dyDescent="0.25">
      <c r="A88" t="str">
        <f t="shared" si="11"/>
        <v>89301000</v>
      </c>
      <c r="B88" t="str">
        <f t="shared" ref="B88:B96" si="18">"91866000"</f>
        <v>91866000</v>
      </c>
      <c r="C88" t="str">
        <f t="shared" ref="C88:C96" si="19">"91866313"</f>
        <v>91866313</v>
      </c>
      <c r="D88" t="str">
        <f t="shared" ref="D88:D96" si="20">"802"</f>
        <v>802</v>
      </c>
      <c r="E88" t="str">
        <f t="shared" ref="E88:E96" si="21">"89301162"</f>
        <v>89301162</v>
      </c>
      <c r="F88" t="str">
        <f>"5604081362"</f>
        <v>5604081362</v>
      </c>
      <c r="G88" s="1">
        <v>44573</v>
      </c>
      <c r="H88" t="str">
        <f>"82041"</f>
        <v>82041</v>
      </c>
      <c r="I88">
        <v>1</v>
      </c>
      <c r="J88">
        <v>1090</v>
      </c>
      <c r="K88">
        <v>0</v>
      </c>
      <c r="L88">
        <v>991.9</v>
      </c>
    </row>
    <row r="89" spans="1:12" x14ac:dyDescent="0.25">
      <c r="A89" t="str">
        <f t="shared" si="11"/>
        <v>89301000</v>
      </c>
      <c r="B89" t="str">
        <f t="shared" si="18"/>
        <v>91866000</v>
      </c>
      <c r="C89" t="str">
        <f t="shared" si="19"/>
        <v>91866313</v>
      </c>
      <c r="D89" t="str">
        <f t="shared" si="20"/>
        <v>802</v>
      </c>
      <c r="E89" t="str">
        <f t="shared" si="21"/>
        <v>89301162</v>
      </c>
      <c r="F89" t="str">
        <f>"5604081362"</f>
        <v>5604081362</v>
      </c>
      <c r="G89" s="1">
        <v>44573</v>
      </c>
      <c r="H89" t="str">
        <f>"82034"</f>
        <v>82034</v>
      </c>
      <c r="I89">
        <v>1</v>
      </c>
      <c r="J89">
        <v>348</v>
      </c>
      <c r="K89">
        <v>0</v>
      </c>
      <c r="L89">
        <v>316.68</v>
      </c>
    </row>
    <row r="90" spans="1:12" x14ac:dyDescent="0.25">
      <c r="A90" t="str">
        <f t="shared" si="11"/>
        <v>89301000</v>
      </c>
      <c r="B90" t="str">
        <f t="shared" si="18"/>
        <v>91866000</v>
      </c>
      <c r="C90" t="str">
        <f t="shared" si="19"/>
        <v>91866313</v>
      </c>
      <c r="D90" t="str">
        <f t="shared" si="20"/>
        <v>802</v>
      </c>
      <c r="E90" t="str">
        <f t="shared" si="21"/>
        <v>89301162</v>
      </c>
      <c r="F90" t="str">
        <f>"5604081362"</f>
        <v>5604081362</v>
      </c>
      <c r="G90" s="1">
        <v>44573</v>
      </c>
      <c r="H90" t="str">
        <f>"82225"</f>
        <v>82225</v>
      </c>
      <c r="I90">
        <v>1</v>
      </c>
      <c r="J90">
        <v>663</v>
      </c>
      <c r="K90">
        <v>0</v>
      </c>
      <c r="L90">
        <v>603.33000000000004</v>
      </c>
    </row>
    <row r="91" spans="1:12" x14ac:dyDescent="0.25">
      <c r="A91" t="str">
        <f t="shared" si="11"/>
        <v>89301000</v>
      </c>
      <c r="B91" t="str">
        <f t="shared" si="18"/>
        <v>91866000</v>
      </c>
      <c r="C91" t="str">
        <f t="shared" si="19"/>
        <v>91866313</v>
      </c>
      <c r="D91" t="str">
        <f t="shared" si="20"/>
        <v>802</v>
      </c>
      <c r="E91" t="str">
        <f t="shared" si="21"/>
        <v>89301162</v>
      </c>
      <c r="F91" t="str">
        <f t="shared" ref="F91:F96" si="22">"5557071311"</f>
        <v>5557071311</v>
      </c>
      <c r="G91" s="1">
        <v>44567</v>
      </c>
      <c r="H91" t="str">
        <f>"82225"</f>
        <v>82225</v>
      </c>
      <c r="I91">
        <v>1</v>
      </c>
      <c r="J91">
        <v>663</v>
      </c>
      <c r="K91">
        <v>0</v>
      </c>
      <c r="L91">
        <v>603.33000000000004</v>
      </c>
    </row>
    <row r="92" spans="1:12" x14ac:dyDescent="0.25">
      <c r="A92" t="str">
        <f t="shared" si="11"/>
        <v>89301000</v>
      </c>
      <c r="B92" t="str">
        <f t="shared" si="18"/>
        <v>91866000</v>
      </c>
      <c r="C92" t="str">
        <f t="shared" si="19"/>
        <v>91866313</v>
      </c>
      <c r="D92" t="str">
        <f t="shared" si="20"/>
        <v>802</v>
      </c>
      <c r="E92" t="str">
        <f t="shared" si="21"/>
        <v>89301162</v>
      </c>
      <c r="F92" t="str">
        <f t="shared" si="22"/>
        <v>5557071311</v>
      </c>
      <c r="G92" s="1">
        <v>44583</v>
      </c>
      <c r="H92" t="str">
        <f>"82035"</f>
        <v>82035</v>
      </c>
      <c r="I92">
        <v>1</v>
      </c>
      <c r="J92">
        <v>534</v>
      </c>
      <c r="K92">
        <v>0</v>
      </c>
      <c r="L92">
        <v>485.94</v>
      </c>
    </row>
    <row r="93" spans="1:12" x14ac:dyDescent="0.25">
      <c r="A93" t="str">
        <f t="shared" si="11"/>
        <v>89301000</v>
      </c>
      <c r="B93" t="str">
        <f t="shared" si="18"/>
        <v>91866000</v>
      </c>
      <c r="C93" t="str">
        <f t="shared" si="19"/>
        <v>91866313</v>
      </c>
      <c r="D93" t="str">
        <f t="shared" si="20"/>
        <v>802</v>
      </c>
      <c r="E93" t="str">
        <f t="shared" si="21"/>
        <v>89301162</v>
      </c>
      <c r="F93" t="str">
        <f t="shared" si="22"/>
        <v>5557071311</v>
      </c>
      <c r="G93" s="1">
        <v>44582</v>
      </c>
      <c r="H93" t="str">
        <f>"82215"</f>
        <v>82215</v>
      </c>
      <c r="I93">
        <v>2</v>
      </c>
      <c r="J93">
        <v>916</v>
      </c>
      <c r="K93">
        <v>0</v>
      </c>
      <c r="L93">
        <v>833.56</v>
      </c>
    </row>
    <row r="94" spans="1:12" x14ac:dyDescent="0.25">
      <c r="A94" t="str">
        <f t="shared" si="11"/>
        <v>89301000</v>
      </c>
      <c r="B94" t="str">
        <f t="shared" si="18"/>
        <v>91866000</v>
      </c>
      <c r="C94" t="str">
        <f t="shared" si="19"/>
        <v>91866313</v>
      </c>
      <c r="D94" t="str">
        <f t="shared" si="20"/>
        <v>802</v>
      </c>
      <c r="E94" t="str">
        <f t="shared" si="21"/>
        <v>89301162</v>
      </c>
      <c r="F94" t="str">
        <f t="shared" si="22"/>
        <v>5557071311</v>
      </c>
      <c r="G94" s="1">
        <v>44582</v>
      </c>
      <c r="H94" t="str">
        <f>"82035"</f>
        <v>82035</v>
      </c>
      <c r="I94">
        <v>1</v>
      </c>
      <c r="J94">
        <v>534</v>
      </c>
      <c r="K94">
        <v>0</v>
      </c>
      <c r="L94">
        <v>485.94</v>
      </c>
    </row>
    <row r="95" spans="1:12" x14ac:dyDescent="0.25">
      <c r="A95" t="str">
        <f t="shared" si="11"/>
        <v>89301000</v>
      </c>
      <c r="B95" t="str">
        <f t="shared" si="18"/>
        <v>91866000</v>
      </c>
      <c r="C95" t="str">
        <f t="shared" si="19"/>
        <v>91866313</v>
      </c>
      <c r="D95" t="str">
        <f t="shared" si="20"/>
        <v>802</v>
      </c>
      <c r="E95" t="str">
        <f t="shared" si="21"/>
        <v>89301162</v>
      </c>
      <c r="F95" t="str">
        <f t="shared" si="22"/>
        <v>5557071311</v>
      </c>
      <c r="G95" s="1">
        <v>44567</v>
      </c>
      <c r="H95" t="str">
        <f>"82041"</f>
        <v>82041</v>
      </c>
      <c r="I95">
        <v>1</v>
      </c>
      <c r="J95">
        <v>1090</v>
      </c>
      <c r="K95">
        <v>0</v>
      </c>
      <c r="L95">
        <v>991.9</v>
      </c>
    </row>
    <row r="96" spans="1:12" x14ac:dyDescent="0.25">
      <c r="A96" t="str">
        <f t="shared" si="11"/>
        <v>89301000</v>
      </c>
      <c r="B96" t="str">
        <f t="shared" si="18"/>
        <v>91866000</v>
      </c>
      <c r="C96" t="str">
        <f t="shared" si="19"/>
        <v>91866313</v>
      </c>
      <c r="D96" t="str">
        <f t="shared" si="20"/>
        <v>802</v>
      </c>
      <c r="E96" t="str">
        <f t="shared" si="21"/>
        <v>89301162</v>
      </c>
      <c r="F96" t="str">
        <f t="shared" si="22"/>
        <v>5557071311</v>
      </c>
      <c r="G96" s="1">
        <v>44567</v>
      </c>
      <c r="H96" t="str">
        <f>"82034"</f>
        <v>82034</v>
      </c>
      <c r="I96">
        <v>1</v>
      </c>
      <c r="J96">
        <v>348</v>
      </c>
      <c r="K96">
        <v>0</v>
      </c>
      <c r="L96">
        <v>316.68</v>
      </c>
    </row>
    <row r="97" spans="1:12" x14ac:dyDescent="0.25">
      <c r="A97" t="str">
        <f t="shared" si="11"/>
        <v>89301000</v>
      </c>
      <c r="B97" t="str">
        <f t="shared" ref="B97:C116" si="23">"89063000"</f>
        <v>89063000</v>
      </c>
      <c r="C97" t="str">
        <f t="shared" si="23"/>
        <v>89063000</v>
      </c>
      <c r="D97" t="str">
        <f t="shared" ref="D97:D128" si="24">"809"</f>
        <v>809</v>
      </c>
      <c r="E97" t="str">
        <f>"89301037"</f>
        <v>89301037</v>
      </c>
      <c r="F97" t="str">
        <f>"6759090096"</f>
        <v>6759090096</v>
      </c>
      <c r="G97" s="1">
        <v>44566</v>
      </c>
      <c r="H97" t="str">
        <f t="shared" ref="H97:H128" si="25">"89312"</f>
        <v>89312</v>
      </c>
      <c r="I97">
        <v>3</v>
      </c>
      <c r="J97">
        <v>906</v>
      </c>
      <c r="K97">
        <v>0</v>
      </c>
      <c r="L97">
        <v>951.3</v>
      </c>
    </row>
    <row r="98" spans="1:12" x14ac:dyDescent="0.25">
      <c r="A98" t="str">
        <f t="shared" si="11"/>
        <v>89301000</v>
      </c>
      <c r="B98" t="str">
        <f t="shared" si="23"/>
        <v>89063000</v>
      </c>
      <c r="C98" t="str">
        <f t="shared" si="23"/>
        <v>89063000</v>
      </c>
      <c r="D98" t="str">
        <f t="shared" si="24"/>
        <v>809</v>
      </c>
      <c r="E98" t="str">
        <f>"89301037"</f>
        <v>89301037</v>
      </c>
      <c r="F98" t="str">
        <f>"425128409"</f>
        <v>425128409</v>
      </c>
      <c r="G98" s="1">
        <v>44566</v>
      </c>
      <c r="H98" t="str">
        <f t="shared" si="25"/>
        <v>89312</v>
      </c>
      <c r="I98">
        <v>3</v>
      </c>
      <c r="J98">
        <v>906</v>
      </c>
      <c r="K98">
        <v>0</v>
      </c>
      <c r="L98">
        <v>951.3</v>
      </c>
    </row>
    <row r="99" spans="1:12" x14ac:dyDescent="0.25">
      <c r="A99" t="str">
        <f t="shared" si="11"/>
        <v>89301000</v>
      </c>
      <c r="B99" t="str">
        <f t="shared" si="23"/>
        <v>89063000</v>
      </c>
      <c r="C99" t="str">
        <f t="shared" si="23"/>
        <v>89063000</v>
      </c>
      <c r="D99" t="str">
        <f t="shared" si="24"/>
        <v>809</v>
      </c>
      <c r="E99" t="str">
        <f>"89301032"</f>
        <v>89301032</v>
      </c>
      <c r="F99" t="str">
        <f>"8252135320"</f>
        <v>8252135320</v>
      </c>
      <c r="G99" s="1">
        <v>44566</v>
      </c>
      <c r="H99" t="str">
        <f t="shared" si="25"/>
        <v>89312</v>
      </c>
      <c r="I99">
        <v>3</v>
      </c>
      <c r="J99">
        <v>906</v>
      </c>
      <c r="K99">
        <v>0</v>
      </c>
      <c r="L99">
        <v>951.3</v>
      </c>
    </row>
    <row r="100" spans="1:12" x14ac:dyDescent="0.25">
      <c r="A100" t="str">
        <f t="shared" si="11"/>
        <v>89301000</v>
      </c>
      <c r="B100" t="str">
        <f t="shared" si="23"/>
        <v>89063000</v>
      </c>
      <c r="C100" t="str">
        <f t="shared" si="23"/>
        <v>89063000</v>
      </c>
      <c r="D100" t="str">
        <f t="shared" si="24"/>
        <v>809</v>
      </c>
      <c r="E100" t="str">
        <f>"89301212"</f>
        <v>89301212</v>
      </c>
      <c r="F100" t="str">
        <f>"6558271093"</f>
        <v>6558271093</v>
      </c>
      <c r="G100" s="1">
        <v>44566</v>
      </c>
      <c r="H100" t="str">
        <f t="shared" si="25"/>
        <v>89312</v>
      </c>
      <c r="I100">
        <v>3</v>
      </c>
      <c r="J100">
        <v>906</v>
      </c>
      <c r="K100">
        <v>0</v>
      </c>
      <c r="L100">
        <v>951.3</v>
      </c>
    </row>
    <row r="101" spans="1:12" x14ac:dyDescent="0.25">
      <c r="A101" t="str">
        <f t="shared" si="11"/>
        <v>89301000</v>
      </c>
      <c r="B101" t="str">
        <f t="shared" si="23"/>
        <v>89063000</v>
      </c>
      <c r="C101" t="str">
        <f t="shared" si="23"/>
        <v>89063000</v>
      </c>
      <c r="D101" t="str">
        <f t="shared" si="24"/>
        <v>809</v>
      </c>
      <c r="E101" t="str">
        <f>"89301039"</f>
        <v>89301039</v>
      </c>
      <c r="F101" t="str">
        <f>"7762055235"</f>
        <v>7762055235</v>
      </c>
      <c r="G101" s="1">
        <v>44567</v>
      </c>
      <c r="H101" t="str">
        <f t="shared" si="25"/>
        <v>89312</v>
      </c>
      <c r="I101">
        <v>3</v>
      </c>
      <c r="J101">
        <v>906</v>
      </c>
      <c r="K101">
        <v>0</v>
      </c>
      <c r="L101">
        <v>951.3</v>
      </c>
    </row>
    <row r="102" spans="1:12" x14ac:dyDescent="0.25">
      <c r="A102" t="str">
        <f t="shared" si="11"/>
        <v>89301000</v>
      </c>
      <c r="B102" t="str">
        <f t="shared" si="23"/>
        <v>89063000</v>
      </c>
      <c r="C102" t="str">
        <f t="shared" si="23"/>
        <v>89063000</v>
      </c>
      <c r="D102" t="str">
        <f t="shared" si="24"/>
        <v>809</v>
      </c>
      <c r="E102" t="str">
        <f>"89301037"</f>
        <v>89301037</v>
      </c>
      <c r="F102" t="str">
        <f>"6359220516"</f>
        <v>6359220516</v>
      </c>
      <c r="G102" s="1">
        <v>44567</v>
      </c>
      <c r="H102" t="str">
        <f t="shared" si="25"/>
        <v>89312</v>
      </c>
      <c r="I102">
        <v>3</v>
      </c>
      <c r="J102">
        <v>906</v>
      </c>
      <c r="K102">
        <v>0</v>
      </c>
      <c r="L102">
        <v>951.3</v>
      </c>
    </row>
    <row r="103" spans="1:12" x14ac:dyDescent="0.25">
      <c r="A103" t="str">
        <f t="shared" si="11"/>
        <v>89301000</v>
      </c>
      <c r="B103" t="str">
        <f t="shared" si="23"/>
        <v>89063000</v>
      </c>
      <c r="C103" t="str">
        <f t="shared" si="23"/>
        <v>89063000</v>
      </c>
      <c r="D103" t="str">
        <f t="shared" si="24"/>
        <v>809</v>
      </c>
      <c r="E103" t="str">
        <f>"89301037"</f>
        <v>89301037</v>
      </c>
      <c r="F103" t="str">
        <f>"5657271532"</f>
        <v>5657271532</v>
      </c>
      <c r="G103" s="1">
        <v>44568</v>
      </c>
      <c r="H103" t="str">
        <f t="shared" si="25"/>
        <v>89312</v>
      </c>
      <c r="I103">
        <v>3</v>
      </c>
      <c r="J103">
        <v>906</v>
      </c>
      <c r="K103">
        <v>0</v>
      </c>
      <c r="L103">
        <v>951.3</v>
      </c>
    </row>
    <row r="104" spans="1:12" x14ac:dyDescent="0.25">
      <c r="A104" t="str">
        <f t="shared" si="11"/>
        <v>89301000</v>
      </c>
      <c r="B104" t="str">
        <f t="shared" si="23"/>
        <v>89063000</v>
      </c>
      <c r="C104" t="str">
        <f t="shared" si="23"/>
        <v>89063000</v>
      </c>
      <c r="D104" t="str">
        <f t="shared" si="24"/>
        <v>809</v>
      </c>
      <c r="E104" t="str">
        <f>"89301162"</f>
        <v>89301162</v>
      </c>
      <c r="F104" t="str">
        <f>"8502129944"</f>
        <v>8502129944</v>
      </c>
      <c r="G104" s="1">
        <v>44568</v>
      </c>
      <c r="H104" t="str">
        <f t="shared" si="25"/>
        <v>89312</v>
      </c>
      <c r="I104">
        <v>3</v>
      </c>
      <c r="J104">
        <v>906</v>
      </c>
      <c r="K104">
        <v>0</v>
      </c>
      <c r="L104">
        <v>951.3</v>
      </c>
    </row>
    <row r="105" spans="1:12" x14ac:dyDescent="0.25">
      <c r="A105" t="str">
        <f t="shared" si="11"/>
        <v>89301000</v>
      </c>
      <c r="B105" t="str">
        <f t="shared" si="23"/>
        <v>89063000</v>
      </c>
      <c r="C105" t="str">
        <f t="shared" si="23"/>
        <v>89063000</v>
      </c>
      <c r="D105" t="str">
        <f t="shared" si="24"/>
        <v>809</v>
      </c>
      <c r="E105" t="str">
        <f>"89301037"</f>
        <v>89301037</v>
      </c>
      <c r="F105" t="str">
        <f>"6754210705"</f>
        <v>6754210705</v>
      </c>
      <c r="G105" s="1">
        <v>44568</v>
      </c>
      <c r="H105" t="str">
        <f t="shared" si="25"/>
        <v>89312</v>
      </c>
      <c r="I105">
        <v>3</v>
      </c>
      <c r="J105">
        <v>906</v>
      </c>
      <c r="K105">
        <v>0</v>
      </c>
      <c r="L105">
        <v>951.3</v>
      </c>
    </row>
    <row r="106" spans="1:12" x14ac:dyDescent="0.25">
      <c r="A106" t="str">
        <f t="shared" si="11"/>
        <v>89301000</v>
      </c>
      <c r="B106" t="str">
        <f t="shared" si="23"/>
        <v>89063000</v>
      </c>
      <c r="C106" t="str">
        <f t="shared" si="23"/>
        <v>89063000</v>
      </c>
      <c r="D106" t="str">
        <f t="shared" si="24"/>
        <v>809</v>
      </c>
      <c r="E106" t="str">
        <f>"89301037"</f>
        <v>89301037</v>
      </c>
      <c r="F106" t="str">
        <f>"525425324"</f>
        <v>525425324</v>
      </c>
      <c r="G106" s="1">
        <v>44572</v>
      </c>
      <c r="H106" t="str">
        <f t="shared" si="25"/>
        <v>89312</v>
      </c>
      <c r="I106">
        <v>3</v>
      </c>
      <c r="J106">
        <v>906</v>
      </c>
      <c r="K106">
        <v>0</v>
      </c>
      <c r="L106">
        <v>951.3</v>
      </c>
    </row>
    <row r="107" spans="1:12" x14ac:dyDescent="0.25">
      <c r="A107" t="str">
        <f t="shared" si="11"/>
        <v>89301000</v>
      </c>
      <c r="B107" t="str">
        <f t="shared" si="23"/>
        <v>89063000</v>
      </c>
      <c r="C107" t="str">
        <f t="shared" si="23"/>
        <v>89063000</v>
      </c>
      <c r="D107" t="str">
        <f t="shared" si="24"/>
        <v>809</v>
      </c>
      <c r="E107" t="str">
        <f>"89301036"</f>
        <v>89301036</v>
      </c>
      <c r="F107" t="str">
        <f>"6852250966"</f>
        <v>6852250966</v>
      </c>
      <c r="G107" s="1">
        <v>44572</v>
      </c>
      <c r="H107" t="str">
        <f t="shared" si="25"/>
        <v>89312</v>
      </c>
      <c r="I107">
        <v>3</v>
      </c>
      <c r="J107">
        <v>906</v>
      </c>
      <c r="K107">
        <v>0</v>
      </c>
      <c r="L107">
        <v>951.3</v>
      </c>
    </row>
    <row r="108" spans="1:12" x14ac:dyDescent="0.25">
      <c r="A108" t="str">
        <f t="shared" si="11"/>
        <v>89301000</v>
      </c>
      <c r="B108" t="str">
        <f t="shared" si="23"/>
        <v>89063000</v>
      </c>
      <c r="C108" t="str">
        <f t="shared" si="23"/>
        <v>89063000</v>
      </c>
      <c r="D108" t="str">
        <f t="shared" si="24"/>
        <v>809</v>
      </c>
      <c r="E108" t="str">
        <f>"89301037"</f>
        <v>89301037</v>
      </c>
      <c r="F108" t="str">
        <f>"5852150744"</f>
        <v>5852150744</v>
      </c>
      <c r="G108" s="1">
        <v>44574</v>
      </c>
      <c r="H108" t="str">
        <f t="shared" si="25"/>
        <v>89312</v>
      </c>
      <c r="I108">
        <v>3</v>
      </c>
      <c r="J108">
        <v>906</v>
      </c>
      <c r="K108">
        <v>0</v>
      </c>
      <c r="L108">
        <v>951.3</v>
      </c>
    </row>
    <row r="109" spans="1:12" x14ac:dyDescent="0.25">
      <c r="A109" t="str">
        <f t="shared" si="11"/>
        <v>89301000</v>
      </c>
      <c r="B109" t="str">
        <f t="shared" si="23"/>
        <v>89063000</v>
      </c>
      <c r="C109" t="str">
        <f t="shared" si="23"/>
        <v>89063000</v>
      </c>
      <c r="D109" t="str">
        <f t="shared" si="24"/>
        <v>809</v>
      </c>
      <c r="E109" t="str">
        <f>"89301037"</f>
        <v>89301037</v>
      </c>
      <c r="F109" t="str">
        <f>"5703131720"</f>
        <v>5703131720</v>
      </c>
      <c r="G109" s="1">
        <v>44574</v>
      </c>
      <c r="H109" t="str">
        <f t="shared" si="25"/>
        <v>89312</v>
      </c>
      <c r="I109">
        <v>3</v>
      </c>
      <c r="J109">
        <v>906</v>
      </c>
      <c r="K109">
        <v>0</v>
      </c>
      <c r="L109">
        <v>951.3</v>
      </c>
    </row>
    <row r="110" spans="1:12" x14ac:dyDescent="0.25">
      <c r="A110" t="str">
        <f t="shared" si="11"/>
        <v>89301000</v>
      </c>
      <c r="B110" t="str">
        <f t="shared" si="23"/>
        <v>89063000</v>
      </c>
      <c r="C110" t="str">
        <f t="shared" si="23"/>
        <v>89063000</v>
      </c>
      <c r="D110" t="str">
        <f t="shared" si="24"/>
        <v>809</v>
      </c>
      <c r="E110" t="str">
        <f>"89301037"</f>
        <v>89301037</v>
      </c>
      <c r="F110" t="str">
        <f>"8557075769"</f>
        <v>8557075769</v>
      </c>
      <c r="G110" s="1">
        <v>44574</v>
      </c>
      <c r="H110" t="str">
        <f t="shared" si="25"/>
        <v>89312</v>
      </c>
      <c r="I110">
        <v>3</v>
      </c>
      <c r="J110">
        <v>906</v>
      </c>
      <c r="K110">
        <v>0</v>
      </c>
      <c r="L110">
        <v>951.3</v>
      </c>
    </row>
    <row r="111" spans="1:12" x14ac:dyDescent="0.25">
      <c r="A111" t="str">
        <f t="shared" si="11"/>
        <v>89301000</v>
      </c>
      <c r="B111" t="str">
        <f t="shared" si="23"/>
        <v>89063000</v>
      </c>
      <c r="C111" t="str">
        <f t="shared" si="23"/>
        <v>89063000</v>
      </c>
      <c r="D111" t="str">
        <f t="shared" si="24"/>
        <v>809</v>
      </c>
      <c r="E111" t="str">
        <f>"89301036"</f>
        <v>89301036</v>
      </c>
      <c r="F111" t="str">
        <f>"6209020235"</f>
        <v>6209020235</v>
      </c>
      <c r="G111" s="1">
        <v>44575</v>
      </c>
      <c r="H111" t="str">
        <f t="shared" si="25"/>
        <v>89312</v>
      </c>
      <c r="I111">
        <v>3</v>
      </c>
      <c r="J111">
        <v>906</v>
      </c>
      <c r="K111">
        <v>0</v>
      </c>
      <c r="L111">
        <v>951.3</v>
      </c>
    </row>
    <row r="112" spans="1:12" x14ac:dyDescent="0.25">
      <c r="A112" t="str">
        <f t="shared" si="11"/>
        <v>89301000</v>
      </c>
      <c r="B112" t="str">
        <f t="shared" si="23"/>
        <v>89063000</v>
      </c>
      <c r="C112" t="str">
        <f t="shared" si="23"/>
        <v>89063000</v>
      </c>
      <c r="D112" t="str">
        <f t="shared" si="24"/>
        <v>809</v>
      </c>
      <c r="E112" t="str">
        <f>"89301037"</f>
        <v>89301037</v>
      </c>
      <c r="F112" t="str">
        <f>"475914403"</f>
        <v>475914403</v>
      </c>
      <c r="G112" s="1">
        <v>44578</v>
      </c>
      <c r="H112" t="str">
        <f t="shared" si="25"/>
        <v>89312</v>
      </c>
      <c r="I112">
        <v>3</v>
      </c>
      <c r="J112">
        <v>906</v>
      </c>
      <c r="K112">
        <v>0</v>
      </c>
      <c r="L112">
        <v>951.3</v>
      </c>
    </row>
    <row r="113" spans="1:12" x14ac:dyDescent="0.25">
      <c r="A113" t="str">
        <f t="shared" si="11"/>
        <v>89301000</v>
      </c>
      <c r="B113" t="str">
        <f t="shared" si="23"/>
        <v>89063000</v>
      </c>
      <c r="C113" t="str">
        <f t="shared" si="23"/>
        <v>89063000</v>
      </c>
      <c r="D113" t="str">
        <f t="shared" si="24"/>
        <v>809</v>
      </c>
      <c r="E113" t="str">
        <f>"89301037"</f>
        <v>89301037</v>
      </c>
      <c r="F113" t="str">
        <f>"466202461"</f>
        <v>466202461</v>
      </c>
      <c r="G113" s="1">
        <v>44578</v>
      </c>
      <c r="H113" t="str">
        <f t="shared" si="25"/>
        <v>89312</v>
      </c>
      <c r="I113">
        <v>3</v>
      </c>
      <c r="J113">
        <v>906</v>
      </c>
      <c r="K113">
        <v>0</v>
      </c>
      <c r="L113">
        <v>951.3</v>
      </c>
    </row>
    <row r="114" spans="1:12" x14ac:dyDescent="0.25">
      <c r="A114" t="str">
        <f t="shared" si="11"/>
        <v>89301000</v>
      </c>
      <c r="B114" t="str">
        <f t="shared" si="23"/>
        <v>89063000</v>
      </c>
      <c r="C114" t="str">
        <f t="shared" si="23"/>
        <v>89063000</v>
      </c>
      <c r="D114" t="str">
        <f t="shared" si="24"/>
        <v>809</v>
      </c>
      <c r="E114" t="str">
        <f>"89301037"</f>
        <v>89301037</v>
      </c>
      <c r="F114" t="str">
        <f>"406217441"</f>
        <v>406217441</v>
      </c>
      <c r="G114" s="1">
        <v>44578</v>
      </c>
      <c r="H114" t="str">
        <f t="shared" si="25"/>
        <v>89312</v>
      </c>
      <c r="I114">
        <v>3</v>
      </c>
      <c r="J114">
        <v>906</v>
      </c>
      <c r="K114">
        <v>0</v>
      </c>
      <c r="L114">
        <v>951.3</v>
      </c>
    </row>
    <row r="115" spans="1:12" x14ac:dyDescent="0.25">
      <c r="A115" t="str">
        <f t="shared" si="11"/>
        <v>89301000</v>
      </c>
      <c r="B115" t="str">
        <f t="shared" si="23"/>
        <v>89063000</v>
      </c>
      <c r="C115" t="str">
        <f t="shared" si="23"/>
        <v>89063000</v>
      </c>
      <c r="D115" t="str">
        <f t="shared" si="24"/>
        <v>809</v>
      </c>
      <c r="E115" t="str">
        <f>"89301037"</f>
        <v>89301037</v>
      </c>
      <c r="F115" t="str">
        <f>"6001161595"</f>
        <v>6001161595</v>
      </c>
      <c r="G115" s="1">
        <v>44579</v>
      </c>
      <c r="H115" t="str">
        <f t="shared" si="25"/>
        <v>89312</v>
      </c>
      <c r="I115">
        <v>3</v>
      </c>
      <c r="J115">
        <v>906</v>
      </c>
      <c r="K115">
        <v>0</v>
      </c>
      <c r="L115">
        <v>951.3</v>
      </c>
    </row>
    <row r="116" spans="1:12" x14ac:dyDescent="0.25">
      <c r="A116" t="str">
        <f t="shared" si="11"/>
        <v>89301000</v>
      </c>
      <c r="B116" t="str">
        <f t="shared" si="23"/>
        <v>89063000</v>
      </c>
      <c r="C116" t="str">
        <f t="shared" si="23"/>
        <v>89063000</v>
      </c>
      <c r="D116" t="str">
        <f t="shared" si="24"/>
        <v>809</v>
      </c>
      <c r="E116" t="str">
        <f>"89301212"</f>
        <v>89301212</v>
      </c>
      <c r="F116" t="str">
        <f>"475107485"</f>
        <v>475107485</v>
      </c>
      <c r="G116" s="1">
        <v>44579</v>
      </c>
      <c r="H116" t="str">
        <f t="shared" si="25"/>
        <v>89312</v>
      </c>
      <c r="I116">
        <v>3</v>
      </c>
      <c r="J116">
        <v>906</v>
      </c>
      <c r="K116">
        <v>0</v>
      </c>
      <c r="L116">
        <v>951.3</v>
      </c>
    </row>
    <row r="117" spans="1:12" x14ac:dyDescent="0.25">
      <c r="A117" t="str">
        <f t="shared" si="11"/>
        <v>89301000</v>
      </c>
      <c r="B117" t="str">
        <f t="shared" ref="B117:C136" si="26">"89063000"</f>
        <v>89063000</v>
      </c>
      <c r="C117" t="str">
        <f t="shared" si="26"/>
        <v>89063000</v>
      </c>
      <c r="D117" t="str">
        <f t="shared" si="24"/>
        <v>809</v>
      </c>
      <c r="E117" t="str">
        <f>"89301036"</f>
        <v>89301036</v>
      </c>
      <c r="F117" t="str">
        <f>"5710161545"</f>
        <v>5710161545</v>
      </c>
      <c r="G117" s="1">
        <v>44579</v>
      </c>
      <c r="H117" t="str">
        <f t="shared" si="25"/>
        <v>89312</v>
      </c>
      <c r="I117">
        <v>3</v>
      </c>
      <c r="J117">
        <v>906</v>
      </c>
      <c r="K117">
        <v>0</v>
      </c>
      <c r="L117">
        <v>951.3</v>
      </c>
    </row>
    <row r="118" spans="1:12" x14ac:dyDescent="0.25">
      <c r="A118" t="str">
        <f t="shared" si="11"/>
        <v>89301000</v>
      </c>
      <c r="B118" t="str">
        <f t="shared" si="26"/>
        <v>89063000</v>
      </c>
      <c r="C118" t="str">
        <f t="shared" si="26"/>
        <v>89063000</v>
      </c>
      <c r="D118" t="str">
        <f t="shared" si="24"/>
        <v>809</v>
      </c>
      <c r="E118" t="str">
        <f>"89301162"</f>
        <v>89301162</v>
      </c>
      <c r="F118" t="str">
        <f>"7908065770"</f>
        <v>7908065770</v>
      </c>
      <c r="G118" s="1">
        <v>44580</v>
      </c>
      <c r="H118" t="str">
        <f t="shared" si="25"/>
        <v>89312</v>
      </c>
      <c r="I118">
        <v>3</v>
      </c>
      <c r="J118">
        <v>906</v>
      </c>
      <c r="K118">
        <v>0</v>
      </c>
      <c r="L118">
        <v>951.3</v>
      </c>
    </row>
    <row r="119" spans="1:12" x14ac:dyDescent="0.25">
      <c r="A119" t="str">
        <f t="shared" si="11"/>
        <v>89301000</v>
      </c>
      <c r="B119" t="str">
        <f t="shared" si="26"/>
        <v>89063000</v>
      </c>
      <c r="C119" t="str">
        <f t="shared" si="26"/>
        <v>89063000</v>
      </c>
      <c r="D119" t="str">
        <f t="shared" si="24"/>
        <v>809</v>
      </c>
      <c r="E119" t="str">
        <f>"89301212"</f>
        <v>89301212</v>
      </c>
      <c r="F119" t="str">
        <f>"5559221910"</f>
        <v>5559221910</v>
      </c>
      <c r="G119" s="1">
        <v>44580</v>
      </c>
      <c r="H119" t="str">
        <f t="shared" si="25"/>
        <v>89312</v>
      </c>
      <c r="I119">
        <v>3</v>
      </c>
      <c r="J119">
        <v>906</v>
      </c>
      <c r="K119">
        <v>0</v>
      </c>
      <c r="L119">
        <v>951.3</v>
      </c>
    </row>
    <row r="120" spans="1:12" x14ac:dyDescent="0.25">
      <c r="A120" t="str">
        <f t="shared" si="11"/>
        <v>89301000</v>
      </c>
      <c r="B120" t="str">
        <f t="shared" si="26"/>
        <v>89063000</v>
      </c>
      <c r="C120" t="str">
        <f t="shared" si="26"/>
        <v>89063000</v>
      </c>
      <c r="D120" t="str">
        <f t="shared" si="24"/>
        <v>809</v>
      </c>
      <c r="E120" t="str">
        <f t="shared" ref="E120:E128" si="27">"89301037"</f>
        <v>89301037</v>
      </c>
      <c r="F120" t="str">
        <f>"516128289"</f>
        <v>516128289</v>
      </c>
      <c r="G120" s="1">
        <v>44580</v>
      </c>
      <c r="H120" t="str">
        <f t="shared" si="25"/>
        <v>89312</v>
      </c>
      <c r="I120">
        <v>3</v>
      </c>
      <c r="J120">
        <v>906</v>
      </c>
      <c r="K120">
        <v>0</v>
      </c>
      <c r="L120">
        <v>951.3</v>
      </c>
    </row>
    <row r="121" spans="1:12" x14ac:dyDescent="0.25">
      <c r="A121" t="str">
        <f t="shared" si="11"/>
        <v>89301000</v>
      </c>
      <c r="B121" t="str">
        <f t="shared" si="26"/>
        <v>89063000</v>
      </c>
      <c r="C121" t="str">
        <f t="shared" si="26"/>
        <v>89063000</v>
      </c>
      <c r="D121" t="str">
        <f t="shared" si="24"/>
        <v>809</v>
      </c>
      <c r="E121" t="str">
        <f t="shared" si="27"/>
        <v>89301037</v>
      </c>
      <c r="F121" t="str">
        <f>"455610434"</f>
        <v>455610434</v>
      </c>
      <c r="G121" s="1">
        <v>44580</v>
      </c>
      <c r="H121" t="str">
        <f t="shared" si="25"/>
        <v>89312</v>
      </c>
      <c r="I121">
        <v>3</v>
      </c>
      <c r="J121">
        <v>906</v>
      </c>
      <c r="K121">
        <v>0</v>
      </c>
      <c r="L121">
        <v>951.3</v>
      </c>
    </row>
    <row r="122" spans="1:12" x14ac:dyDescent="0.25">
      <c r="A122" t="str">
        <f t="shared" si="11"/>
        <v>89301000</v>
      </c>
      <c r="B122" t="str">
        <f t="shared" si="26"/>
        <v>89063000</v>
      </c>
      <c r="C122" t="str">
        <f t="shared" si="26"/>
        <v>89063000</v>
      </c>
      <c r="D122" t="str">
        <f t="shared" si="24"/>
        <v>809</v>
      </c>
      <c r="E122" t="str">
        <f t="shared" si="27"/>
        <v>89301037</v>
      </c>
      <c r="F122" t="str">
        <f>"6953035815"</f>
        <v>6953035815</v>
      </c>
      <c r="G122" s="1">
        <v>44580</v>
      </c>
      <c r="H122" t="str">
        <f t="shared" si="25"/>
        <v>89312</v>
      </c>
      <c r="I122">
        <v>3</v>
      </c>
      <c r="J122">
        <v>906</v>
      </c>
      <c r="K122">
        <v>0</v>
      </c>
      <c r="L122">
        <v>951.3</v>
      </c>
    </row>
    <row r="123" spans="1:12" x14ac:dyDescent="0.25">
      <c r="A123" t="str">
        <f t="shared" si="11"/>
        <v>89301000</v>
      </c>
      <c r="B123" t="str">
        <f t="shared" si="26"/>
        <v>89063000</v>
      </c>
      <c r="C123" t="str">
        <f t="shared" si="26"/>
        <v>89063000</v>
      </c>
      <c r="D123" t="str">
        <f t="shared" si="24"/>
        <v>809</v>
      </c>
      <c r="E123" t="str">
        <f t="shared" si="27"/>
        <v>89301037</v>
      </c>
      <c r="F123" t="str">
        <f>"5561121412"</f>
        <v>5561121412</v>
      </c>
      <c r="G123" s="1">
        <v>44581</v>
      </c>
      <c r="H123" t="str">
        <f t="shared" si="25"/>
        <v>89312</v>
      </c>
      <c r="I123">
        <v>3</v>
      </c>
      <c r="J123">
        <v>906</v>
      </c>
      <c r="K123">
        <v>0</v>
      </c>
      <c r="L123">
        <v>951.3</v>
      </c>
    </row>
    <row r="124" spans="1:12" x14ac:dyDescent="0.25">
      <c r="A124" t="str">
        <f t="shared" si="11"/>
        <v>89301000</v>
      </c>
      <c r="B124" t="str">
        <f t="shared" si="26"/>
        <v>89063000</v>
      </c>
      <c r="C124" t="str">
        <f t="shared" si="26"/>
        <v>89063000</v>
      </c>
      <c r="D124" t="str">
        <f t="shared" si="24"/>
        <v>809</v>
      </c>
      <c r="E124" t="str">
        <f t="shared" si="27"/>
        <v>89301037</v>
      </c>
      <c r="F124" t="str">
        <f>"445910163"</f>
        <v>445910163</v>
      </c>
      <c r="G124" s="1">
        <v>44581</v>
      </c>
      <c r="H124" t="str">
        <f t="shared" si="25"/>
        <v>89312</v>
      </c>
      <c r="I124">
        <v>3</v>
      </c>
      <c r="J124">
        <v>906</v>
      </c>
      <c r="K124">
        <v>0</v>
      </c>
      <c r="L124">
        <v>951.3</v>
      </c>
    </row>
    <row r="125" spans="1:12" x14ac:dyDescent="0.25">
      <c r="A125" t="str">
        <f t="shared" si="11"/>
        <v>89301000</v>
      </c>
      <c r="B125" t="str">
        <f t="shared" si="26"/>
        <v>89063000</v>
      </c>
      <c r="C125" t="str">
        <f t="shared" si="26"/>
        <v>89063000</v>
      </c>
      <c r="D125" t="str">
        <f t="shared" si="24"/>
        <v>809</v>
      </c>
      <c r="E125" t="str">
        <f t="shared" si="27"/>
        <v>89301037</v>
      </c>
      <c r="F125" t="str">
        <f>"455603416"</f>
        <v>455603416</v>
      </c>
      <c r="G125" s="1">
        <v>44581</v>
      </c>
      <c r="H125" t="str">
        <f t="shared" si="25"/>
        <v>89312</v>
      </c>
      <c r="I125">
        <v>3</v>
      </c>
      <c r="J125">
        <v>906</v>
      </c>
      <c r="K125">
        <v>0</v>
      </c>
      <c r="L125">
        <v>951.3</v>
      </c>
    </row>
    <row r="126" spans="1:12" x14ac:dyDescent="0.25">
      <c r="A126" t="str">
        <f t="shared" si="11"/>
        <v>89301000</v>
      </c>
      <c r="B126" t="str">
        <f t="shared" si="26"/>
        <v>89063000</v>
      </c>
      <c r="C126" t="str">
        <f t="shared" si="26"/>
        <v>89063000</v>
      </c>
      <c r="D126" t="str">
        <f t="shared" si="24"/>
        <v>809</v>
      </c>
      <c r="E126" t="str">
        <f t="shared" si="27"/>
        <v>89301037</v>
      </c>
      <c r="F126" t="str">
        <f>"6051171236"</f>
        <v>6051171236</v>
      </c>
      <c r="G126" s="1">
        <v>44581</v>
      </c>
      <c r="H126" t="str">
        <f t="shared" si="25"/>
        <v>89312</v>
      </c>
      <c r="I126">
        <v>3</v>
      </c>
      <c r="J126">
        <v>906</v>
      </c>
      <c r="K126">
        <v>0</v>
      </c>
      <c r="L126">
        <v>951.3</v>
      </c>
    </row>
    <row r="127" spans="1:12" x14ac:dyDescent="0.25">
      <c r="A127" t="str">
        <f t="shared" si="11"/>
        <v>89301000</v>
      </c>
      <c r="B127" t="str">
        <f t="shared" si="26"/>
        <v>89063000</v>
      </c>
      <c r="C127" t="str">
        <f t="shared" si="26"/>
        <v>89063000</v>
      </c>
      <c r="D127" t="str">
        <f t="shared" si="24"/>
        <v>809</v>
      </c>
      <c r="E127" t="str">
        <f t="shared" si="27"/>
        <v>89301037</v>
      </c>
      <c r="F127" t="str">
        <f>"7861145314"</f>
        <v>7861145314</v>
      </c>
      <c r="G127" s="1">
        <v>44581</v>
      </c>
      <c r="H127" t="str">
        <f t="shared" si="25"/>
        <v>89312</v>
      </c>
      <c r="I127">
        <v>3</v>
      </c>
      <c r="J127">
        <v>906</v>
      </c>
      <c r="K127">
        <v>0</v>
      </c>
      <c r="L127">
        <v>951.3</v>
      </c>
    </row>
    <row r="128" spans="1:12" x14ac:dyDescent="0.25">
      <c r="A128" t="str">
        <f t="shared" si="11"/>
        <v>89301000</v>
      </c>
      <c r="B128" t="str">
        <f t="shared" si="26"/>
        <v>89063000</v>
      </c>
      <c r="C128" t="str">
        <f t="shared" si="26"/>
        <v>89063000</v>
      </c>
      <c r="D128" t="str">
        <f t="shared" si="24"/>
        <v>809</v>
      </c>
      <c r="E128" t="str">
        <f t="shared" si="27"/>
        <v>89301037</v>
      </c>
      <c r="F128" t="str">
        <f>"6152141369"</f>
        <v>6152141369</v>
      </c>
      <c r="G128" s="1">
        <v>44581</v>
      </c>
      <c r="H128" t="str">
        <f t="shared" si="25"/>
        <v>89312</v>
      </c>
      <c r="I128">
        <v>3</v>
      </c>
      <c r="J128">
        <v>906</v>
      </c>
      <c r="K128">
        <v>0</v>
      </c>
      <c r="L128">
        <v>951.3</v>
      </c>
    </row>
    <row r="129" spans="1:12" x14ac:dyDescent="0.25">
      <c r="A129" t="str">
        <f t="shared" si="11"/>
        <v>89301000</v>
      </c>
      <c r="B129" t="str">
        <f t="shared" si="26"/>
        <v>89063000</v>
      </c>
      <c r="C129" t="str">
        <f t="shared" si="26"/>
        <v>89063000</v>
      </c>
      <c r="D129" t="str">
        <f t="shared" ref="D129:D148" si="28">"809"</f>
        <v>809</v>
      </c>
      <c r="E129" t="str">
        <f>"89301704"</f>
        <v>89301704</v>
      </c>
      <c r="F129" t="str">
        <f>"0511151377"</f>
        <v>0511151377</v>
      </c>
      <c r="G129" s="1">
        <v>44581</v>
      </c>
      <c r="H129" t="str">
        <f t="shared" ref="H129:H148" si="29">"89312"</f>
        <v>89312</v>
      </c>
      <c r="I129">
        <v>1</v>
      </c>
      <c r="J129">
        <v>302</v>
      </c>
      <c r="K129">
        <v>0</v>
      </c>
      <c r="L129">
        <v>317.10000000000002</v>
      </c>
    </row>
    <row r="130" spans="1:12" x14ac:dyDescent="0.25">
      <c r="A130" t="str">
        <f t="shared" ref="A130:A193" si="30">"89301000"</f>
        <v>89301000</v>
      </c>
      <c r="B130" t="str">
        <f t="shared" si="26"/>
        <v>89063000</v>
      </c>
      <c r="C130" t="str">
        <f t="shared" si="26"/>
        <v>89063000</v>
      </c>
      <c r="D130" t="str">
        <f t="shared" si="28"/>
        <v>809</v>
      </c>
      <c r="E130" t="str">
        <f>"89301212"</f>
        <v>89301212</v>
      </c>
      <c r="F130" t="str">
        <f>"446023422"</f>
        <v>446023422</v>
      </c>
      <c r="G130" s="1">
        <v>44581</v>
      </c>
      <c r="H130" t="str">
        <f t="shared" si="29"/>
        <v>89312</v>
      </c>
      <c r="I130">
        <v>3</v>
      </c>
      <c r="J130">
        <v>906</v>
      </c>
      <c r="K130">
        <v>0</v>
      </c>
      <c r="L130">
        <v>951.3</v>
      </c>
    </row>
    <row r="131" spans="1:12" x14ac:dyDescent="0.25">
      <c r="A131" t="str">
        <f t="shared" si="30"/>
        <v>89301000</v>
      </c>
      <c r="B131" t="str">
        <f t="shared" si="26"/>
        <v>89063000</v>
      </c>
      <c r="C131" t="str">
        <f t="shared" si="26"/>
        <v>89063000</v>
      </c>
      <c r="D131" t="str">
        <f t="shared" si="28"/>
        <v>809</v>
      </c>
      <c r="E131" t="str">
        <f>"89301037"</f>
        <v>89301037</v>
      </c>
      <c r="F131" t="str">
        <f>"6151160279"</f>
        <v>6151160279</v>
      </c>
      <c r="G131" s="1">
        <v>44582</v>
      </c>
      <c r="H131" t="str">
        <f t="shared" si="29"/>
        <v>89312</v>
      </c>
      <c r="I131">
        <v>3</v>
      </c>
      <c r="J131">
        <v>906</v>
      </c>
      <c r="K131">
        <v>0</v>
      </c>
      <c r="L131">
        <v>951.3</v>
      </c>
    </row>
    <row r="132" spans="1:12" x14ac:dyDescent="0.25">
      <c r="A132" t="str">
        <f t="shared" si="30"/>
        <v>89301000</v>
      </c>
      <c r="B132" t="str">
        <f t="shared" si="26"/>
        <v>89063000</v>
      </c>
      <c r="C132" t="str">
        <f t="shared" si="26"/>
        <v>89063000</v>
      </c>
      <c r="D132" t="str">
        <f t="shared" si="28"/>
        <v>809</v>
      </c>
      <c r="E132" t="str">
        <f>"89301037"</f>
        <v>89301037</v>
      </c>
      <c r="F132" t="str">
        <f>"8454145524"</f>
        <v>8454145524</v>
      </c>
      <c r="G132" s="1">
        <v>44582</v>
      </c>
      <c r="H132" t="str">
        <f t="shared" si="29"/>
        <v>89312</v>
      </c>
      <c r="I132">
        <v>3</v>
      </c>
      <c r="J132">
        <v>906</v>
      </c>
      <c r="K132">
        <v>0</v>
      </c>
      <c r="L132">
        <v>951.3</v>
      </c>
    </row>
    <row r="133" spans="1:12" x14ac:dyDescent="0.25">
      <c r="A133" t="str">
        <f t="shared" si="30"/>
        <v>89301000</v>
      </c>
      <c r="B133" t="str">
        <f t="shared" si="26"/>
        <v>89063000</v>
      </c>
      <c r="C133" t="str">
        <f t="shared" si="26"/>
        <v>89063000</v>
      </c>
      <c r="D133" t="str">
        <f t="shared" si="28"/>
        <v>809</v>
      </c>
      <c r="E133" t="str">
        <f>"89301082"</f>
        <v>89301082</v>
      </c>
      <c r="F133" t="str">
        <f>"6558156506"</f>
        <v>6558156506</v>
      </c>
      <c r="G133" s="1">
        <v>44582</v>
      </c>
      <c r="H133" t="str">
        <f t="shared" si="29"/>
        <v>89312</v>
      </c>
      <c r="I133">
        <v>3</v>
      </c>
      <c r="J133">
        <v>906</v>
      </c>
      <c r="K133">
        <v>0</v>
      </c>
      <c r="L133">
        <v>951.3</v>
      </c>
    </row>
    <row r="134" spans="1:12" x14ac:dyDescent="0.25">
      <c r="A134" t="str">
        <f t="shared" si="30"/>
        <v>89301000</v>
      </c>
      <c r="B134" t="str">
        <f t="shared" si="26"/>
        <v>89063000</v>
      </c>
      <c r="C134" t="str">
        <f t="shared" si="26"/>
        <v>89063000</v>
      </c>
      <c r="D134" t="str">
        <f t="shared" si="28"/>
        <v>809</v>
      </c>
      <c r="E134" t="str">
        <f>"89301037"</f>
        <v>89301037</v>
      </c>
      <c r="F134" t="str">
        <f>"5656060399"</f>
        <v>5656060399</v>
      </c>
      <c r="G134" s="1">
        <v>44585</v>
      </c>
      <c r="H134" t="str">
        <f t="shared" si="29"/>
        <v>89312</v>
      </c>
      <c r="I134">
        <v>3</v>
      </c>
      <c r="J134">
        <v>906</v>
      </c>
      <c r="K134">
        <v>0</v>
      </c>
      <c r="L134">
        <v>951.3</v>
      </c>
    </row>
    <row r="135" spans="1:12" x14ac:dyDescent="0.25">
      <c r="A135" t="str">
        <f t="shared" si="30"/>
        <v>89301000</v>
      </c>
      <c r="B135" t="str">
        <f t="shared" si="26"/>
        <v>89063000</v>
      </c>
      <c r="C135" t="str">
        <f t="shared" si="26"/>
        <v>89063000</v>
      </c>
      <c r="D135" t="str">
        <f t="shared" si="28"/>
        <v>809</v>
      </c>
      <c r="E135" t="str">
        <f>"89301037"</f>
        <v>89301037</v>
      </c>
      <c r="F135" t="str">
        <f>"8052095788"</f>
        <v>8052095788</v>
      </c>
      <c r="G135" s="1">
        <v>44585</v>
      </c>
      <c r="H135" t="str">
        <f t="shared" si="29"/>
        <v>89312</v>
      </c>
      <c r="I135">
        <v>3</v>
      </c>
      <c r="J135">
        <v>906</v>
      </c>
      <c r="K135">
        <v>0</v>
      </c>
      <c r="L135">
        <v>951.3</v>
      </c>
    </row>
    <row r="136" spans="1:12" x14ac:dyDescent="0.25">
      <c r="A136" t="str">
        <f t="shared" si="30"/>
        <v>89301000</v>
      </c>
      <c r="B136" t="str">
        <f t="shared" si="26"/>
        <v>89063000</v>
      </c>
      <c r="C136" t="str">
        <f t="shared" si="26"/>
        <v>89063000</v>
      </c>
      <c r="D136" t="str">
        <f t="shared" si="28"/>
        <v>809</v>
      </c>
      <c r="E136" t="str">
        <f>"89301039"</f>
        <v>89301039</v>
      </c>
      <c r="F136" t="str">
        <f>"465518405"</f>
        <v>465518405</v>
      </c>
      <c r="G136" s="1">
        <v>44585</v>
      </c>
      <c r="H136" t="str">
        <f t="shared" si="29"/>
        <v>89312</v>
      </c>
      <c r="I136">
        <v>3</v>
      </c>
      <c r="J136">
        <v>906</v>
      </c>
      <c r="K136">
        <v>0</v>
      </c>
      <c r="L136">
        <v>951.3</v>
      </c>
    </row>
    <row r="137" spans="1:12" x14ac:dyDescent="0.25">
      <c r="A137" t="str">
        <f t="shared" si="30"/>
        <v>89301000</v>
      </c>
      <c r="B137" t="str">
        <f t="shared" ref="B137:C148" si="31">"89063000"</f>
        <v>89063000</v>
      </c>
      <c r="C137" t="str">
        <f t="shared" si="31"/>
        <v>89063000</v>
      </c>
      <c r="D137" t="str">
        <f t="shared" si="28"/>
        <v>809</v>
      </c>
      <c r="E137" t="str">
        <f>"89301037"</f>
        <v>89301037</v>
      </c>
      <c r="F137" t="str">
        <f>"8051285319"</f>
        <v>8051285319</v>
      </c>
      <c r="G137" s="1">
        <v>44585</v>
      </c>
      <c r="H137" t="str">
        <f t="shared" si="29"/>
        <v>89312</v>
      </c>
      <c r="I137">
        <v>3</v>
      </c>
      <c r="J137">
        <v>906</v>
      </c>
      <c r="K137">
        <v>0</v>
      </c>
      <c r="L137">
        <v>951.3</v>
      </c>
    </row>
    <row r="138" spans="1:12" x14ac:dyDescent="0.25">
      <c r="A138" t="str">
        <f t="shared" si="30"/>
        <v>89301000</v>
      </c>
      <c r="B138" t="str">
        <f t="shared" si="31"/>
        <v>89063000</v>
      </c>
      <c r="C138" t="str">
        <f t="shared" si="31"/>
        <v>89063000</v>
      </c>
      <c r="D138" t="str">
        <f t="shared" si="28"/>
        <v>809</v>
      </c>
      <c r="E138" t="str">
        <f>"89301702"</f>
        <v>89301702</v>
      </c>
      <c r="F138" t="str">
        <f>"1459020002"</f>
        <v>1459020002</v>
      </c>
      <c r="G138" s="1">
        <v>44585</v>
      </c>
      <c r="H138" t="str">
        <f t="shared" si="29"/>
        <v>89312</v>
      </c>
      <c r="I138">
        <v>1</v>
      </c>
      <c r="J138">
        <v>302</v>
      </c>
      <c r="K138">
        <v>0</v>
      </c>
      <c r="L138">
        <v>317.10000000000002</v>
      </c>
    </row>
    <row r="139" spans="1:12" x14ac:dyDescent="0.25">
      <c r="A139" t="str">
        <f t="shared" si="30"/>
        <v>89301000</v>
      </c>
      <c r="B139" t="str">
        <f t="shared" si="31"/>
        <v>89063000</v>
      </c>
      <c r="C139" t="str">
        <f t="shared" si="31"/>
        <v>89063000</v>
      </c>
      <c r="D139" t="str">
        <f t="shared" si="28"/>
        <v>809</v>
      </c>
      <c r="E139" t="str">
        <f>"89301102"</f>
        <v>89301102</v>
      </c>
      <c r="F139" t="str">
        <f>"0453094367"</f>
        <v>0453094367</v>
      </c>
      <c r="G139" s="1">
        <v>44586</v>
      </c>
      <c r="H139" t="str">
        <f t="shared" si="29"/>
        <v>89312</v>
      </c>
      <c r="I139">
        <v>1</v>
      </c>
      <c r="J139">
        <v>302</v>
      </c>
      <c r="K139">
        <v>0</v>
      </c>
      <c r="L139">
        <v>317.10000000000002</v>
      </c>
    </row>
    <row r="140" spans="1:12" x14ac:dyDescent="0.25">
      <c r="A140" t="str">
        <f t="shared" si="30"/>
        <v>89301000</v>
      </c>
      <c r="B140" t="str">
        <f t="shared" si="31"/>
        <v>89063000</v>
      </c>
      <c r="C140" t="str">
        <f t="shared" si="31"/>
        <v>89063000</v>
      </c>
      <c r="D140" t="str">
        <f t="shared" si="28"/>
        <v>809</v>
      </c>
      <c r="E140" t="str">
        <f>"89301703"</f>
        <v>89301703</v>
      </c>
      <c r="F140" t="str">
        <f>"1412010424"</f>
        <v>1412010424</v>
      </c>
      <c r="G140" s="1">
        <v>44586</v>
      </c>
      <c r="H140" t="str">
        <f t="shared" si="29"/>
        <v>89312</v>
      </c>
      <c r="I140">
        <v>1</v>
      </c>
      <c r="J140">
        <v>302</v>
      </c>
      <c r="K140">
        <v>0</v>
      </c>
      <c r="L140">
        <v>317.10000000000002</v>
      </c>
    </row>
    <row r="141" spans="1:12" x14ac:dyDescent="0.25">
      <c r="A141" t="str">
        <f t="shared" si="30"/>
        <v>89301000</v>
      </c>
      <c r="B141" t="str">
        <f t="shared" si="31"/>
        <v>89063000</v>
      </c>
      <c r="C141" t="str">
        <f t="shared" si="31"/>
        <v>89063000</v>
      </c>
      <c r="D141" t="str">
        <f t="shared" si="28"/>
        <v>809</v>
      </c>
      <c r="E141" t="str">
        <f>"89301212"</f>
        <v>89301212</v>
      </c>
      <c r="F141" t="str">
        <f>"7953145387"</f>
        <v>7953145387</v>
      </c>
      <c r="G141" s="1">
        <v>44586</v>
      </c>
      <c r="H141" t="str">
        <f t="shared" si="29"/>
        <v>89312</v>
      </c>
      <c r="I141">
        <v>3</v>
      </c>
      <c r="J141">
        <v>906</v>
      </c>
      <c r="K141">
        <v>0</v>
      </c>
      <c r="L141">
        <v>951.3</v>
      </c>
    </row>
    <row r="142" spans="1:12" x14ac:dyDescent="0.25">
      <c r="A142" t="str">
        <f t="shared" si="30"/>
        <v>89301000</v>
      </c>
      <c r="B142" t="str">
        <f t="shared" si="31"/>
        <v>89063000</v>
      </c>
      <c r="C142" t="str">
        <f t="shared" si="31"/>
        <v>89063000</v>
      </c>
      <c r="D142" t="str">
        <f t="shared" si="28"/>
        <v>809</v>
      </c>
      <c r="E142" t="str">
        <f>"89301037"</f>
        <v>89301037</v>
      </c>
      <c r="F142" t="str">
        <f>"8651156404"</f>
        <v>8651156404</v>
      </c>
      <c r="G142" s="1">
        <v>44587</v>
      </c>
      <c r="H142" t="str">
        <f t="shared" si="29"/>
        <v>89312</v>
      </c>
      <c r="I142">
        <v>3</v>
      </c>
      <c r="J142">
        <v>906</v>
      </c>
      <c r="K142">
        <v>0</v>
      </c>
      <c r="L142">
        <v>951.3</v>
      </c>
    </row>
    <row r="143" spans="1:12" x14ac:dyDescent="0.25">
      <c r="A143" t="str">
        <f t="shared" si="30"/>
        <v>89301000</v>
      </c>
      <c r="B143" t="str">
        <f t="shared" si="31"/>
        <v>89063000</v>
      </c>
      <c r="C143" t="str">
        <f t="shared" si="31"/>
        <v>89063000</v>
      </c>
      <c r="D143" t="str">
        <f t="shared" si="28"/>
        <v>809</v>
      </c>
      <c r="E143" t="str">
        <f>"89301037"</f>
        <v>89301037</v>
      </c>
      <c r="F143" t="str">
        <f>"6559210977"</f>
        <v>6559210977</v>
      </c>
      <c r="G143" s="1">
        <v>44587</v>
      </c>
      <c r="H143" t="str">
        <f t="shared" si="29"/>
        <v>89312</v>
      </c>
      <c r="I143">
        <v>3</v>
      </c>
      <c r="J143">
        <v>906</v>
      </c>
      <c r="K143">
        <v>0</v>
      </c>
      <c r="L143">
        <v>951.3</v>
      </c>
    </row>
    <row r="144" spans="1:12" x14ac:dyDescent="0.25">
      <c r="A144" t="str">
        <f t="shared" si="30"/>
        <v>89301000</v>
      </c>
      <c r="B144" t="str">
        <f t="shared" si="31"/>
        <v>89063000</v>
      </c>
      <c r="C144" t="str">
        <f t="shared" si="31"/>
        <v>89063000</v>
      </c>
      <c r="D144" t="str">
        <f t="shared" si="28"/>
        <v>809</v>
      </c>
      <c r="E144" t="str">
        <f>"89301032"</f>
        <v>89301032</v>
      </c>
      <c r="F144" t="str">
        <f>"7060225315"</f>
        <v>7060225315</v>
      </c>
      <c r="G144" s="1">
        <v>44587</v>
      </c>
      <c r="H144" t="str">
        <f t="shared" si="29"/>
        <v>89312</v>
      </c>
      <c r="I144">
        <v>3</v>
      </c>
      <c r="J144">
        <v>906</v>
      </c>
      <c r="K144">
        <v>0</v>
      </c>
      <c r="L144">
        <v>951.3</v>
      </c>
    </row>
    <row r="145" spans="1:12" x14ac:dyDescent="0.25">
      <c r="A145" t="str">
        <f t="shared" si="30"/>
        <v>89301000</v>
      </c>
      <c r="B145" t="str">
        <f t="shared" si="31"/>
        <v>89063000</v>
      </c>
      <c r="C145" t="str">
        <f t="shared" si="31"/>
        <v>89063000</v>
      </c>
      <c r="D145" t="str">
        <f t="shared" si="28"/>
        <v>809</v>
      </c>
      <c r="E145" t="str">
        <f>"89301037"</f>
        <v>89301037</v>
      </c>
      <c r="F145" t="str">
        <f>"6252050475"</f>
        <v>6252050475</v>
      </c>
      <c r="G145" s="1">
        <v>44588</v>
      </c>
      <c r="H145" t="str">
        <f t="shared" si="29"/>
        <v>89312</v>
      </c>
      <c r="I145">
        <v>3</v>
      </c>
      <c r="J145">
        <v>906</v>
      </c>
      <c r="K145">
        <v>0</v>
      </c>
      <c r="L145">
        <v>951.3</v>
      </c>
    </row>
    <row r="146" spans="1:12" x14ac:dyDescent="0.25">
      <c r="A146" t="str">
        <f t="shared" si="30"/>
        <v>89301000</v>
      </c>
      <c r="B146" t="str">
        <f t="shared" si="31"/>
        <v>89063000</v>
      </c>
      <c r="C146" t="str">
        <f t="shared" si="31"/>
        <v>89063000</v>
      </c>
      <c r="D146" t="str">
        <f t="shared" si="28"/>
        <v>809</v>
      </c>
      <c r="E146" t="str">
        <f>"89301037"</f>
        <v>89301037</v>
      </c>
      <c r="F146" t="str">
        <f>"5651131761"</f>
        <v>5651131761</v>
      </c>
      <c r="G146" s="1">
        <v>44588</v>
      </c>
      <c r="H146" t="str">
        <f t="shared" si="29"/>
        <v>89312</v>
      </c>
      <c r="I146">
        <v>3</v>
      </c>
      <c r="J146">
        <v>906</v>
      </c>
      <c r="K146">
        <v>0</v>
      </c>
      <c r="L146">
        <v>951.3</v>
      </c>
    </row>
    <row r="147" spans="1:12" x14ac:dyDescent="0.25">
      <c r="A147" t="str">
        <f t="shared" si="30"/>
        <v>89301000</v>
      </c>
      <c r="B147" t="str">
        <f t="shared" si="31"/>
        <v>89063000</v>
      </c>
      <c r="C147" t="str">
        <f t="shared" si="31"/>
        <v>89063000</v>
      </c>
      <c r="D147" t="str">
        <f t="shared" si="28"/>
        <v>809</v>
      </c>
      <c r="E147" t="str">
        <f>"89301036"</f>
        <v>89301036</v>
      </c>
      <c r="F147" t="str">
        <f>"6502192048"</f>
        <v>6502192048</v>
      </c>
      <c r="G147" s="1">
        <v>44588</v>
      </c>
      <c r="H147" t="str">
        <f t="shared" si="29"/>
        <v>89312</v>
      </c>
      <c r="I147">
        <v>3</v>
      </c>
      <c r="J147">
        <v>906</v>
      </c>
      <c r="K147">
        <v>0</v>
      </c>
      <c r="L147">
        <v>951.3</v>
      </c>
    </row>
    <row r="148" spans="1:12" x14ac:dyDescent="0.25">
      <c r="A148" t="str">
        <f t="shared" si="30"/>
        <v>89301000</v>
      </c>
      <c r="B148" t="str">
        <f t="shared" si="31"/>
        <v>89063000</v>
      </c>
      <c r="C148" t="str">
        <f t="shared" si="31"/>
        <v>89063000</v>
      </c>
      <c r="D148" t="str">
        <f t="shared" si="28"/>
        <v>809</v>
      </c>
      <c r="E148" t="str">
        <f>"89301167"</f>
        <v>89301167</v>
      </c>
      <c r="F148" t="str">
        <f>"6760250222"</f>
        <v>6760250222</v>
      </c>
      <c r="G148" s="1">
        <v>44589</v>
      </c>
      <c r="H148" t="str">
        <f t="shared" si="29"/>
        <v>89312</v>
      </c>
      <c r="I148">
        <v>3</v>
      </c>
      <c r="J148">
        <v>906</v>
      </c>
      <c r="K148">
        <v>0</v>
      </c>
      <c r="L148">
        <v>951.3</v>
      </c>
    </row>
    <row r="149" spans="1:12" x14ac:dyDescent="0.25">
      <c r="A149" t="str">
        <f t="shared" si="30"/>
        <v>89301000</v>
      </c>
      <c r="B149" t="str">
        <f t="shared" ref="B149:C152" si="32">"92503000"</f>
        <v>92503000</v>
      </c>
      <c r="C149" t="str">
        <f t="shared" si="32"/>
        <v>92503000</v>
      </c>
      <c r="D149" t="str">
        <f>"807"</f>
        <v>807</v>
      </c>
      <c r="E149" t="str">
        <f>"89301082"</f>
        <v>89301082</v>
      </c>
      <c r="F149" t="str">
        <f>"1051043246"</f>
        <v>1051043246</v>
      </c>
      <c r="G149" s="1">
        <v>44592</v>
      </c>
      <c r="H149" t="str">
        <f>"87433"</f>
        <v>87433</v>
      </c>
      <c r="I149">
        <v>1</v>
      </c>
      <c r="J149">
        <v>41</v>
      </c>
      <c r="K149">
        <v>0</v>
      </c>
      <c r="L149">
        <v>31.98</v>
      </c>
    </row>
    <row r="150" spans="1:12" x14ac:dyDescent="0.25">
      <c r="A150" t="str">
        <f t="shared" si="30"/>
        <v>89301000</v>
      </c>
      <c r="B150" t="str">
        <f t="shared" si="32"/>
        <v>92503000</v>
      </c>
      <c r="C150" t="str">
        <f t="shared" si="32"/>
        <v>92503000</v>
      </c>
      <c r="D150" t="str">
        <f>"807"</f>
        <v>807</v>
      </c>
      <c r="E150" t="str">
        <f>"89301082"</f>
        <v>89301082</v>
      </c>
      <c r="F150" t="str">
        <f>"1051043246"</f>
        <v>1051043246</v>
      </c>
      <c r="G150" s="1">
        <v>44592</v>
      </c>
      <c r="H150" t="str">
        <f>"87519"</f>
        <v>87519</v>
      </c>
      <c r="I150">
        <v>1</v>
      </c>
      <c r="J150">
        <v>310</v>
      </c>
      <c r="K150">
        <v>0</v>
      </c>
      <c r="L150">
        <v>241.8</v>
      </c>
    </row>
    <row r="151" spans="1:12" x14ac:dyDescent="0.25">
      <c r="A151" t="str">
        <f t="shared" si="30"/>
        <v>89301000</v>
      </c>
      <c r="B151" t="str">
        <f t="shared" si="32"/>
        <v>92503000</v>
      </c>
      <c r="C151" t="str">
        <f t="shared" si="32"/>
        <v>92503000</v>
      </c>
      <c r="D151" t="str">
        <f>"807"</f>
        <v>807</v>
      </c>
      <c r="E151" t="str">
        <f>"89301082"</f>
        <v>89301082</v>
      </c>
      <c r="F151" t="str">
        <f>"1053095285"</f>
        <v>1053095285</v>
      </c>
      <c r="G151" s="1">
        <v>44592</v>
      </c>
      <c r="H151" t="str">
        <f>"87433"</f>
        <v>87433</v>
      </c>
      <c r="I151">
        <v>1</v>
      </c>
      <c r="J151">
        <v>41</v>
      </c>
      <c r="K151">
        <v>0</v>
      </c>
      <c r="L151">
        <v>31.98</v>
      </c>
    </row>
    <row r="152" spans="1:12" x14ac:dyDescent="0.25">
      <c r="A152" t="str">
        <f t="shared" si="30"/>
        <v>89301000</v>
      </c>
      <c r="B152" t="str">
        <f t="shared" si="32"/>
        <v>92503000</v>
      </c>
      <c r="C152" t="str">
        <f t="shared" si="32"/>
        <v>92503000</v>
      </c>
      <c r="D152" t="str">
        <f>"807"</f>
        <v>807</v>
      </c>
      <c r="E152" t="str">
        <f>"89301082"</f>
        <v>89301082</v>
      </c>
      <c r="F152" t="str">
        <f>"1053095285"</f>
        <v>1053095285</v>
      </c>
      <c r="G152" s="1">
        <v>44592</v>
      </c>
      <c r="H152" t="str">
        <f>"87519"</f>
        <v>87519</v>
      </c>
      <c r="I152">
        <v>1</v>
      </c>
      <c r="J152">
        <v>310</v>
      </c>
      <c r="K152">
        <v>0</v>
      </c>
      <c r="L152">
        <v>241.8</v>
      </c>
    </row>
    <row r="153" spans="1:12" x14ac:dyDescent="0.25">
      <c r="A153" t="str">
        <f t="shared" si="30"/>
        <v>89301000</v>
      </c>
      <c r="B153" t="str">
        <f t="shared" ref="B153:B184" si="33">"78051000"</f>
        <v>78051000</v>
      </c>
      <c r="C153" t="str">
        <f t="shared" ref="C153:C197" si="34">"78051004"</f>
        <v>78051004</v>
      </c>
      <c r="D153" t="str">
        <f t="shared" ref="D153:D197" si="35">"809"</f>
        <v>809</v>
      </c>
      <c r="E153" t="str">
        <f t="shared" ref="E153:E184" si="36">"89301062"</f>
        <v>89301062</v>
      </c>
      <c r="F153" t="str">
        <f>"7051234465"</f>
        <v>7051234465</v>
      </c>
      <c r="G153" s="1">
        <v>44573</v>
      </c>
      <c r="H153" t="str">
        <f>"89311"</f>
        <v>89311</v>
      </c>
      <c r="I153">
        <v>1</v>
      </c>
      <c r="J153">
        <v>936</v>
      </c>
      <c r="K153">
        <v>0</v>
      </c>
      <c r="L153">
        <v>1310.4000000000001</v>
      </c>
    </row>
    <row r="154" spans="1:12" x14ac:dyDescent="0.25">
      <c r="A154" t="str">
        <f t="shared" si="30"/>
        <v>89301000</v>
      </c>
      <c r="B154" t="str">
        <f t="shared" si="33"/>
        <v>78051000</v>
      </c>
      <c r="C154" t="str">
        <f t="shared" si="34"/>
        <v>78051004</v>
      </c>
      <c r="D154" t="str">
        <f t="shared" si="35"/>
        <v>809</v>
      </c>
      <c r="E154" t="str">
        <f t="shared" si="36"/>
        <v>89301062</v>
      </c>
      <c r="F154" t="str">
        <f>"7051234465"</f>
        <v>7051234465</v>
      </c>
      <c r="G154" s="1">
        <v>44573</v>
      </c>
      <c r="H154" t="str">
        <f>"0090044"</f>
        <v>0090044</v>
      </c>
      <c r="I154">
        <v>1</v>
      </c>
      <c r="K154">
        <v>16.8</v>
      </c>
      <c r="L154">
        <v>16.8</v>
      </c>
    </row>
    <row r="155" spans="1:12" x14ac:dyDescent="0.25">
      <c r="A155" t="str">
        <f t="shared" si="30"/>
        <v>89301000</v>
      </c>
      <c r="B155" t="str">
        <f t="shared" si="33"/>
        <v>78051000</v>
      </c>
      <c r="C155" t="str">
        <f t="shared" si="34"/>
        <v>78051004</v>
      </c>
      <c r="D155" t="str">
        <f t="shared" si="35"/>
        <v>809</v>
      </c>
      <c r="E155" t="str">
        <f t="shared" si="36"/>
        <v>89301062</v>
      </c>
      <c r="F155" t="str">
        <f>"7051234465"</f>
        <v>7051234465</v>
      </c>
      <c r="G155" s="1">
        <v>44573</v>
      </c>
      <c r="H155" t="str">
        <f>"0225891"</f>
        <v>0225891</v>
      </c>
      <c r="I155">
        <v>0.2</v>
      </c>
      <c r="K155">
        <v>73.540000000000006</v>
      </c>
      <c r="L155">
        <v>73.540000000000006</v>
      </c>
    </row>
    <row r="156" spans="1:12" x14ac:dyDescent="0.25">
      <c r="A156" t="str">
        <f t="shared" si="30"/>
        <v>89301000</v>
      </c>
      <c r="B156" t="str">
        <f t="shared" si="33"/>
        <v>78051000</v>
      </c>
      <c r="C156" t="str">
        <f t="shared" si="34"/>
        <v>78051004</v>
      </c>
      <c r="D156" t="str">
        <f t="shared" si="35"/>
        <v>809</v>
      </c>
      <c r="E156" t="str">
        <f t="shared" si="36"/>
        <v>89301062</v>
      </c>
      <c r="F156" t="str">
        <f>"7051234465"</f>
        <v>7051234465</v>
      </c>
      <c r="G156" s="1">
        <v>44573</v>
      </c>
      <c r="H156" t="str">
        <f>"0096251"</f>
        <v>0096251</v>
      </c>
      <c r="I156">
        <v>0.17</v>
      </c>
      <c r="K156">
        <v>198.83</v>
      </c>
      <c r="L156">
        <v>198.83</v>
      </c>
    </row>
    <row r="157" spans="1:12" x14ac:dyDescent="0.25">
      <c r="A157" t="str">
        <f t="shared" si="30"/>
        <v>89301000</v>
      </c>
      <c r="B157" t="str">
        <f t="shared" si="33"/>
        <v>78051000</v>
      </c>
      <c r="C157" t="str">
        <f t="shared" si="34"/>
        <v>78051004</v>
      </c>
      <c r="D157" t="str">
        <f t="shared" si="35"/>
        <v>809</v>
      </c>
      <c r="E157" t="str">
        <f t="shared" si="36"/>
        <v>89301062</v>
      </c>
      <c r="F157" t="str">
        <f>"7051234465"</f>
        <v>7051234465</v>
      </c>
      <c r="G157" s="1">
        <v>44573</v>
      </c>
      <c r="H157" t="str">
        <f>"0098943"</f>
        <v>0098943</v>
      </c>
      <c r="I157">
        <v>1</v>
      </c>
      <c r="K157">
        <v>293.81</v>
      </c>
      <c r="L157">
        <v>293.81</v>
      </c>
    </row>
    <row r="158" spans="1:12" x14ac:dyDescent="0.25">
      <c r="A158" t="str">
        <f t="shared" si="30"/>
        <v>89301000</v>
      </c>
      <c r="B158" t="str">
        <f t="shared" si="33"/>
        <v>78051000</v>
      </c>
      <c r="C158" t="str">
        <f t="shared" si="34"/>
        <v>78051004</v>
      </c>
      <c r="D158" t="str">
        <f t="shared" si="35"/>
        <v>809</v>
      </c>
      <c r="E158" t="str">
        <f t="shared" si="36"/>
        <v>89301062</v>
      </c>
      <c r="F158" t="str">
        <f>"8106125676"</f>
        <v>8106125676</v>
      </c>
      <c r="G158" s="1">
        <v>44573</v>
      </c>
      <c r="H158" t="str">
        <f>"89311"</f>
        <v>89311</v>
      </c>
      <c r="I158">
        <v>1</v>
      </c>
      <c r="J158">
        <v>936</v>
      </c>
      <c r="K158">
        <v>0</v>
      </c>
      <c r="L158">
        <v>1310.4000000000001</v>
      </c>
    </row>
    <row r="159" spans="1:12" x14ac:dyDescent="0.25">
      <c r="A159" t="str">
        <f t="shared" si="30"/>
        <v>89301000</v>
      </c>
      <c r="B159" t="str">
        <f t="shared" si="33"/>
        <v>78051000</v>
      </c>
      <c r="C159" t="str">
        <f t="shared" si="34"/>
        <v>78051004</v>
      </c>
      <c r="D159" t="str">
        <f t="shared" si="35"/>
        <v>809</v>
      </c>
      <c r="E159" t="str">
        <f t="shared" si="36"/>
        <v>89301062</v>
      </c>
      <c r="F159" t="str">
        <f>"8106125676"</f>
        <v>8106125676</v>
      </c>
      <c r="G159" s="1">
        <v>44573</v>
      </c>
      <c r="H159" t="str">
        <f>"0090044"</f>
        <v>0090044</v>
      </c>
      <c r="I159">
        <v>1</v>
      </c>
      <c r="K159">
        <v>16.8</v>
      </c>
      <c r="L159">
        <v>16.8</v>
      </c>
    </row>
    <row r="160" spans="1:12" x14ac:dyDescent="0.25">
      <c r="A160" t="str">
        <f t="shared" si="30"/>
        <v>89301000</v>
      </c>
      <c r="B160" t="str">
        <f t="shared" si="33"/>
        <v>78051000</v>
      </c>
      <c r="C160" t="str">
        <f t="shared" si="34"/>
        <v>78051004</v>
      </c>
      <c r="D160" t="str">
        <f t="shared" si="35"/>
        <v>809</v>
      </c>
      <c r="E160" t="str">
        <f t="shared" si="36"/>
        <v>89301062</v>
      </c>
      <c r="F160" t="str">
        <f>"8106125676"</f>
        <v>8106125676</v>
      </c>
      <c r="G160" s="1">
        <v>44573</v>
      </c>
      <c r="H160" t="str">
        <f>"0225891"</f>
        <v>0225891</v>
      </c>
      <c r="I160">
        <v>0.2</v>
      </c>
      <c r="K160">
        <v>73.540000000000006</v>
      </c>
      <c r="L160">
        <v>73.540000000000006</v>
      </c>
    </row>
    <row r="161" spans="1:12" x14ac:dyDescent="0.25">
      <c r="A161" t="str">
        <f t="shared" si="30"/>
        <v>89301000</v>
      </c>
      <c r="B161" t="str">
        <f t="shared" si="33"/>
        <v>78051000</v>
      </c>
      <c r="C161" t="str">
        <f t="shared" si="34"/>
        <v>78051004</v>
      </c>
      <c r="D161" t="str">
        <f t="shared" si="35"/>
        <v>809</v>
      </c>
      <c r="E161" t="str">
        <f t="shared" si="36"/>
        <v>89301062</v>
      </c>
      <c r="F161" t="str">
        <f>"8106125676"</f>
        <v>8106125676</v>
      </c>
      <c r="G161" s="1">
        <v>44573</v>
      </c>
      <c r="H161" t="str">
        <f>"0096251"</f>
        <v>0096251</v>
      </c>
      <c r="I161">
        <v>0.17</v>
      </c>
      <c r="K161">
        <v>198.83</v>
      </c>
      <c r="L161">
        <v>198.83</v>
      </c>
    </row>
    <row r="162" spans="1:12" x14ac:dyDescent="0.25">
      <c r="A162" t="str">
        <f t="shared" si="30"/>
        <v>89301000</v>
      </c>
      <c r="B162" t="str">
        <f t="shared" si="33"/>
        <v>78051000</v>
      </c>
      <c r="C162" t="str">
        <f t="shared" si="34"/>
        <v>78051004</v>
      </c>
      <c r="D162" t="str">
        <f t="shared" si="35"/>
        <v>809</v>
      </c>
      <c r="E162" t="str">
        <f t="shared" si="36"/>
        <v>89301062</v>
      </c>
      <c r="F162" t="str">
        <f>"8106125676"</f>
        <v>8106125676</v>
      </c>
      <c r="G162" s="1">
        <v>44573</v>
      </c>
      <c r="H162" t="str">
        <f>"0098943"</f>
        <v>0098943</v>
      </c>
      <c r="I162">
        <v>1</v>
      </c>
      <c r="K162">
        <v>293.81</v>
      </c>
      <c r="L162">
        <v>293.81</v>
      </c>
    </row>
    <row r="163" spans="1:12" x14ac:dyDescent="0.25">
      <c r="A163" t="str">
        <f t="shared" si="30"/>
        <v>89301000</v>
      </c>
      <c r="B163" t="str">
        <f t="shared" si="33"/>
        <v>78051000</v>
      </c>
      <c r="C163" t="str">
        <f t="shared" si="34"/>
        <v>78051004</v>
      </c>
      <c r="D163" t="str">
        <f t="shared" si="35"/>
        <v>809</v>
      </c>
      <c r="E163" t="str">
        <f t="shared" si="36"/>
        <v>89301062</v>
      </c>
      <c r="F163" t="str">
        <f>"515622154"</f>
        <v>515622154</v>
      </c>
      <c r="G163" s="1">
        <v>44580</v>
      </c>
      <c r="H163" t="str">
        <f>"89311"</f>
        <v>89311</v>
      </c>
      <c r="I163">
        <v>1</v>
      </c>
      <c r="J163">
        <v>936</v>
      </c>
      <c r="K163">
        <v>0</v>
      </c>
      <c r="L163">
        <v>1310.4000000000001</v>
      </c>
    </row>
    <row r="164" spans="1:12" x14ac:dyDescent="0.25">
      <c r="A164" t="str">
        <f t="shared" si="30"/>
        <v>89301000</v>
      </c>
      <c r="B164" t="str">
        <f t="shared" si="33"/>
        <v>78051000</v>
      </c>
      <c r="C164" t="str">
        <f t="shared" si="34"/>
        <v>78051004</v>
      </c>
      <c r="D164" t="str">
        <f t="shared" si="35"/>
        <v>809</v>
      </c>
      <c r="E164" t="str">
        <f t="shared" si="36"/>
        <v>89301062</v>
      </c>
      <c r="F164" t="str">
        <f>"515622154"</f>
        <v>515622154</v>
      </c>
      <c r="G164" s="1">
        <v>44580</v>
      </c>
      <c r="H164" t="str">
        <f>"0090044"</f>
        <v>0090044</v>
      </c>
      <c r="I164">
        <v>1</v>
      </c>
      <c r="K164">
        <v>16.8</v>
      </c>
      <c r="L164">
        <v>16.8</v>
      </c>
    </row>
    <row r="165" spans="1:12" x14ac:dyDescent="0.25">
      <c r="A165" t="str">
        <f t="shared" si="30"/>
        <v>89301000</v>
      </c>
      <c r="B165" t="str">
        <f t="shared" si="33"/>
        <v>78051000</v>
      </c>
      <c r="C165" t="str">
        <f t="shared" si="34"/>
        <v>78051004</v>
      </c>
      <c r="D165" t="str">
        <f t="shared" si="35"/>
        <v>809</v>
      </c>
      <c r="E165" t="str">
        <f t="shared" si="36"/>
        <v>89301062</v>
      </c>
      <c r="F165" t="str">
        <f>"515622154"</f>
        <v>515622154</v>
      </c>
      <c r="G165" s="1">
        <v>44580</v>
      </c>
      <c r="H165" t="str">
        <f>"0225891"</f>
        <v>0225891</v>
      </c>
      <c r="I165">
        <v>0.2</v>
      </c>
      <c r="K165">
        <v>73.540000000000006</v>
      </c>
      <c r="L165">
        <v>73.540000000000006</v>
      </c>
    </row>
    <row r="166" spans="1:12" x14ac:dyDescent="0.25">
      <c r="A166" t="str">
        <f t="shared" si="30"/>
        <v>89301000</v>
      </c>
      <c r="B166" t="str">
        <f t="shared" si="33"/>
        <v>78051000</v>
      </c>
      <c r="C166" t="str">
        <f t="shared" si="34"/>
        <v>78051004</v>
      </c>
      <c r="D166" t="str">
        <f t="shared" si="35"/>
        <v>809</v>
      </c>
      <c r="E166" t="str">
        <f t="shared" si="36"/>
        <v>89301062</v>
      </c>
      <c r="F166" t="str">
        <f>"515622154"</f>
        <v>515622154</v>
      </c>
      <c r="G166" s="1">
        <v>44580</v>
      </c>
      <c r="H166" t="str">
        <f>"0096251"</f>
        <v>0096251</v>
      </c>
      <c r="I166">
        <v>0.17</v>
      </c>
      <c r="K166">
        <v>198.83</v>
      </c>
      <c r="L166">
        <v>198.83</v>
      </c>
    </row>
    <row r="167" spans="1:12" x14ac:dyDescent="0.25">
      <c r="A167" t="str">
        <f t="shared" si="30"/>
        <v>89301000</v>
      </c>
      <c r="B167" t="str">
        <f t="shared" si="33"/>
        <v>78051000</v>
      </c>
      <c r="C167" t="str">
        <f t="shared" si="34"/>
        <v>78051004</v>
      </c>
      <c r="D167" t="str">
        <f t="shared" si="35"/>
        <v>809</v>
      </c>
      <c r="E167" t="str">
        <f t="shared" si="36"/>
        <v>89301062</v>
      </c>
      <c r="F167" t="str">
        <f>"515622154"</f>
        <v>515622154</v>
      </c>
      <c r="G167" s="1">
        <v>44580</v>
      </c>
      <c r="H167" t="str">
        <f>"0098943"</f>
        <v>0098943</v>
      </c>
      <c r="I167">
        <v>1</v>
      </c>
      <c r="K167">
        <v>293.81</v>
      </c>
      <c r="L167">
        <v>293.81</v>
      </c>
    </row>
    <row r="168" spans="1:12" x14ac:dyDescent="0.25">
      <c r="A168" t="str">
        <f t="shared" si="30"/>
        <v>89301000</v>
      </c>
      <c r="B168" t="str">
        <f t="shared" si="33"/>
        <v>78051000</v>
      </c>
      <c r="C168" t="str">
        <f t="shared" si="34"/>
        <v>78051004</v>
      </c>
      <c r="D168" t="str">
        <f t="shared" si="35"/>
        <v>809</v>
      </c>
      <c r="E168" t="str">
        <f t="shared" si="36"/>
        <v>89301062</v>
      </c>
      <c r="F168" t="str">
        <f>"6757051059"</f>
        <v>6757051059</v>
      </c>
      <c r="G168" s="1">
        <v>44580</v>
      </c>
      <c r="H168" t="str">
        <f>"89311"</f>
        <v>89311</v>
      </c>
      <c r="I168">
        <v>1</v>
      </c>
      <c r="J168">
        <v>936</v>
      </c>
      <c r="K168">
        <v>0</v>
      </c>
      <c r="L168">
        <v>1310.4000000000001</v>
      </c>
    </row>
    <row r="169" spans="1:12" x14ac:dyDescent="0.25">
      <c r="A169" t="str">
        <f t="shared" si="30"/>
        <v>89301000</v>
      </c>
      <c r="B169" t="str">
        <f t="shared" si="33"/>
        <v>78051000</v>
      </c>
      <c r="C169" t="str">
        <f t="shared" si="34"/>
        <v>78051004</v>
      </c>
      <c r="D169" t="str">
        <f t="shared" si="35"/>
        <v>809</v>
      </c>
      <c r="E169" t="str">
        <f t="shared" si="36"/>
        <v>89301062</v>
      </c>
      <c r="F169" t="str">
        <f>"6757051059"</f>
        <v>6757051059</v>
      </c>
      <c r="G169" s="1">
        <v>44580</v>
      </c>
      <c r="H169" t="str">
        <f>"0090044"</f>
        <v>0090044</v>
      </c>
      <c r="I169">
        <v>1</v>
      </c>
      <c r="K169">
        <v>16.8</v>
      </c>
      <c r="L169">
        <v>16.8</v>
      </c>
    </row>
    <row r="170" spans="1:12" x14ac:dyDescent="0.25">
      <c r="A170" t="str">
        <f t="shared" si="30"/>
        <v>89301000</v>
      </c>
      <c r="B170" t="str">
        <f t="shared" si="33"/>
        <v>78051000</v>
      </c>
      <c r="C170" t="str">
        <f t="shared" si="34"/>
        <v>78051004</v>
      </c>
      <c r="D170" t="str">
        <f t="shared" si="35"/>
        <v>809</v>
      </c>
      <c r="E170" t="str">
        <f t="shared" si="36"/>
        <v>89301062</v>
      </c>
      <c r="F170" t="str">
        <f>"6757051059"</f>
        <v>6757051059</v>
      </c>
      <c r="G170" s="1">
        <v>44580</v>
      </c>
      <c r="H170" t="str">
        <f>"0225891"</f>
        <v>0225891</v>
      </c>
      <c r="I170">
        <v>0.2</v>
      </c>
      <c r="K170">
        <v>73.540000000000006</v>
      </c>
      <c r="L170">
        <v>73.540000000000006</v>
      </c>
    </row>
    <row r="171" spans="1:12" x14ac:dyDescent="0.25">
      <c r="A171" t="str">
        <f t="shared" si="30"/>
        <v>89301000</v>
      </c>
      <c r="B171" t="str">
        <f t="shared" si="33"/>
        <v>78051000</v>
      </c>
      <c r="C171" t="str">
        <f t="shared" si="34"/>
        <v>78051004</v>
      </c>
      <c r="D171" t="str">
        <f t="shared" si="35"/>
        <v>809</v>
      </c>
      <c r="E171" t="str">
        <f t="shared" si="36"/>
        <v>89301062</v>
      </c>
      <c r="F171" t="str">
        <f>"6757051059"</f>
        <v>6757051059</v>
      </c>
      <c r="G171" s="1">
        <v>44580</v>
      </c>
      <c r="H171" t="str">
        <f>"0096251"</f>
        <v>0096251</v>
      </c>
      <c r="I171">
        <v>0.17</v>
      </c>
      <c r="K171">
        <v>198.83</v>
      </c>
      <c r="L171">
        <v>198.83</v>
      </c>
    </row>
    <row r="172" spans="1:12" x14ac:dyDescent="0.25">
      <c r="A172" t="str">
        <f t="shared" si="30"/>
        <v>89301000</v>
      </c>
      <c r="B172" t="str">
        <f t="shared" si="33"/>
        <v>78051000</v>
      </c>
      <c r="C172" t="str">
        <f t="shared" si="34"/>
        <v>78051004</v>
      </c>
      <c r="D172" t="str">
        <f t="shared" si="35"/>
        <v>809</v>
      </c>
      <c r="E172" t="str">
        <f t="shared" si="36"/>
        <v>89301062</v>
      </c>
      <c r="F172" t="str">
        <f>"6757051059"</f>
        <v>6757051059</v>
      </c>
      <c r="G172" s="1">
        <v>44580</v>
      </c>
      <c r="H172" t="str">
        <f>"0098943"</f>
        <v>0098943</v>
      </c>
      <c r="I172">
        <v>1</v>
      </c>
      <c r="K172">
        <v>293.81</v>
      </c>
      <c r="L172">
        <v>293.81</v>
      </c>
    </row>
    <row r="173" spans="1:12" x14ac:dyDescent="0.25">
      <c r="A173" t="str">
        <f t="shared" si="30"/>
        <v>89301000</v>
      </c>
      <c r="B173" t="str">
        <f t="shared" si="33"/>
        <v>78051000</v>
      </c>
      <c r="C173" t="str">
        <f t="shared" si="34"/>
        <v>78051004</v>
      </c>
      <c r="D173" t="str">
        <f t="shared" si="35"/>
        <v>809</v>
      </c>
      <c r="E173" t="str">
        <f t="shared" si="36"/>
        <v>89301062</v>
      </c>
      <c r="F173" t="str">
        <f>"6455250351"</f>
        <v>6455250351</v>
      </c>
      <c r="G173" s="1">
        <v>44580</v>
      </c>
      <c r="H173" t="str">
        <f>"89311"</f>
        <v>89311</v>
      </c>
      <c r="I173">
        <v>1</v>
      </c>
      <c r="J173">
        <v>936</v>
      </c>
      <c r="K173">
        <v>0</v>
      </c>
      <c r="L173">
        <v>1310.4000000000001</v>
      </c>
    </row>
    <row r="174" spans="1:12" x14ac:dyDescent="0.25">
      <c r="A174" t="str">
        <f t="shared" si="30"/>
        <v>89301000</v>
      </c>
      <c r="B174" t="str">
        <f t="shared" si="33"/>
        <v>78051000</v>
      </c>
      <c r="C174" t="str">
        <f t="shared" si="34"/>
        <v>78051004</v>
      </c>
      <c r="D174" t="str">
        <f t="shared" si="35"/>
        <v>809</v>
      </c>
      <c r="E174" t="str">
        <f t="shared" si="36"/>
        <v>89301062</v>
      </c>
      <c r="F174" t="str">
        <f>"6455250351"</f>
        <v>6455250351</v>
      </c>
      <c r="G174" s="1">
        <v>44580</v>
      </c>
      <c r="H174" t="str">
        <f>"0090044"</f>
        <v>0090044</v>
      </c>
      <c r="I174">
        <v>1</v>
      </c>
      <c r="K174">
        <v>16.8</v>
      </c>
      <c r="L174">
        <v>16.8</v>
      </c>
    </row>
    <row r="175" spans="1:12" x14ac:dyDescent="0.25">
      <c r="A175" t="str">
        <f t="shared" si="30"/>
        <v>89301000</v>
      </c>
      <c r="B175" t="str">
        <f t="shared" si="33"/>
        <v>78051000</v>
      </c>
      <c r="C175" t="str">
        <f t="shared" si="34"/>
        <v>78051004</v>
      </c>
      <c r="D175" t="str">
        <f t="shared" si="35"/>
        <v>809</v>
      </c>
      <c r="E175" t="str">
        <f t="shared" si="36"/>
        <v>89301062</v>
      </c>
      <c r="F175" t="str">
        <f>"6455250351"</f>
        <v>6455250351</v>
      </c>
      <c r="G175" s="1">
        <v>44580</v>
      </c>
      <c r="H175" t="str">
        <f>"0225891"</f>
        <v>0225891</v>
      </c>
      <c r="I175">
        <v>0.2</v>
      </c>
      <c r="K175">
        <v>73.540000000000006</v>
      </c>
      <c r="L175">
        <v>73.540000000000006</v>
      </c>
    </row>
    <row r="176" spans="1:12" x14ac:dyDescent="0.25">
      <c r="A176" t="str">
        <f t="shared" si="30"/>
        <v>89301000</v>
      </c>
      <c r="B176" t="str">
        <f t="shared" si="33"/>
        <v>78051000</v>
      </c>
      <c r="C176" t="str">
        <f t="shared" si="34"/>
        <v>78051004</v>
      </c>
      <c r="D176" t="str">
        <f t="shared" si="35"/>
        <v>809</v>
      </c>
      <c r="E176" t="str">
        <f t="shared" si="36"/>
        <v>89301062</v>
      </c>
      <c r="F176" t="str">
        <f>"6455250351"</f>
        <v>6455250351</v>
      </c>
      <c r="G176" s="1">
        <v>44580</v>
      </c>
      <c r="H176" t="str">
        <f>"0096251"</f>
        <v>0096251</v>
      </c>
      <c r="I176">
        <v>0.17</v>
      </c>
      <c r="K176">
        <v>198.83</v>
      </c>
      <c r="L176">
        <v>198.83</v>
      </c>
    </row>
    <row r="177" spans="1:12" x14ac:dyDescent="0.25">
      <c r="A177" t="str">
        <f t="shared" si="30"/>
        <v>89301000</v>
      </c>
      <c r="B177" t="str">
        <f t="shared" si="33"/>
        <v>78051000</v>
      </c>
      <c r="C177" t="str">
        <f t="shared" si="34"/>
        <v>78051004</v>
      </c>
      <c r="D177" t="str">
        <f t="shared" si="35"/>
        <v>809</v>
      </c>
      <c r="E177" t="str">
        <f t="shared" si="36"/>
        <v>89301062</v>
      </c>
      <c r="F177" t="str">
        <f>"6455250351"</f>
        <v>6455250351</v>
      </c>
      <c r="G177" s="1">
        <v>44580</v>
      </c>
      <c r="H177" t="str">
        <f>"0098943"</f>
        <v>0098943</v>
      </c>
      <c r="I177">
        <v>1</v>
      </c>
      <c r="K177">
        <v>293.81</v>
      </c>
      <c r="L177">
        <v>293.81</v>
      </c>
    </row>
    <row r="178" spans="1:12" x14ac:dyDescent="0.25">
      <c r="A178" t="str">
        <f t="shared" si="30"/>
        <v>89301000</v>
      </c>
      <c r="B178" t="str">
        <f t="shared" si="33"/>
        <v>78051000</v>
      </c>
      <c r="C178" t="str">
        <f t="shared" si="34"/>
        <v>78051004</v>
      </c>
      <c r="D178" t="str">
        <f t="shared" si="35"/>
        <v>809</v>
      </c>
      <c r="E178" t="str">
        <f t="shared" si="36"/>
        <v>89301062</v>
      </c>
      <c r="F178" t="str">
        <f>"6958054455"</f>
        <v>6958054455</v>
      </c>
      <c r="G178" s="1">
        <v>44580</v>
      </c>
      <c r="H178" t="str">
        <f>"89311"</f>
        <v>89311</v>
      </c>
      <c r="I178">
        <v>1</v>
      </c>
      <c r="J178">
        <v>936</v>
      </c>
      <c r="K178">
        <v>0</v>
      </c>
      <c r="L178">
        <v>1310.4000000000001</v>
      </c>
    </row>
    <row r="179" spans="1:12" x14ac:dyDescent="0.25">
      <c r="A179" t="str">
        <f t="shared" si="30"/>
        <v>89301000</v>
      </c>
      <c r="B179" t="str">
        <f t="shared" si="33"/>
        <v>78051000</v>
      </c>
      <c r="C179" t="str">
        <f t="shared" si="34"/>
        <v>78051004</v>
      </c>
      <c r="D179" t="str">
        <f t="shared" si="35"/>
        <v>809</v>
      </c>
      <c r="E179" t="str">
        <f t="shared" si="36"/>
        <v>89301062</v>
      </c>
      <c r="F179" t="str">
        <f>"6958054455"</f>
        <v>6958054455</v>
      </c>
      <c r="G179" s="1">
        <v>44580</v>
      </c>
      <c r="H179" t="str">
        <f>"0090044"</f>
        <v>0090044</v>
      </c>
      <c r="I179">
        <v>1</v>
      </c>
      <c r="K179">
        <v>16.8</v>
      </c>
      <c r="L179">
        <v>16.8</v>
      </c>
    </row>
    <row r="180" spans="1:12" x14ac:dyDescent="0.25">
      <c r="A180" t="str">
        <f t="shared" si="30"/>
        <v>89301000</v>
      </c>
      <c r="B180" t="str">
        <f t="shared" si="33"/>
        <v>78051000</v>
      </c>
      <c r="C180" t="str">
        <f t="shared" si="34"/>
        <v>78051004</v>
      </c>
      <c r="D180" t="str">
        <f t="shared" si="35"/>
        <v>809</v>
      </c>
      <c r="E180" t="str">
        <f t="shared" si="36"/>
        <v>89301062</v>
      </c>
      <c r="F180" t="str">
        <f>"6958054455"</f>
        <v>6958054455</v>
      </c>
      <c r="G180" s="1">
        <v>44580</v>
      </c>
      <c r="H180" t="str">
        <f>"0225891"</f>
        <v>0225891</v>
      </c>
      <c r="I180">
        <v>0.2</v>
      </c>
      <c r="K180">
        <v>73.540000000000006</v>
      </c>
      <c r="L180">
        <v>73.540000000000006</v>
      </c>
    </row>
    <row r="181" spans="1:12" x14ac:dyDescent="0.25">
      <c r="A181" t="str">
        <f t="shared" si="30"/>
        <v>89301000</v>
      </c>
      <c r="B181" t="str">
        <f t="shared" si="33"/>
        <v>78051000</v>
      </c>
      <c r="C181" t="str">
        <f t="shared" si="34"/>
        <v>78051004</v>
      </c>
      <c r="D181" t="str">
        <f t="shared" si="35"/>
        <v>809</v>
      </c>
      <c r="E181" t="str">
        <f t="shared" si="36"/>
        <v>89301062</v>
      </c>
      <c r="F181" t="str">
        <f>"6958054455"</f>
        <v>6958054455</v>
      </c>
      <c r="G181" s="1">
        <v>44580</v>
      </c>
      <c r="H181" t="str">
        <f>"0096251"</f>
        <v>0096251</v>
      </c>
      <c r="I181">
        <v>0.17</v>
      </c>
      <c r="K181">
        <v>198.83</v>
      </c>
      <c r="L181">
        <v>198.83</v>
      </c>
    </row>
    <row r="182" spans="1:12" x14ac:dyDescent="0.25">
      <c r="A182" t="str">
        <f t="shared" si="30"/>
        <v>89301000</v>
      </c>
      <c r="B182" t="str">
        <f t="shared" si="33"/>
        <v>78051000</v>
      </c>
      <c r="C182" t="str">
        <f t="shared" si="34"/>
        <v>78051004</v>
      </c>
      <c r="D182" t="str">
        <f t="shared" si="35"/>
        <v>809</v>
      </c>
      <c r="E182" t="str">
        <f t="shared" si="36"/>
        <v>89301062</v>
      </c>
      <c r="F182" t="str">
        <f>"6958054455"</f>
        <v>6958054455</v>
      </c>
      <c r="G182" s="1">
        <v>44580</v>
      </c>
      <c r="H182" t="str">
        <f>"0098943"</f>
        <v>0098943</v>
      </c>
      <c r="I182">
        <v>1</v>
      </c>
      <c r="K182">
        <v>293.81</v>
      </c>
      <c r="L182">
        <v>293.81</v>
      </c>
    </row>
    <row r="183" spans="1:12" x14ac:dyDescent="0.25">
      <c r="A183" t="str">
        <f t="shared" si="30"/>
        <v>89301000</v>
      </c>
      <c r="B183" t="str">
        <f t="shared" si="33"/>
        <v>78051000</v>
      </c>
      <c r="C183" t="str">
        <f t="shared" si="34"/>
        <v>78051004</v>
      </c>
      <c r="D183" t="str">
        <f t="shared" si="35"/>
        <v>809</v>
      </c>
      <c r="E183" t="str">
        <f t="shared" si="36"/>
        <v>89301062</v>
      </c>
      <c r="F183" t="str">
        <f>"6252020049"</f>
        <v>6252020049</v>
      </c>
      <c r="G183" s="1">
        <v>44587</v>
      </c>
      <c r="H183" t="str">
        <f>"89311"</f>
        <v>89311</v>
      </c>
      <c r="I183">
        <v>1</v>
      </c>
      <c r="J183">
        <v>936</v>
      </c>
      <c r="K183">
        <v>0</v>
      </c>
      <c r="L183">
        <v>1310.4000000000001</v>
      </c>
    </row>
    <row r="184" spans="1:12" x14ac:dyDescent="0.25">
      <c r="A184" t="str">
        <f t="shared" si="30"/>
        <v>89301000</v>
      </c>
      <c r="B184" t="str">
        <f t="shared" si="33"/>
        <v>78051000</v>
      </c>
      <c r="C184" t="str">
        <f t="shared" si="34"/>
        <v>78051004</v>
      </c>
      <c r="D184" t="str">
        <f t="shared" si="35"/>
        <v>809</v>
      </c>
      <c r="E184" t="str">
        <f t="shared" si="36"/>
        <v>89301062</v>
      </c>
      <c r="F184" t="str">
        <f>"6252020049"</f>
        <v>6252020049</v>
      </c>
      <c r="G184" s="1">
        <v>44587</v>
      </c>
      <c r="H184" t="str">
        <f>"0090044"</f>
        <v>0090044</v>
      </c>
      <c r="I184">
        <v>1</v>
      </c>
      <c r="K184">
        <v>16.8</v>
      </c>
      <c r="L184">
        <v>16.8</v>
      </c>
    </row>
    <row r="185" spans="1:12" x14ac:dyDescent="0.25">
      <c r="A185" t="str">
        <f t="shared" si="30"/>
        <v>89301000</v>
      </c>
      <c r="B185" t="str">
        <f t="shared" ref="B185:B207" si="37">"78051000"</f>
        <v>78051000</v>
      </c>
      <c r="C185" t="str">
        <f t="shared" si="34"/>
        <v>78051004</v>
      </c>
      <c r="D185" t="str">
        <f t="shared" si="35"/>
        <v>809</v>
      </c>
      <c r="E185" t="str">
        <f t="shared" ref="E185:E207" si="38">"89301062"</f>
        <v>89301062</v>
      </c>
      <c r="F185" t="str">
        <f>"6252020049"</f>
        <v>6252020049</v>
      </c>
      <c r="G185" s="1">
        <v>44587</v>
      </c>
      <c r="H185" t="str">
        <f>"0225891"</f>
        <v>0225891</v>
      </c>
      <c r="I185">
        <v>0.2</v>
      </c>
      <c r="K185">
        <v>73.540000000000006</v>
      </c>
      <c r="L185">
        <v>73.540000000000006</v>
      </c>
    </row>
    <row r="186" spans="1:12" x14ac:dyDescent="0.25">
      <c r="A186" t="str">
        <f t="shared" si="30"/>
        <v>89301000</v>
      </c>
      <c r="B186" t="str">
        <f t="shared" si="37"/>
        <v>78051000</v>
      </c>
      <c r="C186" t="str">
        <f t="shared" si="34"/>
        <v>78051004</v>
      </c>
      <c r="D186" t="str">
        <f t="shared" si="35"/>
        <v>809</v>
      </c>
      <c r="E186" t="str">
        <f t="shared" si="38"/>
        <v>89301062</v>
      </c>
      <c r="F186" t="str">
        <f>"6252020049"</f>
        <v>6252020049</v>
      </c>
      <c r="G186" s="1">
        <v>44587</v>
      </c>
      <c r="H186" t="str">
        <f>"0096251"</f>
        <v>0096251</v>
      </c>
      <c r="I186">
        <v>0.17</v>
      </c>
      <c r="K186">
        <v>198.83</v>
      </c>
      <c r="L186">
        <v>198.83</v>
      </c>
    </row>
    <row r="187" spans="1:12" x14ac:dyDescent="0.25">
      <c r="A187" t="str">
        <f t="shared" si="30"/>
        <v>89301000</v>
      </c>
      <c r="B187" t="str">
        <f t="shared" si="37"/>
        <v>78051000</v>
      </c>
      <c r="C187" t="str">
        <f t="shared" si="34"/>
        <v>78051004</v>
      </c>
      <c r="D187" t="str">
        <f t="shared" si="35"/>
        <v>809</v>
      </c>
      <c r="E187" t="str">
        <f t="shared" si="38"/>
        <v>89301062</v>
      </c>
      <c r="F187" t="str">
        <f>"6252020049"</f>
        <v>6252020049</v>
      </c>
      <c r="G187" s="1">
        <v>44587</v>
      </c>
      <c r="H187" t="str">
        <f>"0098943"</f>
        <v>0098943</v>
      </c>
      <c r="I187">
        <v>1</v>
      </c>
      <c r="K187">
        <v>293.81</v>
      </c>
      <c r="L187">
        <v>293.81</v>
      </c>
    </row>
    <row r="188" spans="1:12" x14ac:dyDescent="0.25">
      <c r="A188" t="str">
        <f t="shared" si="30"/>
        <v>89301000</v>
      </c>
      <c r="B188" t="str">
        <f t="shared" si="37"/>
        <v>78051000</v>
      </c>
      <c r="C188" t="str">
        <f t="shared" si="34"/>
        <v>78051004</v>
      </c>
      <c r="D188" t="str">
        <f t="shared" si="35"/>
        <v>809</v>
      </c>
      <c r="E188" t="str">
        <f t="shared" si="38"/>
        <v>89301062</v>
      </c>
      <c r="F188" t="str">
        <f>"5511151745"</f>
        <v>5511151745</v>
      </c>
      <c r="G188" s="1">
        <v>44587</v>
      </c>
      <c r="H188" t="str">
        <f>"89311"</f>
        <v>89311</v>
      </c>
      <c r="I188">
        <v>1</v>
      </c>
      <c r="J188">
        <v>936</v>
      </c>
      <c r="K188">
        <v>0</v>
      </c>
      <c r="L188">
        <v>1310.4000000000001</v>
      </c>
    </row>
    <row r="189" spans="1:12" x14ac:dyDescent="0.25">
      <c r="A189" t="str">
        <f t="shared" si="30"/>
        <v>89301000</v>
      </c>
      <c r="B189" t="str">
        <f t="shared" si="37"/>
        <v>78051000</v>
      </c>
      <c r="C189" t="str">
        <f t="shared" si="34"/>
        <v>78051004</v>
      </c>
      <c r="D189" t="str">
        <f t="shared" si="35"/>
        <v>809</v>
      </c>
      <c r="E189" t="str">
        <f t="shared" si="38"/>
        <v>89301062</v>
      </c>
      <c r="F189" t="str">
        <f>"5511151745"</f>
        <v>5511151745</v>
      </c>
      <c r="G189" s="1">
        <v>44587</v>
      </c>
      <c r="H189" t="str">
        <f>"0090044"</f>
        <v>0090044</v>
      </c>
      <c r="I189">
        <v>1</v>
      </c>
      <c r="K189">
        <v>16.8</v>
      </c>
      <c r="L189">
        <v>16.8</v>
      </c>
    </row>
    <row r="190" spans="1:12" x14ac:dyDescent="0.25">
      <c r="A190" t="str">
        <f t="shared" si="30"/>
        <v>89301000</v>
      </c>
      <c r="B190" t="str">
        <f t="shared" si="37"/>
        <v>78051000</v>
      </c>
      <c r="C190" t="str">
        <f t="shared" si="34"/>
        <v>78051004</v>
      </c>
      <c r="D190" t="str">
        <f t="shared" si="35"/>
        <v>809</v>
      </c>
      <c r="E190" t="str">
        <f t="shared" si="38"/>
        <v>89301062</v>
      </c>
      <c r="F190" t="str">
        <f>"5511151745"</f>
        <v>5511151745</v>
      </c>
      <c r="G190" s="1">
        <v>44587</v>
      </c>
      <c r="H190" t="str">
        <f>"0225891"</f>
        <v>0225891</v>
      </c>
      <c r="I190">
        <v>0.2</v>
      </c>
      <c r="K190">
        <v>73.540000000000006</v>
      </c>
      <c r="L190">
        <v>73.540000000000006</v>
      </c>
    </row>
    <row r="191" spans="1:12" x14ac:dyDescent="0.25">
      <c r="A191" t="str">
        <f t="shared" si="30"/>
        <v>89301000</v>
      </c>
      <c r="B191" t="str">
        <f t="shared" si="37"/>
        <v>78051000</v>
      </c>
      <c r="C191" t="str">
        <f t="shared" si="34"/>
        <v>78051004</v>
      </c>
      <c r="D191" t="str">
        <f t="shared" si="35"/>
        <v>809</v>
      </c>
      <c r="E191" t="str">
        <f t="shared" si="38"/>
        <v>89301062</v>
      </c>
      <c r="F191" t="str">
        <f>"5511151745"</f>
        <v>5511151745</v>
      </c>
      <c r="G191" s="1">
        <v>44587</v>
      </c>
      <c r="H191" t="str">
        <f>"0096251"</f>
        <v>0096251</v>
      </c>
      <c r="I191">
        <v>0.17</v>
      </c>
      <c r="K191">
        <v>198.83</v>
      </c>
      <c r="L191">
        <v>198.83</v>
      </c>
    </row>
    <row r="192" spans="1:12" x14ac:dyDescent="0.25">
      <c r="A192" t="str">
        <f t="shared" si="30"/>
        <v>89301000</v>
      </c>
      <c r="B192" t="str">
        <f t="shared" si="37"/>
        <v>78051000</v>
      </c>
      <c r="C192" t="str">
        <f t="shared" si="34"/>
        <v>78051004</v>
      </c>
      <c r="D192" t="str">
        <f t="shared" si="35"/>
        <v>809</v>
      </c>
      <c r="E192" t="str">
        <f t="shared" si="38"/>
        <v>89301062</v>
      </c>
      <c r="F192" t="str">
        <f>"5511151745"</f>
        <v>5511151745</v>
      </c>
      <c r="G192" s="1">
        <v>44587</v>
      </c>
      <c r="H192" t="str">
        <f>"0098943"</f>
        <v>0098943</v>
      </c>
      <c r="I192">
        <v>1</v>
      </c>
      <c r="K192">
        <v>293.81</v>
      </c>
      <c r="L192">
        <v>293.81</v>
      </c>
    </row>
    <row r="193" spans="1:12" x14ac:dyDescent="0.25">
      <c r="A193" t="str">
        <f t="shared" si="30"/>
        <v>89301000</v>
      </c>
      <c r="B193" t="str">
        <f t="shared" si="37"/>
        <v>78051000</v>
      </c>
      <c r="C193" t="str">
        <f t="shared" si="34"/>
        <v>78051004</v>
      </c>
      <c r="D193" t="str">
        <f t="shared" si="35"/>
        <v>809</v>
      </c>
      <c r="E193" t="str">
        <f t="shared" si="38"/>
        <v>89301062</v>
      </c>
      <c r="F193" t="str">
        <f>"6202231310"</f>
        <v>6202231310</v>
      </c>
      <c r="G193" s="1">
        <v>44587</v>
      </c>
      <c r="H193" t="str">
        <f>"89311"</f>
        <v>89311</v>
      </c>
      <c r="I193">
        <v>1</v>
      </c>
      <c r="J193">
        <v>936</v>
      </c>
      <c r="K193">
        <v>0</v>
      </c>
      <c r="L193">
        <v>1310.4000000000001</v>
      </c>
    </row>
    <row r="194" spans="1:12" x14ac:dyDescent="0.25">
      <c r="A194" t="str">
        <f t="shared" ref="A194:A257" si="39">"89301000"</f>
        <v>89301000</v>
      </c>
      <c r="B194" t="str">
        <f t="shared" si="37"/>
        <v>78051000</v>
      </c>
      <c r="C194" t="str">
        <f t="shared" si="34"/>
        <v>78051004</v>
      </c>
      <c r="D194" t="str">
        <f t="shared" si="35"/>
        <v>809</v>
      </c>
      <c r="E194" t="str">
        <f t="shared" si="38"/>
        <v>89301062</v>
      </c>
      <c r="F194" t="str">
        <f>"6202231310"</f>
        <v>6202231310</v>
      </c>
      <c r="G194" s="1">
        <v>44587</v>
      </c>
      <c r="H194" t="str">
        <f>"0090044"</f>
        <v>0090044</v>
      </c>
      <c r="I194">
        <v>1</v>
      </c>
      <c r="K194">
        <v>16.8</v>
      </c>
      <c r="L194">
        <v>16.8</v>
      </c>
    </row>
    <row r="195" spans="1:12" x14ac:dyDescent="0.25">
      <c r="A195" t="str">
        <f t="shared" si="39"/>
        <v>89301000</v>
      </c>
      <c r="B195" t="str">
        <f t="shared" si="37"/>
        <v>78051000</v>
      </c>
      <c r="C195" t="str">
        <f t="shared" si="34"/>
        <v>78051004</v>
      </c>
      <c r="D195" t="str">
        <f t="shared" si="35"/>
        <v>809</v>
      </c>
      <c r="E195" t="str">
        <f t="shared" si="38"/>
        <v>89301062</v>
      </c>
      <c r="F195" t="str">
        <f>"6202231310"</f>
        <v>6202231310</v>
      </c>
      <c r="G195" s="1">
        <v>44587</v>
      </c>
      <c r="H195" t="str">
        <f>"0225891"</f>
        <v>0225891</v>
      </c>
      <c r="I195">
        <v>0.2</v>
      </c>
      <c r="K195">
        <v>73.540000000000006</v>
      </c>
      <c r="L195">
        <v>73.540000000000006</v>
      </c>
    </row>
    <row r="196" spans="1:12" x14ac:dyDescent="0.25">
      <c r="A196" t="str">
        <f t="shared" si="39"/>
        <v>89301000</v>
      </c>
      <c r="B196" t="str">
        <f t="shared" si="37"/>
        <v>78051000</v>
      </c>
      <c r="C196" t="str">
        <f t="shared" si="34"/>
        <v>78051004</v>
      </c>
      <c r="D196" t="str">
        <f t="shared" si="35"/>
        <v>809</v>
      </c>
      <c r="E196" t="str">
        <f t="shared" si="38"/>
        <v>89301062</v>
      </c>
      <c r="F196" t="str">
        <f>"6202231310"</f>
        <v>6202231310</v>
      </c>
      <c r="G196" s="1">
        <v>44587</v>
      </c>
      <c r="H196" t="str">
        <f>"0096251"</f>
        <v>0096251</v>
      </c>
      <c r="I196">
        <v>0.17</v>
      </c>
      <c r="K196">
        <v>198.83</v>
      </c>
      <c r="L196">
        <v>198.83</v>
      </c>
    </row>
    <row r="197" spans="1:12" x14ac:dyDescent="0.25">
      <c r="A197" t="str">
        <f t="shared" si="39"/>
        <v>89301000</v>
      </c>
      <c r="B197" t="str">
        <f t="shared" si="37"/>
        <v>78051000</v>
      </c>
      <c r="C197" t="str">
        <f t="shared" si="34"/>
        <v>78051004</v>
      </c>
      <c r="D197" t="str">
        <f t="shared" si="35"/>
        <v>809</v>
      </c>
      <c r="E197" t="str">
        <f t="shared" si="38"/>
        <v>89301062</v>
      </c>
      <c r="F197" t="str">
        <f>"6202231310"</f>
        <v>6202231310</v>
      </c>
      <c r="G197" s="1">
        <v>44587</v>
      </c>
      <c r="H197" t="str">
        <f>"0098943"</f>
        <v>0098943</v>
      </c>
      <c r="I197">
        <v>1</v>
      </c>
      <c r="K197">
        <v>293.81</v>
      </c>
      <c r="L197">
        <v>293.81</v>
      </c>
    </row>
    <row r="198" spans="1:12" x14ac:dyDescent="0.25">
      <c r="A198" t="str">
        <f t="shared" si="39"/>
        <v>89301000</v>
      </c>
      <c r="B198" t="str">
        <f t="shared" si="37"/>
        <v>78051000</v>
      </c>
      <c r="C198" t="str">
        <f t="shared" ref="C198:C207" si="40">"78051017"</f>
        <v>78051017</v>
      </c>
      <c r="D198" t="str">
        <f t="shared" ref="D198:D207" si="41">"810"</f>
        <v>810</v>
      </c>
      <c r="E198" t="str">
        <f t="shared" si="38"/>
        <v>89301062</v>
      </c>
      <c r="F198" t="str">
        <f>"7051234465"</f>
        <v>7051234465</v>
      </c>
      <c r="G198" s="1">
        <v>44573</v>
      </c>
      <c r="H198" t="str">
        <f t="shared" ref="H198:H207" si="42">"89615"</f>
        <v>89615</v>
      </c>
      <c r="I198">
        <v>1</v>
      </c>
      <c r="J198">
        <v>2170</v>
      </c>
      <c r="K198">
        <v>0</v>
      </c>
      <c r="L198">
        <v>1302</v>
      </c>
    </row>
    <row r="199" spans="1:12" x14ac:dyDescent="0.25">
      <c r="A199" t="str">
        <f t="shared" si="39"/>
        <v>89301000</v>
      </c>
      <c r="B199" t="str">
        <f t="shared" si="37"/>
        <v>78051000</v>
      </c>
      <c r="C199" t="str">
        <f t="shared" si="40"/>
        <v>78051017</v>
      </c>
      <c r="D199" t="str">
        <f t="shared" si="41"/>
        <v>810</v>
      </c>
      <c r="E199" t="str">
        <f t="shared" si="38"/>
        <v>89301062</v>
      </c>
      <c r="F199" t="str">
        <f>"8106125676"</f>
        <v>8106125676</v>
      </c>
      <c r="G199" s="1">
        <v>44573</v>
      </c>
      <c r="H199" t="str">
        <f t="shared" si="42"/>
        <v>89615</v>
      </c>
      <c r="I199">
        <v>1</v>
      </c>
      <c r="J199">
        <v>2170</v>
      </c>
      <c r="K199">
        <v>0</v>
      </c>
      <c r="L199">
        <v>1302</v>
      </c>
    </row>
    <row r="200" spans="1:12" x14ac:dyDescent="0.25">
      <c r="A200" t="str">
        <f t="shared" si="39"/>
        <v>89301000</v>
      </c>
      <c r="B200" t="str">
        <f t="shared" si="37"/>
        <v>78051000</v>
      </c>
      <c r="C200" t="str">
        <f t="shared" si="40"/>
        <v>78051017</v>
      </c>
      <c r="D200" t="str">
        <f t="shared" si="41"/>
        <v>810</v>
      </c>
      <c r="E200" t="str">
        <f t="shared" si="38"/>
        <v>89301062</v>
      </c>
      <c r="F200" t="str">
        <f>"515622154"</f>
        <v>515622154</v>
      </c>
      <c r="G200" s="1">
        <v>44580</v>
      </c>
      <c r="H200" t="str">
        <f t="shared" si="42"/>
        <v>89615</v>
      </c>
      <c r="I200">
        <v>1</v>
      </c>
      <c r="J200">
        <v>2170</v>
      </c>
      <c r="K200">
        <v>0</v>
      </c>
      <c r="L200">
        <v>1302</v>
      </c>
    </row>
    <row r="201" spans="1:12" x14ac:dyDescent="0.25">
      <c r="A201" t="str">
        <f t="shared" si="39"/>
        <v>89301000</v>
      </c>
      <c r="B201" t="str">
        <f t="shared" si="37"/>
        <v>78051000</v>
      </c>
      <c r="C201" t="str">
        <f t="shared" si="40"/>
        <v>78051017</v>
      </c>
      <c r="D201" t="str">
        <f t="shared" si="41"/>
        <v>810</v>
      </c>
      <c r="E201" t="str">
        <f t="shared" si="38"/>
        <v>89301062</v>
      </c>
      <c r="F201" t="str">
        <f>"6757051059"</f>
        <v>6757051059</v>
      </c>
      <c r="G201" s="1">
        <v>44580</v>
      </c>
      <c r="H201" t="str">
        <f t="shared" si="42"/>
        <v>89615</v>
      </c>
      <c r="I201">
        <v>1</v>
      </c>
      <c r="J201">
        <v>2170</v>
      </c>
      <c r="K201">
        <v>0</v>
      </c>
      <c r="L201">
        <v>1302</v>
      </c>
    </row>
    <row r="202" spans="1:12" x14ac:dyDescent="0.25">
      <c r="A202" t="str">
        <f t="shared" si="39"/>
        <v>89301000</v>
      </c>
      <c r="B202" t="str">
        <f t="shared" si="37"/>
        <v>78051000</v>
      </c>
      <c r="C202" t="str">
        <f t="shared" si="40"/>
        <v>78051017</v>
      </c>
      <c r="D202" t="str">
        <f t="shared" si="41"/>
        <v>810</v>
      </c>
      <c r="E202" t="str">
        <f t="shared" si="38"/>
        <v>89301062</v>
      </c>
      <c r="F202" t="str">
        <f>"6455250351"</f>
        <v>6455250351</v>
      </c>
      <c r="G202" s="1">
        <v>44580</v>
      </c>
      <c r="H202" t="str">
        <f t="shared" si="42"/>
        <v>89615</v>
      </c>
      <c r="I202">
        <v>1</v>
      </c>
      <c r="J202">
        <v>2170</v>
      </c>
      <c r="K202">
        <v>0</v>
      </c>
      <c r="L202">
        <v>1302</v>
      </c>
    </row>
    <row r="203" spans="1:12" x14ac:dyDescent="0.25">
      <c r="A203" t="str">
        <f t="shared" si="39"/>
        <v>89301000</v>
      </c>
      <c r="B203" t="str">
        <f t="shared" si="37"/>
        <v>78051000</v>
      </c>
      <c r="C203" t="str">
        <f t="shared" si="40"/>
        <v>78051017</v>
      </c>
      <c r="D203" t="str">
        <f t="shared" si="41"/>
        <v>810</v>
      </c>
      <c r="E203" t="str">
        <f t="shared" si="38"/>
        <v>89301062</v>
      </c>
      <c r="F203" t="str">
        <f>"6958054455"</f>
        <v>6958054455</v>
      </c>
      <c r="G203" s="1">
        <v>44580</v>
      </c>
      <c r="H203" t="str">
        <f t="shared" si="42"/>
        <v>89615</v>
      </c>
      <c r="I203">
        <v>1</v>
      </c>
      <c r="J203">
        <v>2170</v>
      </c>
      <c r="K203">
        <v>0</v>
      </c>
      <c r="L203">
        <v>1302</v>
      </c>
    </row>
    <row r="204" spans="1:12" x14ac:dyDescent="0.25">
      <c r="A204" t="str">
        <f t="shared" si="39"/>
        <v>89301000</v>
      </c>
      <c r="B204" t="str">
        <f t="shared" si="37"/>
        <v>78051000</v>
      </c>
      <c r="C204" t="str">
        <f t="shared" si="40"/>
        <v>78051017</v>
      </c>
      <c r="D204" t="str">
        <f t="shared" si="41"/>
        <v>810</v>
      </c>
      <c r="E204" t="str">
        <f t="shared" si="38"/>
        <v>89301062</v>
      </c>
      <c r="F204" t="str">
        <f>"8401195583"</f>
        <v>8401195583</v>
      </c>
      <c r="G204" s="1">
        <v>44586</v>
      </c>
      <c r="H204" t="str">
        <f t="shared" si="42"/>
        <v>89615</v>
      </c>
      <c r="I204">
        <v>1</v>
      </c>
      <c r="J204">
        <v>2170</v>
      </c>
      <c r="K204">
        <v>0</v>
      </c>
      <c r="L204">
        <v>1302</v>
      </c>
    </row>
    <row r="205" spans="1:12" x14ac:dyDescent="0.25">
      <c r="A205" t="str">
        <f t="shared" si="39"/>
        <v>89301000</v>
      </c>
      <c r="B205" t="str">
        <f t="shared" si="37"/>
        <v>78051000</v>
      </c>
      <c r="C205" t="str">
        <f t="shared" si="40"/>
        <v>78051017</v>
      </c>
      <c r="D205" t="str">
        <f t="shared" si="41"/>
        <v>810</v>
      </c>
      <c r="E205" t="str">
        <f t="shared" si="38"/>
        <v>89301062</v>
      </c>
      <c r="F205" t="str">
        <f>"6252020049"</f>
        <v>6252020049</v>
      </c>
      <c r="G205" s="1">
        <v>44587</v>
      </c>
      <c r="H205" t="str">
        <f t="shared" si="42"/>
        <v>89615</v>
      </c>
      <c r="I205">
        <v>1</v>
      </c>
      <c r="J205">
        <v>2170</v>
      </c>
      <c r="K205">
        <v>0</v>
      </c>
      <c r="L205">
        <v>1302</v>
      </c>
    </row>
    <row r="206" spans="1:12" x14ac:dyDescent="0.25">
      <c r="A206" t="str">
        <f t="shared" si="39"/>
        <v>89301000</v>
      </c>
      <c r="B206" t="str">
        <f t="shared" si="37"/>
        <v>78051000</v>
      </c>
      <c r="C206" t="str">
        <f t="shared" si="40"/>
        <v>78051017</v>
      </c>
      <c r="D206" t="str">
        <f t="shared" si="41"/>
        <v>810</v>
      </c>
      <c r="E206" t="str">
        <f t="shared" si="38"/>
        <v>89301062</v>
      </c>
      <c r="F206" t="str">
        <f>"5511151745"</f>
        <v>5511151745</v>
      </c>
      <c r="G206" s="1">
        <v>44587</v>
      </c>
      <c r="H206" t="str">
        <f t="shared" si="42"/>
        <v>89615</v>
      </c>
      <c r="I206">
        <v>1</v>
      </c>
      <c r="J206">
        <v>2170</v>
      </c>
      <c r="K206">
        <v>0</v>
      </c>
      <c r="L206">
        <v>1302</v>
      </c>
    </row>
    <row r="207" spans="1:12" x14ac:dyDescent="0.25">
      <c r="A207" t="str">
        <f t="shared" si="39"/>
        <v>89301000</v>
      </c>
      <c r="B207" t="str">
        <f t="shared" si="37"/>
        <v>78051000</v>
      </c>
      <c r="C207" t="str">
        <f t="shared" si="40"/>
        <v>78051017</v>
      </c>
      <c r="D207" t="str">
        <f t="shared" si="41"/>
        <v>810</v>
      </c>
      <c r="E207" t="str">
        <f t="shared" si="38"/>
        <v>89301062</v>
      </c>
      <c r="F207" t="str">
        <f>"6202231310"</f>
        <v>6202231310</v>
      </c>
      <c r="G207" s="1">
        <v>44587</v>
      </c>
      <c r="H207" t="str">
        <f t="shared" si="42"/>
        <v>89615</v>
      </c>
      <c r="I207">
        <v>1</v>
      </c>
      <c r="J207">
        <v>2170</v>
      </c>
      <c r="K207">
        <v>0</v>
      </c>
      <c r="L207">
        <v>1302</v>
      </c>
    </row>
    <row r="208" spans="1:12" x14ac:dyDescent="0.25">
      <c r="A208" t="str">
        <f t="shared" si="39"/>
        <v>89301000</v>
      </c>
      <c r="B208" t="str">
        <f>"78934000"</f>
        <v>78934000</v>
      </c>
      <c r="C208" t="str">
        <f>"78934001"</f>
        <v>78934001</v>
      </c>
      <c r="D208" t="str">
        <f t="shared" ref="D208:D214" si="43">"809"</f>
        <v>809</v>
      </c>
      <c r="E208" t="str">
        <f>"89301172"</f>
        <v>89301172</v>
      </c>
      <c r="F208" t="str">
        <f>"7112194463"</f>
        <v>7112194463</v>
      </c>
      <c r="G208" s="1">
        <v>44564</v>
      </c>
      <c r="H208" t="str">
        <f>"89513"</f>
        <v>89513</v>
      </c>
      <c r="I208">
        <v>1</v>
      </c>
      <c r="J208">
        <v>371</v>
      </c>
      <c r="K208">
        <v>0</v>
      </c>
      <c r="L208">
        <v>519.4</v>
      </c>
    </row>
    <row r="209" spans="1:12" x14ac:dyDescent="0.25">
      <c r="A209" t="str">
        <f t="shared" si="39"/>
        <v>89301000</v>
      </c>
      <c r="B209" t="str">
        <f>"78934000"</f>
        <v>78934000</v>
      </c>
      <c r="C209" t="str">
        <f>"78934001"</f>
        <v>78934001</v>
      </c>
      <c r="D209" t="str">
        <f t="shared" si="43"/>
        <v>809</v>
      </c>
      <c r="E209" t="str">
        <f>"89301172"</f>
        <v>89301172</v>
      </c>
      <c r="F209" t="str">
        <f>"7112194463"</f>
        <v>7112194463</v>
      </c>
      <c r="G209" s="1">
        <v>44564</v>
      </c>
      <c r="H209" t="str">
        <f>"89514"</f>
        <v>89514</v>
      </c>
      <c r="I209">
        <v>1</v>
      </c>
      <c r="J209">
        <v>371</v>
      </c>
      <c r="K209">
        <v>0</v>
      </c>
      <c r="L209">
        <v>519.4</v>
      </c>
    </row>
    <row r="210" spans="1:12" x14ac:dyDescent="0.25">
      <c r="A210" t="str">
        <f t="shared" si="39"/>
        <v>89301000</v>
      </c>
      <c r="B210" t="str">
        <f>"78934000"</f>
        <v>78934000</v>
      </c>
      <c r="C210" t="str">
        <f>"78934001"</f>
        <v>78934001</v>
      </c>
      <c r="D210" t="str">
        <f t="shared" si="43"/>
        <v>809</v>
      </c>
      <c r="E210" t="str">
        <f>"89301172"</f>
        <v>89301172</v>
      </c>
      <c r="F210" t="str">
        <f>"7112194463"</f>
        <v>7112194463</v>
      </c>
      <c r="G210" s="1">
        <v>44564</v>
      </c>
      <c r="H210" t="str">
        <f>"89131"</f>
        <v>89131</v>
      </c>
      <c r="I210">
        <v>1</v>
      </c>
      <c r="J210">
        <v>187</v>
      </c>
      <c r="K210">
        <v>0</v>
      </c>
      <c r="L210">
        <v>261.8</v>
      </c>
    </row>
    <row r="211" spans="1:12" x14ac:dyDescent="0.25">
      <c r="A211" t="str">
        <f t="shared" si="39"/>
        <v>89301000</v>
      </c>
      <c r="B211" t="str">
        <f>"78934000"</f>
        <v>78934000</v>
      </c>
      <c r="C211" t="str">
        <f>"78934001"</f>
        <v>78934001</v>
      </c>
      <c r="D211" t="str">
        <f t="shared" si="43"/>
        <v>809</v>
      </c>
      <c r="E211" t="str">
        <f>"89301292"</f>
        <v>89301292</v>
      </c>
      <c r="F211" t="str">
        <f>"7357154497"</f>
        <v>7357154497</v>
      </c>
      <c r="G211" s="1">
        <v>44567</v>
      </c>
      <c r="H211" t="str">
        <f>"89513"</f>
        <v>89513</v>
      </c>
      <c r="I211">
        <v>1</v>
      </c>
      <c r="J211">
        <v>371</v>
      </c>
      <c r="K211">
        <v>0</v>
      </c>
      <c r="L211">
        <v>519.4</v>
      </c>
    </row>
    <row r="212" spans="1:12" x14ac:dyDescent="0.25">
      <c r="A212" t="str">
        <f t="shared" si="39"/>
        <v>89301000</v>
      </c>
      <c r="B212" t="str">
        <f>"78934000"</f>
        <v>78934000</v>
      </c>
      <c r="C212" t="str">
        <f>"78934001"</f>
        <v>78934001</v>
      </c>
      <c r="D212" t="str">
        <f t="shared" si="43"/>
        <v>809</v>
      </c>
      <c r="E212" t="str">
        <f>"89301292"</f>
        <v>89301292</v>
      </c>
      <c r="F212" t="str">
        <f>"7357154497"</f>
        <v>7357154497</v>
      </c>
      <c r="G212" s="1">
        <v>44567</v>
      </c>
      <c r="H212" t="str">
        <f>"89514"</f>
        <v>89514</v>
      </c>
      <c r="I212">
        <v>1</v>
      </c>
      <c r="J212">
        <v>371</v>
      </c>
      <c r="K212">
        <v>0</v>
      </c>
      <c r="L212">
        <v>519.4</v>
      </c>
    </row>
    <row r="213" spans="1:12" x14ac:dyDescent="0.25">
      <c r="A213" t="str">
        <f t="shared" si="39"/>
        <v>89301000</v>
      </c>
      <c r="B213" t="str">
        <f>"86106000"</f>
        <v>86106000</v>
      </c>
      <c r="C213" t="str">
        <f>"86106064"</f>
        <v>86106064</v>
      </c>
      <c r="D213" t="str">
        <f t="shared" si="43"/>
        <v>809</v>
      </c>
      <c r="E213" t="str">
        <f>"89301042"</f>
        <v>89301042</v>
      </c>
      <c r="F213" t="str">
        <f>"8657035442"</f>
        <v>8657035442</v>
      </c>
      <c r="G213" s="1">
        <v>44572</v>
      </c>
      <c r="H213" t="str">
        <f>"89513"</f>
        <v>89513</v>
      </c>
      <c r="I213">
        <v>1</v>
      </c>
      <c r="J213">
        <v>371</v>
      </c>
      <c r="K213">
        <v>0</v>
      </c>
      <c r="L213">
        <v>519.4</v>
      </c>
    </row>
    <row r="214" spans="1:12" x14ac:dyDescent="0.25">
      <c r="A214" t="str">
        <f t="shared" si="39"/>
        <v>89301000</v>
      </c>
      <c r="B214" t="str">
        <f>"86106000"</f>
        <v>86106000</v>
      </c>
      <c r="C214" t="str">
        <f>"86106064"</f>
        <v>86106064</v>
      </c>
      <c r="D214" t="str">
        <f t="shared" si="43"/>
        <v>809</v>
      </c>
      <c r="E214" t="str">
        <f>"89301042"</f>
        <v>89301042</v>
      </c>
      <c r="F214" t="str">
        <f>"8657035442"</f>
        <v>8657035442</v>
      </c>
      <c r="G214" s="1">
        <v>44572</v>
      </c>
      <c r="H214" t="str">
        <f>"89514"</f>
        <v>89514</v>
      </c>
      <c r="I214">
        <v>1</v>
      </c>
      <c r="J214">
        <v>371</v>
      </c>
      <c r="K214">
        <v>0</v>
      </c>
      <c r="L214">
        <v>519.4</v>
      </c>
    </row>
    <row r="215" spans="1:12" x14ac:dyDescent="0.25">
      <c r="A215" t="str">
        <f t="shared" si="39"/>
        <v>89301000</v>
      </c>
      <c r="B215" t="str">
        <f t="shared" ref="B215:B252" si="44">"82083000"</f>
        <v>82083000</v>
      </c>
      <c r="C215" t="str">
        <f t="shared" ref="C215:C252" si="45">"82083102"</f>
        <v>82083102</v>
      </c>
      <c r="D215" t="str">
        <f t="shared" ref="D215:D252" si="46">"801"</f>
        <v>801</v>
      </c>
      <c r="E215" t="str">
        <f t="shared" ref="E215:E252" si="47">"89301167"</f>
        <v>89301167</v>
      </c>
      <c r="F215" t="str">
        <f t="shared" ref="F215:F252" si="48">"530825172"</f>
        <v>530825172</v>
      </c>
      <c r="G215" s="1">
        <v>44573</v>
      </c>
      <c r="H215" t="str">
        <f>"09119"</f>
        <v>09119</v>
      </c>
      <c r="I215">
        <v>1</v>
      </c>
      <c r="J215">
        <v>42</v>
      </c>
      <c r="K215">
        <v>0</v>
      </c>
      <c r="L215">
        <v>32.76</v>
      </c>
    </row>
    <row r="216" spans="1:12" x14ac:dyDescent="0.25">
      <c r="A216" t="str">
        <f t="shared" si="39"/>
        <v>89301000</v>
      </c>
      <c r="B216" t="str">
        <f t="shared" si="44"/>
        <v>82083000</v>
      </c>
      <c r="C216" t="str">
        <f t="shared" si="45"/>
        <v>82083102</v>
      </c>
      <c r="D216" t="str">
        <f t="shared" si="46"/>
        <v>801</v>
      </c>
      <c r="E216" t="str">
        <f t="shared" si="47"/>
        <v>89301167</v>
      </c>
      <c r="F216" t="str">
        <f t="shared" si="48"/>
        <v>530825172</v>
      </c>
      <c r="G216" s="1">
        <v>44573</v>
      </c>
      <c r="H216" t="str">
        <f>"96165"</f>
        <v>96165</v>
      </c>
      <c r="I216">
        <v>1</v>
      </c>
      <c r="J216">
        <v>47</v>
      </c>
      <c r="K216">
        <v>0</v>
      </c>
      <c r="L216">
        <v>36.659999999999997</v>
      </c>
    </row>
    <row r="217" spans="1:12" x14ac:dyDescent="0.25">
      <c r="A217" t="str">
        <f t="shared" si="39"/>
        <v>89301000</v>
      </c>
      <c r="B217" t="str">
        <f t="shared" si="44"/>
        <v>82083000</v>
      </c>
      <c r="C217" t="str">
        <f t="shared" si="45"/>
        <v>82083102</v>
      </c>
      <c r="D217" t="str">
        <f t="shared" si="46"/>
        <v>801</v>
      </c>
      <c r="E217" t="str">
        <f t="shared" si="47"/>
        <v>89301167</v>
      </c>
      <c r="F217" t="str">
        <f t="shared" si="48"/>
        <v>530825172</v>
      </c>
      <c r="G217" s="1">
        <v>44566</v>
      </c>
      <c r="H217" t="str">
        <f>"09119"</f>
        <v>09119</v>
      </c>
      <c r="I217">
        <v>1</v>
      </c>
      <c r="J217">
        <v>42</v>
      </c>
      <c r="K217">
        <v>0</v>
      </c>
      <c r="L217">
        <v>32.76</v>
      </c>
    </row>
    <row r="218" spans="1:12" x14ac:dyDescent="0.25">
      <c r="A218" t="str">
        <f t="shared" si="39"/>
        <v>89301000</v>
      </c>
      <c r="B218" t="str">
        <f t="shared" si="44"/>
        <v>82083000</v>
      </c>
      <c r="C218" t="str">
        <f t="shared" si="45"/>
        <v>82083102</v>
      </c>
      <c r="D218" t="str">
        <f t="shared" si="46"/>
        <v>801</v>
      </c>
      <c r="E218" t="str">
        <f t="shared" si="47"/>
        <v>89301167</v>
      </c>
      <c r="F218" t="str">
        <f t="shared" si="48"/>
        <v>530825172</v>
      </c>
      <c r="G218" s="1">
        <v>44566</v>
      </c>
      <c r="H218" t="str">
        <f>"81329"</f>
        <v>81329</v>
      </c>
      <c r="I218">
        <v>1</v>
      </c>
      <c r="J218">
        <v>16</v>
      </c>
      <c r="K218">
        <v>0</v>
      </c>
      <c r="L218">
        <v>12.48</v>
      </c>
    </row>
    <row r="219" spans="1:12" x14ac:dyDescent="0.25">
      <c r="A219" t="str">
        <f t="shared" si="39"/>
        <v>89301000</v>
      </c>
      <c r="B219" t="str">
        <f t="shared" si="44"/>
        <v>82083000</v>
      </c>
      <c r="C219" t="str">
        <f t="shared" si="45"/>
        <v>82083102</v>
      </c>
      <c r="D219" t="str">
        <f t="shared" si="46"/>
        <v>801</v>
      </c>
      <c r="E219" t="str">
        <f t="shared" si="47"/>
        <v>89301167</v>
      </c>
      <c r="F219" t="str">
        <f t="shared" si="48"/>
        <v>530825172</v>
      </c>
      <c r="G219" s="1">
        <v>44566</v>
      </c>
      <c r="H219" t="str">
        <f>"81337"</f>
        <v>81337</v>
      </c>
      <c r="I219">
        <v>1</v>
      </c>
      <c r="J219">
        <v>19</v>
      </c>
      <c r="K219">
        <v>0</v>
      </c>
      <c r="L219">
        <v>14.82</v>
      </c>
    </row>
    <row r="220" spans="1:12" x14ac:dyDescent="0.25">
      <c r="A220" t="str">
        <f t="shared" si="39"/>
        <v>89301000</v>
      </c>
      <c r="B220" t="str">
        <f t="shared" si="44"/>
        <v>82083000</v>
      </c>
      <c r="C220" t="str">
        <f t="shared" si="45"/>
        <v>82083102</v>
      </c>
      <c r="D220" t="str">
        <f t="shared" si="46"/>
        <v>801</v>
      </c>
      <c r="E220" t="str">
        <f t="shared" si="47"/>
        <v>89301167</v>
      </c>
      <c r="F220" t="str">
        <f t="shared" si="48"/>
        <v>530825172</v>
      </c>
      <c r="G220" s="1">
        <v>44566</v>
      </c>
      <c r="H220" t="str">
        <f>"81357"</f>
        <v>81357</v>
      </c>
      <c r="I220">
        <v>1</v>
      </c>
      <c r="J220">
        <v>19</v>
      </c>
      <c r="K220">
        <v>0</v>
      </c>
      <c r="L220">
        <v>14.82</v>
      </c>
    </row>
    <row r="221" spans="1:12" x14ac:dyDescent="0.25">
      <c r="A221" t="str">
        <f t="shared" si="39"/>
        <v>89301000</v>
      </c>
      <c r="B221" t="str">
        <f t="shared" si="44"/>
        <v>82083000</v>
      </c>
      <c r="C221" t="str">
        <f t="shared" si="45"/>
        <v>82083102</v>
      </c>
      <c r="D221" t="str">
        <f t="shared" si="46"/>
        <v>801</v>
      </c>
      <c r="E221" t="str">
        <f t="shared" si="47"/>
        <v>89301167</v>
      </c>
      <c r="F221" t="str">
        <f t="shared" si="48"/>
        <v>530825172</v>
      </c>
      <c r="G221" s="1">
        <v>44566</v>
      </c>
      <c r="H221" t="str">
        <f>"81361"</f>
        <v>81361</v>
      </c>
      <c r="I221">
        <v>1</v>
      </c>
      <c r="J221">
        <v>17</v>
      </c>
      <c r="K221">
        <v>0</v>
      </c>
      <c r="L221">
        <v>13.26</v>
      </c>
    </row>
    <row r="222" spans="1:12" x14ac:dyDescent="0.25">
      <c r="A222" t="str">
        <f t="shared" si="39"/>
        <v>89301000</v>
      </c>
      <c r="B222" t="str">
        <f t="shared" si="44"/>
        <v>82083000</v>
      </c>
      <c r="C222" t="str">
        <f t="shared" si="45"/>
        <v>82083102</v>
      </c>
      <c r="D222" t="str">
        <f t="shared" si="46"/>
        <v>801</v>
      </c>
      <c r="E222" t="str">
        <f t="shared" si="47"/>
        <v>89301167</v>
      </c>
      <c r="F222" t="str">
        <f t="shared" si="48"/>
        <v>530825172</v>
      </c>
      <c r="G222" s="1">
        <v>44566</v>
      </c>
      <c r="H222" t="str">
        <f>"81365"</f>
        <v>81365</v>
      </c>
      <c r="I222">
        <v>1</v>
      </c>
      <c r="J222">
        <v>16</v>
      </c>
      <c r="K222">
        <v>0</v>
      </c>
      <c r="L222">
        <v>12.48</v>
      </c>
    </row>
    <row r="223" spans="1:12" x14ac:dyDescent="0.25">
      <c r="A223" t="str">
        <f t="shared" si="39"/>
        <v>89301000</v>
      </c>
      <c r="B223" t="str">
        <f t="shared" si="44"/>
        <v>82083000</v>
      </c>
      <c r="C223" t="str">
        <f t="shared" si="45"/>
        <v>82083102</v>
      </c>
      <c r="D223" t="str">
        <f t="shared" si="46"/>
        <v>801</v>
      </c>
      <c r="E223" t="str">
        <f t="shared" si="47"/>
        <v>89301167</v>
      </c>
      <c r="F223" t="str">
        <f t="shared" si="48"/>
        <v>530825172</v>
      </c>
      <c r="G223" s="1">
        <v>44566</v>
      </c>
      <c r="H223" t="str">
        <f>"81383"</f>
        <v>81383</v>
      </c>
      <c r="I223">
        <v>1</v>
      </c>
      <c r="J223">
        <v>23</v>
      </c>
      <c r="K223">
        <v>0</v>
      </c>
      <c r="L223">
        <v>17.940000000000001</v>
      </c>
    </row>
    <row r="224" spans="1:12" x14ac:dyDescent="0.25">
      <c r="A224" t="str">
        <f t="shared" si="39"/>
        <v>89301000</v>
      </c>
      <c r="B224" t="str">
        <f t="shared" si="44"/>
        <v>82083000</v>
      </c>
      <c r="C224" t="str">
        <f t="shared" si="45"/>
        <v>82083102</v>
      </c>
      <c r="D224" t="str">
        <f t="shared" si="46"/>
        <v>801</v>
      </c>
      <c r="E224" t="str">
        <f t="shared" si="47"/>
        <v>89301167</v>
      </c>
      <c r="F224" t="str">
        <f t="shared" si="48"/>
        <v>530825172</v>
      </c>
      <c r="G224" s="1">
        <v>44566</v>
      </c>
      <c r="H224" t="str">
        <f>"81393"</f>
        <v>81393</v>
      </c>
      <c r="I224">
        <v>1</v>
      </c>
      <c r="J224">
        <v>24</v>
      </c>
      <c r="K224">
        <v>0</v>
      </c>
      <c r="L224">
        <v>18.72</v>
      </c>
    </row>
    <row r="225" spans="1:12" x14ac:dyDescent="0.25">
      <c r="A225" t="str">
        <f t="shared" si="39"/>
        <v>89301000</v>
      </c>
      <c r="B225" t="str">
        <f t="shared" si="44"/>
        <v>82083000</v>
      </c>
      <c r="C225" t="str">
        <f t="shared" si="45"/>
        <v>82083102</v>
      </c>
      <c r="D225" t="str">
        <f t="shared" si="46"/>
        <v>801</v>
      </c>
      <c r="E225" t="str">
        <f t="shared" si="47"/>
        <v>89301167</v>
      </c>
      <c r="F225" t="str">
        <f t="shared" si="48"/>
        <v>530825172</v>
      </c>
      <c r="G225" s="1">
        <v>44566</v>
      </c>
      <c r="H225" t="str">
        <f>"81421"</f>
        <v>81421</v>
      </c>
      <c r="I225">
        <v>1</v>
      </c>
      <c r="J225">
        <v>19</v>
      </c>
      <c r="K225">
        <v>0</v>
      </c>
      <c r="L225">
        <v>14.82</v>
      </c>
    </row>
    <row r="226" spans="1:12" x14ac:dyDescent="0.25">
      <c r="A226" t="str">
        <f t="shared" si="39"/>
        <v>89301000</v>
      </c>
      <c r="B226" t="str">
        <f t="shared" si="44"/>
        <v>82083000</v>
      </c>
      <c r="C226" t="str">
        <f t="shared" si="45"/>
        <v>82083102</v>
      </c>
      <c r="D226" t="str">
        <f t="shared" si="46"/>
        <v>801</v>
      </c>
      <c r="E226" t="str">
        <f t="shared" si="47"/>
        <v>89301167</v>
      </c>
      <c r="F226" t="str">
        <f t="shared" si="48"/>
        <v>530825172</v>
      </c>
      <c r="G226" s="1">
        <v>44566</v>
      </c>
      <c r="H226" t="str">
        <f>"81435"</f>
        <v>81435</v>
      </c>
      <c r="I226">
        <v>1</v>
      </c>
      <c r="J226">
        <v>22</v>
      </c>
      <c r="K226">
        <v>0</v>
      </c>
      <c r="L226">
        <v>17.16</v>
      </c>
    </row>
    <row r="227" spans="1:12" x14ac:dyDescent="0.25">
      <c r="A227" t="str">
        <f t="shared" si="39"/>
        <v>89301000</v>
      </c>
      <c r="B227" t="str">
        <f t="shared" si="44"/>
        <v>82083000</v>
      </c>
      <c r="C227" t="str">
        <f t="shared" si="45"/>
        <v>82083102</v>
      </c>
      <c r="D227" t="str">
        <f t="shared" si="46"/>
        <v>801</v>
      </c>
      <c r="E227" t="str">
        <f t="shared" si="47"/>
        <v>89301167</v>
      </c>
      <c r="F227" t="str">
        <f t="shared" si="48"/>
        <v>530825172</v>
      </c>
      <c r="G227" s="1">
        <v>44566</v>
      </c>
      <c r="H227" t="str">
        <f>"81439"</f>
        <v>81439</v>
      </c>
      <c r="I227">
        <v>1</v>
      </c>
      <c r="J227">
        <v>16</v>
      </c>
      <c r="K227">
        <v>0</v>
      </c>
      <c r="L227">
        <v>12.48</v>
      </c>
    </row>
    <row r="228" spans="1:12" x14ac:dyDescent="0.25">
      <c r="A228" t="str">
        <f t="shared" si="39"/>
        <v>89301000</v>
      </c>
      <c r="B228" t="str">
        <f t="shared" si="44"/>
        <v>82083000</v>
      </c>
      <c r="C228" t="str">
        <f t="shared" si="45"/>
        <v>82083102</v>
      </c>
      <c r="D228" t="str">
        <f t="shared" si="46"/>
        <v>801</v>
      </c>
      <c r="E228" t="str">
        <f t="shared" si="47"/>
        <v>89301167</v>
      </c>
      <c r="F228" t="str">
        <f t="shared" si="48"/>
        <v>530825172</v>
      </c>
      <c r="G228" s="1">
        <v>44566</v>
      </c>
      <c r="H228" t="str">
        <f>"81469"</f>
        <v>81469</v>
      </c>
      <c r="I228">
        <v>1</v>
      </c>
      <c r="J228">
        <v>16</v>
      </c>
      <c r="K228">
        <v>0</v>
      </c>
      <c r="L228">
        <v>12.48</v>
      </c>
    </row>
    <row r="229" spans="1:12" x14ac:dyDescent="0.25">
      <c r="A229" t="str">
        <f t="shared" si="39"/>
        <v>89301000</v>
      </c>
      <c r="B229" t="str">
        <f t="shared" si="44"/>
        <v>82083000</v>
      </c>
      <c r="C229" t="str">
        <f t="shared" si="45"/>
        <v>82083102</v>
      </c>
      <c r="D229" t="str">
        <f t="shared" si="46"/>
        <v>801</v>
      </c>
      <c r="E229" t="str">
        <f t="shared" si="47"/>
        <v>89301167</v>
      </c>
      <c r="F229" t="str">
        <f t="shared" si="48"/>
        <v>530825172</v>
      </c>
      <c r="G229" s="1">
        <v>44566</v>
      </c>
      <c r="H229" t="str">
        <f>"81499"</f>
        <v>81499</v>
      </c>
      <c r="I229">
        <v>1</v>
      </c>
      <c r="J229">
        <v>18</v>
      </c>
      <c r="K229">
        <v>0</v>
      </c>
      <c r="L229">
        <v>14.04</v>
      </c>
    </row>
    <row r="230" spans="1:12" x14ac:dyDescent="0.25">
      <c r="A230" t="str">
        <f t="shared" si="39"/>
        <v>89301000</v>
      </c>
      <c r="B230" t="str">
        <f t="shared" si="44"/>
        <v>82083000</v>
      </c>
      <c r="C230" t="str">
        <f t="shared" si="45"/>
        <v>82083102</v>
      </c>
      <c r="D230" t="str">
        <f t="shared" si="46"/>
        <v>801</v>
      </c>
      <c r="E230" t="str">
        <f t="shared" si="47"/>
        <v>89301167</v>
      </c>
      <c r="F230" t="str">
        <f t="shared" si="48"/>
        <v>530825172</v>
      </c>
      <c r="G230" s="1">
        <v>44566</v>
      </c>
      <c r="H230" t="str">
        <f>"81523"</f>
        <v>81523</v>
      </c>
      <c r="I230">
        <v>1</v>
      </c>
      <c r="J230">
        <v>23</v>
      </c>
      <c r="K230">
        <v>0</v>
      </c>
      <c r="L230">
        <v>17.940000000000001</v>
      </c>
    </row>
    <row r="231" spans="1:12" x14ac:dyDescent="0.25">
      <c r="A231" t="str">
        <f t="shared" si="39"/>
        <v>89301000</v>
      </c>
      <c r="B231" t="str">
        <f t="shared" si="44"/>
        <v>82083000</v>
      </c>
      <c r="C231" t="str">
        <f t="shared" si="45"/>
        <v>82083102</v>
      </c>
      <c r="D231" t="str">
        <f t="shared" si="46"/>
        <v>801</v>
      </c>
      <c r="E231" t="str">
        <f t="shared" si="47"/>
        <v>89301167</v>
      </c>
      <c r="F231" t="str">
        <f t="shared" si="48"/>
        <v>530825172</v>
      </c>
      <c r="G231" s="1">
        <v>44566</v>
      </c>
      <c r="H231" t="str">
        <f>"81593"</f>
        <v>81593</v>
      </c>
      <c r="I231">
        <v>1</v>
      </c>
      <c r="J231">
        <v>22</v>
      </c>
      <c r="K231">
        <v>0</v>
      </c>
      <c r="L231">
        <v>17.16</v>
      </c>
    </row>
    <row r="232" spans="1:12" x14ac:dyDescent="0.25">
      <c r="A232" t="str">
        <f t="shared" si="39"/>
        <v>89301000</v>
      </c>
      <c r="B232" t="str">
        <f t="shared" si="44"/>
        <v>82083000</v>
      </c>
      <c r="C232" t="str">
        <f t="shared" si="45"/>
        <v>82083102</v>
      </c>
      <c r="D232" t="str">
        <f t="shared" si="46"/>
        <v>801</v>
      </c>
      <c r="E232" t="str">
        <f t="shared" si="47"/>
        <v>89301167</v>
      </c>
      <c r="F232" t="str">
        <f t="shared" si="48"/>
        <v>530825172</v>
      </c>
      <c r="G232" s="1">
        <v>44566</v>
      </c>
      <c r="H232" t="str">
        <f>"81621"</f>
        <v>81621</v>
      </c>
      <c r="I232">
        <v>1</v>
      </c>
      <c r="J232">
        <v>19</v>
      </c>
      <c r="K232">
        <v>0</v>
      </c>
      <c r="L232">
        <v>14.82</v>
      </c>
    </row>
    <row r="233" spans="1:12" x14ac:dyDescent="0.25">
      <c r="A233" t="str">
        <f t="shared" si="39"/>
        <v>89301000</v>
      </c>
      <c r="B233" t="str">
        <f t="shared" si="44"/>
        <v>82083000</v>
      </c>
      <c r="C233" t="str">
        <f t="shared" si="45"/>
        <v>82083102</v>
      </c>
      <c r="D233" t="str">
        <f t="shared" si="46"/>
        <v>801</v>
      </c>
      <c r="E233" t="str">
        <f t="shared" si="47"/>
        <v>89301167</v>
      </c>
      <c r="F233" t="str">
        <f t="shared" si="48"/>
        <v>530825172</v>
      </c>
      <c r="G233" s="1">
        <v>44566</v>
      </c>
      <c r="H233" t="str">
        <f>"91153"</f>
        <v>91153</v>
      </c>
      <c r="I233">
        <v>1</v>
      </c>
      <c r="J233">
        <v>152</v>
      </c>
      <c r="K233">
        <v>0</v>
      </c>
      <c r="L233">
        <v>118.56</v>
      </c>
    </row>
    <row r="234" spans="1:12" x14ac:dyDescent="0.25">
      <c r="A234" t="str">
        <f t="shared" si="39"/>
        <v>89301000</v>
      </c>
      <c r="B234" t="str">
        <f t="shared" si="44"/>
        <v>82083000</v>
      </c>
      <c r="C234" t="str">
        <f t="shared" si="45"/>
        <v>82083102</v>
      </c>
      <c r="D234" t="str">
        <f t="shared" si="46"/>
        <v>801</v>
      </c>
      <c r="E234" t="str">
        <f t="shared" si="47"/>
        <v>89301167</v>
      </c>
      <c r="F234" t="str">
        <f t="shared" si="48"/>
        <v>530825172</v>
      </c>
      <c r="G234" s="1">
        <v>44566</v>
      </c>
      <c r="H234" t="str">
        <f>"96165"</f>
        <v>96165</v>
      </c>
      <c r="I234">
        <v>1</v>
      </c>
      <c r="J234">
        <v>47</v>
      </c>
      <c r="K234">
        <v>0</v>
      </c>
      <c r="L234">
        <v>36.659999999999997</v>
      </c>
    </row>
    <row r="235" spans="1:12" x14ac:dyDescent="0.25">
      <c r="A235" t="str">
        <f t="shared" si="39"/>
        <v>89301000</v>
      </c>
      <c r="B235" t="str">
        <f t="shared" si="44"/>
        <v>82083000</v>
      </c>
      <c r="C235" t="str">
        <f t="shared" si="45"/>
        <v>82083102</v>
      </c>
      <c r="D235" t="str">
        <f t="shared" si="46"/>
        <v>801</v>
      </c>
      <c r="E235" t="str">
        <f t="shared" si="47"/>
        <v>89301167</v>
      </c>
      <c r="F235" t="str">
        <f t="shared" si="48"/>
        <v>530825172</v>
      </c>
      <c r="G235" s="1">
        <v>44566</v>
      </c>
      <c r="H235" t="str">
        <f>"97111"</f>
        <v>97111</v>
      </c>
      <c r="I235">
        <v>1</v>
      </c>
      <c r="J235">
        <v>18</v>
      </c>
      <c r="K235">
        <v>0</v>
      </c>
      <c r="L235">
        <v>14.04</v>
      </c>
    </row>
    <row r="236" spans="1:12" x14ac:dyDescent="0.25">
      <c r="A236" t="str">
        <f t="shared" si="39"/>
        <v>89301000</v>
      </c>
      <c r="B236" t="str">
        <f t="shared" si="44"/>
        <v>82083000</v>
      </c>
      <c r="C236" t="str">
        <f t="shared" si="45"/>
        <v>82083102</v>
      </c>
      <c r="D236" t="str">
        <f t="shared" si="46"/>
        <v>801</v>
      </c>
      <c r="E236" t="str">
        <f t="shared" si="47"/>
        <v>89301167</v>
      </c>
      <c r="F236" t="str">
        <f t="shared" si="48"/>
        <v>530825172</v>
      </c>
      <c r="G236" s="1">
        <v>44587</v>
      </c>
      <c r="H236" t="str">
        <f>"81329"</f>
        <v>81329</v>
      </c>
      <c r="I236">
        <v>1</v>
      </c>
      <c r="J236">
        <v>16</v>
      </c>
      <c r="K236">
        <v>0</v>
      </c>
      <c r="L236">
        <v>12.48</v>
      </c>
    </row>
    <row r="237" spans="1:12" x14ac:dyDescent="0.25">
      <c r="A237" t="str">
        <f t="shared" si="39"/>
        <v>89301000</v>
      </c>
      <c r="B237" t="str">
        <f t="shared" si="44"/>
        <v>82083000</v>
      </c>
      <c r="C237" t="str">
        <f t="shared" si="45"/>
        <v>82083102</v>
      </c>
      <c r="D237" t="str">
        <f t="shared" si="46"/>
        <v>801</v>
      </c>
      <c r="E237" t="str">
        <f t="shared" si="47"/>
        <v>89301167</v>
      </c>
      <c r="F237" t="str">
        <f t="shared" si="48"/>
        <v>530825172</v>
      </c>
      <c r="G237" s="1">
        <v>44587</v>
      </c>
      <c r="H237" t="str">
        <f>"81337"</f>
        <v>81337</v>
      </c>
      <c r="I237">
        <v>1</v>
      </c>
      <c r="J237">
        <v>19</v>
      </c>
      <c r="K237">
        <v>0</v>
      </c>
      <c r="L237">
        <v>14.82</v>
      </c>
    </row>
    <row r="238" spans="1:12" x14ac:dyDescent="0.25">
      <c r="A238" t="str">
        <f t="shared" si="39"/>
        <v>89301000</v>
      </c>
      <c r="B238" t="str">
        <f t="shared" si="44"/>
        <v>82083000</v>
      </c>
      <c r="C238" t="str">
        <f t="shared" si="45"/>
        <v>82083102</v>
      </c>
      <c r="D238" t="str">
        <f t="shared" si="46"/>
        <v>801</v>
      </c>
      <c r="E238" t="str">
        <f t="shared" si="47"/>
        <v>89301167</v>
      </c>
      <c r="F238" t="str">
        <f t="shared" si="48"/>
        <v>530825172</v>
      </c>
      <c r="G238" s="1">
        <v>44587</v>
      </c>
      <c r="H238" t="str">
        <f>"81357"</f>
        <v>81357</v>
      </c>
      <c r="I238">
        <v>1</v>
      </c>
      <c r="J238">
        <v>19</v>
      </c>
      <c r="K238">
        <v>0</v>
      </c>
      <c r="L238">
        <v>14.82</v>
      </c>
    </row>
    <row r="239" spans="1:12" x14ac:dyDescent="0.25">
      <c r="A239" t="str">
        <f t="shared" si="39"/>
        <v>89301000</v>
      </c>
      <c r="B239" t="str">
        <f t="shared" si="44"/>
        <v>82083000</v>
      </c>
      <c r="C239" t="str">
        <f t="shared" si="45"/>
        <v>82083102</v>
      </c>
      <c r="D239" t="str">
        <f t="shared" si="46"/>
        <v>801</v>
      </c>
      <c r="E239" t="str">
        <f t="shared" si="47"/>
        <v>89301167</v>
      </c>
      <c r="F239" t="str">
        <f t="shared" si="48"/>
        <v>530825172</v>
      </c>
      <c r="G239" s="1">
        <v>44587</v>
      </c>
      <c r="H239" t="str">
        <f>"81361"</f>
        <v>81361</v>
      </c>
      <c r="I239">
        <v>1</v>
      </c>
      <c r="J239">
        <v>17</v>
      </c>
      <c r="K239">
        <v>0</v>
      </c>
      <c r="L239">
        <v>13.26</v>
      </c>
    </row>
    <row r="240" spans="1:12" x14ac:dyDescent="0.25">
      <c r="A240" t="str">
        <f t="shared" si="39"/>
        <v>89301000</v>
      </c>
      <c r="B240" t="str">
        <f t="shared" si="44"/>
        <v>82083000</v>
      </c>
      <c r="C240" t="str">
        <f t="shared" si="45"/>
        <v>82083102</v>
      </c>
      <c r="D240" t="str">
        <f t="shared" si="46"/>
        <v>801</v>
      </c>
      <c r="E240" t="str">
        <f t="shared" si="47"/>
        <v>89301167</v>
      </c>
      <c r="F240" t="str">
        <f t="shared" si="48"/>
        <v>530825172</v>
      </c>
      <c r="G240" s="1">
        <v>44587</v>
      </c>
      <c r="H240" t="str">
        <f>"81365"</f>
        <v>81365</v>
      </c>
      <c r="I240">
        <v>1</v>
      </c>
      <c r="J240">
        <v>16</v>
      </c>
      <c r="K240">
        <v>0</v>
      </c>
      <c r="L240">
        <v>12.48</v>
      </c>
    </row>
    <row r="241" spans="1:12" x14ac:dyDescent="0.25">
      <c r="A241" t="str">
        <f t="shared" si="39"/>
        <v>89301000</v>
      </c>
      <c r="B241" t="str">
        <f t="shared" si="44"/>
        <v>82083000</v>
      </c>
      <c r="C241" t="str">
        <f t="shared" si="45"/>
        <v>82083102</v>
      </c>
      <c r="D241" t="str">
        <f t="shared" si="46"/>
        <v>801</v>
      </c>
      <c r="E241" t="str">
        <f t="shared" si="47"/>
        <v>89301167</v>
      </c>
      <c r="F241" t="str">
        <f t="shared" si="48"/>
        <v>530825172</v>
      </c>
      <c r="G241" s="1">
        <v>44587</v>
      </c>
      <c r="H241" t="str">
        <f>"81383"</f>
        <v>81383</v>
      </c>
      <c r="I241">
        <v>1</v>
      </c>
      <c r="J241">
        <v>23</v>
      </c>
      <c r="K241">
        <v>0</v>
      </c>
      <c r="L241">
        <v>17.940000000000001</v>
      </c>
    </row>
    <row r="242" spans="1:12" x14ac:dyDescent="0.25">
      <c r="A242" t="str">
        <f t="shared" si="39"/>
        <v>89301000</v>
      </c>
      <c r="B242" t="str">
        <f t="shared" si="44"/>
        <v>82083000</v>
      </c>
      <c r="C242" t="str">
        <f t="shared" si="45"/>
        <v>82083102</v>
      </c>
      <c r="D242" t="str">
        <f t="shared" si="46"/>
        <v>801</v>
      </c>
      <c r="E242" t="str">
        <f t="shared" si="47"/>
        <v>89301167</v>
      </c>
      <c r="F242" t="str">
        <f t="shared" si="48"/>
        <v>530825172</v>
      </c>
      <c r="G242" s="1">
        <v>44587</v>
      </c>
      <c r="H242" t="str">
        <f>"81393"</f>
        <v>81393</v>
      </c>
      <c r="I242">
        <v>1</v>
      </c>
      <c r="J242">
        <v>24</v>
      </c>
      <c r="K242">
        <v>0</v>
      </c>
      <c r="L242">
        <v>18.72</v>
      </c>
    </row>
    <row r="243" spans="1:12" x14ac:dyDescent="0.25">
      <c r="A243" t="str">
        <f t="shared" si="39"/>
        <v>89301000</v>
      </c>
      <c r="B243" t="str">
        <f t="shared" si="44"/>
        <v>82083000</v>
      </c>
      <c r="C243" t="str">
        <f t="shared" si="45"/>
        <v>82083102</v>
      </c>
      <c r="D243" t="str">
        <f t="shared" si="46"/>
        <v>801</v>
      </c>
      <c r="E243" t="str">
        <f t="shared" si="47"/>
        <v>89301167</v>
      </c>
      <c r="F243" t="str">
        <f t="shared" si="48"/>
        <v>530825172</v>
      </c>
      <c r="G243" s="1">
        <v>44587</v>
      </c>
      <c r="H243" t="str">
        <f>"81421"</f>
        <v>81421</v>
      </c>
      <c r="I243">
        <v>1</v>
      </c>
      <c r="J243">
        <v>19</v>
      </c>
      <c r="K243">
        <v>0</v>
      </c>
      <c r="L243">
        <v>14.82</v>
      </c>
    </row>
    <row r="244" spans="1:12" x14ac:dyDescent="0.25">
      <c r="A244" t="str">
        <f t="shared" si="39"/>
        <v>89301000</v>
      </c>
      <c r="B244" t="str">
        <f t="shared" si="44"/>
        <v>82083000</v>
      </c>
      <c r="C244" t="str">
        <f t="shared" si="45"/>
        <v>82083102</v>
      </c>
      <c r="D244" t="str">
        <f t="shared" si="46"/>
        <v>801</v>
      </c>
      <c r="E244" t="str">
        <f t="shared" si="47"/>
        <v>89301167</v>
      </c>
      <c r="F244" t="str">
        <f t="shared" si="48"/>
        <v>530825172</v>
      </c>
      <c r="G244" s="1">
        <v>44587</v>
      </c>
      <c r="H244" t="str">
        <f>"81435"</f>
        <v>81435</v>
      </c>
      <c r="I244">
        <v>1</v>
      </c>
      <c r="J244">
        <v>22</v>
      </c>
      <c r="K244">
        <v>0</v>
      </c>
      <c r="L244">
        <v>17.16</v>
      </c>
    </row>
    <row r="245" spans="1:12" x14ac:dyDescent="0.25">
      <c r="A245" t="str">
        <f t="shared" si="39"/>
        <v>89301000</v>
      </c>
      <c r="B245" t="str">
        <f t="shared" si="44"/>
        <v>82083000</v>
      </c>
      <c r="C245" t="str">
        <f t="shared" si="45"/>
        <v>82083102</v>
      </c>
      <c r="D245" t="str">
        <f t="shared" si="46"/>
        <v>801</v>
      </c>
      <c r="E245" t="str">
        <f t="shared" si="47"/>
        <v>89301167</v>
      </c>
      <c r="F245" t="str">
        <f t="shared" si="48"/>
        <v>530825172</v>
      </c>
      <c r="G245" s="1">
        <v>44587</v>
      </c>
      <c r="H245" t="str">
        <f>"81439"</f>
        <v>81439</v>
      </c>
      <c r="I245">
        <v>1</v>
      </c>
      <c r="J245">
        <v>16</v>
      </c>
      <c r="K245">
        <v>0</v>
      </c>
      <c r="L245">
        <v>12.48</v>
      </c>
    </row>
    <row r="246" spans="1:12" x14ac:dyDescent="0.25">
      <c r="A246" t="str">
        <f t="shared" si="39"/>
        <v>89301000</v>
      </c>
      <c r="B246" t="str">
        <f t="shared" si="44"/>
        <v>82083000</v>
      </c>
      <c r="C246" t="str">
        <f t="shared" si="45"/>
        <v>82083102</v>
      </c>
      <c r="D246" t="str">
        <f t="shared" si="46"/>
        <v>801</v>
      </c>
      <c r="E246" t="str">
        <f t="shared" si="47"/>
        <v>89301167</v>
      </c>
      <c r="F246" t="str">
        <f t="shared" si="48"/>
        <v>530825172</v>
      </c>
      <c r="G246" s="1">
        <v>44587</v>
      </c>
      <c r="H246" t="str">
        <f>"81469"</f>
        <v>81469</v>
      </c>
      <c r="I246">
        <v>1</v>
      </c>
      <c r="J246">
        <v>16</v>
      </c>
      <c r="K246">
        <v>0</v>
      </c>
      <c r="L246">
        <v>12.48</v>
      </c>
    </row>
    <row r="247" spans="1:12" x14ac:dyDescent="0.25">
      <c r="A247" t="str">
        <f t="shared" si="39"/>
        <v>89301000</v>
      </c>
      <c r="B247" t="str">
        <f t="shared" si="44"/>
        <v>82083000</v>
      </c>
      <c r="C247" t="str">
        <f t="shared" si="45"/>
        <v>82083102</v>
      </c>
      <c r="D247" t="str">
        <f t="shared" si="46"/>
        <v>801</v>
      </c>
      <c r="E247" t="str">
        <f t="shared" si="47"/>
        <v>89301167</v>
      </c>
      <c r="F247" t="str">
        <f t="shared" si="48"/>
        <v>530825172</v>
      </c>
      <c r="G247" s="1">
        <v>44587</v>
      </c>
      <c r="H247" t="str">
        <f>"81499"</f>
        <v>81499</v>
      </c>
      <c r="I247">
        <v>1</v>
      </c>
      <c r="J247">
        <v>18</v>
      </c>
      <c r="K247">
        <v>0</v>
      </c>
      <c r="L247">
        <v>14.04</v>
      </c>
    </row>
    <row r="248" spans="1:12" x14ac:dyDescent="0.25">
      <c r="A248" t="str">
        <f t="shared" si="39"/>
        <v>89301000</v>
      </c>
      <c r="B248" t="str">
        <f t="shared" si="44"/>
        <v>82083000</v>
      </c>
      <c r="C248" t="str">
        <f t="shared" si="45"/>
        <v>82083102</v>
      </c>
      <c r="D248" t="str">
        <f t="shared" si="46"/>
        <v>801</v>
      </c>
      <c r="E248" t="str">
        <f t="shared" si="47"/>
        <v>89301167</v>
      </c>
      <c r="F248" t="str">
        <f t="shared" si="48"/>
        <v>530825172</v>
      </c>
      <c r="G248" s="1">
        <v>44587</v>
      </c>
      <c r="H248" t="str">
        <f>"81523"</f>
        <v>81523</v>
      </c>
      <c r="I248">
        <v>1</v>
      </c>
      <c r="J248">
        <v>23</v>
      </c>
      <c r="K248">
        <v>0</v>
      </c>
      <c r="L248">
        <v>17.940000000000001</v>
      </c>
    </row>
    <row r="249" spans="1:12" x14ac:dyDescent="0.25">
      <c r="A249" t="str">
        <f t="shared" si="39"/>
        <v>89301000</v>
      </c>
      <c r="B249" t="str">
        <f t="shared" si="44"/>
        <v>82083000</v>
      </c>
      <c r="C249" t="str">
        <f t="shared" si="45"/>
        <v>82083102</v>
      </c>
      <c r="D249" t="str">
        <f t="shared" si="46"/>
        <v>801</v>
      </c>
      <c r="E249" t="str">
        <f t="shared" si="47"/>
        <v>89301167</v>
      </c>
      <c r="F249" t="str">
        <f t="shared" si="48"/>
        <v>530825172</v>
      </c>
      <c r="G249" s="1">
        <v>44587</v>
      </c>
      <c r="H249" t="str">
        <f>"81593"</f>
        <v>81593</v>
      </c>
      <c r="I249">
        <v>1</v>
      </c>
      <c r="J249">
        <v>22</v>
      </c>
      <c r="K249">
        <v>0</v>
      </c>
      <c r="L249">
        <v>17.16</v>
      </c>
    </row>
    <row r="250" spans="1:12" x14ac:dyDescent="0.25">
      <c r="A250" t="str">
        <f t="shared" si="39"/>
        <v>89301000</v>
      </c>
      <c r="B250" t="str">
        <f t="shared" si="44"/>
        <v>82083000</v>
      </c>
      <c r="C250" t="str">
        <f t="shared" si="45"/>
        <v>82083102</v>
      </c>
      <c r="D250" t="str">
        <f t="shared" si="46"/>
        <v>801</v>
      </c>
      <c r="E250" t="str">
        <f t="shared" si="47"/>
        <v>89301167</v>
      </c>
      <c r="F250" t="str">
        <f t="shared" si="48"/>
        <v>530825172</v>
      </c>
      <c r="G250" s="1">
        <v>44587</v>
      </c>
      <c r="H250" t="str">
        <f>"81621"</f>
        <v>81621</v>
      </c>
      <c r="I250">
        <v>1</v>
      </c>
      <c r="J250">
        <v>19</v>
      </c>
      <c r="K250">
        <v>0</v>
      </c>
      <c r="L250">
        <v>14.82</v>
      </c>
    </row>
    <row r="251" spans="1:12" x14ac:dyDescent="0.25">
      <c r="A251" t="str">
        <f t="shared" si="39"/>
        <v>89301000</v>
      </c>
      <c r="B251" t="str">
        <f t="shared" si="44"/>
        <v>82083000</v>
      </c>
      <c r="C251" t="str">
        <f t="shared" si="45"/>
        <v>82083102</v>
      </c>
      <c r="D251" t="str">
        <f t="shared" si="46"/>
        <v>801</v>
      </c>
      <c r="E251" t="str">
        <f t="shared" si="47"/>
        <v>89301167</v>
      </c>
      <c r="F251" t="str">
        <f t="shared" si="48"/>
        <v>530825172</v>
      </c>
      <c r="G251" s="1">
        <v>44587</v>
      </c>
      <c r="H251" t="str">
        <f>"81625"</f>
        <v>81625</v>
      </c>
      <c r="I251">
        <v>1</v>
      </c>
      <c r="J251">
        <v>20</v>
      </c>
      <c r="K251">
        <v>0</v>
      </c>
      <c r="L251">
        <v>15.6</v>
      </c>
    </row>
    <row r="252" spans="1:12" x14ac:dyDescent="0.25">
      <c r="A252" t="str">
        <f t="shared" si="39"/>
        <v>89301000</v>
      </c>
      <c r="B252" t="str">
        <f t="shared" si="44"/>
        <v>82083000</v>
      </c>
      <c r="C252" t="str">
        <f t="shared" si="45"/>
        <v>82083102</v>
      </c>
      <c r="D252" t="str">
        <f t="shared" si="46"/>
        <v>801</v>
      </c>
      <c r="E252" t="str">
        <f t="shared" si="47"/>
        <v>89301167</v>
      </c>
      <c r="F252" t="str">
        <f t="shared" si="48"/>
        <v>530825172</v>
      </c>
      <c r="G252" s="1">
        <v>44587</v>
      </c>
      <c r="H252" t="str">
        <f>"91153"</f>
        <v>91153</v>
      </c>
      <c r="I252">
        <v>1</v>
      </c>
      <c r="J252">
        <v>152</v>
      </c>
      <c r="K252">
        <v>0</v>
      </c>
      <c r="L252">
        <v>118.56</v>
      </c>
    </row>
    <row r="253" spans="1:12" x14ac:dyDescent="0.25">
      <c r="A253" t="str">
        <f t="shared" si="39"/>
        <v>89301000</v>
      </c>
      <c r="B253" t="str">
        <f t="shared" ref="B253:B258" si="49">"02384000"</f>
        <v>02384000</v>
      </c>
      <c r="C253" t="str">
        <f t="shared" ref="C253:C258" si="50">"02384007"</f>
        <v>02384007</v>
      </c>
      <c r="D253" t="str">
        <f t="shared" ref="D253:D283" si="51">"809"</f>
        <v>809</v>
      </c>
      <c r="E253" t="str">
        <f>"89301037"</f>
        <v>89301037</v>
      </c>
      <c r="F253" t="str">
        <f>"485325406"</f>
        <v>485325406</v>
      </c>
      <c r="G253" s="1">
        <v>44582</v>
      </c>
      <c r="H253" t="str">
        <f>"89312"</f>
        <v>89312</v>
      </c>
      <c r="I253">
        <v>1</v>
      </c>
      <c r="J253">
        <v>302</v>
      </c>
      <c r="K253">
        <v>0</v>
      </c>
      <c r="L253">
        <v>317.10000000000002</v>
      </c>
    </row>
    <row r="254" spans="1:12" x14ac:dyDescent="0.25">
      <c r="A254" t="str">
        <f t="shared" si="39"/>
        <v>89301000</v>
      </c>
      <c r="B254" t="str">
        <f t="shared" si="49"/>
        <v>02384000</v>
      </c>
      <c r="C254" t="str">
        <f t="shared" si="50"/>
        <v>02384007</v>
      </c>
      <c r="D254" t="str">
        <f t="shared" si="51"/>
        <v>809</v>
      </c>
      <c r="E254" t="str">
        <f>"89301037"</f>
        <v>89301037</v>
      </c>
      <c r="F254" t="str">
        <f>"485325406"</f>
        <v>485325406</v>
      </c>
      <c r="G254" s="1">
        <v>44582</v>
      </c>
      <c r="H254" t="str">
        <f>"89312"</f>
        <v>89312</v>
      </c>
      <c r="I254">
        <v>2</v>
      </c>
      <c r="J254">
        <v>604</v>
      </c>
      <c r="K254">
        <v>0</v>
      </c>
      <c r="L254">
        <v>634.20000000000005</v>
      </c>
    </row>
    <row r="255" spans="1:12" x14ac:dyDescent="0.25">
      <c r="A255" t="str">
        <f t="shared" si="39"/>
        <v>89301000</v>
      </c>
      <c r="B255" t="str">
        <f t="shared" si="49"/>
        <v>02384000</v>
      </c>
      <c r="C255" t="str">
        <f t="shared" si="50"/>
        <v>02384007</v>
      </c>
      <c r="D255" t="str">
        <f t="shared" si="51"/>
        <v>809</v>
      </c>
      <c r="E255" t="str">
        <f>"89301292"</f>
        <v>89301292</v>
      </c>
      <c r="F255" t="str">
        <f>"7561115408"</f>
        <v>7561115408</v>
      </c>
      <c r="G255" s="1">
        <v>44585</v>
      </c>
      <c r="H255" t="str">
        <f>"89513"</f>
        <v>89513</v>
      </c>
      <c r="I255">
        <v>1</v>
      </c>
      <c r="J255">
        <v>371</v>
      </c>
      <c r="K255">
        <v>0</v>
      </c>
      <c r="L255">
        <v>519.4</v>
      </c>
    </row>
    <row r="256" spans="1:12" x14ac:dyDescent="0.25">
      <c r="A256" t="str">
        <f t="shared" si="39"/>
        <v>89301000</v>
      </c>
      <c r="B256" t="str">
        <f t="shared" si="49"/>
        <v>02384000</v>
      </c>
      <c r="C256" t="str">
        <f t="shared" si="50"/>
        <v>02384007</v>
      </c>
      <c r="D256" t="str">
        <f t="shared" si="51"/>
        <v>809</v>
      </c>
      <c r="E256" t="str">
        <f>"89301292"</f>
        <v>89301292</v>
      </c>
      <c r="F256" t="str">
        <f>"7561115408"</f>
        <v>7561115408</v>
      </c>
      <c r="G256" s="1">
        <v>44585</v>
      </c>
      <c r="H256" t="str">
        <f>"89514"</f>
        <v>89514</v>
      </c>
      <c r="I256">
        <v>1</v>
      </c>
      <c r="J256">
        <v>371</v>
      </c>
      <c r="K256">
        <v>0</v>
      </c>
      <c r="L256">
        <v>519.4</v>
      </c>
    </row>
    <row r="257" spans="1:12" x14ac:dyDescent="0.25">
      <c r="A257" t="str">
        <f t="shared" si="39"/>
        <v>89301000</v>
      </c>
      <c r="B257" t="str">
        <f t="shared" si="49"/>
        <v>02384000</v>
      </c>
      <c r="C257" t="str">
        <f t="shared" si="50"/>
        <v>02384007</v>
      </c>
      <c r="D257" t="str">
        <f t="shared" si="51"/>
        <v>809</v>
      </c>
      <c r="E257" t="str">
        <f>"89301215"</f>
        <v>89301215</v>
      </c>
      <c r="F257" t="str">
        <f>"8057285335"</f>
        <v>8057285335</v>
      </c>
      <c r="G257" s="1">
        <v>44581</v>
      </c>
      <c r="H257" t="str">
        <f>"89513"</f>
        <v>89513</v>
      </c>
      <c r="I257">
        <v>1</v>
      </c>
      <c r="J257">
        <v>371</v>
      </c>
      <c r="K257">
        <v>0</v>
      </c>
      <c r="L257">
        <v>519.4</v>
      </c>
    </row>
    <row r="258" spans="1:12" x14ac:dyDescent="0.25">
      <c r="A258" t="str">
        <f t="shared" ref="A258:A321" si="52">"89301000"</f>
        <v>89301000</v>
      </c>
      <c r="B258" t="str">
        <f t="shared" si="49"/>
        <v>02384000</v>
      </c>
      <c r="C258" t="str">
        <f t="shared" si="50"/>
        <v>02384007</v>
      </c>
      <c r="D258" t="str">
        <f t="shared" si="51"/>
        <v>809</v>
      </c>
      <c r="E258" t="str">
        <f>"89301215"</f>
        <v>89301215</v>
      </c>
      <c r="F258" t="str">
        <f>"8057285335"</f>
        <v>8057285335</v>
      </c>
      <c r="G258" s="1">
        <v>44581</v>
      </c>
      <c r="H258" t="str">
        <f>"89514"</f>
        <v>89514</v>
      </c>
      <c r="I258">
        <v>1</v>
      </c>
      <c r="J258">
        <v>371</v>
      </c>
      <c r="K258">
        <v>0</v>
      </c>
      <c r="L258">
        <v>519.4</v>
      </c>
    </row>
    <row r="259" spans="1:12" x14ac:dyDescent="0.25">
      <c r="A259" t="str">
        <f t="shared" si="52"/>
        <v>89301000</v>
      </c>
      <c r="B259" t="str">
        <f>"89511000"</f>
        <v>89511000</v>
      </c>
      <c r="C259" t="str">
        <f>"89511001"</f>
        <v>89511001</v>
      </c>
      <c r="D259" t="str">
        <f t="shared" si="51"/>
        <v>809</v>
      </c>
      <c r="E259" t="str">
        <f>"89301112"</f>
        <v>89301112</v>
      </c>
      <c r="F259" t="str">
        <f>"8855265826"</f>
        <v>8855265826</v>
      </c>
      <c r="G259" s="1">
        <v>44572</v>
      </c>
      <c r="H259" t="str">
        <f>"89123"</f>
        <v>89123</v>
      </c>
      <c r="I259">
        <v>2</v>
      </c>
      <c r="J259">
        <v>278</v>
      </c>
      <c r="K259">
        <v>0</v>
      </c>
      <c r="L259">
        <v>389.2</v>
      </c>
    </row>
    <row r="260" spans="1:12" x14ac:dyDescent="0.25">
      <c r="A260" t="str">
        <f t="shared" si="52"/>
        <v>89301000</v>
      </c>
      <c r="B260" t="str">
        <f>"89511000"</f>
        <v>89511000</v>
      </c>
      <c r="C260" t="str">
        <f>"89511001"</f>
        <v>89511001</v>
      </c>
      <c r="D260" t="str">
        <f t="shared" si="51"/>
        <v>809</v>
      </c>
      <c r="E260" t="str">
        <f>"89301172"</f>
        <v>89301172</v>
      </c>
      <c r="F260" t="str">
        <f>"6858101239"</f>
        <v>6858101239</v>
      </c>
      <c r="G260" s="1">
        <v>44592</v>
      </c>
      <c r="H260" t="str">
        <f>"89131"</f>
        <v>89131</v>
      </c>
      <c r="I260">
        <v>2</v>
      </c>
      <c r="J260">
        <v>374</v>
      </c>
      <c r="K260">
        <v>0</v>
      </c>
      <c r="L260">
        <v>523.6</v>
      </c>
    </row>
    <row r="261" spans="1:12" x14ac:dyDescent="0.25">
      <c r="A261" t="str">
        <f t="shared" si="52"/>
        <v>89301000</v>
      </c>
      <c r="B261" t="str">
        <f>"89511000"</f>
        <v>89511000</v>
      </c>
      <c r="C261" t="str">
        <f>"89511001"</f>
        <v>89511001</v>
      </c>
      <c r="D261" t="str">
        <f t="shared" si="51"/>
        <v>809</v>
      </c>
      <c r="E261" t="str">
        <f>"89301172"</f>
        <v>89301172</v>
      </c>
      <c r="F261" t="str">
        <f>"6858101239"</f>
        <v>6858101239</v>
      </c>
      <c r="G261" s="1">
        <v>44592</v>
      </c>
      <c r="H261" t="str">
        <f>"89513"</f>
        <v>89513</v>
      </c>
      <c r="I261">
        <v>1</v>
      </c>
      <c r="J261">
        <v>371</v>
      </c>
      <c r="K261">
        <v>0</v>
      </c>
      <c r="L261">
        <v>519.4</v>
      </c>
    </row>
    <row r="262" spans="1:12" x14ac:dyDescent="0.25">
      <c r="A262" t="str">
        <f t="shared" si="52"/>
        <v>89301000</v>
      </c>
      <c r="B262" t="str">
        <f>"89511000"</f>
        <v>89511000</v>
      </c>
      <c r="C262" t="str">
        <f>"89511001"</f>
        <v>89511001</v>
      </c>
      <c r="D262" t="str">
        <f t="shared" si="51"/>
        <v>809</v>
      </c>
      <c r="E262" t="str">
        <f>"89301172"</f>
        <v>89301172</v>
      </c>
      <c r="F262" t="str">
        <f>"6858101239"</f>
        <v>6858101239</v>
      </c>
      <c r="G262" s="1">
        <v>44592</v>
      </c>
      <c r="H262" t="str">
        <f>"89514"</f>
        <v>89514</v>
      </c>
      <c r="I262">
        <v>1</v>
      </c>
      <c r="J262">
        <v>371</v>
      </c>
      <c r="K262">
        <v>0</v>
      </c>
      <c r="L262">
        <v>519.4</v>
      </c>
    </row>
    <row r="263" spans="1:12" x14ac:dyDescent="0.25">
      <c r="A263" t="str">
        <f t="shared" si="52"/>
        <v>89301000</v>
      </c>
      <c r="B263" t="str">
        <f>"86988400"</f>
        <v>86988400</v>
      </c>
      <c r="C263" t="str">
        <f>"86988401"</f>
        <v>86988401</v>
      </c>
      <c r="D263" t="str">
        <f t="shared" si="51"/>
        <v>809</v>
      </c>
      <c r="E263" t="str">
        <f>"89301062"</f>
        <v>89301062</v>
      </c>
      <c r="F263" t="str">
        <f>"7812174964"</f>
        <v>7812174964</v>
      </c>
      <c r="G263" s="1">
        <v>44565</v>
      </c>
      <c r="H263" t="str">
        <f>"89713"</f>
        <v>89713</v>
      </c>
      <c r="I263">
        <v>1</v>
      </c>
      <c r="J263">
        <v>5362</v>
      </c>
      <c r="K263">
        <v>0</v>
      </c>
      <c r="L263">
        <v>3217.2</v>
      </c>
    </row>
    <row r="264" spans="1:12" x14ac:dyDescent="0.25">
      <c r="A264" t="str">
        <f t="shared" si="52"/>
        <v>89301000</v>
      </c>
      <c r="B264" t="str">
        <f>"86988400"</f>
        <v>86988400</v>
      </c>
      <c r="C264" t="str">
        <f>"86988401"</f>
        <v>86988401</v>
      </c>
      <c r="D264" t="str">
        <f t="shared" si="51"/>
        <v>809</v>
      </c>
      <c r="E264" t="str">
        <f>"89301062"</f>
        <v>89301062</v>
      </c>
      <c r="F264" t="str">
        <f>"7812174964"</f>
        <v>7812174964</v>
      </c>
      <c r="G264" s="1">
        <v>44565</v>
      </c>
      <c r="H264" t="str">
        <f>"89725"</f>
        <v>89725</v>
      </c>
      <c r="I264">
        <v>1</v>
      </c>
      <c r="J264">
        <v>2839</v>
      </c>
      <c r="K264">
        <v>0</v>
      </c>
      <c r="L264">
        <v>1703.4</v>
      </c>
    </row>
    <row r="265" spans="1:12" x14ac:dyDescent="0.25">
      <c r="A265" t="str">
        <f t="shared" si="52"/>
        <v>89301000</v>
      </c>
      <c r="B265" t="str">
        <f>"86988400"</f>
        <v>86988400</v>
      </c>
      <c r="C265" t="str">
        <f>"86988401"</f>
        <v>86988401</v>
      </c>
      <c r="D265" t="str">
        <f t="shared" si="51"/>
        <v>809</v>
      </c>
      <c r="E265" t="str">
        <f>"89301062"</f>
        <v>89301062</v>
      </c>
      <c r="F265" t="str">
        <f>"7812174964"</f>
        <v>7812174964</v>
      </c>
      <c r="G265" s="1">
        <v>44565</v>
      </c>
      <c r="H265" t="str">
        <f>"0054253"</f>
        <v>0054253</v>
      </c>
      <c r="I265">
        <v>1</v>
      </c>
      <c r="K265">
        <v>843.46</v>
      </c>
      <c r="L265">
        <v>843.46</v>
      </c>
    </row>
    <row r="266" spans="1:12" x14ac:dyDescent="0.25">
      <c r="A266" t="str">
        <f t="shared" si="52"/>
        <v>89301000</v>
      </c>
      <c r="B266" t="str">
        <f>"93507000"</f>
        <v>93507000</v>
      </c>
      <c r="C266" t="str">
        <f>"93507001"</f>
        <v>93507001</v>
      </c>
      <c r="D266" t="str">
        <f t="shared" si="51"/>
        <v>809</v>
      </c>
      <c r="E266" t="str">
        <f>"89301215"</f>
        <v>89301215</v>
      </c>
      <c r="F266" t="str">
        <f>"475822490"</f>
        <v>475822490</v>
      </c>
      <c r="G266" s="1">
        <v>44581</v>
      </c>
      <c r="H266" t="str">
        <f>"89513"</f>
        <v>89513</v>
      </c>
      <c r="I266">
        <v>1</v>
      </c>
      <c r="J266">
        <v>371</v>
      </c>
      <c r="K266">
        <v>0</v>
      </c>
      <c r="L266">
        <v>519.4</v>
      </c>
    </row>
    <row r="267" spans="1:12" x14ac:dyDescent="0.25">
      <c r="A267" t="str">
        <f t="shared" si="52"/>
        <v>89301000</v>
      </c>
      <c r="B267" t="str">
        <f>"93507000"</f>
        <v>93507000</v>
      </c>
      <c r="C267" t="str">
        <f>"93507001"</f>
        <v>93507001</v>
      </c>
      <c r="D267" t="str">
        <f t="shared" si="51"/>
        <v>809</v>
      </c>
      <c r="E267" t="str">
        <f>"89301215"</f>
        <v>89301215</v>
      </c>
      <c r="F267" t="str">
        <f>"475822490"</f>
        <v>475822490</v>
      </c>
      <c r="G267" s="1">
        <v>44581</v>
      </c>
      <c r="H267" t="str">
        <f>"89514"</f>
        <v>89514</v>
      </c>
      <c r="I267">
        <v>1</v>
      </c>
      <c r="J267">
        <v>371</v>
      </c>
      <c r="K267">
        <v>0</v>
      </c>
      <c r="L267">
        <v>519.4</v>
      </c>
    </row>
    <row r="268" spans="1:12" x14ac:dyDescent="0.25">
      <c r="A268" t="str">
        <f t="shared" si="52"/>
        <v>89301000</v>
      </c>
      <c r="B268" t="str">
        <f t="shared" ref="B268:B283" si="53">"95202000"</f>
        <v>95202000</v>
      </c>
      <c r="C268" t="str">
        <f t="shared" ref="C268:C283" si="54">"95202511"</f>
        <v>95202511</v>
      </c>
      <c r="D268" t="str">
        <f t="shared" si="51"/>
        <v>809</v>
      </c>
      <c r="E268" t="str">
        <f>"89301215"</f>
        <v>89301215</v>
      </c>
      <c r="F268" t="str">
        <f>"6956275106"</f>
        <v>6956275106</v>
      </c>
      <c r="G268" s="1">
        <v>44572</v>
      </c>
      <c r="H268" t="str">
        <f>"89513"</f>
        <v>89513</v>
      </c>
      <c r="I268">
        <v>1</v>
      </c>
      <c r="J268">
        <v>371</v>
      </c>
      <c r="K268">
        <v>0</v>
      </c>
      <c r="L268">
        <v>519.4</v>
      </c>
    </row>
    <row r="269" spans="1:12" x14ac:dyDescent="0.25">
      <c r="A269" t="str">
        <f t="shared" si="52"/>
        <v>89301000</v>
      </c>
      <c r="B269" t="str">
        <f t="shared" si="53"/>
        <v>95202000</v>
      </c>
      <c r="C269" t="str">
        <f t="shared" si="54"/>
        <v>95202511</v>
      </c>
      <c r="D269" t="str">
        <f t="shared" si="51"/>
        <v>809</v>
      </c>
      <c r="E269" t="str">
        <f>"89301215"</f>
        <v>89301215</v>
      </c>
      <c r="F269" t="str">
        <f>"6956275106"</f>
        <v>6956275106</v>
      </c>
      <c r="G269" s="1">
        <v>44572</v>
      </c>
      <c r="H269" t="str">
        <f>"89514"</f>
        <v>89514</v>
      </c>
      <c r="I269">
        <v>1</v>
      </c>
      <c r="J269">
        <v>371</v>
      </c>
      <c r="K269">
        <v>0</v>
      </c>
      <c r="L269">
        <v>519.4</v>
      </c>
    </row>
    <row r="270" spans="1:12" x14ac:dyDescent="0.25">
      <c r="A270" t="str">
        <f t="shared" si="52"/>
        <v>89301000</v>
      </c>
      <c r="B270" t="str">
        <f t="shared" si="53"/>
        <v>95202000</v>
      </c>
      <c r="C270" t="str">
        <f t="shared" si="54"/>
        <v>95202511</v>
      </c>
      <c r="D270" t="str">
        <f t="shared" si="51"/>
        <v>809</v>
      </c>
      <c r="E270" t="str">
        <f t="shared" ref="E270:E276" si="55">"89301322"</f>
        <v>89301322</v>
      </c>
      <c r="F270" t="str">
        <f t="shared" ref="F270:F276" si="56">"440704425"</f>
        <v>440704425</v>
      </c>
      <c r="G270" s="1">
        <v>44589</v>
      </c>
      <c r="H270" t="str">
        <f>"89513"</f>
        <v>89513</v>
      </c>
      <c r="I270">
        <v>1</v>
      </c>
      <c r="J270">
        <v>371</v>
      </c>
      <c r="K270">
        <v>0</v>
      </c>
      <c r="L270">
        <v>519.4</v>
      </c>
    </row>
    <row r="271" spans="1:12" x14ac:dyDescent="0.25">
      <c r="A271" t="str">
        <f t="shared" si="52"/>
        <v>89301000</v>
      </c>
      <c r="B271" t="str">
        <f t="shared" si="53"/>
        <v>95202000</v>
      </c>
      <c r="C271" t="str">
        <f t="shared" si="54"/>
        <v>95202511</v>
      </c>
      <c r="D271" t="str">
        <f t="shared" si="51"/>
        <v>809</v>
      </c>
      <c r="E271" t="str">
        <f t="shared" si="55"/>
        <v>89301322</v>
      </c>
      <c r="F271" t="str">
        <f t="shared" si="56"/>
        <v>440704425</v>
      </c>
      <c r="G271" s="1">
        <v>44589</v>
      </c>
      <c r="H271" t="str">
        <f>"89514"</f>
        <v>89514</v>
      </c>
      <c r="I271">
        <v>1</v>
      </c>
      <c r="J271">
        <v>371</v>
      </c>
      <c r="K271">
        <v>0</v>
      </c>
      <c r="L271">
        <v>519.4</v>
      </c>
    </row>
    <row r="272" spans="1:12" x14ac:dyDescent="0.25">
      <c r="A272" t="str">
        <f t="shared" si="52"/>
        <v>89301000</v>
      </c>
      <c r="B272" t="str">
        <f t="shared" si="53"/>
        <v>95202000</v>
      </c>
      <c r="C272" t="str">
        <f t="shared" si="54"/>
        <v>95202511</v>
      </c>
      <c r="D272" t="str">
        <f t="shared" si="51"/>
        <v>809</v>
      </c>
      <c r="E272" t="str">
        <f t="shared" si="55"/>
        <v>89301322</v>
      </c>
      <c r="F272" t="str">
        <f t="shared" si="56"/>
        <v>440704425</v>
      </c>
      <c r="G272" s="1">
        <v>44589</v>
      </c>
      <c r="H272" t="str">
        <f>"09135"</f>
        <v>09135</v>
      </c>
      <c r="I272">
        <v>1</v>
      </c>
      <c r="J272">
        <v>174</v>
      </c>
      <c r="K272">
        <v>0</v>
      </c>
      <c r="L272">
        <v>243.6</v>
      </c>
    </row>
    <row r="273" spans="1:12" x14ac:dyDescent="0.25">
      <c r="A273" t="str">
        <f t="shared" si="52"/>
        <v>89301000</v>
      </c>
      <c r="B273" t="str">
        <f t="shared" si="53"/>
        <v>95202000</v>
      </c>
      <c r="C273" t="str">
        <f t="shared" si="54"/>
        <v>95202511</v>
      </c>
      <c r="D273" t="str">
        <f t="shared" si="51"/>
        <v>809</v>
      </c>
      <c r="E273" t="str">
        <f t="shared" si="55"/>
        <v>89301322</v>
      </c>
      <c r="F273" t="str">
        <f t="shared" si="56"/>
        <v>440704425</v>
      </c>
      <c r="G273" s="1">
        <v>44589</v>
      </c>
      <c r="H273" t="str">
        <f>"89517"</f>
        <v>89517</v>
      </c>
      <c r="I273">
        <v>1</v>
      </c>
      <c r="J273">
        <v>970</v>
      </c>
      <c r="K273">
        <v>0</v>
      </c>
      <c r="L273">
        <v>1358</v>
      </c>
    </row>
    <row r="274" spans="1:12" x14ac:dyDescent="0.25">
      <c r="A274" t="str">
        <f t="shared" si="52"/>
        <v>89301000</v>
      </c>
      <c r="B274" t="str">
        <f t="shared" si="53"/>
        <v>95202000</v>
      </c>
      <c r="C274" t="str">
        <f t="shared" si="54"/>
        <v>95202511</v>
      </c>
      <c r="D274" t="str">
        <f t="shared" si="51"/>
        <v>809</v>
      </c>
      <c r="E274" t="str">
        <f t="shared" si="55"/>
        <v>89301322</v>
      </c>
      <c r="F274" t="str">
        <f t="shared" si="56"/>
        <v>440704425</v>
      </c>
      <c r="G274" s="1">
        <v>44589</v>
      </c>
      <c r="H274" t="str">
        <f>"09567"</f>
        <v>09567</v>
      </c>
      <c r="I274">
        <v>1</v>
      </c>
      <c r="J274">
        <v>0</v>
      </c>
      <c r="K274">
        <v>0</v>
      </c>
      <c r="L274">
        <v>0</v>
      </c>
    </row>
    <row r="275" spans="1:12" x14ac:dyDescent="0.25">
      <c r="A275" t="str">
        <f t="shared" si="52"/>
        <v>89301000</v>
      </c>
      <c r="B275" t="str">
        <f t="shared" si="53"/>
        <v>95202000</v>
      </c>
      <c r="C275" t="str">
        <f t="shared" si="54"/>
        <v>95202511</v>
      </c>
      <c r="D275" t="str">
        <f t="shared" si="51"/>
        <v>809</v>
      </c>
      <c r="E275" t="str">
        <f t="shared" si="55"/>
        <v>89301322</v>
      </c>
      <c r="F275" t="str">
        <f t="shared" si="56"/>
        <v>440704425</v>
      </c>
      <c r="G275" s="1">
        <v>44589</v>
      </c>
      <c r="H275" t="str">
        <f>"09569"</f>
        <v>09569</v>
      </c>
      <c r="I275">
        <v>1</v>
      </c>
      <c r="J275">
        <v>0</v>
      </c>
      <c r="K275">
        <v>0</v>
      </c>
      <c r="L275">
        <v>0</v>
      </c>
    </row>
    <row r="276" spans="1:12" x14ac:dyDescent="0.25">
      <c r="A276" t="str">
        <f t="shared" si="52"/>
        <v>89301000</v>
      </c>
      <c r="B276" t="str">
        <f t="shared" si="53"/>
        <v>95202000</v>
      </c>
      <c r="C276" t="str">
        <f t="shared" si="54"/>
        <v>95202511</v>
      </c>
      <c r="D276" t="str">
        <f t="shared" si="51"/>
        <v>809</v>
      </c>
      <c r="E276" t="str">
        <f t="shared" si="55"/>
        <v>89301322</v>
      </c>
      <c r="F276" t="str">
        <f t="shared" si="56"/>
        <v>440704425</v>
      </c>
      <c r="G276" s="1">
        <v>44589</v>
      </c>
      <c r="H276" t="str">
        <f>"09572"</f>
        <v>09572</v>
      </c>
      <c r="I276">
        <v>1</v>
      </c>
      <c r="J276">
        <v>0</v>
      </c>
      <c r="K276">
        <v>0</v>
      </c>
      <c r="L276">
        <v>0</v>
      </c>
    </row>
    <row r="277" spans="1:12" x14ac:dyDescent="0.25">
      <c r="A277" t="str">
        <f t="shared" si="52"/>
        <v>89301000</v>
      </c>
      <c r="B277" t="str">
        <f t="shared" si="53"/>
        <v>95202000</v>
      </c>
      <c r="C277" t="str">
        <f t="shared" si="54"/>
        <v>95202511</v>
      </c>
      <c r="D277" t="str">
        <f t="shared" si="51"/>
        <v>809</v>
      </c>
      <c r="E277" t="str">
        <f t="shared" ref="E277:E283" si="57">"89301215"</f>
        <v>89301215</v>
      </c>
      <c r="F277" t="str">
        <f t="shared" ref="F277:F283" si="58">"505418071"</f>
        <v>505418071</v>
      </c>
      <c r="G277" s="1">
        <v>44575</v>
      </c>
      <c r="H277" t="str">
        <f>"89611"</f>
        <v>89611</v>
      </c>
      <c r="I277">
        <v>1</v>
      </c>
      <c r="J277">
        <v>2241</v>
      </c>
      <c r="K277">
        <v>0</v>
      </c>
      <c r="L277">
        <v>1344.6</v>
      </c>
    </row>
    <row r="278" spans="1:12" x14ac:dyDescent="0.25">
      <c r="A278" t="str">
        <f t="shared" si="52"/>
        <v>89301000</v>
      </c>
      <c r="B278" t="str">
        <f t="shared" si="53"/>
        <v>95202000</v>
      </c>
      <c r="C278" t="str">
        <f t="shared" si="54"/>
        <v>95202511</v>
      </c>
      <c r="D278" t="str">
        <f t="shared" si="51"/>
        <v>809</v>
      </c>
      <c r="E278" t="str">
        <f t="shared" si="57"/>
        <v>89301215</v>
      </c>
      <c r="F278" t="str">
        <f t="shared" si="58"/>
        <v>505418071</v>
      </c>
      <c r="G278" s="1">
        <v>44575</v>
      </c>
      <c r="H278" t="str">
        <f>"0022077"</f>
        <v>0022077</v>
      </c>
      <c r="I278">
        <v>0.2</v>
      </c>
      <c r="K278">
        <v>401.93</v>
      </c>
      <c r="L278">
        <v>401.93</v>
      </c>
    </row>
    <row r="279" spans="1:12" x14ac:dyDescent="0.25">
      <c r="A279" t="str">
        <f t="shared" si="52"/>
        <v>89301000</v>
      </c>
      <c r="B279" t="str">
        <f t="shared" si="53"/>
        <v>95202000</v>
      </c>
      <c r="C279" t="str">
        <f t="shared" si="54"/>
        <v>95202511</v>
      </c>
      <c r="D279" t="str">
        <f t="shared" si="51"/>
        <v>809</v>
      </c>
      <c r="E279" t="str">
        <f t="shared" si="57"/>
        <v>89301215</v>
      </c>
      <c r="F279" t="str">
        <f t="shared" si="58"/>
        <v>505418071</v>
      </c>
      <c r="G279" s="1">
        <v>44578</v>
      </c>
      <c r="H279" t="str">
        <f>"89611"</f>
        <v>89611</v>
      </c>
      <c r="I279">
        <v>1</v>
      </c>
      <c r="J279">
        <v>2241</v>
      </c>
      <c r="K279">
        <v>0</v>
      </c>
      <c r="L279">
        <v>1344.6</v>
      </c>
    </row>
    <row r="280" spans="1:12" x14ac:dyDescent="0.25">
      <c r="A280" t="str">
        <f t="shared" si="52"/>
        <v>89301000</v>
      </c>
      <c r="B280" t="str">
        <f t="shared" si="53"/>
        <v>95202000</v>
      </c>
      <c r="C280" t="str">
        <f t="shared" si="54"/>
        <v>95202511</v>
      </c>
      <c r="D280" t="str">
        <f t="shared" si="51"/>
        <v>809</v>
      </c>
      <c r="E280" t="str">
        <f t="shared" si="57"/>
        <v>89301215</v>
      </c>
      <c r="F280" t="str">
        <f t="shared" si="58"/>
        <v>505418071</v>
      </c>
      <c r="G280" s="1">
        <v>44578</v>
      </c>
      <c r="H280" t="str">
        <f>"09572"</f>
        <v>09572</v>
      </c>
      <c r="I280">
        <v>1</v>
      </c>
      <c r="J280">
        <v>0</v>
      </c>
      <c r="K280">
        <v>0</v>
      </c>
      <c r="L280">
        <v>0</v>
      </c>
    </row>
    <row r="281" spans="1:12" x14ac:dyDescent="0.25">
      <c r="A281" t="str">
        <f t="shared" si="52"/>
        <v>89301000</v>
      </c>
      <c r="B281" t="str">
        <f t="shared" si="53"/>
        <v>95202000</v>
      </c>
      <c r="C281" t="str">
        <f t="shared" si="54"/>
        <v>95202511</v>
      </c>
      <c r="D281" t="str">
        <f t="shared" si="51"/>
        <v>809</v>
      </c>
      <c r="E281" t="str">
        <f t="shared" si="57"/>
        <v>89301215</v>
      </c>
      <c r="F281" t="str">
        <f t="shared" si="58"/>
        <v>505418071</v>
      </c>
      <c r="G281" s="1">
        <v>44578</v>
      </c>
      <c r="H281" t="str">
        <f>"0022077"</f>
        <v>0022077</v>
      </c>
      <c r="I281">
        <v>0.4</v>
      </c>
      <c r="K281">
        <v>803.86</v>
      </c>
      <c r="L281">
        <v>803.86</v>
      </c>
    </row>
    <row r="282" spans="1:12" x14ac:dyDescent="0.25">
      <c r="A282" t="str">
        <f t="shared" si="52"/>
        <v>89301000</v>
      </c>
      <c r="B282" t="str">
        <f t="shared" si="53"/>
        <v>95202000</v>
      </c>
      <c r="C282" t="str">
        <f t="shared" si="54"/>
        <v>95202511</v>
      </c>
      <c r="D282" t="str">
        <f t="shared" si="51"/>
        <v>809</v>
      </c>
      <c r="E282" t="str">
        <f t="shared" si="57"/>
        <v>89301215</v>
      </c>
      <c r="F282" t="str">
        <f t="shared" si="58"/>
        <v>505418071</v>
      </c>
      <c r="G282" s="1">
        <v>44581</v>
      </c>
      <c r="H282" t="str">
        <f>"89611"</f>
        <v>89611</v>
      </c>
      <c r="I282">
        <v>2</v>
      </c>
      <c r="J282">
        <v>4482</v>
      </c>
      <c r="K282">
        <v>0</v>
      </c>
      <c r="L282">
        <v>2689.2</v>
      </c>
    </row>
    <row r="283" spans="1:12" x14ac:dyDescent="0.25">
      <c r="A283" t="str">
        <f t="shared" si="52"/>
        <v>89301000</v>
      </c>
      <c r="B283" t="str">
        <f t="shared" si="53"/>
        <v>95202000</v>
      </c>
      <c r="C283" t="str">
        <f t="shared" si="54"/>
        <v>95202511</v>
      </c>
      <c r="D283" t="str">
        <f t="shared" si="51"/>
        <v>809</v>
      </c>
      <c r="E283" t="str">
        <f t="shared" si="57"/>
        <v>89301215</v>
      </c>
      <c r="F283" t="str">
        <f t="shared" si="58"/>
        <v>505418071</v>
      </c>
      <c r="G283" s="1">
        <v>44581</v>
      </c>
      <c r="H283" t="str">
        <f>"0022077"</f>
        <v>0022077</v>
      </c>
      <c r="I283">
        <v>0.5</v>
      </c>
      <c r="K283">
        <v>1004.83</v>
      </c>
      <c r="L283">
        <v>1004.83</v>
      </c>
    </row>
    <row r="284" spans="1:12" x14ac:dyDescent="0.25">
      <c r="A284" t="str">
        <f t="shared" si="52"/>
        <v>89301000</v>
      </c>
      <c r="B284" t="str">
        <f t="shared" ref="B284:B296" si="59">"88805000"</f>
        <v>88805000</v>
      </c>
      <c r="C284" t="str">
        <f>"88805001"</f>
        <v>88805001</v>
      </c>
      <c r="D284" t="str">
        <f>"801"</f>
        <v>801</v>
      </c>
      <c r="E284" t="str">
        <f>"89301702"</f>
        <v>89301702</v>
      </c>
      <c r="F284" t="str">
        <f>"1753210096"</f>
        <v>1753210096</v>
      </c>
      <c r="G284" s="1">
        <v>44586</v>
      </c>
      <c r="H284" t="str">
        <f>"81631"</f>
        <v>81631</v>
      </c>
      <c r="I284">
        <v>1</v>
      </c>
      <c r="J284">
        <v>294</v>
      </c>
      <c r="K284">
        <v>0</v>
      </c>
      <c r="L284">
        <v>229.32</v>
      </c>
    </row>
    <row r="285" spans="1:12" x14ac:dyDescent="0.25">
      <c r="A285" t="str">
        <f t="shared" si="52"/>
        <v>89301000</v>
      </c>
      <c r="B285" t="str">
        <f t="shared" si="59"/>
        <v>88805000</v>
      </c>
      <c r="C285" t="str">
        <f>"88805001"</f>
        <v>88805001</v>
      </c>
      <c r="D285" t="str">
        <f>"801"</f>
        <v>801</v>
      </c>
      <c r="E285" t="str">
        <f>"89301702"</f>
        <v>89301702</v>
      </c>
      <c r="F285" t="str">
        <f>"1753210096"</f>
        <v>1753210096</v>
      </c>
      <c r="G285" s="1">
        <v>44586</v>
      </c>
      <c r="H285" t="str">
        <f>"92143"</f>
        <v>92143</v>
      </c>
      <c r="I285">
        <v>1</v>
      </c>
      <c r="J285">
        <v>1748</v>
      </c>
      <c r="K285">
        <v>0</v>
      </c>
      <c r="L285">
        <v>1363.44</v>
      </c>
    </row>
    <row r="286" spans="1:12" x14ac:dyDescent="0.25">
      <c r="A286" t="str">
        <f t="shared" si="52"/>
        <v>89301000</v>
      </c>
      <c r="B286" t="str">
        <f t="shared" si="59"/>
        <v>88805000</v>
      </c>
      <c r="C286" t="str">
        <f>"88805001"</f>
        <v>88805001</v>
      </c>
      <c r="D286" t="str">
        <f>"801"</f>
        <v>801</v>
      </c>
      <c r="E286" t="str">
        <f>"89301202"</f>
        <v>89301202</v>
      </c>
      <c r="F286" t="str">
        <f>"535910315"</f>
        <v>535910315</v>
      </c>
      <c r="G286" s="1">
        <v>44586</v>
      </c>
      <c r="H286" t="str">
        <f>"81643"</f>
        <v>81643</v>
      </c>
      <c r="I286">
        <v>1</v>
      </c>
      <c r="J286">
        <v>104</v>
      </c>
      <c r="K286">
        <v>0</v>
      </c>
      <c r="L286">
        <v>81.12</v>
      </c>
    </row>
    <row r="287" spans="1:12" x14ac:dyDescent="0.25">
      <c r="A287" t="str">
        <f t="shared" si="52"/>
        <v>89301000</v>
      </c>
      <c r="B287" t="str">
        <f t="shared" si="59"/>
        <v>88805000</v>
      </c>
      <c r="C287" t="str">
        <f t="shared" ref="C287:C295" si="60">"88805014"</f>
        <v>88805014</v>
      </c>
      <c r="D287" t="str">
        <f t="shared" ref="D287:D295" si="61">"816"</f>
        <v>816</v>
      </c>
      <c r="E287" t="str">
        <f t="shared" ref="E287:E295" si="62">"89301282"</f>
        <v>89301282</v>
      </c>
      <c r="F287" t="str">
        <f>"6555100167"</f>
        <v>6555100167</v>
      </c>
      <c r="G287" s="1">
        <v>44572</v>
      </c>
      <c r="H287" t="str">
        <f>"94948"</f>
        <v>94948</v>
      </c>
      <c r="I287">
        <v>1</v>
      </c>
      <c r="J287">
        <v>0</v>
      </c>
      <c r="K287">
        <v>0</v>
      </c>
      <c r="L287">
        <v>0</v>
      </c>
    </row>
    <row r="288" spans="1:12" x14ac:dyDescent="0.25">
      <c r="A288" t="str">
        <f t="shared" si="52"/>
        <v>89301000</v>
      </c>
      <c r="B288" t="str">
        <f t="shared" si="59"/>
        <v>88805000</v>
      </c>
      <c r="C288" t="str">
        <f t="shared" si="60"/>
        <v>88805014</v>
      </c>
      <c r="D288" t="str">
        <f t="shared" si="61"/>
        <v>816</v>
      </c>
      <c r="E288" t="str">
        <f t="shared" si="62"/>
        <v>89301282</v>
      </c>
      <c r="F288" t="str">
        <f>"6555100167"</f>
        <v>6555100167</v>
      </c>
      <c r="G288" s="1">
        <v>44572</v>
      </c>
      <c r="H288" t="str">
        <f>"94982"</f>
        <v>94982</v>
      </c>
      <c r="I288">
        <v>1</v>
      </c>
      <c r="J288">
        <v>0</v>
      </c>
      <c r="K288">
        <v>27500</v>
      </c>
      <c r="L288">
        <v>27500</v>
      </c>
    </row>
    <row r="289" spans="1:12" x14ac:dyDescent="0.25">
      <c r="A289" t="str">
        <f t="shared" si="52"/>
        <v>89301000</v>
      </c>
      <c r="B289" t="str">
        <f t="shared" si="59"/>
        <v>88805000</v>
      </c>
      <c r="C289" t="str">
        <f t="shared" si="60"/>
        <v>88805014</v>
      </c>
      <c r="D289" t="str">
        <f t="shared" si="61"/>
        <v>816</v>
      </c>
      <c r="E289" t="str">
        <f t="shared" si="62"/>
        <v>89301282</v>
      </c>
      <c r="F289" t="str">
        <f>"6555100167"</f>
        <v>6555100167</v>
      </c>
      <c r="G289" s="1">
        <v>44572</v>
      </c>
      <c r="H289" t="str">
        <f>"94996"</f>
        <v>94996</v>
      </c>
      <c r="I289">
        <v>1</v>
      </c>
      <c r="J289">
        <v>0</v>
      </c>
      <c r="K289">
        <v>0</v>
      </c>
      <c r="L289">
        <v>0</v>
      </c>
    </row>
    <row r="290" spans="1:12" x14ac:dyDescent="0.25">
      <c r="A290" t="str">
        <f t="shared" si="52"/>
        <v>89301000</v>
      </c>
      <c r="B290" t="str">
        <f t="shared" si="59"/>
        <v>88805000</v>
      </c>
      <c r="C290" t="str">
        <f t="shared" si="60"/>
        <v>88805014</v>
      </c>
      <c r="D290" t="str">
        <f t="shared" si="61"/>
        <v>816</v>
      </c>
      <c r="E290" t="str">
        <f t="shared" si="62"/>
        <v>89301282</v>
      </c>
      <c r="F290" t="str">
        <f>"7408075169"</f>
        <v>7408075169</v>
      </c>
      <c r="G290" s="1">
        <v>44589</v>
      </c>
      <c r="H290" t="str">
        <f>"94983"</f>
        <v>94983</v>
      </c>
      <c r="I290">
        <v>1</v>
      </c>
      <c r="J290">
        <v>0</v>
      </c>
      <c r="K290">
        <v>39600</v>
      </c>
      <c r="L290">
        <v>39600</v>
      </c>
    </row>
    <row r="291" spans="1:12" x14ac:dyDescent="0.25">
      <c r="A291" t="str">
        <f t="shared" si="52"/>
        <v>89301000</v>
      </c>
      <c r="B291" t="str">
        <f t="shared" si="59"/>
        <v>88805000</v>
      </c>
      <c r="C291" t="str">
        <f t="shared" si="60"/>
        <v>88805014</v>
      </c>
      <c r="D291" t="str">
        <f t="shared" si="61"/>
        <v>816</v>
      </c>
      <c r="E291" t="str">
        <f t="shared" si="62"/>
        <v>89301282</v>
      </c>
      <c r="F291" t="str">
        <f>"7408075169"</f>
        <v>7408075169</v>
      </c>
      <c r="G291" s="1">
        <v>44589</v>
      </c>
      <c r="H291" t="str">
        <f>"94996"</f>
        <v>94996</v>
      </c>
      <c r="I291">
        <v>1</v>
      </c>
      <c r="J291">
        <v>0</v>
      </c>
      <c r="K291">
        <v>0</v>
      </c>
      <c r="L291">
        <v>0</v>
      </c>
    </row>
    <row r="292" spans="1:12" x14ac:dyDescent="0.25">
      <c r="A292" t="str">
        <f t="shared" si="52"/>
        <v>89301000</v>
      </c>
      <c r="B292" t="str">
        <f t="shared" si="59"/>
        <v>88805000</v>
      </c>
      <c r="C292" t="str">
        <f t="shared" si="60"/>
        <v>88805014</v>
      </c>
      <c r="D292" t="str">
        <f t="shared" si="61"/>
        <v>816</v>
      </c>
      <c r="E292" t="str">
        <f t="shared" si="62"/>
        <v>89301282</v>
      </c>
      <c r="F292" t="str">
        <f>"5707062141"</f>
        <v>5707062141</v>
      </c>
      <c r="G292" s="1">
        <v>44588</v>
      </c>
      <c r="H292" t="str">
        <f>"94983"</f>
        <v>94983</v>
      </c>
      <c r="I292">
        <v>1</v>
      </c>
      <c r="J292">
        <v>0</v>
      </c>
      <c r="K292">
        <v>39600</v>
      </c>
      <c r="L292">
        <v>39600</v>
      </c>
    </row>
    <row r="293" spans="1:12" x14ac:dyDescent="0.25">
      <c r="A293" t="str">
        <f t="shared" si="52"/>
        <v>89301000</v>
      </c>
      <c r="B293" t="str">
        <f t="shared" si="59"/>
        <v>88805000</v>
      </c>
      <c r="C293" t="str">
        <f t="shared" si="60"/>
        <v>88805014</v>
      </c>
      <c r="D293" t="str">
        <f t="shared" si="61"/>
        <v>816</v>
      </c>
      <c r="E293" t="str">
        <f t="shared" si="62"/>
        <v>89301282</v>
      </c>
      <c r="F293" t="str">
        <f>"5707062141"</f>
        <v>5707062141</v>
      </c>
      <c r="G293" s="1">
        <v>44588</v>
      </c>
      <c r="H293" t="str">
        <f>"94996"</f>
        <v>94996</v>
      </c>
      <c r="I293">
        <v>1</v>
      </c>
      <c r="J293">
        <v>0</v>
      </c>
      <c r="K293">
        <v>0</v>
      </c>
      <c r="L293">
        <v>0</v>
      </c>
    </row>
    <row r="294" spans="1:12" x14ac:dyDescent="0.25">
      <c r="A294" t="str">
        <f t="shared" si="52"/>
        <v>89301000</v>
      </c>
      <c r="B294" t="str">
        <f t="shared" si="59"/>
        <v>88805000</v>
      </c>
      <c r="C294" t="str">
        <f t="shared" si="60"/>
        <v>88805014</v>
      </c>
      <c r="D294" t="str">
        <f t="shared" si="61"/>
        <v>816</v>
      </c>
      <c r="E294" t="str">
        <f t="shared" si="62"/>
        <v>89301282</v>
      </c>
      <c r="F294" t="str">
        <f>"9660045714"</f>
        <v>9660045714</v>
      </c>
      <c r="G294" s="1">
        <v>44572</v>
      </c>
      <c r="H294" t="str">
        <f>"94983"</f>
        <v>94983</v>
      </c>
      <c r="I294">
        <v>1</v>
      </c>
      <c r="J294">
        <v>0</v>
      </c>
      <c r="K294">
        <v>39600</v>
      </c>
      <c r="L294">
        <v>39600</v>
      </c>
    </row>
    <row r="295" spans="1:12" x14ac:dyDescent="0.25">
      <c r="A295" t="str">
        <f t="shared" si="52"/>
        <v>89301000</v>
      </c>
      <c r="B295" t="str">
        <f t="shared" si="59"/>
        <v>88805000</v>
      </c>
      <c r="C295" t="str">
        <f t="shared" si="60"/>
        <v>88805014</v>
      </c>
      <c r="D295" t="str">
        <f t="shared" si="61"/>
        <v>816</v>
      </c>
      <c r="E295" t="str">
        <f t="shared" si="62"/>
        <v>89301282</v>
      </c>
      <c r="F295" t="str">
        <f>"9660045714"</f>
        <v>9660045714</v>
      </c>
      <c r="G295" s="1">
        <v>44572</v>
      </c>
      <c r="H295" t="str">
        <f>"94996"</f>
        <v>94996</v>
      </c>
      <c r="I295">
        <v>1</v>
      </c>
      <c r="J295">
        <v>0</v>
      </c>
      <c r="K295">
        <v>0</v>
      </c>
      <c r="L295">
        <v>0</v>
      </c>
    </row>
    <row r="296" spans="1:12" x14ac:dyDescent="0.25">
      <c r="A296" t="str">
        <f t="shared" si="52"/>
        <v>89301000</v>
      </c>
      <c r="B296" t="str">
        <f t="shared" si="59"/>
        <v>88805000</v>
      </c>
      <c r="C296" t="str">
        <f>"88805001"</f>
        <v>88805001</v>
      </c>
      <c r="D296" t="str">
        <f>"801"</f>
        <v>801</v>
      </c>
      <c r="E296" t="str">
        <f>"89301202"</f>
        <v>89301202</v>
      </c>
      <c r="F296" t="str">
        <f>"535910315"</f>
        <v>535910315</v>
      </c>
      <c r="G296" s="1">
        <v>44586</v>
      </c>
      <c r="H296" t="str">
        <f>"97111"</f>
        <v>97111</v>
      </c>
      <c r="I296">
        <v>1</v>
      </c>
      <c r="J296">
        <v>18</v>
      </c>
      <c r="K296">
        <v>0</v>
      </c>
      <c r="L296">
        <v>14.04</v>
      </c>
    </row>
    <row r="297" spans="1:12" x14ac:dyDescent="0.25">
      <c r="A297" t="str">
        <f t="shared" si="52"/>
        <v>89301000</v>
      </c>
      <c r="B297" t="str">
        <f>"80001000"</f>
        <v>80001000</v>
      </c>
      <c r="C297" t="str">
        <f>"80001985"</f>
        <v>80001985</v>
      </c>
      <c r="D297" t="str">
        <f>"809"</f>
        <v>809</v>
      </c>
      <c r="E297" t="str">
        <f>"89301042"</f>
        <v>89301042</v>
      </c>
      <c r="F297" t="str">
        <f>"7505204597"</f>
        <v>7505204597</v>
      </c>
      <c r="G297" s="1">
        <v>44565</v>
      </c>
      <c r="H297" t="str">
        <f>"89131"</f>
        <v>89131</v>
      </c>
      <c r="I297">
        <v>1</v>
      </c>
      <c r="J297">
        <v>187</v>
      </c>
      <c r="K297">
        <v>0</v>
      </c>
      <c r="L297">
        <v>261.8</v>
      </c>
    </row>
    <row r="298" spans="1:12" x14ac:dyDescent="0.25">
      <c r="A298" t="str">
        <f t="shared" si="52"/>
        <v>89301000</v>
      </c>
      <c r="B298" t="str">
        <f>"80001000"</f>
        <v>80001000</v>
      </c>
      <c r="C298" t="str">
        <f>"80001985"</f>
        <v>80001985</v>
      </c>
      <c r="D298" t="str">
        <f>"809"</f>
        <v>809</v>
      </c>
      <c r="E298" t="str">
        <f>"89301262"</f>
        <v>89301262</v>
      </c>
      <c r="F298" t="str">
        <f>"510725079"</f>
        <v>510725079</v>
      </c>
      <c r="G298" s="1">
        <v>44568</v>
      </c>
      <c r="H298" t="str">
        <f>"89127"</f>
        <v>89127</v>
      </c>
      <c r="I298">
        <v>2</v>
      </c>
      <c r="J298">
        <v>476</v>
      </c>
      <c r="K298">
        <v>0</v>
      </c>
      <c r="L298">
        <v>666.4</v>
      </c>
    </row>
    <row r="299" spans="1:12" x14ac:dyDescent="0.25">
      <c r="A299" t="str">
        <f t="shared" si="52"/>
        <v>89301000</v>
      </c>
      <c r="B299" t="str">
        <f>"80001000"</f>
        <v>80001000</v>
      </c>
      <c r="C299" t="str">
        <f>"80001985"</f>
        <v>80001985</v>
      </c>
      <c r="D299" t="str">
        <f>"809"</f>
        <v>809</v>
      </c>
      <c r="E299" t="str">
        <f>"89301212"</f>
        <v>89301212</v>
      </c>
      <c r="F299" t="str">
        <f>"5654140294"</f>
        <v>5654140294</v>
      </c>
      <c r="G299" s="1">
        <v>44571</v>
      </c>
      <c r="H299" t="str">
        <f>"89180"</f>
        <v>89180</v>
      </c>
      <c r="I299">
        <v>2</v>
      </c>
      <c r="J299">
        <v>752</v>
      </c>
      <c r="K299">
        <v>0</v>
      </c>
      <c r="L299">
        <v>1052.8</v>
      </c>
    </row>
    <row r="300" spans="1:12" x14ac:dyDescent="0.25">
      <c r="A300" t="str">
        <f t="shared" si="52"/>
        <v>89301000</v>
      </c>
      <c r="B300" t="str">
        <f t="shared" ref="B300:B324" si="63">"93201000"</f>
        <v>93201000</v>
      </c>
      <c r="C300" t="str">
        <f t="shared" ref="C300:C306" si="64">"93201250"</f>
        <v>93201250</v>
      </c>
      <c r="D300" t="str">
        <f t="shared" ref="D300:D306" si="65">"801"</f>
        <v>801</v>
      </c>
      <c r="E300" t="str">
        <f>"89301082"</f>
        <v>89301082</v>
      </c>
      <c r="F300" t="str">
        <f>"8753106208"</f>
        <v>8753106208</v>
      </c>
      <c r="G300" s="1">
        <v>44581</v>
      </c>
      <c r="H300" t="str">
        <f>"97111"</f>
        <v>97111</v>
      </c>
      <c r="I300">
        <v>1</v>
      </c>
      <c r="J300">
        <v>18</v>
      </c>
      <c r="K300">
        <v>0</v>
      </c>
      <c r="L300">
        <v>14.04</v>
      </c>
    </row>
    <row r="301" spans="1:12" x14ac:dyDescent="0.25">
      <c r="A301" t="str">
        <f t="shared" si="52"/>
        <v>89301000</v>
      </c>
      <c r="B301" t="str">
        <f t="shared" si="63"/>
        <v>93201000</v>
      </c>
      <c r="C301" t="str">
        <f t="shared" si="64"/>
        <v>93201250</v>
      </c>
      <c r="D301" t="str">
        <f t="shared" si="65"/>
        <v>801</v>
      </c>
      <c r="E301" t="str">
        <f>"89301082"</f>
        <v>89301082</v>
      </c>
      <c r="F301" t="str">
        <f>"8753106208"</f>
        <v>8753106208</v>
      </c>
      <c r="G301" s="1">
        <v>44581</v>
      </c>
      <c r="H301" t="str">
        <f>"93149"</f>
        <v>93149</v>
      </c>
      <c r="I301">
        <v>1</v>
      </c>
      <c r="J301">
        <v>204</v>
      </c>
      <c r="K301">
        <v>0</v>
      </c>
      <c r="L301">
        <v>159.12</v>
      </c>
    </row>
    <row r="302" spans="1:12" x14ac:dyDescent="0.25">
      <c r="A302" t="str">
        <f t="shared" si="52"/>
        <v>89301000</v>
      </c>
      <c r="B302" t="str">
        <f t="shared" si="63"/>
        <v>93201000</v>
      </c>
      <c r="C302" t="str">
        <f t="shared" si="64"/>
        <v>93201250</v>
      </c>
      <c r="D302" t="str">
        <f t="shared" si="65"/>
        <v>801</v>
      </c>
      <c r="E302" t="str">
        <f>"89301082"</f>
        <v>89301082</v>
      </c>
      <c r="F302" t="str">
        <f>"8753106208"</f>
        <v>8753106208</v>
      </c>
      <c r="G302" s="1">
        <v>44581</v>
      </c>
      <c r="H302" t="str">
        <f>"93129"</f>
        <v>93129</v>
      </c>
      <c r="I302">
        <v>1</v>
      </c>
      <c r="J302">
        <v>168</v>
      </c>
      <c r="K302">
        <v>0</v>
      </c>
      <c r="L302">
        <v>131.04</v>
      </c>
    </row>
    <row r="303" spans="1:12" x14ac:dyDescent="0.25">
      <c r="A303" t="str">
        <f t="shared" si="52"/>
        <v>89301000</v>
      </c>
      <c r="B303" t="str">
        <f t="shared" si="63"/>
        <v>93201000</v>
      </c>
      <c r="C303" t="str">
        <f t="shared" si="64"/>
        <v>93201250</v>
      </c>
      <c r="D303" t="str">
        <f t="shared" si="65"/>
        <v>801</v>
      </c>
      <c r="E303" t="str">
        <f>"89301082"</f>
        <v>89301082</v>
      </c>
      <c r="F303" t="str">
        <f>"8753106208"</f>
        <v>8753106208</v>
      </c>
      <c r="G303" s="1">
        <v>44581</v>
      </c>
      <c r="H303" t="str">
        <f>"93133"</f>
        <v>93133</v>
      </c>
      <c r="I303">
        <v>1</v>
      </c>
      <c r="J303">
        <v>168</v>
      </c>
      <c r="K303">
        <v>0</v>
      </c>
      <c r="L303">
        <v>131.04</v>
      </c>
    </row>
    <row r="304" spans="1:12" x14ac:dyDescent="0.25">
      <c r="A304" t="str">
        <f t="shared" si="52"/>
        <v>89301000</v>
      </c>
      <c r="B304" t="str">
        <f t="shared" si="63"/>
        <v>93201000</v>
      </c>
      <c r="C304" t="str">
        <f t="shared" si="64"/>
        <v>93201250</v>
      </c>
      <c r="D304" t="str">
        <f t="shared" si="65"/>
        <v>801</v>
      </c>
      <c r="E304" t="str">
        <f>"89301082"</f>
        <v>89301082</v>
      </c>
      <c r="F304" t="str">
        <f>"8753106208"</f>
        <v>8753106208</v>
      </c>
      <c r="G304" s="1">
        <v>44581</v>
      </c>
      <c r="H304" t="str">
        <f>"93177"</f>
        <v>93177</v>
      </c>
      <c r="I304">
        <v>1</v>
      </c>
      <c r="J304">
        <v>178</v>
      </c>
      <c r="K304">
        <v>0</v>
      </c>
      <c r="L304">
        <v>138.84</v>
      </c>
    </row>
    <row r="305" spans="1:12" x14ac:dyDescent="0.25">
      <c r="A305" t="str">
        <f t="shared" si="52"/>
        <v>89301000</v>
      </c>
      <c r="B305" t="str">
        <f t="shared" si="63"/>
        <v>93201000</v>
      </c>
      <c r="C305" t="str">
        <f t="shared" si="64"/>
        <v>93201250</v>
      </c>
      <c r="D305" t="str">
        <f t="shared" si="65"/>
        <v>801</v>
      </c>
      <c r="E305" t="str">
        <f>"89301702"</f>
        <v>89301702</v>
      </c>
      <c r="F305" t="str">
        <f>"1256300188"</f>
        <v>1256300188</v>
      </c>
      <c r="G305" s="1">
        <v>44592</v>
      </c>
      <c r="H305" t="str">
        <f>"97111"</f>
        <v>97111</v>
      </c>
      <c r="I305">
        <v>1</v>
      </c>
      <c r="J305">
        <v>18</v>
      </c>
      <c r="K305">
        <v>0</v>
      </c>
      <c r="L305">
        <v>14.04</v>
      </c>
    </row>
    <row r="306" spans="1:12" x14ac:dyDescent="0.25">
      <c r="A306" t="str">
        <f t="shared" si="52"/>
        <v>89301000</v>
      </c>
      <c r="B306" t="str">
        <f t="shared" si="63"/>
        <v>93201000</v>
      </c>
      <c r="C306" t="str">
        <f t="shared" si="64"/>
        <v>93201250</v>
      </c>
      <c r="D306" t="str">
        <f t="shared" si="65"/>
        <v>801</v>
      </c>
      <c r="E306" t="str">
        <f>"89301702"</f>
        <v>89301702</v>
      </c>
      <c r="F306" t="str">
        <f>"1256300188"</f>
        <v>1256300188</v>
      </c>
      <c r="G306" s="1">
        <v>44592</v>
      </c>
      <c r="H306" t="str">
        <f>"91573"</f>
        <v>91573</v>
      </c>
      <c r="I306">
        <v>1</v>
      </c>
      <c r="J306">
        <v>764</v>
      </c>
      <c r="K306">
        <v>0</v>
      </c>
      <c r="L306">
        <v>595.91999999999996</v>
      </c>
    </row>
    <row r="307" spans="1:12" x14ac:dyDescent="0.25">
      <c r="A307" t="str">
        <f t="shared" si="52"/>
        <v>89301000</v>
      </c>
      <c r="B307" t="str">
        <f t="shared" si="63"/>
        <v>93201000</v>
      </c>
      <c r="C307" t="str">
        <f t="shared" ref="C307:C316" si="66">"93201350"</f>
        <v>93201350</v>
      </c>
      <c r="D307" t="str">
        <f t="shared" ref="D307:D316" si="67">"809"</f>
        <v>809</v>
      </c>
      <c r="E307" t="str">
        <f t="shared" ref="E307:E312" si="68">"89301212"</f>
        <v>89301212</v>
      </c>
      <c r="F307" t="str">
        <f>"7253055755"</f>
        <v>7253055755</v>
      </c>
      <c r="G307" s="1">
        <v>44587</v>
      </c>
      <c r="H307" t="str">
        <f>"89513"</f>
        <v>89513</v>
      </c>
      <c r="I307">
        <v>1</v>
      </c>
      <c r="J307">
        <v>371</v>
      </c>
      <c r="K307">
        <v>0</v>
      </c>
      <c r="L307">
        <v>519.4</v>
      </c>
    </row>
    <row r="308" spans="1:12" x14ac:dyDescent="0.25">
      <c r="A308" t="str">
        <f t="shared" si="52"/>
        <v>89301000</v>
      </c>
      <c r="B308" t="str">
        <f t="shared" si="63"/>
        <v>93201000</v>
      </c>
      <c r="C308" t="str">
        <f t="shared" si="66"/>
        <v>93201350</v>
      </c>
      <c r="D308" t="str">
        <f t="shared" si="67"/>
        <v>809</v>
      </c>
      <c r="E308" t="str">
        <f t="shared" si="68"/>
        <v>89301212</v>
      </c>
      <c r="F308" t="str">
        <f>"7253055755"</f>
        <v>7253055755</v>
      </c>
      <c r="G308" s="1">
        <v>44587</v>
      </c>
      <c r="H308" t="str">
        <f>"89514"</f>
        <v>89514</v>
      </c>
      <c r="I308">
        <v>1</v>
      </c>
      <c r="J308">
        <v>371</v>
      </c>
      <c r="K308">
        <v>0</v>
      </c>
      <c r="L308">
        <v>519.4</v>
      </c>
    </row>
    <row r="309" spans="1:12" x14ac:dyDescent="0.25">
      <c r="A309" t="str">
        <f t="shared" si="52"/>
        <v>89301000</v>
      </c>
      <c r="B309" t="str">
        <f t="shared" si="63"/>
        <v>93201000</v>
      </c>
      <c r="C309" t="str">
        <f t="shared" si="66"/>
        <v>93201350</v>
      </c>
      <c r="D309" t="str">
        <f t="shared" si="67"/>
        <v>809</v>
      </c>
      <c r="E309" t="str">
        <f t="shared" si="68"/>
        <v>89301212</v>
      </c>
      <c r="F309" t="str">
        <f>"5858270297"</f>
        <v>5858270297</v>
      </c>
      <c r="G309" s="1">
        <v>44581</v>
      </c>
      <c r="H309" t="str">
        <f>"89513"</f>
        <v>89513</v>
      </c>
      <c r="I309">
        <v>1</v>
      </c>
      <c r="J309">
        <v>371</v>
      </c>
      <c r="K309">
        <v>0</v>
      </c>
      <c r="L309">
        <v>519.4</v>
      </c>
    </row>
    <row r="310" spans="1:12" x14ac:dyDescent="0.25">
      <c r="A310" t="str">
        <f t="shared" si="52"/>
        <v>89301000</v>
      </c>
      <c r="B310" t="str">
        <f t="shared" si="63"/>
        <v>93201000</v>
      </c>
      <c r="C310" t="str">
        <f t="shared" si="66"/>
        <v>93201350</v>
      </c>
      <c r="D310" t="str">
        <f t="shared" si="67"/>
        <v>809</v>
      </c>
      <c r="E310" t="str">
        <f t="shared" si="68"/>
        <v>89301212</v>
      </c>
      <c r="F310" t="str">
        <f>"5858270297"</f>
        <v>5858270297</v>
      </c>
      <c r="G310" s="1">
        <v>44581</v>
      </c>
      <c r="H310" t="str">
        <f>"89514"</f>
        <v>89514</v>
      </c>
      <c r="I310">
        <v>1</v>
      </c>
      <c r="J310">
        <v>371</v>
      </c>
      <c r="K310">
        <v>0</v>
      </c>
      <c r="L310">
        <v>519.4</v>
      </c>
    </row>
    <row r="311" spans="1:12" x14ac:dyDescent="0.25">
      <c r="A311" t="str">
        <f t="shared" si="52"/>
        <v>89301000</v>
      </c>
      <c r="B311" t="str">
        <f t="shared" si="63"/>
        <v>93201000</v>
      </c>
      <c r="C311" t="str">
        <f t="shared" si="66"/>
        <v>93201350</v>
      </c>
      <c r="D311" t="str">
        <f t="shared" si="67"/>
        <v>809</v>
      </c>
      <c r="E311" t="str">
        <f t="shared" si="68"/>
        <v>89301212</v>
      </c>
      <c r="F311" t="str">
        <f>"526124072"</f>
        <v>526124072</v>
      </c>
      <c r="G311" s="1">
        <v>44572</v>
      </c>
      <c r="H311" t="str">
        <f>"89512"</f>
        <v>89512</v>
      </c>
      <c r="I311">
        <v>1</v>
      </c>
      <c r="J311">
        <v>277</v>
      </c>
      <c r="K311">
        <v>0</v>
      </c>
      <c r="L311">
        <v>387.8</v>
      </c>
    </row>
    <row r="312" spans="1:12" x14ac:dyDescent="0.25">
      <c r="A312" t="str">
        <f t="shared" si="52"/>
        <v>89301000</v>
      </c>
      <c r="B312" t="str">
        <f t="shared" si="63"/>
        <v>93201000</v>
      </c>
      <c r="C312" t="str">
        <f t="shared" si="66"/>
        <v>93201350</v>
      </c>
      <c r="D312" t="str">
        <f t="shared" si="67"/>
        <v>809</v>
      </c>
      <c r="E312" t="str">
        <f t="shared" si="68"/>
        <v>89301212</v>
      </c>
      <c r="F312" t="str">
        <f>"7359105754"</f>
        <v>7359105754</v>
      </c>
      <c r="G312" s="1">
        <v>44580</v>
      </c>
      <c r="H312" t="str">
        <f>"89512"</f>
        <v>89512</v>
      </c>
      <c r="I312">
        <v>1</v>
      </c>
      <c r="J312">
        <v>277</v>
      </c>
      <c r="K312">
        <v>0</v>
      </c>
      <c r="L312">
        <v>387.8</v>
      </c>
    </row>
    <row r="313" spans="1:12" x14ac:dyDescent="0.25">
      <c r="A313" t="str">
        <f t="shared" si="52"/>
        <v>89301000</v>
      </c>
      <c r="B313" t="str">
        <f t="shared" si="63"/>
        <v>93201000</v>
      </c>
      <c r="C313" t="str">
        <f t="shared" si="66"/>
        <v>93201350</v>
      </c>
      <c r="D313" t="str">
        <f t="shared" si="67"/>
        <v>809</v>
      </c>
      <c r="E313" t="str">
        <f>"89301215"</f>
        <v>89301215</v>
      </c>
      <c r="F313" t="str">
        <f>"7359105754"</f>
        <v>7359105754</v>
      </c>
      <c r="G313" s="1">
        <v>44580</v>
      </c>
      <c r="H313" t="str">
        <f>"89180"</f>
        <v>89180</v>
      </c>
      <c r="I313">
        <v>2</v>
      </c>
      <c r="J313">
        <v>752</v>
      </c>
      <c r="K313">
        <v>0</v>
      </c>
      <c r="L313">
        <v>1052.8</v>
      </c>
    </row>
    <row r="314" spans="1:12" x14ac:dyDescent="0.25">
      <c r="A314" t="str">
        <f t="shared" si="52"/>
        <v>89301000</v>
      </c>
      <c r="B314" t="str">
        <f t="shared" si="63"/>
        <v>93201000</v>
      </c>
      <c r="C314" t="str">
        <f t="shared" si="66"/>
        <v>93201350</v>
      </c>
      <c r="D314" t="str">
        <f t="shared" si="67"/>
        <v>809</v>
      </c>
      <c r="E314" t="str">
        <f>"89301212"</f>
        <v>89301212</v>
      </c>
      <c r="F314" t="str">
        <f>"5858270297"</f>
        <v>5858270297</v>
      </c>
      <c r="G314" s="1">
        <v>44581</v>
      </c>
      <c r="H314" t="str">
        <f>"89512"</f>
        <v>89512</v>
      </c>
      <c r="I314">
        <v>1</v>
      </c>
      <c r="J314">
        <v>277</v>
      </c>
      <c r="K314">
        <v>0</v>
      </c>
      <c r="L314">
        <v>387.8</v>
      </c>
    </row>
    <row r="315" spans="1:12" x14ac:dyDescent="0.25">
      <c r="A315" t="str">
        <f t="shared" si="52"/>
        <v>89301000</v>
      </c>
      <c r="B315" t="str">
        <f t="shared" si="63"/>
        <v>93201000</v>
      </c>
      <c r="C315" t="str">
        <f t="shared" si="66"/>
        <v>93201350</v>
      </c>
      <c r="D315" t="str">
        <f t="shared" si="67"/>
        <v>809</v>
      </c>
      <c r="E315" t="str">
        <f>"89301212"</f>
        <v>89301212</v>
      </c>
      <c r="F315" t="str">
        <f>"5858270297"</f>
        <v>5858270297</v>
      </c>
      <c r="G315" s="1">
        <v>44581</v>
      </c>
      <c r="H315" t="str">
        <f>"89180"</f>
        <v>89180</v>
      </c>
      <c r="I315">
        <v>2</v>
      </c>
      <c r="J315">
        <v>752</v>
      </c>
      <c r="K315">
        <v>0</v>
      </c>
      <c r="L315">
        <v>1052.8</v>
      </c>
    </row>
    <row r="316" spans="1:12" x14ac:dyDescent="0.25">
      <c r="A316" t="str">
        <f t="shared" si="52"/>
        <v>89301000</v>
      </c>
      <c r="B316" t="str">
        <f t="shared" si="63"/>
        <v>93201000</v>
      </c>
      <c r="C316" t="str">
        <f t="shared" si="66"/>
        <v>93201350</v>
      </c>
      <c r="D316" t="str">
        <f t="shared" si="67"/>
        <v>809</v>
      </c>
      <c r="E316" t="str">
        <f>"89301212"</f>
        <v>89301212</v>
      </c>
      <c r="F316" t="str">
        <f>"8801116225"</f>
        <v>8801116225</v>
      </c>
      <c r="G316" s="1">
        <v>44572</v>
      </c>
      <c r="H316" t="str">
        <f>"89512"</f>
        <v>89512</v>
      </c>
      <c r="I316">
        <v>1</v>
      </c>
      <c r="J316">
        <v>277</v>
      </c>
      <c r="K316">
        <v>0</v>
      </c>
      <c r="L316">
        <v>387.8</v>
      </c>
    </row>
    <row r="317" spans="1:12" x14ac:dyDescent="0.25">
      <c r="A317" t="str">
        <f t="shared" si="52"/>
        <v>89301000</v>
      </c>
      <c r="B317" t="str">
        <f t="shared" si="63"/>
        <v>93201000</v>
      </c>
      <c r="C317" t="str">
        <f t="shared" ref="C317:C324" si="69">"93201355"</f>
        <v>93201355</v>
      </c>
      <c r="D317" t="str">
        <f t="shared" ref="D317:D324" si="70">"810"</f>
        <v>810</v>
      </c>
      <c r="E317" t="str">
        <f>"89301062"</f>
        <v>89301062</v>
      </c>
      <c r="F317" t="str">
        <f>"5901237089"</f>
        <v>5901237089</v>
      </c>
      <c r="G317" s="1">
        <v>44574</v>
      </c>
      <c r="H317" t="str">
        <f>"89713"</f>
        <v>89713</v>
      </c>
      <c r="I317">
        <v>1</v>
      </c>
      <c r="J317">
        <v>5362</v>
      </c>
      <c r="K317">
        <v>0</v>
      </c>
      <c r="L317">
        <v>3217.2</v>
      </c>
    </row>
    <row r="318" spans="1:12" x14ac:dyDescent="0.25">
      <c r="A318" t="str">
        <f t="shared" si="52"/>
        <v>89301000</v>
      </c>
      <c r="B318" t="str">
        <f t="shared" si="63"/>
        <v>93201000</v>
      </c>
      <c r="C318" t="str">
        <f t="shared" si="69"/>
        <v>93201355</v>
      </c>
      <c r="D318" t="str">
        <f t="shared" si="70"/>
        <v>810</v>
      </c>
      <c r="E318" t="str">
        <f>"89301172"</f>
        <v>89301172</v>
      </c>
      <c r="F318" t="str">
        <f>"6352110171"</f>
        <v>6352110171</v>
      </c>
      <c r="G318" s="1">
        <v>44566</v>
      </c>
      <c r="H318" t="str">
        <f>"89713"</f>
        <v>89713</v>
      </c>
      <c r="I318">
        <v>1</v>
      </c>
      <c r="J318">
        <v>5362</v>
      </c>
      <c r="K318">
        <v>0</v>
      </c>
      <c r="L318">
        <v>3217.2</v>
      </c>
    </row>
    <row r="319" spans="1:12" x14ac:dyDescent="0.25">
      <c r="A319" t="str">
        <f t="shared" si="52"/>
        <v>89301000</v>
      </c>
      <c r="B319" t="str">
        <f t="shared" si="63"/>
        <v>93201000</v>
      </c>
      <c r="C319" t="str">
        <f t="shared" si="69"/>
        <v>93201355</v>
      </c>
      <c r="D319" t="str">
        <f t="shared" si="70"/>
        <v>810</v>
      </c>
      <c r="E319" t="str">
        <f>"89301172"</f>
        <v>89301172</v>
      </c>
      <c r="F319" t="str">
        <f>"6352110171"</f>
        <v>6352110171</v>
      </c>
      <c r="G319" s="1">
        <v>44566</v>
      </c>
      <c r="H319" t="str">
        <f>"89725"</f>
        <v>89725</v>
      </c>
      <c r="I319">
        <v>1</v>
      </c>
      <c r="J319">
        <v>2839</v>
      </c>
      <c r="K319">
        <v>0</v>
      </c>
      <c r="L319">
        <v>1703.4</v>
      </c>
    </row>
    <row r="320" spans="1:12" x14ac:dyDescent="0.25">
      <c r="A320" t="str">
        <f t="shared" si="52"/>
        <v>89301000</v>
      </c>
      <c r="B320" t="str">
        <f t="shared" si="63"/>
        <v>93201000</v>
      </c>
      <c r="C320" t="str">
        <f t="shared" si="69"/>
        <v>93201355</v>
      </c>
      <c r="D320" t="str">
        <f t="shared" si="70"/>
        <v>810</v>
      </c>
      <c r="E320" t="str">
        <f>"89301172"</f>
        <v>89301172</v>
      </c>
      <c r="F320" t="str">
        <f>"6352110171"</f>
        <v>6352110171</v>
      </c>
      <c r="G320" s="1">
        <v>44566</v>
      </c>
      <c r="H320" t="str">
        <f>"89713"</f>
        <v>89713</v>
      </c>
      <c r="I320">
        <v>1</v>
      </c>
      <c r="J320">
        <v>5362</v>
      </c>
      <c r="K320">
        <v>0</v>
      </c>
      <c r="L320">
        <v>3217.2</v>
      </c>
    </row>
    <row r="321" spans="1:12" x14ac:dyDescent="0.25">
      <c r="A321" t="str">
        <f t="shared" si="52"/>
        <v>89301000</v>
      </c>
      <c r="B321" t="str">
        <f t="shared" si="63"/>
        <v>93201000</v>
      </c>
      <c r="C321" t="str">
        <f t="shared" si="69"/>
        <v>93201355</v>
      </c>
      <c r="D321" t="str">
        <f t="shared" si="70"/>
        <v>810</v>
      </c>
      <c r="E321" t="str">
        <f>"89301062"</f>
        <v>89301062</v>
      </c>
      <c r="F321" t="str">
        <f>"6011200591"</f>
        <v>6011200591</v>
      </c>
      <c r="G321" s="1">
        <v>44575</v>
      </c>
      <c r="H321" t="str">
        <f>"89713"</f>
        <v>89713</v>
      </c>
      <c r="I321">
        <v>1</v>
      </c>
      <c r="J321">
        <v>5362</v>
      </c>
      <c r="K321">
        <v>0</v>
      </c>
      <c r="L321">
        <v>3217.2</v>
      </c>
    </row>
    <row r="322" spans="1:12" x14ac:dyDescent="0.25">
      <c r="A322" t="str">
        <f t="shared" ref="A322:A385" si="71">"89301000"</f>
        <v>89301000</v>
      </c>
      <c r="B322" t="str">
        <f t="shared" si="63"/>
        <v>93201000</v>
      </c>
      <c r="C322" t="str">
        <f t="shared" si="69"/>
        <v>93201355</v>
      </c>
      <c r="D322" t="str">
        <f t="shared" si="70"/>
        <v>810</v>
      </c>
      <c r="E322" t="str">
        <f>"89301062"</f>
        <v>89301062</v>
      </c>
      <c r="F322" t="str">
        <f>"6011200591"</f>
        <v>6011200591</v>
      </c>
      <c r="G322" s="1">
        <v>44575</v>
      </c>
      <c r="H322" t="str">
        <f>"89725"</f>
        <v>89725</v>
      </c>
      <c r="I322">
        <v>1</v>
      </c>
      <c r="J322">
        <v>2839</v>
      </c>
      <c r="K322">
        <v>0</v>
      </c>
      <c r="L322">
        <v>1703.4</v>
      </c>
    </row>
    <row r="323" spans="1:12" x14ac:dyDescent="0.25">
      <c r="A323" t="str">
        <f t="shared" si="71"/>
        <v>89301000</v>
      </c>
      <c r="B323" t="str">
        <f t="shared" si="63"/>
        <v>93201000</v>
      </c>
      <c r="C323" t="str">
        <f t="shared" si="69"/>
        <v>93201355</v>
      </c>
      <c r="D323" t="str">
        <f t="shared" si="70"/>
        <v>810</v>
      </c>
      <c r="E323" t="str">
        <f>"89301062"</f>
        <v>89301062</v>
      </c>
      <c r="F323" t="str">
        <f>"6011200591"</f>
        <v>6011200591</v>
      </c>
      <c r="G323" s="1">
        <v>44575</v>
      </c>
      <c r="H323" t="str">
        <f>"0054255"</f>
        <v>0054255</v>
      </c>
      <c r="I323">
        <v>1</v>
      </c>
      <c r="K323">
        <v>1686.92</v>
      </c>
      <c r="L323">
        <v>1686.92</v>
      </c>
    </row>
    <row r="324" spans="1:12" x14ac:dyDescent="0.25">
      <c r="A324" t="str">
        <f t="shared" si="71"/>
        <v>89301000</v>
      </c>
      <c r="B324" t="str">
        <f t="shared" si="63"/>
        <v>93201000</v>
      </c>
      <c r="C324" t="str">
        <f t="shared" si="69"/>
        <v>93201355</v>
      </c>
      <c r="D324" t="str">
        <f t="shared" si="70"/>
        <v>810</v>
      </c>
      <c r="E324" t="str">
        <f>"89301062"</f>
        <v>89301062</v>
      </c>
      <c r="F324" t="str">
        <f>"7052085799"</f>
        <v>7052085799</v>
      </c>
      <c r="G324" s="1">
        <v>44580</v>
      </c>
      <c r="H324" t="str">
        <f>"89713"</f>
        <v>89713</v>
      </c>
      <c r="I324">
        <v>1</v>
      </c>
      <c r="J324">
        <v>5362</v>
      </c>
      <c r="K324">
        <v>0</v>
      </c>
      <c r="L324">
        <v>3217.2</v>
      </c>
    </row>
    <row r="325" spans="1:12" x14ac:dyDescent="0.25">
      <c r="A325" t="str">
        <f t="shared" si="71"/>
        <v>89301000</v>
      </c>
      <c r="B325" t="str">
        <f t="shared" ref="B325:B336" si="72">"91997900"</f>
        <v>91997900</v>
      </c>
      <c r="C325" t="str">
        <f>"91997907"</f>
        <v>91997907</v>
      </c>
      <c r="D325" t="str">
        <f>"816"</f>
        <v>816</v>
      </c>
      <c r="E325" t="str">
        <f>"89301282"</f>
        <v>89301282</v>
      </c>
      <c r="F325" t="str">
        <f>"6758151455"</f>
        <v>6758151455</v>
      </c>
      <c r="G325" s="1">
        <v>44564</v>
      </c>
      <c r="H325" t="str">
        <f>"94221"</f>
        <v>94221</v>
      </c>
      <c r="I325">
        <v>2</v>
      </c>
      <c r="J325">
        <v>4906</v>
      </c>
      <c r="K325">
        <v>0</v>
      </c>
      <c r="L325">
        <v>4170.1000000000004</v>
      </c>
    </row>
    <row r="326" spans="1:12" x14ac:dyDescent="0.25">
      <c r="A326" t="str">
        <f t="shared" si="71"/>
        <v>89301000</v>
      </c>
      <c r="B326" t="str">
        <f t="shared" si="72"/>
        <v>91997900</v>
      </c>
      <c r="C326" t="str">
        <f t="shared" ref="C326:C336" si="73">"91997901"</f>
        <v>91997901</v>
      </c>
      <c r="D326" t="str">
        <f t="shared" ref="D326:D355" si="74">"801"</f>
        <v>801</v>
      </c>
      <c r="E326" t="str">
        <f>"89301082"</f>
        <v>89301082</v>
      </c>
      <c r="F326" t="str">
        <f>"9661015947"</f>
        <v>9661015947</v>
      </c>
      <c r="G326" s="1">
        <v>44564</v>
      </c>
      <c r="H326" t="str">
        <f>"93137"</f>
        <v>93137</v>
      </c>
      <c r="I326">
        <v>1</v>
      </c>
      <c r="J326">
        <v>184</v>
      </c>
      <c r="K326">
        <v>0</v>
      </c>
      <c r="L326">
        <v>143.52000000000001</v>
      </c>
    </row>
    <row r="327" spans="1:12" x14ac:dyDescent="0.25">
      <c r="A327" t="str">
        <f t="shared" si="71"/>
        <v>89301000</v>
      </c>
      <c r="B327" t="str">
        <f t="shared" si="72"/>
        <v>91997900</v>
      </c>
      <c r="C327" t="str">
        <f t="shared" si="73"/>
        <v>91997901</v>
      </c>
      <c r="D327" t="str">
        <f t="shared" si="74"/>
        <v>801</v>
      </c>
      <c r="E327" t="str">
        <f>"89301167"</f>
        <v>89301167</v>
      </c>
      <c r="F327" t="str">
        <f>"480710460"</f>
        <v>480710460</v>
      </c>
      <c r="G327" s="1">
        <v>44585</v>
      </c>
      <c r="H327" t="str">
        <f>"81249"</f>
        <v>81249</v>
      </c>
      <c r="I327">
        <v>1</v>
      </c>
      <c r="J327">
        <v>333</v>
      </c>
      <c r="K327">
        <v>0</v>
      </c>
      <c r="L327">
        <v>259.74</v>
      </c>
    </row>
    <row r="328" spans="1:12" x14ac:dyDescent="0.25">
      <c r="A328" t="str">
        <f t="shared" si="71"/>
        <v>89301000</v>
      </c>
      <c r="B328" t="str">
        <f t="shared" si="72"/>
        <v>91997900</v>
      </c>
      <c r="C328" t="str">
        <f t="shared" si="73"/>
        <v>91997901</v>
      </c>
      <c r="D328" t="str">
        <f t="shared" si="74"/>
        <v>801</v>
      </c>
      <c r="E328" t="str">
        <f>"89301167"</f>
        <v>89301167</v>
      </c>
      <c r="F328" t="str">
        <f>"480710460"</f>
        <v>480710460</v>
      </c>
      <c r="G328" s="1">
        <v>44585</v>
      </c>
      <c r="H328" t="str">
        <f>"81383"</f>
        <v>81383</v>
      </c>
      <c r="I328">
        <v>1</v>
      </c>
      <c r="J328">
        <v>23</v>
      </c>
      <c r="K328">
        <v>0</v>
      </c>
      <c r="L328">
        <v>17.940000000000001</v>
      </c>
    </row>
    <row r="329" spans="1:12" x14ac:dyDescent="0.25">
      <c r="A329" t="str">
        <f t="shared" si="71"/>
        <v>89301000</v>
      </c>
      <c r="B329" t="str">
        <f t="shared" si="72"/>
        <v>91997900</v>
      </c>
      <c r="C329" t="str">
        <f t="shared" si="73"/>
        <v>91997901</v>
      </c>
      <c r="D329" t="str">
        <f t="shared" si="74"/>
        <v>801</v>
      </c>
      <c r="E329" t="str">
        <f>"89301167"</f>
        <v>89301167</v>
      </c>
      <c r="F329" t="str">
        <f>"480710460"</f>
        <v>480710460</v>
      </c>
      <c r="G329" s="1">
        <v>44585</v>
      </c>
      <c r="H329" t="str">
        <f>"93135"</f>
        <v>93135</v>
      </c>
      <c r="I329">
        <v>1</v>
      </c>
      <c r="J329">
        <v>300</v>
      </c>
      <c r="K329">
        <v>0</v>
      </c>
      <c r="L329">
        <v>234</v>
      </c>
    </row>
    <row r="330" spans="1:12" x14ac:dyDescent="0.25">
      <c r="A330" t="str">
        <f t="shared" si="71"/>
        <v>89301000</v>
      </c>
      <c r="B330" t="str">
        <f t="shared" si="72"/>
        <v>91997900</v>
      </c>
      <c r="C330" t="str">
        <f t="shared" si="73"/>
        <v>91997901</v>
      </c>
      <c r="D330" t="str">
        <f t="shared" si="74"/>
        <v>801</v>
      </c>
      <c r="E330" t="str">
        <f t="shared" ref="E330:E336" si="75">"89301082"</f>
        <v>89301082</v>
      </c>
      <c r="F330" t="str">
        <f t="shared" ref="F330:F336" si="76">"9661015947"</f>
        <v>9661015947</v>
      </c>
      <c r="G330" s="1">
        <v>44564</v>
      </c>
      <c r="H330" t="str">
        <f>"97111"</f>
        <v>97111</v>
      </c>
      <c r="I330">
        <v>1</v>
      </c>
      <c r="J330">
        <v>18</v>
      </c>
      <c r="K330">
        <v>0</v>
      </c>
      <c r="L330">
        <v>14.04</v>
      </c>
    </row>
    <row r="331" spans="1:12" x14ac:dyDescent="0.25">
      <c r="A331" t="str">
        <f t="shared" si="71"/>
        <v>89301000</v>
      </c>
      <c r="B331" t="str">
        <f t="shared" si="72"/>
        <v>91997900</v>
      </c>
      <c r="C331" t="str">
        <f t="shared" si="73"/>
        <v>91997901</v>
      </c>
      <c r="D331" t="str">
        <f t="shared" si="74"/>
        <v>801</v>
      </c>
      <c r="E331" t="str">
        <f t="shared" si="75"/>
        <v>89301082</v>
      </c>
      <c r="F331" t="str">
        <f t="shared" si="76"/>
        <v>9661015947</v>
      </c>
      <c r="G331" s="1">
        <v>44564</v>
      </c>
      <c r="H331" t="str">
        <f>"93245"</f>
        <v>93245</v>
      </c>
      <c r="I331">
        <v>1</v>
      </c>
      <c r="J331">
        <v>190</v>
      </c>
      <c r="K331">
        <v>0</v>
      </c>
      <c r="L331">
        <v>148.19999999999999</v>
      </c>
    </row>
    <row r="332" spans="1:12" x14ac:dyDescent="0.25">
      <c r="A332" t="str">
        <f t="shared" si="71"/>
        <v>89301000</v>
      </c>
      <c r="B332" t="str">
        <f t="shared" si="72"/>
        <v>91997900</v>
      </c>
      <c r="C332" t="str">
        <f t="shared" si="73"/>
        <v>91997901</v>
      </c>
      <c r="D332" t="str">
        <f t="shared" si="74"/>
        <v>801</v>
      </c>
      <c r="E332" t="str">
        <f t="shared" si="75"/>
        <v>89301082</v>
      </c>
      <c r="F332" t="str">
        <f t="shared" si="76"/>
        <v>9661015947</v>
      </c>
      <c r="G332" s="1">
        <v>44564</v>
      </c>
      <c r="H332" t="str">
        <f>"93231"</f>
        <v>93231</v>
      </c>
      <c r="I332">
        <v>1</v>
      </c>
      <c r="J332">
        <v>402</v>
      </c>
      <c r="K332">
        <v>0</v>
      </c>
      <c r="L332">
        <v>313.56</v>
      </c>
    </row>
    <row r="333" spans="1:12" x14ac:dyDescent="0.25">
      <c r="A333" t="str">
        <f t="shared" si="71"/>
        <v>89301000</v>
      </c>
      <c r="B333" t="str">
        <f t="shared" si="72"/>
        <v>91997900</v>
      </c>
      <c r="C333" t="str">
        <f t="shared" si="73"/>
        <v>91997901</v>
      </c>
      <c r="D333" t="str">
        <f t="shared" si="74"/>
        <v>801</v>
      </c>
      <c r="E333" t="str">
        <f t="shared" si="75"/>
        <v>89301082</v>
      </c>
      <c r="F333" t="str">
        <f t="shared" si="76"/>
        <v>9661015947</v>
      </c>
      <c r="G333" s="1">
        <v>44564</v>
      </c>
      <c r="H333" t="str">
        <f>"93217"</f>
        <v>93217</v>
      </c>
      <c r="I333">
        <v>1</v>
      </c>
      <c r="J333">
        <v>420</v>
      </c>
      <c r="K333">
        <v>0</v>
      </c>
      <c r="L333">
        <v>327.60000000000002</v>
      </c>
    </row>
    <row r="334" spans="1:12" x14ac:dyDescent="0.25">
      <c r="A334" t="str">
        <f t="shared" si="71"/>
        <v>89301000</v>
      </c>
      <c r="B334" t="str">
        <f t="shared" si="72"/>
        <v>91997900</v>
      </c>
      <c r="C334" t="str">
        <f t="shared" si="73"/>
        <v>91997901</v>
      </c>
      <c r="D334" t="str">
        <f t="shared" si="74"/>
        <v>801</v>
      </c>
      <c r="E334" t="str">
        <f t="shared" si="75"/>
        <v>89301082</v>
      </c>
      <c r="F334" t="str">
        <f t="shared" si="76"/>
        <v>9661015947</v>
      </c>
      <c r="G334" s="1">
        <v>44564</v>
      </c>
      <c r="H334" t="str">
        <f>"93195"</f>
        <v>93195</v>
      </c>
      <c r="I334">
        <v>1</v>
      </c>
      <c r="J334">
        <v>181</v>
      </c>
      <c r="K334">
        <v>0</v>
      </c>
      <c r="L334">
        <v>141.18</v>
      </c>
    </row>
    <row r="335" spans="1:12" x14ac:dyDescent="0.25">
      <c r="A335" t="str">
        <f t="shared" si="71"/>
        <v>89301000</v>
      </c>
      <c r="B335" t="str">
        <f t="shared" si="72"/>
        <v>91997900</v>
      </c>
      <c r="C335" t="str">
        <f t="shared" si="73"/>
        <v>91997901</v>
      </c>
      <c r="D335" t="str">
        <f t="shared" si="74"/>
        <v>801</v>
      </c>
      <c r="E335" t="str">
        <f t="shared" si="75"/>
        <v>89301082</v>
      </c>
      <c r="F335" t="str">
        <f t="shared" si="76"/>
        <v>9661015947</v>
      </c>
      <c r="G335" s="1">
        <v>44564</v>
      </c>
      <c r="H335" t="str">
        <f>"93189"</f>
        <v>93189</v>
      </c>
      <c r="I335">
        <v>1</v>
      </c>
      <c r="J335">
        <v>189</v>
      </c>
      <c r="K335">
        <v>0</v>
      </c>
      <c r="L335">
        <v>147.41999999999999</v>
      </c>
    </row>
    <row r="336" spans="1:12" x14ac:dyDescent="0.25">
      <c r="A336" t="str">
        <f t="shared" si="71"/>
        <v>89301000</v>
      </c>
      <c r="B336" t="str">
        <f t="shared" si="72"/>
        <v>91997900</v>
      </c>
      <c r="C336" t="str">
        <f t="shared" si="73"/>
        <v>91997901</v>
      </c>
      <c r="D336" t="str">
        <f t="shared" si="74"/>
        <v>801</v>
      </c>
      <c r="E336" t="str">
        <f t="shared" si="75"/>
        <v>89301082</v>
      </c>
      <c r="F336" t="str">
        <f t="shared" si="76"/>
        <v>9661015947</v>
      </c>
      <c r="G336" s="1">
        <v>44564</v>
      </c>
      <c r="H336" t="str">
        <f>"93177"</f>
        <v>93177</v>
      </c>
      <c r="I336">
        <v>1</v>
      </c>
      <c r="J336">
        <v>178</v>
      </c>
      <c r="K336">
        <v>0</v>
      </c>
      <c r="L336">
        <v>138.84</v>
      </c>
    </row>
    <row r="337" spans="1:12" x14ac:dyDescent="0.25">
      <c r="A337" t="str">
        <f t="shared" si="71"/>
        <v>89301000</v>
      </c>
      <c r="B337" t="str">
        <f t="shared" ref="B337:C355" si="77">"87669000"</f>
        <v>87669000</v>
      </c>
      <c r="C337" t="str">
        <f t="shared" si="77"/>
        <v>87669000</v>
      </c>
      <c r="D337" t="str">
        <f t="shared" si="74"/>
        <v>801</v>
      </c>
      <c r="E337" t="str">
        <f t="shared" ref="E337:E355" si="78">"89301167"</f>
        <v>89301167</v>
      </c>
      <c r="F337" t="str">
        <f t="shared" ref="F337:F355" si="79">"480710460"</f>
        <v>480710460</v>
      </c>
      <c r="G337" s="1">
        <v>44585</v>
      </c>
      <c r="H337" t="str">
        <f>"81329"</f>
        <v>81329</v>
      </c>
      <c r="I337">
        <v>1</v>
      </c>
      <c r="J337">
        <v>16</v>
      </c>
      <c r="K337">
        <v>0</v>
      </c>
      <c r="L337">
        <v>12.48</v>
      </c>
    </row>
    <row r="338" spans="1:12" x14ac:dyDescent="0.25">
      <c r="A338" t="str">
        <f t="shared" si="71"/>
        <v>89301000</v>
      </c>
      <c r="B338" t="str">
        <f t="shared" si="77"/>
        <v>87669000</v>
      </c>
      <c r="C338" t="str">
        <f t="shared" si="77"/>
        <v>87669000</v>
      </c>
      <c r="D338" t="str">
        <f t="shared" si="74"/>
        <v>801</v>
      </c>
      <c r="E338" t="str">
        <f t="shared" si="78"/>
        <v>89301167</v>
      </c>
      <c r="F338" t="str">
        <f t="shared" si="79"/>
        <v>480710460</v>
      </c>
      <c r="G338" s="1">
        <v>44585</v>
      </c>
      <c r="H338" t="str">
        <f>"81337"</f>
        <v>81337</v>
      </c>
      <c r="I338">
        <v>1</v>
      </c>
      <c r="J338">
        <v>19</v>
      </c>
      <c r="K338">
        <v>0</v>
      </c>
      <c r="L338">
        <v>14.82</v>
      </c>
    </row>
    <row r="339" spans="1:12" x14ac:dyDescent="0.25">
      <c r="A339" t="str">
        <f t="shared" si="71"/>
        <v>89301000</v>
      </c>
      <c r="B339" t="str">
        <f t="shared" si="77"/>
        <v>87669000</v>
      </c>
      <c r="C339" t="str">
        <f t="shared" si="77"/>
        <v>87669000</v>
      </c>
      <c r="D339" t="str">
        <f t="shared" si="74"/>
        <v>801</v>
      </c>
      <c r="E339" t="str">
        <f t="shared" si="78"/>
        <v>89301167</v>
      </c>
      <c r="F339" t="str">
        <f t="shared" si="79"/>
        <v>480710460</v>
      </c>
      <c r="G339" s="1">
        <v>44585</v>
      </c>
      <c r="H339" t="str">
        <f>"81357"</f>
        <v>81357</v>
      </c>
      <c r="I339">
        <v>1</v>
      </c>
      <c r="J339">
        <v>19</v>
      </c>
      <c r="K339">
        <v>0</v>
      </c>
      <c r="L339">
        <v>14.82</v>
      </c>
    </row>
    <row r="340" spans="1:12" x14ac:dyDescent="0.25">
      <c r="A340" t="str">
        <f t="shared" si="71"/>
        <v>89301000</v>
      </c>
      <c r="B340" t="str">
        <f t="shared" si="77"/>
        <v>87669000</v>
      </c>
      <c r="C340" t="str">
        <f t="shared" si="77"/>
        <v>87669000</v>
      </c>
      <c r="D340" t="str">
        <f t="shared" si="74"/>
        <v>801</v>
      </c>
      <c r="E340" t="str">
        <f t="shared" si="78"/>
        <v>89301167</v>
      </c>
      <c r="F340" t="str">
        <f t="shared" si="79"/>
        <v>480710460</v>
      </c>
      <c r="G340" s="1">
        <v>44585</v>
      </c>
      <c r="H340" t="str">
        <f>"81361"</f>
        <v>81361</v>
      </c>
      <c r="I340">
        <v>1</v>
      </c>
      <c r="J340">
        <v>17</v>
      </c>
      <c r="K340">
        <v>0</v>
      </c>
      <c r="L340">
        <v>13.26</v>
      </c>
    </row>
    <row r="341" spans="1:12" x14ac:dyDescent="0.25">
      <c r="A341" t="str">
        <f t="shared" si="71"/>
        <v>89301000</v>
      </c>
      <c r="B341" t="str">
        <f t="shared" si="77"/>
        <v>87669000</v>
      </c>
      <c r="C341" t="str">
        <f t="shared" si="77"/>
        <v>87669000</v>
      </c>
      <c r="D341" t="str">
        <f t="shared" si="74"/>
        <v>801</v>
      </c>
      <c r="E341" t="str">
        <f t="shared" si="78"/>
        <v>89301167</v>
      </c>
      <c r="F341" t="str">
        <f t="shared" si="79"/>
        <v>480710460</v>
      </c>
      <c r="G341" s="1">
        <v>44585</v>
      </c>
      <c r="H341" t="str">
        <f>"81365"</f>
        <v>81365</v>
      </c>
      <c r="I341">
        <v>1</v>
      </c>
      <c r="J341">
        <v>16</v>
      </c>
      <c r="K341">
        <v>0</v>
      </c>
      <c r="L341">
        <v>12.48</v>
      </c>
    </row>
    <row r="342" spans="1:12" x14ac:dyDescent="0.25">
      <c r="A342" t="str">
        <f t="shared" si="71"/>
        <v>89301000</v>
      </c>
      <c r="B342" t="str">
        <f t="shared" si="77"/>
        <v>87669000</v>
      </c>
      <c r="C342" t="str">
        <f t="shared" si="77"/>
        <v>87669000</v>
      </c>
      <c r="D342" t="str">
        <f t="shared" si="74"/>
        <v>801</v>
      </c>
      <c r="E342" t="str">
        <f t="shared" si="78"/>
        <v>89301167</v>
      </c>
      <c r="F342" t="str">
        <f t="shared" si="79"/>
        <v>480710460</v>
      </c>
      <c r="G342" s="1">
        <v>44585</v>
      </c>
      <c r="H342" t="str">
        <f>"81393"</f>
        <v>81393</v>
      </c>
      <c r="I342">
        <v>1</v>
      </c>
      <c r="J342">
        <v>24</v>
      </c>
      <c r="K342">
        <v>0</v>
      </c>
      <c r="L342">
        <v>18.72</v>
      </c>
    </row>
    <row r="343" spans="1:12" x14ac:dyDescent="0.25">
      <c r="A343" t="str">
        <f t="shared" si="71"/>
        <v>89301000</v>
      </c>
      <c r="B343" t="str">
        <f t="shared" si="77"/>
        <v>87669000</v>
      </c>
      <c r="C343" t="str">
        <f t="shared" si="77"/>
        <v>87669000</v>
      </c>
      <c r="D343" t="str">
        <f t="shared" si="74"/>
        <v>801</v>
      </c>
      <c r="E343" t="str">
        <f t="shared" si="78"/>
        <v>89301167</v>
      </c>
      <c r="F343" t="str">
        <f t="shared" si="79"/>
        <v>480710460</v>
      </c>
      <c r="G343" s="1">
        <v>44585</v>
      </c>
      <c r="H343" t="str">
        <f>"81421"</f>
        <v>81421</v>
      </c>
      <c r="I343">
        <v>1</v>
      </c>
      <c r="J343">
        <v>19</v>
      </c>
      <c r="K343">
        <v>0</v>
      </c>
      <c r="L343">
        <v>14.82</v>
      </c>
    </row>
    <row r="344" spans="1:12" x14ac:dyDescent="0.25">
      <c r="A344" t="str">
        <f t="shared" si="71"/>
        <v>89301000</v>
      </c>
      <c r="B344" t="str">
        <f t="shared" si="77"/>
        <v>87669000</v>
      </c>
      <c r="C344" t="str">
        <f t="shared" si="77"/>
        <v>87669000</v>
      </c>
      <c r="D344" t="str">
        <f t="shared" si="74"/>
        <v>801</v>
      </c>
      <c r="E344" t="str">
        <f t="shared" si="78"/>
        <v>89301167</v>
      </c>
      <c r="F344" t="str">
        <f t="shared" si="79"/>
        <v>480710460</v>
      </c>
      <c r="G344" s="1">
        <v>44585</v>
      </c>
      <c r="H344" t="str">
        <f>"81435"</f>
        <v>81435</v>
      </c>
      <c r="I344">
        <v>1</v>
      </c>
      <c r="J344">
        <v>22</v>
      </c>
      <c r="K344">
        <v>0</v>
      </c>
      <c r="L344">
        <v>17.16</v>
      </c>
    </row>
    <row r="345" spans="1:12" x14ac:dyDescent="0.25">
      <c r="A345" t="str">
        <f t="shared" si="71"/>
        <v>89301000</v>
      </c>
      <c r="B345" t="str">
        <f t="shared" si="77"/>
        <v>87669000</v>
      </c>
      <c r="C345" t="str">
        <f t="shared" si="77"/>
        <v>87669000</v>
      </c>
      <c r="D345" t="str">
        <f t="shared" si="74"/>
        <v>801</v>
      </c>
      <c r="E345" t="str">
        <f t="shared" si="78"/>
        <v>89301167</v>
      </c>
      <c r="F345" t="str">
        <f t="shared" si="79"/>
        <v>480710460</v>
      </c>
      <c r="G345" s="1">
        <v>44585</v>
      </c>
      <c r="H345" t="str">
        <f>"81439"</f>
        <v>81439</v>
      </c>
      <c r="I345">
        <v>1</v>
      </c>
      <c r="J345">
        <v>16</v>
      </c>
      <c r="K345">
        <v>0</v>
      </c>
      <c r="L345">
        <v>12.48</v>
      </c>
    </row>
    <row r="346" spans="1:12" x14ac:dyDescent="0.25">
      <c r="A346" t="str">
        <f t="shared" si="71"/>
        <v>89301000</v>
      </c>
      <c r="B346" t="str">
        <f t="shared" si="77"/>
        <v>87669000</v>
      </c>
      <c r="C346" t="str">
        <f t="shared" si="77"/>
        <v>87669000</v>
      </c>
      <c r="D346" t="str">
        <f t="shared" si="74"/>
        <v>801</v>
      </c>
      <c r="E346" t="str">
        <f t="shared" si="78"/>
        <v>89301167</v>
      </c>
      <c r="F346" t="str">
        <f t="shared" si="79"/>
        <v>480710460</v>
      </c>
      <c r="G346" s="1">
        <v>44585</v>
      </c>
      <c r="H346" t="str">
        <f>"81469"</f>
        <v>81469</v>
      </c>
      <c r="I346">
        <v>1</v>
      </c>
      <c r="J346">
        <v>16</v>
      </c>
      <c r="K346">
        <v>0</v>
      </c>
      <c r="L346">
        <v>12.48</v>
      </c>
    </row>
    <row r="347" spans="1:12" x14ac:dyDescent="0.25">
      <c r="A347" t="str">
        <f t="shared" si="71"/>
        <v>89301000</v>
      </c>
      <c r="B347" t="str">
        <f t="shared" si="77"/>
        <v>87669000</v>
      </c>
      <c r="C347" t="str">
        <f t="shared" si="77"/>
        <v>87669000</v>
      </c>
      <c r="D347" t="str">
        <f t="shared" si="74"/>
        <v>801</v>
      </c>
      <c r="E347" t="str">
        <f t="shared" si="78"/>
        <v>89301167</v>
      </c>
      <c r="F347" t="str">
        <f t="shared" si="79"/>
        <v>480710460</v>
      </c>
      <c r="G347" s="1">
        <v>44585</v>
      </c>
      <c r="H347" t="str">
        <f>"81495"</f>
        <v>81495</v>
      </c>
      <c r="I347">
        <v>1</v>
      </c>
      <c r="J347">
        <v>31</v>
      </c>
      <c r="K347">
        <v>0</v>
      </c>
      <c r="L347">
        <v>24.18</v>
      </c>
    </row>
    <row r="348" spans="1:12" x14ac:dyDescent="0.25">
      <c r="A348" t="str">
        <f t="shared" si="71"/>
        <v>89301000</v>
      </c>
      <c r="B348" t="str">
        <f t="shared" si="77"/>
        <v>87669000</v>
      </c>
      <c r="C348" t="str">
        <f t="shared" si="77"/>
        <v>87669000</v>
      </c>
      <c r="D348" t="str">
        <f t="shared" si="74"/>
        <v>801</v>
      </c>
      <c r="E348" t="str">
        <f t="shared" si="78"/>
        <v>89301167</v>
      </c>
      <c r="F348" t="str">
        <f t="shared" si="79"/>
        <v>480710460</v>
      </c>
      <c r="G348" s="1">
        <v>44585</v>
      </c>
      <c r="H348" t="str">
        <f>"81499"</f>
        <v>81499</v>
      </c>
      <c r="I348">
        <v>1</v>
      </c>
      <c r="J348">
        <v>18</v>
      </c>
      <c r="K348">
        <v>0</v>
      </c>
      <c r="L348">
        <v>14.04</v>
      </c>
    </row>
    <row r="349" spans="1:12" x14ac:dyDescent="0.25">
      <c r="A349" t="str">
        <f t="shared" si="71"/>
        <v>89301000</v>
      </c>
      <c r="B349" t="str">
        <f t="shared" si="77"/>
        <v>87669000</v>
      </c>
      <c r="C349" t="str">
        <f t="shared" si="77"/>
        <v>87669000</v>
      </c>
      <c r="D349" t="str">
        <f t="shared" si="74"/>
        <v>801</v>
      </c>
      <c r="E349" t="str">
        <f t="shared" si="78"/>
        <v>89301167</v>
      </c>
      <c r="F349" t="str">
        <f t="shared" si="79"/>
        <v>480710460</v>
      </c>
      <c r="G349" s="1">
        <v>44585</v>
      </c>
      <c r="H349" t="str">
        <f>"81523"</f>
        <v>81523</v>
      </c>
      <c r="I349">
        <v>1</v>
      </c>
      <c r="J349">
        <v>23</v>
      </c>
      <c r="K349">
        <v>0</v>
      </c>
      <c r="L349">
        <v>17.940000000000001</v>
      </c>
    </row>
    <row r="350" spans="1:12" x14ac:dyDescent="0.25">
      <c r="A350" t="str">
        <f t="shared" si="71"/>
        <v>89301000</v>
      </c>
      <c r="B350" t="str">
        <f t="shared" si="77"/>
        <v>87669000</v>
      </c>
      <c r="C350" t="str">
        <f t="shared" si="77"/>
        <v>87669000</v>
      </c>
      <c r="D350" t="str">
        <f t="shared" si="74"/>
        <v>801</v>
      </c>
      <c r="E350" t="str">
        <f t="shared" si="78"/>
        <v>89301167</v>
      </c>
      <c r="F350" t="str">
        <f t="shared" si="79"/>
        <v>480710460</v>
      </c>
      <c r="G350" s="1">
        <v>44585</v>
      </c>
      <c r="H350" t="str">
        <f>"81593"</f>
        <v>81593</v>
      </c>
      <c r="I350">
        <v>1</v>
      </c>
      <c r="J350">
        <v>22</v>
      </c>
      <c r="K350">
        <v>0</v>
      </c>
      <c r="L350">
        <v>17.16</v>
      </c>
    </row>
    <row r="351" spans="1:12" x14ac:dyDescent="0.25">
      <c r="A351" t="str">
        <f t="shared" si="71"/>
        <v>89301000</v>
      </c>
      <c r="B351" t="str">
        <f t="shared" si="77"/>
        <v>87669000</v>
      </c>
      <c r="C351" t="str">
        <f t="shared" si="77"/>
        <v>87669000</v>
      </c>
      <c r="D351" t="str">
        <f t="shared" si="74"/>
        <v>801</v>
      </c>
      <c r="E351" t="str">
        <f t="shared" si="78"/>
        <v>89301167</v>
      </c>
      <c r="F351" t="str">
        <f t="shared" si="79"/>
        <v>480710460</v>
      </c>
      <c r="G351" s="1">
        <v>44585</v>
      </c>
      <c r="H351" t="str">
        <f>"81621"</f>
        <v>81621</v>
      </c>
      <c r="I351">
        <v>1</v>
      </c>
      <c r="J351">
        <v>19</v>
      </c>
      <c r="K351">
        <v>0</v>
      </c>
      <c r="L351">
        <v>14.82</v>
      </c>
    </row>
    <row r="352" spans="1:12" x14ac:dyDescent="0.25">
      <c r="A352" t="str">
        <f t="shared" si="71"/>
        <v>89301000</v>
      </c>
      <c r="B352" t="str">
        <f t="shared" si="77"/>
        <v>87669000</v>
      </c>
      <c r="C352" t="str">
        <f t="shared" si="77"/>
        <v>87669000</v>
      </c>
      <c r="D352" t="str">
        <f t="shared" si="74"/>
        <v>801</v>
      </c>
      <c r="E352" t="str">
        <f t="shared" si="78"/>
        <v>89301167</v>
      </c>
      <c r="F352" t="str">
        <f t="shared" si="79"/>
        <v>480710460</v>
      </c>
      <c r="G352" s="1">
        <v>44585</v>
      </c>
      <c r="H352" t="str">
        <f>"81625"</f>
        <v>81625</v>
      </c>
      <c r="I352">
        <v>1</v>
      </c>
      <c r="J352">
        <v>20</v>
      </c>
      <c r="K352">
        <v>0</v>
      </c>
      <c r="L352">
        <v>15.6</v>
      </c>
    </row>
    <row r="353" spans="1:12" x14ac:dyDescent="0.25">
      <c r="A353" t="str">
        <f t="shared" si="71"/>
        <v>89301000</v>
      </c>
      <c r="B353" t="str">
        <f t="shared" si="77"/>
        <v>87669000</v>
      </c>
      <c r="C353" t="str">
        <f t="shared" si="77"/>
        <v>87669000</v>
      </c>
      <c r="D353" t="str">
        <f t="shared" si="74"/>
        <v>801</v>
      </c>
      <c r="E353" t="str">
        <f t="shared" si="78"/>
        <v>89301167</v>
      </c>
      <c r="F353" t="str">
        <f t="shared" si="79"/>
        <v>480710460</v>
      </c>
      <c r="G353" s="1">
        <v>44585</v>
      </c>
      <c r="H353" t="str">
        <f>"91153"</f>
        <v>91153</v>
      </c>
      <c r="I353">
        <v>1</v>
      </c>
      <c r="J353">
        <v>152</v>
      </c>
      <c r="K353">
        <v>0</v>
      </c>
      <c r="L353">
        <v>118.56</v>
      </c>
    </row>
    <row r="354" spans="1:12" x14ac:dyDescent="0.25">
      <c r="A354" t="str">
        <f t="shared" si="71"/>
        <v>89301000</v>
      </c>
      <c r="B354" t="str">
        <f t="shared" si="77"/>
        <v>87669000</v>
      </c>
      <c r="C354" t="str">
        <f t="shared" si="77"/>
        <v>87669000</v>
      </c>
      <c r="D354" t="str">
        <f t="shared" si="74"/>
        <v>801</v>
      </c>
      <c r="E354" t="str">
        <f t="shared" si="78"/>
        <v>89301167</v>
      </c>
      <c r="F354" t="str">
        <f t="shared" si="79"/>
        <v>480710460</v>
      </c>
      <c r="G354" s="1">
        <v>44585</v>
      </c>
      <c r="H354" t="str">
        <f>"96167"</f>
        <v>96167</v>
      </c>
      <c r="I354">
        <v>1</v>
      </c>
      <c r="J354">
        <v>67</v>
      </c>
      <c r="K354">
        <v>0</v>
      </c>
      <c r="L354">
        <v>52.26</v>
      </c>
    </row>
    <row r="355" spans="1:12" x14ac:dyDescent="0.25">
      <c r="A355" t="str">
        <f t="shared" si="71"/>
        <v>89301000</v>
      </c>
      <c r="B355" t="str">
        <f t="shared" si="77"/>
        <v>87669000</v>
      </c>
      <c r="C355" t="str">
        <f t="shared" si="77"/>
        <v>87669000</v>
      </c>
      <c r="D355" t="str">
        <f t="shared" si="74"/>
        <v>801</v>
      </c>
      <c r="E355" t="str">
        <f t="shared" si="78"/>
        <v>89301167</v>
      </c>
      <c r="F355" t="str">
        <f t="shared" si="79"/>
        <v>480710460</v>
      </c>
      <c r="G355" s="1">
        <v>44585</v>
      </c>
      <c r="H355" t="str">
        <f>"97111"</f>
        <v>97111</v>
      </c>
      <c r="I355">
        <v>1</v>
      </c>
      <c r="J355">
        <v>18</v>
      </c>
      <c r="K355">
        <v>0</v>
      </c>
      <c r="L355">
        <v>14.04</v>
      </c>
    </row>
    <row r="356" spans="1:12" x14ac:dyDescent="0.25">
      <c r="A356" t="str">
        <f t="shared" si="71"/>
        <v>89301000</v>
      </c>
      <c r="B356" t="str">
        <f t="shared" ref="B356:B387" si="80">"06539000"</f>
        <v>06539000</v>
      </c>
      <c r="C356" t="str">
        <f>"06539003"</f>
        <v>06539003</v>
      </c>
      <c r="D356" t="str">
        <f>"813"</f>
        <v>813</v>
      </c>
      <c r="E356" t="str">
        <f>"89301171"</f>
        <v>89301171</v>
      </c>
      <c r="F356" t="str">
        <f>"6456282041"</f>
        <v>6456282041</v>
      </c>
      <c r="G356" s="1">
        <v>44563</v>
      </c>
      <c r="H356" t="str">
        <f>"91197"</f>
        <v>91197</v>
      </c>
      <c r="I356">
        <v>1</v>
      </c>
      <c r="J356">
        <v>1046</v>
      </c>
      <c r="K356">
        <v>0</v>
      </c>
      <c r="L356">
        <v>815.88</v>
      </c>
    </row>
    <row r="357" spans="1:12" x14ac:dyDescent="0.25">
      <c r="A357" t="str">
        <f t="shared" si="71"/>
        <v>89301000</v>
      </c>
      <c r="B357" t="str">
        <f t="shared" si="80"/>
        <v>06539000</v>
      </c>
      <c r="C357" t="str">
        <f>"06539003"</f>
        <v>06539003</v>
      </c>
      <c r="D357" t="str">
        <f>"813"</f>
        <v>813</v>
      </c>
      <c r="E357" t="str">
        <f>"89301171"</f>
        <v>89301171</v>
      </c>
      <c r="F357" t="str">
        <f>"6456282041"</f>
        <v>6456282041</v>
      </c>
      <c r="G357" s="1">
        <v>44563</v>
      </c>
      <c r="H357" t="str">
        <f>"91197"</f>
        <v>91197</v>
      </c>
      <c r="I357">
        <v>1</v>
      </c>
      <c r="J357">
        <v>1046</v>
      </c>
      <c r="K357">
        <v>0</v>
      </c>
      <c r="L357">
        <v>815.88</v>
      </c>
    </row>
    <row r="358" spans="1:12" x14ac:dyDescent="0.25">
      <c r="A358" t="str">
        <f t="shared" si="71"/>
        <v>89301000</v>
      </c>
      <c r="B358" t="str">
        <f t="shared" si="80"/>
        <v>06539000</v>
      </c>
      <c r="C358" t="str">
        <f>"06539003"</f>
        <v>06539003</v>
      </c>
      <c r="D358" t="str">
        <f>"813"</f>
        <v>813</v>
      </c>
      <c r="E358" t="str">
        <f>"89301171"</f>
        <v>89301171</v>
      </c>
      <c r="F358" t="str">
        <f>"6456282041"</f>
        <v>6456282041</v>
      </c>
      <c r="G358" s="1">
        <v>44562</v>
      </c>
      <c r="H358" t="str">
        <f>"91197"</f>
        <v>91197</v>
      </c>
      <c r="I358">
        <v>1</v>
      </c>
      <c r="J358">
        <v>1046</v>
      </c>
      <c r="K358">
        <v>0</v>
      </c>
      <c r="L358">
        <v>815.88</v>
      </c>
    </row>
    <row r="359" spans="1:12" x14ac:dyDescent="0.25">
      <c r="A359" t="str">
        <f t="shared" si="71"/>
        <v>89301000</v>
      </c>
      <c r="B359" t="str">
        <f t="shared" si="80"/>
        <v>06539000</v>
      </c>
      <c r="C359" t="str">
        <f>"06539003"</f>
        <v>06539003</v>
      </c>
      <c r="D359" t="str">
        <f>"813"</f>
        <v>813</v>
      </c>
      <c r="E359" t="str">
        <f>"89301171"</f>
        <v>89301171</v>
      </c>
      <c r="F359" t="str">
        <f>"6456282041"</f>
        <v>6456282041</v>
      </c>
      <c r="G359" s="1">
        <v>44562</v>
      </c>
      <c r="H359" t="str">
        <f>"91197"</f>
        <v>91197</v>
      </c>
      <c r="I359">
        <v>1</v>
      </c>
      <c r="J359">
        <v>1046</v>
      </c>
      <c r="K359">
        <v>0</v>
      </c>
      <c r="L359">
        <v>815.88</v>
      </c>
    </row>
    <row r="360" spans="1:12" x14ac:dyDescent="0.25">
      <c r="A360" t="str">
        <f t="shared" si="71"/>
        <v>89301000</v>
      </c>
      <c r="B360" t="str">
        <f t="shared" si="80"/>
        <v>06539000</v>
      </c>
      <c r="C360" t="str">
        <f>"06539001"</f>
        <v>06539001</v>
      </c>
      <c r="D360" t="str">
        <f>"801"</f>
        <v>801</v>
      </c>
      <c r="E360" t="str">
        <f t="shared" ref="E360:E406" si="81">"89301172"</f>
        <v>89301172</v>
      </c>
      <c r="F360" t="str">
        <f t="shared" ref="F360:F406" si="82">"9358105757"</f>
        <v>9358105757</v>
      </c>
      <c r="G360" s="1">
        <v>44568</v>
      </c>
      <c r="H360" t="str">
        <f>"81329"</f>
        <v>81329</v>
      </c>
      <c r="I360">
        <v>1</v>
      </c>
      <c r="J360">
        <v>16</v>
      </c>
      <c r="K360">
        <v>0</v>
      </c>
      <c r="L360">
        <v>12.48</v>
      </c>
    </row>
    <row r="361" spans="1:12" x14ac:dyDescent="0.25">
      <c r="A361" t="str">
        <f t="shared" si="71"/>
        <v>89301000</v>
      </c>
      <c r="B361" t="str">
        <f t="shared" si="80"/>
        <v>06539000</v>
      </c>
      <c r="C361" t="str">
        <f>"06539001"</f>
        <v>06539001</v>
      </c>
      <c r="D361" t="str">
        <f>"801"</f>
        <v>801</v>
      </c>
      <c r="E361" t="str">
        <f t="shared" si="81"/>
        <v>89301172</v>
      </c>
      <c r="F361" t="str">
        <f t="shared" si="82"/>
        <v>9358105757</v>
      </c>
      <c r="G361" s="1">
        <v>44568</v>
      </c>
      <c r="H361" t="str">
        <f>"81331"</f>
        <v>81331</v>
      </c>
      <c r="I361">
        <v>1</v>
      </c>
      <c r="J361">
        <v>193</v>
      </c>
      <c r="K361">
        <v>0</v>
      </c>
      <c r="L361">
        <v>150.54</v>
      </c>
    </row>
    <row r="362" spans="1:12" x14ac:dyDescent="0.25">
      <c r="A362" t="str">
        <f t="shared" si="71"/>
        <v>89301000</v>
      </c>
      <c r="B362" t="str">
        <f t="shared" si="80"/>
        <v>06539000</v>
      </c>
      <c r="C362" t="str">
        <f t="shared" ref="C362:C369" si="83">"06539002"</f>
        <v>06539002</v>
      </c>
      <c r="D362" t="str">
        <f t="shared" ref="D362:D369" si="84">"802"</f>
        <v>802</v>
      </c>
      <c r="E362" t="str">
        <f t="shared" si="81"/>
        <v>89301172</v>
      </c>
      <c r="F362" t="str">
        <f t="shared" si="82"/>
        <v>9358105757</v>
      </c>
      <c r="G362" s="1">
        <v>44568</v>
      </c>
      <c r="H362" t="str">
        <f t="shared" ref="H362:H369" si="85">"82097"</f>
        <v>82097</v>
      </c>
      <c r="I362">
        <v>1</v>
      </c>
      <c r="J362">
        <v>380</v>
      </c>
      <c r="K362">
        <v>0</v>
      </c>
      <c r="L362">
        <v>345.8</v>
      </c>
    </row>
    <row r="363" spans="1:12" x14ac:dyDescent="0.25">
      <c r="A363" t="str">
        <f t="shared" si="71"/>
        <v>89301000</v>
      </c>
      <c r="B363" t="str">
        <f t="shared" si="80"/>
        <v>06539000</v>
      </c>
      <c r="C363" t="str">
        <f t="shared" si="83"/>
        <v>06539002</v>
      </c>
      <c r="D363" t="str">
        <f t="shared" si="84"/>
        <v>802</v>
      </c>
      <c r="E363" t="str">
        <f t="shared" si="81"/>
        <v>89301172</v>
      </c>
      <c r="F363" t="str">
        <f t="shared" si="82"/>
        <v>9358105757</v>
      </c>
      <c r="G363" s="1">
        <v>44568</v>
      </c>
      <c r="H363" t="str">
        <f t="shared" si="85"/>
        <v>82097</v>
      </c>
      <c r="I363">
        <v>1</v>
      </c>
      <c r="J363">
        <v>380</v>
      </c>
      <c r="K363">
        <v>0</v>
      </c>
      <c r="L363">
        <v>345.8</v>
      </c>
    </row>
    <row r="364" spans="1:12" x14ac:dyDescent="0.25">
      <c r="A364" t="str">
        <f t="shared" si="71"/>
        <v>89301000</v>
      </c>
      <c r="B364" t="str">
        <f t="shared" si="80"/>
        <v>06539000</v>
      </c>
      <c r="C364" t="str">
        <f t="shared" si="83"/>
        <v>06539002</v>
      </c>
      <c r="D364" t="str">
        <f t="shared" si="84"/>
        <v>802</v>
      </c>
      <c r="E364" t="str">
        <f t="shared" si="81"/>
        <v>89301172</v>
      </c>
      <c r="F364" t="str">
        <f t="shared" si="82"/>
        <v>9358105757</v>
      </c>
      <c r="G364" s="1">
        <v>44568</v>
      </c>
      <c r="H364" t="str">
        <f t="shared" si="85"/>
        <v>82097</v>
      </c>
      <c r="I364">
        <v>1</v>
      </c>
      <c r="J364">
        <v>380</v>
      </c>
      <c r="K364">
        <v>0</v>
      </c>
      <c r="L364">
        <v>345.8</v>
      </c>
    </row>
    <row r="365" spans="1:12" x14ac:dyDescent="0.25">
      <c r="A365" t="str">
        <f t="shared" si="71"/>
        <v>89301000</v>
      </c>
      <c r="B365" t="str">
        <f t="shared" si="80"/>
        <v>06539000</v>
      </c>
      <c r="C365" t="str">
        <f t="shared" si="83"/>
        <v>06539002</v>
      </c>
      <c r="D365" t="str">
        <f t="shared" si="84"/>
        <v>802</v>
      </c>
      <c r="E365" t="str">
        <f t="shared" si="81"/>
        <v>89301172</v>
      </c>
      <c r="F365" t="str">
        <f t="shared" si="82"/>
        <v>9358105757</v>
      </c>
      <c r="G365" s="1">
        <v>44568</v>
      </c>
      <c r="H365" t="str">
        <f t="shared" si="85"/>
        <v>82097</v>
      </c>
      <c r="I365">
        <v>1</v>
      </c>
      <c r="J365">
        <v>380</v>
      </c>
      <c r="K365">
        <v>0</v>
      </c>
      <c r="L365">
        <v>345.8</v>
      </c>
    </row>
    <row r="366" spans="1:12" x14ac:dyDescent="0.25">
      <c r="A366" t="str">
        <f t="shared" si="71"/>
        <v>89301000</v>
      </c>
      <c r="B366" t="str">
        <f t="shared" si="80"/>
        <v>06539000</v>
      </c>
      <c r="C366" t="str">
        <f t="shared" si="83"/>
        <v>06539002</v>
      </c>
      <c r="D366" t="str">
        <f t="shared" si="84"/>
        <v>802</v>
      </c>
      <c r="E366" t="str">
        <f t="shared" si="81"/>
        <v>89301172</v>
      </c>
      <c r="F366" t="str">
        <f t="shared" si="82"/>
        <v>9358105757</v>
      </c>
      <c r="G366" s="1">
        <v>44568</v>
      </c>
      <c r="H366" t="str">
        <f t="shared" si="85"/>
        <v>82097</v>
      </c>
      <c r="I366">
        <v>1</v>
      </c>
      <c r="J366">
        <v>380</v>
      </c>
      <c r="K366">
        <v>0</v>
      </c>
      <c r="L366">
        <v>345.8</v>
      </c>
    </row>
    <row r="367" spans="1:12" x14ac:dyDescent="0.25">
      <c r="A367" t="str">
        <f t="shared" si="71"/>
        <v>89301000</v>
      </c>
      <c r="B367" t="str">
        <f t="shared" si="80"/>
        <v>06539000</v>
      </c>
      <c r="C367" t="str">
        <f t="shared" si="83"/>
        <v>06539002</v>
      </c>
      <c r="D367" t="str">
        <f t="shared" si="84"/>
        <v>802</v>
      </c>
      <c r="E367" t="str">
        <f t="shared" si="81"/>
        <v>89301172</v>
      </c>
      <c r="F367" t="str">
        <f t="shared" si="82"/>
        <v>9358105757</v>
      </c>
      <c r="G367" s="1">
        <v>44568</v>
      </c>
      <c r="H367" t="str">
        <f t="shared" si="85"/>
        <v>82097</v>
      </c>
      <c r="I367">
        <v>1</v>
      </c>
      <c r="J367">
        <v>380</v>
      </c>
      <c r="K367">
        <v>0</v>
      </c>
      <c r="L367">
        <v>345.8</v>
      </c>
    </row>
    <row r="368" spans="1:12" x14ac:dyDescent="0.25">
      <c r="A368" t="str">
        <f t="shared" si="71"/>
        <v>89301000</v>
      </c>
      <c r="B368" t="str">
        <f t="shared" si="80"/>
        <v>06539000</v>
      </c>
      <c r="C368" t="str">
        <f t="shared" si="83"/>
        <v>06539002</v>
      </c>
      <c r="D368" t="str">
        <f t="shared" si="84"/>
        <v>802</v>
      </c>
      <c r="E368" t="str">
        <f t="shared" si="81"/>
        <v>89301172</v>
      </c>
      <c r="F368" t="str">
        <f t="shared" si="82"/>
        <v>9358105757</v>
      </c>
      <c r="G368" s="1">
        <v>44568</v>
      </c>
      <c r="H368" t="str">
        <f t="shared" si="85"/>
        <v>82097</v>
      </c>
      <c r="I368">
        <v>1</v>
      </c>
      <c r="J368">
        <v>380</v>
      </c>
      <c r="K368">
        <v>0</v>
      </c>
      <c r="L368">
        <v>345.8</v>
      </c>
    </row>
    <row r="369" spans="1:12" x14ac:dyDescent="0.25">
      <c r="A369" t="str">
        <f t="shared" si="71"/>
        <v>89301000</v>
      </c>
      <c r="B369" t="str">
        <f t="shared" si="80"/>
        <v>06539000</v>
      </c>
      <c r="C369" t="str">
        <f t="shared" si="83"/>
        <v>06539002</v>
      </c>
      <c r="D369" t="str">
        <f t="shared" si="84"/>
        <v>802</v>
      </c>
      <c r="E369" t="str">
        <f t="shared" si="81"/>
        <v>89301172</v>
      </c>
      <c r="F369" t="str">
        <f t="shared" si="82"/>
        <v>9358105757</v>
      </c>
      <c r="G369" s="1">
        <v>44568</v>
      </c>
      <c r="H369" t="str">
        <f t="shared" si="85"/>
        <v>82097</v>
      </c>
      <c r="I369">
        <v>1</v>
      </c>
      <c r="J369">
        <v>380</v>
      </c>
      <c r="K369">
        <v>0</v>
      </c>
      <c r="L369">
        <v>345.8</v>
      </c>
    </row>
    <row r="370" spans="1:12" x14ac:dyDescent="0.25">
      <c r="A370" t="str">
        <f t="shared" si="71"/>
        <v>89301000</v>
      </c>
      <c r="B370" t="str">
        <f t="shared" si="80"/>
        <v>06539000</v>
      </c>
      <c r="C370" t="str">
        <f t="shared" ref="C370:C407" si="86">"06539003"</f>
        <v>06539003</v>
      </c>
      <c r="D370" t="str">
        <f t="shared" ref="D370:D407" si="87">"813"</f>
        <v>813</v>
      </c>
      <c r="E370" t="str">
        <f t="shared" si="81"/>
        <v>89301172</v>
      </c>
      <c r="F370" t="str">
        <f t="shared" si="82"/>
        <v>9358105757</v>
      </c>
      <c r="G370" s="1">
        <v>44568</v>
      </c>
      <c r="H370" t="str">
        <f>"91439"</f>
        <v>91439</v>
      </c>
      <c r="I370">
        <v>2</v>
      </c>
      <c r="J370">
        <v>712</v>
      </c>
      <c r="K370">
        <v>0</v>
      </c>
      <c r="L370">
        <v>555.36</v>
      </c>
    </row>
    <row r="371" spans="1:12" x14ac:dyDescent="0.25">
      <c r="A371" t="str">
        <f t="shared" si="71"/>
        <v>89301000</v>
      </c>
      <c r="B371" t="str">
        <f t="shared" si="80"/>
        <v>06539000</v>
      </c>
      <c r="C371" t="str">
        <f t="shared" si="86"/>
        <v>06539003</v>
      </c>
      <c r="D371" t="str">
        <f t="shared" si="87"/>
        <v>813</v>
      </c>
      <c r="E371" t="str">
        <f t="shared" si="81"/>
        <v>89301172</v>
      </c>
      <c r="F371" t="str">
        <f t="shared" si="82"/>
        <v>9358105757</v>
      </c>
      <c r="G371" s="1">
        <v>44568</v>
      </c>
      <c r="H371" t="str">
        <f>"91439"</f>
        <v>91439</v>
      </c>
      <c r="I371">
        <v>1</v>
      </c>
      <c r="J371">
        <v>356</v>
      </c>
      <c r="K371">
        <v>0</v>
      </c>
      <c r="L371">
        <v>277.68</v>
      </c>
    </row>
    <row r="372" spans="1:12" x14ac:dyDescent="0.25">
      <c r="A372" t="str">
        <f t="shared" si="71"/>
        <v>89301000</v>
      </c>
      <c r="B372" t="str">
        <f t="shared" si="80"/>
        <v>06539000</v>
      </c>
      <c r="C372" t="str">
        <f t="shared" si="86"/>
        <v>06539003</v>
      </c>
      <c r="D372" t="str">
        <f t="shared" si="87"/>
        <v>813</v>
      </c>
      <c r="E372" t="str">
        <f t="shared" si="81"/>
        <v>89301172</v>
      </c>
      <c r="F372" t="str">
        <f t="shared" si="82"/>
        <v>9358105757</v>
      </c>
      <c r="G372" s="1">
        <v>44568</v>
      </c>
      <c r="H372" t="str">
        <f>"91439"</f>
        <v>91439</v>
      </c>
      <c r="I372">
        <v>1</v>
      </c>
      <c r="J372">
        <v>356</v>
      </c>
      <c r="K372">
        <v>0</v>
      </c>
      <c r="L372">
        <v>277.68</v>
      </c>
    </row>
    <row r="373" spans="1:12" x14ac:dyDescent="0.25">
      <c r="A373" t="str">
        <f t="shared" si="71"/>
        <v>89301000</v>
      </c>
      <c r="B373" t="str">
        <f t="shared" si="80"/>
        <v>06539000</v>
      </c>
      <c r="C373" t="str">
        <f t="shared" si="86"/>
        <v>06539003</v>
      </c>
      <c r="D373" t="str">
        <f t="shared" si="87"/>
        <v>813</v>
      </c>
      <c r="E373" t="str">
        <f t="shared" si="81"/>
        <v>89301172</v>
      </c>
      <c r="F373" t="str">
        <f t="shared" si="82"/>
        <v>9358105757</v>
      </c>
      <c r="G373" s="1">
        <v>44568</v>
      </c>
      <c r="H373" t="str">
        <f>"91439"</f>
        <v>91439</v>
      </c>
      <c r="I373">
        <v>1</v>
      </c>
      <c r="J373">
        <v>356</v>
      </c>
      <c r="K373">
        <v>0</v>
      </c>
      <c r="L373">
        <v>277.68</v>
      </c>
    </row>
    <row r="374" spans="1:12" x14ac:dyDescent="0.25">
      <c r="A374" t="str">
        <f t="shared" si="71"/>
        <v>89301000</v>
      </c>
      <c r="B374" t="str">
        <f t="shared" si="80"/>
        <v>06539000</v>
      </c>
      <c r="C374" t="str">
        <f t="shared" si="86"/>
        <v>06539003</v>
      </c>
      <c r="D374" t="str">
        <f t="shared" si="87"/>
        <v>813</v>
      </c>
      <c r="E374" t="str">
        <f t="shared" si="81"/>
        <v>89301172</v>
      </c>
      <c r="F374" t="str">
        <f t="shared" si="82"/>
        <v>9358105757</v>
      </c>
      <c r="G374" s="1">
        <v>44568</v>
      </c>
      <c r="H374" t="str">
        <f>"91439"</f>
        <v>91439</v>
      </c>
      <c r="I374">
        <v>1</v>
      </c>
      <c r="J374">
        <v>356</v>
      </c>
      <c r="K374">
        <v>0</v>
      </c>
      <c r="L374">
        <v>277.68</v>
      </c>
    </row>
    <row r="375" spans="1:12" x14ac:dyDescent="0.25">
      <c r="A375" t="str">
        <f t="shared" si="71"/>
        <v>89301000</v>
      </c>
      <c r="B375" t="str">
        <f t="shared" si="80"/>
        <v>06539000</v>
      </c>
      <c r="C375" t="str">
        <f t="shared" si="86"/>
        <v>06539003</v>
      </c>
      <c r="D375" t="str">
        <f t="shared" si="87"/>
        <v>813</v>
      </c>
      <c r="E375" t="str">
        <f t="shared" si="81"/>
        <v>89301172</v>
      </c>
      <c r="F375" t="str">
        <f t="shared" si="82"/>
        <v>9358105757</v>
      </c>
      <c r="G375" s="1">
        <v>44568</v>
      </c>
      <c r="H375" t="str">
        <f t="shared" ref="H375:H384" si="88">"91413"</f>
        <v>91413</v>
      </c>
      <c r="I375">
        <v>1</v>
      </c>
      <c r="J375">
        <v>853</v>
      </c>
      <c r="K375">
        <v>0</v>
      </c>
      <c r="L375">
        <v>665.34</v>
      </c>
    </row>
    <row r="376" spans="1:12" x14ac:dyDescent="0.25">
      <c r="A376" t="str">
        <f t="shared" si="71"/>
        <v>89301000</v>
      </c>
      <c r="B376" t="str">
        <f t="shared" si="80"/>
        <v>06539000</v>
      </c>
      <c r="C376" t="str">
        <f t="shared" si="86"/>
        <v>06539003</v>
      </c>
      <c r="D376" t="str">
        <f t="shared" si="87"/>
        <v>813</v>
      </c>
      <c r="E376" t="str">
        <f t="shared" si="81"/>
        <v>89301172</v>
      </c>
      <c r="F376" t="str">
        <f t="shared" si="82"/>
        <v>9358105757</v>
      </c>
      <c r="G376" s="1">
        <v>44568</v>
      </c>
      <c r="H376" t="str">
        <f t="shared" si="88"/>
        <v>91413</v>
      </c>
      <c r="I376">
        <v>1</v>
      </c>
      <c r="J376">
        <v>853</v>
      </c>
      <c r="K376">
        <v>0</v>
      </c>
      <c r="L376">
        <v>665.34</v>
      </c>
    </row>
    <row r="377" spans="1:12" x14ac:dyDescent="0.25">
      <c r="A377" t="str">
        <f t="shared" si="71"/>
        <v>89301000</v>
      </c>
      <c r="B377" t="str">
        <f t="shared" si="80"/>
        <v>06539000</v>
      </c>
      <c r="C377" t="str">
        <f t="shared" si="86"/>
        <v>06539003</v>
      </c>
      <c r="D377" t="str">
        <f t="shared" si="87"/>
        <v>813</v>
      </c>
      <c r="E377" t="str">
        <f t="shared" si="81"/>
        <v>89301172</v>
      </c>
      <c r="F377" t="str">
        <f t="shared" si="82"/>
        <v>9358105757</v>
      </c>
      <c r="G377" s="1">
        <v>44568</v>
      </c>
      <c r="H377" t="str">
        <f t="shared" si="88"/>
        <v>91413</v>
      </c>
      <c r="I377">
        <v>1</v>
      </c>
      <c r="J377">
        <v>853</v>
      </c>
      <c r="K377">
        <v>0</v>
      </c>
      <c r="L377">
        <v>665.34</v>
      </c>
    </row>
    <row r="378" spans="1:12" x14ac:dyDescent="0.25">
      <c r="A378" t="str">
        <f t="shared" si="71"/>
        <v>89301000</v>
      </c>
      <c r="B378" t="str">
        <f t="shared" si="80"/>
        <v>06539000</v>
      </c>
      <c r="C378" t="str">
        <f t="shared" si="86"/>
        <v>06539003</v>
      </c>
      <c r="D378" t="str">
        <f t="shared" si="87"/>
        <v>813</v>
      </c>
      <c r="E378" t="str">
        <f t="shared" si="81"/>
        <v>89301172</v>
      </c>
      <c r="F378" t="str">
        <f t="shared" si="82"/>
        <v>9358105757</v>
      </c>
      <c r="G378" s="1">
        <v>44568</v>
      </c>
      <c r="H378" t="str">
        <f t="shared" si="88"/>
        <v>91413</v>
      </c>
      <c r="I378">
        <v>1</v>
      </c>
      <c r="J378">
        <v>853</v>
      </c>
      <c r="K378">
        <v>0</v>
      </c>
      <c r="L378">
        <v>665.34</v>
      </c>
    </row>
    <row r="379" spans="1:12" x14ac:dyDescent="0.25">
      <c r="A379" t="str">
        <f t="shared" si="71"/>
        <v>89301000</v>
      </c>
      <c r="B379" t="str">
        <f t="shared" si="80"/>
        <v>06539000</v>
      </c>
      <c r="C379" t="str">
        <f t="shared" si="86"/>
        <v>06539003</v>
      </c>
      <c r="D379" t="str">
        <f t="shared" si="87"/>
        <v>813</v>
      </c>
      <c r="E379" t="str">
        <f t="shared" si="81"/>
        <v>89301172</v>
      </c>
      <c r="F379" t="str">
        <f t="shared" si="82"/>
        <v>9358105757</v>
      </c>
      <c r="G379" s="1">
        <v>44568</v>
      </c>
      <c r="H379" t="str">
        <f t="shared" si="88"/>
        <v>91413</v>
      </c>
      <c r="I379">
        <v>1</v>
      </c>
      <c r="J379">
        <v>853</v>
      </c>
      <c r="K379">
        <v>0</v>
      </c>
      <c r="L379">
        <v>665.34</v>
      </c>
    </row>
    <row r="380" spans="1:12" x14ac:dyDescent="0.25">
      <c r="A380" t="str">
        <f t="shared" si="71"/>
        <v>89301000</v>
      </c>
      <c r="B380" t="str">
        <f t="shared" si="80"/>
        <v>06539000</v>
      </c>
      <c r="C380" t="str">
        <f t="shared" si="86"/>
        <v>06539003</v>
      </c>
      <c r="D380" t="str">
        <f t="shared" si="87"/>
        <v>813</v>
      </c>
      <c r="E380" t="str">
        <f t="shared" si="81"/>
        <v>89301172</v>
      </c>
      <c r="F380" t="str">
        <f t="shared" si="82"/>
        <v>9358105757</v>
      </c>
      <c r="G380" s="1">
        <v>44568</v>
      </c>
      <c r="H380" t="str">
        <f t="shared" si="88"/>
        <v>91413</v>
      </c>
      <c r="I380">
        <v>1</v>
      </c>
      <c r="J380">
        <v>853</v>
      </c>
      <c r="K380">
        <v>0</v>
      </c>
      <c r="L380">
        <v>665.34</v>
      </c>
    </row>
    <row r="381" spans="1:12" x14ac:dyDescent="0.25">
      <c r="A381" t="str">
        <f t="shared" si="71"/>
        <v>89301000</v>
      </c>
      <c r="B381" t="str">
        <f t="shared" si="80"/>
        <v>06539000</v>
      </c>
      <c r="C381" t="str">
        <f t="shared" si="86"/>
        <v>06539003</v>
      </c>
      <c r="D381" t="str">
        <f t="shared" si="87"/>
        <v>813</v>
      </c>
      <c r="E381" t="str">
        <f t="shared" si="81"/>
        <v>89301172</v>
      </c>
      <c r="F381" t="str">
        <f t="shared" si="82"/>
        <v>9358105757</v>
      </c>
      <c r="G381" s="1">
        <v>44568</v>
      </c>
      <c r="H381" t="str">
        <f t="shared" si="88"/>
        <v>91413</v>
      </c>
      <c r="I381">
        <v>1</v>
      </c>
      <c r="J381">
        <v>853</v>
      </c>
      <c r="K381">
        <v>0</v>
      </c>
      <c r="L381">
        <v>665.34</v>
      </c>
    </row>
    <row r="382" spans="1:12" x14ac:dyDescent="0.25">
      <c r="A382" t="str">
        <f t="shared" si="71"/>
        <v>89301000</v>
      </c>
      <c r="B382" t="str">
        <f t="shared" si="80"/>
        <v>06539000</v>
      </c>
      <c r="C382" t="str">
        <f t="shared" si="86"/>
        <v>06539003</v>
      </c>
      <c r="D382" t="str">
        <f t="shared" si="87"/>
        <v>813</v>
      </c>
      <c r="E382" t="str">
        <f t="shared" si="81"/>
        <v>89301172</v>
      </c>
      <c r="F382" t="str">
        <f t="shared" si="82"/>
        <v>9358105757</v>
      </c>
      <c r="G382" s="1">
        <v>44568</v>
      </c>
      <c r="H382" t="str">
        <f t="shared" si="88"/>
        <v>91413</v>
      </c>
      <c r="I382">
        <v>1</v>
      </c>
      <c r="J382">
        <v>853</v>
      </c>
      <c r="K382">
        <v>0</v>
      </c>
      <c r="L382">
        <v>665.34</v>
      </c>
    </row>
    <row r="383" spans="1:12" x14ac:dyDescent="0.25">
      <c r="A383" t="str">
        <f t="shared" si="71"/>
        <v>89301000</v>
      </c>
      <c r="B383" t="str">
        <f t="shared" si="80"/>
        <v>06539000</v>
      </c>
      <c r="C383" t="str">
        <f t="shared" si="86"/>
        <v>06539003</v>
      </c>
      <c r="D383" t="str">
        <f t="shared" si="87"/>
        <v>813</v>
      </c>
      <c r="E383" t="str">
        <f t="shared" si="81"/>
        <v>89301172</v>
      </c>
      <c r="F383" t="str">
        <f t="shared" si="82"/>
        <v>9358105757</v>
      </c>
      <c r="G383" s="1">
        <v>44568</v>
      </c>
      <c r="H383" t="str">
        <f t="shared" si="88"/>
        <v>91413</v>
      </c>
      <c r="I383">
        <v>1</v>
      </c>
      <c r="J383">
        <v>853</v>
      </c>
      <c r="K383">
        <v>0</v>
      </c>
      <c r="L383">
        <v>665.34</v>
      </c>
    </row>
    <row r="384" spans="1:12" x14ac:dyDescent="0.25">
      <c r="A384" t="str">
        <f t="shared" si="71"/>
        <v>89301000</v>
      </c>
      <c r="B384" t="str">
        <f t="shared" si="80"/>
        <v>06539000</v>
      </c>
      <c r="C384" t="str">
        <f t="shared" si="86"/>
        <v>06539003</v>
      </c>
      <c r="D384" t="str">
        <f t="shared" si="87"/>
        <v>813</v>
      </c>
      <c r="E384" t="str">
        <f t="shared" si="81"/>
        <v>89301172</v>
      </c>
      <c r="F384" t="str">
        <f t="shared" si="82"/>
        <v>9358105757</v>
      </c>
      <c r="G384" s="1">
        <v>44568</v>
      </c>
      <c r="H384" t="str">
        <f t="shared" si="88"/>
        <v>91413</v>
      </c>
      <c r="I384">
        <v>1</v>
      </c>
      <c r="J384">
        <v>853</v>
      </c>
      <c r="K384">
        <v>0</v>
      </c>
      <c r="L384">
        <v>665.34</v>
      </c>
    </row>
    <row r="385" spans="1:12" x14ac:dyDescent="0.25">
      <c r="A385" t="str">
        <f t="shared" si="71"/>
        <v>89301000</v>
      </c>
      <c r="B385" t="str">
        <f t="shared" si="80"/>
        <v>06539000</v>
      </c>
      <c r="C385" t="str">
        <f t="shared" si="86"/>
        <v>06539003</v>
      </c>
      <c r="D385" t="str">
        <f t="shared" si="87"/>
        <v>813</v>
      </c>
      <c r="E385" t="str">
        <f t="shared" si="81"/>
        <v>89301172</v>
      </c>
      <c r="F385" t="str">
        <f t="shared" si="82"/>
        <v>9358105757</v>
      </c>
      <c r="G385" s="1">
        <v>44568</v>
      </c>
      <c r="H385" t="str">
        <f t="shared" ref="H385:H391" si="89">"91197"</f>
        <v>91197</v>
      </c>
      <c r="I385">
        <v>1</v>
      </c>
      <c r="J385">
        <v>1046</v>
      </c>
      <c r="K385">
        <v>0</v>
      </c>
      <c r="L385">
        <v>815.88</v>
      </c>
    </row>
    <row r="386" spans="1:12" x14ac:dyDescent="0.25">
      <c r="A386" t="str">
        <f t="shared" ref="A386:A449" si="90">"89301000"</f>
        <v>89301000</v>
      </c>
      <c r="B386" t="str">
        <f t="shared" si="80"/>
        <v>06539000</v>
      </c>
      <c r="C386" t="str">
        <f t="shared" si="86"/>
        <v>06539003</v>
      </c>
      <c r="D386" t="str">
        <f t="shared" si="87"/>
        <v>813</v>
      </c>
      <c r="E386" t="str">
        <f t="shared" si="81"/>
        <v>89301172</v>
      </c>
      <c r="F386" t="str">
        <f t="shared" si="82"/>
        <v>9358105757</v>
      </c>
      <c r="G386" s="1">
        <v>44571</v>
      </c>
      <c r="H386" t="str">
        <f t="shared" si="89"/>
        <v>91197</v>
      </c>
      <c r="I386">
        <v>1</v>
      </c>
      <c r="J386">
        <v>1046</v>
      </c>
      <c r="K386">
        <v>0</v>
      </c>
      <c r="L386">
        <v>815.88</v>
      </c>
    </row>
    <row r="387" spans="1:12" x14ac:dyDescent="0.25">
      <c r="A387" t="str">
        <f t="shared" si="90"/>
        <v>89301000</v>
      </c>
      <c r="B387" t="str">
        <f t="shared" si="80"/>
        <v>06539000</v>
      </c>
      <c r="C387" t="str">
        <f t="shared" si="86"/>
        <v>06539003</v>
      </c>
      <c r="D387" t="str">
        <f t="shared" si="87"/>
        <v>813</v>
      </c>
      <c r="E387" t="str">
        <f t="shared" si="81"/>
        <v>89301172</v>
      </c>
      <c r="F387" t="str">
        <f t="shared" si="82"/>
        <v>9358105757</v>
      </c>
      <c r="G387" s="1">
        <v>44571</v>
      </c>
      <c r="H387" t="str">
        <f t="shared" si="89"/>
        <v>91197</v>
      </c>
      <c r="I387">
        <v>1</v>
      </c>
      <c r="J387">
        <v>1046</v>
      </c>
      <c r="K387">
        <v>0</v>
      </c>
      <c r="L387">
        <v>815.88</v>
      </c>
    </row>
    <row r="388" spans="1:12" x14ac:dyDescent="0.25">
      <c r="A388" t="str">
        <f t="shared" si="90"/>
        <v>89301000</v>
      </c>
      <c r="B388" t="str">
        <f t="shared" ref="B388:B419" si="91">"06539000"</f>
        <v>06539000</v>
      </c>
      <c r="C388" t="str">
        <f t="shared" si="86"/>
        <v>06539003</v>
      </c>
      <c r="D388" t="str">
        <f t="shared" si="87"/>
        <v>813</v>
      </c>
      <c r="E388" t="str">
        <f t="shared" si="81"/>
        <v>89301172</v>
      </c>
      <c r="F388" t="str">
        <f t="shared" si="82"/>
        <v>9358105757</v>
      </c>
      <c r="G388" s="1">
        <v>44570</v>
      </c>
      <c r="H388" t="str">
        <f t="shared" si="89"/>
        <v>91197</v>
      </c>
      <c r="I388">
        <v>1</v>
      </c>
      <c r="J388">
        <v>1046</v>
      </c>
      <c r="K388">
        <v>0</v>
      </c>
      <c r="L388">
        <v>815.88</v>
      </c>
    </row>
    <row r="389" spans="1:12" x14ac:dyDescent="0.25">
      <c r="A389" t="str">
        <f t="shared" si="90"/>
        <v>89301000</v>
      </c>
      <c r="B389" t="str">
        <f t="shared" si="91"/>
        <v>06539000</v>
      </c>
      <c r="C389" t="str">
        <f t="shared" si="86"/>
        <v>06539003</v>
      </c>
      <c r="D389" t="str">
        <f t="shared" si="87"/>
        <v>813</v>
      </c>
      <c r="E389" t="str">
        <f t="shared" si="81"/>
        <v>89301172</v>
      </c>
      <c r="F389" t="str">
        <f t="shared" si="82"/>
        <v>9358105757</v>
      </c>
      <c r="G389" s="1">
        <v>44570</v>
      </c>
      <c r="H389" t="str">
        <f t="shared" si="89"/>
        <v>91197</v>
      </c>
      <c r="I389">
        <v>1</v>
      </c>
      <c r="J389">
        <v>1046</v>
      </c>
      <c r="K389">
        <v>0</v>
      </c>
      <c r="L389">
        <v>815.88</v>
      </c>
    </row>
    <row r="390" spans="1:12" x14ac:dyDescent="0.25">
      <c r="A390" t="str">
        <f t="shared" si="90"/>
        <v>89301000</v>
      </c>
      <c r="B390" t="str">
        <f t="shared" si="91"/>
        <v>06539000</v>
      </c>
      <c r="C390" t="str">
        <f t="shared" si="86"/>
        <v>06539003</v>
      </c>
      <c r="D390" t="str">
        <f t="shared" si="87"/>
        <v>813</v>
      </c>
      <c r="E390" t="str">
        <f t="shared" si="81"/>
        <v>89301172</v>
      </c>
      <c r="F390" t="str">
        <f t="shared" si="82"/>
        <v>9358105757</v>
      </c>
      <c r="G390" s="1">
        <v>44569</v>
      </c>
      <c r="H390" t="str">
        <f t="shared" si="89"/>
        <v>91197</v>
      </c>
      <c r="I390">
        <v>1</v>
      </c>
      <c r="J390">
        <v>1046</v>
      </c>
      <c r="K390">
        <v>0</v>
      </c>
      <c r="L390">
        <v>815.88</v>
      </c>
    </row>
    <row r="391" spans="1:12" x14ac:dyDescent="0.25">
      <c r="A391" t="str">
        <f t="shared" si="90"/>
        <v>89301000</v>
      </c>
      <c r="B391" t="str">
        <f t="shared" si="91"/>
        <v>06539000</v>
      </c>
      <c r="C391" t="str">
        <f t="shared" si="86"/>
        <v>06539003</v>
      </c>
      <c r="D391" t="str">
        <f t="shared" si="87"/>
        <v>813</v>
      </c>
      <c r="E391" t="str">
        <f t="shared" si="81"/>
        <v>89301172</v>
      </c>
      <c r="F391" t="str">
        <f t="shared" si="82"/>
        <v>9358105757</v>
      </c>
      <c r="G391" s="1">
        <v>44569</v>
      </c>
      <c r="H391" t="str">
        <f t="shared" si="89"/>
        <v>91197</v>
      </c>
      <c r="I391">
        <v>1</v>
      </c>
      <c r="J391">
        <v>1046</v>
      </c>
      <c r="K391">
        <v>0</v>
      </c>
      <c r="L391">
        <v>815.88</v>
      </c>
    </row>
    <row r="392" spans="1:12" x14ac:dyDescent="0.25">
      <c r="A392" t="str">
        <f t="shared" si="90"/>
        <v>89301000</v>
      </c>
      <c r="B392" t="str">
        <f t="shared" si="91"/>
        <v>06539000</v>
      </c>
      <c r="C392" t="str">
        <f t="shared" si="86"/>
        <v>06539003</v>
      </c>
      <c r="D392" t="str">
        <f t="shared" si="87"/>
        <v>813</v>
      </c>
      <c r="E392" t="str">
        <f t="shared" si="81"/>
        <v>89301172</v>
      </c>
      <c r="F392" t="str">
        <f t="shared" si="82"/>
        <v>9358105757</v>
      </c>
      <c r="G392" s="1">
        <v>44568</v>
      </c>
      <c r="H392" t="str">
        <f>"91329"</f>
        <v>91329</v>
      </c>
      <c r="I392">
        <v>2</v>
      </c>
      <c r="J392">
        <v>428</v>
      </c>
      <c r="K392">
        <v>0</v>
      </c>
      <c r="L392">
        <v>333.84</v>
      </c>
    </row>
    <row r="393" spans="1:12" x14ac:dyDescent="0.25">
      <c r="A393" t="str">
        <f t="shared" si="90"/>
        <v>89301000</v>
      </c>
      <c r="B393" t="str">
        <f t="shared" si="91"/>
        <v>06539000</v>
      </c>
      <c r="C393" t="str">
        <f t="shared" si="86"/>
        <v>06539003</v>
      </c>
      <c r="D393" t="str">
        <f t="shared" si="87"/>
        <v>813</v>
      </c>
      <c r="E393" t="str">
        <f t="shared" si="81"/>
        <v>89301172</v>
      </c>
      <c r="F393" t="str">
        <f t="shared" si="82"/>
        <v>9358105757</v>
      </c>
      <c r="G393" s="1">
        <v>44568</v>
      </c>
      <c r="H393" t="str">
        <f>"91329"</f>
        <v>91329</v>
      </c>
      <c r="I393">
        <v>2</v>
      </c>
      <c r="J393">
        <v>428</v>
      </c>
      <c r="K393">
        <v>0</v>
      </c>
      <c r="L393">
        <v>333.84</v>
      </c>
    </row>
    <row r="394" spans="1:12" x14ac:dyDescent="0.25">
      <c r="A394" t="str">
        <f t="shared" si="90"/>
        <v>89301000</v>
      </c>
      <c r="B394" t="str">
        <f t="shared" si="91"/>
        <v>06539000</v>
      </c>
      <c r="C394" t="str">
        <f t="shared" si="86"/>
        <v>06539003</v>
      </c>
      <c r="D394" t="str">
        <f t="shared" si="87"/>
        <v>813</v>
      </c>
      <c r="E394" t="str">
        <f t="shared" si="81"/>
        <v>89301172</v>
      </c>
      <c r="F394" t="str">
        <f t="shared" si="82"/>
        <v>9358105757</v>
      </c>
      <c r="G394" s="1">
        <v>44568</v>
      </c>
      <c r="H394" t="str">
        <f>"91329"</f>
        <v>91329</v>
      </c>
      <c r="I394">
        <v>2</v>
      </c>
      <c r="J394">
        <v>428</v>
      </c>
      <c r="K394">
        <v>0</v>
      </c>
      <c r="L394">
        <v>333.84</v>
      </c>
    </row>
    <row r="395" spans="1:12" x14ac:dyDescent="0.25">
      <c r="A395" t="str">
        <f t="shared" si="90"/>
        <v>89301000</v>
      </c>
      <c r="B395" t="str">
        <f t="shared" si="91"/>
        <v>06539000</v>
      </c>
      <c r="C395" t="str">
        <f t="shared" si="86"/>
        <v>06539003</v>
      </c>
      <c r="D395" t="str">
        <f t="shared" si="87"/>
        <v>813</v>
      </c>
      <c r="E395" t="str">
        <f t="shared" si="81"/>
        <v>89301172</v>
      </c>
      <c r="F395" t="str">
        <f t="shared" si="82"/>
        <v>9358105757</v>
      </c>
      <c r="G395" s="1">
        <v>44568</v>
      </c>
      <c r="H395" t="str">
        <f>"91329"</f>
        <v>91329</v>
      </c>
      <c r="I395">
        <v>2</v>
      </c>
      <c r="J395">
        <v>428</v>
      </c>
      <c r="K395">
        <v>0</v>
      </c>
      <c r="L395">
        <v>333.84</v>
      </c>
    </row>
    <row r="396" spans="1:12" x14ac:dyDescent="0.25">
      <c r="A396" t="str">
        <f t="shared" si="90"/>
        <v>89301000</v>
      </c>
      <c r="B396" t="str">
        <f t="shared" si="91"/>
        <v>06539000</v>
      </c>
      <c r="C396" t="str">
        <f t="shared" si="86"/>
        <v>06539003</v>
      </c>
      <c r="D396" t="str">
        <f t="shared" si="87"/>
        <v>813</v>
      </c>
      <c r="E396" t="str">
        <f t="shared" si="81"/>
        <v>89301172</v>
      </c>
      <c r="F396" t="str">
        <f t="shared" si="82"/>
        <v>9358105757</v>
      </c>
      <c r="G396" s="1">
        <v>44568</v>
      </c>
      <c r="H396" t="str">
        <f>"91129"</f>
        <v>91129</v>
      </c>
      <c r="I396">
        <v>1</v>
      </c>
      <c r="J396">
        <v>174</v>
      </c>
      <c r="K396">
        <v>0</v>
      </c>
      <c r="L396">
        <v>135.72</v>
      </c>
    </row>
    <row r="397" spans="1:12" x14ac:dyDescent="0.25">
      <c r="A397" t="str">
        <f t="shared" si="90"/>
        <v>89301000</v>
      </c>
      <c r="B397" t="str">
        <f t="shared" si="91"/>
        <v>06539000</v>
      </c>
      <c r="C397" t="str">
        <f t="shared" si="86"/>
        <v>06539003</v>
      </c>
      <c r="D397" t="str">
        <f t="shared" si="87"/>
        <v>813</v>
      </c>
      <c r="E397" t="str">
        <f t="shared" si="81"/>
        <v>89301172</v>
      </c>
      <c r="F397" t="str">
        <f t="shared" si="82"/>
        <v>9358105757</v>
      </c>
      <c r="G397" s="1">
        <v>44568</v>
      </c>
      <c r="H397" t="str">
        <f>"91131"</f>
        <v>91131</v>
      </c>
      <c r="I397">
        <v>1</v>
      </c>
      <c r="J397">
        <v>171</v>
      </c>
      <c r="K397">
        <v>0</v>
      </c>
      <c r="L397">
        <v>133.38</v>
      </c>
    </row>
    <row r="398" spans="1:12" x14ac:dyDescent="0.25">
      <c r="A398" t="str">
        <f t="shared" si="90"/>
        <v>89301000</v>
      </c>
      <c r="B398" t="str">
        <f t="shared" si="91"/>
        <v>06539000</v>
      </c>
      <c r="C398" t="str">
        <f t="shared" si="86"/>
        <v>06539003</v>
      </c>
      <c r="D398" t="str">
        <f t="shared" si="87"/>
        <v>813</v>
      </c>
      <c r="E398" t="str">
        <f t="shared" si="81"/>
        <v>89301172</v>
      </c>
      <c r="F398" t="str">
        <f t="shared" si="82"/>
        <v>9358105757</v>
      </c>
      <c r="G398" s="1">
        <v>44568</v>
      </c>
      <c r="H398" t="str">
        <f>"91133"</f>
        <v>91133</v>
      </c>
      <c r="I398">
        <v>1</v>
      </c>
      <c r="J398">
        <v>176</v>
      </c>
      <c r="K398">
        <v>0</v>
      </c>
      <c r="L398">
        <v>137.28</v>
      </c>
    </row>
    <row r="399" spans="1:12" x14ac:dyDescent="0.25">
      <c r="A399" t="str">
        <f t="shared" si="90"/>
        <v>89301000</v>
      </c>
      <c r="B399" t="str">
        <f t="shared" si="91"/>
        <v>06539000</v>
      </c>
      <c r="C399" t="str">
        <f t="shared" si="86"/>
        <v>06539003</v>
      </c>
      <c r="D399" t="str">
        <f t="shared" si="87"/>
        <v>813</v>
      </c>
      <c r="E399" t="str">
        <f t="shared" si="81"/>
        <v>89301172</v>
      </c>
      <c r="F399" t="str">
        <f t="shared" si="82"/>
        <v>9358105757</v>
      </c>
      <c r="G399" s="1">
        <v>44568</v>
      </c>
      <c r="H399" t="str">
        <f>"91171"</f>
        <v>91171</v>
      </c>
      <c r="I399">
        <v>1</v>
      </c>
      <c r="J399">
        <v>360</v>
      </c>
      <c r="K399">
        <v>0</v>
      </c>
      <c r="L399">
        <v>280.8</v>
      </c>
    </row>
    <row r="400" spans="1:12" x14ac:dyDescent="0.25">
      <c r="A400" t="str">
        <f t="shared" si="90"/>
        <v>89301000</v>
      </c>
      <c r="B400" t="str">
        <f t="shared" si="91"/>
        <v>06539000</v>
      </c>
      <c r="C400" t="str">
        <f t="shared" si="86"/>
        <v>06539003</v>
      </c>
      <c r="D400" t="str">
        <f t="shared" si="87"/>
        <v>813</v>
      </c>
      <c r="E400" t="str">
        <f t="shared" si="81"/>
        <v>89301172</v>
      </c>
      <c r="F400" t="str">
        <f t="shared" si="82"/>
        <v>9358105757</v>
      </c>
      <c r="G400" s="1">
        <v>44568</v>
      </c>
      <c r="H400" t="str">
        <f>"91173"</f>
        <v>91173</v>
      </c>
      <c r="I400">
        <v>1</v>
      </c>
      <c r="J400">
        <v>335</v>
      </c>
      <c r="K400">
        <v>0</v>
      </c>
      <c r="L400">
        <v>261.3</v>
      </c>
    </row>
    <row r="401" spans="1:12" x14ac:dyDescent="0.25">
      <c r="A401" t="str">
        <f t="shared" si="90"/>
        <v>89301000</v>
      </c>
      <c r="B401" t="str">
        <f t="shared" si="91"/>
        <v>06539000</v>
      </c>
      <c r="C401" t="str">
        <f t="shared" si="86"/>
        <v>06539003</v>
      </c>
      <c r="D401" t="str">
        <f t="shared" si="87"/>
        <v>813</v>
      </c>
      <c r="E401" t="str">
        <f t="shared" si="81"/>
        <v>89301172</v>
      </c>
      <c r="F401" t="str">
        <f t="shared" si="82"/>
        <v>9358105757</v>
      </c>
      <c r="G401" s="1">
        <v>44568</v>
      </c>
      <c r="H401" t="str">
        <f>"91175"</f>
        <v>91175</v>
      </c>
      <c r="I401">
        <v>1</v>
      </c>
      <c r="J401">
        <v>360</v>
      </c>
      <c r="K401">
        <v>0</v>
      </c>
      <c r="L401">
        <v>280.8</v>
      </c>
    </row>
    <row r="402" spans="1:12" x14ac:dyDescent="0.25">
      <c r="A402" t="str">
        <f t="shared" si="90"/>
        <v>89301000</v>
      </c>
      <c r="B402" t="str">
        <f t="shared" si="91"/>
        <v>06539000</v>
      </c>
      <c r="C402" t="str">
        <f t="shared" si="86"/>
        <v>06539003</v>
      </c>
      <c r="D402" t="str">
        <f t="shared" si="87"/>
        <v>813</v>
      </c>
      <c r="E402" t="str">
        <f t="shared" si="81"/>
        <v>89301172</v>
      </c>
      <c r="F402" t="str">
        <f t="shared" si="82"/>
        <v>9358105757</v>
      </c>
      <c r="G402" s="1">
        <v>44569</v>
      </c>
      <c r="H402" t="str">
        <f>"91167"</f>
        <v>91167</v>
      </c>
      <c r="I402">
        <v>1</v>
      </c>
      <c r="J402">
        <v>425</v>
      </c>
      <c r="K402">
        <v>0</v>
      </c>
      <c r="L402">
        <v>331.5</v>
      </c>
    </row>
    <row r="403" spans="1:12" x14ac:dyDescent="0.25">
      <c r="A403" t="str">
        <f t="shared" si="90"/>
        <v>89301000</v>
      </c>
      <c r="B403" t="str">
        <f t="shared" si="91"/>
        <v>06539000</v>
      </c>
      <c r="C403" t="str">
        <f t="shared" si="86"/>
        <v>06539003</v>
      </c>
      <c r="D403" t="str">
        <f t="shared" si="87"/>
        <v>813</v>
      </c>
      <c r="E403" t="str">
        <f t="shared" si="81"/>
        <v>89301172</v>
      </c>
      <c r="F403" t="str">
        <f t="shared" si="82"/>
        <v>9358105757</v>
      </c>
      <c r="G403" s="1">
        <v>44569</v>
      </c>
      <c r="H403" t="str">
        <f>"91169"</f>
        <v>91169</v>
      </c>
      <c r="I403">
        <v>1</v>
      </c>
      <c r="J403">
        <v>425</v>
      </c>
      <c r="K403">
        <v>0</v>
      </c>
      <c r="L403">
        <v>331.5</v>
      </c>
    </row>
    <row r="404" spans="1:12" x14ac:dyDescent="0.25">
      <c r="A404" t="str">
        <f t="shared" si="90"/>
        <v>89301000</v>
      </c>
      <c r="B404" t="str">
        <f t="shared" si="91"/>
        <v>06539000</v>
      </c>
      <c r="C404" t="str">
        <f t="shared" si="86"/>
        <v>06539003</v>
      </c>
      <c r="D404" t="str">
        <f t="shared" si="87"/>
        <v>813</v>
      </c>
      <c r="E404" t="str">
        <f t="shared" si="81"/>
        <v>89301172</v>
      </c>
      <c r="F404" t="str">
        <f t="shared" si="82"/>
        <v>9358105757</v>
      </c>
      <c r="G404" s="1">
        <v>44568</v>
      </c>
      <c r="H404" t="str">
        <f>"91167"</f>
        <v>91167</v>
      </c>
      <c r="I404">
        <v>1</v>
      </c>
      <c r="J404">
        <v>425</v>
      </c>
      <c r="K404">
        <v>0</v>
      </c>
      <c r="L404">
        <v>331.5</v>
      </c>
    </row>
    <row r="405" spans="1:12" x14ac:dyDescent="0.25">
      <c r="A405" t="str">
        <f t="shared" si="90"/>
        <v>89301000</v>
      </c>
      <c r="B405" t="str">
        <f t="shared" si="91"/>
        <v>06539000</v>
      </c>
      <c r="C405" t="str">
        <f t="shared" si="86"/>
        <v>06539003</v>
      </c>
      <c r="D405" t="str">
        <f t="shared" si="87"/>
        <v>813</v>
      </c>
      <c r="E405" t="str">
        <f t="shared" si="81"/>
        <v>89301172</v>
      </c>
      <c r="F405" t="str">
        <f t="shared" si="82"/>
        <v>9358105757</v>
      </c>
      <c r="G405" s="1">
        <v>44568</v>
      </c>
      <c r="H405" t="str">
        <f>"91169"</f>
        <v>91169</v>
      </c>
      <c r="I405">
        <v>1</v>
      </c>
      <c r="J405">
        <v>425</v>
      </c>
      <c r="K405">
        <v>0</v>
      </c>
      <c r="L405">
        <v>331.5</v>
      </c>
    </row>
    <row r="406" spans="1:12" x14ac:dyDescent="0.25">
      <c r="A406" t="str">
        <f t="shared" si="90"/>
        <v>89301000</v>
      </c>
      <c r="B406" t="str">
        <f t="shared" si="91"/>
        <v>06539000</v>
      </c>
      <c r="C406" t="str">
        <f t="shared" si="86"/>
        <v>06539003</v>
      </c>
      <c r="D406" t="str">
        <f t="shared" si="87"/>
        <v>813</v>
      </c>
      <c r="E406" t="str">
        <f t="shared" si="81"/>
        <v>89301172</v>
      </c>
      <c r="F406" t="str">
        <f t="shared" si="82"/>
        <v>9358105757</v>
      </c>
      <c r="G406" s="1">
        <v>44568</v>
      </c>
      <c r="H406" t="str">
        <f>"91475"</f>
        <v>91475</v>
      </c>
      <c r="I406">
        <v>1</v>
      </c>
      <c r="J406">
        <v>206</v>
      </c>
      <c r="K406">
        <v>0</v>
      </c>
      <c r="L406">
        <v>160.68</v>
      </c>
    </row>
    <row r="407" spans="1:12" x14ac:dyDescent="0.25">
      <c r="A407" t="str">
        <f t="shared" si="90"/>
        <v>89301000</v>
      </c>
      <c r="B407" t="str">
        <f t="shared" si="91"/>
        <v>06539000</v>
      </c>
      <c r="C407" t="str">
        <f t="shared" si="86"/>
        <v>06539003</v>
      </c>
      <c r="D407" t="str">
        <f t="shared" si="87"/>
        <v>813</v>
      </c>
      <c r="E407" t="str">
        <f>"89301101"</f>
        <v>89301101</v>
      </c>
      <c r="F407" t="str">
        <f>"1060071650"</f>
        <v>1060071650</v>
      </c>
      <c r="G407" s="1">
        <v>44569</v>
      </c>
      <c r="H407" t="str">
        <f>"91411"</f>
        <v>91411</v>
      </c>
      <c r="I407">
        <v>9</v>
      </c>
      <c r="J407">
        <v>14400</v>
      </c>
      <c r="K407">
        <v>0</v>
      </c>
      <c r="L407">
        <v>11232</v>
      </c>
    </row>
    <row r="408" spans="1:12" x14ac:dyDescent="0.25">
      <c r="A408" t="str">
        <f t="shared" si="90"/>
        <v>89301000</v>
      </c>
      <c r="B408" t="str">
        <f t="shared" si="91"/>
        <v>06539000</v>
      </c>
      <c r="C408" t="str">
        <f>"06539001"</f>
        <v>06539001</v>
      </c>
      <c r="D408" t="str">
        <f>"801"</f>
        <v>801</v>
      </c>
      <c r="E408" t="str">
        <f t="shared" ref="E408:E449" si="92">"89301172"</f>
        <v>89301172</v>
      </c>
      <c r="F408" t="str">
        <f t="shared" ref="F408:F449" si="93">"9055235783"</f>
        <v>9055235783</v>
      </c>
      <c r="G408" s="1">
        <v>44575</v>
      </c>
      <c r="H408" t="str">
        <f>"81329"</f>
        <v>81329</v>
      </c>
      <c r="I408">
        <v>1</v>
      </c>
      <c r="J408">
        <v>16</v>
      </c>
      <c r="K408">
        <v>0</v>
      </c>
      <c r="L408">
        <v>12.48</v>
      </c>
    </row>
    <row r="409" spans="1:12" x14ac:dyDescent="0.25">
      <c r="A409" t="str">
        <f t="shared" si="90"/>
        <v>89301000</v>
      </c>
      <c r="B409" t="str">
        <f t="shared" si="91"/>
        <v>06539000</v>
      </c>
      <c r="C409" t="str">
        <f>"06539001"</f>
        <v>06539001</v>
      </c>
      <c r="D409" t="str">
        <f>"801"</f>
        <v>801</v>
      </c>
      <c r="E409" t="str">
        <f t="shared" si="92"/>
        <v>89301172</v>
      </c>
      <c r="F409" t="str">
        <f t="shared" si="93"/>
        <v>9055235783</v>
      </c>
      <c r="G409" s="1">
        <v>44575</v>
      </c>
      <c r="H409" t="str">
        <f>"81331"</f>
        <v>81331</v>
      </c>
      <c r="I409">
        <v>1</v>
      </c>
      <c r="J409">
        <v>193</v>
      </c>
      <c r="K409">
        <v>0</v>
      </c>
      <c r="L409">
        <v>150.54</v>
      </c>
    </row>
    <row r="410" spans="1:12" x14ac:dyDescent="0.25">
      <c r="A410" t="str">
        <f t="shared" si="90"/>
        <v>89301000</v>
      </c>
      <c r="B410" t="str">
        <f t="shared" si="91"/>
        <v>06539000</v>
      </c>
      <c r="C410" t="str">
        <f t="shared" ref="C410:C417" si="94">"06539002"</f>
        <v>06539002</v>
      </c>
      <c r="D410" t="str">
        <f t="shared" ref="D410:D417" si="95">"802"</f>
        <v>802</v>
      </c>
      <c r="E410" t="str">
        <f t="shared" si="92"/>
        <v>89301172</v>
      </c>
      <c r="F410" t="str">
        <f t="shared" si="93"/>
        <v>9055235783</v>
      </c>
      <c r="G410" s="1">
        <v>44575</v>
      </c>
      <c r="H410" t="str">
        <f t="shared" ref="H410:H417" si="96">"82097"</f>
        <v>82097</v>
      </c>
      <c r="I410">
        <v>1</v>
      </c>
      <c r="J410">
        <v>380</v>
      </c>
      <c r="K410">
        <v>0</v>
      </c>
      <c r="L410">
        <v>345.8</v>
      </c>
    </row>
    <row r="411" spans="1:12" x14ac:dyDescent="0.25">
      <c r="A411" t="str">
        <f t="shared" si="90"/>
        <v>89301000</v>
      </c>
      <c r="B411" t="str">
        <f t="shared" si="91"/>
        <v>06539000</v>
      </c>
      <c r="C411" t="str">
        <f t="shared" si="94"/>
        <v>06539002</v>
      </c>
      <c r="D411" t="str">
        <f t="shared" si="95"/>
        <v>802</v>
      </c>
      <c r="E411" t="str">
        <f t="shared" si="92"/>
        <v>89301172</v>
      </c>
      <c r="F411" t="str">
        <f t="shared" si="93"/>
        <v>9055235783</v>
      </c>
      <c r="G411" s="1">
        <v>44575</v>
      </c>
      <c r="H411" t="str">
        <f t="shared" si="96"/>
        <v>82097</v>
      </c>
      <c r="I411">
        <v>1</v>
      </c>
      <c r="J411">
        <v>380</v>
      </c>
      <c r="K411">
        <v>0</v>
      </c>
      <c r="L411">
        <v>345.8</v>
      </c>
    </row>
    <row r="412" spans="1:12" x14ac:dyDescent="0.25">
      <c r="A412" t="str">
        <f t="shared" si="90"/>
        <v>89301000</v>
      </c>
      <c r="B412" t="str">
        <f t="shared" si="91"/>
        <v>06539000</v>
      </c>
      <c r="C412" t="str">
        <f t="shared" si="94"/>
        <v>06539002</v>
      </c>
      <c r="D412" t="str">
        <f t="shared" si="95"/>
        <v>802</v>
      </c>
      <c r="E412" t="str">
        <f t="shared" si="92"/>
        <v>89301172</v>
      </c>
      <c r="F412" t="str">
        <f t="shared" si="93"/>
        <v>9055235783</v>
      </c>
      <c r="G412" s="1">
        <v>44575</v>
      </c>
      <c r="H412" t="str">
        <f t="shared" si="96"/>
        <v>82097</v>
      </c>
      <c r="I412">
        <v>1</v>
      </c>
      <c r="J412">
        <v>380</v>
      </c>
      <c r="K412">
        <v>0</v>
      </c>
      <c r="L412">
        <v>345.8</v>
      </c>
    </row>
    <row r="413" spans="1:12" x14ac:dyDescent="0.25">
      <c r="A413" t="str">
        <f t="shared" si="90"/>
        <v>89301000</v>
      </c>
      <c r="B413" t="str">
        <f t="shared" si="91"/>
        <v>06539000</v>
      </c>
      <c r="C413" t="str">
        <f t="shared" si="94"/>
        <v>06539002</v>
      </c>
      <c r="D413" t="str">
        <f t="shared" si="95"/>
        <v>802</v>
      </c>
      <c r="E413" t="str">
        <f t="shared" si="92"/>
        <v>89301172</v>
      </c>
      <c r="F413" t="str">
        <f t="shared" si="93"/>
        <v>9055235783</v>
      </c>
      <c r="G413" s="1">
        <v>44575</v>
      </c>
      <c r="H413" t="str">
        <f t="shared" si="96"/>
        <v>82097</v>
      </c>
      <c r="I413">
        <v>1</v>
      </c>
      <c r="J413">
        <v>380</v>
      </c>
      <c r="K413">
        <v>0</v>
      </c>
      <c r="L413">
        <v>345.8</v>
      </c>
    </row>
    <row r="414" spans="1:12" x14ac:dyDescent="0.25">
      <c r="A414" t="str">
        <f t="shared" si="90"/>
        <v>89301000</v>
      </c>
      <c r="B414" t="str">
        <f t="shared" si="91"/>
        <v>06539000</v>
      </c>
      <c r="C414" t="str">
        <f t="shared" si="94"/>
        <v>06539002</v>
      </c>
      <c r="D414" t="str">
        <f t="shared" si="95"/>
        <v>802</v>
      </c>
      <c r="E414" t="str">
        <f t="shared" si="92"/>
        <v>89301172</v>
      </c>
      <c r="F414" t="str">
        <f t="shared" si="93"/>
        <v>9055235783</v>
      </c>
      <c r="G414" s="1">
        <v>44575</v>
      </c>
      <c r="H414" t="str">
        <f t="shared" si="96"/>
        <v>82097</v>
      </c>
      <c r="I414">
        <v>1</v>
      </c>
      <c r="J414">
        <v>380</v>
      </c>
      <c r="K414">
        <v>0</v>
      </c>
      <c r="L414">
        <v>345.8</v>
      </c>
    </row>
    <row r="415" spans="1:12" x14ac:dyDescent="0.25">
      <c r="A415" t="str">
        <f t="shared" si="90"/>
        <v>89301000</v>
      </c>
      <c r="B415" t="str">
        <f t="shared" si="91"/>
        <v>06539000</v>
      </c>
      <c r="C415" t="str">
        <f t="shared" si="94"/>
        <v>06539002</v>
      </c>
      <c r="D415" t="str">
        <f t="shared" si="95"/>
        <v>802</v>
      </c>
      <c r="E415" t="str">
        <f t="shared" si="92"/>
        <v>89301172</v>
      </c>
      <c r="F415" t="str">
        <f t="shared" si="93"/>
        <v>9055235783</v>
      </c>
      <c r="G415" s="1">
        <v>44575</v>
      </c>
      <c r="H415" t="str">
        <f t="shared" si="96"/>
        <v>82097</v>
      </c>
      <c r="I415">
        <v>1</v>
      </c>
      <c r="J415">
        <v>380</v>
      </c>
      <c r="K415">
        <v>0</v>
      </c>
      <c r="L415">
        <v>345.8</v>
      </c>
    </row>
    <row r="416" spans="1:12" x14ac:dyDescent="0.25">
      <c r="A416" t="str">
        <f t="shared" si="90"/>
        <v>89301000</v>
      </c>
      <c r="B416" t="str">
        <f t="shared" si="91"/>
        <v>06539000</v>
      </c>
      <c r="C416" t="str">
        <f t="shared" si="94"/>
        <v>06539002</v>
      </c>
      <c r="D416" t="str">
        <f t="shared" si="95"/>
        <v>802</v>
      </c>
      <c r="E416" t="str">
        <f t="shared" si="92"/>
        <v>89301172</v>
      </c>
      <c r="F416" t="str">
        <f t="shared" si="93"/>
        <v>9055235783</v>
      </c>
      <c r="G416" s="1">
        <v>44575</v>
      </c>
      <c r="H416" t="str">
        <f t="shared" si="96"/>
        <v>82097</v>
      </c>
      <c r="I416">
        <v>1</v>
      </c>
      <c r="J416">
        <v>380</v>
      </c>
      <c r="K416">
        <v>0</v>
      </c>
      <c r="L416">
        <v>345.8</v>
      </c>
    </row>
    <row r="417" spans="1:12" x14ac:dyDescent="0.25">
      <c r="A417" t="str">
        <f t="shared" si="90"/>
        <v>89301000</v>
      </c>
      <c r="B417" t="str">
        <f t="shared" si="91"/>
        <v>06539000</v>
      </c>
      <c r="C417" t="str">
        <f t="shared" si="94"/>
        <v>06539002</v>
      </c>
      <c r="D417" t="str">
        <f t="shared" si="95"/>
        <v>802</v>
      </c>
      <c r="E417" t="str">
        <f t="shared" si="92"/>
        <v>89301172</v>
      </c>
      <c r="F417" t="str">
        <f t="shared" si="93"/>
        <v>9055235783</v>
      </c>
      <c r="G417" s="1">
        <v>44575</v>
      </c>
      <c r="H417" t="str">
        <f t="shared" si="96"/>
        <v>82097</v>
      </c>
      <c r="I417">
        <v>1</v>
      </c>
      <c r="J417">
        <v>380</v>
      </c>
      <c r="K417">
        <v>0</v>
      </c>
      <c r="L417">
        <v>345.8</v>
      </c>
    </row>
    <row r="418" spans="1:12" x14ac:dyDescent="0.25">
      <c r="A418" t="str">
        <f t="shared" si="90"/>
        <v>89301000</v>
      </c>
      <c r="B418" t="str">
        <f t="shared" si="91"/>
        <v>06539000</v>
      </c>
      <c r="C418" t="str">
        <f t="shared" ref="C418:C449" si="97">"06539003"</f>
        <v>06539003</v>
      </c>
      <c r="D418" t="str">
        <f t="shared" ref="D418:D449" si="98">"813"</f>
        <v>813</v>
      </c>
      <c r="E418" t="str">
        <f t="shared" si="92"/>
        <v>89301172</v>
      </c>
      <c r="F418" t="str">
        <f t="shared" si="93"/>
        <v>9055235783</v>
      </c>
      <c r="G418" s="1">
        <v>44575</v>
      </c>
      <c r="H418" t="str">
        <f t="shared" ref="H418:H427" si="99">"91413"</f>
        <v>91413</v>
      </c>
      <c r="I418">
        <v>1</v>
      </c>
      <c r="J418">
        <v>853</v>
      </c>
      <c r="K418">
        <v>0</v>
      </c>
      <c r="L418">
        <v>665.34</v>
      </c>
    </row>
    <row r="419" spans="1:12" x14ac:dyDescent="0.25">
      <c r="A419" t="str">
        <f t="shared" si="90"/>
        <v>89301000</v>
      </c>
      <c r="B419" t="str">
        <f t="shared" si="91"/>
        <v>06539000</v>
      </c>
      <c r="C419" t="str">
        <f t="shared" si="97"/>
        <v>06539003</v>
      </c>
      <c r="D419" t="str">
        <f t="shared" si="98"/>
        <v>813</v>
      </c>
      <c r="E419" t="str">
        <f t="shared" si="92"/>
        <v>89301172</v>
      </c>
      <c r="F419" t="str">
        <f t="shared" si="93"/>
        <v>9055235783</v>
      </c>
      <c r="G419" s="1">
        <v>44575</v>
      </c>
      <c r="H419" t="str">
        <f t="shared" si="99"/>
        <v>91413</v>
      </c>
      <c r="I419">
        <v>1</v>
      </c>
      <c r="J419">
        <v>853</v>
      </c>
      <c r="K419">
        <v>0</v>
      </c>
      <c r="L419">
        <v>665.34</v>
      </c>
    </row>
    <row r="420" spans="1:12" x14ac:dyDescent="0.25">
      <c r="A420" t="str">
        <f t="shared" si="90"/>
        <v>89301000</v>
      </c>
      <c r="B420" t="str">
        <f t="shared" ref="B420:B449" si="100">"06539000"</f>
        <v>06539000</v>
      </c>
      <c r="C420" t="str">
        <f t="shared" si="97"/>
        <v>06539003</v>
      </c>
      <c r="D420" t="str">
        <f t="shared" si="98"/>
        <v>813</v>
      </c>
      <c r="E420" t="str">
        <f t="shared" si="92"/>
        <v>89301172</v>
      </c>
      <c r="F420" t="str">
        <f t="shared" si="93"/>
        <v>9055235783</v>
      </c>
      <c r="G420" s="1">
        <v>44575</v>
      </c>
      <c r="H420" t="str">
        <f t="shared" si="99"/>
        <v>91413</v>
      </c>
      <c r="I420">
        <v>1</v>
      </c>
      <c r="J420">
        <v>853</v>
      </c>
      <c r="K420">
        <v>0</v>
      </c>
      <c r="L420">
        <v>665.34</v>
      </c>
    </row>
    <row r="421" spans="1:12" x14ac:dyDescent="0.25">
      <c r="A421" t="str">
        <f t="shared" si="90"/>
        <v>89301000</v>
      </c>
      <c r="B421" t="str">
        <f t="shared" si="100"/>
        <v>06539000</v>
      </c>
      <c r="C421" t="str">
        <f t="shared" si="97"/>
        <v>06539003</v>
      </c>
      <c r="D421" t="str">
        <f t="shared" si="98"/>
        <v>813</v>
      </c>
      <c r="E421" t="str">
        <f t="shared" si="92"/>
        <v>89301172</v>
      </c>
      <c r="F421" t="str">
        <f t="shared" si="93"/>
        <v>9055235783</v>
      </c>
      <c r="G421" s="1">
        <v>44575</v>
      </c>
      <c r="H421" t="str">
        <f t="shared" si="99"/>
        <v>91413</v>
      </c>
      <c r="I421">
        <v>1</v>
      </c>
      <c r="J421">
        <v>853</v>
      </c>
      <c r="K421">
        <v>0</v>
      </c>
      <c r="L421">
        <v>665.34</v>
      </c>
    </row>
    <row r="422" spans="1:12" x14ac:dyDescent="0.25">
      <c r="A422" t="str">
        <f t="shared" si="90"/>
        <v>89301000</v>
      </c>
      <c r="B422" t="str">
        <f t="shared" si="100"/>
        <v>06539000</v>
      </c>
      <c r="C422" t="str">
        <f t="shared" si="97"/>
        <v>06539003</v>
      </c>
      <c r="D422" t="str">
        <f t="shared" si="98"/>
        <v>813</v>
      </c>
      <c r="E422" t="str">
        <f t="shared" si="92"/>
        <v>89301172</v>
      </c>
      <c r="F422" t="str">
        <f t="shared" si="93"/>
        <v>9055235783</v>
      </c>
      <c r="G422" s="1">
        <v>44575</v>
      </c>
      <c r="H422" t="str">
        <f t="shared" si="99"/>
        <v>91413</v>
      </c>
      <c r="I422">
        <v>1</v>
      </c>
      <c r="J422">
        <v>853</v>
      </c>
      <c r="K422">
        <v>0</v>
      </c>
      <c r="L422">
        <v>665.34</v>
      </c>
    </row>
    <row r="423" spans="1:12" x14ac:dyDescent="0.25">
      <c r="A423" t="str">
        <f t="shared" si="90"/>
        <v>89301000</v>
      </c>
      <c r="B423" t="str">
        <f t="shared" si="100"/>
        <v>06539000</v>
      </c>
      <c r="C423" t="str">
        <f t="shared" si="97"/>
        <v>06539003</v>
      </c>
      <c r="D423" t="str">
        <f t="shared" si="98"/>
        <v>813</v>
      </c>
      <c r="E423" t="str">
        <f t="shared" si="92"/>
        <v>89301172</v>
      </c>
      <c r="F423" t="str">
        <f t="shared" si="93"/>
        <v>9055235783</v>
      </c>
      <c r="G423" s="1">
        <v>44575</v>
      </c>
      <c r="H423" t="str">
        <f t="shared" si="99"/>
        <v>91413</v>
      </c>
      <c r="I423">
        <v>1</v>
      </c>
      <c r="J423">
        <v>853</v>
      </c>
      <c r="K423">
        <v>0</v>
      </c>
      <c r="L423">
        <v>665.34</v>
      </c>
    </row>
    <row r="424" spans="1:12" x14ac:dyDescent="0.25">
      <c r="A424" t="str">
        <f t="shared" si="90"/>
        <v>89301000</v>
      </c>
      <c r="B424" t="str">
        <f t="shared" si="100"/>
        <v>06539000</v>
      </c>
      <c r="C424" t="str">
        <f t="shared" si="97"/>
        <v>06539003</v>
      </c>
      <c r="D424" t="str">
        <f t="shared" si="98"/>
        <v>813</v>
      </c>
      <c r="E424" t="str">
        <f t="shared" si="92"/>
        <v>89301172</v>
      </c>
      <c r="F424" t="str">
        <f t="shared" si="93"/>
        <v>9055235783</v>
      </c>
      <c r="G424" s="1">
        <v>44575</v>
      </c>
      <c r="H424" t="str">
        <f t="shared" si="99"/>
        <v>91413</v>
      </c>
      <c r="I424">
        <v>1</v>
      </c>
      <c r="J424">
        <v>853</v>
      </c>
      <c r="K424">
        <v>0</v>
      </c>
      <c r="L424">
        <v>665.34</v>
      </c>
    </row>
    <row r="425" spans="1:12" x14ac:dyDescent="0.25">
      <c r="A425" t="str">
        <f t="shared" si="90"/>
        <v>89301000</v>
      </c>
      <c r="B425" t="str">
        <f t="shared" si="100"/>
        <v>06539000</v>
      </c>
      <c r="C425" t="str">
        <f t="shared" si="97"/>
        <v>06539003</v>
      </c>
      <c r="D425" t="str">
        <f t="shared" si="98"/>
        <v>813</v>
      </c>
      <c r="E425" t="str">
        <f t="shared" si="92"/>
        <v>89301172</v>
      </c>
      <c r="F425" t="str">
        <f t="shared" si="93"/>
        <v>9055235783</v>
      </c>
      <c r="G425" s="1">
        <v>44575</v>
      </c>
      <c r="H425" t="str">
        <f t="shared" si="99"/>
        <v>91413</v>
      </c>
      <c r="I425">
        <v>1</v>
      </c>
      <c r="J425">
        <v>853</v>
      </c>
      <c r="K425">
        <v>0</v>
      </c>
      <c r="L425">
        <v>665.34</v>
      </c>
    </row>
    <row r="426" spans="1:12" x14ac:dyDescent="0.25">
      <c r="A426" t="str">
        <f t="shared" si="90"/>
        <v>89301000</v>
      </c>
      <c r="B426" t="str">
        <f t="shared" si="100"/>
        <v>06539000</v>
      </c>
      <c r="C426" t="str">
        <f t="shared" si="97"/>
        <v>06539003</v>
      </c>
      <c r="D426" t="str">
        <f t="shared" si="98"/>
        <v>813</v>
      </c>
      <c r="E426" t="str">
        <f t="shared" si="92"/>
        <v>89301172</v>
      </c>
      <c r="F426" t="str">
        <f t="shared" si="93"/>
        <v>9055235783</v>
      </c>
      <c r="G426" s="1">
        <v>44575</v>
      </c>
      <c r="H426" t="str">
        <f t="shared" si="99"/>
        <v>91413</v>
      </c>
      <c r="I426">
        <v>1</v>
      </c>
      <c r="J426">
        <v>853</v>
      </c>
      <c r="K426">
        <v>0</v>
      </c>
      <c r="L426">
        <v>665.34</v>
      </c>
    </row>
    <row r="427" spans="1:12" x14ac:dyDescent="0.25">
      <c r="A427" t="str">
        <f t="shared" si="90"/>
        <v>89301000</v>
      </c>
      <c r="B427" t="str">
        <f t="shared" si="100"/>
        <v>06539000</v>
      </c>
      <c r="C427" t="str">
        <f t="shared" si="97"/>
        <v>06539003</v>
      </c>
      <c r="D427" t="str">
        <f t="shared" si="98"/>
        <v>813</v>
      </c>
      <c r="E427" t="str">
        <f t="shared" si="92"/>
        <v>89301172</v>
      </c>
      <c r="F427" t="str">
        <f t="shared" si="93"/>
        <v>9055235783</v>
      </c>
      <c r="G427" s="1">
        <v>44575</v>
      </c>
      <c r="H427" t="str">
        <f t="shared" si="99"/>
        <v>91413</v>
      </c>
      <c r="I427">
        <v>1</v>
      </c>
      <c r="J427">
        <v>853</v>
      </c>
      <c r="K427">
        <v>0</v>
      </c>
      <c r="L427">
        <v>665.34</v>
      </c>
    </row>
    <row r="428" spans="1:12" x14ac:dyDescent="0.25">
      <c r="A428" t="str">
        <f t="shared" si="90"/>
        <v>89301000</v>
      </c>
      <c r="B428" t="str">
        <f t="shared" si="100"/>
        <v>06539000</v>
      </c>
      <c r="C428" t="str">
        <f t="shared" si="97"/>
        <v>06539003</v>
      </c>
      <c r="D428" t="str">
        <f t="shared" si="98"/>
        <v>813</v>
      </c>
      <c r="E428" t="str">
        <f t="shared" si="92"/>
        <v>89301172</v>
      </c>
      <c r="F428" t="str">
        <f t="shared" si="93"/>
        <v>9055235783</v>
      </c>
      <c r="G428" s="1">
        <v>44575</v>
      </c>
      <c r="H428" t="str">
        <f t="shared" ref="H428:H434" si="101">"91197"</f>
        <v>91197</v>
      </c>
      <c r="I428">
        <v>1</v>
      </c>
      <c r="J428">
        <v>1046</v>
      </c>
      <c r="K428">
        <v>0</v>
      </c>
      <c r="L428">
        <v>815.88</v>
      </c>
    </row>
    <row r="429" spans="1:12" x14ac:dyDescent="0.25">
      <c r="A429" t="str">
        <f t="shared" si="90"/>
        <v>89301000</v>
      </c>
      <c r="B429" t="str">
        <f t="shared" si="100"/>
        <v>06539000</v>
      </c>
      <c r="C429" t="str">
        <f t="shared" si="97"/>
        <v>06539003</v>
      </c>
      <c r="D429" t="str">
        <f t="shared" si="98"/>
        <v>813</v>
      </c>
      <c r="E429" t="str">
        <f t="shared" si="92"/>
        <v>89301172</v>
      </c>
      <c r="F429" t="str">
        <f t="shared" si="93"/>
        <v>9055235783</v>
      </c>
      <c r="G429" s="1">
        <v>44578</v>
      </c>
      <c r="H429" t="str">
        <f t="shared" si="101"/>
        <v>91197</v>
      </c>
      <c r="I429">
        <v>1</v>
      </c>
      <c r="J429">
        <v>1046</v>
      </c>
      <c r="K429">
        <v>0</v>
      </c>
      <c r="L429">
        <v>815.88</v>
      </c>
    </row>
    <row r="430" spans="1:12" x14ac:dyDescent="0.25">
      <c r="A430" t="str">
        <f t="shared" si="90"/>
        <v>89301000</v>
      </c>
      <c r="B430" t="str">
        <f t="shared" si="100"/>
        <v>06539000</v>
      </c>
      <c r="C430" t="str">
        <f t="shared" si="97"/>
        <v>06539003</v>
      </c>
      <c r="D430" t="str">
        <f t="shared" si="98"/>
        <v>813</v>
      </c>
      <c r="E430" t="str">
        <f t="shared" si="92"/>
        <v>89301172</v>
      </c>
      <c r="F430" t="str">
        <f t="shared" si="93"/>
        <v>9055235783</v>
      </c>
      <c r="G430" s="1">
        <v>44578</v>
      </c>
      <c r="H430" t="str">
        <f t="shared" si="101"/>
        <v>91197</v>
      </c>
      <c r="I430">
        <v>1</v>
      </c>
      <c r="J430">
        <v>1046</v>
      </c>
      <c r="K430">
        <v>0</v>
      </c>
      <c r="L430">
        <v>815.88</v>
      </c>
    </row>
    <row r="431" spans="1:12" x14ac:dyDescent="0.25">
      <c r="A431" t="str">
        <f t="shared" si="90"/>
        <v>89301000</v>
      </c>
      <c r="B431" t="str">
        <f t="shared" si="100"/>
        <v>06539000</v>
      </c>
      <c r="C431" t="str">
        <f t="shared" si="97"/>
        <v>06539003</v>
      </c>
      <c r="D431" t="str">
        <f t="shared" si="98"/>
        <v>813</v>
      </c>
      <c r="E431" t="str">
        <f t="shared" si="92"/>
        <v>89301172</v>
      </c>
      <c r="F431" t="str">
        <f t="shared" si="93"/>
        <v>9055235783</v>
      </c>
      <c r="G431" s="1">
        <v>44577</v>
      </c>
      <c r="H431" t="str">
        <f t="shared" si="101"/>
        <v>91197</v>
      </c>
      <c r="I431">
        <v>1</v>
      </c>
      <c r="J431">
        <v>1046</v>
      </c>
      <c r="K431">
        <v>0</v>
      </c>
      <c r="L431">
        <v>815.88</v>
      </c>
    </row>
    <row r="432" spans="1:12" x14ac:dyDescent="0.25">
      <c r="A432" t="str">
        <f t="shared" si="90"/>
        <v>89301000</v>
      </c>
      <c r="B432" t="str">
        <f t="shared" si="100"/>
        <v>06539000</v>
      </c>
      <c r="C432" t="str">
        <f t="shared" si="97"/>
        <v>06539003</v>
      </c>
      <c r="D432" t="str">
        <f t="shared" si="98"/>
        <v>813</v>
      </c>
      <c r="E432" t="str">
        <f t="shared" si="92"/>
        <v>89301172</v>
      </c>
      <c r="F432" t="str">
        <f t="shared" si="93"/>
        <v>9055235783</v>
      </c>
      <c r="G432" s="1">
        <v>44577</v>
      </c>
      <c r="H432" t="str">
        <f t="shared" si="101"/>
        <v>91197</v>
      </c>
      <c r="I432">
        <v>1</v>
      </c>
      <c r="J432">
        <v>1046</v>
      </c>
      <c r="K432">
        <v>0</v>
      </c>
      <c r="L432">
        <v>815.88</v>
      </c>
    </row>
    <row r="433" spans="1:12" x14ac:dyDescent="0.25">
      <c r="A433" t="str">
        <f t="shared" si="90"/>
        <v>89301000</v>
      </c>
      <c r="B433" t="str">
        <f t="shared" si="100"/>
        <v>06539000</v>
      </c>
      <c r="C433" t="str">
        <f t="shared" si="97"/>
        <v>06539003</v>
      </c>
      <c r="D433" t="str">
        <f t="shared" si="98"/>
        <v>813</v>
      </c>
      <c r="E433" t="str">
        <f t="shared" si="92"/>
        <v>89301172</v>
      </c>
      <c r="F433" t="str">
        <f t="shared" si="93"/>
        <v>9055235783</v>
      </c>
      <c r="G433" s="1">
        <v>44576</v>
      </c>
      <c r="H433" t="str">
        <f t="shared" si="101"/>
        <v>91197</v>
      </c>
      <c r="I433">
        <v>1</v>
      </c>
      <c r="J433">
        <v>1046</v>
      </c>
      <c r="K433">
        <v>0</v>
      </c>
      <c r="L433">
        <v>815.88</v>
      </c>
    </row>
    <row r="434" spans="1:12" x14ac:dyDescent="0.25">
      <c r="A434" t="str">
        <f t="shared" si="90"/>
        <v>89301000</v>
      </c>
      <c r="B434" t="str">
        <f t="shared" si="100"/>
        <v>06539000</v>
      </c>
      <c r="C434" t="str">
        <f t="shared" si="97"/>
        <v>06539003</v>
      </c>
      <c r="D434" t="str">
        <f t="shared" si="98"/>
        <v>813</v>
      </c>
      <c r="E434" t="str">
        <f t="shared" si="92"/>
        <v>89301172</v>
      </c>
      <c r="F434" t="str">
        <f t="shared" si="93"/>
        <v>9055235783</v>
      </c>
      <c r="G434" s="1">
        <v>44576</v>
      </c>
      <c r="H434" t="str">
        <f t="shared" si="101"/>
        <v>91197</v>
      </c>
      <c r="I434">
        <v>1</v>
      </c>
      <c r="J434">
        <v>1046</v>
      </c>
      <c r="K434">
        <v>0</v>
      </c>
      <c r="L434">
        <v>815.88</v>
      </c>
    </row>
    <row r="435" spans="1:12" x14ac:dyDescent="0.25">
      <c r="A435" t="str">
        <f t="shared" si="90"/>
        <v>89301000</v>
      </c>
      <c r="B435" t="str">
        <f t="shared" si="100"/>
        <v>06539000</v>
      </c>
      <c r="C435" t="str">
        <f t="shared" si="97"/>
        <v>06539003</v>
      </c>
      <c r="D435" t="str">
        <f t="shared" si="98"/>
        <v>813</v>
      </c>
      <c r="E435" t="str">
        <f t="shared" si="92"/>
        <v>89301172</v>
      </c>
      <c r="F435" t="str">
        <f t="shared" si="93"/>
        <v>9055235783</v>
      </c>
      <c r="G435" s="1">
        <v>44575</v>
      </c>
      <c r="H435" t="str">
        <f>"91329"</f>
        <v>91329</v>
      </c>
      <c r="I435">
        <v>2</v>
      </c>
      <c r="J435">
        <v>428</v>
      </c>
      <c r="K435">
        <v>0</v>
      </c>
      <c r="L435">
        <v>333.84</v>
      </c>
    </row>
    <row r="436" spans="1:12" x14ac:dyDescent="0.25">
      <c r="A436" t="str">
        <f t="shared" si="90"/>
        <v>89301000</v>
      </c>
      <c r="B436" t="str">
        <f t="shared" si="100"/>
        <v>06539000</v>
      </c>
      <c r="C436" t="str">
        <f t="shared" si="97"/>
        <v>06539003</v>
      </c>
      <c r="D436" t="str">
        <f t="shared" si="98"/>
        <v>813</v>
      </c>
      <c r="E436" t="str">
        <f t="shared" si="92"/>
        <v>89301172</v>
      </c>
      <c r="F436" t="str">
        <f t="shared" si="93"/>
        <v>9055235783</v>
      </c>
      <c r="G436" s="1">
        <v>44575</v>
      </c>
      <c r="H436" t="str">
        <f>"91329"</f>
        <v>91329</v>
      </c>
      <c r="I436">
        <v>2</v>
      </c>
      <c r="J436">
        <v>428</v>
      </c>
      <c r="K436">
        <v>0</v>
      </c>
      <c r="L436">
        <v>333.84</v>
      </c>
    </row>
    <row r="437" spans="1:12" x14ac:dyDescent="0.25">
      <c r="A437" t="str">
        <f t="shared" si="90"/>
        <v>89301000</v>
      </c>
      <c r="B437" t="str">
        <f t="shared" si="100"/>
        <v>06539000</v>
      </c>
      <c r="C437" t="str">
        <f t="shared" si="97"/>
        <v>06539003</v>
      </c>
      <c r="D437" t="str">
        <f t="shared" si="98"/>
        <v>813</v>
      </c>
      <c r="E437" t="str">
        <f t="shared" si="92"/>
        <v>89301172</v>
      </c>
      <c r="F437" t="str">
        <f t="shared" si="93"/>
        <v>9055235783</v>
      </c>
      <c r="G437" s="1">
        <v>44575</v>
      </c>
      <c r="H437" t="str">
        <f>"91329"</f>
        <v>91329</v>
      </c>
      <c r="I437">
        <v>2</v>
      </c>
      <c r="J437">
        <v>428</v>
      </c>
      <c r="K437">
        <v>0</v>
      </c>
      <c r="L437">
        <v>333.84</v>
      </c>
    </row>
    <row r="438" spans="1:12" x14ac:dyDescent="0.25">
      <c r="A438" t="str">
        <f t="shared" si="90"/>
        <v>89301000</v>
      </c>
      <c r="B438" t="str">
        <f t="shared" si="100"/>
        <v>06539000</v>
      </c>
      <c r="C438" t="str">
        <f t="shared" si="97"/>
        <v>06539003</v>
      </c>
      <c r="D438" t="str">
        <f t="shared" si="98"/>
        <v>813</v>
      </c>
      <c r="E438" t="str">
        <f t="shared" si="92"/>
        <v>89301172</v>
      </c>
      <c r="F438" t="str">
        <f t="shared" si="93"/>
        <v>9055235783</v>
      </c>
      <c r="G438" s="1">
        <v>44575</v>
      </c>
      <c r="H438" t="str">
        <f>"91329"</f>
        <v>91329</v>
      </c>
      <c r="I438">
        <v>2</v>
      </c>
      <c r="J438">
        <v>428</v>
      </c>
      <c r="K438">
        <v>0</v>
      </c>
      <c r="L438">
        <v>333.84</v>
      </c>
    </row>
    <row r="439" spans="1:12" x14ac:dyDescent="0.25">
      <c r="A439" t="str">
        <f t="shared" si="90"/>
        <v>89301000</v>
      </c>
      <c r="B439" t="str">
        <f t="shared" si="100"/>
        <v>06539000</v>
      </c>
      <c r="C439" t="str">
        <f t="shared" si="97"/>
        <v>06539003</v>
      </c>
      <c r="D439" t="str">
        <f t="shared" si="98"/>
        <v>813</v>
      </c>
      <c r="E439" t="str">
        <f t="shared" si="92"/>
        <v>89301172</v>
      </c>
      <c r="F439" t="str">
        <f t="shared" si="93"/>
        <v>9055235783</v>
      </c>
      <c r="G439" s="1">
        <v>44575</v>
      </c>
      <c r="H439" t="str">
        <f>"91129"</f>
        <v>91129</v>
      </c>
      <c r="I439">
        <v>1</v>
      </c>
      <c r="J439">
        <v>174</v>
      </c>
      <c r="K439">
        <v>0</v>
      </c>
      <c r="L439">
        <v>135.72</v>
      </c>
    </row>
    <row r="440" spans="1:12" x14ac:dyDescent="0.25">
      <c r="A440" t="str">
        <f t="shared" si="90"/>
        <v>89301000</v>
      </c>
      <c r="B440" t="str">
        <f t="shared" si="100"/>
        <v>06539000</v>
      </c>
      <c r="C440" t="str">
        <f t="shared" si="97"/>
        <v>06539003</v>
      </c>
      <c r="D440" t="str">
        <f t="shared" si="98"/>
        <v>813</v>
      </c>
      <c r="E440" t="str">
        <f t="shared" si="92"/>
        <v>89301172</v>
      </c>
      <c r="F440" t="str">
        <f t="shared" si="93"/>
        <v>9055235783</v>
      </c>
      <c r="G440" s="1">
        <v>44575</v>
      </c>
      <c r="H440" t="str">
        <f>"91131"</f>
        <v>91131</v>
      </c>
      <c r="I440">
        <v>1</v>
      </c>
      <c r="J440">
        <v>171</v>
      </c>
      <c r="K440">
        <v>0</v>
      </c>
      <c r="L440">
        <v>133.38</v>
      </c>
    </row>
    <row r="441" spans="1:12" x14ac:dyDescent="0.25">
      <c r="A441" t="str">
        <f t="shared" si="90"/>
        <v>89301000</v>
      </c>
      <c r="B441" t="str">
        <f t="shared" si="100"/>
        <v>06539000</v>
      </c>
      <c r="C441" t="str">
        <f t="shared" si="97"/>
        <v>06539003</v>
      </c>
      <c r="D441" t="str">
        <f t="shared" si="98"/>
        <v>813</v>
      </c>
      <c r="E441" t="str">
        <f t="shared" si="92"/>
        <v>89301172</v>
      </c>
      <c r="F441" t="str">
        <f t="shared" si="93"/>
        <v>9055235783</v>
      </c>
      <c r="G441" s="1">
        <v>44575</v>
      </c>
      <c r="H441" t="str">
        <f>"91133"</f>
        <v>91133</v>
      </c>
      <c r="I441">
        <v>1</v>
      </c>
      <c r="J441">
        <v>176</v>
      </c>
      <c r="K441">
        <v>0</v>
      </c>
      <c r="L441">
        <v>137.28</v>
      </c>
    </row>
    <row r="442" spans="1:12" x14ac:dyDescent="0.25">
      <c r="A442" t="str">
        <f t="shared" si="90"/>
        <v>89301000</v>
      </c>
      <c r="B442" t="str">
        <f t="shared" si="100"/>
        <v>06539000</v>
      </c>
      <c r="C442" t="str">
        <f t="shared" si="97"/>
        <v>06539003</v>
      </c>
      <c r="D442" t="str">
        <f t="shared" si="98"/>
        <v>813</v>
      </c>
      <c r="E442" t="str">
        <f t="shared" si="92"/>
        <v>89301172</v>
      </c>
      <c r="F442" t="str">
        <f t="shared" si="93"/>
        <v>9055235783</v>
      </c>
      <c r="G442" s="1">
        <v>44575</v>
      </c>
      <c r="H442" t="str">
        <f>"91171"</f>
        <v>91171</v>
      </c>
      <c r="I442">
        <v>1</v>
      </c>
      <c r="J442">
        <v>360</v>
      </c>
      <c r="K442">
        <v>0</v>
      </c>
      <c r="L442">
        <v>280.8</v>
      </c>
    </row>
    <row r="443" spans="1:12" x14ac:dyDescent="0.25">
      <c r="A443" t="str">
        <f t="shared" si="90"/>
        <v>89301000</v>
      </c>
      <c r="B443" t="str">
        <f t="shared" si="100"/>
        <v>06539000</v>
      </c>
      <c r="C443" t="str">
        <f t="shared" si="97"/>
        <v>06539003</v>
      </c>
      <c r="D443" t="str">
        <f t="shared" si="98"/>
        <v>813</v>
      </c>
      <c r="E443" t="str">
        <f t="shared" si="92"/>
        <v>89301172</v>
      </c>
      <c r="F443" t="str">
        <f t="shared" si="93"/>
        <v>9055235783</v>
      </c>
      <c r="G443" s="1">
        <v>44575</v>
      </c>
      <c r="H443" t="str">
        <f>"91173"</f>
        <v>91173</v>
      </c>
      <c r="I443">
        <v>1</v>
      </c>
      <c r="J443">
        <v>335</v>
      </c>
      <c r="K443">
        <v>0</v>
      </c>
      <c r="L443">
        <v>261.3</v>
      </c>
    </row>
    <row r="444" spans="1:12" x14ac:dyDescent="0.25">
      <c r="A444" t="str">
        <f t="shared" si="90"/>
        <v>89301000</v>
      </c>
      <c r="B444" t="str">
        <f t="shared" si="100"/>
        <v>06539000</v>
      </c>
      <c r="C444" t="str">
        <f t="shared" si="97"/>
        <v>06539003</v>
      </c>
      <c r="D444" t="str">
        <f t="shared" si="98"/>
        <v>813</v>
      </c>
      <c r="E444" t="str">
        <f t="shared" si="92"/>
        <v>89301172</v>
      </c>
      <c r="F444" t="str">
        <f t="shared" si="93"/>
        <v>9055235783</v>
      </c>
      <c r="G444" s="1">
        <v>44575</v>
      </c>
      <c r="H444" t="str">
        <f>"91175"</f>
        <v>91175</v>
      </c>
      <c r="I444">
        <v>1</v>
      </c>
      <c r="J444">
        <v>360</v>
      </c>
      <c r="K444">
        <v>0</v>
      </c>
      <c r="L444">
        <v>280.8</v>
      </c>
    </row>
    <row r="445" spans="1:12" x14ac:dyDescent="0.25">
      <c r="A445" t="str">
        <f t="shared" si="90"/>
        <v>89301000</v>
      </c>
      <c r="B445" t="str">
        <f t="shared" si="100"/>
        <v>06539000</v>
      </c>
      <c r="C445" t="str">
        <f t="shared" si="97"/>
        <v>06539003</v>
      </c>
      <c r="D445" t="str">
        <f t="shared" si="98"/>
        <v>813</v>
      </c>
      <c r="E445" t="str">
        <f t="shared" si="92"/>
        <v>89301172</v>
      </c>
      <c r="F445" t="str">
        <f t="shared" si="93"/>
        <v>9055235783</v>
      </c>
      <c r="G445" s="1">
        <v>44576</v>
      </c>
      <c r="H445" t="str">
        <f>"91167"</f>
        <v>91167</v>
      </c>
      <c r="I445">
        <v>1</v>
      </c>
      <c r="J445">
        <v>425</v>
      </c>
      <c r="K445">
        <v>0</v>
      </c>
      <c r="L445">
        <v>331.5</v>
      </c>
    </row>
    <row r="446" spans="1:12" x14ac:dyDescent="0.25">
      <c r="A446" t="str">
        <f t="shared" si="90"/>
        <v>89301000</v>
      </c>
      <c r="B446" t="str">
        <f t="shared" si="100"/>
        <v>06539000</v>
      </c>
      <c r="C446" t="str">
        <f t="shared" si="97"/>
        <v>06539003</v>
      </c>
      <c r="D446" t="str">
        <f t="shared" si="98"/>
        <v>813</v>
      </c>
      <c r="E446" t="str">
        <f t="shared" si="92"/>
        <v>89301172</v>
      </c>
      <c r="F446" t="str">
        <f t="shared" si="93"/>
        <v>9055235783</v>
      </c>
      <c r="G446" s="1">
        <v>44576</v>
      </c>
      <c r="H446" t="str">
        <f>"91169"</f>
        <v>91169</v>
      </c>
      <c r="I446">
        <v>1</v>
      </c>
      <c r="J446">
        <v>425</v>
      </c>
      <c r="K446">
        <v>0</v>
      </c>
      <c r="L446">
        <v>331.5</v>
      </c>
    </row>
    <row r="447" spans="1:12" x14ac:dyDescent="0.25">
      <c r="A447" t="str">
        <f t="shared" si="90"/>
        <v>89301000</v>
      </c>
      <c r="B447" t="str">
        <f t="shared" si="100"/>
        <v>06539000</v>
      </c>
      <c r="C447" t="str">
        <f t="shared" si="97"/>
        <v>06539003</v>
      </c>
      <c r="D447" t="str">
        <f t="shared" si="98"/>
        <v>813</v>
      </c>
      <c r="E447" t="str">
        <f t="shared" si="92"/>
        <v>89301172</v>
      </c>
      <c r="F447" t="str">
        <f t="shared" si="93"/>
        <v>9055235783</v>
      </c>
      <c r="G447" s="1">
        <v>44575</v>
      </c>
      <c r="H447" t="str">
        <f>"91167"</f>
        <v>91167</v>
      </c>
      <c r="I447">
        <v>1</v>
      </c>
      <c r="J447">
        <v>425</v>
      </c>
      <c r="K447">
        <v>0</v>
      </c>
      <c r="L447">
        <v>331.5</v>
      </c>
    </row>
    <row r="448" spans="1:12" x14ac:dyDescent="0.25">
      <c r="A448" t="str">
        <f t="shared" si="90"/>
        <v>89301000</v>
      </c>
      <c r="B448" t="str">
        <f t="shared" si="100"/>
        <v>06539000</v>
      </c>
      <c r="C448" t="str">
        <f t="shared" si="97"/>
        <v>06539003</v>
      </c>
      <c r="D448" t="str">
        <f t="shared" si="98"/>
        <v>813</v>
      </c>
      <c r="E448" t="str">
        <f t="shared" si="92"/>
        <v>89301172</v>
      </c>
      <c r="F448" t="str">
        <f t="shared" si="93"/>
        <v>9055235783</v>
      </c>
      <c r="G448" s="1">
        <v>44575</v>
      </c>
      <c r="H448" t="str">
        <f>"91169"</f>
        <v>91169</v>
      </c>
      <c r="I448">
        <v>1</v>
      </c>
      <c r="J448">
        <v>425</v>
      </c>
      <c r="K448">
        <v>0</v>
      </c>
      <c r="L448">
        <v>331.5</v>
      </c>
    </row>
    <row r="449" spans="1:12" x14ac:dyDescent="0.25">
      <c r="A449" t="str">
        <f t="shared" si="90"/>
        <v>89301000</v>
      </c>
      <c r="B449" t="str">
        <f t="shared" si="100"/>
        <v>06539000</v>
      </c>
      <c r="C449" t="str">
        <f t="shared" si="97"/>
        <v>06539003</v>
      </c>
      <c r="D449" t="str">
        <f t="shared" si="98"/>
        <v>813</v>
      </c>
      <c r="E449" t="str">
        <f t="shared" si="92"/>
        <v>89301172</v>
      </c>
      <c r="F449" t="str">
        <f t="shared" si="93"/>
        <v>9055235783</v>
      </c>
      <c r="G449" s="1">
        <v>44575</v>
      </c>
      <c r="H449" t="str">
        <f>"91475"</f>
        <v>91475</v>
      </c>
      <c r="I449">
        <v>1</v>
      </c>
      <c r="J449">
        <v>206</v>
      </c>
      <c r="K449">
        <v>0</v>
      </c>
      <c r="L449">
        <v>160.68</v>
      </c>
    </row>
    <row r="450" spans="1:12" x14ac:dyDescent="0.25">
      <c r="A450" t="str">
        <f t="shared" ref="A450:A513" si="102">"89301000"</f>
        <v>89301000</v>
      </c>
      <c r="B450" t="str">
        <f t="shared" ref="B450:C453" si="103">"89632000"</f>
        <v>89632000</v>
      </c>
      <c r="C450" t="str">
        <f t="shared" si="103"/>
        <v>89632000</v>
      </c>
      <c r="D450" t="str">
        <f t="shared" ref="D450:D455" si="104">"809"</f>
        <v>809</v>
      </c>
      <c r="E450" t="str">
        <f>"89301212"</f>
        <v>89301212</v>
      </c>
      <c r="F450" t="str">
        <f>"485726415"</f>
        <v>485726415</v>
      </c>
      <c r="G450" s="1">
        <v>44572</v>
      </c>
      <c r="H450" t="str">
        <f>"89125"</f>
        <v>89125</v>
      </c>
      <c r="I450">
        <v>1</v>
      </c>
      <c r="J450">
        <v>214</v>
      </c>
      <c r="K450">
        <v>0</v>
      </c>
      <c r="L450">
        <v>299.60000000000002</v>
      </c>
    </row>
    <row r="451" spans="1:12" x14ac:dyDescent="0.25">
      <c r="A451" t="str">
        <f t="shared" si="102"/>
        <v>89301000</v>
      </c>
      <c r="B451" t="str">
        <f t="shared" si="103"/>
        <v>89632000</v>
      </c>
      <c r="C451" t="str">
        <f t="shared" si="103"/>
        <v>89632000</v>
      </c>
      <c r="D451" t="str">
        <f t="shared" si="104"/>
        <v>809</v>
      </c>
      <c r="E451" t="str">
        <f>"89301215"</f>
        <v>89301215</v>
      </c>
      <c r="F451" t="str">
        <f>"6161271534"</f>
        <v>6161271534</v>
      </c>
      <c r="G451" s="1">
        <v>44574</v>
      </c>
      <c r="H451" t="str">
        <f>"89513"</f>
        <v>89513</v>
      </c>
      <c r="I451">
        <v>1</v>
      </c>
      <c r="J451">
        <v>371</v>
      </c>
      <c r="K451">
        <v>0</v>
      </c>
      <c r="L451">
        <v>519.4</v>
      </c>
    </row>
    <row r="452" spans="1:12" x14ac:dyDescent="0.25">
      <c r="A452" t="str">
        <f t="shared" si="102"/>
        <v>89301000</v>
      </c>
      <c r="B452" t="str">
        <f t="shared" si="103"/>
        <v>89632000</v>
      </c>
      <c r="C452" t="str">
        <f t="shared" si="103"/>
        <v>89632000</v>
      </c>
      <c r="D452" t="str">
        <f t="shared" si="104"/>
        <v>809</v>
      </c>
      <c r="E452" t="str">
        <f>"89301215"</f>
        <v>89301215</v>
      </c>
      <c r="F452" t="str">
        <f>"6161271534"</f>
        <v>6161271534</v>
      </c>
      <c r="G452" s="1">
        <v>44574</v>
      </c>
      <c r="H452" t="str">
        <f>"89514"</f>
        <v>89514</v>
      </c>
      <c r="I452">
        <v>1</v>
      </c>
      <c r="J452">
        <v>371</v>
      </c>
      <c r="K452">
        <v>0</v>
      </c>
      <c r="L452">
        <v>519.4</v>
      </c>
    </row>
    <row r="453" spans="1:12" x14ac:dyDescent="0.25">
      <c r="A453" t="str">
        <f t="shared" si="102"/>
        <v>89301000</v>
      </c>
      <c r="B453" t="str">
        <f t="shared" si="103"/>
        <v>89632000</v>
      </c>
      <c r="C453" t="str">
        <f t="shared" si="103"/>
        <v>89632000</v>
      </c>
      <c r="D453" t="str">
        <f t="shared" si="104"/>
        <v>809</v>
      </c>
      <c r="E453" t="str">
        <f>"89301215"</f>
        <v>89301215</v>
      </c>
      <c r="F453" t="str">
        <f>"6161271534"</f>
        <v>6161271534</v>
      </c>
      <c r="G453" s="1">
        <v>44574</v>
      </c>
      <c r="H453" t="str">
        <f>"89131"</f>
        <v>89131</v>
      </c>
      <c r="I453">
        <v>1</v>
      </c>
      <c r="J453">
        <v>187</v>
      </c>
      <c r="K453">
        <v>0</v>
      </c>
      <c r="L453">
        <v>261.8</v>
      </c>
    </row>
    <row r="454" spans="1:12" x14ac:dyDescent="0.25">
      <c r="A454" t="str">
        <f t="shared" si="102"/>
        <v>89301000</v>
      </c>
      <c r="B454" t="str">
        <f>"77913000"</f>
        <v>77913000</v>
      </c>
      <c r="C454" t="str">
        <f>"77913001"</f>
        <v>77913001</v>
      </c>
      <c r="D454" t="str">
        <f t="shared" si="104"/>
        <v>809</v>
      </c>
      <c r="E454" t="str">
        <f>"89301218"</f>
        <v>89301218</v>
      </c>
      <c r="F454" t="str">
        <f>"495301344"</f>
        <v>495301344</v>
      </c>
      <c r="G454" s="1">
        <v>44578</v>
      </c>
      <c r="H454" t="str">
        <f>"89180"</f>
        <v>89180</v>
      </c>
      <c r="I454">
        <v>2</v>
      </c>
      <c r="J454">
        <v>752</v>
      </c>
      <c r="K454">
        <v>0</v>
      </c>
      <c r="L454">
        <v>1052.8</v>
      </c>
    </row>
    <row r="455" spans="1:12" x14ac:dyDescent="0.25">
      <c r="A455" t="str">
        <f t="shared" si="102"/>
        <v>89301000</v>
      </c>
      <c r="B455" t="str">
        <f>"77913000"</f>
        <v>77913000</v>
      </c>
      <c r="C455" t="str">
        <f>"77913001"</f>
        <v>77913001</v>
      </c>
      <c r="D455" t="str">
        <f t="shared" si="104"/>
        <v>809</v>
      </c>
      <c r="E455" t="str">
        <f>"89301218"</f>
        <v>89301218</v>
      </c>
      <c r="F455" t="str">
        <f>"495301344"</f>
        <v>495301344</v>
      </c>
      <c r="G455" s="1">
        <v>44578</v>
      </c>
      <c r="H455" t="str">
        <f>"89512"</f>
        <v>89512</v>
      </c>
      <c r="I455">
        <v>1</v>
      </c>
      <c r="J455">
        <v>277</v>
      </c>
      <c r="K455">
        <v>0</v>
      </c>
      <c r="L455">
        <v>387.8</v>
      </c>
    </row>
    <row r="456" spans="1:12" x14ac:dyDescent="0.25">
      <c r="A456" t="str">
        <f t="shared" si="102"/>
        <v>89301000</v>
      </c>
      <c r="B456" t="str">
        <f>"82001000"</f>
        <v>82001000</v>
      </c>
      <c r="C456" t="str">
        <f>"82001846"</f>
        <v>82001846</v>
      </c>
      <c r="D456" t="str">
        <f>"810"</f>
        <v>810</v>
      </c>
      <c r="E456" t="str">
        <f>"89301312"</f>
        <v>89301312</v>
      </c>
      <c r="F456" t="str">
        <f>"0107024500"</f>
        <v>0107024500</v>
      </c>
      <c r="G456" s="1">
        <v>44582</v>
      </c>
      <c r="H456" t="str">
        <f>"89713"</f>
        <v>89713</v>
      </c>
      <c r="I456">
        <v>1</v>
      </c>
      <c r="J456">
        <v>5362</v>
      </c>
      <c r="K456">
        <v>0</v>
      </c>
      <c r="L456">
        <v>3217.2</v>
      </c>
    </row>
    <row r="457" spans="1:12" x14ac:dyDescent="0.25">
      <c r="A457" t="str">
        <f t="shared" si="102"/>
        <v>89301000</v>
      </c>
      <c r="B457" t="str">
        <f>"72931000"</f>
        <v>72931000</v>
      </c>
      <c r="C457" t="str">
        <f>"72931514"</f>
        <v>72931514</v>
      </c>
      <c r="D457" t="str">
        <f>"807"</f>
        <v>807</v>
      </c>
      <c r="E457" t="str">
        <f>"89301041"</f>
        <v>89301041</v>
      </c>
      <c r="F457" t="str">
        <f>"6411061129"</f>
        <v>6411061129</v>
      </c>
      <c r="G457" s="1">
        <v>44589</v>
      </c>
      <c r="H457" t="str">
        <f>"87613"</f>
        <v>87613</v>
      </c>
      <c r="I457">
        <v>1</v>
      </c>
      <c r="J457">
        <v>422</v>
      </c>
      <c r="K457">
        <v>0</v>
      </c>
      <c r="L457">
        <v>329.16</v>
      </c>
    </row>
    <row r="458" spans="1:12" x14ac:dyDescent="0.25">
      <c r="A458" t="str">
        <f t="shared" si="102"/>
        <v>89301000</v>
      </c>
      <c r="B458" t="str">
        <f>"72931000"</f>
        <v>72931000</v>
      </c>
      <c r="C458" t="str">
        <f>"72931514"</f>
        <v>72931514</v>
      </c>
      <c r="D458" t="str">
        <f>"807"</f>
        <v>807</v>
      </c>
      <c r="E458" t="str">
        <f>"89301041"</f>
        <v>89301041</v>
      </c>
      <c r="F458" t="str">
        <f>"6411061129"</f>
        <v>6411061129</v>
      </c>
      <c r="G458" s="1">
        <v>44589</v>
      </c>
      <c r="H458" t="str">
        <f>"87231"</f>
        <v>87231</v>
      </c>
      <c r="I458">
        <v>1</v>
      </c>
      <c r="J458">
        <v>374</v>
      </c>
      <c r="K458">
        <v>0</v>
      </c>
      <c r="L458">
        <v>291.72000000000003</v>
      </c>
    </row>
    <row r="459" spans="1:12" x14ac:dyDescent="0.25">
      <c r="A459" t="str">
        <f t="shared" si="102"/>
        <v>89301000</v>
      </c>
      <c r="B459" t="str">
        <f>"72931000"</f>
        <v>72931000</v>
      </c>
      <c r="C459" t="str">
        <f>"72931514"</f>
        <v>72931514</v>
      </c>
      <c r="D459" t="str">
        <f>"807"</f>
        <v>807</v>
      </c>
      <c r="E459" t="str">
        <f>"89301041"</f>
        <v>89301041</v>
      </c>
      <c r="F459" t="str">
        <f>"6411061129"</f>
        <v>6411061129</v>
      </c>
      <c r="G459" s="1">
        <v>44592</v>
      </c>
      <c r="H459" t="str">
        <f>"87511"</f>
        <v>87511</v>
      </c>
      <c r="I459">
        <v>1</v>
      </c>
      <c r="J459">
        <v>147</v>
      </c>
      <c r="K459">
        <v>0</v>
      </c>
      <c r="L459">
        <v>114.66</v>
      </c>
    </row>
    <row r="460" spans="1:12" x14ac:dyDescent="0.25">
      <c r="A460" t="str">
        <f t="shared" si="102"/>
        <v>89301000</v>
      </c>
      <c r="B460" t="str">
        <f>"72931000"</f>
        <v>72931000</v>
      </c>
      <c r="C460" t="str">
        <f>"72931514"</f>
        <v>72931514</v>
      </c>
      <c r="D460" t="str">
        <f>"807"</f>
        <v>807</v>
      </c>
      <c r="E460" t="str">
        <f>"89301212"</f>
        <v>89301212</v>
      </c>
      <c r="F460" t="str">
        <f>"8057204474"</f>
        <v>8057204474</v>
      </c>
      <c r="G460" s="1">
        <v>44588</v>
      </c>
      <c r="H460" t="str">
        <f>"87613"</f>
        <v>87613</v>
      </c>
      <c r="I460">
        <v>1</v>
      </c>
      <c r="J460">
        <v>422</v>
      </c>
      <c r="K460">
        <v>0</v>
      </c>
      <c r="L460">
        <v>329.16</v>
      </c>
    </row>
    <row r="461" spans="1:12" x14ac:dyDescent="0.25">
      <c r="A461" t="str">
        <f t="shared" si="102"/>
        <v>89301000</v>
      </c>
      <c r="B461" t="str">
        <f>"72931000"</f>
        <v>72931000</v>
      </c>
      <c r="C461" t="str">
        <f>"72931514"</f>
        <v>72931514</v>
      </c>
      <c r="D461" t="str">
        <f>"807"</f>
        <v>807</v>
      </c>
      <c r="E461" t="str">
        <f>"89301212"</f>
        <v>89301212</v>
      </c>
      <c r="F461" t="str">
        <f>"8057204474"</f>
        <v>8057204474</v>
      </c>
      <c r="G461" s="1">
        <v>44592</v>
      </c>
      <c r="H461" t="str">
        <f>"99795"</f>
        <v>99795</v>
      </c>
      <c r="I461">
        <v>1</v>
      </c>
      <c r="J461">
        <v>7556</v>
      </c>
      <c r="K461">
        <v>0</v>
      </c>
      <c r="L461">
        <v>5893.68</v>
      </c>
    </row>
    <row r="462" spans="1:12" x14ac:dyDescent="0.25">
      <c r="A462" t="str">
        <f t="shared" si="102"/>
        <v>89301000</v>
      </c>
      <c r="B462" t="str">
        <f t="shared" ref="B462:B483" si="105">"10510000"</f>
        <v>10510000</v>
      </c>
      <c r="C462" t="str">
        <f t="shared" ref="C462:C483" si="106">"10510001"</f>
        <v>10510001</v>
      </c>
      <c r="D462" t="str">
        <f t="shared" ref="D462:D483" si="107">"802"</f>
        <v>802</v>
      </c>
      <c r="E462" t="str">
        <f>"89301708"</f>
        <v>89301708</v>
      </c>
      <c r="F462" t="str">
        <f>"2111120781"</f>
        <v>2111120781</v>
      </c>
      <c r="G462" s="1">
        <v>44569</v>
      </c>
      <c r="H462" t="str">
        <f>"82029"</f>
        <v>82029</v>
      </c>
      <c r="I462">
        <v>2</v>
      </c>
      <c r="J462">
        <v>92</v>
      </c>
      <c r="K462">
        <v>0</v>
      </c>
      <c r="L462">
        <v>83.72</v>
      </c>
    </row>
    <row r="463" spans="1:12" x14ac:dyDescent="0.25">
      <c r="A463" t="str">
        <f t="shared" si="102"/>
        <v>89301000</v>
      </c>
      <c r="B463" t="str">
        <f t="shared" si="105"/>
        <v>10510000</v>
      </c>
      <c r="C463" t="str">
        <f t="shared" si="106"/>
        <v>10510001</v>
      </c>
      <c r="D463" t="str">
        <f t="shared" si="107"/>
        <v>802</v>
      </c>
      <c r="E463" t="str">
        <f>"89301708"</f>
        <v>89301708</v>
      </c>
      <c r="F463" t="str">
        <f>"2111120781"</f>
        <v>2111120781</v>
      </c>
      <c r="G463" s="1">
        <v>44569</v>
      </c>
      <c r="H463" t="str">
        <f>"82057"</f>
        <v>82057</v>
      </c>
      <c r="I463">
        <v>4</v>
      </c>
      <c r="J463">
        <v>200</v>
      </c>
      <c r="K463">
        <v>0</v>
      </c>
      <c r="L463">
        <v>182</v>
      </c>
    </row>
    <row r="464" spans="1:12" x14ac:dyDescent="0.25">
      <c r="A464" t="str">
        <f t="shared" si="102"/>
        <v>89301000</v>
      </c>
      <c r="B464" t="str">
        <f t="shared" si="105"/>
        <v>10510000</v>
      </c>
      <c r="C464" t="str">
        <f t="shared" si="106"/>
        <v>10510001</v>
      </c>
      <c r="D464" t="str">
        <f t="shared" si="107"/>
        <v>802</v>
      </c>
      <c r="E464" t="str">
        <f>"89301708"</f>
        <v>89301708</v>
      </c>
      <c r="F464" t="str">
        <f>"2111120781"</f>
        <v>2111120781</v>
      </c>
      <c r="G464" s="1">
        <v>44569</v>
      </c>
      <c r="H464" t="str">
        <f>"82149"</f>
        <v>82149</v>
      </c>
      <c r="I464">
        <v>9</v>
      </c>
      <c r="J464">
        <v>432</v>
      </c>
      <c r="K464">
        <v>0</v>
      </c>
      <c r="L464">
        <v>393.12</v>
      </c>
    </row>
    <row r="465" spans="1:12" x14ac:dyDescent="0.25">
      <c r="A465" t="str">
        <f t="shared" si="102"/>
        <v>89301000</v>
      </c>
      <c r="B465" t="str">
        <f t="shared" si="105"/>
        <v>10510000</v>
      </c>
      <c r="C465" t="str">
        <f t="shared" si="106"/>
        <v>10510001</v>
      </c>
      <c r="D465" t="str">
        <f t="shared" si="107"/>
        <v>802</v>
      </c>
      <c r="E465" t="str">
        <f>"89301708"</f>
        <v>89301708</v>
      </c>
      <c r="F465" t="str">
        <f>"2111120781"</f>
        <v>2111120781</v>
      </c>
      <c r="G465" s="1">
        <v>44569</v>
      </c>
      <c r="H465" t="str">
        <f>"82149"</f>
        <v>82149</v>
      </c>
      <c r="I465">
        <v>7</v>
      </c>
      <c r="J465">
        <v>336</v>
      </c>
      <c r="K465">
        <v>0</v>
      </c>
      <c r="L465">
        <v>305.76</v>
      </c>
    </row>
    <row r="466" spans="1:12" x14ac:dyDescent="0.25">
      <c r="A466" t="str">
        <f t="shared" si="102"/>
        <v>89301000</v>
      </c>
      <c r="B466" t="str">
        <f t="shared" si="105"/>
        <v>10510000</v>
      </c>
      <c r="C466" t="str">
        <f t="shared" si="106"/>
        <v>10510001</v>
      </c>
      <c r="D466" t="str">
        <f t="shared" si="107"/>
        <v>802</v>
      </c>
      <c r="E466" t="str">
        <f t="shared" ref="E466:E471" si="108">"89301171"</f>
        <v>89301171</v>
      </c>
      <c r="F466" t="str">
        <f>"6456282041"</f>
        <v>6456282041</v>
      </c>
      <c r="G466" s="1">
        <v>44567</v>
      </c>
      <c r="H466" t="str">
        <f>"82034"</f>
        <v>82034</v>
      </c>
      <c r="I466">
        <v>1</v>
      </c>
      <c r="J466">
        <v>348</v>
      </c>
      <c r="K466">
        <v>0</v>
      </c>
      <c r="L466">
        <v>316.68</v>
      </c>
    </row>
    <row r="467" spans="1:12" x14ac:dyDescent="0.25">
      <c r="A467" t="str">
        <f t="shared" si="102"/>
        <v>89301000</v>
      </c>
      <c r="B467" t="str">
        <f t="shared" si="105"/>
        <v>10510000</v>
      </c>
      <c r="C467" t="str">
        <f t="shared" si="106"/>
        <v>10510001</v>
      </c>
      <c r="D467" t="str">
        <f t="shared" si="107"/>
        <v>802</v>
      </c>
      <c r="E467" t="str">
        <f t="shared" si="108"/>
        <v>89301171</v>
      </c>
      <c r="F467" t="str">
        <f>"6456282041"</f>
        <v>6456282041</v>
      </c>
      <c r="G467" s="1">
        <v>44567</v>
      </c>
      <c r="H467" t="str">
        <f>"82041"</f>
        <v>82041</v>
      </c>
      <c r="I467">
        <v>1</v>
      </c>
      <c r="J467">
        <v>1090</v>
      </c>
      <c r="K467">
        <v>0</v>
      </c>
      <c r="L467">
        <v>991.9</v>
      </c>
    </row>
    <row r="468" spans="1:12" x14ac:dyDescent="0.25">
      <c r="A468" t="str">
        <f t="shared" si="102"/>
        <v>89301000</v>
      </c>
      <c r="B468" t="str">
        <f t="shared" si="105"/>
        <v>10510000</v>
      </c>
      <c r="C468" t="str">
        <f t="shared" si="106"/>
        <v>10510001</v>
      </c>
      <c r="D468" t="str">
        <f t="shared" si="107"/>
        <v>802</v>
      </c>
      <c r="E468" t="str">
        <f t="shared" si="108"/>
        <v>89301171</v>
      </c>
      <c r="F468" t="str">
        <f>"6456282041"</f>
        <v>6456282041</v>
      </c>
      <c r="G468" s="1">
        <v>44567</v>
      </c>
      <c r="H468" t="str">
        <f>"82041"</f>
        <v>82041</v>
      </c>
      <c r="I468">
        <v>1</v>
      </c>
      <c r="J468">
        <v>1090</v>
      </c>
      <c r="K468">
        <v>0</v>
      </c>
      <c r="L468">
        <v>991.9</v>
      </c>
    </row>
    <row r="469" spans="1:12" x14ac:dyDescent="0.25">
      <c r="A469" t="str">
        <f t="shared" si="102"/>
        <v>89301000</v>
      </c>
      <c r="B469" t="str">
        <f t="shared" si="105"/>
        <v>10510000</v>
      </c>
      <c r="C469" t="str">
        <f t="shared" si="106"/>
        <v>10510001</v>
      </c>
      <c r="D469" t="str">
        <f t="shared" si="107"/>
        <v>802</v>
      </c>
      <c r="E469" t="str">
        <f t="shared" si="108"/>
        <v>89301171</v>
      </c>
      <c r="F469" t="str">
        <f>"470610424"</f>
        <v>470610424</v>
      </c>
      <c r="G469" s="1">
        <v>44567</v>
      </c>
      <c r="H469" t="str">
        <f>"82041"</f>
        <v>82041</v>
      </c>
      <c r="I469">
        <v>1</v>
      </c>
      <c r="J469">
        <v>1090</v>
      </c>
      <c r="K469">
        <v>0</v>
      </c>
      <c r="L469">
        <v>991.9</v>
      </c>
    </row>
    <row r="470" spans="1:12" x14ac:dyDescent="0.25">
      <c r="A470" t="str">
        <f t="shared" si="102"/>
        <v>89301000</v>
      </c>
      <c r="B470" t="str">
        <f t="shared" si="105"/>
        <v>10510000</v>
      </c>
      <c r="C470" t="str">
        <f t="shared" si="106"/>
        <v>10510001</v>
      </c>
      <c r="D470" t="str">
        <f t="shared" si="107"/>
        <v>802</v>
      </c>
      <c r="E470" t="str">
        <f t="shared" si="108"/>
        <v>89301171</v>
      </c>
      <c r="F470" t="str">
        <f>"470610424"</f>
        <v>470610424</v>
      </c>
      <c r="G470" s="1">
        <v>44567</v>
      </c>
      <c r="H470" t="str">
        <f>"82041"</f>
        <v>82041</v>
      </c>
      <c r="I470">
        <v>1</v>
      </c>
      <c r="J470">
        <v>1090</v>
      </c>
      <c r="K470">
        <v>0</v>
      </c>
      <c r="L470">
        <v>991.9</v>
      </c>
    </row>
    <row r="471" spans="1:12" x14ac:dyDescent="0.25">
      <c r="A471" t="str">
        <f t="shared" si="102"/>
        <v>89301000</v>
      </c>
      <c r="B471" t="str">
        <f t="shared" si="105"/>
        <v>10510000</v>
      </c>
      <c r="C471" t="str">
        <f t="shared" si="106"/>
        <v>10510001</v>
      </c>
      <c r="D471" t="str">
        <f t="shared" si="107"/>
        <v>802</v>
      </c>
      <c r="E471" t="str">
        <f t="shared" si="108"/>
        <v>89301171</v>
      </c>
      <c r="F471" t="str">
        <f>"470610424"</f>
        <v>470610424</v>
      </c>
      <c r="G471" s="1">
        <v>44567</v>
      </c>
      <c r="H471" t="str">
        <f>"82034"</f>
        <v>82034</v>
      </c>
      <c r="I471">
        <v>1</v>
      </c>
      <c r="J471">
        <v>348</v>
      </c>
      <c r="K471">
        <v>0</v>
      </c>
      <c r="L471">
        <v>316.68</v>
      </c>
    </row>
    <row r="472" spans="1:12" x14ac:dyDescent="0.25">
      <c r="A472" t="str">
        <f t="shared" si="102"/>
        <v>89301000</v>
      </c>
      <c r="B472" t="str">
        <f t="shared" si="105"/>
        <v>10510000</v>
      </c>
      <c r="C472" t="str">
        <f t="shared" si="106"/>
        <v>10510001</v>
      </c>
      <c r="D472" t="str">
        <f t="shared" si="107"/>
        <v>802</v>
      </c>
      <c r="E472" t="str">
        <f t="shared" ref="E472:E477" si="109">"89301172"</f>
        <v>89301172</v>
      </c>
      <c r="F472" t="str">
        <f>"9358105757"</f>
        <v>9358105757</v>
      </c>
      <c r="G472" s="1">
        <v>44574</v>
      </c>
      <c r="H472" t="str">
        <f>"82034"</f>
        <v>82034</v>
      </c>
      <c r="I472">
        <v>1</v>
      </c>
      <c r="J472">
        <v>348</v>
      </c>
      <c r="K472">
        <v>0</v>
      </c>
      <c r="L472">
        <v>316.68</v>
      </c>
    </row>
    <row r="473" spans="1:12" x14ac:dyDescent="0.25">
      <c r="A473" t="str">
        <f t="shared" si="102"/>
        <v>89301000</v>
      </c>
      <c r="B473" t="str">
        <f t="shared" si="105"/>
        <v>10510000</v>
      </c>
      <c r="C473" t="str">
        <f t="shared" si="106"/>
        <v>10510001</v>
      </c>
      <c r="D473" t="str">
        <f t="shared" si="107"/>
        <v>802</v>
      </c>
      <c r="E473" t="str">
        <f t="shared" si="109"/>
        <v>89301172</v>
      </c>
      <c r="F473" t="str">
        <f>"9358105757"</f>
        <v>9358105757</v>
      </c>
      <c r="G473" s="1">
        <v>44574</v>
      </c>
      <c r="H473" t="str">
        <f>"82041"</f>
        <v>82041</v>
      </c>
      <c r="I473">
        <v>1</v>
      </c>
      <c r="J473">
        <v>1090</v>
      </c>
      <c r="K473">
        <v>0</v>
      </c>
      <c r="L473">
        <v>991.9</v>
      </c>
    </row>
    <row r="474" spans="1:12" x14ac:dyDescent="0.25">
      <c r="A474" t="str">
        <f t="shared" si="102"/>
        <v>89301000</v>
      </c>
      <c r="B474" t="str">
        <f t="shared" si="105"/>
        <v>10510000</v>
      </c>
      <c r="C474" t="str">
        <f t="shared" si="106"/>
        <v>10510001</v>
      </c>
      <c r="D474" t="str">
        <f t="shared" si="107"/>
        <v>802</v>
      </c>
      <c r="E474" t="str">
        <f t="shared" si="109"/>
        <v>89301172</v>
      </c>
      <c r="F474" t="str">
        <f>"9358105757"</f>
        <v>9358105757</v>
      </c>
      <c r="G474" s="1">
        <v>44574</v>
      </c>
      <c r="H474" t="str">
        <f>"82041"</f>
        <v>82041</v>
      </c>
      <c r="I474">
        <v>1</v>
      </c>
      <c r="J474">
        <v>1090</v>
      </c>
      <c r="K474">
        <v>0</v>
      </c>
      <c r="L474">
        <v>991.9</v>
      </c>
    </row>
    <row r="475" spans="1:12" x14ac:dyDescent="0.25">
      <c r="A475" t="str">
        <f t="shared" si="102"/>
        <v>89301000</v>
      </c>
      <c r="B475" t="str">
        <f t="shared" si="105"/>
        <v>10510000</v>
      </c>
      <c r="C475" t="str">
        <f t="shared" si="106"/>
        <v>10510001</v>
      </c>
      <c r="D475" t="str">
        <f t="shared" si="107"/>
        <v>802</v>
      </c>
      <c r="E475" t="str">
        <f t="shared" si="109"/>
        <v>89301172</v>
      </c>
      <c r="F475" t="str">
        <f>"9055235783"</f>
        <v>9055235783</v>
      </c>
      <c r="G475" s="1">
        <v>44580</v>
      </c>
      <c r="H475" t="str">
        <f>"82034"</f>
        <v>82034</v>
      </c>
      <c r="I475">
        <v>1</v>
      </c>
      <c r="J475">
        <v>348</v>
      </c>
      <c r="K475">
        <v>0</v>
      </c>
      <c r="L475">
        <v>316.68</v>
      </c>
    </row>
    <row r="476" spans="1:12" x14ac:dyDescent="0.25">
      <c r="A476" t="str">
        <f t="shared" si="102"/>
        <v>89301000</v>
      </c>
      <c r="B476" t="str">
        <f t="shared" si="105"/>
        <v>10510000</v>
      </c>
      <c r="C476" t="str">
        <f t="shared" si="106"/>
        <v>10510001</v>
      </c>
      <c r="D476" t="str">
        <f t="shared" si="107"/>
        <v>802</v>
      </c>
      <c r="E476" t="str">
        <f t="shared" si="109"/>
        <v>89301172</v>
      </c>
      <c r="F476" t="str">
        <f>"9055235783"</f>
        <v>9055235783</v>
      </c>
      <c r="G476" s="1">
        <v>44580</v>
      </c>
      <c r="H476" t="str">
        <f>"82041"</f>
        <v>82041</v>
      </c>
      <c r="I476">
        <v>1</v>
      </c>
      <c r="J476">
        <v>1090</v>
      </c>
      <c r="K476">
        <v>0</v>
      </c>
      <c r="L476">
        <v>991.9</v>
      </c>
    </row>
    <row r="477" spans="1:12" x14ac:dyDescent="0.25">
      <c r="A477" t="str">
        <f t="shared" si="102"/>
        <v>89301000</v>
      </c>
      <c r="B477" t="str">
        <f t="shared" si="105"/>
        <v>10510000</v>
      </c>
      <c r="C477" t="str">
        <f t="shared" si="106"/>
        <v>10510001</v>
      </c>
      <c r="D477" t="str">
        <f t="shared" si="107"/>
        <v>802</v>
      </c>
      <c r="E477" t="str">
        <f t="shared" si="109"/>
        <v>89301172</v>
      </c>
      <c r="F477" t="str">
        <f>"9055235783"</f>
        <v>9055235783</v>
      </c>
      <c r="G477" s="1">
        <v>44580</v>
      </c>
      <c r="H477" t="str">
        <f>"82041"</f>
        <v>82041</v>
      </c>
      <c r="I477">
        <v>1</v>
      </c>
      <c r="J477">
        <v>1090</v>
      </c>
      <c r="K477">
        <v>0</v>
      </c>
      <c r="L477">
        <v>991.9</v>
      </c>
    </row>
    <row r="478" spans="1:12" x14ac:dyDescent="0.25">
      <c r="A478" t="str">
        <f t="shared" si="102"/>
        <v>89301000</v>
      </c>
      <c r="B478" t="str">
        <f t="shared" si="105"/>
        <v>10510000</v>
      </c>
      <c r="C478" t="str">
        <f t="shared" si="106"/>
        <v>10510001</v>
      </c>
      <c r="D478" t="str">
        <f t="shared" si="107"/>
        <v>802</v>
      </c>
      <c r="E478" t="str">
        <f>"89301171"</f>
        <v>89301171</v>
      </c>
      <c r="F478" t="str">
        <f>"6454032002"</f>
        <v>6454032002</v>
      </c>
      <c r="G478" s="1">
        <v>44587</v>
      </c>
      <c r="H478" t="str">
        <f>"82034"</f>
        <v>82034</v>
      </c>
      <c r="I478">
        <v>1</v>
      </c>
      <c r="J478">
        <v>348</v>
      </c>
      <c r="K478">
        <v>0</v>
      </c>
      <c r="L478">
        <v>316.68</v>
      </c>
    </row>
    <row r="479" spans="1:12" x14ac:dyDescent="0.25">
      <c r="A479" t="str">
        <f t="shared" si="102"/>
        <v>89301000</v>
      </c>
      <c r="B479" t="str">
        <f t="shared" si="105"/>
        <v>10510000</v>
      </c>
      <c r="C479" t="str">
        <f t="shared" si="106"/>
        <v>10510001</v>
      </c>
      <c r="D479" t="str">
        <f t="shared" si="107"/>
        <v>802</v>
      </c>
      <c r="E479" t="str">
        <f>"89301171"</f>
        <v>89301171</v>
      </c>
      <c r="F479" t="str">
        <f>"6454032002"</f>
        <v>6454032002</v>
      </c>
      <c r="G479" s="1">
        <v>44587</v>
      </c>
      <c r="H479" t="str">
        <f>"82041"</f>
        <v>82041</v>
      </c>
      <c r="I479">
        <v>1</v>
      </c>
      <c r="J479">
        <v>1090</v>
      </c>
      <c r="K479">
        <v>0</v>
      </c>
      <c r="L479">
        <v>991.9</v>
      </c>
    </row>
    <row r="480" spans="1:12" x14ac:dyDescent="0.25">
      <c r="A480" t="str">
        <f t="shared" si="102"/>
        <v>89301000</v>
      </c>
      <c r="B480" t="str">
        <f t="shared" si="105"/>
        <v>10510000</v>
      </c>
      <c r="C480" t="str">
        <f t="shared" si="106"/>
        <v>10510001</v>
      </c>
      <c r="D480" t="str">
        <f t="shared" si="107"/>
        <v>802</v>
      </c>
      <c r="E480" t="str">
        <f>"89301171"</f>
        <v>89301171</v>
      </c>
      <c r="F480" t="str">
        <f>"6454032002"</f>
        <v>6454032002</v>
      </c>
      <c r="G480" s="1">
        <v>44587</v>
      </c>
      <c r="H480" t="str">
        <f>"82041"</f>
        <v>82041</v>
      </c>
      <c r="I480">
        <v>1</v>
      </c>
      <c r="J480">
        <v>1090</v>
      </c>
      <c r="K480">
        <v>0</v>
      </c>
      <c r="L480">
        <v>991.9</v>
      </c>
    </row>
    <row r="481" spans="1:12" x14ac:dyDescent="0.25">
      <c r="A481" t="str">
        <f t="shared" si="102"/>
        <v>89301000</v>
      </c>
      <c r="B481" t="str">
        <f t="shared" si="105"/>
        <v>10510000</v>
      </c>
      <c r="C481" t="str">
        <f t="shared" si="106"/>
        <v>10510001</v>
      </c>
      <c r="D481" t="str">
        <f t="shared" si="107"/>
        <v>802</v>
      </c>
      <c r="E481" t="str">
        <f>"89301172"</f>
        <v>89301172</v>
      </c>
      <c r="F481" t="str">
        <f>"5652011299"</f>
        <v>5652011299</v>
      </c>
      <c r="G481" s="1">
        <v>44592</v>
      </c>
      <c r="H481" t="str">
        <f>"82041"</f>
        <v>82041</v>
      </c>
      <c r="I481">
        <v>1</v>
      </c>
      <c r="J481">
        <v>1090</v>
      </c>
      <c r="K481">
        <v>0</v>
      </c>
      <c r="L481">
        <v>991.9</v>
      </c>
    </row>
    <row r="482" spans="1:12" x14ac:dyDescent="0.25">
      <c r="A482" t="str">
        <f t="shared" si="102"/>
        <v>89301000</v>
      </c>
      <c r="B482" t="str">
        <f t="shared" si="105"/>
        <v>10510000</v>
      </c>
      <c r="C482" t="str">
        <f t="shared" si="106"/>
        <v>10510001</v>
      </c>
      <c r="D482" t="str">
        <f t="shared" si="107"/>
        <v>802</v>
      </c>
      <c r="E482" t="str">
        <f>"89301172"</f>
        <v>89301172</v>
      </c>
      <c r="F482" t="str">
        <f>"5652011299"</f>
        <v>5652011299</v>
      </c>
      <c r="G482" s="1">
        <v>44592</v>
      </c>
      <c r="H482" t="str">
        <f>"82041"</f>
        <v>82041</v>
      </c>
      <c r="I482">
        <v>1</v>
      </c>
      <c r="J482">
        <v>1090</v>
      </c>
      <c r="K482">
        <v>0</v>
      </c>
      <c r="L482">
        <v>991.9</v>
      </c>
    </row>
    <row r="483" spans="1:12" x14ac:dyDescent="0.25">
      <c r="A483" t="str">
        <f t="shared" si="102"/>
        <v>89301000</v>
      </c>
      <c r="B483" t="str">
        <f t="shared" si="105"/>
        <v>10510000</v>
      </c>
      <c r="C483" t="str">
        <f t="shared" si="106"/>
        <v>10510001</v>
      </c>
      <c r="D483" t="str">
        <f t="shared" si="107"/>
        <v>802</v>
      </c>
      <c r="E483" t="str">
        <f>"89301172"</f>
        <v>89301172</v>
      </c>
      <c r="F483" t="str">
        <f>"5652011299"</f>
        <v>5652011299</v>
      </c>
      <c r="G483" s="1">
        <v>44592</v>
      </c>
      <c r="H483" t="str">
        <f>"82034"</f>
        <v>82034</v>
      </c>
      <c r="I483">
        <v>1</v>
      </c>
      <c r="J483">
        <v>348</v>
      </c>
      <c r="K483">
        <v>0</v>
      </c>
      <c r="L483">
        <v>316.68</v>
      </c>
    </row>
    <row r="484" spans="1:12" x14ac:dyDescent="0.25">
      <c r="A484" t="str">
        <f t="shared" si="102"/>
        <v>89301000</v>
      </c>
      <c r="B484" t="str">
        <f>"85600000"</f>
        <v>85600000</v>
      </c>
      <c r="C484" t="str">
        <f>"85600421"</f>
        <v>85600421</v>
      </c>
      <c r="D484" t="str">
        <f>"809"</f>
        <v>809</v>
      </c>
      <c r="E484" t="str">
        <f>"89301042"</f>
        <v>89301042</v>
      </c>
      <c r="F484" t="str">
        <f>"506216080"</f>
        <v>506216080</v>
      </c>
      <c r="G484" s="1">
        <v>44572</v>
      </c>
      <c r="H484" t="str">
        <f>"89611"</f>
        <v>89611</v>
      </c>
      <c r="I484">
        <v>1</v>
      </c>
      <c r="J484">
        <v>2241</v>
      </c>
      <c r="K484">
        <v>0</v>
      </c>
      <c r="L484">
        <v>1344.6</v>
      </c>
    </row>
    <row r="485" spans="1:12" x14ac:dyDescent="0.25">
      <c r="A485" t="str">
        <f t="shared" si="102"/>
        <v>89301000</v>
      </c>
      <c r="B485" t="str">
        <f>"85600000"</f>
        <v>85600000</v>
      </c>
      <c r="C485" t="str">
        <f>"85600421"</f>
        <v>85600421</v>
      </c>
      <c r="D485" t="str">
        <f>"809"</f>
        <v>809</v>
      </c>
      <c r="E485" t="str">
        <f>"89301042"</f>
        <v>89301042</v>
      </c>
      <c r="F485" t="str">
        <f>"506216080"</f>
        <v>506216080</v>
      </c>
      <c r="G485" s="1">
        <v>44572</v>
      </c>
      <c r="H485" t="str">
        <f>"89611"</f>
        <v>89611</v>
      </c>
      <c r="I485">
        <v>1</v>
      </c>
      <c r="J485">
        <v>2241</v>
      </c>
      <c r="K485">
        <v>0</v>
      </c>
      <c r="L485">
        <v>1344.6</v>
      </c>
    </row>
    <row r="486" spans="1:12" x14ac:dyDescent="0.25">
      <c r="A486" t="str">
        <f t="shared" si="102"/>
        <v>89301000</v>
      </c>
      <c r="B486" t="str">
        <f>"85600000"</f>
        <v>85600000</v>
      </c>
      <c r="C486" t="str">
        <f>"85600421"</f>
        <v>85600421</v>
      </c>
      <c r="D486" t="str">
        <f>"809"</f>
        <v>809</v>
      </c>
      <c r="E486" t="str">
        <f>"89301042"</f>
        <v>89301042</v>
      </c>
      <c r="F486" t="str">
        <f>"506216080"</f>
        <v>506216080</v>
      </c>
      <c r="G486" s="1">
        <v>44572</v>
      </c>
      <c r="H486" t="str">
        <f>"0137481"</f>
        <v>0137481</v>
      </c>
      <c r="I486">
        <v>0.2</v>
      </c>
      <c r="K486">
        <v>879.39</v>
      </c>
      <c r="L486">
        <v>879.39</v>
      </c>
    </row>
    <row r="487" spans="1:12" x14ac:dyDescent="0.25">
      <c r="A487" t="str">
        <f t="shared" si="102"/>
        <v>89301000</v>
      </c>
      <c r="B487" t="str">
        <f>"89903000"</f>
        <v>89903000</v>
      </c>
      <c r="C487" t="str">
        <f>"89903504"</f>
        <v>89903504</v>
      </c>
      <c r="D487" t="str">
        <f>"810"</f>
        <v>810</v>
      </c>
      <c r="E487" t="str">
        <f>"89301062"</f>
        <v>89301062</v>
      </c>
      <c r="F487" t="str">
        <f>"475414401"</f>
        <v>475414401</v>
      </c>
      <c r="G487" s="1">
        <v>44572</v>
      </c>
      <c r="H487" t="str">
        <f>"89713"</f>
        <v>89713</v>
      </c>
      <c r="I487">
        <v>1</v>
      </c>
      <c r="J487">
        <v>5362</v>
      </c>
      <c r="K487">
        <v>0</v>
      </c>
      <c r="L487">
        <v>3217.2</v>
      </c>
    </row>
    <row r="488" spans="1:12" x14ac:dyDescent="0.25">
      <c r="A488" t="str">
        <f t="shared" si="102"/>
        <v>89301000</v>
      </c>
      <c r="B488" t="str">
        <f>"89903000"</f>
        <v>89903000</v>
      </c>
      <c r="C488" t="str">
        <f>"89903504"</f>
        <v>89903504</v>
      </c>
      <c r="D488" t="str">
        <f>"810"</f>
        <v>810</v>
      </c>
      <c r="E488" t="str">
        <f>"89301062"</f>
        <v>89301062</v>
      </c>
      <c r="F488" t="str">
        <f>"475414401"</f>
        <v>475414401</v>
      </c>
      <c r="G488" s="1">
        <v>44572</v>
      </c>
      <c r="H488" t="str">
        <f>"89725"</f>
        <v>89725</v>
      </c>
      <c r="I488">
        <v>1</v>
      </c>
      <c r="J488">
        <v>2839</v>
      </c>
      <c r="K488">
        <v>0</v>
      </c>
      <c r="L488">
        <v>1703.4</v>
      </c>
    </row>
    <row r="489" spans="1:12" x14ac:dyDescent="0.25">
      <c r="A489" t="str">
        <f t="shared" si="102"/>
        <v>89301000</v>
      </c>
      <c r="B489" t="str">
        <f>"89903000"</f>
        <v>89903000</v>
      </c>
      <c r="C489" t="str">
        <f>"89903504"</f>
        <v>89903504</v>
      </c>
      <c r="D489" t="str">
        <f>"810"</f>
        <v>810</v>
      </c>
      <c r="E489" t="str">
        <f>"89301062"</f>
        <v>89301062</v>
      </c>
      <c r="F489" t="str">
        <f>"475414401"</f>
        <v>475414401</v>
      </c>
      <c r="G489" s="1">
        <v>44572</v>
      </c>
      <c r="H489" t="str">
        <f>"0054253"</f>
        <v>0054253</v>
      </c>
      <c r="I489">
        <v>2</v>
      </c>
      <c r="K489">
        <v>1686.92</v>
      </c>
      <c r="L489">
        <v>1686.92</v>
      </c>
    </row>
    <row r="490" spans="1:12" x14ac:dyDescent="0.25">
      <c r="A490" t="str">
        <f t="shared" si="102"/>
        <v>89301000</v>
      </c>
      <c r="B490" t="str">
        <f>"89903000"</f>
        <v>89903000</v>
      </c>
      <c r="C490" t="str">
        <f>"89903504"</f>
        <v>89903504</v>
      </c>
      <c r="D490" t="str">
        <f>"810"</f>
        <v>810</v>
      </c>
      <c r="E490" t="str">
        <f>"89301606"</f>
        <v>89301606</v>
      </c>
      <c r="F490" t="str">
        <f>"5709161271"</f>
        <v>5709161271</v>
      </c>
      <c r="G490" s="1">
        <v>44587</v>
      </c>
      <c r="H490" t="str">
        <f>"89713"</f>
        <v>89713</v>
      </c>
      <c r="I490">
        <v>2</v>
      </c>
      <c r="J490">
        <v>10724</v>
      </c>
      <c r="K490">
        <v>0</v>
      </c>
      <c r="L490">
        <v>6434.4</v>
      </c>
    </row>
    <row r="491" spans="1:12" x14ac:dyDescent="0.25">
      <c r="A491" t="str">
        <f t="shared" si="102"/>
        <v>89301000</v>
      </c>
      <c r="B491" t="str">
        <f>"44101000"</f>
        <v>44101000</v>
      </c>
      <c r="C491" t="str">
        <f>"44101884"</f>
        <v>44101884</v>
      </c>
      <c r="D491" t="str">
        <f>"222"</f>
        <v>222</v>
      </c>
      <c r="E491" t="str">
        <f>"89301054"</f>
        <v>89301054</v>
      </c>
      <c r="F491" t="str">
        <f>"6401131924"</f>
        <v>6401131924</v>
      </c>
      <c r="G491" s="1">
        <v>44570</v>
      </c>
      <c r="H491" t="str">
        <f>"86125"</f>
        <v>86125</v>
      </c>
      <c r="I491">
        <v>1</v>
      </c>
      <c r="J491">
        <v>1868</v>
      </c>
      <c r="K491">
        <v>0</v>
      </c>
      <c r="L491">
        <v>1457.04</v>
      </c>
    </row>
    <row r="492" spans="1:12" x14ac:dyDescent="0.25">
      <c r="A492" t="str">
        <f t="shared" si="102"/>
        <v>89301000</v>
      </c>
      <c r="B492" t="str">
        <f>"44101000"</f>
        <v>44101000</v>
      </c>
      <c r="C492" t="str">
        <f>"44101884"</f>
        <v>44101884</v>
      </c>
      <c r="D492" t="str">
        <f>"222"</f>
        <v>222</v>
      </c>
      <c r="E492" t="str">
        <f>"89301054"</f>
        <v>89301054</v>
      </c>
      <c r="F492" t="str">
        <f>"6401131924"</f>
        <v>6401131924</v>
      </c>
      <c r="G492" s="1">
        <v>44570</v>
      </c>
      <c r="H492" t="str">
        <f>"91579"</f>
        <v>91579</v>
      </c>
      <c r="I492">
        <v>4</v>
      </c>
      <c r="J492">
        <v>31524</v>
      </c>
      <c r="K492">
        <v>0</v>
      </c>
      <c r="L492">
        <v>24588.720000000001</v>
      </c>
    </row>
    <row r="493" spans="1:12" x14ac:dyDescent="0.25">
      <c r="A493" t="str">
        <f t="shared" si="102"/>
        <v>89301000</v>
      </c>
      <c r="B493" t="str">
        <f t="shared" ref="B493:B498" si="110">"75002000"</f>
        <v>75002000</v>
      </c>
      <c r="C493" t="str">
        <f>"75002526"</f>
        <v>75002526</v>
      </c>
      <c r="D493" t="str">
        <f>"801"</f>
        <v>801</v>
      </c>
      <c r="E493" t="str">
        <f>"89301167"</f>
        <v>89301167</v>
      </c>
      <c r="F493" t="str">
        <f>"5957040397"</f>
        <v>5957040397</v>
      </c>
      <c r="G493" s="1">
        <v>44581</v>
      </c>
      <c r="H493" t="str">
        <f>"93221"</f>
        <v>93221</v>
      </c>
      <c r="I493">
        <v>1</v>
      </c>
      <c r="J493">
        <v>188</v>
      </c>
      <c r="K493">
        <v>0</v>
      </c>
      <c r="L493">
        <v>146.63999999999999</v>
      </c>
    </row>
    <row r="494" spans="1:12" x14ac:dyDescent="0.25">
      <c r="A494" t="str">
        <f t="shared" si="102"/>
        <v>89301000</v>
      </c>
      <c r="B494" t="str">
        <f t="shared" si="110"/>
        <v>75002000</v>
      </c>
      <c r="C494" t="str">
        <f>"75002526"</f>
        <v>75002526</v>
      </c>
      <c r="D494" t="str">
        <f>"801"</f>
        <v>801</v>
      </c>
      <c r="E494" t="str">
        <f>"89301167"</f>
        <v>89301167</v>
      </c>
      <c r="F494" t="str">
        <f>"5957040397"</f>
        <v>5957040397</v>
      </c>
      <c r="G494" s="1">
        <v>44581</v>
      </c>
      <c r="H494" t="str">
        <f>"97111"</f>
        <v>97111</v>
      </c>
      <c r="I494">
        <v>1</v>
      </c>
      <c r="J494">
        <v>18</v>
      </c>
      <c r="K494">
        <v>0</v>
      </c>
      <c r="L494">
        <v>14.04</v>
      </c>
    </row>
    <row r="495" spans="1:12" x14ac:dyDescent="0.25">
      <c r="A495" t="str">
        <f t="shared" si="102"/>
        <v>89301000</v>
      </c>
      <c r="B495" t="str">
        <f t="shared" si="110"/>
        <v>75002000</v>
      </c>
      <c r="C495" t="str">
        <f>"75002810"</f>
        <v>75002810</v>
      </c>
      <c r="D495" t="str">
        <f>"810"</f>
        <v>810</v>
      </c>
      <c r="E495" t="str">
        <f>"89301312"</f>
        <v>89301312</v>
      </c>
      <c r="F495" t="str">
        <f>"6155211579"</f>
        <v>6155211579</v>
      </c>
      <c r="G495" s="1">
        <v>44566</v>
      </c>
      <c r="H495" t="str">
        <f>"89713"</f>
        <v>89713</v>
      </c>
      <c r="I495">
        <v>1</v>
      </c>
      <c r="J495">
        <v>5362</v>
      </c>
      <c r="K495">
        <v>0</v>
      </c>
      <c r="L495">
        <v>3217.2</v>
      </c>
    </row>
    <row r="496" spans="1:12" x14ac:dyDescent="0.25">
      <c r="A496" t="str">
        <f t="shared" si="102"/>
        <v>89301000</v>
      </c>
      <c r="B496" t="str">
        <f t="shared" si="110"/>
        <v>75002000</v>
      </c>
      <c r="C496" t="str">
        <f>"75002810"</f>
        <v>75002810</v>
      </c>
      <c r="D496" t="str">
        <f>"810"</f>
        <v>810</v>
      </c>
      <c r="E496" t="str">
        <f>"89301312"</f>
        <v>89301312</v>
      </c>
      <c r="F496" t="str">
        <f>"6155211579"</f>
        <v>6155211579</v>
      </c>
      <c r="G496" s="1">
        <v>44566</v>
      </c>
      <c r="H496" t="str">
        <f>"89725"</f>
        <v>89725</v>
      </c>
      <c r="I496">
        <v>1</v>
      </c>
      <c r="J496">
        <v>2839</v>
      </c>
      <c r="K496">
        <v>0</v>
      </c>
      <c r="L496">
        <v>1703.4</v>
      </c>
    </row>
    <row r="497" spans="1:12" x14ac:dyDescent="0.25">
      <c r="A497" t="str">
        <f t="shared" si="102"/>
        <v>89301000</v>
      </c>
      <c r="B497" t="str">
        <f t="shared" si="110"/>
        <v>75002000</v>
      </c>
      <c r="C497" t="str">
        <f>"75002810"</f>
        <v>75002810</v>
      </c>
      <c r="D497" t="str">
        <f>"810"</f>
        <v>810</v>
      </c>
      <c r="E497" t="str">
        <f>"89301062"</f>
        <v>89301062</v>
      </c>
      <c r="F497" t="str">
        <f>"6702012130"</f>
        <v>6702012130</v>
      </c>
      <c r="G497" s="1">
        <v>44574</v>
      </c>
      <c r="H497" t="str">
        <f>"89713"</f>
        <v>89713</v>
      </c>
      <c r="I497">
        <v>1</v>
      </c>
      <c r="J497">
        <v>5362</v>
      </c>
      <c r="K497">
        <v>0</v>
      </c>
      <c r="L497">
        <v>3217.2</v>
      </c>
    </row>
    <row r="498" spans="1:12" x14ac:dyDescent="0.25">
      <c r="A498" t="str">
        <f t="shared" si="102"/>
        <v>89301000</v>
      </c>
      <c r="B498" t="str">
        <f t="shared" si="110"/>
        <v>75002000</v>
      </c>
      <c r="C498" t="str">
        <f>"75002810"</f>
        <v>75002810</v>
      </c>
      <c r="D498" t="str">
        <f>"810"</f>
        <v>810</v>
      </c>
      <c r="E498" t="str">
        <f>"89301062"</f>
        <v>89301062</v>
      </c>
      <c r="F498" t="str">
        <f>"6702012130"</f>
        <v>6702012130</v>
      </c>
      <c r="G498" s="1">
        <v>44579</v>
      </c>
      <c r="H498" t="str">
        <f>"89713"</f>
        <v>89713</v>
      </c>
      <c r="I498">
        <v>1</v>
      </c>
      <c r="J498">
        <v>5362</v>
      </c>
      <c r="K498">
        <v>0</v>
      </c>
      <c r="L498">
        <v>3217.2</v>
      </c>
    </row>
    <row r="499" spans="1:12" x14ac:dyDescent="0.25">
      <c r="A499" t="str">
        <f t="shared" si="102"/>
        <v>89301000</v>
      </c>
      <c r="B499" t="str">
        <f t="shared" ref="B499:B517" si="111">"91009000"</f>
        <v>91009000</v>
      </c>
      <c r="C499" t="str">
        <f>"91009581"</f>
        <v>91009581</v>
      </c>
      <c r="D499" t="str">
        <f>"801"</f>
        <v>801</v>
      </c>
      <c r="E499" t="str">
        <f>"89301011"</f>
        <v>89301011</v>
      </c>
      <c r="F499" t="str">
        <f>"6256080974"</f>
        <v>6256080974</v>
      </c>
      <c r="G499" s="1">
        <v>44571</v>
      </c>
      <c r="H499" t="str">
        <f>"91137"</f>
        <v>91137</v>
      </c>
      <c r="I499">
        <v>1</v>
      </c>
      <c r="J499">
        <v>169</v>
      </c>
      <c r="K499">
        <v>0</v>
      </c>
      <c r="L499">
        <v>131.82</v>
      </c>
    </row>
    <row r="500" spans="1:12" x14ac:dyDescent="0.25">
      <c r="A500" t="str">
        <f t="shared" si="102"/>
        <v>89301000</v>
      </c>
      <c r="B500" t="str">
        <f t="shared" si="111"/>
        <v>91009000</v>
      </c>
      <c r="C500" t="str">
        <f>"91009581"</f>
        <v>91009581</v>
      </c>
      <c r="D500" t="str">
        <f>"801"</f>
        <v>801</v>
      </c>
      <c r="E500" t="str">
        <f>"89301011"</f>
        <v>89301011</v>
      </c>
      <c r="F500" t="str">
        <f>"6256080974"</f>
        <v>6256080974</v>
      </c>
      <c r="G500" s="1">
        <v>44571</v>
      </c>
      <c r="H500" t="str">
        <f>"93263"</f>
        <v>93263</v>
      </c>
      <c r="I500">
        <v>1</v>
      </c>
      <c r="J500">
        <v>308</v>
      </c>
      <c r="K500">
        <v>0</v>
      </c>
      <c r="L500">
        <v>240.24</v>
      </c>
    </row>
    <row r="501" spans="1:12" x14ac:dyDescent="0.25">
      <c r="A501" t="str">
        <f t="shared" si="102"/>
        <v>89301000</v>
      </c>
      <c r="B501" t="str">
        <f t="shared" si="111"/>
        <v>91009000</v>
      </c>
      <c r="C501" t="str">
        <f>"91009581"</f>
        <v>91009581</v>
      </c>
      <c r="D501" t="str">
        <f>"801"</f>
        <v>801</v>
      </c>
      <c r="E501" t="str">
        <f>"89301011"</f>
        <v>89301011</v>
      </c>
      <c r="F501" t="str">
        <f>"6256080974"</f>
        <v>6256080974</v>
      </c>
      <c r="G501" s="1">
        <v>44571</v>
      </c>
      <c r="H501" t="str">
        <f>"97111"</f>
        <v>97111</v>
      </c>
      <c r="I501">
        <v>1</v>
      </c>
      <c r="J501">
        <v>18</v>
      </c>
      <c r="K501">
        <v>0</v>
      </c>
      <c r="L501">
        <v>14.04</v>
      </c>
    </row>
    <row r="502" spans="1:12" x14ac:dyDescent="0.25">
      <c r="A502" t="str">
        <f t="shared" si="102"/>
        <v>89301000</v>
      </c>
      <c r="B502" t="str">
        <f t="shared" si="111"/>
        <v>91009000</v>
      </c>
      <c r="C502" t="str">
        <f t="shared" ref="C502:C511" si="112">"91009605"</f>
        <v>91009605</v>
      </c>
      <c r="D502" t="str">
        <f t="shared" ref="D502:D511" si="113">"818"</f>
        <v>818</v>
      </c>
      <c r="E502" t="str">
        <f>"89301109"</f>
        <v>89301109</v>
      </c>
      <c r="F502" t="str">
        <f>"1552130283"</f>
        <v>1552130283</v>
      </c>
      <c r="G502" s="1">
        <v>44579</v>
      </c>
      <c r="H502" t="str">
        <f>"91431"</f>
        <v>91431</v>
      </c>
      <c r="I502">
        <v>1</v>
      </c>
      <c r="J502">
        <v>535</v>
      </c>
      <c r="K502">
        <v>0</v>
      </c>
      <c r="L502">
        <v>486.85</v>
      </c>
    </row>
    <row r="503" spans="1:12" x14ac:dyDescent="0.25">
      <c r="A503" t="str">
        <f t="shared" si="102"/>
        <v>89301000</v>
      </c>
      <c r="B503" t="str">
        <f t="shared" si="111"/>
        <v>91009000</v>
      </c>
      <c r="C503" t="str">
        <f t="shared" si="112"/>
        <v>91009605</v>
      </c>
      <c r="D503" t="str">
        <f t="shared" si="113"/>
        <v>818</v>
      </c>
      <c r="E503" t="str">
        <f>"89301109"</f>
        <v>89301109</v>
      </c>
      <c r="F503" t="str">
        <f>"1552130283"</f>
        <v>1552130283</v>
      </c>
      <c r="G503" s="1">
        <v>44581</v>
      </c>
      <c r="H503" t="str">
        <f>"22122"</f>
        <v>22122</v>
      </c>
      <c r="I503">
        <v>1</v>
      </c>
      <c r="J503">
        <v>573</v>
      </c>
      <c r="K503">
        <v>0</v>
      </c>
      <c r="L503">
        <v>521.42999999999995</v>
      </c>
    </row>
    <row r="504" spans="1:12" x14ac:dyDescent="0.25">
      <c r="A504" t="str">
        <f t="shared" si="102"/>
        <v>89301000</v>
      </c>
      <c r="B504" t="str">
        <f t="shared" si="111"/>
        <v>91009000</v>
      </c>
      <c r="C504" t="str">
        <f t="shared" si="112"/>
        <v>91009605</v>
      </c>
      <c r="D504" t="str">
        <f t="shared" si="113"/>
        <v>818</v>
      </c>
      <c r="E504" t="str">
        <f>"89301109"</f>
        <v>89301109</v>
      </c>
      <c r="F504" t="str">
        <f>"1552130283"</f>
        <v>1552130283</v>
      </c>
      <c r="G504" s="1">
        <v>44581</v>
      </c>
      <c r="H504" t="str">
        <f>"22123"</f>
        <v>22123</v>
      </c>
      <c r="I504">
        <v>1</v>
      </c>
      <c r="J504">
        <v>322</v>
      </c>
      <c r="K504">
        <v>0</v>
      </c>
      <c r="L504">
        <v>293.02</v>
      </c>
    </row>
    <row r="505" spans="1:12" x14ac:dyDescent="0.25">
      <c r="A505" t="str">
        <f t="shared" si="102"/>
        <v>89301000</v>
      </c>
      <c r="B505" t="str">
        <f t="shared" si="111"/>
        <v>91009000</v>
      </c>
      <c r="C505" t="str">
        <f t="shared" si="112"/>
        <v>91009605</v>
      </c>
      <c r="D505" t="str">
        <f t="shared" si="113"/>
        <v>818</v>
      </c>
      <c r="E505" t="str">
        <f>"89301103"</f>
        <v>89301103</v>
      </c>
      <c r="F505" t="str">
        <f>"1959060070"</f>
        <v>1959060070</v>
      </c>
      <c r="G505" s="1">
        <v>44579</v>
      </c>
      <c r="H505" t="str">
        <f>"91431"</f>
        <v>91431</v>
      </c>
      <c r="I505">
        <v>1</v>
      </c>
      <c r="J505">
        <v>535</v>
      </c>
      <c r="K505">
        <v>0</v>
      </c>
      <c r="L505">
        <v>486.85</v>
      </c>
    </row>
    <row r="506" spans="1:12" x14ac:dyDescent="0.25">
      <c r="A506" t="str">
        <f t="shared" si="102"/>
        <v>89301000</v>
      </c>
      <c r="B506" t="str">
        <f t="shared" si="111"/>
        <v>91009000</v>
      </c>
      <c r="C506" t="str">
        <f t="shared" si="112"/>
        <v>91009605</v>
      </c>
      <c r="D506" t="str">
        <f t="shared" si="113"/>
        <v>818</v>
      </c>
      <c r="E506" t="str">
        <f>"89301103"</f>
        <v>89301103</v>
      </c>
      <c r="F506" t="str">
        <f>"1959060070"</f>
        <v>1959060070</v>
      </c>
      <c r="G506" s="1">
        <v>44581</v>
      </c>
      <c r="H506" t="str">
        <f>"22122"</f>
        <v>22122</v>
      </c>
      <c r="I506">
        <v>1</v>
      </c>
      <c r="J506">
        <v>573</v>
      </c>
      <c r="K506">
        <v>0</v>
      </c>
      <c r="L506">
        <v>521.42999999999995</v>
      </c>
    </row>
    <row r="507" spans="1:12" x14ac:dyDescent="0.25">
      <c r="A507" t="str">
        <f t="shared" si="102"/>
        <v>89301000</v>
      </c>
      <c r="B507" t="str">
        <f t="shared" si="111"/>
        <v>91009000</v>
      </c>
      <c r="C507" t="str">
        <f t="shared" si="112"/>
        <v>91009605</v>
      </c>
      <c r="D507" t="str">
        <f t="shared" si="113"/>
        <v>818</v>
      </c>
      <c r="E507" t="str">
        <f>"89301103"</f>
        <v>89301103</v>
      </c>
      <c r="F507" t="str">
        <f>"1959060070"</f>
        <v>1959060070</v>
      </c>
      <c r="G507" s="1">
        <v>44581</v>
      </c>
      <c r="H507" t="str">
        <f>"22123"</f>
        <v>22123</v>
      </c>
      <c r="I507">
        <v>1</v>
      </c>
      <c r="J507">
        <v>322</v>
      </c>
      <c r="K507">
        <v>0</v>
      </c>
      <c r="L507">
        <v>293.02</v>
      </c>
    </row>
    <row r="508" spans="1:12" x14ac:dyDescent="0.25">
      <c r="A508" t="str">
        <f t="shared" si="102"/>
        <v>89301000</v>
      </c>
      <c r="B508" t="str">
        <f t="shared" si="111"/>
        <v>91009000</v>
      </c>
      <c r="C508" t="str">
        <f t="shared" si="112"/>
        <v>91009605</v>
      </c>
      <c r="D508" t="str">
        <f t="shared" si="113"/>
        <v>818</v>
      </c>
      <c r="E508" t="str">
        <f>"89301103"</f>
        <v>89301103</v>
      </c>
      <c r="F508" t="str">
        <f>"1959060070"</f>
        <v>1959060070</v>
      </c>
      <c r="G508" s="1">
        <v>44581</v>
      </c>
      <c r="H508" t="str">
        <f>"22127"</f>
        <v>22127</v>
      </c>
      <c r="I508">
        <v>1</v>
      </c>
      <c r="J508">
        <v>330</v>
      </c>
      <c r="K508">
        <v>0</v>
      </c>
      <c r="L508">
        <v>300.3</v>
      </c>
    </row>
    <row r="509" spans="1:12" x14ac:dyDescent="0.25">
      <c r="A509" t="str">
        <f t="shared" si="102"/>
        <v>89301000</v>
      </c>
      <c r="B509" t="str">
        <f t="shared" si="111"/>
        <v>91009000</v>
      </c>
      <c r="C509" t="str">
        <f t="shared" si="112"/>
        <v>91009605</v>
      </c>
      <c r="D509" t="str">
        <f t="shared" si="113"/>
        <v>818</v>
      </c>
      <c r="E509" t="str">
        <f>"89301109"</f>
        <v>89301109</v>
      </c>
      <c r="F509" t="str">
        <f>"2156091454"</f>
        <v>2156091454</v>
      </c>
      <c r="G509" s="1">
        <v>44579</v>
      </c>
      <c r="H509" t="str">
        <f>"91431"</f>
        <v>91431</v>
      </c>
      <c r="I509">
        <v>1</v>
      </c>
      <c r="J509">
        <v>535</v>
      </c>
      <c r="K509">
        <v>0</v>
      </c>
      <c r="L509">
        <v>486.85</v>
      </c>
    </row>
    <row r="510" spans="1:12" x14ac:dyDescent="0.25">
      <c r="A510" t="str">
        <f t="shared" si="102"/>
        <v>89301000</v>
      </c>
      <c r="B510" t="str">
        <f t="shared" si="111"/>
        <v>91009000</v>
      </c>
      <c r="C510" t="str">
        <f t="shared" si="112"/>
        <v>91009605</v>
      </c>
      <c r="D510" t="str">
        <f t="shared" si="113"/>
        <v>818</v>
      </c>
      <c r="E510" t="str">
        <f>"89301109"</f>
        <v>89301109</v>
      </c>
      <c r="F510" t="str">
        <f>"2156091454"</f>
        <v>2156091454</v>
      </c>
      <c r="G510" s="1">
        <v>44581</v>
      </c>
      <c r="H510" t="str">
        <f>"22122"</f>
        <v>22122</v>
      </c>
      <c r="I510">
        <v>1</v>
      </c>
      <c r="J510">
        <v>573</v>
      </c>
      <c r="K510">
        <v>0</v>
      </c>
      <c r="L510">
        <v>521.42999999999995</v>
      </c>
    </row>
    <row r="511" spans="1:12" x14ac:dyDescent="0.25">
      <c r="A511" t="str">
        <f t="shared" si="102"/>
        <v>89301000</v>
      </c>
      <c r="B511" t="str">
        <f t="shared" si="111"/>
        <v>91009000</v>
      </c>
      <c r="C511" t="str">
        <f t="shared" si="112"/>
        <v>91009605</v>
      </c>
      <c r="D511" t="str">
        <f t="shared" si="113"/>
        <v>818</v>
      </c>
      <c r="E511" t="str">
        <f>"89301109"</f>
        <v>89301109</v>
      </c>
      <c r="F511" t="str">
        <f>"2156091454"</f>
        <v>2156091454</v>
      </c>
      <c r="G511" s="1">
        <v>44581</v>
      </c>
      <c r="H511" t="str">
        <f>"22123"</f>
        <v>22123</v>
      </c>
      <c r="I511">
        <v>1</v>
      </c>
      <c r="J511">
        <v>322</v>
      </c>
      <c r="K511">
        <v>0</v>
      </c>
      <c r="L511">
        <v>293.02</v>
      </c>
    </row>
    <row r="512" spans="1:12" x14ac:dyDescent="0.25">
      <c r="A512" t="str">
        <f t="shared" si="102"/>
        <v>89301000</v>
      </c>
      <c r="B512" t="str">
        <f t="shared" si="111"/>
        <v>91009000</v>
      </c>
      <c r="C512" t="str">
        <f>"91009522"</f>
        <v>91009522</v>
      </c>
      <c r="D512" t="str">
        <f>"816"</f>
        <v>816</v>
      </c>
      <c r="E512" t="str">
        <f>"89301282"</f>
        <v>89301282</v>
      </c>
      <c r="F512" t="str">
        <f>"2053240299"</f>
        <v>2053240299</v>
      </c>
      <c r="G512" s="1">
        <v>44575</v>
      </c>
      <c r="H512" t="str">
        <f>"94345"</f>
        <v>94345</v>
      </c>
      <c r="I512">
        <v>1</v>
      </c>
      <c r="J512">
        <v>4625</v>
      </c>
      <c r="K512">
        <v>0</v>
      </c>
      <c r="L512">
        <v>3931.25</v>
      </c>
    </row>
    <row r="513" spans="1:12" x14ac:dyDescent="0.25">
      <c r="A513" t="str">
        <f t="shared" si="102"/>
        <v>89301000</v>
      </c>
      <c r="B513" t="str">
        <f t="shared" si="111"/>
        <v>91009000</v>
      </c>
      <c r="C513" t="str">
        <f>"91009522"</f>
        <v>91009522</v>
      </c>
      <c r="D513" t="str">
        <f>"816"</f>
        <v>816</v>
      </c>
      <c r="E513" t="str">
        <f>"89301282"</f>
        <v>89301282</v>
      </c>
      <c r="F513" t="str">
        <f>"0810280383"</f>
        <v>0810280383</v>
      </c>
      <c r="G513" s="1">
        <v>44582</v>
      </c>
      <c r="H513" t="str">
        <f>"94982"</f>
        <v>94982</v>
      </c>
      <c r="I513">
        <v>1</v>
      </c>
      <c r="J513">
        <v>0</v>
      </c>
      <c r="K513">
        <v>27500</v>
      </c>
      <c r="L513">
        <v>27500</v>
      </c>
    </row>
    <row r="514" spans="1:12" x14ac:dyDescent="0.25">
      <c r="A514" t="str">
        <f t="shared" ref="A514:A577" si="114">"89301000"</f>
        <v>89301000</v>
      </c>
      <c r="B514" t="str">
        <f t="shared" si="111"/>
        <v>91009000</v>
      </c>
      <c r="C514" t="str">
        <f>"91009522"</f>
        <v>91009522</v>
      </c>
      <c r="D514" t="str">
        <f>"816"</f>
        <v>816</v>
      </c>
      <c r="E514" t="str">
        <f>"89301282"</f>
        <v>89301282</v>
      </c>
      <c r="F514" t="str">
        <f>"0810280383"</f>
        <v>0810280383</v>
      </c>
      <c r="G514" s="1">
        <v>44582</v>
      </c>
      <c r="H514" t="str">
        <f>"94996"</f>
        <v>94996</v>
      </c>
      <c r="I514">
        <v>1</v>
      </c>
      <c r="J514">
        <v>0</v>
      </c>
      <c r="K514">
        <v>0</v>
      </c>
      <c r="L514">
        <v>0</v>
      </c>
    </row>
    <row r="515" spans="1:12" x14ac:dyDescent="0.25">
      <c r="A515" t="str">
        <f t="shared" si="114"/>
        <v>89301000</v>
      </c>
      <c r="B515" t="str">
        <f t="shared" si="111"/>
        <v>91009000</v>
      </c>
      <c r="C515" t="str">
        <f>"91009132"</f>
        <v>91009132</v>
      </c>
      <c r="D515" t="str">
        <f>"812"</f>
        <v>812</v>
      </c>
      <c r="E515" t="str">
        <f>"89301212"</f>
        <v>89301212</v>
      </c>
      <c r="F515" t="str">
        <f>"8556125776"</f>
        <v>8556125776</v>
      </c>
      <c r="G515" s="1">
        <v>44572</v>
      </c>
      <c r="H515" t="str">
        <f>"92157"</f>
        <v>92157</v>
      </c>
      <c r="I515">
        <v>1</v>
      </c>
      <c r="J515">
        <v>1754</v>
      </c>
      <c r="K515">
        <v>0</v>
      </c>
      <c r="L515">
        <v>1368.12</v>
      </c>
    </row>
    <row r="516" spans="1:12" x14ac:dyDescent="0.25">
      <c r="A516" t="str">
        <f t="shared" si="114"/>
        <v>89301000</v>
      </c>
      <c r="B516" t="str">
        <f t="shared" si="111"/>
        <v>91009000</v>
      </c>
      <c r="C516" t="str">
        <f>"91009132"</f>
        <v>91009132</v>
      </c>
      <c r="D516" t="str">
        <f>"812"</f>
        <v>812</v>
      </c>
      <c r="E516" t="str">
        <f>"89301212"</f>
        <v>89301212</v>
      </c>
      <c r="F516" t="str">
        <f>"8556125776"</f>
        <v>8556125776</v>
      </c>
      <c r="G516" s="1">
        <v>44572</v>
      </c>
      <c r="H516" t="str">
        <f>"97111"</f>
        <v>97111</v>
      </c>
      <c r="I516">
        <v>1</v>
      </c>
      <c r="J516">
        <v>18</v>
      </c>
      <c r="K516">
        <v>0</v>
      </c>
      <c r="L516">
        <v>14.04</v>
      </c>
    </row>
    <row r="517" spans="1:12" x14ac:dyDescent="0.25">
      <c r="A517" t="str">
        <f t="shared" si="114"/>
        <v>89301000</v>
      </c>
      <c r="B517" t="str">
        <f t="shared" si="111"/>
        <v>91009000</v>
      </c>
      <c r="C517" t="str">
        <f>"91009132"</f>
        <v>91009132</v>
      </c>
      <c r="D517" t="str">
        <f>"812"</f>
        <v>812</v>
      </c>
      <c r="E517" t="str">
        <f>"89301212"</f>
        <v>89301212</v>
      </c>
      <c r="F517" t="str">
        <f>"8556125776"</f>
        <v>8556125776</v>
      </c>
      <c r="G517" s="1">
        <v>44572</v>
      </c>
      <c r="H517" t="str">
        <f>"99111"</f>
        <v>99111</v>
      </c>
      <c r="I517">
        <v>1</v>
      </c>
      <c r="J517">
        <v>206</v>
      </c>
      <c r="K517">
        <v>0</v>
      </c>
      <c r="L517">
        <v>160.68</v>
      </c>
    </row>
    <row r="518" spans="1:12" x14ac:dyDescent="0.25">
      <c r="A518" t="str">
        <f t="shared" si="114"/>
        <v>89301000</v>
      </c>
      <c r="B518" t="str">
        <f t="shared" ref="B518:B524" si="115">"06223000"</f>
        <v>06223000</v>
      </c>
      <c r="C518" t="str">
        <f t="shared" ref="C518:C524" si="116">"06223043"</f>
        <v>06223043</v>
      </c>
      <c r="D518" t="str">
        <f t="shared" ref="D518:D524" si="117">"801"</f>
        <v>801</v>
      </c>
      <c r="E518" t="str">
        <f t="shared" ref="E518:E524" si="118">"89301122"</f>
        <v>89301122</v>
      </c>
      <c r="F518" t="str">
        <f>"5412042460"</f>
        <v>5412042460</v>
      </c>
      <c r="G518" s="1">
        <v>44564</v>
      </c>
      <c r="H518" t="str">
        <f>"92165"</f>
        <v>92165</v>
      </c>
      <c r="I518">
        <v>1</v>
      </c>
      <c r="J518">
        <v>2113</v>
      </c>
      <c r="K518">
        <v>0</v>
      </c>
      <c r="L518">
        <v>1648.14</v>
      </c>
    </row>
    <row r="519" spans="1:12" x14ac:dyDescent="0.25">
      <c r="A519" t="str">
        <f t="shared" si="114"/>
        <v>89301000</v>
      </c>
      <c r="B519" t="str">
        <f t="shared" si="115"/>
        <v>06223000</v>
      </c>
      <c r="C519" t="str">
        <f t="shared" si="116"/>
        <v>06223043</v>
      </c>
      <c r="D519" t="str">
        <f t="shared" si="117"/>
        <v>801</v>
      </c>
      <c r="E519" t="str">
        <f t="shared" si="118"/>
        <v>89301122</v>
      </c>
      <c r="F519" t="str">
        <f>"5510291061"</f>
        <v>5510291061</v>
      </c>
      <c r="G519" s="1">
        <v>44575</v>
      </c>
      <c r="H519" t="str">
        <f>"81485"</f>
        <v>81485</v>
      </c>
      <c r="I519">
        <v>1</v>
      </c>
      <c r="J519">
        <v>453</v>
      </c>
      <c r="K519">
        <v>0</v>
      </c>
      <c r="L519">
        <v>353.34</v>
      </c>
    </row>
    <row r="520" spans="1:12" x14ac:dyDescent="0.25">
      <c r="A520" t="str">
        <f t="shared" si="114"/>
        <v>89301000</v>
      </c>
      <c r="B520" t="str">
        <f t="shared" si="115"/>
        <v>06223000</v>
      </c>
      <c r="C520" t="str">
        <f t="shared" si="116"/>
        <v>06223043</v>
      </c>
      <c r="D520" t="str">
        <f t="shared" si="117"/>
        <v>801</v>
      </c>
      <c r="E520" t="str">
        <f t="shared" si="118"/>
        <v>89301122</v>
      </c>
      <c r="F520" t="str">
        <f>"8302085330"</f>
        <v>8302085330</v>
      </c>
      <c r="G520" s="1">
        <v>44564</v>
      </c>
      <c r="H520" t="str">
        <f>"92165"</f>
        <v>92165</v>
      </c>
      <c r="I520">
        <v>1</v>
      </c>
      <c r="J520">
        <v>2113</v>
      </c>
      <c r="K520">
        <v>0</v>
      </c>
      <c r="L520">
        <v>1648.14</v>
      </c>
    </row>
    <row r="521" spans="1:12" x14ac:dyDescent="0.25">
      <c r="A521" t="str">
        <f t="shared" si="114"/>
        <v>89301000</v>
      </c>
      <c r="B521" t="str">
        <f t="shared" si="115"/>
        <v>06223000</v>
      </c>
      <c r="C521" t="str">
        <f t="shared" si="116"/>
        <v>06223043</v>
      </c>
      <c r="D521" t="str">
        <f t="shared" si="117"/>
        <v>801</v>
      </c>
      <c r="E521" t="str">
        <f t="shared" si="118"/>
        <v>89301122</v>
      </c>
      <c r="F521" t="str">
        <f>"8002184465"</f>
        <v>8002184465</v>
      </c>
      <c r="G521" s="1">
        <v>44575</v>
      </c>
      <c r="H521" t="str">
        <f>"81485"</f>
        <v>81485</v>
      </c>
      <c r="I521">
        <v>1</v>
      </c>
      <c r="J521">
        <v>453</v>
      </c>
      <c r="K521">
        <v>0</v>
      </c>
      <c r="L521">
        <v>353.34</v>
      </c>
    </row>
    <row r="522" spans="1:12" x14ac:dyDescent="0.25">
      <c r="A522" t="str">
        <f t="shared" si="114"/>
        <v>89301000</v>
      </c>
      <c r="B522" t="str">
        <f t="shared" si="115"/>
        <v>06223000</v>
      </c>
      <c r="C522" t="str">
        <f t="shared" si="116"/>
        <v>06223043</v>
      </c>
      <c r="D522" t="str">
        <f t="shared" si="117"/>
        <v>801</v>
      </c>
      <c r="E522" t="str">
        <f t="shared" si="118"/>
        <v>89301122</v>
      </c>
      <c r="F522" t="str">
        <f>"5852010230"</f>
        <v>5852010230</v>
      </c>
      <c r="G522" s="1">
        <v>44588</v>
      </c>
      <c r="H522" t="str">
        <f>"81485"</f>
        <v>81485</v>
      </c>
      <c r="I522">
        <v>1</v>
      </c>
      <c r="J522">
        <v>453</v>
      </c>
      <c r="K522">
        <v>0</v>
      </c>
      <c r="L522">
        <v>353.34</v>
      </c>
    </row>
    <row r="523" spans="1:12" x14ac:dyDescent="0.25">
      <c r="A523" t="str">
        <f t="shared" si="114"/>
        <v>89301000</v>
      </c>
      <c r="B523" t="str">
        <f t="shared" si="115"/>
        <v>06223000</v>
      </c>
      <c r="C523" t="str">
        <f t="shared" si="116"/>
        <v>06223043</v>
      </c>
      <c r="D523" t="str">
        <f t="shared" si="117"/>
        <v>801</v>
      </c>
      <c r="E523" t="str">
        <f t="shared" si="118"/>
        <v>89301122</v>
      </c>
      <c r="F523" t="str">
        <f>"6805220378"</f>
        <v>6805220378</v>
      </c>
      <c r="G523" s="1">
        <v>44589</v>
      </c>
      <c r="H523" t="str">
        <f>"92165"</f>
        <v>92165</v>
      </c>
      <c r="I523">
        <v>1</v>
      </c>
      <c r="J523">
        <v>2113</v>
      </c>
      <c r="K523">
        <v>0</v>
      </c>
      <c r="L523">
        <v>1648.14</v>
      </c>
    </row>
    <row r="524" spans="1:12" x14ac:dyDescent="0.25">
      <c r="A524" t="str">
        <f t="shared" si="114"/>
        <v>89301000</v>
      </c>
      <c r="B524" t="str">
        <f t="shared" si="115"/>
        <v>06223000</v>
      </c>
      <c r="C524" t="str">
        <f t="shared" si="116"/>
        <v>06223043</v>
      </c>
      <c r="D524" t="str">
        <f t="shared" si="117"/>
        <v>801</v>
      </c>
      <c r="E524" t="str">
        <f t="shared" si="118"/>
        <v>89301122</v>
      </c>
      <c r="F524" t="str">
        <f>"6805220378"</f>
        <v>6805220378</v>
      </c>
      <c r="G524" s="1">
        <v>44589</v>
      </c>
      <c r="H524" t="str">
        <f>"92165"</f>
        <v>92165</v>
      </c>
      <c r="I524">
        <v>1</v>
      </c>
      <c r="J524">
        <v>2113</v>
      </c>
      <c r="K524">
        <v>0</v>
      </c>
      <c r="L524">
        <v>1648.14</v>
      </c>
    </row>
    <row r="525" spans="1:12" x14ac:dyDescent="0.25">
      <c r="A525" t="str">
        <f t="shared" si="114"/>
        <v>89301000</v>
      </c>
      <c r="B525" t="str">
        <f>"92002000"</f>
        <v>92002000</v>
      </c>
      <c r="C525" t="str">
        <f>"92002175"</f>
        <v>92002175</v>
      </c>
      <c r="D525" t="str">
        <f t="shared" ref="D525:D537" si="119">"809"</f>
        <v>809</v>
      </c>
      <c r="E525" t="str">
        <f>"89301212"</f>
        <v>89301212</v>
      </c>
      <c r="F525" t="str">
        <f>"7552173519"</f>
        <v>7552173519</v>
      </c>
      <c r="G525" s="1">
        <v>44567</v>
      </c>
      <c r="H525" t="str">
        <f>"89180"</f>
        <v>89180</v>
      </c>
      <c r="I525">
        <v>2</v>
      </c>
      <c r="J525">
        <v>752</v>
      </c>
      <c r="K525">
        <v>0</v>
      </c>
      <c r="L525">
        <v>1052.8</v>
      </c>
    </row>
    <row r="526" spans="1:12" x14ac:dyDescent="0.25">
      <c r="A526" t="str">
        <f t="shared" si="114"/>
        <v>89301000</v>
      </c>
      <c r="B526" t="str">
        <f>"92002000"</f>
        <v>92002000</v>
      </c>
      <c r="C526" t="str">
        <f>"92002175"</f>
        <v>92002175</v>
      </c>
      <c r="D526" t="str">
        <f t="shared" si="119"/>
        <v>809</v>
      </c>
      <c r="E526" t="str">
        <f>"89301212"</f>
        <v>89301212</v>
      </c>
      <c r="F526" t="str">
        <f>"7552173519"</f>
        <v>7552173519</v>
      </c>
      <c r="G526" s="1">
        <v>44567</v>
      </c>
      <c r="H526" t="str">
        <f>"89512"</f>
        <v>89512</v>
      </c>
      <c r="I526">
        <v>1</v>
      </c>
      <c r="J526">
        <v>277</v>
      </c>
      <c r="K526">
        <v>0</v>
      </c>
      <c r="L526">
        <v>387.8</v>
      </c>
    </row>
    <row r="527" spans="1:12" x14ac:dyDescent="0.25">
      <c r="A527" t="str">
        <f t="shared" si="114"/>
        <v>89301000</v>
      </c>
      <c r="B527" t="str">
        <f t="shared" ref="B527:B546" si="120">"78006000"</f>
        <v>78006000</v>
      </c>
      <c r="C527" t="str">
        <f t="shared" ref="C527:C537" si="121">"78006231"</f>
        <v>78006231</v>
      </c>
      <c r="D527" t="str">
        <f t="shared" si="119"/>
        <v>809</v>
      </c>
      <c r="E527" t="str">
        <f>"89301061"</f>
        <v>89301061</v>
      </c>
      <c r="F527" t="str">
        <f>"5607022014"</f>
        <v>5607022014</v>
      </c>
      <c r="G527" s="1">
        <v>44566</v>
      </c>
      <c r="H527" t="str">
        <f>"89615"</f>
        <v>89615</v>
      </c>
      <c r="I527">
        <v>1</v>
      </c>
      <c r="J527">
        <v>2170</v>
      </c>
      <c r="K527">
        <v>0</v>
      </c>
      <c r="L527">
        <v>1302</v>
      </c>
    </row>
    <row r="528" spans="1:12" x14ac:dyDescent="0.25">
      <c r="A528" t="str">
        <f t="shared" si="114"/>
        <v>89301000</v>
      </c>
      <c r="B528" t="str">
        <f t="shared" si="120"/>
        <v>78006000</v>
      </c>
      <c r="C528" t="str">
        <f t="shared" si="121"/>
        <v>78006231</v>
      </c>
      <c r="D528" t="str">
        <f t="shared" si="119"/>
        <v>809</v>
      </c>
      <c r="E528" t="str">
        <f t="shared" ref="E528:E535" si="122">"89301212"</f>
        <v>89301212</v>
      </c>
      <c r="F528" t="str">
        <f>"6859181219"</f>
        <v>6859181219</v>
      </c>
      <c r="G528" s="1">
        <v>44566</v>
      </c>
      <c r="H528" t="str">
        <f>"89513"</f>
        <v>89513</v>
      </c>
      <c r="I528">
        <v>1</v>
      </c>
      <c r="J528">
        <v>371</v>
      </c>
      <c r="K528">
        <v>0</v>
      </c>
      <c r="L528">
        <v>519.4</v>
      </c>
    </row>
    <row r="529" spans="1:12" x14ac:dyDescent="0.25">
      <c r="A529" t="str">
        <f t="shared" si="114"/>
        <v>89301000</v>
      </c>
      <c r="B529" t="str">
        <f t="shared" si="120"/>
        <v>78006000</v>
      </c>
      <c r="C529" t="str">
        <f t="shared" si="121"/>
        <v>78006231</v>
      </c>
      <c r="D529" t="str">
        <f t="shared" si="119"/>
        <v>809</v>
      </c>
      <c r="E529" t="str">
        <f t="shared" si="122"/>
        <v>89301212</v>
      </c>
      <c r="F529" t="str">
        <f>"6859181219"</f>
        <v>6859181219</v>
      </c>
      <c r="G529" s="1">
        <v>44566</v>
      </c>
      <c r="H529" t="str">
        <f>"89514"</f>
        <v>89514</v>
      </c>
      <c r="I529">
        <v>1</v>
      </c>
      <c r="J529">
        <v>371</v>
      </c>
      <c r="K529">
        <v>0</v>
      </c>
      <c r="L529">
        <v>519.4</v>
      </c>
    </row>
    <row r="530" spans="1:12" x14ac:dyDescent="0.25">
      <c r="A530" t="str">
        <f t="shared" si="114"/>
        <v>89301000</v>
      </c>
      <c r="B530" t="str">
        <f t="shared" si="120"/>
        <v>78006000</v>
      </c>
      <c r="C530" t="str">
        <f t="shared" si="121"/>
        <v>78006231</v>
      </c>
      <c r="D530" t="str">
        <f t="shared" si="119"/>
        <v>809</v>
      </c>
      <c r="E530" t="str">
        <f t="shared" si="122"/>
        <v>89301212</v>
      </c>
      <c r="F530" t="str">
        <f>"485830415"</f>
        <v>485830415</v>
      </c>
      <c r="G530" s="1">
        <v>44572</v>
      </c>
      <c r="H530" t="str">
        <f>"89513"</f>
        <v>89513</v>
      </c>
      <c r="I530">
        <v>1</v>
      </c>
      <c r="J530">
        <v>371</v>
      </c>
      <c r="K530">
        <v>0</v>
      </c>
      <c r="L530">
        <v>519.4</v>
      </c>
    </row>
    <row r="531" spans="1:12" x14ac:dyDescent="0.25">
      <c r="A531" t="str">
        <f t="shared" si="114"/>
        <v>89301000</v>
      </c>
      <c r="B531" t="str">
        <f t="shared" si="120"/>
        <v>78006000</v>
      </c>
      <c r="C531" t="str">
        <f t="shared" si="121"/>
        <v>78006231</v>
      </c>
      <c r="D531" t="str">
        <f t="shared" si="119"/>
        <v>809</v>
      </c>
      <c r="E531" t="str">
        <f t="shared" si="122"/>
        <v>89301212</v>
      </c>
      <c r="F531" t="str">
        <f>"485830415"</f>
        <v>485830415</v>
      </c>
      <c r="G531" s="1">
        <v>44572</v>
      </c>
      <c r="H531" t="str">
        <f>"89514"</f>
        <v>89514</v>
      </c>
      <c r="I531">
        <v>1</v>
      </c>
      <c r="J531">
        <v>371</v>
      </c>
      <c r="K531">
        <v>0</v>
      </c>
      <c r="L531">
        <v>519.4</v>
      </c>
    </row>
    <row r="532" spans="1:12" x14ac:dyDescent="0.25">
      <c r="A532" t="str">
        <f t="shared" si="114"/>
        <v>89301000</v>
      </c>
      <c r="B532" t="str">
        <f t="shared" si="120"/>
        <v>78006000</v>
      </c>
      <c r="C532" t="str">
        <f t="shared" si="121"/>
        <v>78006231</v>
      </c>
      <c r="D532" t="str">
        <f t="shared" si="119"/>
        <v>809</v>
      </c>
      <c r="E532" t="str">
        <f t="shared" si="122"/>
        <v>89301212</v>
      </c>
      <c r="F532" t="str">
        <f>"395504442"</f>
        <v>395504442</v>
      </c>
      <c r="G532" s="1">
        <v>44573</v>
      </c>
      <c r="H532" t="str">
        <f>"89513"</f>
        <v>89513</v>
      </c>
      <c r="I532">
        <v>1</v>
      </c>
      <c r="J532">
        <v>371</v>
      </c>
      <c r="K532">
        <v>0</v>
      </c>
      <c r="L532">
        <v>519.4</v>
      </c>
    </row>
    <row r="533" spans="1:12" x14ac:dyDescent="0.25">
      <c r="A533" t="str">
        <f t="shared" si="114"/>
        <v>89301000</v>
      </c>
      <c r="B533" t="str">
        <f t="shared" si="120"/>
        <v>78006000</v>
      </c>
      <c r="C533" t="str">
        <f t="shared" si="121"/>
        <v>78006231</v>
      </c>
      <c r="D533" t="str">
        <f t="shared" si="119"/>
        <v>809</v>
      </c>
      <c r="E533" t="str">
        <f t="shared" si="122"/>
        <v>89301212</v>
      </c>
      <c r="F533" t="str">
        <f>"395504442"</f>
        <v>395504442</v>
      </c>
      <c r="G533" s="1">
        <v>44573</v>
      </c>
      <c r="H533" t="str">
        <f>"89514"</f>
        <v>89514</v>
      </c>
      <c r="I533">
        <v>1</v>
      </c>
      <c r="J533">
        <v>371</v>
      </c>
      <c r="K533">
        <v>0</v>
      </c>
      <c r="L533">
        <v>519.4</v>
      </c>
    </row>
    <row r="534" spans="1:12" x14ac:dyDescent="0.25">
      <c r="A534" t="str">
        <f t="shared" si="114"/>
        <v>89301000</v>
      </c>
      <c r="B534" t="str">
        <f t="shared" si="120"/>
        <v>78006000</v>
      </c>
      <c r="C534" t="str">
        <f t="shared" si="121"/>
        <v>78006231</v>
      </c>
      <c r="D534" t="str">
        <f t="shared" si="119"/>
        <v>809</v>
      </c>
      <c r="E534" t="str">
        <f t="shared" si="122"/>
        <v>89301212</v>
      </c>
      <c r="F534" t="str">
        <f>"535823134"</f>
        <v>535823134</v>
      </c>
      <c r="G534" s="1">
        <v>44578</v>
      </c>
      <c r="H534" t="str">
        <f>"89513"</f>
        <v>89513</v>
      </c>
      <c r="I534">
        <v>1</v>
      </c>
      <c r="J534">
        <v>371</v>
      </c>
      <c r="K534">
        <v>0</v>
      </c>
      <c r="L534">
        <v>519.4</v>
      </c>
    </row>
    <row r="535" spans="1:12" x14ac:dyDescent="0.25">
      <c r="A535" t="str">
        <f t="shared" si="114"/>
        <v>89301000</v>
      </c>
      <c r="B535" t="str">
        <f t="shared" si="120"/>
        <v>78006000</v>
      </c>
      <c r="C535" t="str">
        <f t="shared" si="121"/>
        <v>78006231</v>
      </c>
      <c r="D535" t="str">
        <f t="shared" si="119"/>
        <v>809</v>
      </c>
      <c r="E535" t="str">
        <f t="shared" si="122"/>
        <v>89301212</v>
      </c>
      <c r="F535" t="str">
        <f>"535823134"</f>
        <v>535823134</v>
      </c>
      <c r="G535" s="1">
        <v>44578</v>
      </c>
      <c r="H535" t="str">
        <f>"89514"</f>
        <v>89514</v>
      </c>
      <c r="I535">
        <v>1</v>
      </c>
      <c r="J535">
        <v>371</v>
      </c>
      <c r="K535">
        <v>0</v>
      </c>
      <c r="L535">
        <v>519.4</v>
      </c>
    </row>
    <row r="536" spans="1:12" x14ac:dyDescent="0.25">
      <c r="A536" t="str">
        <f t="shared" si="114"/>
        <v>89301000</v>
      </c>
      <c r="B536" t="str">
        <f t="shared" si="120"/>
        <v>78006000</v>
      </c>
      <c r="C536" t="str">
        <f t="shared" si="121"/>
        <v>78006231</v>
      </c>
      <c r="D536" t="str">
        <f t="shared" si="119"/>
        <v>809</v>
      </c>
      <c r="E536" t="str">
        <f>"89301042"</f>
        <v>89301042</v>
      </c>
      <c r="F536" t="str">
        <f>"9153034847"</f>
        <v>9153034847</v>
      </c>
      <c r="G536" s="1">
        <v>44582</v>
      </c>
      <c r="H536" t="str">
        <f>"89513"</f>
        <v>89513</v>
      </c>
      <c r="I536">
        <v>1</v>
      </c>
      <c r="J536">
        <v>371</v>
      </c>
      <c r="K536">
        <v>0</v>
      </c>
      <c r="L536">
        <v>519.4</v>
      </c>
    </row>
    <row r="537" spans="1:12" x14ac:dyDescent="0.25">
      <c r="A537" t="str">
        <f t="shared" si="114"/>
        <v>89301000</v>
      </c>
      <c r="B537" t="str">
        <f t="shared" si="120"/>
        <v>78006000</v>
      </c>
      <c r="C537" t="str">
        <f t="shared" si="121"/>
        <v>78006231</v>
      </c>
      <c r="D537" t="str">
        <f t="shared" si="119"/>
        <v>809</v>
      </c>
      <c r="E537" t="str">
        <f>"89301042"</f>
        <v>89301042</v>
      </c>
      <c r="F537" t="str">
        <f>"9153034847"</f>
        <v>9153034847</v>
      </c>
      <c r="G537" s="1">
        <v>44582</v>
      </c>
      <c r="H537" t="str">
        <f>"89514"</f>
        <v>89514</v>
      </c>
      <c r="I537">
        <v>1</v>
      </c>
      <c r="J537">
        <v>371</v>
      </c>
      <c r="K537">
        <v>0</v>
      </c>
      <c r="L537">
        <v>519.4</v>
      </c>
    </row>
    <row r="538" spans="1:12" x14ac:dyDescent="0.25">
      <c r="A538" t="str">
        <f t="shared" si="114"/>
        <v>89301000</v>
      </c>
      <c r="B538" t="str">
        <f t="shared" si="120"/>
        <v>78006000</v>
      </c>
      <c r="C538" t="str">
        <f>"78006233"</f>
        <v>78006233</v>
      </c>
      <c r="D538" t="str">
        <f>"810"</f>
        <v>810</v>
      </c>
      <c r="E538" t="str">
        <f>"89301062"</f>
        <v>89301062</v>
      </c>
      <c r="F538" t="str">
        <f>"515224079"</f>
        <v>515224079</v>
      </c>
      <c r="G538" s="1">
        <v>44589</v>
      </c>
      <c r="H538" t="str">
        <f>"89713"</f>
        <v>89713</v>
      </c>
      <c r="I538">
        <v>1</v>
      </c>
      <c r="J538">
        <v>5362</v>
      </c>
      <c r="K538">
        <v>0</v>
      </c>
      <c r="L538">
        <v>3217.2</v>
      </c>
    </row>
    <row r="539" spans="1:12" x14ac:dyDescent="0.25">
      <c r="A539" t="str">
        <f t="shared" si="114"/>
        <v>89301000</v>
      </c>
      <c r="B539" t="str">
        <f t="shared" si="120"/>
        <v>78006000</v>
      </c>
      <c r="C539" t="str">
        <f>"78006233"</f>
        <v>78006233</v>
      </c>
      <c r="D539" t="str">
        <f>"810"</f>
        <v>810</v>
      </c>
      <c r="E539" t="str">
        <f>"89301062"</f>
        <v>89301062</v>
      </c>
      <c r="F539" t="str">
        <f>"515224079"</f>
        <v>515224079</v>
      </c>
      <c r="G539" s="1">
        <v>44589</v>
      </c>
      <c r="H539" t="str">
        <f>"89725"</f>
        <v>89725</v>
      </c>
      <c r="I539">
        <v>1</v>
      </c>
      <c r="J539">
        <v>2839</v>
      </c>
      <c r="K539">
        <v>0</v>
      </c>
      <c r="L539">
        <v>1703.4</v>
      </c>
    </row>
    <row r="540" spans="1:12" x14ac:dyDescent="0.25">
      <c r="A540" t="str">
        <f t="shared" si="114"/>
        <v>89301000</v>
      </c>
      <c r="B540" t="str">
        <f t="shared" si="120"/>
        <v>78006000</v>
      </c>
      <c r="C540" t="str">
        <f>"78006233"</f>
        <v>78006233</v>
      </c>
      <c r="D540" t="str">
        <f>"810"</f>
        <v>810</v>
      </c>
      <c r="E540" t="str">
        <f>"89301062"</f>
        <v>89301062</v>
      </c>
      <c r="F540" t="str">
        <f>"6054111987"</f>
        <v>6054111987</v>
      </c>
      <c r="G540" s="1">
        <v>44589</v>
      </c>
      <c r="H540" t="str">
        <f>"89713"</f>
        <v>89713</v>
      </c>
      <c r="I540">
        <v>1</v>
      </c>
      <c r="J540">
        <v>5362</v>
      </c>
      <c r="K540">
        <v>0</v>
      </c>
      <c r="L540">
        <v>3217.2</v>
      </c>
    </row>
    <row r="541" spans="1:12" x14ac:dyDescent="0.25">
      <c r="A541" t="str">
        <f t="shared" si="114"/>
        <v>89301000</v>
      </c>
      <c r="B541" t="str">
        <f t="shared" si="120"/>
        <v>78006000</v>
      </c>
      <c r="C541" t="str">
        <f>"78006233"</f>
        <v>78006233</v>
      </c>
      <c r="D541" t="str">
        <f>"810"</f>
        <v>810</v>
      </c>
      <c r="E541" t="str">
        <f>"89301062"</f>
        <v>89301062</v>
      </c>
      <c r="F541" t="str">
        <f>"6054111987"</f>
        <v>6054111987</v>
      </c>
      <c r="G541" s="1">
        <v>44589</v>
      </c>
      <c r="H541" t="str">
        <f>"89725"</f>
        <v>89725</v>
      </c>
      <c r="I541">
        <v>1</v>
      </c>
      <c r="J541">
        <v>2839</v>
      </c>
      <c r="K541">
        <v>0</v>
      </c>
      <c r="L541">
        <v>1703.4</v>
      </c>
    </row>
    <row r="542" spans="1:12" x14ac:dyDescent="0.25">
      <c r="A542" t="str">
        <f t="shared" si="114"/>
        <v>89301000</v>
      </c>
      <c r="B542" t="str">
        <f t="shared" si="120"/>
        <v>78006000</v>
      </c>
      <c r="C542" t="str">
        <f>"78006831"</f>
        <v>78006831</v>
      </c>
      <c r="D542" t="str">
        <f>"809"</f>
        <v>809</v>
      </c>
      <c r="E542" t="str">
        <f>"89301212"</f>
        <v>89301212</v>
      </c>
      <c r="F542" t="str">
        <f>"5754050357"</f>
        <v>5754050357</v>
      </c>
      <c r="G542" s="1">
        <v>44585</v>
      </c>
      <c r="H542" t="str">
        <f>"89513"</f>
        <v>89513</v>
      </c>
      <c r="I542">
        <v>1</v>
      </c>
      <c r="J542">
        <v>371</v>
      </c>
      <c r="K542">
        <v>0</v>
      </c>
      <c r="L542">
        <v>519.4</v>
      </c>
    </row>
    <row r="543" spans="1:12" x14ac:dyDescent="0.25">
      <c r="A543" t="str">
        <f t="shared" si="114"/>
        <v>89301000</v>
      </c>
      <c r="B543" t="str">
        <f t="shared" si="120"/>
        <v>78006000</v>
      </c>
      <c r="C543" t="str">
        <f>"78006831"</f>
        <v>78006831</v>
      </c>
      <c r="D543" t="str">
        <f>"809"</f>
        <v>809</v>
      </c>
      <c r="E543" t="str">
        <f>"89301212"</f>
        <v>89301212</v>
      </c>
      <c r="F543" t="str">
        <f>"5754050357"</f>
        <v>5754050357</v>
      </c>
      <c r="G543" s="1">
        <v>44585</v>
      </c>
      <c r="H543" t="str">
        <f>"89514"</f>
        <v>89514</v>
      </c>
      <c r="I543">
        <v>1</v>
      </c>
      <c r="J543">
        <v>371</v>
      </c>
      <c r="K543">
        <v>0</v>
      </c>
      <c r="L543">
        <v>519.4</v>
      </c>
    </row>
    <row r="544" spans="1:12" x14ac:dyDescent="0.25">
      <c r="A544" t="str">
        <f t="shared" si="114"/>
        <v>89301000</v>
      </c>
      <c r="B544" t="str">
        <f t="shared" si="120"/>
        <v>78006000</v>
      </c>
      <c r="C544" t="str">
        <f>"78006831"</f>
        <v>78006831</v>
      </c>
      <c r="D544" t="str">
        <f>"809"</f>
        <v>809</v>
      </c>
      <c r="E544" t="str">
        <f>"89301212"</f>
        <v>89301212</v>
      </c>
      <c r="F544" t="str">
        <f>"7260305327"</f>
        <v>7260305327</v>
      </c>
      <c r="G544" s="1">
        <v>44573</v>
      </c>
      <c r="H544" t="str">
        <f>"89513"</f>
        <v>89513</v>
      </c>
      <c r="I544">
        <v>1</v>
      </c>
      <c r="J544">
        <v>371</v>
      </c>
      <c r="K544">
        <v>0</v>
      </c>
      <c r="L544">
        <v>519.4</v>
      </c>
    </row>
    <row r="545" spans="1:12" x14ac:dyDescent="0.25">
      <c r="A545" t="str">
        <f t="shared" si="114"/>
        <v>89301000</v>
      </c>
      <c r="B545" t="str">
        <f t="shared" si="120"/>
        <v>78006000</v>
      </c>
      <c r="C545" t="str">
        <f>"78006831"</f>
        <v>78006831</v>
      </c>
      <c r="D545" t="str">
        <f>"809"</f>
        <v>809</v>
      </c>
      <c r="E545" t="str">
        <f>"89301212"</f>
        <v>89301212</v>
      </c>
      <c r="F545" t="str">
        <f>"7260305327"</f>
        <v>7260305327</v>
      </c>
      <c r="G545" s="1">
        <v>44573</v>
      </c>
      <c r="H545" t="str">
        <f>"89514"</f>
        <v>89514</v>
      </c>
      <c r="I545">
        <v>1</v>
      </c>
      <c r="J545">
        <v>371</v>
      </c>
      <c r="K545">
        <v>0</v>
      </c>
      <c r="L545">
        <v>519.4</v>
      </c>
    </row>
    <row r="546" spans="1:12" x14ac:dyDescent="0.25">
      <c r="A546" t="str">
        <f t="shared" si="114"/>
        <v>89301000</v>
      </c>
      <c r="B546" t="str">
        <f t="shared" si="120"/>
        <v>78006000</v>
      </c>
      <c r="C546" t="str">
        <f>"78006532"</f>
        <v>78006532</v>
      </c>
      <c r="D546" t="str">
        <f>"810"</f>
        <v>810</v>
      </c>
      <c r="E546" t="str">
        <f>"89301062"</f>
        <v>89301062</v>
      </c>
      <c r="F546" t="str">
        <f>"7357285694"</f>
        <v>7357285694</v>
      </c>
      <c r="G546" s="1">
        <v>44571</v>
      </c>
      <c r="H546" t="str">
        <f>"89713"</f>
        <v>89713</v>
      </c>
      <c r="I546">
        <v>1</v>
      </c>
      <c r="J546">
        <v>5362</v>
      </c>
      <c r="K546">
        <v>0</v>
      </c>
      <c r="L546">
        <v>3217.2</v>
      </c>
    </row>
    <row r="547" spans="1:12" x14ac:dyDescent="0.25">
      <c r="A547" t="str">
        <f t="shared" si="114"/>
        <v>89301000</v>
      </c>
      <c r="B547" t="str">
        <f t="shared" ref="B547:C549" si="123">"89888000"</f>
        <v>89888000</v>
      </c>
      <c r="C547" t="str">
        <f t="shared" si="123"/>
        <v>89888000</v>
      </c>
      <c r="D547" t="str">
        <f>"809"</f>
        <v>809</v>
      </c>
      <c r="E547" t="str">
        <f>"89301212"</f>
        <v>89301212</v>
      </c>
      <c r="F547" t="str">
        <f>"5652041967"</f>
        <v>5652041967</v>
      </c>
      <c r="G547" s="1">
        <v>44566</v>
      </c>
      <c r="H547" t="str">
        <f>"89611"</f>
        <v>89611</v>
      </c>
      <c r="I547">
        <v>1</v>
      </c>
      <c r="J547">
        <v>2241</v>
      </c>
      <c r="K547">
        <v>0</v>
      </c>
      <c r="L547">
        <v>1344.6</v>
      </c>
    </row>
    <row r="548" spans="1:12" x14ac:dyDescent="0.25">
      <c r="A548" t="str">
        <f t="shared" si="114"/>
        <v>89301000</v>
      </c>
      <c r="B548" t="str">
        <f t="shared" si="123"/>
        <v>89888000</v>
      </c>
      <c r="C548" t="str">
        <f t="shared" si="123"/>
        <v>89888000</v>
      </c>
      <c r="D548" t="str">
        <f>"809"</f>
        <v>809</v>
      </c>
      <c r="E548" t="str">
        <f>"89301212"</f>
        <v>89301212</v>
      </c>
      <c r="F548" t="str">
        <f>"5652041967"</f>
        <v>5652041967</v>
      </c>
      <c r="G548" s="1">
        <v>44566</v>
      </c>
      <c r="H548" t="str">
        <f>"89619"</f>
        <v>89619</v>
      </c>
      <c r="I548">
        <v>1</v>
      </c>
      <c r="J548">
        <v>1210</v>
      </c>
      <c r="K548">
        <v>0</v>
      </c>
      <c r="L548">
        <v>726</v>
      </c>
    </row>
    <row r="549" spans="1:12" x14ac:dyDescent="0.25">
      <c r="A549" t="str">
        <f t="shared" si="114"/>
        <v>89301000</v>
      </c>
      <c r="B549" t="str">
        <f t="shared" si="123"/>
        <v>89888000</v>
      </c>
      <c r="C549" t="str">
        <f t="shared" si="123"/>
        <v>89888000</v>
      </c>
      <c r="D549" t="str">
        <f>"809"</f>
        <v>809</v>
      </c>
      <c r="E549" t="str">
        <f>"89301212"</f>
        <v>89301212</v>
      </c>
      <c r="F549" t="str">
        <f>"5652041967"</f>
        <v>5652041967</v>
      </c>
      <c r="G549" s="1">
        <v>44566</v>
      </c>
      <c r="H549" t="str">
        <f>"0096259"</f>
        <v>0096259</v>
      </c>
      <c r="I549">
        <v>0.15</v>
      </c>
      <c r="K549">
        <v>1349.49</v>
      </c>
      <c r="L549">
        <v>1349.49</v>
      </c>
    </row>
    <row r="550" spans="1:12" x14ac:dyDescent="0.25">
      <c r="A550" t="str">
        <f t="shared" si="114"/>
        <v>89301000</v>
      </c>
      <c r="B550" t="str">
        <f>"72001000"</f>
        <v>72001000</v>
      </c>
      <c r="C550" t="str">
        <f>"72001844"</f>
        <v>72001844</v>
      </c>
      <c r="D550" t="str">
        <f t="shared" ref="D550:D555" si="124">"813"</f>
        <v>813</v>
      </c>
      <c r="E550" t="str">
        <f>"89301152"</f>
        <v>89301152</v>
      </c>
      <c r="F550" t="str">
        <f>"9461205094"</f>
        <v>9461205094</v>
      </c>
      <c r="G550" s="1">
        <v>44575</v>
      </c>
      <c r="H550" t="str">
        <f>"91135"</f>
        <v>91135</v>
      </c>
      <c r="I550">
        <v>1</v>
      </c>
      <c r="J550">
        <v>266</v>
      </c>
      <c r="K550">
        <v>0</v>
      </c>
      <c r="L550">
        <v>207.48</v>
      </c>
    </row>
    <row r="551" spans="1:12" x14ac:dyDescent="0.25">
      <c r="A551" t="str">
        <f t="shared" si="114"/>
        <v>89301000</v>
      </c>
      <c r="B551" t="str">
        <f>"72001000"</f>
        <v>72001000</v>
      </c>
      <c r="C551" t="str">
        <f>"72001844"</f>
        <v>72001844</v>
      </c>
      <c r="D551" t="str">
        <f t="shared" si="124"/>
        <v>813</v>
      </c>
      <c r="E551" t="str">
        <f>"89301152"</f>
        <v>89301152</v>
      </c>
      <c r="F551" t="str">
        <f>"9461205094"</f>
        <v>9461205094</v>
      </c>
      <c r="G551" s="1">
        <v>44575</v>
      </c>
      <c r="H551" t="str">
        <f>"97111"</f>
        <v>97111</v>
      </c>
      <c r="I551">
        <v>1</v>
      </c>
      <c r="J551">
        <v>18</v>
      </c>
      <c r="K551">
        <v>0</v>
      </c>
      <c r="L551">
        <v>14.04</v>
      </c>
    </row>
    <row r="552" spans="1:12" x14ac:dyDescent="0.25">
      <c r="A552" t="str">
        <f t="shared" si="114"/>
        <v>89301000</v>
      </c>
      <c r="B552" t="str">
        <f>"02004000"</f>
        <v>02004000</v>
      </c>
      <c r="C552" t="str">
        <f>"02004556"</f>
        <v>02004556</v>
      </c>
      <c r="D552" t="str">
        <f t="shared" si="124"/>
        <v>813</v>
      </c>
      <c r="E552" t="str">
        <f>"89301102"</f>
        <v>89301102</v>
      </c>
      <c r="F552" t="str">
        <f>"0756083383"</f>
        <v>0756083383</v>
      </c>
      <c r="G552" s="1">
        <v>44574</v>
      </c>
      <c r="H552" t="str">
        <f>"91249"</f>
        <v>91249</v>
      </c>
      <c r="I552">
        <v>1</v>
      </c>
      <c r="J552">
        <v>1489</v>
      </c>
      <c r="K552">
        <v>0</v>
      </c>
      <c r="L552">
        <v>1161.42</v>
      </c>
    </row>
    <row r="553" spans="1:12" x14ac:dyDescent="0.25">
      <c r="A553" t="str">
        <f t="shared" si="114"/>
        <v>89301000</v>
      </c>
      <c r="B553" t="str">
        <f>"02004000"</f>
        <v>02004000</v>
      </c>
      <c r="C553" t="str">
        <f>"02004556"</f>
        <v>02004556</v>
      </c>
      <c r="D553" t="str">
        <f t="shared" si="124"/>
        <v>813</v>
      </c>
      <c r="E553" t="str">
        <f>"89301102"</f>
        <v>89301102</v>
      </c>
      <c r="F553" t="str">
        <f>"0756083383"</f>
        <v>0756083383</v>
      </c>
      <c r="G553" s="1">
        <v>44574</v>
      </c>
      <c r="H553" t="str">
        <f>"91251"</f>
        <v>91251</v>
      </c>
      <c r="I553">
        <v>1</v>
      </c>
      <c r="J553">
        <v>1489</v>
      </c>
      <c r="K553">
        <v>0</v>
      </c>
      <c r="L553">
        <v>1161.42</v>
      </c>
    </row>
    <row r="554" spans="1:12" x14ac:dyDescent="0.25">
      <c r="A554" t="str">
        <f t="shared" si="114"/>
        <v>89301000</v>
      </c>
      <c r="B554" t="str">
        <f>"02004000"</f>
        <v>02004000</v>
      </c>
      <c r="C554" t="str">
        <f>"02004556"</f>
        <v>02004556</v>
      </c>
      <c r="D554" t="str">
        <f t="shared" si="124"/>
        <v>813</v>
      </c>
      <c r="E554" t="str">
        <f>"89301102"</f>
        <v>89301102</v>
      </c>
      <c r="F554" t="str">
        <f>"1754070054"</f>
        <v>1754070054</v>
      </c>
      <c r="G554" s="1">
        <v>44575</v>
      </c>
      <c r="H554" t="str">
        <f>"91249"</f>
        <v>91249</v>
      </c>
      <c r="I554">
        <v>1</v>
      </c>
      <c r="J554">
        <v>1489</v>
      </c>
      <c r="K554">
        <v>0</v>
      </c>
      <c r="L554">
        <v>1161.42</v>
      </c>
    </row>
    <row r="555" spans="1:12" x14ac:dyDescent="0.25">
      <c r="A555" t="str">
        <f t="shared" si="114"/>
        <v>89301000</v>
      </c>
      <c r="B555" t="str">
        <f>"02004000"</f>
        <v>02004000</v>
      </c>
      <c r="C555" t="str">
        <f>"02004556"</f>
        <v>02004556</v>
      </c>
      <c r="D555" t="str">
        <f t="shared" si="124"/>
        <v>813</v>
      </c>
      <c r="E555" t="str">
        <f>"89301102"</f>
        <v>89301102</v>
      </c>
      <c r="F555" t="str">
        <f>"1754070054"</f>
        <v>1754070054</v>
      </c>
      <c r="G555" s="1">
        <v>44575</v>
      </c>
      <c r="H555" t="str">
        <f>"91251"</f>
        <v>91251</v>
      </c>
      <c r="I555">
        <v>1</v>
      </c>
      <c r="J555">
        <v>1489</v>
      </c>
      <c r="K555">
        <v>0</v>
      </c>
      <c r="L555">
        <v>1161.42</v>
      </c>
    </row>
    <row r="556" spans="1:12" x14ac:dyDescent="0.25">
      <c r="A556" t="str">
        <f t="shared" si="114"/>
        <v>89301000</v>
      </c>
      <c r="B556" t="str">
        <f>"05002000"</f>
        <v>05002000</v>
      </c>
      <c r="C556" t="str">
        <f>"05002397"</f>
        <v>05002397</v>
      </c>
      <c r="D556" t="str">
        <f>"818"</f>
        <v>818</v>
      </c>
      <c r="E556" t="str">
        <f>"89301105"</f>
        <v>89301105</v>
      </c>
      <c r="F556" t="str">
        <f>"1654130258"</f>
        <v>1654130258</v>
      </c>
      <c r="G556" s="1">
        <v>44580</v>
      </c>
      <c r="H556" t="str">
        <f>"94229"</f>
        <v>94229</v>
      </c>
      <c r="I556">
        <v>4</v>
      </c>
      <c r="J556">
        <v>2472</v>
      </c>
      <c r="K556">
        <v>0</v>
      </c>
      <c r="L556">
        <v>2249.52</v>
      </c>
    </row>
    <row r="557" spans="1:12" x14ac:dyDescent="0.25">
      <c r="A557" t="str">
        <f t="shared" si="114"/>
        <v>89301000</v>
      </c>
      <c r="B557" t="str">
        <f>"05002000"</f>
        <v>05002000</v>
      </c>
      <c r="C557" t="str">
        <f>"05002397"</f>
        <v>05002397</v>
      </c>
      <c r="D557" t="str">
        <f>"818"</f>
        <v>818</v>
      </c>
      <c r="E557" t="str">
        <f>"89301105"</f>
        <v>89301105</v>
      </c>
      <c r="F557" t="str">
        <f>"1654130258"</f>
        <v>1654130258</v>
      </c>
      <c r="G557" s="1">
        <v>44580</v>
      </c>
      <c r="H557" t="str">
        <f>"94337"</f>
        <v>94337</v>
      </c>
      <c r="I557">
        <v>6</v>
      </c>
      <c r="J557">
        <v>53760</v>
      </c>
      <c r="K557">
        <v>0</v>
      </c>
      <c r="L557">
        <v>48921.599999999999</v>
      </c>
    </row>
    <row r="558" spans="1:12" x14ac:dyDescent="0.25">
      <c r="A558" t="str">
        <f t="shared" si="114"/>
        <v>89301000</v>
      </c>
      <c r="B558" t="str">
        <f>"05002000"</f>
        <v>05002000</v>
      </c>
      <c r="C558" t="str">
        <f>"05002141"</f>
        <v>05002141</v>
      </c>
      <c r="D558" t="str">
        <f>"816"</f>
        <v>816</v>
      </c>
      <c r="E558" t="str">
        <f>"89301282"</f>
        <v>89301282</v>
      </c>
      <c r="F558" t="str">
        <f>"5409020408"</f>
        <v>5409020408</v>
      </c>
      <c r="G558" s="1">
        <v>44573</v>
      </c>
      <c r="H558" t="str">
        <f>"94221"</f>
        <v>94221</v>
      </c>
      <c r="I558">
        <v>1</v>
      </c>
      <c r="J558">
        <v>2453</v>
      </c>
      <c r="K558">
        <v>0</v>
      </c>
      <c r="L558">
        <v>2085.0500000000002</v>
      </c>
    </row>
    <row r="559" spans="1:12" x14ac:dyDescent="0.25">
      <c r="A559" t="str">
        <f t="shared" si="114"/>
        <v>89301000</v>
      </c>
      <c r="B559" t="str">
        <f>"05002000"</f>
        <v>05002000</v>
      </c>
      <c r="C559" t="str">
        <f>"05002141"</f>
        <v>05002141</v>
      </c>
      <c r="D559" t="str">
        <f>"816"</f>
        <v>816</v>
      </c>
      <c r="E559" t="str">
        <f>"89301282"</f>
        <v>89301282</v>
      </c>
      <c r="F559" t="str">
        <f>"9004095705"</f>
        <v>9004095705</v>
      </c>
      <c r="G559" s="1">
        <v>44575</v>
      </c>
      <c r="H559" t="str">
        <f>"94221"</f>
        <v>94221</v>
      </c>
      <c r="I559">
        <v>6</v>
      </c>
      <c r="J559">
        <v>14718</v>
      </c>
      <c r="K559">
        <v>0</v>
      </c>
      <c r="L559">
        <v>12510.3</v>
      </c>
    </row>
    <row r="560" spans="1:12" x14ac:dyDescent="0.25">
      <c r="A560" t="str">
        <f t="shared" si="114"/>
        <v>89301000</v>
      </c>
      <c r="B560" t="str">
        <f t="shared" ref="B560:B577" si="125">"75311000"</f>
        <v>75311000</v>
      </c>
      <c r="C560" t="str">
        <f>"75311001"</f>
        <v>75311001</v>
      </c>
      <c r="D560" t="str">
        <f>"818"</f>
        <v>818</v>
      </c>
      <c r="E560" t="str">
        <f t="shared" ref="E560:E577" si="126">"89301167"</f>
        <v>89301167</v>
      </c>
      <c r="F560" t="str">
        <f t="shared" ref="F560:F577" si="127">"5957040397"</f>
        <v>5957040397</v>
      </c>
      <c r="G560" s="1">
        <v>44581</v>
      </c>
      <c r="H560" t="str">
        <f>"96167"</f>
        <v>96167</v>
      </c>
      <c r="I560">
        <v>1</v>
      </c>
      <c r="J560">
        <v>67</v>
      </c>
      <c r="K560">
        <v>0</v>
      </c>
      <c r="L560">
        <v>60.97</v>
      </c>
    </row>
    <row r="561" spans="1:12" x14ac:dyDescent="0.25">
      <c r="A561" t="str">
        <f t="shared" si="114"/>
        <v>89301000</v>
      </c>
      <c r="B561" t="str">
        <f t="shared" si="125"/>
        <v>75311000</v>
      </c>
      <c r="C561" t="str">
        <f t="shared" ref="C561:C577" si="128">"75311715"</f>
        <v>75311715</v>
      </c>
      <c r="D561" t="str">
        <f t="shared" ref="D561:D577" si="129">"801"</f>
        <v>801</v>
      </c>
      <c r="E561" t="str">
        <f t="shared" si="126"/>
        <v>89301167</v>
      </c>
      <c r="F561" t="str">
        <f t="shared" si="127"/>
        <v>5957040397</v>
      </c>
      <c r="G561" s="1">
        <v>44581</v>
      </c>
      <c r="H561" t="str">
        <f>"81621"</f>
        <v>81621</v>
      </c>
      <c r="I561">
        <v>1</v>
      </c>
      <c r="J561">
        <v>19</v>
      </c>
      <c r="K561">
        <v>0</v>
      </c>
      <c r="L561">
        <v>14.82</v>
      </c>
    </row>
    <row r="562" spans="1:12" x14ac:dyDescent="0.25">
      <c r="A562" t="str">
        <f t="shared" si="114"/>
        <v>89301000</v>
      </c>
      <c r="B562" t="str">
        <f t="shared" si="125"/>
        <v>75311000</v>
      </c>
      <c r="C562" t="str">
        <f t="shared" si="128"/>
        <v>75311715</v>
      </c>
      <c r="D562" t="str">
        <f t="shared" si="129"/>
        <v>801</v>
      </c>
      <c r="E562" t="str">
        <f t="shared" si="126"/>
        <v>89301167</v>
      </c>
      <c r="F562" t="str">
        <f t="shared" si="127"/>
        <v>5957040397</v>
      </c>
      <c r="G562" s="1">
        <v>44581</v>
      </c>
      <c r="H562" t="str">
        <f>"81499"</f>
        <v>81499</v>
      </c>
      <c r="I562">
        <v>1</v>
      </c>
      <c r="J562">
        <v>18</v>
      </c>
      <c r="K562">
        <v>0</v>
      </c>
      <c r="L562">
        <v>14.04</v>
      </c>
    </row>
    <row r="563" spans="1:12" x14ac:dyDescent="0.25">
      <c r="A563" t="str">
        <f t="shared" si="114"/>
        <v>89301000</v>
      </c>
      <c r="B563" t="str">
        <f t="shared" si="125"/>
        <v>75311000</v>
      </c>
      <c r="C563" t="str">
        <f t="shared" si="128"/>
        <v>75311715</v>
      </c>
      <c r="D563" t="str">
        <f t="shared" si="129"/>
        <v>801</v>
      </c>
      <c r="E563" t="str">
        <f t="shared" si="126"/>
        <v>89301167</v>
      </c>
      <c r="F563" t="str">
        <f t="shared" si="127"/>
        <v>5957040397</v>
      </c>
      <c r="G563" s="1">
        <v>44581</v>
      </c>
      <c r="H563" t="str">
        <f>"81523"</f>
        <v>81523</v>
      </c>
      <c r="I563">
        <v>1</v>
      </c>
      <c r="J563">
        <v>23</v>
      </c>
      <c r="K563">
        <v>0</v>
      </c>
      <c r="L563">
        <v>17.940000000000001</v>
      </c>
    </row>
    <row r="564" spans="1:12" x14ac:dyDescent="0.25">
      <c r="A564" t="str">
        <f t="shared" si="114"/>
        <v>89301000</v>
      </c>
      <c r="B564" t="str">
        <f t="shared" si="125"/>
        <v>75311000</v>
      </c>
      <c r="C564" t="str">
        <f t="shared" si="128"/>
        <v>75311715</v>
      </c>
      <c r="D564" t="str">
        <f t="shared" si="129"/>
        <v>801</v>
      </c>
      <c r="E564" t="str">
        <f t="shared" si="126"/>
        <v>89301167</v>
      </c>
      <c r="F564" t="str">
        <f t="shared" si="127"/>
        <v>5957040397</v>
      </c>
      <c r="G564" s="1">
        <v>44581</v>
      </c>
      <c r="H564" t="str">
        <f>"81593"</f>
        <v>81593</v>
      </c>
      <c r="I564">
        <v>1</v>
      </c>
      <c r="J564">
        <v>22</v>
      </c>
      <c r="K564">
        <v>0</v>
      </c>
      <c r="L564">
        <v>17.16</v>
      </c>
    </row>
    <row r="565" spans="1:12" x14ac:dyDescent="0.25">
      <c r="A565" t="str">
        <f t="shared" si="114"/>
        <v>89301000</v>
      </c>
      <c r="B565" t="str">
        <f t="shared" si="125"/>
        <v>75311000</v>
      </c>
      <c r="C565" t="str">
        <f t="shared" si="128"/>
        <v>75311715</v>
      </c>
      <c r="D565" t="str">
        <f t="shared" si="129"/>
        <v>801</v>
      </c>
      <c r="E565" t="str">
        <f t="shared" si="126"/>
        <v>89301167</v>
      </c>
      <c r="F565" t="str">
        <f t="shared" si="127"/>
        <v>5957040397</v>
      </c>
      <c r="G565" s="1">
        <v>44581</v>
      </c>
      <c r="H565" t="str">
        <f>"81393"</f>
        <v>81393</v>
      </c>
      <c r="I565">
        <v>1</v>
      </c>
      <c r="J565">
        <v>24</v>
      </c>
      <c r="K565">
        <v>0</v>
      </c>
      <c r="L565">
        <v>18.72</v>
      </c>
    </row>
    <row r="566" spans="1:12" x14ac:dyDescent="0.25">
      <c r="A566" t="str">
        <f t="shared" si="114"/>
        <v>89301000</v>
      </c>
      <c r="B566" t="str">
        <f t="shared" si="125"/>
        <v>75311000</v>
      </c>
      <c r="C566" t="str">
        <f t="shared" si="128"/>
        <v>75311715</v>
      </c>
      <c r="D566" t="str">
        <f t="shared" si="129"/>
        <v>801</v>
      </c>
      <c r="E566" t="str">
        <f t="shared" si="126"/>
        <v>89301167</v>
      </c>
      <c r="F566" t="str">
        <f t="shared" si="127"/>
        <v>5957040397</v>
      </c>
      <c r="G566" s="1">
        <v>44581</v>
      </c>
      <c r="H566" t="str">
        <f>"81469"</f>
        <v>81469</v>
      </c>
      <c r="I566">
        <v>1</v>
      </c>
      <c r="J566">
        <v>16</v>
      </c>
      <c r="K566">
        <v>0</v>
      </c>
      <c r="L566">
        <v>12.48</v>
      </c>
    </row>
    <row r="567" spans="1:12" x14ac:dyDescent="0.25">
      <c r="A567" t="str">
        <f t="shared" si="114"/>
        <v>89301000</v>
      </c>
      <c r="B567" t="str">
        <f t="shared" si="125"/>
        <v>75311000</v>
      </c>
      <c r="C567" t="str">
        <f t="shared" si="128"/>
        <v>75311715</v>
      </c>
      <c r="D567" t="str">
        <f t="shared" si="129"/>
        <v>801</v>
      </c>
      <c r="E567" t="str">
        <f t="shared" si="126"/>
        <v>89301167</v>
      </c>
      <c r="F567" t="str">
        <f t="shared" si="127"/>
        <v>5957040397</v>
      </c>
      <c r="G567" s="1">
        <v>44581</v>
      </c>
      <c r="H567" t="str">
        <f>"81625"</f>
        <v>81625</v>
      </c>
      <c r="I567">
        <v>1</v>
      </c>
      <c r="J567">
        <v>20</v>
      </c>
      <c r="K567">
        <v>0</v>
      </c>
      <c r="L567">
        <v>15.6</v>
      </c>
    </row>
    <row r="568" spans="1:12" x14ac:dyDescent="0.25">
      <c r="A568" t="str">
        <f t="shared" si="114"/>
        <v>89301000</v>
      </c>
      <c r="B568" t="str">
        <f t="shared" si="125"/>
        <v>75311000</v>
      </c>
      <c r="C568" t="str">
        <f t="shared" si="128"/>
        <v>75311715</v>
      </c>
      <c r="D568" t="str">
        <f t="shared" si="129"/>
        <v>801</v>
      </c>
      <c r="E568" t="str">
        <f t="shared" si="126"/>
        <v>89301167</v>
      </c>
      <c r="F568" t="str">
        <f t="shared" si="127"/>
        <v>5957040397</v>
      </c>
      <c r="G568" s="1">
        <v>44581</v>
      </c>
      <c r="H568" t="str">
        <f>"81361"</f>
        <v>81361</v>
      </c>
      <c r="I568">
        <v>1</v>
      </c>
      <c r="J568">
        <v>17</v>
      </c>
      <c r="K568">
        <v>0</v>
      </c>
      <c r="L568">
        <v>13.26</v>
      </c>
    </row>
    <row r="569" spans="1:12" x14ac:dyDescent="0.25">
      <c r="A569" t="str">
        <f t="shared" si="114"/>
        <v>89301000</v>
      </c>
      <c r="B569" t="str">
        <f t="shared" si="125"/>
        <v>75311000</v>
      </c>
      <c r="C569" t="str">
        <f t="shared" si="128"/>
        <v>75311715</v>
      </c>
      <c r="D569" t="str">
        <f t="shared" si="129"/>
        <v>801</v>
      </c>
      <c r="E569" t="str">
        <f t="shared" si="126"/>
        <v>89301167</v>
      </c>
      <c r="F569" t="str">
        <f t="shared" si="127"/>
        <v>5957040397</v>
      </c>
      <c r="G569" s="1">
        <v>44581</v>
      </c>
      <c r="H569" t="str">
        <f>"81337"</f>
        <v>81337</v>
      </c>
      <c r="I569">
        <v>1</v>
      </c>
      <c r="J569">
        <v>19</v>
      </c>
      <c r="K569">
        <v>0</v>
      </c>
      <c r="L569">
        <v>14.82</v>
      </c>
    </row>
    <row r="570" spans="1:12" x14ac:dyDescent="0.25">
      <c r="A570" t="str">
        <f t="shared" si="114"/>
        <v>89301000</v>
      </c>
      <c r="B570" t="str">
        <f t="shared" si="125"/>
        <v>75311000</v>
      </c>
      <c r="C570" t="str">
        <f t="shared" si="128"/>
        <v>75311715</v>
      </c>
      <c r="D570" t="str">
        <f t="shared" si="129"/>
        <v>801</v>
      </c>
      <c r="E570" t="str">
        <f t="shared" si="126"/>
        <v>89301167</v>
      </c>
      <c r="F570" t="str">
        <f t="shared" si="127"/>
        <v>5957040397</v>
      </c>
      <c r="G570" s="1">
        <v>44581</v>
      </c>
      <c r="H570" t="str">
        <f>"81357"</f>
        <v>81357</v>
      </c>
      <c r="I570">
        <v>1</v>
      </c>
      <c r="J570">
        <v>19</v>
      </c>
      <c r="K570">
        <v>0</v>
      </c>
      <c r="L570">
        <v>14.82</v>
      </c>
    </row>
    <row r="571" spans="1:12" x14ac:dyDescent="0.25">
      <c r="A571" t="str">
        <f t="shared" si="114"/>
        <v>89301000</v>
      </c>
      <c r="B571" t="str">
        <f t="shared" si="125"/>
        <v>75311000</v>
      </c>
      <c r="C571" t="str">
        <f t="shared" si="128"/>
        <v>75311715</v>
      </c>
      <c r="D571" t="str">
        <f t="shared" si="129"/>
        <v>801</v>
      </c>
      <c r="E571" t="str">
        <f t="shared" si="126"/>
        <v>89301167</v>
      </c>
      <c r="F571" t="str">
        <f t="shared" si="127"/>
        <v>5957040397</v>
      </c>
      <c r="G571" s="1">
        <v>44581</v>
      </c>
      <c r="H571" t="str">
        <f>"81435"</f>
        <v>81435</v>
      </c>
      <c r="I571">
        <v>1</v>
      </c>
      <c r="J571">
        <v>22</v>
      </c>
      <c r="K571">
        <v>0</v>
      </c>
      <c r="L571">
        <v>17.16</v>
      </c>
    </row>
    <row r="572" spans="1:12" x14ac:dyDescent="0.25">
      <c r="A572" t="str">
        <f t="shared" si="114"/>
        <v>89301000</v>
      </c>
      <c r="B572" t="str">
        <f t="shared" si="125"/>
        <v>75311000</v>
      </c>
      <c r="C572" t="str">
        <f t="shared" si="128"/>
        <v>75311715</v>
      </c>
      <c r="D572" t="str">
        <f t="shared" si="129"/>
        <v>801</v>
      </c>
      <c r="E572" t="str">
        <f t="shared" si="126"/>
        <v>89301167</v>
      </c>
      <c r="F572" t="str">
        <f t="shared" si="127"/>
        <v>5957040397</v>
      </c>
      <c r="G572" s="1">
        <v>44581</v>
      </c>
      <c r="H572" t="str">
        <f>"81421"</f>
        <v>81421</v>
      </c>
      <c r="I572">
        <v>1</v>
      </c>
      <c r="J572">
        <v>19</v>
      </c>
      <c r="K572">
        <v>0</v>
      </c>
      <c r="L572">
        <v>14.82</v>
      </c>
    </row>
    <row r="573" spans="1:12" x14ac:dyDescent="0.25">
      <c r="A573" t="str">
        <f t="shared" si="114"/>
        <v>89301000</v>
      </c>
      <c r="B573" t="str">
        <f t="shared" si="125"/>
        <v>75311000</v>
      </c>
      <c r="C573" t="str">
        <f t="shared" si="128"/>
        <v>75311715</v>
      </c>
      <c r="D573" t="str">
        <f t="shared" si="129"/>
        <v>801</v>
      </c>
      <c r="E573" t="str">
        <f t="shared" si="126"/>
        <v>89301167</v>
      </c>
      <c r="F573" t="str">
        <f t="shared" si="127"/>
        <v>5957040397</v>
      </c>
      <c r="G573" s="1">
        <v>44581</v>
      </c>
      <c r="H573" t="str">
        <f>"81383"</f>
        <v>81383</v>
      </c>
      <c r="I573">
        <v>1</v>
      </c>
      <c r="J573">
        <v>23</v>
      </c>
      <c r="K573">
        <v>0</v>
      </c>
      <c r="L573">
        <v>17.940000000000001</v>
      </c>
    </row>
    <row r="574" spans="1:12" x14ac:dyDescent="0.25">
      <c r="A574" t="str">
        <f t="shared" si="114"/>
        <v>89301000</v>
      </c>
      <c r="B574" t="str">
        <f t="shared" si="125"/>
        <v>75311000</v>
      </c>
      <c r="C574" t="str">
        <f t="shared" si="128"/>
        <v>75311715</v>
      </c>
      <c r="D574" t="str">
        <f t="shared" si="129"/>
        <v>801</v>
      </c>
      <c r="E574" t="str">
        <f t="shared" si="126"/>
        <v>89301167</v>
      </c>
      <c r="F574" t="str">
        <f t="shared" si="127"/>
        <v>5957040397</v>
      </c>
      <c r="G574" s="1">
        <v>44581</v>
      </c>
      <c r="H574" t="str">
        <f>"81439"</f>
        <v>81439</v>
      </c>
      <c r="I574">
        <v>1</v>
      </c>
      <c r="J574">
        <v>16</v>
      </c>
      <c r="K574">
        <v>0</v>
      </c>
      <c r="L574">
        <v>12.48</v>
      </c>
    </row>
    <row r="575" spans="1:12" x14ac:dyDescent="0.25">
      <c r="A575" t="str">
        <f t="shared" si="114"/>
        <v>89301000</v>
      </c>
      <c r="B575" t="str">
        <f t="shared" si="125"/>
        <v>75311000</v>
      </c>
      <c r="C575" t="str">
        <f t="shared" si="128"/>
        <v>75311715</v>
      </c>
      <c r="D575" t="str">
        <f t="shared" si="129"/>
        <v>801</v>
      </c>
      <c r="E575" t="str">
        <f t="shared" si="126"/>
        <v>89301167</v>
      </c>
      <c r="F575" t="str">
        <f t="shared" si="127"/>
        <v>5957040397</v>
      </c>
      <c r="G575" s="1">
        <v>44581</v>
      </c>
      <c r="H575" t="str">
        <f>"91153"</f>
        <v>91153</v>
      </c>
      <c r="I575">
        <v>1</v>
      </c>
      <c r="J575">
        <v>152</v>
      </c>
      <c r="K575">
        <v>0</v>
      </c>
      <c r="L575">
        <v>118.56</v>
      </c>
    </row>
    <row r="576" spans="1:12" x14ac:dyDescent="0.25">
      <c r="A576" t="str">
        <f t="shared" si="114"/>
        <v>89301000</v>
      </c>
      <c r="B576" t="str">
        <f t="shared" si="125"/>
        <v>75311000</v>
      </c>
      <c r="C576" t="str">
        <f t="shared" si="128"/>
        <v>75311715</v>
      </c>
      <c r="D576" t="str">
        <f t="shared" si="129"/>
        <v>801</v>
      </c>
      <c r="E576" t="str">
        <f t="shared" si="126"/>
        <v>89301167</v>
      </c>
      <c r="F576" t="str">
        <f t="shared" si="127"/>
        <v>5957040397</v>
      </c>
      <c r="G576" s="1">
        <v>44581</v>
      </c>
      <c r="H576" t="str">
        <f>"81329"</f>
        <v>81329</v>
      </c>
      <c r="I576">
        <v>1</v>
      </c>
      <c r="J576">
        <v>16</v>
      </c>
      <c r="K576">
        <v>0</v>
      </c>
      <c r="L576">
        <v>12.48</v>
      </c>
    </row>
    <row r="577" spans="1:12" x14ac:dyDescent="0.25">
      <c r="A577" t="str">
        <f t="shared" si="114"/>
        <v>89301000</v>
      </c>
      <c r="B577" t="str">
        <f t="shared" si="125"/>
        <v>75311000</v>
      </c>
      <c r="C577" t="str">
        <f t="shared" si="128"/>
        <v>75311715</v>
      </c>
      <c r="D577" t="str">
        <f t="shared" si="129"/>
        <v>801</v>
      </c>
      <c r="E577" t="str">
        <f t="shared" si="126"/>
        <v>89301167</v>
      </c>
      <c r="F577" t="str">
        <f t="shared" si="127"/>
        <v>5957040397</v>
      </c>
      <c r="G577" s="1">
        <v>44581</v>
      </c>
      <c r="H577" t="str">
        <f>"97111"</f>
        <v>97111</v>
      </c>
      <c r="I577">
        <v>2</v>
      </c>
      <c r="J577">
        <v>36</v>
      </c>
      <c r="K577">
        <v>0</v>
      </c>
      <c r="L577">
        <v>28.08</v>
      </c>
    </row>
    <row r="578" spans="1:12" x14ac:dyDescent="0.25">
      <c r="A578" t="str">
        <f t="shared" ref="A578:A641" si="130">"89301000"</f>
        <v>89301000</v>
      </c>
      <c r="B578" t="str">
        <f t="shared" ref="B578:B622" si="131">"72077000"</f>
        <v>72077000</v>
      </c>
      <c r="C578" t="str">
        <f t="shared" ref="C578:C622" si="132">"72077001"</f>
        <v>72077001</v>
      </c>
      <c r="D578" t="str">
        <f t="shared" ref="D578:D622" si="133">"813"</f>
        <v>813</v>
      </c>
      <c r="E578" t="str">
        <f>"89301152"</f>
        <v>89301152</v>
      </c>
      <c r="F578" t="str">
        <f>"8958134999"</f>
        <v>8958134999</v>
      </c>
      <c r="G578" s="1">
        <v>44582</v>
      </c>
      <c r="H578" t="str">
        <f>"91171"</f>
        <v>91171</v>
      </c>
      <c r="I578">
        <v>1</v>
      </c>
      <c r="J578">
        <v>360</v>
      </c>
      <c r="K578">
        <v>0</v>
      </c>
      <c r="L578">
        <v>280.8</v>
      </c>
    </row>
    <row r="579" spans="1:12" x14ac:dyDescent="0.25">
      <c r="A579" t="str">
        <f t="shared" si="130"/>
        <v>89301000</v>
      </c>
      <c r="B579" t="str">
        <f t="shared" si="131"/>
        <v>72077000</v>
      </c>
      <c r="C579" t="str">
        <f t="shared" si="132"/>
        <v>72077001</v>
      </c>
      <c r="D579" t="str">
        <f t="shared" si="133"/>
        <v>813</v>
      </c>
      <c r="E579" t="str">
        <f>"89301152"</f>
        <v>89301152</v>
      </c>
      <c r="F579" t="str">
        <f>"8958134999"</f>
        <v>8958134999</v>
      </c>
      <c r="G579" s="1">
        <v>44582</v>
      </c>
      <c r="H579" t="str">
        <f>"91171"</f>
        <v>91171</v>
      </c>
      <c r="I579">
        <v>1</v>
      </c>
      <c r="J579">
        <v>360</v>
      </c>
      <c r="K579">
        <v>0</v>
      </c>
      <c r="L579">
        <v>280.8</v>
      </c>
    </row>
    <row r="580" spans="1:12" x14ac:dyDescent="0.25">
      <c r="A580" t="str">
        <f t="shared" si="130"/>
        <v>89301000</v>
      </c>
      <c r="B580" t="str">
        <f t="shared" si="131"/>
        <v>72077000</v>
      </c>
      <c r="C580" t="str">
        <f t="shared" si="132"/>
        <v>72077001</v>
      </c>
      <c r="D580" t="str">
        <f t="shared" si="133"/>
        <v>813</v>
      </c>
      <c r="E580" t="str">
        <f>"89301152"</f>
        <v>89301152</v>
      </c>
      <c r="F580" t="str">
        <f>"8958134999"</f>
        <v>8958134999</v>
      </c>
      <c r="G580" s="1">
        <v>44582</v>
      </c>
      <c r="H580" t="str">
        <f>"91171"</f>
        <v>91171</v>
      </c>
      <c r="I580">
        <v>1</v>
      </c>
      <c r="J580">
        <v>360</v>
      </c>
      <c r="K580">
        <v>0</v>
      </c>
      <c r="L580">
        <v>280.8</v>
      </c>
    </row>
    <row r="581" spans="1:12" x14ac:dyDescent="0.25">
      <c r="A581" t="str">
        <f t="shared" si="130"/>
        <v>89301000</v>
      </c>
      <c r="B581" t="str">
        <f t="shared" si="131"/>
        <v>72077000</v>
      </c>
      <c r="C581" t="str">
        <f t="shared" si="132"/>
        <v>72077001</v>
      </c>
      <c r="D581" t="str">
        <f t="shared" si="133"/>
        <v>813</v>
      </c>
      <c r="E581" t="str">
        <f>"89301152"</f>
        <v>89301152</v>
      </c>
      <c r="F581" t="str">
        <f>"8958134999"</f>
        <v>8958134999</v>
      </c>
      <c r="G581" s="1">
        <v>44587</v>
      </c>
      <c r="H581" t="str">
        <f>"91577"</f>
        <v>91577</v>
      </c>
      <c r="I581">
        <v>1</v>
      </c>
      <c r="J581">
        <v>396</v>
      </c>
      <c r="K581">
        <v>0</v>
      </c>
      <c r="L581">
        <v>308.88</v>
      </c>
    </row>
    <row r="582" spans="1:12" x14ac:dyDescent="0.25">
      <c r="A582" t="str">
        <f t="shared" si="130"/>
        <v>89301000</v>
      </c>
      <c r="B582" t="str">
        <f t="shared" si="131"/>
        <v>72077000</v>
      </c>
      <c r="C582" t="str">
        <f t="shared" si="132"/>
        <v>72077001</v>
      </c>
      <c r="D582" t="str">
        <f t="shared" si="133"/>
        <v>813</v>
      </c>
      <c r="E582" t="str">
        <f>"89301152"</f>
        <v>89301152</v>
      </c>
      <c r="F582" t="str">
        <f>"7153117103"</f>
        <v>7153117103</v>
      </c>
      <c r="G582" s="1">
        <v>44566</v>
      </c>
      <c r="H582" t="str">
        <f>"91465"</f>
        <v>91465</v>
      </c>
      <c r="I582">
        <v>1</v>
      </c>
      <c r="J582">
        <v>1404</v>
      </c>
      <c r="K582">
        <v>0</v>
      </c>
      <c r="L582">
        <v>1095.1199999999999</v>
      </c>
    </row>
    <row r="583" spans="1:12" x14ac:dyDescent="0.25">
      <c r="A583" t="str">
        <f t="shared" si="130"/>
        <v>89301000</v>
      </c>
      <c r="B583" t="str">
        <f t="shared" si="131"/>
        <v>72077000</v>
      </c>
      <c r="C583" t="str">
        <f t="shared" si="132"/>
        <v>72077001</v>
      </c>
      <c r="D583" t="str">
        <f t="shared" si="133"/>
        <v>813</v>
      </c>
      <c r="E583" t="str">
        <f>"89301107"</f>
        <v>89301107</v>
      </c>
      <c r="F583" t="str">
        <f>"1806040489"</f>
        <v>1806040489</v>
      </c>
      <c r="G583" s="1">
        <v>44567</v>
      </c>
      <c r="H583" t="str">
        <f>"91213"</f>
        <v>91213</v>
      </c>
      <c r="I583">
        <v>1</v>
      </c>
      <c r="J583">
        <v>347</v>
      </c>
      <c r="K583">
        <v>0</v>
      </c>
      <c r="L583">
        <v>270.66000000000003</v>
      </c>
    </row>
    <row r="584" spans="1:12" x14ac:dyDescent="0.25">
      <c r="A584" t="str">
        <f t="shared" si="130"/>
        <v>89301000</v>
      </c>
      <c r="B584" t="str">
        <f t="shared" si="131"/>
        <v>72077000</v>
      </c>
      <c r="C584" t="str">
        <f t="shared" si="132"/>
        <v>72077001</v>
      </c>
      <c r="D584" t="str">
        <f t="shared" si="133"/>
        <v>813</v>
      </c>
      <c r="E584" t="str">
        <f t="shared" ref="E584:E622" si="134">"89301152"</f>
        <v>89301152</v>
      </c>
      <c r="F584" t="str">
        <f>"0154105754"</f>
        <v>0154105754</v>
      </c>
      <c r="G584" s="1">
        <v>44571</v>
      </c>
      <c r="H584" t="str">
        <f>"91197"</f>
        <v>91197</v>
      </c>
      <c r="I584">
        <v>1</v>
      </c>
      <c r="J584">
        <v>1046</v>
      </c>
      <c r="K584">
        <v>0</v>
      </c>
      <c r="L584">
        <v>815.88</v>
      </c>
    </row>
    <row r="585" spans="1:12" x14ac:dyDescent="0.25">
      <c r="A585" t="str">
        <f t="shared" si="130"/>
        <v>89301000</v>
      </c>
      <c r="B585" t="str">
        <f t="shared" si="131"/>
        <v>72077000</v>
      </c>
      <c r="C585" t="str">
        <f t="shared" si="132"/>
        <v>72077001</v>
      </c>
      <c r="D585" t="str">
        <f t="shared" si="133"/>
        <v>813</v>
      </c>
      <c r="E585" t="str">
        <f t="shared" si="134"/>
        <v>89301152</v>
      </c>
      <c r="F585" t="str">
        <f>"0154105754"</f>
        <v>0154105754</v>
      </c>
      <c r="G585" s="1">
        <v>44572</v>
      </c>
      <c r="H585" t="str">
        <f>"91465"</f>
        <v>91465</v>
      </c>
      <c r="I585">
        <v>1</v>
      </c>
      <c r="J585">
        <v>1404</v>
      </c>
      <c r="K585">
        <v>0</v>
      </c>
      <c r="L585">
        <v>1095.1199999999999</v>
      </c>
    </row>
    <row r="586" spans="1:12" x14ac:dyDescent="0.25">
      <c r="A586" t="str">
        <f t="shared" si="130"/>
        <v>89301000</v>
      </c>
      <c r="B586" t="str">
        <f t="shared" si="131"/>
        <v>72077000</v>
      </c>
      <c r="C586" t="str">
        <f t="shared" si="132"/>
        <v>72077001</v>
      </c>
      <c r="D586" t="str">
        <f t="shared" si="133"/>
        <v>813</v>
      </c>
      <c r="E586" t="str">
        <f t="shared" si="134"/>
        <v>89301152</v>
      </c>
      <c r="F586" t="str">
        <f>"9256016077"</f>
        <v>9256016077</v>
      </c>
      <c r="G586" s="1">
        <v>44571</v>
      </c>
      <c r="H586" t="str">
        <f>"91197"</f>
        <v>91197</v>
      </c>
      <c r="I586">
        <v>1</v>
      </c>
      <c r="J586">
        <v>1046</v>
      </c>
      <c r="K586">
        <v>0</v>
      </c>
      <c r="L586">
        <v>815.88</v>
      </c>
    </row>
    <row r="587" spans="1:12" x14ac:dyDescent="0.25">
      <c r="A587" t="str">
        <f t="shared" si="130"/>
        <v>89301000</v>
      </c>
      <c r="B587" t="str">
        <f t="shared" si="131"/>
        <v>72077000</v>
      </c>
      <c r="C587" t="str">
        <f t="shared" si="132"/>
        <v>72077001</v>
      </c>
      <c r="D587" t="str">
        <f t="shared" si="133"/>
        <v>813</v>
      </c>
      <c r="E587" t="str">
        <f t="shared" si="134"/>
        <v>89301152</v>
      </c>
      <c r="F587" t="str">
        <f>"9256016077"</f>
        <v>9256016077</v>
      </c>
      <c r="G587" s="1">
        <v>44572</v>
      </c>
      <c r="H587" t="str">
        <f>"91465"</f>
        <v>91465</v>
      </c>
      <c r="I587">
        <v>1</v>
      </c>
      <c r="J587">
        <v>1404</v>
      </c>
      <c r="K587">
        <v>0</v>
      </c>
      <c r="L587">
        <v>1095.1199999999999</v>
      </c>
    </row>
    <row r="588" spans="1:12" x14ac:dyDescent="0.25">
      <c r="A588" t="str">
        <f t="shared" si="130"/>
        <v>89301000</v>
      </c>
      <c r="B588" t="str">
        <f t="shared" si="131"/>
        <v>72077000</v>
      </c>
      <c r="C588" t="str">
        <f t="shared" si="132"/>
        <v>72077001</v>
      </c>
      <c r="D588" t="str">
        <f t="shared" si="133"/>
        <v>813</v>
      </c>
      <c r="E588" t="str">
        <f t="shared" si="134"/>
        <v>89301152</v>
      </c>
      <c r="F588" t="str">
        <f>"8158105857"</f>
        <v>8158105857</v>
      </c>
      <c r="G588" s="1">
        <v>44574</v>
      </c>
      <c r="H588" t="str">
        <f>"91465"</f>
        <v>91465</v>
      </c>
      <c r="I588">
        <v>1</v>
      </c>
      <c r="J588">
        <v>1404</v>
      </c>
      <c r="K588">
        <v>0</v>
      </c>
      <c r="L588">
        <v>1095.1199999999999</v>
      </c>
    </row>
    <row r="589" spans="1:12" x14ac:dyDescent="0.25">
      <c r="A589" t="str">
        <f t="shared" si="130"/>
        <v>89301000</v>
      </c>
      <c r="B589" t="str">
        <f t="shared" si="131"/>
        <v>72077000</v>
      </c>
      <c r="C589" t="str">
        <f t="shared" si="132"/>
        <v>72077001</v>
      </c>
      <c r="D589" t="str">
        <f t="shared" si="133"/>
        <v>813</v>
      </c>
      <c r="E589" t="str">
        <f t="shared" si="134"/>
        <v>89301152</v>
      </c>
      <c r="F589" t="str">
        <f>"8158105857"</f>
        <v>8158105857</v>
      </c>
      <c r="G589" s="1">
        <v>44575</v>
      </c>
      <c r="H589" t="str">
        <f>"91197"</f>
        <v>91197</v>
      </c>
      <c r="I589">
        <v>1</v>
      </c>
      <c r="J589">
        <v>1046</v>
      </c>
      <c r="K589">
        <v>0</v>
      </c>
      <c r="L589">
        <v>815.88</v>
      </c>
    </row>
    <row r="590" spans="1:12" x14ac:dyDescent="0.25">
      <c r="A590" t="str">
        <f t="shared" si="130"/>
        <v>89301000</v>
      </c>
      <c r="B590" t="str">
        <f t="shared" si="131"/>
        <v>72077000</v>
      </c>
      <c r="C590" t="str">
        <f t="shared" si="132"/>
        <v>72077001</v>
      </c>
      <c r="D590" t="str">
        <f t="shared" si="133"/>
        <v>813</v>
      </c>
      <c r="E590" t="str">
        <f t="shared" si="134"/>
        <v>89301152</v>
      </c>
      <c r="F590" t="str">
        <f>"9461205094"</f>
        <v>9461205094</v>
      </c>
      <c r="G590" s="1">
        <v>44572</v>
      </c>
      <c r="H590" t="str">
        <f>"91161"</f>
        <v>91161</v>
      </c>
      <c r="I590">
        <v>1</v>
      </c>
      <c r="J590">
        <v>177</v>
      </c>
      <c r="K590">
        <v>0</v>
      </c>
      <c r="L590">
        <v>138.06</v>
      </c>
    </row>
    <row r="591" spans="1:12" x14ac:dyDescent="0.25">
      <c r="A591" t="str">
        <f t="shared" si="130"/>
        <v>89301000</v>
      </c>
      <c r="B591" t="str">
        <f t="shared" si="131"/>
        <v>72077000</v>
      </c>
      <c r="C591" t="str">
        <f t="shared" si="132"/>
        <v>72077001</v>
      </c>
      <c r="D591" t="str">
        <f t="shared" si="133"/>
        <v>813</v>
      </c>
      <c r="E591" t="str">
        <f t="shared" si="134"/>
        <v>89301152</v>
      </c>
      <c r="F591" t="str">
        <f>"9461205094"</f>
        <v>9461205094</v>
      </c>
      <c r="G591" s="1">
        <v>44572</v>
      </c>
      <c r="H591" t="str">
        <f>"91159"</f>
        <v>91159</v>
      </c>
      <c r="I591">
        <v>1</v>
      </c>
      <c r="J591">
        <v>171</v>
      </c>
      <c r="K591">
        <v>0</v>
      </c>
      <c r="L591">
        <v>133.38</v>
      </c>
    </row>
    <row r="592" spans="1:12" x14ac:dyDescent="0.25">
      <c r="A592" t="str">
        <f t="shared" si="130"/>
        <v>89301000</v>
      </c>
      <c r="B592" t="str">
        <f t="shared" si="131"/>
        <v>72077000</v>
      </c>
      <c r="C592" t="str">
        <f t="shared" si="132"/>
        <v>72077001</v>
      </c>
      <c r="D592" t="str">
        <f t="shared" si="133"/>
        <v>813</v>
      </c>
      <c r="E592" t="str">
        <f t="shared" si="134"/>
        <v>89301152</v>
      </c>
      <c r="F592" t="str">
        <f>"9461205094"</f>
        <v>9461205094</v>
      </c>
      <c r="G592" s="1">
        <v>44573</v>
      </c>
      <c r="H592" t="str">
        <f>"91359"</f>
        <v>91359</v>
      </c>
      <c r="I592">
        <v>1</v>
      </c>
      <c r="J592">
        <v>198</v>
      </c>
      <c r="K592">
        <v>0</v>
      </c>
      <c r="L592">
        <v>154.44</v>
      </c>
    </row>
    <row r="593" spans="1:12" x14ac:dyDescent="0.25">
      <c r="A593" t="str">
        <f t="shared" si="130"/>
        <v>89301000</v>
      </c>
      <c r="B593" t="str">
        <f t="shared" si="131"/>
        <v>72077000</v>
      </c>
      <c r="C593" t="str">
        <f t="shared" si="132"/>
        <v>72077001</v>
      </c>
      <c r="D593" t="str">
        <f t="shared" si="133"/>
        <v>813</v>
      </c>
      <c r="E593" t="str">
        <f t="shared" si="134"/>
        <v>89301152</v>
      </c>
      <c r="F593" t="str">
        <f>"9461205094"</f>
        <v>9461205094</v>
      </c>
      <c r="G593" s="1">
        <v>44573</v>
      </c>
      <c r="H593" t="str">
        <f>"91361"</f>
        <v>91361</v>
      </c>
      <c r="I593">
        <v>1</v>
      </c>
      <c r="J593">
        <v>431</v>
      </c>
      <c r="K593">
        <v>0</v>
      </c>
      <c r="L593">
        <v>336.18</v>
      </c>
    </row>
    <row r="594" spans="1:12" x14ac:dyDescent="0.25">
      <c r="A594" t="str">
        <f t="shared" si="130"/>
        <v>89301000</v>
      </c>
      <c r="B594" t="str">
        <f t="shared" si="131"/>
        <v>72077000</v>
      </c>
      <c r="C594" t="str">
        <f t="shared" si="132"/>
        <v>72077001</v>
      </c>
      <c r="D594" t="str">
        <f t="shared" si="133"/>
        <v>813</v>
      </c>
      <c r="E594" t="str">
        <f t="shared" si="134"/>
        <v>89301152</v>
      </c>
      <c r="F594" t="str">
        <f>"9461205094"</f>
        <v>9461205094</v>
      </c>
      <c r="G594" s="1">
        <v>44574</v>
      </c>
      <c r="H594" t="str">
        <f>"91485"</f>
        <v>91485</v>
      </c>
      <c r="I594">
        <v>1</v>
      </c>
      <c r="J594">
        <v>268</v>
      </c>
      <c r="K594">
        <v>0</v>
      </c>
      <c r="L594">
        <v>209.04</v>
      </c>
    </row>
    <row r="595" spans="1:12" x14ac:dyDescent="0.25">
      <c r="A595" t="str">
        <f t="shared" si="130"/>
        <v>89301000</v>
      </c>
      <c r="B595" t="str">
        <f t="shared" si="131"/>
        <v>72077000</v>
      </c>
      <c r="C595" t="str">
        <f t="shared" si="132"/>
        <v>72077001</v>
      </c>
      <c r="D595" t="str">
        <f t="shared" si="133"/>
        <v>813</v>
      </c>
      <c r="E595" t="str">
        <f t="shared" si="134"/>
        <v>89301152</v>
      </c>
      <c r="F595" t="str">
        <f>"5701221812"</f>
        <v>5701221812</v>
      </c>
      <c r="G595" s="1">
        <v>44574</v>
      </c>
      <c r="H595" t="str">
        <f>"91219"</f>
        <v>91219</v>
      </c>
      <c r="I595">
        <v>1</v>
      </c>
      <c r="J595">
        <v>342</v>
      </c>
      <c r="K595">
        <v>0</v>
      </c>
      <c r="L595">
        <v>266.76</v>
      </c>
    </row>
    <row r="596" spans="1:12" x14ac:dyDescent="0.25">
      <c r="A596" t="str">
        <f t="shared" si="130"/>
        <v>89301000</v>
      </c>
      <c r="B596" t="str">
        <f t="shared" si="131"/>
        <v>72077000</v>
      </c>
      <c r="C596" t="str">
        <f t="shared" si="132"/>
        <v>72077001</v>
      </c>
      <c r="D596" t="str">
        <f t="shared" si="133"/>
        <v>813</v>
      </c>
      <c r="E596" t="str">
        <f t="shared" si="134"/>
        <v>89301152</v>
      </c>
      <c r="F596" t="str">
        <f>"5701221812"</f>
        <v>5701221812</v>
      </c>
      <c r="G596" s="1">
        <v>44574</v>
      </c>
      <c r="H596" t="str">
        <f>"91219"</f>
        <v>91219</v>
      </c>
      <c r="I596">
        <v>1</v>
      </c>
      <c r="J596">
        <v>342</v>
      </c>
      <c r="K596">
        <v>0</v>
      </c>
      <c r="L596">
        <v>266.76</v>
      </c>
    </row>
    <row r="597" spans="1:12" x14ac:dyDescent="0.25">
      <c r="A597" t="str">
        <f t="shared" si="130"/>
        <v>89301000</v>
      </c>
      <c r="B597" t="str">
        <f t="shared" si="131"/>
        <v>72077000</v>
      </c>
      <c r="C597" t="str">
        <f t="shared" si="132"/>
        <v>72077001</v>
      </c>
      <c r="D597" t="str">
        <f t="shared" si="133"/>
        <v>813</v>
      </c>
      <c r="E597" t="str">
        <f t="shared" si="134"/>
        <v>89301152</v>
      </c>
      <c r="F597" t="str">
        <f>"5701221812"</f>
        <v>5701221812</v>
      </c>
      <c r="G597" s="1">
        <v>44574</v>
      </c>
      <c r="H597" t="str">
        <f>"91219"</f>
        <v>91219</v>
      </c>
      <c r="I597">
        <v>1</v>
      </c>
      <c r="J597">
        <v>342</v>
      </c>
      <c r="K597">
        <v>0</v>
      </c>
      <c r="L597">
        <v>266.76</v>
      </c>
    </row>
    <row r="598" spans="1:12" x14ac:dyDescent="0.25">
      <c r="A598" t="str">
        <f t="shared" si="130"/>
        <v>89301000</v>
      </c>
      <c r="B598" t="str">
        <f t="shared" si="131"/>
        <v>72077000</v>
      </c>
      <c r="C598" t="str">
        <f t="shared" si="132"/>
        <v>72077001</v>
      </c>
      <c r="D598" t="str">
        <f t="shared" si="133"/>
        <v>813</v>
      </c>
      <c r="E598" t="str">
        <f t="shared" si="134"/>
        <v>89301152</v>
      </c>
      <c r="F598" t="str">
        <f>"380421451"</f>
        <v>380421451</v>
      </c>
      <c r="G598" s="1">
        <v>44574</v>
      </c>
      <c r="H598" t="str">
        <f>"91465"</f>
        <v>91465</v>
      </c>
      <c r="I598">
        <v>1</v>
      </c>
      <c r="J598">
        <v>1404</v>
      </c>
      <c r="K598">
        <v>0</v>
      </c>
      <c r="L598">
        <v>1095.1199999999999</v>
      </c>
    </row>
    <row r="599" spans="1:12" x14ac:dyDescent="0.25">
      <c r="A599" t="str">
        <f t="shared" si="130"/>
        <v>89301000</v>
      </c>
      <c r="B599" t="str">
        <f t="shared" si="131"/>
        <v>72077000</v>
      </c>
      <c r="C599" t="str">
        <f t="shared" si="132"/>
        <v>72077001</v>
      </c>
      <c r="D599" t="str">
        <f t="shared" si="133"/>
        <v>813</v>
      </c>
      <c r="E599" t="str">
        <f t="shared" si="134"/>
        <v>89301152</v>
      </c>
      <c r="F599" t="str">
        <f>"380421451"</f>
        <v>380421451</v>
      </c>
      <c r="G599" s="1">
        <v>44575</v>
      </c>
      <c r="H599" t="str">
        <f>"91197"</f>
        <v>91197</v>
      </c>
      <c r="I599">
        <v>1</v>
      </c>
      <c r="J599">
        <v>1046</v>
      </c>
      <c r="K599">
        <v>0</v>
      </c>
      <c r="L599">
        <v>815.88</v>
      </c>
    </row>
    <row r="600" spans="1:12" x14ac:dyDescent="0.25">
      <c r="A600" t="str">
        <f t="shared" si="130"/>
        <v>89301000</v>
      </c>
      <c r="B600" t="str">
        <f t="shared" si="131"/>
        <v>72077000</v>
      </c>
      <c r="C600" t="str">
        <f t="shared" si="132"/>
        <v>72077001</v>
      </c>
      <c r="D600" t="str">
        <f t="shared" si="133"/>
        <v>813</v>
      </c>
      <c r="E600" t="str">
        <f t="shared" si="134"/>
        <v>89301152</v>
      </c>
      <c r="F600" t="str">
        <f>"7759015770"</f>
        <v>7759015770</v>
      </c>
      <c r="G600" s="1">
        <v>44575</v>
      </c>
      <c r="H600" t="str">
        <f>"91197"</f>
        <v>91197</v>
      </c>
      <c r="I600">
        <v>1</v>
      </c>
      <c r="J600">
        <v>1046</v>
      </c>
      <c r="K600">
        <v>0</v>
      </c>
      <c r="L600">
        <v>815.88</v>
      </c>
    </row>
    <row r="601" spans="1:12" x14ac:dyDescent="0.25">
      <c r="A601" t="str">
        <f t="shared" si="130"/>
        <v>89301000</v>
      </c>
      <c r="B601" t="str">
        <f t="shared" si="131"/>
        <v>72077000</v>
      </c>
      <c r="C601" t="str">
        <f t="shared" si="132"/>
        <v>72077001</v>
      </c>
      <c r="D601" t="str">
        <f t="shared" si="133"/>
        <v>813</v>
      </c>
      <c r="E601" t="str">
        <f t="shared" si="134"/>
        <v>89301152</v>
      </c>
      <c r="F601" t="str">
        <f>"7759015770"</f>
        <v>7759015770</v>
      </c>
      <c r="G601" s="1">
        <v>44579</v>
      </c>
      <c r="H601" t="str">
        <f>"91465"</f>
        <v>91465</v>
      </c>
      <c r="I601">
        <v>1</v>
      </c>
      <c r="J601">
        <v>1404</v>
      </c>
      <c r="K601">
        <v>0</v>
      </c>
      <c r="L601">
        <v>1095.1199999999999</v>
      </c>
    </row>
    <row r="602" spans="1:12" x14ac:dyDescent="0.25">
      <c r="A602" t="str">
        <f t="shared" si="130"/>
        <v>89301000</v>
      </c>
      <c r="B602" t="str">
        <f t="shared" si="131"/>
        <v>72077000</v>
      </c>
      <c r="C602" t="str">
        <f t="shared" si="132"/>
        <v>72077001</v>
      </c>
      <c r="D602" t="str">
        <f t="shared" si="133"/>
        <v>813</v>
      </c>
      <c r="E602" t="str">
        <f t="shared" si="134"/>
        <v>89301152</v>
      </c>
      <c r="F602" t="str">
        <f>"526224188"</f>
        <v>526224188</v>
      </c>
      <c r="G602" s="1">
        <v>44575</v>
      </c>
      <c r="H602" t="str">
        <f>"91197"</f>
        <v>91197</v>
      </c>
      <c r="I602">
        <v>1</v>
      </c>
      <c r="J602">
        <v>1046</v>
      </c>
      <c r="K602">
        <v>0</v>
      </c>
      <c r="L602">
        <v>815.88</v>
      </c>
    </row>
    <row r="603" spans="1:12" x14ac:dyDescent="0.25">
      <c r="A603" t="str">
        <f t="shared" si="130"/>
        <v>89301000</v>
      </c>
      <c r="B603" t="str">
        <f t="shared" si="131"/>
        <v>72077000</v>
      </c>
      <c r="C603" t="str">
        <f t="shared" si="132"/>
        <v>72077001</v>
      </c>
      <c r="D603" t="str">
        <f t="shared" si="133"/>
        <v>813</v>
      </c>
      <c r="E603" t="str">
        <f t="shared" si="134"/>
        <v>89301152</v>
      </c>
      <c r="F603" t="str">
        <f>"526224188"</f>
        <v>526224188</v>
      </c>
      <c r="G603" s="1">
        <v>44579</v>
      </c>
      <c r="H603" t="str">
        <f>"91465"</f>
        <v>91465</v>
      </c>
      <c r="I603">
        <v>1</v>
      </c>
      <c r="J603">
        <v>1404</v>
      </c>
      <c r="K603">
        <v>0</v>
      </c>
      <c r="L603">
        <v>1095.1199999999999</v>
      </c>
    </row>
    <row r="604" spans="1:12" x14ac:dyDescent="0.25">
      <c r="A604" t="str">
        <f t="shared" si="130"/>
        <v>89301000</v>
      </c>
      <c r="B604" t="str">
        <f t="shared" si="131"/>
        <v>72077000</v>
      </c>
      <c r="C604" t="str">
        <f t="shared" si="132"/>
        <v>72077001</v>
      </c>
      <c r="D604" t="str">
        <f t="shared" si="133"/>
        <v>813</v>
      </c>
      <c r="E604" t="str">
        <f t="shared" si="134"/>
        <v>89301152</v>
      </c>
      <c r="F604" t="str">
        <f>"8661035790"</f>
        <v>8661035790</v>
      </c>
      <c r="G604" s="1">
        <v>44579</v>
      </c>
      <c r="H604" t="str">
        <f>"91465"</f>
        <v>91465</v>
      </c>
      <c r="I604">
        <v>1</v>
      </c>
      <c r="J604">
        <v>1404</v>
      </c>
      <c r="K604">
        <v>0</v>
      </c>
      <c r="L604">
        <v>1095.1199999999999</v>
      </c>
    </row>
    <row r="605" spans="1:12" x14ac:dyDescent="0.25">
      <c r="A605" t="str">
        <f t="shared" si="130"/>
        <v>89301000</v>
      </c>
      <c r="B605" t="str">
        <f t="shared" si="131"/>
        <v>72077000</v>
      </c>
      <c r="C605" t="str">
        <f t="shared" si="132"/>
        <v>72077001</v>
      </c>
      <c r="D605" t="str">
        <f t="shared" si="133"/>
        <v>813</v>
      </c>
      <c r="E605" t="str">
        <f t="shared" si="134"/>
        <v>89301152</v>
      </c>
      <c r="F605" t="str">
        <f>"8661035790"</f>
        <v>8661035790</v>
      </c>
      <c r="G605" s="1">
        <v>44579</v>
      </c>
      <c r="H605" t="str">
        <f>"91197"</f>
        <v>91197</v>
      </c>
      <c r="I605">
        <v>1</v>
      </c>
      <c r="J605">
        <v>1046</v>
      </c>
      <c r="K605">
        <v>0</v>
      </c>
      <c r="L605">
        <v>815.88</v>
      </c>
    </row>
    <row r="606" spans="1:12" x14ac:dyDescent="0.25">
      <c r="A606" t="str">
        <f t="shared" si="130"/>
        <v>89301000</v>
      </c>
      <c r="B606" t="str">
        <f t="shared" si="131"/>
        <v>72077000</v>
      </c>
      <c r="C606" t="str">
        <f t="shared" si="132"/>
        <v>72077001</v>
      </c>
      <c r="D606" t="str">
        <f t="shared" si="133"/>
        <v>813</v>
      </c>
      <c r="E606" t="str">
        <f t="shared" si="134"/>
        <v>89301152</v>
      </c>
      <c r="F606" t="str">
        <f>"535901171"</f>
        <v>535901171</v>
      </c>
      <c r="G606" s="1">
        <v>44579</v>
      </c>
      <c r="H606" t="str">
        <f>"91465"</f>
        <v>91465</v>
      </c>
      <c r="I606">
        <v>1</v>
      </c>
      <c r="J606">
        <v>1404</v>
      </c>
      <c r="K606">
        <v>0</v>
      </c>
      <c r="L606">
        <v>1095.1199999999999</v>
      </c>
    </row>
    <row r="607" spans="1:12" x14ac:dyDescent="0.25">
      <c r="A607" t="str">
        <f t="shared" si="130"/>
        <v>89301000</v>
      </c>
      <c r="B607" t="str">
        <f t="shared" si="131"/>
        <v>72077000</v>
      </c>
      <c r="C607" t="str">
        <f t="shared" si="132"/>
        <v>72077001</v>
      </c>
      <c r="D607" t="str">
        <f t="shared" si="133"/>
        <v>813</v>
      </c>
      <c r="E607" t="str">
        <f t="shared" si="134"/>
        <v>89301152</v>
      </c>
      <c r="F607" t="str">
        <f>"535901171"</f>
        <v>535901171</v>
      </c>
      <c r="G607" s="1">
        <v>44579</v>
      </c>
      <c r="H607" t="str">
        <f>"91197"</f>
        <v>91197</v>
      </c>
      <c r="I607">
        <v>1</v>
      </c>
      <c r="J607">
        <v>1046</v>
      </c>
      <c r="K607">
        <v>0</v>
      </c>
      <c r="L607">
        <v>815.88</v>
      </c>
    </row>
    <row r="608" spans="1:12" x14ac:dyDescent="0.25">
      <c r="A608" t="str">
        <f t="shared" si="130"/>
        <v>89301000</v>
      </c>
      <c r="B608" t="str">
        <f t="shared" si="131"/>
        <v>72077000</v>
      </c>
      <c r="C608" t="str">
        <f t="shared" si="132"/>
        <v>72077001</v>
      </c>
      <c r="D608" t="str">
        <f t="shared" si="133"/>
        <v>813</v>
      </c>
      <c r="E608" t="str">
        <f t="shared" si="134"/>
        <v>89301152</v>
      </c>
      <c r="F608" t="str">
        <f>"7003255314"</f>
        <v>7003255314</v>
      </c>
      <c r="G608" s="1">
        <v>44580</v>
      </c>
      <c r="H608" t="str">
        <f>"91213"</f>
        <v>91213</v>
      </c>
      <c r="I608">
        <v>1</v>
      </c>
      <c r="J608">
        <v>347</v>
      </c>
      <c r="K608">
        <v>0</v>
      </c>
      <c r="L608">
        <v>270.66000000000003</v>
      </c>
    </row>
    <row r="609" spans="1:12" x14ac:dyDescent="0.25">
      <c r="A609" t="str">
        <f t="shared" si="130"/>
        <v>89301000</v>
      </c>
      <c r="B609" t="str">
        <f t="shared" si="131"/>
        <v>72077000</v>
      </c>
      <c r="C609" t="str">
        <f t="shared" si="132"/>
        <v>72077001</v>
      </c>
      <c r="D609" t="str">
        <f t="shared" si="133"/>
        <v>813</v>
      </c>
      <c r="E609" t="str">
        <f t="shared" si="134"/>
        <v>89301152</v>
      </c>
      <c r="F609" t="str">
        <f>"7756154406"</f>
        <v>7756154406</v>
      </c>
      <c r="G609" s="1">
        <v>44580</v>
      </c>
      <c r="H609" t="str">
        <f>"91361"</f>
        <v>91361</v>
      </c>
      <c r="I609">
        <v>1</v>
      </c>
      <c r="J609">
        <v>431</v>
      </c>
      <c r="K609">
        <v>0</v>
      </c>
      <c r="L609">
        <v>336.18</v>
      </c>
    </row>
    <row r="610" spans="1:12" x14ac:dyDescent="0.25">
      <c r="A610" t="str">
        <f t="shared" si="130"/>
        <v>89301000</v>
      </c>
      <c r="B610" t="str">
        <f t="shared" si="131"/>
        <v>72077000</v>
      </c>
      <c r="C610" t="str">
        <f t="shared" si="132"/>
        <v>72077001</v>
      </c>
      <c r="D610" t="str">
        <f t="shared" si="133"/>
        <v>813</v>
      </c>
      <c r="E610" t="str">
        <f t="shared" si="134"/>
        <v>89301152</v>
      </c>
      <c r="F610" t="str">
        <f>"7756154406"</f>
        <v>7756154406</v>
      </c>
      <c r="G610" s="1">
        <v>44580</v>
      </c>
      <c r="H610" t="str">
        <f>"91359"</f>
        <v>91359</v>
      </c>
      <c r="I610">
        <v>1</v>
      </c>
      <c r="J610">
        <v>198</v>
      </c>
      <c r="K610">
        <v>0</v>
      </c>
      <c r="L610">
        <v>154.44</v>
      </c>
    </row>
    <row r="611" spans="1:12" x14ac:dyDescent="0.25">
      <c r="A611" t="str">
        <f t="shared" si="130"/>
        <v>89301000</v>
      </c>
      <c r="B611" t="str">
        <f t="shared" si="131"/>
        <v>72077000</v>
      </c>
      <c r="C611" t="str">
        <f t="shared" si="132"/>
        <v>72077001</v>
      </c>
      <c r="D611" t="str">
        <f t="shared" si="133"/>
        <v>813</v>
      </c>
      <c r="E611" t="str">
        <f t="shared" si="134"/>
        <v>89301152</v>
      </c>
      <c r="F611" t="str">
        <f>"7756154406"</f>
        <v>7756154406</v>
      </c>
      <c r="G611" s="1">
        <v>44580</v>
      </c>
      <c r="H611" t="str">
        <f>"91485"</f>
        <v>91485</v>
      </c>
      <c r="I611">
        <v>1</v>
      </c>
      <c r="J611">
        <v>268</v>
      </c>
      <c r="K611">
        <v>0</v>
      </c>
      <c r="L611">
        <v>209.04</v>
      </c>
    </row>
    <row r="612" spans="1:12" x14ac:dyDescent="0.25">
      <c r="A612" t="str">
        <f t="shared" si="130"/>
        <v>89301000</v>
      </c>
      <c r="B612" t="str">
        <f t="shared" si="131"/>
        <v>72077000</v>
      </c>
      <c r="C612" t="str">
        <f t="shared" si="132"/>
        <v>72077001</v>
      </c>
      <c r="D612" t="str">
        <f t="shared" si="133"/>
        <v>813</v>
      </c>
      <c r="E612" t="str">
        <f t="shared" si="134"/>
        <v>89301152</v>
      </c>
      <c r="F612" t="str">
        <f>"7756154406"</f>
        <v>7756154406</v>
      </c>
      <c r="G612" s="1">
        <v>44582</v>
      </c>
      <c r="H612" t="str">
        <f>"91465"</f>
        <v>91465</v>
      </c>
      <c r="I612">
        <v>1</v>
      </c>
      <c r="J612">
        <v>1404</v>
      </c>
      <c r="K612">
        <v>0</v>
      </c>
      <c r="L612">
        <v>1095.1199999999999</v>
      </c>
    </row>
    <row r="613" spans="1:12" x14ac:dyDescent="0.25">
      <c r="A613" t="str">
        <f t="shared" si="130"/>
        <v>89301000</v>
      </c>
      <c r="B613" t="str">
        <f t="shared" si="131"/>
        <v>72077000</v>
      </c>
      <c r="C613" t="str">
        <f t="shared" si="132"/>
        <v>72077001</v>
      </c>
      <c r="D613" t="str">
        <f t="shared" si="133"/>
        <v>813</v>
      </c>
      <c r="E613" t="str">
        <f t="shared" si="134"/>
        <v>89301152</v>
      </c>
      <c r="F613" t="str">
        <f>"7756154406"</f>
        <v>7756154406</v>
      </c>
      <c r="G613" s="1">
        <v>44582</v>
      </c>
      <c r="H613" t="str">
        <f>"91197"</f>
        <v>91197</v>
      </c>
      <c r="I613">
        <v>1</v>
      </c>
      <c r="J613">
        <v>1046</v>
      </c>
      <c r="K613">
        <v>0</v>
      </c>
      <c r="L613">
        <v>815.88</v>
      </c>
    </row>
    <row r="614" spans="1:12" x14ac:dyDescent="0.25">
      <c r="A614" t="str">
        <f t="shared" si="130"/>
        <v>89301000</v>
      </c>
      <c r="B614" t="str">
        <f t="shared" si="131"/>
        <v>72077000</v>
      </c>
      <c r="C614" t="str">
        <f t="shared" si="132"/>
        <v>72077001</v>
      </c>
      <c r="D614" t="str">
        <f t="shared" si="133"/>
        <v>813</v>
      </c>
      <c r="E614" t="str">
        <f t="shared" si="134"/>
        <v>89301152</v>
      </c>
      <c r="F614" t="str">
        <f>"6254211634"</f>
        <v>6254211634</v>
      </c>
      <c r="G614" s="1">
        <v>44582</v>
      </c>
      <c r="H614" t="str">
        <f>"91465"</f>
        <v>91465</v>
      </c>
      <c r="I614">
        <v>1</v>
      </c>
      <c r="J614">
        <v>1404</v>
      </c>
      <c r="K614">
        <v>0</v>
      </c>
      <c r="L614">
        <v>1095.1199999999999</v>
      </c>
    </row>
    <row r="615" spans="1:12" x14ac:dyDescent="0.25">
      <c r="A615" t="str">
        <f t="shared" si="130"/>
        <v>89301000</v>
      </c>
      <c r="B615" t="str">
        <f t="shared" si="131"/>
        <v>72077000</v>
      </c>
      <c r="C615" t="str">
        <f t="shared" si="132"/>
        <v>72077001</v>
      </c>
      <c r="D615" t="str">
        <f t="shared" si="133"/>
        <v>813</v>
      </c>
      <c r="E615" t="str">
        <f t="shared" si="134"/>
        <v>89301152</v>
      </c>
      <c r="F615" t="str">
        <f>"6254211634"</f>
        <v>6254211634</v>
      </c>
      <c r="G615" s="1">
        <v>44582</v>
      </c>
      <c r="H615" t="str">
        <f>"91197"</f>
        <v>91197</v>
      </c>
      <c r="I615">
        <v>1</v>
      </c>
      <c r="J615">
        <v>1046</v>
      </c>
      <c r="K615">
        <v>0</v>
      </c>
      <c r="L615">
        <v>815.88</v>
      </c>
    </row>
    <row r="616" spans="1:12" x14ac:dyDescent="0.25">
      <c r="A616" t="str">
        <f t="shared" si="130"/>
        <v>89301000</v>
      </c>
      <c r="B616" t="str">
        <f t="shared" si="131"/>
        <v>72077000</v>
      </c>
      <c r="C616" t="str">
        <f t="shared" si="132"/>
        <v>72077001</v>
      </c>
      <c r="D616" t="str">
        <f t="shared" si="133"/>
        <v>813</v>
      </c>
      <c r="E616" t="str">
        <f t="shared" si="134"/>
        <v>89301152</v>
      </c>
      <c r="F616" t="str">
        <f>"7762274498"</f>
        <v>7762274498</v>
      </c>
      <c r="G616" s="1">
        <v>44582</v>
      </c>
      <c r="H616" t="str">
        <f>"91465"</f>
        <v>91465</v>
      </c>
      <c r="I616">
        <v>1</v>
      </c>
      <c r="J616">
        <v>1404</v>
      </c>
      <c r="K616">
        <v>0</v>
      </c>
      <c r="L616">
        <v>1095.1199999999999</v>
      </c>
    </row>
    <row r="617" spans="1:12" x14ac:dyDescent="0.25">
      <c r="A617" t="str">
        <f t="shared" si="130"/>
        <v>89301000</v>
      </c>
      <c r="B617" t="str">
        <f t="shared" si="131"/>
        <v>72077000</v>
      </c>
      <c r="C617" t="str">
        <f t="shared" si="132"/>
        <v>72077001</v>
      </c>
      <c r="D617" t="str">
        <f t="shared" si="133"/>
        <v>813</v>
      </c>
      <c r="E617" t="str">
        <f t="shared" si="134"/>
        <v>89301152</v>
      </c>
      <c r="F617" t="str">
        <f>"7762274498"</f>
        <v>7762274498</v>
      </c>
      <c r="G617" s="1">
        <v>44582</v>
      </c>
      <c r="H617" t="str">
        <f>"91197"</f>
        <v>91197</v>
      </c>
      <c r="I617">
        <v>1</v>
      </c>
      <c r="J617">
        <v>1046</v>
      </c>
      <c r="K617">
        <v>0</v>
      </c>
      <c r="L617">
        <v>815.88</v>
      </c>
    </row>
    <row r="618" spans="1:12" x14ac:dyDescent="0.25">
      <c r="A618" t="str">
        <f t="shared" si="130"/>
        <v>89301000</v>
      </c>
      <c r="B618" t="str">
        <f t="shared" si="131"/>
        <v>72077000</v>
      </c>
      <c r="C618" t="str">
        <f t="shared" si="132"/>
        <v>72077001</v>
      </c>
      <c r="D618" t="str">
        <f t="shared" si="133"/>
        <v>813</v>
      </c>
      <c r="E618" t="str">
        <f t="shared" si="134"/>
        <v>89301152</v>
      </c>
      <c r="F618" t="str">
        <f>"9154046143"</f>
        <v>9154046143</v>
      </c>
      <c r="G618" s="1">
        <v>44588</v>
      </c>
      <c r="H618" t="str">
        <f>"91465"</f>
        <v>91465</v>
      </c>
      <c r="I618">
        <v>1</v>
      </c>
      <c r="J618">
        <v>1404</v>
      </c>
      <c r="K618">
        <v>0</v>
      </c>
      <c r="L618">
        <v>1095.1199999999999</v>
      </c>
    </row>
    <row r="619" spans="1:12" x14ac:dyDescent="0.25">
      <c r="A619" t="str">
        <f t="shared" si="130"/>
        <v>89301000</v>
      </c>
      <c r="B619" t="str">
        <f t="shared" si="131"/>
        <v>72077000</v>
      </c>
      <c r="C619" t="str">
        <f t="shared" si="132"/>
        <v>72077001</v>
      </c>
      <c r="D619" t="str">
        <f t="shared" si="133"/>
        <v>813</v>
      </c>
      <c r="E619" t="str">
        <f t="shared" si="134"/>
        <v>89301152</v>
      </c>
      <c r="F619" t="str">
        <f>"9154046143"</f>
        <v>9154046143</v>
      </c>
      <c r="G619" s="1">
        <v>44588</v>
      </c>
      <c r="H619" t="str">
        <f>"91197"</f>
        <v>91197</v>
      </c>
      <c r="I619">
        <v>1</v>
      </c>
      <c r="J619">
        <v>1046</v>
      </c>
      <c r="K619">
        <v>0</v>
      </c>
      <c r="L619">
        <v>815.88</v>
      </c>
    </row>
    <row r="620" spans="1:12" x14ac:dyDescent="0.25">
      <c r="A620" t="str">
        <f t="shared" si="130"/>
        <v>89301000</v>
      </c>
      <c r="B620" t="str">
        <f t="shared" si="131"/>
        <v>72077000</v>
      </c>
      <c r="C620" t="str">
        <f t="shared" si="132"/>
        <v>72077001</v>
      </c>
      <c r="D620" t="str">
        <f t="shared" si="133"/>
        <v>813</v>
      </c>
      <c r="E620" t="str">
        <f t="shared" si="134"/>
        <v>89301152</v>
      </c>
      <c r="F620" t="str">
        <f>"0254205732"</f>
        <v>0254205732</v>
      </c>
      <c r="G620" s="1">
        <v>44588</v>
      </c>
      <c r="H620" t="str">
        <f>"91465"</f>
        <v>91465</v>
      </c>
      <c r="I620">
        <v>1</v>
      </c>
      <c r="J620">
        <v>1404</v>
      </c>
      <c r="K620">
        <v>0</v>
      </c>
      <c r="L620">
        <v>1095.1199999999999</v>
      </c>
    </row>
    <row r="621" spans="1:12" x14ac:dyDescent="0.25">
      <c r="A621" t="str">
        <f t="shared" si="130"/>
        <v>89301000</v>
      </c>
      <c r="B621" t="str">
        <f t="shared" si="131"/>
        <v>72077000</v>
      </c>
      <c r="C621" t="str">
        <f t="shared" si="132"/>
        <v>72077001</v>
      </c>
      <c r="D621" t="str">
        <f t="shared" si="133"/>
        <v>813</v>
      </c>
      <c r="E621" t="str">
        <f t="shared" si="134"/>
        <v>89301152</v>
      </c>
      <c r="F621" t="str">
        <f>"0254205732"</f>
        <v>0254205732</v>
      </c>
      <c r="G621" s="1">
        <v>44588</v>
      </c>
      <c r="H621" t="str">
        <f>"91197"</f>
        <v>91197</v>
      </c>
      <c r="I621">
        <v>1</v>
      </c>
      <c r="J621">
        <v>1046</v>
      </c>
      <c r="K621">
        <v>0</v>
      </c>
      <c r="L621">
        <v>815.88</v>
      </c>
    </row>
    <row r="622" spans="1:12" x14ac:dyDescent="0.25">
      <c r="A622" t="str">
        <f t="shared" si="130"/>
        <v>89301000</v>
      </c>
      <c r="B622" t="str">
        <f t="shared" si="131"/>
        <v>72077000</v>
      </c>
      <c r="C622" t="str">
        <f t="shared" si="132"/>
        <v>72077001</v>
      </c>
      <c r="D622" t="str">
        <f t="shared" si="133"/>
        <v>813</v>
      </c>
      <c r="E622" t="str">
        <f t="shared" si="134"/>
        <v>89301152</v>
      </c>
      <c r="F622" t="str">
        <f>"8010125310"</f>
        <v>8010125310</v>
      </c>
      <c r="G622" s="1">
        <v>44588</v>
      </c>
      <c r="H622" t="str">
        <f>"91171"</f>
        <v>91171</v>
      </c>
      <c r="I622">
        <v>1</v>
      </c>
      <c r="J622">
        <v>360</v>
      </c>
      <c r="K622">
        <v>0</v>
      </c>
      <c r="L622">
        <v>280.8</v>
      </c>
    </row>
    <row r="623" spans="1:12" x14ac:dyDescent="0.25">
      <c r="A623" t="str">
        <f t="shared" si="130"/>
        <v>89301000</v>
      </c>
      <c r="B623" t="str">
        <f t="shared" ref="B623:B654" si="135">"89895000"</f>
        <v>89895000</v>
      </c>
      <c r="C623" t="str">
        <f t="shared" ref="C623:C654" si="136">"89895002"</f>
        <v>89895002</v>
      </c>
      <c r="D623" t="str">
        <f t="shared" ref="D623:D654" si="137">"809"</f>
        <v>809</v>
      </c>
      <c r="E623" t="str">
        <f t="shared" ref="E623:E654" si="138">"89301212"</f>
        <v>89301212</v>
      </c>
      <c r="F623" t="str">
        <f>"406221434"</f>
        <v>406221434</v>
      </c>
      <c r="G623" s="1">
        <v>44571</v>
      </c>
      <c r="H623" t="str">
        <f>"89180"</f>
        <v>89180</v>
      </c>
      <c r="I623">
        <v>2</v>
      </c>
      <c r="J623">
        <v>752</v>
      </c>
      <c r="K623">
        <v>0</v>
      </c>
      <c r="L623">
        <v>1052.8</v>
      </c>
    </row>
    <row r="624" spans="1:12" x14ac:dyDescent="0.25">
      <c r="A624" t="str">
        <f t="shared" si="130"/>
        <v>89301000</v>
      </c>
      <c r="B624" t="str">
        <f t="shared" si="135"/>
        <v>89895000</v>
      </c>
      <c r="C624" t="str">
        <f t="shared" si="136"/>
        <v>89895002</v>
      </c>
      <c r="D624" t="str">
        <f t="shared" si="137"/>
        <v>809</v>
      </c>
      <c r="E624" t="str">
        <f t="shared" si="138"/>
        <v>89301212</v>
      </c>
      <c r="F624" t="str">
        <f>"406221434"</f>
        <v>406221434</v>
      </c>
      <c r="G624" s="1">
        <v>44571</v>
      </c>
      <c r="H624" t="str">
        <f>"89512"</f>
        <v>89512</v>
      </c>
      <c r="I624">
        <v>1</v>
      </c>
      <c r="J624">
        <v>277</v>
      </c>
      <c r="K624">
        <v>0</v>
      </c>
      <c r="L624">
        <v>387.8</v>
      </c>
    </row>
    <row r="625" spans="1:12" x14ac:dyDescent="0.25">
      <c r="A625" t="str">
        <f t="shared" si="130"/>
        <v>89301000</v>
      </c>
      <c r="B625" t="str">
        <f t="shared" si="135"/>
        <v>89895000</v>
      </c>
      <c r="C625" t="str">
        <f t="shared" si="136"/>
        <v>89895002</v>
      </c>
      <c r="D625" t="str">
        <f t="shared" si="137"/>
        <v>809</v>
      </c>
      <c r="E625" t="str">
        <f t="shared" si="138"/>
        <v>89301212</v>
      </c>
      <c r="F625" t="str">
        <f>"406221434"</f>
        <v>406221434</v>
      </c>
      <c r="G625" s="1">
        <v>44571</v>
      </c>
      <c r="H625" t="str">
        <f>"89513"</f>
        <v>89513</v>
      </c>
      <c r="I625">
        <v>1</v>
      </c>
      <c r="J625">
        <v>371</v>
      </c>
      <c r="K625">
        <v>0</v>
      </c>
      <c r="L625">
        <v>519.4</v>
      </c>
    </row>
    <row r="626" spans="1:12" x14ac:dyDescent="0.25">
      <c r="A626" t="str">
        <f t="shared" si="130"/>
        <v>89301000</v>
      </c>
      <c r="B626" t="str">
        <f t="shared" si="135"/>
        <v>89895000</v>
      </c>
      <c r="C626" t="str">
        <f t="shared" si="136"/>
        <v>89895002</v>
      </c>
      <c r="D626" t="str">
        <f t="shared" si="137"/>
        <v>809</v>
      </c>
      <c r="E626" t="str">
        <f t="shared" si="138"/>
        <v>89301212</v>
      </c>
      <c r="F626" t="str">
        <f>"406221434"</f>
        <v>406221434</v>
      </c>
      <c r="G626" s="1">
        <v>44571</v>
      </c>
      <c r="H626" t="str">
        <f>"89514"</f>
        <v>89514</v>
      </c>
      <c r="I626">
        <v>1</v>
      </c>
      <c r="J626">
        <v>371</v>
      </c>
      <c r="K626">
        <v>0</v>
      </c>
      <c r="L626">
        <v>519.4</v>
      </c>
    </row>
    <row r="627" spans="1:12" x14ac:dyDescent="0.25">
      <c r="A627" t="str">
        <f t="shared" si="130"/>
        <v>89301000</v>
      </c>
      <c r="B627" t="str">
        <f t="shared" si="135"/>
        <v>89895000</v>
      </c>
      <c r="C627" t="str">
        <f t="shared" si="136"/>
        <v>89895002</v>
      </c>
      <c r="D627" t="str">
        <f t="shared" si="137"/>
        <v>809</v>
      </c>
      <c r="E627" t="str">
        <f t="shared" si="138"/>
        <v>89301212</v>
      </c>
      <c r="F627" t="str">
        <f>"455512476"</f>
        <v>455512476</v>
      </c>
      <c r="G627" s="1">
        <v>44588</v>
      </c>
      <c r="H627" t="str">
        <f>"89514"</f>
        <v>89514</v>
      </c>
      <c r="I627">
        <v>1</v>
      </c>
      <c r="J627">
        <v>371</v>
      </c>
      <c r="K627">
        <v>0</v>
      </c>
      <c r="L627">
        <v>519.4</v>
      </c>
    </row>
    <row r="628" spans="1:12" x14ac:dyDescent="0.25">
      <c r="A628" t="str">
        <f t="shared" si="130"/>
        <v>89301000</v>
      </c>
      <c r="B628" t="str">
        <f t="shared" si="135"/>
        <v>89895000</v>
      </c>
      <c r="C628" t="str">
        <f t="shared" si="136"/>
        <v>89895002</v>
      </c>
      <c r="D628" t="str">
        <f t="shared" si="137"/>
        <v>809</v>
      </c>
      <c r="E628" t="str">
        <f t="shared" si="138"/>
        <v>89301212</v>
      </c>
      <c r="F628" t="str">
        <f>"455512476"</f>
        <v>455512476</v>
      </c>
      <c r="G628" s="1">
        <v>44588</v>
      </c>
      <c r="H628" t="str">
        <f>"89513"</f>
        <v>89513</v>
      </c>
      <c r="I628">
        <v>1</v>
      </c>
      <c r="J628">
        <v>371</v>
      </c>
      <c r="K628">
        <v>0</v>
      </c>
      <c r="L628">
        <v>519.4</v>
      </c>
    </row>
    <row r="629" spans="1:12" x14ac:dyDescent="0.25">
      <c r="A629" t="str">
        <f t="shared" si="130"/>
        <v>89301000</v>
      </c>
      <c r="B629" t="str">
        <f t="shared" si="135"/>
        <v>89895000</v>
      </c>
      <c r="C629" t="str">
        <f t="shared" si="136"/>
        <v>89895002</v>
      </c>
      <c r="D629" t="str">
        <f t="shared" si="137"/>
        <v>809</v>
      </c>
      <c r="E629" t="str">
        <f t="shared" si="138"/>
        <v>89301212</v>
      </c>
      <c r="F629" t="str">
        <f>"475107485"</f>
        <v>475107485</v>
      </c>
      <c r="G629" s="1">
        <v>44571</v>
      </c>
      <c r="H629" t="str">
        <f>"89180"</f>
        <v>89180</v>
      </c>
      <c r="I629">
        <v>2</v>
      </c>
      <c r="J629">
        <v>752</v>
      </c>
      <c r="K629">
        <v>0</v>
      </c>
      <c r="L629">
        <v>1052.8</v>
      </c>
    </row>
    <row r="630" spans="1:12" x14ac:dyDescent="0.25">
      <c r="A630" t="str">
        <f t="shared" si="130"/>
        <v>89301000</v>
      </c>
      <c r="B630" t="str">
        <f t="shared" si="135"/>
        <v>89895000</v>
      </c>
      <c r="C630" t="str">
        <f t="shared" si="136"/>
        <v>89895002</v>
      </c>
      <c r="D630" t="str">
        <f t="shared" si="137"/>
        <v>809</v>
      </c>
      <c r="E630" t="str">
        <f t="shared" si="138"/>
        <v>89301212</v>
      </c>
      <c r="F630" t="str">
        <f>"475217407"</f>
        <v>475217407</v>
      </c>
      <c r="G630" s="1">
        <v>44571</v>
      </c>
      <c r="H630" t="str">
        <f>"89180"</f>
        <v>89180</v>
      </c>
      <c r="I630">
        <v>1</v>
      </c>
      <c r="J630">
        <v>376</v>
      </c>
      <c r="K630">
        <v>0</v>
      </c>
      <c r="L630">
        <v>526.4</v>
      </c>
    </row>
    <row r="631" spans="1:12" x14ac:dyDescent="0.25">
      <c r="A631" t="str">
        <f t="shared" si="130"/>
        <v>89301000</v>
      </c>
      <c r="B631" t="str">
        <f t="shared" si="135"/>
        <v>89895000</v>
      </c>
      <c r="C631" t="str">
        <f t="shared" si="136"/>
        <v>89895002</v>
      </c>
      <c r="D631" t="str">
        <f t="shared" si="137"/>
        <v>809</v>
      </c>
      <c r="E631" t="str">
        <f t="shared" si="138"/>
        <v>89301212</v>
      </c>
      <c r="F631" t="str">
        <f>"475217407"</f>
        <v>475217407</v>
      </c>
      <c r="G631" s="1">
        <v>44571</v>
      </c>
      <c r="H631" t="str">
        <f>"89512"</f>
        <v>89512</v>
      </c>
      <c r="I631">
        <v>1</v>
      </c>
      <c r="J631">
        <v>277</v>
      </c>
      <c r="K631">
        <v>0</v>
      </c>
      <c r="L631">
        <v>387.8</v>
      </c>
    </row>
    <row r="632" spans="1:12" x14ac:dyDescent="0.25">
      <c r="A632" t="str">
        <f t="shared" si="130"/>
        <v>89301000</v>
      </c>
      <c r="B632" t="str">
        <f t="shared" si="135"/>
        <v>89895000</v>
      </c>
      <c r="C632" t="str">
        <f t="shared" si="136"/>
        <v>89895002</v>
      </c>
      <c r="D632" t="str">
        <f t="shared" si="137"/>
        <v>809</v>
      </c>
      <c r="E632" t="str">
        <f t="shared" si="138"/>
        <v>89301212</v>
      </c>
      <c r="F632" t="str">
        <f>"475507414"</f>
        <v>475507414</v>
      </c>
      <c r="G632" s="1">
        <v>44585</v>
      </c>
      <c r="H632" t="str">
        <f>"89512"</f>
        <v>89512</v>
      </c>
      <c r="I632">
        <v>1</v>
      </c>
      <c r="J632">
        <v>277</v>
      </c>
      <c r="K632">
        <v>0</v>
      </c>
      <c r="L632">
        <v>387.8</v>
      </c>
    </row>
    <row r="633" spans="1:12" x14ac:dyDescent="0.25">
      <c r="A633" t="str">
        <f t="shared" si="130"/>
        <v>89301000</v>
      </c>
      <c r="B633" t="str">
        <f t="shared" si="135"/>
        <v>89895000</v>
      </c>
      <c r="C633" t="str">
        <f t="shared" si="136"/>
        <v>89895002</v>
      </c>
      <c r="D633" t="str">
        <f t="shared" si="137"/>
        <v>809</v>
      </c>
      <c r="E633" t="str">
        <f t="shared" si="138"/>
        <v>89301212</v>
      </c>
      <c r="F633" t="str">
        <f>"475507414"</f>
        <v>475507414</v>
      </c>
      <c r="G633" s="1">
        <v>44585</v>
      </c>
      <c r="H633" t="str">
        <f>"89180"</f>
        <v>89180</v>
      </c>
      <c r="I633">
        <v>2</v>
      </c>
      <c r="J633">
        <v>752</v>
      </c>
      <c r="K633">
        <v>0</v>
      </c>
      <c r="L633">
        <v>1052.8</v>
      </c>
    </row>
    <row r="634" spans="1:12" x14ac:dyDescent="0.25">
      <c r="A634" t="str">
        <f t="shared" si="130"/>
        <v>89301000</v>
      </c>
      <c r="B634" t="str">
        <f t="shared" si="135"/>
        <v>89895000</v>
      </c>
      <c r="C634" t="str">
        <f t="shared" si="136"/>
        <v>89895002</v>
      </c>
      <c r="D634" t="str">
        <f t="shared" si="137"/>
        <v>809</v>
      </c>
      <c r="E634" t="str">
        <f t="shared" si="138"/>
        <v>89301212</v>
      </c>
      <c r="F634" t="str">
        <f>"485915102"</f>
        <v>485915102</v>
      </c>
      <c r="G634" s="1">
        <v>44575</v>
      </c>
      <c r="H634" t="str">
        <f>"89512"</f>
        <v>89512</v>
      </c>
      <c r="I634">
        <v>1</v>
      </c>
      <c r="J634">
        <v>277</v>
      </c>
      <c r="K634">
        <v>0</v>
      </c>
      <c r="L634">
        <v>387.8</v>
      </c>
    </row>
    <row r="635" spans="1:12" x14ac:dyDescent="0.25">
      <c r="A635" t="str">
        <f t="shared" si="130"/>
        <v>89301000</v>
      </c>
      <c r="B635" t="str">
        <f t="shared" si="135"/>
        <v>89895000</v>
      </c>
      <c r="C635" t="str">
        <f t="shared" si="136"/>
        <v>89895002</v>
      </c>
      <c r="D635" t="str">
        <f t="shared" si="137"/>
        <v>809</v>
      </c>
      <c r="E635" t="str">
        <f t="shared" si="138"/>
        <v>89301212</v>
      </c>
      <c r="F635" t="str">
        <f>"525213030"</f>
        <v>525213030</v>
      </c>
      <c r="G635" s="1">
        <v>44572</v>
      </c>
      <c r="H635" t="str">
        <f>"89180"</f>
        <v>89180</v>
      </c>
      <c r="I635">
        <v>1</v>
      </c>
      <c r="J635">
        <v>376</v>
      </c>
      <c r="K635">
        <v>0</v>
      </c>
      <c r="L635">
        <v>526.4</v>
      </c>
    </row>
    <row r="636" spans="1:12" x14ac:dyDescent="0.25">
      <c r="A636" t="str">
        <f t="shared" si="130"/>
        <v>89301000</v>
      </c>
      <c r="B636" t="str">
        <f t="shared" si="135"/>
        <v>89895000</v>
      </c>
      <c r="C636" t="str">
        <f t="shared" si="136"/>
        <v>89895002</v>
      </c>
      <c r="D636" t="str">
        <f t="shared" si="137"/>
        <v>809</v>
      </c>
      <c r="E636" t="str">
        <f t="shared" si="138"/>
        <v>89301212</v>
      </c>
      <c r="F636" t="str">
        <f>"525213030"</f>
        <v>525213030</v>
      </c>
      <c r="G636" s="1">
        <v>44572</v>
      </c>
      <c r="H636" t="str">
        <f>"89513"</f>
        <v>89513</v>
      </c>
      <c r="I636">
        <v>1</v>
      </c>
      <c r="J636">
        <v>371</v>
      </c>
      <c r="K636">
        <v>0</v>
      </c>
      <c r="L636">
        <v>519.4</v>
      </c>
    </row>
    <row r="637" spans="1:12" x14ac:dyDescent="0.25">
      <c r="A637" t="str">
        <f t="shared" si="130"/>
        <v>89301000</v>
      </c>
      <c r="B637" t="str">
        <f t="shared" si="135"/>
        <v>89895000</v>
      </c>
      <c r="C637" t="str">
        <f t="shared" si="136"/>
        <v>89895002</v>
      </c>
      <c r="D637" t="str">
        <f t="shared" si="137"/>
        <v>809</v>
      </c>
      <c r="E637" t="str">
        <f t="shared" si="138"/>
        <v>89301212</v>
      </c>
      <c r="F637" t="str">
        <f>"525213030"</f>
        <v>525213030</v>
      </c>
      <c r="G637" s="1">
        <v>44572</v>
      </c>
      <c r="H637" t="str">
        <f>"89514"</f>
        <v>89514</v>
      </c>
      <c r="I637">
        <v>1</v>
      </c>
      <c r="J637">
        <v>371</v>
      </c>
      <c r="K637">
        <v>0</v>
      </c>
      <c r="L637">
        <v>519.4</v>
      </c>
    </row>
    <row r="638" spans="1:12" x14ac:dyDescent="0.25">
      <c r="A638" t="str">
        <f t="shared" si="130"/>
        <v>89301000</v>
      </c>
      <c r="B638" t="str">
        <f t="shared" si="135"/>
        <v>89895000</v>
      </c>
      <c r="C638" t="str">
        <f t="shared" si="136"/>
        <v>89895002</v>
      </c>
      <c r="D638" t="str">
        <f t="shared" si="137"/>
        <v>809</v>
      </c>
      <c r="E638" t="str">
        <f t="shared" si="138"/>
        <v>89301212</v>
      </c>
      <c r="F638" t="str">
        <f>"525213030"</f>
        <v>525213030</v>
      </c>
      <c r="G638" s="1">
        <v>44572</v>
      </c>
      <c r="H638" t="str">
        <f>"89512"</f>
        <v>89512</v>
      </c>
      <c r="I638">
        <v>1</v>
      </c>
      <c r="J638">
        <v>277</v>
      </c>
      <c r="K638">
        <v>0</v>
      </c>
      <c r="L638">
        <v>387.8</v>
      </c>
    </row>
    <row r="639" spans="1:12" x14ac:dyDescent="0.25">
      <c r="A639" t="str">
        <f t="shared" si="130"/>
        <v>89301000</v>
      </c>
      <c r="B639" t="str">
        <f t="shared" si="135"/>
        <v>89895000</v>
      </c>
      <c r="C639" t="str">
        <f t="shared" si="136"/>
        <v>89895002</v>
      </c>
      <c r="D639" t="str">
        <f t="shared" si="137"/>
        <v>809</v>
      </c>
      <c r="E639" t="str">
        <f t="shared" si="138"/>
        <v>89301212</v>
      </c>
      <c r="F639" t="str">
        <f>"526106038"</f>
        <v>526106038</v>
      </c>
      <c r="G639" s="1">
        <v>44571</v>
      </c>
      <c r="H639" t="str">
        <f>"89180"</f>
        <v>89180</v>
      </c>
      <c r="I639">
        <v>2</v>
      </c>
      <c r="J639">
        <v>752</v>
      </c>
      <c r="K639">
        <v>0</v>
      </c>
      <c r="L639">
        <v>1052.8</v>
      </c>
    </row>
    <row r="640" spans="1:12" x14ac:dyDescent="0.25">
      <c r="A640" t="str">
        <f t="shared" si="130"/>
        <v>89301000</v>
      </c>
      <c r="B640" t="str">
        <f t="shared" si="135"/>
        <v>89895000</v>
      </c>
      <c r="C640" t="str">
        <f t="shared" si="136"/>
        <v>89895002</v>
      </c>
      <c r="D640" t="str">
        <f t="shared" si="137"/>
        <v>809</v>
      </c>
      <c r="E640" t="str">
        <f t="shared" si="138"/>
        <v>89301212</v>
      </c>
      <c r="F640" t="str">
        <f>"526106038"</f>
        <v>526106038</v>
      </c>
      <c r="G640" s="1">
        <v>44571</v>
      </c>
      <c r="H640" t="str">
        <f>"89512"</f>
        <v>89512</v>
      </c>
      <c r="I640">
        <v>1</v>
      </c>
      <c r="J640">
        <v>277</v>
      </c>
      <c r="K640">
        <v>0</v>
      </c>
      <c r="L640">
        <v>387.8</v>
      </c>
    </row>
    <row r="641" spans="1:12" x14ac:dyDescent="0.25">
      <c r="A641" t="str">
        <f t="shared" si="130"/>
        <v>89301000</v>
      </c>
      <c r="B641" t="str">
        <f t="shared" si="135"/>
        <v>89895000</v>
      </c>
      <c r="C641" t="str">
        <f t="shared" si="136"/>
        <v>89895002</v>
      </c>
      <c r="D641" t="str">
        <f t="shared" si="137"/>
        <v>809</v>
      </c>
      <c r="E641" t="str">
        <f t="shared" si="138"/>
        <v>89301212</v>
      </c>
      <c r="F641" t="str">
        <f>"526106038"</f>
        <v>526106038</v>
      </c>
      <c r="G641" s="1">
        <v>44571</v>
      </c>
      <c r="H641" t="str">
        <f>"89513"</f>
        <v>89513</v>
      </c>
      <c r="I641">
        <v>1</v>
      </c>
      <c r="J641">
        <v>371</v>
      </c>
      <c r="K641">
        <v>0</v>
      </c>
      <c r="L641">
        <v>519.4</v>
      </c>
    </row>
    <row r="642" spans="1:12" x14ac:dyDescent="0.25">
      <c r="A642" t="str">
        <f t="shared" ref="A642:A705" si="139">"89301000"</f>
        <v>89301000</v>
      </c>
      <c r="B642" t="str">
        <f t="shared" si="135"/>
        <v>89895000</v>
      </c>
      <c r="C642" t="str">
        <f t="shared" si="136"/>
        <v>89895002</v>
      </c>
      <c r="D642" t="str">
        <f t="shared" si="137"/>
        <v>809</v>
      </c>
      <c r="E642" t="str">
        <f t="shared" si="138"/>
        <v>89301212</v>
      </c>
      <c r="F642" t="str">
        <f>"526106038"</f>
        <v>526106038</v>
      </c>
      <c r="G642" s="1">
        <v>44571</v>
      </c>
      <c r="H642" t="str">
        <f>"89514"</f>
        <v>89514</v>
      </c>
      <c r="I642">
        <v>1</v>
      </c>
      <c r="J642">
        <v>371</v>
      </c>
      <c r="K642">
        <v>0</v>
      </c>
      <c r="L642">
        <v>519.4</v>
      </c>
    </row>
    <row r="643" spans="1:12" x14ac:dyDescent="0.25">
      <c r="A643" t="str">
        <f t="shared" si="139"/>
        <v>89301000</v>
      </c>
      <c r="B643" t="str">
        <f t="shared" si="135"/>
        <v>89895000</v>
      </c>
      <c r="C643" t="str">
        <f t="shared" si="136"/>
        <v>89895002</v>
      </c>
      <c r="D643" t="str">
        <f t="shared" si="137"/>
        <v>809</v>
      </c>
      <c r="E643" t="str">
        <f t="shared" si="138"/>
        <v>89301212</v>
      </c>
      <c r="F643" t="str">
        <f>"5460122998"</f>
        <v>5460122998</v>
      </c>
      <c r="G643" s="1">
        <v>44585</v>
      </c>
      <c r="H643" t="str">
        <f>"89513"</f>
        <v>89513</v>
      </c>
      <c r="I643">
        <v>1</v>
      </c>
      <c r="J643">
        <v>371</v>
      </c>
      <c r="K643">
        <v>0</v>
      </c>
      <c r="L643">
        <v>519.4</v>
      </c>
    </row>
    <row r="644" spans="1:12" x14ac:dyDescent="0.25">
      <c r="A644" t="str">
        <f t="shared" si="139"/>
        <v>89301000</v>
      </c>
      <c r="B644" t="str">
        <f t="shared" si="135"/>
        <v>89895000</v>
      </c>
      <c r="C644" t="str">
        <f t="shared" si="136"/>
        <v>89895002</v>
      </c>
      <c r="D644" t="str">
        <f t="shared" si="137"/>
        <v>809</v>
      </c>
      <c r="E644" t="str">
        <f t="shared" si="138"/>
        <v>89301212</v>
      </c>
      <c r="F644" t="str">
        <f>"5460122998"</f>
        <v>5460122998</v>
      </c>
      <c r="G644" s="1">
        <v>44585</v>
      </c>
      <c r="H644" t="str">
        <f>"89512"</f>
        <v>89512</v>
      </c>
      <c r="I644">
        <v>1</v>
      </c>
      <c r="J644">
        <v>277</v>
      </c>
      <c r="K644">
        <v>0</v>
      </c>
      <c r="L644">
        <v>387.8</v>
      </c>
    </row>
    <row r="645" spans="1:12" x14ac:dyDescent="0.25">
      <c r="A645" t="str">
        <f t="shared" si="139"/>
        <v>89301000</v>
      </c>
      <c r="B645" t="str">
        <f t="shared" si="135"/>
        <v>89895000</v>
      </c>
      <c r="C645" t="str">
        <f t="shared" si="136"/>
        <v>89895002</v>
      </c>
      <c r="D645" t="str">
        <f t="shared" si="137"/>
        <v>809</v>
      </c>
      <c r="E645" t="str">
        <f t="shared" si="138"/>
        <v>89301212</v>
      </c>
      <c r="F645" t="str">
        <f>"5460122998"</f>
        <v>5460122998</v>
      </c>
      <c r="G645" s="1">
        <v>44585</v>
      </c>
      <c r="H645" t="str">
        <f>"89514"</f>
        <v>89514</v>
      </c>
      <c r="I645">
        <v>1</v>
      </c>
      <c r="J645">
        <v>371</v>
      </c>
      <c r="K645">
        <v>0</v>
      </c>
      <c r="L645">
        <v>519.4</v>
      </c>
    </row>
    <row r="646" spans="1:12" x14ac:dyDescent="0.25">
      <c r="A646" t="str">
        <f t="shared" si="139"/>
        <v>89301000</v>
      </c>
      <c r="B646" t="str">
        <f t="shared" si="135"/>
        <v>89895000</v>
      </c>
      <c r="C646" t="str">
        <f t="shared" si="136"/>
        <v>89895002</v>
      </c>
      <c r="D646" t="str">
        <f t="shared" si="137"/>
        <v>809</v>
      </c>
      <c r="E646" t="str">
        <f t="shared" si="138"/>
        <v>89301212</v>
      </c>
      <c r="F646" t="str">
        <f>"5559221910"</f>
        <v>5559221910</v>
      </c>
      <c r="G646" s="1">
        <v>44578</v>
      </c>
      <c r="H646" t="str">
        <f>"89180"</f>
        <v>89180</v>
      </c>
      <c r="I646">
        <v>2</v>
      </c>
      <c r="J646">
        <v>752</v>
      </c>
      <c r="K646">
        <v>0</v>
      </c>
      <c r="L646">
        <v>1052.8</v>
      </c>
    </row>
    <row r="647" spans="1:12" x14ac:dyDescent="0.25">
      <c r="A647" t="str">
        <f t="shared" si="139"/>
        <v>89301000</v>
      </c>
      <c r="B647" t="str">
        <f t="shared" si="135"/>
        <v>89895000</v>
      </c>
      <c r="C647" t="str">
        <f t="shared" si="136"/>
        <v>89895002</v>
      </c>
      <c r="D647" t="str">
        <f t="shared" si="137"/>
        <v>809</v>
      </c>
      <c r="E647" t="str">
        <f t="shared" si="138"/>
        <v>89301212</v>
      </c>
      <c r="F647" t="str">
        <f>"5652110904"</f>
        <v>5652110904</v>
      </c>
      <c r="G647" s="1">
        <v>44587</v>
      </c>
      <c r="H647" t="str">
        <f>"89180"</f>
        <v>89180</v>
      </c>
      <c r="I647">
        <v>1</v>
      </c>
      <c r="J647">
        <v>376</v>
      </c>
      <c r="K647">
        <v>0</v>
      </c>
      <c r="L647">
        <v>526.4</v>
      </c>
    </row>
    <row r="648" spans="1:12" x14ac:dyDescent="0.25">
      <c r="A648" t="str">
        <f t="shared" si="139"/>
        <v>89301000</v>
      </c>
      <c r="B648" t="str">
        <f t="shared" si="135"/>
        <v>89895000</v>
      </c>
      <c r="C648" t="str">
        <f t="shared" si="136"/>
        <v>89895002</v>
      </c>
      <c r="D648" t="str">
        <f t="shared" si="137"/>
        <v>809</v>
      </c>
      <c r="E648" t="str">
        <f t="shared" si="138"/>
        <v>89301212</v>
      </c>
      <c r="F648" t="str">
        <f>"5751201412"</f>
        <v>5751201412</v>
      </c>
      <c r="G648" s="1">
        <v>44564</v>
      </c>
      <c r="H648" t="str">
        <f>"89180"</f>
        <v>89180</v>
      </c>
      <c r="I648">
        <v>1</v>
      </c>
      <c r="J648">
        <v>376</v>
      </c>
      <c r="K648">
        <v>0</v>
      </c>
      <c r="L648">
        <v>526.4</v>
      </c>
    </row>
    <row r="649" spans="1:12" x14ac:dyDescent="0.25">
      <c r="A649" t="str">
        <f t="shared" si="139"/>
        <v>89301000</v>
      </c>
      <c r="B649" t="str">
        <f t="shared" si="135"/>
        <v>89895000</v>
      </c>
      <c r="C649" t="str">
        <f t="shared" si="136"/>
        <v>89895002</v>
      </c>
      <c r="D649" t="str">
        <f t="shared" si="137"/>
        <v>809</v>
      </c>
      <c r="E649" t="str">
        <f t="shared" si="138"/>
        <v>89301212</v>
      </c>
      <c r="F649" t="str">
        <f>"5751201412"</f>
        <v>5751201412</v>
      </c>
      <c r="G649" s="1">
        <v>44564</v>
      </c>
      <c r="H649" t="str">
        <f>"89512"</f>
        <v>89512</v>
      </c>
      <c r="I649">
        <v>1</v>
      </c>
      <c r="J649">
        <v>277</v>
      </c>
      <c r="K649">
        <v>0</v>
      </c>
      <c r="L649">
        <v>387.8</v>
      </c>
    </row>
    <row r="650" spans="1:12" x14ac:dyDescent="0.25">
      <c r="A650" t="str">
        <f t="shared" si="139"/>
        <v>89301000</v>
      </c>
      <c r="B650" t="str">
        <f t="shared" si="135"/>
        <v>89895000</v>
      </c>
      <c r="C650" t="str">
        <f t="shared" si="136"/>
        <v>89895002</v>
      </c>
      <c r="D650" t="str">
        <f t="shared" si="137"/>
        <v>809</v>
      </c>
      <c r="E650" t="str">
        <f t="shared" si="138"/>
        <v>89301212</v>
      </c>
      <c r="F650" t="str">
        <f>"5751201412"</f>
        <v>5751201412</v>
      </c>
      <c r="G650" s="1">
        <v>44564</v>
      </c>
      <c r="H650" t="str">
        <f>"89513"</f>
        <v>89513</v>
      </c>
      <c r="I650">
        <v>1</v>
      </c>
      <c r="J650">
        <v>371</v>
      </c>
      <c r="K650">
        <v>0</v>
      </c>
      <c r="L650">
        <v>519.4</v>
      </c>
    </row>
    <row r="651" spans="1:12" x14ac:dyDescent="0.25">
      <c r="A651" t="str">
        <f t="shared" si="139"/>
        <v>89301000</v>
      </c>
      <c r="B651" t="str">
        <f t="shared" si="135"/>
        <v>89895000</v>
      </c>
      <c r="C651" t="str">
        <f t="shared" si="136"/>
        <v>89895002</v>
      </c>
      <c r="D651" t="str">
        <f t="shared" si="137"/>
        <v>809</v>
      </c>
      <c r="E651" t="str">
        <f t="shared" si="138"/>
        <v>89301212</v>
      </c>
      <c r="F651" t="str">
        <f>"5751201412"</f>
        <v>5751201412</v>
      </c>
      <c r="G651" s="1">
        <v>44564</v>
      </c>
      <c r="H651" t="str">
        <f>"89514"</f>
        <v>89514</v>
      </c>
      <c r="I651">
        <v>1</v>
      </c>
      <c r="J651">
        <v>371</v>
      </c>
      <c r="K651">
        <v>0</v>
      </c>
      <c r="L651">
        <v>519.4</v>
      </c>
    </row>
    <row r="652" spans="1:12" x14ac:dyDescent="0.25">
      <c r="A652" t="str">
        <f t="shared" si="139"/>
        <v>89301000</v>
      </c>
      <c r="B652" t="str">
        <f t="shared" si="135"/>
        <v>89895000</v>
      </c>
      <c r="C652" t="str">
        <f t="shared" si="136"/>
        <v>89895002</v>
      </c>
      <c r="D652" t="str">
        <f t="shared" si="137"/>
        <v>809</v>
      </c>
      <c r="E652" t="str">
        <f t="shared" si="138"/>
        <v>89301212</v>
      </c>
      <c r="F652" t="str">
        <f>"6059021474"</f>
        <v>6059021474</v>
      </c>
      <c r="G652" s="1">
        <v>44579</v>
      </c>
      <c r="H652" t="str">
        <f>"89512"</f>
        <v>89512</v>
      </c>
      <c r="I652">
        <v>1</v>
      </c>
      <c r="J652">
        <v>277</v>
      </c>
      <c r="K652">
        <v>0</v>
      </c>
      <c r="L652">
        <v>387.8</v>
      </c>
    </row>
    <row r="653" spans="1:12" x14ac:dyDescent="0.25">
      <c r="A653" t="str">
        <f t="shared" si="139"/>
        <v>89301000</v>
      </c>
      <c r="B653" t="str">
        <f t="shared" si="135"/>
        <v>89895000</v>
      </c>
      <c r="C653" t="str">
        <f t="shared" si="136"/>
        <v>89895002</v>
      </c>
      <c r="D653" t="str">
        <f t="shared" si="137"/>
        <v>809</v>
      </c>
      <c r="E653" t="str">
        <f t="shared" si="138"/>
        <v>89301212</v>
      </c>
      <c r="F653" t="str">
        <f>"6152250907"</f>
        <v>6152250907</v>
      </c>
      <c r="G653" s="1">
        <v>44592</v>
      </c>
      <c r="H653" t="str">
        <f>"89180"</f>
        <v>89180</v>
      </c>
      <c r="I653">
        <v>2</v>
      </c>
      <c r="J653">
        <v>752</v>
      </c>
      <c r="K653">
        <v>0</v>
      </c>
      <c r="L653">
        <v>1052.8</v>
      </c>
    </row>
    <row r="654" spans="1:12" x14ac:dyDescent="0.25">
      <c r="A654" t="str">
        <f t="shared" si="139"/>
        <v>89301000</v>
      </c>
      <c r="B654" t="str">
        <f t="shared" si="135"/>
        <v>89895000</v>
      </c>
      <c r="C654" t="str">
        <f t="shared" si="136"/>
        <v>89895002</v>
      </c>
      <c r="D654" t="str">
        <f t="shared" si="137"/>
        <v>809</v>
      </c>
      <c r="E654" t="str">
        <f t="shared" si="138"/>
        <v>89301212</v>
      </c>
      <c r="F654" t="str">
        <f>"6152250907"</f>
        <v>6152250907</v>
      </c>
      <c r="G654" s="1">
        <v>44592</v>
      </c>
      <c r="H654" t="str">
        <f>"89513"</f>
        <v>89513</v>
      </c>
      <c r="I654">
        <v>1</v>
      </c>
      <c r="J654">
        <v>371</v>
      </c>
      <c r="K654">
        <v>0</v>
      </c>
      <c r="L654">
        <v>519.4</v>
      </c>
    </row>
    <row r="655" spans="1:12" x14ac:dyDescent="0.25">
      <c r="A655" t="str">
        <f t="shared" si="139"/>
        <v>89301000</v>
      </c>
      <c r="B655" t="str">
        <f t="shared" ref="B655:B681" si="140">"89895000"</f>
        <v>89895000</v>
      </c>
      <c r="C655" t="str">
        <f t="shared" ref="C655:C681" si="141">"89895002"</f>
        <v>89895002</v>
      </c>
      <c r="D655" t="str">
        <f t="shared" ref="D655:D686" si="142">"809"</f>
        <v>809</v>
      </c>
      <c r="E655" t="str">
        <f t="shared" ref="E655:E691" si="143">"89301212"</f>
        <v>89301212</v>
      </c>
      <c r="F655" t="str">
        <f>"6152250907"</f>
        <v>6152250907</v>
      </c>
      <c r="G655" s="1">
        <v>44592</v>
      </c>
      <c r="H655" t="str">
        <f>"89514"</f>
        <v>89514</v>
      </c>
      <c r="I655">
        <v>1</v>
      </c>
      <c r="J655">
        <v>371</v>
      </c>
      <c r="K655">
        <v>0</v>
      </c>
      <c r="L655">
        <v>519.4</v>
      </c>
    </row>
    <row r="656" spans="1:12" x14ac:dyDescent="0.25">
      <c r="A656" t="str">
        <f t="shared" si="139"/>
        <v>89301000</v>
      </c>
      <c r="B656" t="str">
        <f t="shared" si="140"/>
        <v>89895000</v>
      </c>
      <c r="C656" t="str">
        <f t="shared" si="141"/>
        <v>89895002</v>
      </c>
      <c r="D656" t="str">
        <f t="shared" si="142"/>
        <v>809</v>
      </c>
      <c r="E656" t="str">
        <f t="shared" si="143"/>
        <v>89301212</v>
      </c>
      <c r="F656" t="str">
        <f>"6451070714"</f>
        <v>6451070714</v>
      </c>
      <c r="G656" s="1">
        <v>44589</v>
      </c>
      <c r="H656" t="str">
        <f>"89512"</f>
        <v>89512</v>
      </c>
      <c r="I656">
        <v>1</v>
      </c>
      <c r="J656">
        <v>277</v>
      </c>
      <c r="K656">
        <v>0</v>
      </c>
      <c r="L656">
        <v>387.8</v>
      </c>
    </row>
    <row r="657" spans="1:12" x14ac:dyDescent="0.25">
      <c r="A657" t="str">
        <f t="shared" si="139"/>
        <v>89301000</v>
      </c>
      <c r="B657" t="str">
        <f t="shared" si="140"/>
        <v>89895000</v>
      </c>
      <c r="C657" t="str">
        <f t="shared" si="141"/>
        <v>89895002</v>
      </c>
      <c r="D657" t="str">
        <f t="shared" si="142"/>
        <v>809</v>
      </c>
      <c r="E657" t="str">
        <f t="shared" si="143"/>
        <v>89301212</v>
      </c>
      <c r="F657" t="str">
        <f>"6451070714"</f>
        <v>6451070714</v>
      </c>
      <c r="G657" s="1">
        <v>44589</v>
      </c>
      <c r="H657" t="str">
        <f>"89180"</f>
        <v>89180</v>
      </c>
      <c r="I657">
        <v>2</v>
      </c>
      <c r="J657">
        <v>752</v>
      </c>
      <c r="K657">
        <v>0</v>
      </c>
      <c r="L657">
        <v>1052.8</v>
      </c>
    </row>
    <row r="658" spans="1:12" x14ac:dyDescent="0.25">
      <c r="A658" t="str">
        <f t="shared" si="139"/>
        <v>89301000</v>
      </c>
      <c r="B658" t="str">
        <f t="shared" si="140"/>
        <v>89895000</v>
      </c>
      <c r="C658" t="str">
        <f t="shared" si="141"/>
        <v>89895002</v>
      </c>
      <c r="D658" t="str">
        <f t="shared" si="142"/>
        <v>809</v>
      </c>
      <c r="E658" t="str">
        <f t="shared" si="143"/>
        <v>89301212</v>
      </c>
      <c r="F658" t="str">
        <f>"6451190713"</f>
        <v>6451190713</v>
      </c>
      <c r="G658" s="1">
        <v>44580</v>
      </c>
      <c r="H658" t="str">
        <f>"89512"</f>
        <v>89512</v>
      </c>
      <c r="I658">
        <v>1</v>
      </c>
      <c r="J658">
        <v>277</v>
      </c>
      <c r="K658">
        <v>0</v>
      </c>
      <c r="L658">
        <v>387.8</v>
      </c>
    </row>
    <row r="659" spans="1:12" x14ac:dyDescent="0.25">
      <c r="A659" t="str">
        <f t="shared" si="139"/>
        <v>89301000</v>
      </c>
      <c r="B659" t="str">
        <f t="shared" si="140"/>
        <v>89895000</v>
      </c>
      <c r="C659" t="str">
        <f t="shared" si="141"/>
        <v>89895002</v>
      </c>
      <c r="D659" t="str">
        <f t="shared" si="142"/>
        <v>809</v>
      </c>
      <c r="E659" t="str">
        <f t="shared" si="143"/>
        <v>89301212</v>
      </c>
      <c r="F659" t="str">
        <f>"6451190713"</f>
        <v>6451190713</v>
      </c>
      <c r="G659" s="1">
        <v>44589</v>
      </c>
      <c r="H659" t="str">
        <f>"89513"</f>
        <v>89513</v>
      </c>
      <c r="I659">
        <v>1</v>
      </c>
      <c r="J659">
        <v>371</v>
      </c>
      <c r="K659">
        <v>0</v>
      </c>
      <c r="L659">
        <v>519.4</v>
      </c>
    </row>
    <row r="660" spans="1:12" x14ac:dyDescent="0.25">
      <c r="A660" t="str">
        <f t="shared" si="139"/>
        <v>89301000</v>
      </c>
      <c r="B660" t="str">
        <f t="shared" si="140"/>
        <v>89895000</v>
      </c>
      <c r="C660" t="str">
        <f t="shared" si="141"/>
        <v>89895002</v>
      </c>
      <c r="D660" t="str">
        <f t="shared" si="142"/>
        <v>809</v>
      </c>
      <c r="E660" t="str">
        <f t="shared" si="143"/>
        <v>89301212</v>
      </c>
      <c r="F660" t="str">
        <f>"6451190713"</f>
        <v>6451190713</v>
      </c>
      <c r="G660" s="1">
        <v>44589</v>
      </c>
      <c r="H660" t="str">
        <f>"89514"</f>
        <v>89514</v>
      </c>
      <c r="I660">
        <v>1</v>
      </c>
      <c r="J660">
        <v>371</v>
      </c>
      <c r="K660">
        <v>0</v>
      </c>
      <c r="L660">
        <v>519.4</v>
      </c>
    </row>
    <row r="661" spans="1:12" x14ac:dyDescent="0.25">
      <c r="A661" t="str">
        <f t="shared" si="139"/>
        <v>89301000</v>
      </c>
      <c r="B661" t="str">
        <f t="shared" si="140"/>
        <v>89895000</v>
      </c>
      <c r="C661" t="str">
        <f t="shared" si="141"/>
        <v>89895002</v>
      </c>
      <c r="D661" t="str">
        <f t="shared" si="142"/>
        <v>809</v>
      </c>
      <c r="E661" t="str">
        <f t="shared" si="143"/>
        <v>89301212</v>
      </c>
      <c r="F661" t="str">
        <f>"6458160852"</f>
        <v>6458160852</v>
      </c>
      <c r="G661" s="1">
        <v>44566</v>
      </c>
      <c r="H661" t="str">
        <f>"89513"</f>
        <v>89513</v>
      </c>
      <c r="I661">
        <v>1</v>
      </c>
      <c r="J661">
        <v>371</v>
      </c>
      <c r="K661">
        <v>0</v>
      </c>
      <c r="L661">
        <v>519.4</v>
      </c>
    </row>
    <row r="662" spans="1:12" x14ac:dyDescent="0.25">
      <c r="A662" t="str">
        <f t="shared" si="139"/>
        <v>89301000</v>
      </c>
      <c r="B662" t="str">
        <f t="shared" si="140"/>
        <v>89895000</v>
      </c>
      <c r="C662" t="str">
        <f t="shared" si="141"/>
        <v>89895002</v>
      </c>
      <c r="D662" t="str">
        <f t="shared" si="142"/>
        <v>809</v>
      </c>
      <c r="E662" t="str">
        <f t="shared" si="143"/>
        <v>89301212</v>
      </c>
      <c r="F662" t="str">
        <f>"6458160852"</f>
        <v>6458160852</v>
      </c>
      <c r="G662" s="1">
        <v>44566</v>
      </c>
      <c r="H662" t="str">
        <f>"89514"</f>
        <v>89514</v>
      </c>
      <c r="I662">
        <v>1</v>
      </c>
      <c r="J662">
        <v>371</v>
      </c>
      <c r="K662">
        <v>0</v>
      </c>
      <c r="L662">
        <v>519.4</v>
      </c>
    </row>
    <row r="663" spans="1:12" x14ac:dyDescent="0.25">
      <c r="A663" t="str">
        <f t="shared" si="139"/>
        <v>89301000</v>
      </c>
      <c r="B663" t="str">
        <f t="shared" si="140"/>
        <v>89895000</v>
      </c>
      <c r="C663" t="str">
        <f t="shared" si="141"/>
        <v>89895002</v>
      </c>
      <c r="D663" t="str">
        <f t="shared" si="142"/>
        <v>809</v>
      </c>
      <c r="E663" t="str">
        <f t="shared" si="143"/>
        <v>89301212</v>
      </c>
      <c r="F663" t="str">
        <f>"6555041625"</f>
        <v>6555041625</v>
      </c>
      <c r="G663" s="1">
        <v>44573</v>
      </c>
      <c r="H663" t="str">
        <f>"89180"</f>
        <v>89180</v>
      </c>
      <c r="I663">
        <v>2</v>
      </c>
      <c r="J663">
        <v>752</v>
      </c>
      <c r="K663">
        <v>0</v>
      </c>
      <c r="L663">
        <v>1052.8</v>
      </c>
    </row>
    <row r="664" spans="1:12" x14ac:dyDescent="0.25">
      <c r="A664" t="str">
        <f t="shared" si="139"/>
        <v>89301000</v>
      </c>
      <c r="B664" t="str">
        <f t="shared" si="140"/>
        <v>89895000</v>
      </c>
      <c r="C664" t="str">
        <f t="shared" si="141"/>
        <v>89895002</v>
      </c>
      <c r="D664" t="str">
        <f t="shared" si="142"/>
        <v>809</v>
      </c>
      <c r="E664" t="str">
        <f t="shared" si="143"/>
        <v>89301212</v>
      </c>
      <c r="F664" t="str">
        <f>"7054234462"</f>
        <v>7054234462</v>
      </c>
      <c r="G664" s="1">
        <v>44568</v>
      </c>
      <c r="H664" t="str">
        <f>"89180"</f>
        <v>89180</v>
      </c>
      <c r="I664">
        <v>2</v>
      </c>
      <c r="J664">
        <v>752</v>
      </c>
      <c r="K664">
        <v>0</v>
      </c>
      <c r="L664">
        <v>1052.8</v>
      </c>
    </row>
    <row r="665" spans="1:12" x14ac:dyDescent="0.25">
      <c r="A665" t="str">
        <f t="shared" si="139"/>
        <v>89301000</v>
      </c>
      <c r="B665" t="str">
        <f t="shared" si="140"/>
        <v>89895000</v>
      </c>
      <c r="C665" t="str">
        <f t="shared" si="141"/>
        <v>89895002</v>
      </c>
      <c r="D665" t="str">
        <f t="shared" si="142"/>
        <v>809</v>
      </c>
      <c r="E665" t="str">
        <f t="shared" si="143"/>
        <v>89301212</v>
      </c>
      <c r="F665" t="str">
        <f>"7054234462"</f>
        <v>7054234462</v>
      </c>
      <c r="G665" s="1">
        <v>44568</v>
      </c>
      <c r="H665" t="str">
        <f>"89512"</f>
        <v>89512</v>
      </c>
      <c r="I665">
        <v>1</v>
      </c>
      <c r="J665">
        <v>277</v>
      </c>
      <c r="K665">
        <v>0</v>
      </c>
      <c r="L665">
        <v>387.8</v>
      </c>
    </row>
    <row r="666" spans="1:12" x14ac:dyDescent="0.25">
      <c r="A666" t="str">
        <f t="shared" si="139"/>
        <v>89301000</v>
      </c>
      <c r="B666" t="str">
        <f t="shared" si="140"/>
        <v>89895000</v>
      </c>
      <c r="C666" t="str">
        <f t="shared" si="141"/>
        <v>89895002</v>
      </c>
      <c r="D666" t="str">
        <f t="shared" si="142"/>
        <v>809</v>
      </c>
      <c r="E666" t="str">
        <f t="shared" si="143"/>
        <v>89301212</v>
      </c>
      <c r="F666" t="str">
        <f>"7054234462"</f>
        <v>7054234462</v>
      </c>
      <c r="G666" s="1">
        <v>44568</v>
      </c>
      <c r="H666" t="str">
        <f>"89513"</f>
        <v>89513</v>
      </c>
      <c r="I666">
        <v>1</v>
      </c>
      <c r="J666">
        <v>371</v>
      </c>
      <c r="K666">
        <v>0</v>
      </c>
      <c r="L666">
        <v>519.4</v>
      </c>
    </row>
    <row r="667" spans="1:12" x14ac:dyDescent="0.25">
      <c r="A667" t="str">
        <f t="shared" si="139"/>
        <v>89301000</v>
      </c>
      <c r="B667" t="str">
        <f t="shared" si="140"/>
        <v>89895000</v>
      </c>
      <c r="C667" t="str">
        <f t="shared" si="141"/>
        <v>89895002</v>
      </c>
      <c r="D667" t="str">
        <f t="shared" si="142"/>
        <v>809</v>
      </c>
      <c r="E667" t="str">
        <f t="shared" si="143"/>
        <v>89301212</v>
      </c>
      <c r="F667" t="str">
        <f>"7054234462"</f>
        <v>7054234462</v>
      </c>
      <c r="G667" s="1">
        <v>44568</v>
      </c>
      <c r="H667" t="str">
        <f>"89514"</f>
        <v>89514</v>
      </c>
      <c r="I667">
        <v>1</v>
      </c>
      <c r="J667">
        <v>371</v>
      </c>
      <c r="K667">
        <v>0</v>
      </c>
      <c r="L667">
        <v>519.4</v>
      </c>
    </row>
    <row r="668" spans="1:12" x14ac:dyDescent="0.25">
      <c r="A668" t="str">
        <f t="shared" si="139"/>
        <v>89301000</v>
      </c>
      <c r="B668" t="str">
        <f t="shared" si="140"/>
        <v>89895000</v>
      </c>
      <c r="C668" t="str">
        <f t="shared" si="141"/>
        <v>89895002</v>
      </c>
      <c r="D668" t="str">
        <f t="shared" si="142"/>
        <v>809</v>
      </c>
      <c r="E668" t="str">
        <f t="shared" si="143"/>
        <v>89301212</v>
      </c>
      <c r="F668" t="str">
        <f>"7262264460"</f>
        <v>7262264460</v>
      </c>
      <c r="G668" s="1">
        <v>44588</v>
      </c>
      <c r="H668" t="str">
        <f>"89513"</f>
        <v>89513</v>
      </c>
      <c r="I668">
        <v>1</v>
      </c>
      <c r="J668">
        <v>371</v>
      </c>
      <c r="K668">
        <v>0</v>
      </c>
      <c r="L668">
        <v>519.4</v>
      </c>
    </row>
    <row r="669" spans="1:12" x14ac:dyDescent="0.25">
      <c r="A669" t="str">
        <f t="shared" si="139"/>
        <v>89301000</v>
      </c>
      <c r="B669" t="str">
        <f t="shared" si="140"/>
        <v>89895000</v>
      </c>
      <c r="C669" t="str">
        <f t="shared" si="141"/>
        <v>89895002</v>
      </c>
      <c r="D669" t="str">
        <f t="shared" si="142"/>
        <v>809</v>
      </c>
      <c r="E669" t="str">
        <f t="shared" si="143"/>
        <v>89301212</v>
      </c>
      <c r="F669" t="str">
        <f>"7262264460"</f>
        <v>7262264460</v>
      </c>
      <c r="G669" s="1">
        <v>44588</v>
      </c>
      <c r="H669" t="str">
        <f>"89514"</f>
        <v>89514</v>
      </c>
      <c r="I669">
        <v>1</v>
      </c>
      <c r="J669">
        <v>371</v>
      </c>
      <c r="K669">
        <v>0</v>
      </c>
      <c r="L669">
        <v>519.4</v>
      </c>
    </row>
    <row r="670" spans="1:12" x14ac:dyDescent="0.25">
      <c r="A670" t="str">
        <f t="shared" si="139"/>
        <v>89301000</v>
      </c>
      <c r="B670" t="str">
        <f t="shared" si="140"/>
        <v>89895000</v>
      </c>
      <c r="C670" t="str">
        <f t="shared" si="141"/>
        <v>89895002</v>
      </c>
      <c r="D670" t="str">
        <f t="shared" si="142"/>
        <v>809</v>
      </c>
      <c r="E670" t="str">
        <f t="shared" si="143"/>
        <v>89301212</v>
      </c>
      <c r="F670" t="str">
        <f>"7558165318"</f>
        <v>7558165318</v>
      </c>
      <c r="G670" s="1">
        <v>44571</v>
      </c>
      <c r="H670" t="str">
        <f>"89180"</f>
        <v>89180</v>
      </c>
      <c r="I670">
        <v>2</v>
      </c>
      <c r="J670">
        <v>752</v>
      </c>
      <c r="K670">
        <v>0</v>
      </c>
      <c r="L670">
        <v>1052.8</v>
      </c>
    </row>
    <row r="671" spans="1:12" x14ac:dyDescent="0.25">
      <c r="A671" t="str">
        <f t="shared" si="139"/>
        <v>89301000</v>
      </c>
      <c r="B671" t="str">
        <f t="shared" si="140"/>
        <v>89895000</v>
      </c>
      <c r="C671" t="str">
        <f t="shared" si="141"/>
        <v>89895002</v>
      </c>
      <c r="D671" t="str">
        <f t="shared" si="142"/>
        <v>809</v>
      </c>
      <c r="E671" t="str">
        <f t="shared" si="143"/>
        <v>89301212</v>
      </c>
      <c r="F671" t="str">
        <f>"7558165318"</f>
        <v>7558165318</v>
      </c>
      <c r="G671" s="1">
        <v>44574</v>
      </c>
      <c r="H671" t="str">
        <f>"89513"</f>
        <v>89513</v>
      </c>
      <c r="I671">
        <v>1</v>
      </c>
      <c r="J671">
        <v>371</v>
      </c>
      <c r="K671">
        <v>0</v>
      </c>
      <c r="L671">
        <v>519.4</v>
      </c>
    </row>
    <row r="672" spans="1:12" x14ac:dyDescent="0.25">
      <c r="A672" t="str">
        <f t="shared" si="139"/>
        <v>89301000</v>
      </c>
      <c r="B672" t="str">
        <f t="shared" si="140"/>
        <v>89895000</v>
      </c>
      <c r="C672" t="str">
        <f t="shared" si="141"/>
        <v>89895002</v>
      </c>
      <c r="D672" t="str">
        <f t="shared" si="142"/>
        <v>809</v>
      </c>
      <c r="E672" t="str">
        <f t="shared" si="143"/>
        <v>89301212</v>
      </c>
      <c r="F672" t="str">
        <f>"7558165318"</f>
        <v>7558165318</v>
      </c>
      <c r="G672" s="1">
        <v>44574</v>
      </c>
      <c r="H672" t="str">
        <f>"89514"</f>
        <v>89514</v>
      </c>
      <c r="I672">
        <v>1</v>
      </c>
      <c r="J672">
        <v>371</v>
      </c>
      <c r="K672">
        <v>0</v>
      </c>
      <c r="L672">
        <v>519.4</v>
      </c>
    </row>
    <row r="673" spans="1:12" x14ac:dyDescent="0.25">
      <c r="A673" t="str">
        <f t="shared" si="139"/>
        <v>89301000</v>
      </c>
      <c r="B673" t="str">
        <f t="shared" si="140"/>
        <v>89895000</v>
      </c>
      <c r="C673" t="str">
        <f t="shared" si="141"/>
        <v>89895002</v>
      </c>
      <c r="D673" t="str">
        <f t="shared" si="142"/>
        <v>809</v>
      </c>
      <c r="E673" t="str">
        <f t="shared" si="143"/>
        <v>89301212</v>
      </c>
      <c r="F673" t="str">
        <f t="shared" ref="F673:F678" si="144">"7653245303"</f>
        <v>7653245303</v>
      </c>
      <c r="G673" s="1">
        <v>44566</v>
      </c>
      <c r="H673" t="str">
        <f>"89513"</f>
        <v>89513</v>
      </c>
      <c r="I673">
        <v>1</v>
      </c>
      <c r="J673">
        <v>371</v>
      </c>
      <c r="K673">
        <v>0</v>
      </c>
      <c r="L673">
        <v>519.4</v>
      </c>
    </row>
    <row r="674" spans="1:12" x14ac:dyDescent="0.25">
      <c r="A674" t="str">
        <f t="shared" si="139"/>
        <v>89301000</v>
      </c>
      <c r="B674" t="str">
        <f t="shared" si="140"/>
        <v>89895000</v>
      </c>
      <c r="C674" t="str">
        <f t="shared" si="141"/>
        <v>89895002</v>
      </c>
      <c r="D674" t="str">
        <f t="shared" si="142"/>
        <v>809</v>
      </c>
      <c r="E674" t="str">
        <f t="shared" si="143"/>
        <v>89301212</v>
      </c>
      <c r="F674" t="str">
        <f t="shared" si="144"/>
        <v>7653245303</v>
      </c>
      <c r="G674" s="1">
        <v>44566</v>
      </c>
      <c r="H674" t="str">
        <f>"89514"</f>
        <v>89514</v>
      </c>
      <c r="I674">
        <v>1</v>
      </c>
      <c r="J674">
        <v>371</v>
      </c>
      <c r="K674">
        <v>0</v>
      </c>
      <c r="L674">
        <v>519.4</v>
      </c>
    </row>
    <row r="675" spans="1:12" x14ac:dyDescent="0.25">
      <c r="A675" t="str">
        <f t="shared" si="139"/>
        <v>89301000</v>
      </c>
      <c r="B675" t="str">
        <f t="shared" si="140"/>
        <v>89895000</v>
      </c>
      <c r="C675" t="str">
        <f t="shared" si="141"/>
        <v>89895002</v>
      </c>
      <c r="D675" t="str">
        <f t="shared" si="142"/>
        <v>809</v>
      </c>
      <c r="E675" t="str">
        <f t="shared" si="143"/>
        <v>89301212</v>
      </c>
      <c r="F675" t="str">
        <f t="shared" si="144"/>
        <v>7653245303</v>
      </c>
      <c r="G675" s="1">
        <v>44587</v>
      </c>
      <c r="H675" t="str">
        <f>"89180"</f>
        <v>89180</v>
      </c>
      <c r="I675">
        <v>1</v>
      </c>
      <c r="J675">
        <v>376</v>
      </c>
      <c r="K675">
        <v>0</v>
      </c>
      <c r="L675">
        <v>526.4</v>
      </c>
    </row>
    <row r="676" spans="1:12" x14ac:dyDescent="0.25">
      <c r="A676" t="str">
        <f t="shared" si="139"/>
        <v>89301000</v>
      </c>
      <c r="B676" t="str">
        <f t="shared" si="140"/>
        <v>89895000</v>
      </c>
      <c r="C676" t="str">
        <f t="shared" si="141"/>
        <v>89895002</v>
      </c>
      <c r="D676" t="str">
        <f t="shared" si="142"/>
        <v>809</v>
      </c>
      <c r="E676" t="str">
        <f t="shared" si="143"/>
        <v>89301212</v>
      </c>
      <c r="F676" t="str">
        <f t="shared" si="144"/>
        <v>7653245303</v>
      </c>
      <c r="G676" s="1">
        <v>44587</v>
      </c>
      <c r="H676" t="str">
        <f>"89335"</f>
        <v>89335</v>
      </c>
      <c r="I676">
        <v>1</v>
      </c>
      <c r="J676">
        <v>180</v>
      </c>
      <c r="K676">
        <v>0</v>
      </c>
      <c r="L676">
        <v>252</v>
      </c>
    </row>
    <row r="677" spans="1:12" x14ac:dyDescent="0.25">
      <c r="A677" t="str">
        <f t="shared" si="139"/>
        <v>89301000</v>
      </c>
      <c r="B677" t="str">
        <f t="shared" si="140"/>
        <v>89895000</v>
      </c>
      <c r="C677" t="str">
        <f t="shared" si="141"/>
        <v>89895002</v>
      </c>
      <c r="D677" t="str">
        <f t="shared" si="142"/>
        <v>809</v>
      </c>
      <c r="E677" t="str">
        <f t="shared" si="143"/>
        <v>89301212</v>
      </c>
      <c r="F677" t="str">
        <f t="shared" si="144"/>
        <v>7653245303</v>
      </c>
      <c r="G677" s="1">
        <v>44587</v>
      </c>
      <c r="H677" t="str">
        <f>"0000502"</f>
        <v>0000502</v>
      </c>
      <c r="I677">
        <v>0.1</v>
      </c>
      <c r="K677">
        <v>6.97</v>
      </c>
      <c r="L677">
        <v>6.97</v>
      </c>
    </row>
    <row r="678" spans="1:12" x14ac:dyDescent="0.25">
      <c r="A678" t="str">
        <f t="shared" si="139"/>
        <v>89301000</v>
      </c>
      <c r="B678" t="str">
        <f t="shared" si="140"/>
        <v>89895000</v>
      </c>
      <c r="C678" t="str">
        <f t="shared" si="141"/>
        <v>89895002</v>
      </c>
      <c r="D678" t="str">
        <f t="shared" si="142"/>
        <v>809</v>
      </c>
      <c r="E678" t="str">
        <f t="shared" si="143"/>
        <v>89301212</v>
      </c>
      <c r="F678" t="str">
        <f t="shared" si="144"/>
        <v>7653245303</v>
      </c>
      <c r="G678" s="1">
        <v>44587</v>
      </c>
      <c r="H678" t="str">
        <f>"0142867"</f>
        <v>0142867</v>
      </c>
      <c r="I678">
        <v>1</v>
      </c>
      <c r="K678">
        <v>3080</v>
      </c>
      <c r="L678">
        <v>3080</v>
      </c>
    </row>
    <row r="679" spans="1:12" x14ac:dyDescent="0.25">
      <c r="A679" t="str">
        <f t="shared" si="139"/>
        <v>89301000</v>
      </c>
      <c r="B679" t="str">
        <f t="shared" si="140"/>
        <v>89895000</v>
      </c>
      <c r="C679" t="str">
        <f t="shared" si="141"/>
        <v>89895002</v>
      </c>
      <c r="D679" t="str">
        <f t="shared" si="142"/>
        <v>809</v>
      </c>
      <c r="E679" t="str">
        <f t="shared" si="143"/>
        <v>89301212</v>
      </c>
      <c r="F679" t="str">
        <f>"8153065338"</f>
        <v>8153065338</v>
      </c>
      <c r="G679" s="1">
        <v>44565</v>
      </c>
      <c r="H679" t="str">
        <f>"89513"</f>
        <v>89513</v>
      </c>
      <c r="I679">
        <v>1</v>
      </c>
      <c r="J679">
        <v>371</v>
      </c>
      <c r="K679">
        <v>0</v>
      </c>
      <c r="L679">
        <v>519.4</v>
      </c>
    </row>
    <row r="680" spans="1:12" x14ac:dyDescent="0.25">
      <c r="A680" t="str">
        <f t="shared" si="139"/>
        <v>89301000</v>
      </c>
      <c r="B680" t="str">
        <f t="shared" si="140"/>
        <v>89895000</v>
      </c>
      <c r="C680" t="str">
        <f t="shared" si="141"/>
        <v>89895002</v>
      </c>
      <c r="D680" t="str">
        <f t="shared" si="142"/>
        <v>809</v>
      </c>
      <c r="E680" t="str">
        <f t="shared" si="143"/>
        <v>89301212</v>
      </c>
      <c r="F680" t="str">
        <f>"8153065338"</f>
        <v>8153065338</v>
      </c>
      <c r="G680" s="1">
        <v>44565</v>
      </c>
      <c r="H680" t="str">
        <f>"89512"</f>
        <v>89512</v>
      </c>
      <c r="I680">
        <v>1</v>
      </c>
      <c r="J680">
        <v>277</v>
      </c>
      <c r="K680">
        <v>0</v>
      </c>
      <c r="L680">
        <v>387.8</v>
      </c>
    </row>
    <row r="681" spans="1:12" x14ac:dyDescent="0.25">
      <c r="A681" t="str">
        <f t="shared" si="139"/>
        <v>89301000</v>
      </c>
      <c r="B681" t="str">
        <f t="shared" si="140"/>
        <v>89895000</v>
      </c>
      <c r="C681" t="str">
        <f t="shared" si="141"/>
        <v>89895002</v>
      </c>
      <c r="D681" t="str">
        <f t="shared" si="142"/>
        <v>809</v>
      </c>
      <c r="E681" t="str">
        <f t="shared" si="143"/>
        <v>89301212</v>
      </c>
      <c r="F681" t="str">
        <f>"8153065338"</f>
        <v>8153065338</v>
      </c>
      <c r="G681" s="1">
        <v>44565</v>
      </c>
      <c r="H681" t="str">
        <f>"89514"</f>
        <v>89514</v>
      </c>
      <c r="I681">
        <v>1</v>
      </c>
      <c r="J681">
        <v>371</v>
      </c>
      <c r="K681">
        <v>0</v>
      </c>
      <c r="L681">
        <v>519.4</v>
      </c>
    </row>
    <row r="682" spans="1:12" x14ac:dyDescent="0.25">
      <c r="A682" t="str">
        <f t="shared" si="139"/>
        <v>89301000</v>
      </c>
      <c r="B682" t="str">
        <f t="shared" ref="B682:B713" si="145">"89383000"</f>
        <v>89383000</v>
      </c>
      <c r="C682" t="str">
        <f t="shared" ref="C682:C713" si="146">"89383002"</f>
        <v>89383002</v>
      </c>
      <c r="D682" t="str">
        <f t="shared" si="142"/>
        <v>809</v>
      </c>
      <c r="E682" t="str">
        <f t="shared" si="143"/>
        <v>89301212</v>
      </c>
      <c r="F682" t="str">
        <f>"6356121695"</f>
        <v>6356121695</v>
      </c>
      <c r="G682" s="1">
        <v>44565</v>
      </c>
      <c r="H682" t="str">
        <f>"89513"</f>
        <v>89513</v>
      </c>
      <c r="I682">
        <v>1</v>
      </c>
      <c r="J682">
        <v>371</v>
      </c>
      <c r="K682">
        <v>0</v>
      </c>
      <c r="L682">
        <v>519.4</v>
      </c>
    </row>
    <row r="683" spans="1:12" x14ac:dyDescent="0.25">
      <c r="A683" t="str">
        <f t="shared" si="139"/>
        <v>89301000</v>
      </c>
      <c r="B683" t="str">
        <f t="shared" si="145"/>
        <v>89383000</v>
      </c>
      <c r="C683" t="str">
        <f t="shared" si="146"/>
        <v>89383002</v>
      </c>
      <c r="D683" t="str">
        <f t="shared" si="142"/>
        <v>809</v>
      </c>
      <c r="E683" t="str">
        <f t="shared" si="143"/>
        <v>89301212</v>
      </c>
      <c r="F683" t="str">
        <f>"6356121695"</f>
        <v>6356121695</v>
      </c>
      <c r="G683" s="1">
        <v>44565</v>
      </c>
      <c r="H683" t="str">
        <f>"89514"</f>
        <v>89514</v>
      </c>
      <c r="I683">
        <v>1</v>
      </c>
      <c r="J683">
        <v>371</v>
      </c>
      <c r="K683">
        <v>0</v>
      </c>
      <c r="L683">
        <v>519.4</v>
      </c>
    </row>
    <row r="684" spans="1:12" x14ac:dyDescent="0.25">
      <c r="A684" t="str">
        <f t="shared" si="139"/>
        <v>89301000</v>
      </c>
      <c r="B684" t="str">
        <f t="shared" si="145"/>
        <v>89383000</v>
      </c>
      <c r="C684" t="str">
        <f t="shared" si="146"/>
        <v>89383002</v>
      </c>
      <c r="D684" t="str">
        <f t="shared" si="142"/>
        <v>809</v>
      </c>
      <c r="E684" t="str">
        <f t="shared" si="143"/>
        <v>89301212</v>
      </c>
      <c r="F684" t="str">
        <f>"505620157"</f>
        <v>505620157</v>
      </c>
      <c r="G684" s="1">
        <v>44565</v>
      </c>
      <c r="H684" t="str">
        <f>"89512"</f>
        <v>89512</v>
      </c>
      <c r="I684">
        <v>1</v>
      </c>
      <c r="J684">
        <v>277</v>
      </c>
      <c r="K684">
        <v>0</v>
      </c>
      <c r="L684">
        <v>387.8</v>
      </c>
    </row>
    <row r="685" spans="1:12" x14ac:dyDescent="0.25">
      <c r="A685" t="str">
        <f t="shared" si="139"/>
        <v>89301000</v>
      </c>
      <c r="B685" t="str">
        <f t="shared" si="145"/>
        <v>89383000</v>
      </c>
      <c r="C685" t="str">
        <f t="shared" si="146"/>
        <v>89383002</v>
      </c>
      <c r="D685" t="str">
        <f t="shared" si="142"/>
        <v>809</v>
      </c>
      <c r="E685" t="str">
        <f t="shared" si="143"/>
        <v>89301212</v>
      </c>
      <c r="F685" t="str">
        <f>"6456211740"</f>
        <v>6456211740</v>
      </c>
      <c r="G685" s="1">
        <v>44565</v>
      </c>
      <c r="H685" t="str">
        <f>"89512"</f>
        <v>89512</v>
      </c>
      <c r="I685">
        <v>1</v>
      </c>
      <c r="J685">
        <v>277</v>
      </c>
      <c r="K685">
        <v>0</v>
      </c>
      <c r="L685">
        <v>387.8</v>
      </c>
    </row>
    <row r="686" spans="1:12" x14ac:dyDescent="0.25">
      <c r="A686" t="str">
        <f t="shared" si="139"/>
        <v>89301000</v>
      </c>
      <c r="B686" t="str">
        <f t="shared" si="145"/>
        <v>89383000</v>
      </c>
      <c r="C686" t="str">
        <f t="shared" si="146"/>
        <v>89383002</v>
      </c>
      <c r="D686" t="str">
        <f t="shared" si="142"/>
        <v>809</v>
      </c>
      <c r="E686" t="str">
        <f t="shared" si="143"/>
        <v>89301212</v>
      </c>
      <c r="F686" t="str">
        <f>"8251145342"</f>
        <v>8251145342</v>
      </c>
      <c r="G686" s="1">
        <v>44565</v>
      </c>
      <c r="H686" t="str">
        <f>"89180"</f>
        <v>89180</v>
      </c>
      <c r="I686">
        <v>1</v>
      </c>
      <c r="J686">
        <v>376</v>
      </c>
      <c r="K686">
        <v>0</v>
      </c>
      <c r="L686">
        <v>526.4</v>
      </c>
    </row>
    <row r="687" spans="1:12" x14ac:dyDescent="0.25">
      <c r="A687" t="str">
        <f t="shared" si="139"/>
        <v>89301000</v>
      </c>
      <c r="B687" t="str">
        <f t="shared" si="145"/>
        <v>89383000</v>
      </c>
      <c r="C687" t="str">
        <f t="shared" si="146"/>
        <v>89383002</v>
      </c>
      <c r="D687" t="str">
        <f t="shared" ref="D687:D718" si="147">"809"</f>
        <v>809</v>
      </c>
      <c r="E687" t="str">
        <f t="shared" si="143"/>
        <v>89301212</v>
      </c>
      <c r="F687" t="str">
        <f>"8251145342"</f>
        <v>8251145342</v>
      </c>
      <c r="G687" s="1">
        <v>44565</v>
      </c>
      <c r="H687" t="str">
        <f>"89512"</f>
        <v>89512</v>
      </c>
      <c r="I687">
        <v>1</v>
      </c>
      <c r="J687">
        <v>277</v>
      </c>
      <c r="K687">
        <v>0</v>
      </c>
      <c r="L687">
        <v>387.8</v>
      </c>
    </row>
    <row r="688" spans="1:12" x14ac:dyDescent="0.25">
      <c r="A688" t="str">
        <f t="shared" si="139"/>
        <v>89301000</v>
      </c>
      <c r="B688" t="str">
        <f t="shared" si="145"/>
        <v>89383000</v>
      </c>
      <c r="C688" t="str">
        <f t="shared" si="146"/>
        <v>89383002</v>
      </c>
      <c r="D688" t="str">
        <f t="shared" si="147"/>
        <v>809</v>
      </c>
      <c r="E688" t="str">
        <f t="shared" si="143"/>
        <v>89301212</v>
      </c>
      <c r="F688" t="str">
        <f>"5557231405"</f>
        <v>5557231405</v>
      </c>
      <c r="G688" s="1">
        <v>44566</v>
      </c>
      <c r="H688" t="str">
        <f>"89512"</f>
        <v>89512</v>
      </c>
      <c r="I688">
        <v>1</v>
      </c>
      <c r="J688">
        <v>277</v>
      </c>
      <c r="K688">
        <v>0</v>
      </c>
      <c r="L688">
        <v>387.8</v>
      </c>
    </row>
    <row r="689" spans="1:12" x14ac:dyDescent="0.25">
      <c r="A689" t="str">
        <f t="shared" si="139"/>
        <v>89301000</v>
      </c>
      <c r="B689" t="str">
        <f t="shared" si="145"/>
        <v>89383000</v>
      </c>
      <c r="C689" t="str">
        <f t="shared" si="146"/>
        <v>89383002</v>
      </c>
      <c r="D689" t="str">
        <f t="shared" si="147"/>
        <v>809</v>
      </c>
      <c r="E689" t="str">
        <f t="shared" si="143"/>
        <v>89301212</v>
      </c>
      <c r="F689" t="str">
        <f>"395609437"</f>
        <v>395609437</v>
      </c>
      <c r="G689" s="1">
        <v>44567</v>
      </c>
      <c r="H689" t="str">
        <f>"89180"</f>
        <v>89180</v>
      </c>
      <c r="I689">
        <v>1</v>
      </c>
      <c r="J689">
        <v>376</v>
      </c>
      <c r="K689">
        <v>0</v>
      </c>
      <c r="L689">
        <v>526.4</v>
      </c>
    </row>
    <row r="690" spans="1:12" x14ac:dyDescent="0.25">
      <c r="A690" t="str">
        <f t="shared" si="139"/>
        <v>89301000</v>
      </c>
      <c r="B690" t="str">
        <f t="shared" si="145"/>
        <v>89383000</v>
      </c>
      <c r="C690" t="str">
        <f t="shared" si="146"/>
        <v>89383002</v>
      </c>
      <c r="D690" t="str">
        <f t="shared" si="147"/>
        <v>809</v>
      </c>
      <c r="E690" t="str">
        <f t="shared" si="143"/>
        <v>89301212</v>
      </c>
      <c r="F690" t="str">
        <f>"395609437"</f>
        <v>395609437</v>
      </c>
      <c r="G690" s="1">
        <v>44567</v>
      </c>
      <c r="H690" t="str">
        <f>"89512"</f>
        <v>89512</v>
      </c>
      <c r="I690">
        <v>1</v>
      </c>
      <c r="J690">
        <v>277</v>
      </c>
      <c r="K690">
        <v>0</v>
      </c>
      <c r="L690">
        <v>387.8</v>
      </c>
    </row>
    <row r="691" spans="1:12" x14ac:dyDescent="0.25">
      <c r="A691" t="str">
        <f t="shared" si="139"/>
        <v>89301000</v>
      </c>
      <c r="B691" t="str">
        <f t="shared" si="145"/>
        <v>89383000</v>
      </c>
      <c r="C691" t="str">
        <f t="shared" si="146"/>
        <v>89383002</v>
      </c>
      <c r="D691" t="str">
        <f t="shared" si="147"/>
        <v>809</v>
      </c>
      <c r="E691" t="str">
        <f t="shared" si="143"/>
        <v>89301212</v>
      </c>
      <c r="F691" t="str">
        <f>"7351235331"</f>
        <v>7351235331</v>
      </c>
      <c r="G691" s="1">
        <v>44567</v>
      </c>
      <c r="H691" t="str">
        <f>"89512"</f>
        <v>89512</v>
      </c>
      <c r="I691">
        <v>1</v>
      </c>
      <c r="J691">
        <v>277</v>
      </c>
      <c r="K691">
        <v>0</v>
      </c>
      <c r="L691">
        <v>387.8</v>
      </c>
    </row>
    <row r="692" spans="1:12" x14ac:dyDescent="0.25">
      <c r="A692" t="str">
        <f t="shared" si="139"/>
        <v>89301000</v>
      </c>
      <c r="B692" t="str">
        <f t="shared" si="145"/>
        <v>89383000</v>
      </c>
      <c r="C692" t="str">
        <f t="shared" si="146"/>
        <v>89383002</v>
      </c>
      <c r="D692" t="str">
        <f t="shared" si="147"/>
        <v>809</v>
      </c>
      <c r="E692" t="str">
        <f>"89301215"</f>
        <v>89301215</v>
      </c>
      <c r="F692" t="str">
        <f>"415530422"</f>
        <v>415530422</v>
      </c>
      <c r="G692" s="1">
        <v>44568</v>
      </c>
      <c r="H692" t="str">
        <f>"89512"</f>
        <v>89512</v>
      </c>
      <c r="I692">
        <v>1</v>
      </c>
      <c r="J692">
        <v>277</v>
      </c>
      <c r="K692">
        <v>0</v>
      </c>
      <c r="L692">
        <v>387.8</v>
      </c>
    </row>
    <row r="693" spans="1:12" x14ac:dyDescent="0.25">
      <c r="A693" t="str">
        <f t="shared" si="139"/>
        <v>89301000</v>
      </c>
      <c r="B693" t="str">
        <f t="shared" si="145"/>
        <v>89383000</v>
      </c>
      <c r="C693" t="str">
        <f t="shared" si="146"/>
        <v>89383002</v>
      </c>
      <c r="D693" t="str">
        <f t="shared" si="147"/>
        <v>809</v>
      </c>
      <c r="E693" t="str">
        <f t="shared" ref="E693:E711" si="148">"89301212"</f>
        <v>89301212</v>
      </c>
      <c r="F693" t="str">
        <f>"6053030896"</f>
        <v>6053030896</v>
      </c>
      <c r="G693" s="1">
        <v>44571</v>
      </c>
      <c r="H693" t="str">
        <f>"89512"</f>
        <v>89512</v>
      </c>
      <c r="I693">
        <v>1</v>
      </c>
      <c r="J693">
        <v>277</v>
      </c>
      <c r="K693">
        <v>0</v>
      </c>
      <c r="L693">
        <v>387.8</v>
      </c>
    </row>
    <row r="694" spans="1:12" x14ac:dyDescent="0.25">
      <c r="A694" t="str">
        <f t="shared" si="139"/>
        <v>89301000</v>
      </c>
      <c r="B694" t="str">
        <f t="shared" si="145"/>
        <v>89383000</v>
      </c>
      <c r="C694" t="str">
        <f t="shared" si="146"/>
        <v>89383002</v>
      </c>
      <c r="D694" t="str">
        <f t="shared" si="147"/>
        <v>809</v>
      </c>
      <c r="E694" t="str">
        <f t="shared" si="148"/>
        <v>89301212</v>
      </c>
      <c r="F694" t="str">
        <f>"7958144403"</f>
        <v>7958144403</v>
      </c>
      <c r="G694" s="1">
        <v>44571</v>
      </c>
      <c r="H694" t="str">
        <f>"89180"</f>
        <v>89180</v>
      </c>
      <c r="I694">
        <v>2</v>
      </c>
      <c r="J694">
        <v>752</v>
      </c>
      <c r="K694">
        <v>0</v>
      </c>
      <c r="L694">
        <v>1052.8</v>
      </c>
    </row>
    <row r="695" spans="1:12" x14ac:dyDescent="0.25">
      <c r="A695" t="str">
        <f t="shared" si="139"/>
        <v>89301000</v>
      </c>
      <c r="B695" t="str">
        <f t="shared" si="145"/>
        <v>89383000</v>
      </c>
      <c r="C695" t="str">
        <f t="shared" si="146"/>
        <v>89383002</v>
      </c>
      <c r="D695" t="str">
        <f t="shared" si="147"/>
        <v>809</v>
      </c>
      <c r="E695" t="str">
        <f t="shared" si="148"/>
        <v>89301212</v>
      </c>
      <c r="F695" t="str">
        <f>"7958144403"</f>
        <v>7958144403</v>
      </c>
      <c r="G695" s="1">
        <v>44571</v>
      </c>
      <c r="H695" t="str">
        <f>"89512"</f>
        <v>89512</v>
      </c>
      <c r="I695">
        <v>1</v>
      </c>
      <c r="J695">
        <v>277</v>
      </c>
      <c r="K695">
        <v>0</v>
      </c>
      <c r="L695">
        <v>387.8</v>
      </c>
    </row>
    <row r="696" spans="1:12" x14ac:dyDescent="0.25">
      <c r="A696" t="str">
        <f t="shared" si="139"/>
        <v>89301000</v>
      </c>
      <c r="B696" t="str">
        <f t="shared" si="145"/>
        <v>89383000</v>
      </c>
      <c r="C696" t="str">
        <f t="shared" si="146"/>
        <v>89383002</v>
      </c>
      <c r="D696" t="str">
        <f t="shared" si="147"/>
        <v>809</v>
      </c>
      <c r="E696" t="str">
        <f t="shared" si="148"/>
        <v>89301212</v>
      </c>
      <c r="F696" t="str">
        <f>"375322446"</f>
        <v>375322446</v>
      </c>
      <c r="G696" s="1">
        <v>44572</v>
      </c>
      <c r="H696" t="str">
        <f>"89180"</f>
        <v>89180</v>
      </c>
      <c r="I696">
        <v>2</v>
      </c>
      <c r="J696">
        <v>752</v>
      </c>
      <c r="K696">
        <v>0</v>
      </c>
      <c r="L696">
        <v>1052.8</v>
      </c>
    </row>
    <row r="697" spans="1:12" x14ac:dyDescent="0.25">
      <c r="A697" t="str">
        <f t="shared" si="139"/>
        <v>89301000</v>
      </c>
      <c r="B697" t="str">
        <f t="shared" si="145"/>
        <v>89383000</v>
      </c>
      <c r="C697" t="str">
        <f t="shared" si="146"/>
        <v>89383002</v>
      </c>
      <c r="D697" t="str">
        <f t="shared" si="147"/>
        <v>809</v>
      </c>
      <c r="E697" t="str">
        <f t="shared" si="148"/>
        <v>89301212</v>
      </c>
      <c r="F697" t="str">
        <f>"375322446"</f>
        <v>375322446</v>
      </c>
      <c r="G697" s="1">
        <v>44572</v>
      </c>
      <c r="H697" t="str">
        <f>"89512"</f>
        <v>89512</v>
      </c>
      <c r="I697">
        <v>1</v>
      </c>
      <c r="J697">
        <v>277</v>
      </c>
      <c r="K697">
        <v>0</v>
      </c>
      <c r="L697">
        <v>387.8</v>
      </c>
    </row>
    <row r="698" spans="1:12" x14ac:dyDescent="0.25">
      <c r="A698" t="str">
        <f t="shared" si="139"/>
        <v>89301000</v>
      </c>
      <c r="B698" t="str">
        <f t="shared" si="145"/>
        <v>89383000</v>
      </c>
      <c r="C698" t="str">
        <f t="shared" si="146"/>
        <v>89383002</v>
      </c>
      <c r="D698" t="str">
        <f t="shared" si="147"/>
        <v>809</v>
      </c>
      <c r="E698" t="str">
        <f t="shared" si="148"/>
        <v>89301212</v>
      </c>
      <c r="F698" t="str">
        <f>"7753194152"</f>
        <v>7753194152</v>
      </c>
      <c r="G698" s="1">
        <v>44572</v>
      </c>
      <c r="H698" t="str">
        <f>"89180"</f>
        <v>89180</v>
      </c>
      <c r="I698">
        <v>1</v>
      </c>
      <c r="J698">
        <v>376</v>
      </c>
      <c r="K698">
        <v>0</v>
      </c>
      <c r="L698">
        <v>526.4</v>
      </c>
    </row>
    <row r="699" spans="1:12" x14ac:dyDescent="0.25">
      <c r="A699" t="str">
        <f t="shared" si="139"/>
        <v>89301000</v>
      </c>
      <c r="B699" t="str">
        <f t="shared" si="145"/>
        <v>89383000</v>
      </c>
      <c r="C699" t="str">
        <f t="shared" si="146"/>
        <v>89383002</v>
      </c>
      <c r="D699" t="str">
        <f t="shared" si="147"/>
        <v>809</v>
      </c>
      <c r="E699" t="str">
        <f t="shared" si="148"/>
        <v>89301212</v>
      </c>
      <c r="F699" t="str">
        <f>"7753194152"</f>
        <v>7753194152</v>
      </c>
      <c r="G699" s="1">
        <v>44572</v>
      </c>
      <c r="H699" t="str">
        <f>"89512"</f>
        <v>89512</v>
      </c>
      <c r="I699">
        <v>1</v>
      </c>
      <c r="J699">
        <v>277</v>
      </c>
      <c r="K699">
        <v>0</v>
      </c>
      <c r="L699">
        <v>387.8</v>
      </c>
    </row>
    <row r="700" spans="1:12" x14ac:dyDescent="0.25">
      <c r="A700" t="str">
        <f t="shared" si="139"/>
        <v>89301000</v>
      </c>
      <c r="B700" t="str">
        <f t="shared" si="145"/>
        <v>89383000</v>
      </c>
      <c r="C700" t="str">
        <f t="shared" si="146"/>
        <v>89383002</v>
      </c>
      <c r="D700" t="str">
        <f t="shared" si="147"/>
        <v>809</v>
      </c>
      <c r="E700" t="str">
        <f t="shared" si="148"/>
        <v>89301212</v>
      </c>
      <c r="F700" t="str">
        <f>"7160155310"</f>
        <v>7160155310</v>
      </c>
      <c r="G700" s="1">
        <v>44573</v>
      </c>
      <c r="H700" t="str">
        <f>"89180"</f>
        <v>89180</v>
      </c>
      <c r="I700">
        <v>2</v>
      </c>
      <c r="J700">
        <v>752</v>
      </c>
      <c r="K700">
        <v>0</v>
      </c>
      <c r="L700">
        <v>1052.8</v>
      </c>
    </row>
    <row r="701" spans="1:12" x14ac:dyDescent="0.25">
      <c r="A701" t="str">
        <f t="shared" si="139"/>
        <v>89301000</v>
      </c>
      <c r="B701" t="str">
        <f t="shared" si="145"/>
        <v>89383000</v>
      </c>
      <c r="C701" t="str">
        <f t="shared" si="146"/>
        <v>89383002</v>
      </c>
      <c r="D701" t="str">
        <f t="shared" si="147"/>
        <v>809</v>
      </c>
      <c r="E701" t="str">
        <f t="shared" si="148"/>
        <v>89301212</v>
      </c>
      <c r="F701" t="str">
        <f>"7160155310"</f>
        <v>7160155310</v>
      </c>
      <c r="G701" s="1">
        <v>44573</v>
      </c>
      <c r="H701" t="str">
        <f>"89512"</f>
        <v>89512</v>
      </c>
      <c r="I701">
        <v>1</v>
      </c>
      <c r="J701">
        <v>277</v>
      </c>
      <c r="K701">
        <v>0</v>
      </c>
      <c r="L701">
        <v>387.8</v>
      </c>
    </row>
    <row r="702" spans="1:12" x14ac:dyDescent="0.25">
      <c r="A702" t="str">
        <f t="shared" si="139"/>
        <v>89301000</v>
      </c>
      <c r="B702" t="str">
        <f t="shared" si="145"/>
        <v>89383000</v>
      </c>
      <c r="C702" t="str">
        <f t="shared" si="146"/>
        <v>89383002</v>
      </c>
      <c r="D702" t="str">
        <f t="shared" si="147"/>
        <v>809</v>
      </c>
      <c r="E702" t="str">
        <f t="shared" si="148"/>
        <v>89301212</v>
      </c>
      <c r="F702" t="str">
        <f>"5853191289"</f>
        <v>5853191289</v>
      </c>
      <c r="G702" s="1">
        <v>44573</v>
      </c>
      <c r="H702" t="str">
        <f>"89343"</f>
        <v>89343</v>
      </c>
      <c r="I702">
        <v>1</v>
      </c>
      <c r="J702">
        <v>4980</v>
      </c>
      <c r="K702">
        <v>0</v>
      </c>
      <c r="L702">
        <v>6972</v>
      </c>
    </row>
    <row r="703" spans="1:12" x14ac:dyDescent="0.25">
      <c r="A703" t="str">
        <f t="shared" si="139"/>
        <v>89301000</v>
      </c>
      <c r="B703" t="str">
        <f t="shared" si="145"/>
        <v>89383000</v>
      </c>
      <c r="C703" t="str">
        <f t="shared" si="146"/>
        <v>89383002</v>
      </c>
      <c r="D703" t="str">
        <f t="shared" si="147"/>
        <v>809</v>
      </c>
      <c r="E703" t="str">
        <f t="shared" si="148"/>
        <v>89301212</v>
      </c>
      <c r="F703" t="str">
        <f>"5853191289"</f>
        <v>5853191289</v>
      </c>
      <c r="G703" s="1">
        <v>44573</v>
      </c>
      <c r="H703" t="str">
        <f>"89512"</f>
        <v>89512</v>
      </c>
      <c r="I703">
        <v>1</v>
      </c>
      <c r="J703">
        <v>277</v>
      </c>
      <c r="K703">
        <v>0</v>
      </c>
      <c r="L703">
        <v>387.8</v>
      </c>
    </row>
    <row r="704" spans="1:12" x14ac:dyDescent="0.25">
      <c r="A704" t="str">
        <f t="shared" si="139"/>
        <v>89301000</v>
      </c>
      <c r="B704" t="str">
        <f t="shared" si="145"/>
        <v>89383000</v>
      </c>
      <c r="C704" t="str">
        <f t="shared" si="146"/>
        <v>89383002</v>
      </c>
      <c r="D704" t="str">
        <f t="shared" si="147"/>
        <v>809</v>
      </c>
      <c r="E704" t="str">
        <f t="shared" si="148"/>
        <v>89301212</v>
      </c>
      <c r="F704" t="str">
        <f>"5853191289"</f>
        <v>5853191289</v>
      </c>
      <c r="G704" s="1">
        <v>44573</v>
      </c>
      <c r="H704" t="str">
        <f>"0225891"</f>
        <v>0225891</v>
      </c>
      <c r="I704">
        <v>0.1</v>
      </c>
      <c r="K704">
        <v>36.770000000000003</v>
      </c>
      <c r="L704">
        <v>36.770000000000003</v>
      </c>
    </row>
    <row r="705" spans="1:12" x14ac:dyDescent="0.25">
      <c r="A705" t="str">
        <f t="shared" si="139"/>
        <v>89301000</v>
      </c>
      <c r="B705" t="str">
        <f t="shared" si="145"/>
        <v>89383000</v>
      </c>
      <c r="C705" t="str">
        <f t="shared" si="146"/>
        <v>89383002</v>
      </c>
      <c r="D705" t="str">
        <f t="shared" si="147"/>
        <v>809</v>
      </c>
      <c r="E705" t="str">
        <f t="shared" si="148"/>
        <v>89301212</v>
      </c>
      <c r="F705" t="str">
        <f>"5853191289"</f>
        <v>5853191289</v>
      </c>
      <c r="G705" s="1">
        <v>44573</v>
      </c>
      <c r="H705" t="str">
        <f>"0006707"</f>
        <v>0006707</v>
      </c>
      <c r="I705">
        <v>1</v>
      </c>
      <c r="K705">
        <v>9783.27</v>
      </c>
      <c r="L705">
        <v>9783.27</v>
      </c>
    </row>
    <row r="706" spans="1:12" x14ac:dyDescent="0.25">
      <c r="A706" t="str">
        <f t="shared" ref="A706:A769" si="149">"89301000"</f>
        <v>89301000</v>
      </c>
      <c r="B706" t="str">
        <f t="shared" si="145"/>
        <v>89383000</v>
      </c>
      <c r="C706" t="str">
        <f t="shared" si="146"/>
        <v>89383002</v>
      </c>
      <c r="D706" t="str">
        <f t="shared" si="147"/>
        <v>809</v>
      </c>
      <c r="E706" t="str">
        <f t="shared" si="148"/>
        <v>89301212</v>
      </c>
      <c r="F706" t="str">
        <f t="shared" ref="F706:F711" si="150">"6356121695"</f>
        <v>6356121695</v>
      </c>
      <c r="G706" s="1">
        <v>44573</v>
      </c>
      <c r="H706" t="str">
        <f>"89343"</f>
        <v>89343</v>
      </c>
      <c r="I706">
        <v>1</v>
      </c>
      <c r="J706">
        <v>4980</v>
      </c>
      <c r="K706">
        <v>0</v>
      </c>
      <c r="L706">
        <v>6972</v>
      </c>
    </row>
    <row r="707" spans="1:12" x14ac:dyDescent="0.25">
      <c r="A707" t="str">
        <f t="shared" si="149"/>
        <v>89301000</v>
      </c>
      <c r="B707" t="str">
        <f t="shared" si="145"/>
        <v>89383000</v>
      </c>
      <c r="C707" t="str">
        <f t="shared" si="146"/>
        <v>89383002</v>
      </c>
      <c r="D707" t="str">
        <f t="shared" si="147"/>
        <v>809</v>
      </c>
      <c r="E707" t="str">
        <f t="shared" si="148"/>
        <v>89301212</v>
      </c>
      <c r="F707" t="str">
        <f t="shared" si="150"/>
        <v>6356121695</v>
      </c>
      <c r="G707" s="1">
        <v>44573</v>
      </c>
      <c r="H707" t="str">
        <f>"89512"</f>
        <v>89512</v>
      </c>
      <c r="I707">
        <v>1</v>
      </c>
      <c r="J707">
        <v>277</v>
      </c>
      <c r="K707">
        <v>0</v>
      </c>
      <c r="L707">
        <v>387.8</v>
      </c>
    </row>
    <row r="708" spans="1:12" x14ac:dyDescent="0.25">
      <c r="A708" t="str">
        <f t="shared" si="149"/>
        <v>89301000</v>
      </c>
      <c r="B708" t="str">
        <f t="shared" si="145"/>
        <v>89383000</v>
      </c>
      <c r="C708" t="str">
        <f t="shared" si="146"/>
        <v>89383002</v>
      </c>
      <c r="D708" t="str">
        <f t="shared" si="147"/>
        <v>809</v>
      </c>
      <c r="E708" t="str">
        <f t="shared" si="148"/>
        <v>89301212</v>
      </c>
      <c r="F708" t="str">
        <f t="shared" si="150"/>
        <v>6356121695</v>
      </c>
      <c r="G708" s="1">
        <v>44573</v>
      </c>
      <c r="H708" t="str">
        <f>"89180"</f>
        <v>89180</v>
      </c>
      <c r="I708">
        <v>1</v>
      </c>
      <c r="J708">
        <v>376</v>
      </c>
      <c r="K708">
        <v>0</v>
      </c>
      <c r="L708">
        <v>526.4</v>
      </c>
    </row>
    <row r="709" spans="1:12" x14ac:dyDescent="0.25">
      <c r="A709" t="str">
        <f t="shared" si="149"/>
        <v>89301000</v>
      </c>
      <c r="B709" t="str">
        <f t="shared" si="145"/>
        <v>89383000</v>
      </c>
      <c r="C709" t="str">
        <f t="shared" si="146"/>
        <v>89383002</v>
      </c>
      <c r="D709" t="str">
        <f t="shared" si="147"/>
        <v>809</v>
      </c>
      <c r="E709" t="str">
        <f t="shared" si="148"/>
        <v>89301212</v>
      </c>
      <c r="F709" t="str">
        <f t="shared" si="150"/>
        <v>6356121695</v>
      </c>
      <c r="G709" s="1">
        <v>44573</v>
      </c>
      <c r="H709" t="str">
        <f>"0225891"</f>
        <v>0225891</v>
      </c>
      <c r="I709">
        <v>0.1</v>
      </c>
      <c r="K709">
        <v>36.770000000000003</v>
      </c>
      <c r="L709">
        <v>36.770000000000003</v>
      </c>
    </row>
    <row r="710" spans="1:12" x14ac:dyDescent="0.25">
      <c r="A710" t="str">
        <f t="shared" si="149"/>
        <v>89301000</v>
      </c>
      <c r="B710" t="str">
        <f t="shared" si="145"/>
        <v>89383000</v>
      </c>
      <c r="C710" t="str">
        <f t="shared" si="146"/>
        <v>89383002</v>
      </c>
      <c r="D710" t="str">
        <f t="shared" si="147"/>
        <v>809</v>
      </c>
      <c r="E710" t="str">
        <f t="shared" si="148"/>
        <v>89301212</v>
      </c>
      <c r="F710" t="str">
        <f t="shared" si="150"/>
        <v>6356121695</v>
      </c>
      <c r="G710" s="1">
        <v>44573</v>
      </c>
      <c r="H710" t="str">
        <f>"0006707"</f>
        <v>0006707</v>
      </c>
      <c r="I710">
        <v>1</v>
      </c>
      <c r="K710">
        <v>9783.27</v>
      </c>
      <c r="L710">
        <v>9783.27</v>
      </c>
    </row>
    <row r="711" spans="1:12" x14ac:dyDescent="0.25">
      <c r="A711" t="str">
        <f t="shared" si="149"/>
        <v>89301000</v>
      </c>
      <c r="B711" t="str">
        <f t="shared" si="145"/>
        <v>89383000</v>
      </c>
      <c r="C711" t="str">
        <f t="shared" si="146"/>
        <v>89383002</v>
      </c>
      <c r="D711" t="str">
        <f t="shared" si="147"/>
        <v>809</v>
      </c>
      <c r="E711" t="str">
        <f t="shared" si="148"/>
        <v>89301212</v>
      </c>
      <c r="F711" t="str">
        <f t="shared" si="150"/>
        <v>6356121695</v>
      </c>
      <c r="G711" s="1">
        <v>44573</v>
      </c>
      <c r="H711" t="str">
        <f>"0085224"</f>
        <v>0085224</v>
      </c>
      <c r="I711">
        <v>1</v>
      </c>
      <c r="K711">
        <v>4527.8999999999996</v>
      </c>
      <c r="L711">
        <v>4527.8999999999996</v>
      </c>
    </row>
    <row r="712" spans="1:12" x14ac:dyDescent="0.25">
      <c r="A712" t="str">
        <f t="shared" si="149"/>
        <v>89301000</v>
      </c>
      <c r="B712" t="str">
        <f t="shared" si="145"/>
        <v>89383000</v>
      </c>
      <c r="C712" t="str">
        <f t="shared" si="146"/>
        <v>89383002</v>
      </c>
      <c r="D712" t="str">
        <f t="shared" si="147"/>
        <v>809</v>
      </c>
      <c r="E712" t="str">
        <f>"89301042"</f>
        <v>89301042</v>
      </c>
      <c r="F712" t="str">
        <f>"6452041871"</f>
        <v>6452041871</v>
      </c>
      <c r="G712" s="1">
        <v>44573</v>
      </c>
      <c r="H712" t="str">
        <f>"89180"</f>
        <v>89180</v>
      </c>
      <c r="I712">
        <v>2</v>
      </c>
      <c r="J712">
        <v>752</v>
      </c>
      <c r="K712">
        <v>0</v>
      </c>
      <c r="L712">
        <v>1052.8</v>
      </c>
    </row>
    <row r="713" spans="1:12" x14ac:dyDescent="0.25">
      <c r="A713" t="str">
        <f t="shared" si="149"/>
        <v>89301000</v>
      </c>
      <c r="B713" t="str">
        <f t="shared" si="145"/>
        <v>89383000</v>
      </c>
      <c r="C713" t="str">
        <f t="shared" si="146"/>
        <v>89383002</v>
      </c>
      <c r="D713" t="str">
        <f t="shared" si="147"/>
        <v>809</v>
      </c>
      <c r="E713" t="str">
        <f>"89301042"</f>
        <v>89301042</v>
      </c>
      <c r="F713" t="str">
        <f>"6452041871"</f>
        <v>6452041871</v>
      </c>
      <c r="G713" s="1">
        <v>44573</v>
      </c>
      <c r="H713" t="str">
        <f>"89512"</f>
        <v>89512</v>
      </c>
      <c r="I713">
        <v>1</v>
      </c>
      <c r="J713">
        <v>277</v>
      </c>
      <c r="K713">
        <v>0</v>
      </c>
      <c r="L713">
        <v>387.8</v>
      </c>
    </row>
    <row r="714" spans="1:12" x14ac:dyDescent="0.25">
      <c r="A714" t="str">
        <f t="shared" si="149"/>
        <v>89301000</v>
      </c>
      <c r="B714" t="str">
        <f t="shared" ref="B714:B745" si="151">"89383000"</f>
        <v>89383000</v>
      </c>
      <c r="C714" t="str">
        <f t="shared" ref="C714:C745" si="152">"89383002"</f>
        <v>89383002</v>
      </c>
      <c r="D714" t="str">
        <f t="shared" si="147"/>
        <v>809</v>
      </c>
      <c r="E714" t="str">
        <f>"89301042"</f>
        <v>89301042</v>
      </c>
      <c r="F714" t="str">
        <f>"6452041871"</f>
        <v>6452041871</v>
      </c>
      <c r="G714" s="1">
        <v>44573</v>
      </c>
      <c r="H714" t="str">
        <f>"89513"</f>
        <v>89513</v>
      </c>
      <c r="I714">
        <v>1</v>
      </c>
      <c r="J714">
        <v>371</v>
      </c>
      <c r="K714">
        <v>0</v>
      </c>
      <c r="L714">
        <v>519.4</v>
      </c>
    </row>
    <row r="715" spans="1:12" x14ac:dyDescent="0.25">
      <c r="A715" t="str">
        <f t="shared" si="149"/>
        <v>89301000</v>
      </c>
      <c r="B715" t="str">
        <f t="shared" si="151"/>
        <v>89383000</v>
      </c>
      <c r="C715" t="str">
        <f t="shared" si="152"/>
        <v>89383002</v>
      </c>
      <c r="D715" t="str">
        <f t="shared" si="147"/>
        <v>809</v>
      </c>
      <c r="E715" t="str">
        <f>"89301042"</f>
        <v>89301042</v>
      </c>
      <c r="F715" t="str">
        <f>"6452041871"</f>
        <v>6452041871</v>
      </c>
      <c r="G715" s="1">
        <v>44573</v>
      </c>
      <c r="H715" t="str">
        <f>"89514"</f>
        <v>89514</v>
      </c>
      <c r="I715">
        <v>1</v>
      </c>
      <c r="J715">
        <v>371</v>
      </c>
      <c r="K715">
        <v>0</v>
      </c>
      <c r="L715">
        <v>519.4</v>
      </c>
    </row>
    <row r="716" spans="1:12" x14ac:dyDescent="0.25">
      <c r="A716" t="str">
        <f t="shared" si="149"/>
        <v>89301000</v>
      </c>
      <c r="B716" t="str">
        <f t="shared" si="151"/>
        <v>89383000</v>
      </c>
      <c r="C716" t="str">
        <f t="shared" si="152"/>
        <v>89383002</v>
      </c>
      <c r="D716" t="str">
        <f t="shared" si="147"/>
        <v>809</v>
      </c>
      <c r="E716" t="str">
        <f t="shared" ref="E716:E736" si="153">"89301212"</f>
        <v>89301212</v>
      </c>
      <c r="F716" t="str">
        <f>"7456244411"</f>
        <v>7456244411</v>
      </c>
      <c r="G716" s="1">
        <v>44574</v>
      </c>
      <c r="H716" t="str">
        <f>"89512"</f>
        <v>89512</v>
      </c>
      <c r="I716">
        <v>1</v>
      </c>
      <c r="J716">
        <v>277</v>
      </c>
      <c r="K716">
        <v>0</v>
      </c>
      <c r="L716">
        <v>387.8</v>
      </c>
    </row>
    <row r="717" spans="1:12" x14ac:dyDescent="0.25">
      <c r="A717" t="str">
        <f t="shared" si="149"/>
        <v>89301000</v>
      </c>
      <c r="B717" t="str">
        <f t="shared" si="151"/>
        <v>89383000</v>
      </c>
      <c r="C717" t="str">
        <f t="shared" si="152"/>
        <v>89383002</v>
      </c>
      <c r="D717" t="str">
        <f t="shared" si="147"/>
        <v>809</v>
      </c>
      <c r="E717" t="str">
        <f t="shared" si="153"/>
        <v>89301212</v>
      </c>
      <c r="F717" t="str">
        <f>"7951194471"</f>
        <v>7951194471</v>
      </c>
      <c r="G717" s="1">
        <v>44574</v>
      </c>
      <c r="H717" t="str">
        <f>"89180"</f>
        <v>89180</v>
      </c>
      <c r="I717">
        <v>2</v>
      </c>
      <c r="J717">
        <v>752</v>
      </c>
      <c r="K717">
        <v>0</v>
      </c>
      <c r="L717">
        <v>1052.8</v>
      </c>
    </row>
    <row r="718" spans="1:12" x14ac:dyDescent="0.25">
      <c r="A718" t="str">
        <f t="shared" si="149"/>
        <v>89301000</v>
      </c>
      <c r="B718" t="str">
        <f t="shared" si="151"/>
        <v>89383000</v>
      </c>
      <c r="C718" t="str">
        <f t="shared" si="152"/>
        <v>89383002</v>
      </c>
      <c r="D718" t="str">
        <f t="shared" si="147"/>
        <v>809</v>
      </c>
      <c r="E718" t="str">
        <f t="shared" si="153"/>
        <v>89301212</v>
      </c>
      <c r="F718" t="str">
        <f>"7951194471"</f>
        <v>7951194471</v>
      </c>
      <c r="G718" s="1">
        <v>44574</v>
      </c>
      <c r="H718" t="str">
        <f>"89512"</f>
        <v>89512</v>
      </c>
      <c r="I718">
        <v>1</v>
      </c>
      <c r="J718">
        <v>277</v>
      </c>
      <c r="K718">
        <v>0</v>
      </c>
      <c r="L718">
        <v>387.8</v>
      </c>
    </row>
    <row r="719" spans="1:12" x14ac:dyDescent="0.25">
      <c r="A719" t="str">
        <f t="shared" si="149"/>
        <v>89301000</v>
      </c>
      <c r="B719" t="str">
        <f t="shared" si="151"/>
        <v>89383000</v>
      </c>
      <c r="C719" t="str">
        <f t="shared" si="152"/>
        <v>89383002</v>
      </c>
      <c r="D719" t="str">
        <f t="shared" ref="D719:D750" si="154">"809"</f>
        <v>809</v>
      </c>
      <c r="E719" t="str">
        <f t="shared" si="153"/>
        <v>89301212</v>
      </c>
      <c r="F719" t="str">
        <f>"525303071"</f>
        <v>525303071</v>
      </c>
      <c r="G719" s="1">
        <v>44574</v>
      </c>
      <c r="H719" t="str">
        <f>"89180"</f>
        <v>89180</v>
      </c>
      <c r="I719">
        <v>1</v>
      </c>
      <c r="J719">
        <v>376</v>
      </c>
      <c r="K719">
        <v>0</v>
      </c>
      <c r="L719">
        <v>526.4</v>
      </c>
    </row>
    <row r="720" spans="1:12" x14ac:dyDescent="0.25">
      <c r="A720" t="str">
        <f t="shared" si="149"/>
        <v>89301000</v>
      </c>
      <c r="B720" t="str">
        <f t="shared" si="151"/>
        <v>89383000</v>
      </c>
      <c r="C720" t="str">
        <f t="shared" si="152"/>
        <v>89383002</v>
      </c>
      <c r="D720" t="str">
        <f t="shared" si="154"/>
        <v>809</v>
      </c>
      <c r="E720" t="str">
        <f t="shared" si="153"/>
        <v>89301212</v>
      </c>
      <c r="F720" t="str">
        <f>"525303071"</f>
        <v>525303071</v>
      </c>
      <c r="G720" s="1">
        <v>44574</v>
      </c>
      <c r="H720" t="str">
        <f>"89512"</f>
        <v>89512</v>
      </c>
      <c r="I720">
        <v>1</v>
      </c>
      <c r="J720">
        <v>277</v>
      </c>
      <c r="K720">
        <v>0</v>
      </c>
      <c r="L720">
        <v>387.8</v>
      </c>
    </row>
    <row r="721" spans="1:12" x14ac:dyDescent="0.25">
      <c r="A721" t="str">
        <f t="shared" si="149"/>
        <v>89301000</v>
      </c>
      <c r="B721" t="str">
        <f t="shared" si="151"/>
        <v>89383000</v>
      </c>
      <c r="C721" t="str">
        <f t="shared" si="152"/>
        <v>89383002</v>
      </c>
      <c r="D721" t="str">
        <f t="shared" si="154"/>
        <v>809</v>
      </c>
      <c r="E721" t="str">
        <f t="shared" si="153"/>
        <v>89301212</v>
      </c>
      <c r="F721" t="str">
        <f>"426210469"</f>
        <v>426210469</v>
      </c>
      <c r="G721" s="1">
        <v>44575</v>
      </c>
      <c r="H721" t="str">
        <f>"89180"</f>
        <v>89180</v>
      </c>
      <c r="I721">
        <v>2</v>
      </c>
      <c r="J721">
        <v>752</v>
      </c>
      <c r="K721">
        <v>0</v>
      </c>
      <c r="L721">
        <v>1052.8</v>
      </c>
    </row>
    <row r="722" spans="1:12" x14ac:dyDescent="0.25">
      <c r="A722" t="str">
        <f t="shared" si="149"/>
        <v>89301000</v>
      </c>
      <c r="B722" t="str">
        <f t="shared" si="151"/>
        <v>89383000</v>
      </c>
      <c r="C722" t="str">
        <f t="shared" si="152"/>
        <v>89383002</v>
      </c>
      <c r="D722" t="str">
        <f t="shared" si="154"/>
        <v>809</v>
      </c>
      <c r="E722" t="str">
        <f t="shared" si="153"/>
        <v>89301212</v>
      </c>
      <c r="F722" t="str">
        <f>"426210469"</f>
        <v>426210469</v>
      </c>
      <c r="G722" s="1">
        <v>44575</v>
      </c>
      <c r="H722" t="str">
        <f>"89512"</f>
        <v>89512</v>
      </c>
      <c r="I722">
        <v>1</v>
      </c>
      <c r="J722">
        <v>277</v>
      </c>
      <c r="K722">
        <v>0</v>
      </c>
      <c r="L722">
        <v>387.8</v>
      </c>
    </row>
    <row r="723" spans="1:12" x14ac:dyDescent="0.25">
      <c r="A723" t="str">
        <f t="shared" si="149"/>
        <v>89301000</v>
      </c>
      <c r="B723" t="str">
        <f t="shared" si="151"/>
        <v>89383000</v>
      </c>
      <c r="C723" t="str">
        <f t="shared" si="152"/>
        <v>89383002</v>
      </c>
      <c r="D723" t="str">
        <f t="shared" si="154"/>
        <v>809</v>
      </c>
      <c r="E723" t="str">
        <f t="shared" si="153"/>
        <v>89301212</v>
      </c>
      <c r="F723" t="str">
        <f>"426210469"</f>
        <v>426210469</v>
      </c>
      <c r="G723" s="1">
        <v>44575</v>
      </c>
      <c r="H723" t="str">
        <f>"89513"</f>
        <v>89513</v>
      </c>
      <c r="I723">
        <v>1</v>
      </c>
      <c r="J723">
        <v>371</v>
      </c>
      <c r="K723">
        <v>0</v>
      </c>
      <c r="L723">
        <v>519.4</v>
      </c>
    </row>
    <row r="724" spans="1:12" x14ac:dyDescent="0.25">
      <c r="A724" t="str">
        <f t="shared" si="149"/>
        <v>89301000</v>
      </c>
      <c r="B724" t="str">
        <f t="shared" si="151"/>
        <v>89383000</v>
      </c>
      <c r="C724" t="str">
        <f t="shared" si="152"/>
        <v>89383002</v>
      </c>
      <c r="D724" t="str">
        <f t="shared" si="154"/>
        <v>809</v>
      </c>
      <c r="E724" t="str">
        <f t="shared" si="153"/>
        <v>89301212</v>
      </c>
      <c r="F724" t="str">
        <f>"426210469"</f>
        <v>426210469</v>
      </c>
      <c r="G724" s="1">
        <v>44575</v>
      </c>
      <c r="H724" t="str">
        <f>"89514"</f>
        <v>89514</v>
      </c>
      <c r="I724">
        <v>1</v>
      </c>
      <c r="J724">
        <v>371</v>
      </c>
      <c r="K724">
        <v>0</v>
      </c>
      <c r="L724">
        <v>519.4</v>
      </c>
    </row>
    <row r="725" spans="1:12" x14ac:dyDescent="0.25">
      <c r="A725" t="str">
        <f t="shared" si="149"/>
        <v>89301000</v>
      </c>
      <c r="B725" t="str">
        <f t="shared" si="151"/>
        <v>89383000</v>
      </c>
      <c r="C725" t="str">
        <f t="shared" si="152"/>
        <v>89383002</v>
      </c>
      <c r="D725" t="str">
        <f t="shared" si="154"/>
        <v>809</v>
      </c>
      <c r="E725" t="str">
        <f t="shared" si="153"/>
        <v>89301212</v>
      </c>
      <c r="F725" t="str">
        <f>"7860084936"</f>
        <v>7860084936</v>
      </c>
      <c r="G725" s="1">
        <v>44579</v>
      </c>
      <c r="H725" t="str">
        <f>"89512"</f>
        <v>89512</v>
      </c>
      <c r="I725">
        <v>1</v>
      </c>
      <c r="J725">
        <v>277</v>
      </c>
      <c r="K725">
        <v>0</v>
      </c>
      <c r="L725">
        <v>387.8</v>
      </c>
    </row>
    <row r="726" spans="1:12" x14ac:dyDescent="0.25">
      <c r="A726" t="str">
        <f t="shared" si="149"/>
        <v>89301000</v>
      </c>
      <c r="B726" t="str">
        <f t="shared" si="151"/>
        <v>89383000</v>
      </c>
      <c r="C726" t="str">
        <f t="shared" si="152"/>
        <v>89383002</v>
      </c>
      <c r="D726" t="str">
        <f t="shared" si="154"/>
        <v>809</v>
      </c>
      <c r="E726" t="str">
        <f t="shared" si="153"/>
        <v>89301212</v>
      </c>
      <c r="F726" t="str">
        <f>"9458145730"</f>
        <v>9458145730</v>
      </c>
      <c r="G726" s="1">
        <v>44579</v>
      </c>
      <c r="H726" t="str">
        <f>"89512"</f>
        <v>89512</v>
      </c>
      <c r="I726">
        <v>1</v>
      </c>
      <c r="J726">
        <v>277</v>
      </c>
      <c r="K726">
        <v>0</v>
      </c>
      <c r="L726">
        <v>387.8</v>
      </c>
    </row>
    <row r="727" spans="1:12" x14ac:dyDescent="0.25">
      <c r="A727" t="str">
        <f t="shared" si="149"/>
        <v>89301000</v>
      </c>
      <c r="B727" t="str">
        <f t="shared" si="151"/>
        <v>89383000</v>
      </c>
      <c r="C727" t="str">
        <f t="shared" si="152"/>
        <v>89383002</v>
      </c>
      <c r="D727" t="str">
        <f t="shared" si="154"/>
        <v>809</v>
      </c>
      <c r="E727" t="str">
        <f t="shared" si="153"/>
        <v>89301212</v>
      </c>
      <c r="F727" t="str">
        <f>"6452210721"</f>
        <v>6452210721</v>
      </c>
      <c r="G727" s="1">
        <v>44580</v>
      </c>
      <c r="H727" t="str">
        <f>"89180"</f>
        <v>89180</v>
      </c>
      <c r="I727">
        <v>1</v>
      </c>
      <c r="J727">
        <v>376</v>
      </c>
      <c r="K727">
        <v>0</v>
      </c>
      <c r="L727">
        <v>526.4</v>
      </c>
    </row>
    <row r="728" spans="1:12" x14ac:dyDescent="0.25">
      <c r="A728" t="str">
        <f t="shared" si="149"/>
        <v>89301000</v>
      </c>
      <c r="B728" t="str">
        <f t="shared" si="151"/>
        <v>89383000</v>
      </c>
      <c r="C728" t="str">
        <f t="shared" si="152"/>
        <v>89383002</v>
      </c>
      <c r="D728" t="str">
        <f t="shared" si="154"/>
        <v>809</v>
      </c>
      <c r="E728" t="str">
        <f t="shared" si="153"/>
        <v>89301212</v>
      </c>
      <c r="F728" t="str">
        <f>"6452210721"</f>
        <v>6452210721</v>
      </c>
      <c r="G728" s="1">
        <v>44580</v>
      </c>
      <c r="H728" t="str">
        <f>"89512"</f>
        <v>89512</v>
      </c>
      <c r="I728">
        <v>1</v>
      </c>
      <c r="J728">
        <v>277</v>
      </c>
      <c r="K728">
        <v>0</v>
      </c>
      <c r="L728">
        <v>387.8</v>
      </c>
    </row>
    <row r="729" spans="1:12" x14ac:dyDescent="0.25">
      <c r="A729" t="str">
        <f t="shared" si="149"/>
        <v>89301000</v>
      </c>
      <c r="B729" t="str">
        <f t="shared" si="151"/>
        <v>89383000</v>
      </c>
      <c r="C729" t="str">
        <f t="shared" si="152"/>
        <v>89383002</v>
      </c>
      <c r="D729" t="str">
        <f t="shared" si="154"/>
        <v>809</v>
      </c>
      <c r="E729" t="str">
        <f t="shared" si="153"/>
        <v>89301212</v>
      </c>
      <c r="F729" t="str">
        <f>"6452210721"</f>
        <v>6452210721</v>
      </c>
      <c r="G729" s="1">
        <v>44580</v>
      </c>
      <c r="H729" t="str">
        <f>"89513"</f>
        <v>89513</v>
      </c>
      <c r="I729">
        <v>1</v>
      </c>
      <c r="J729">
        <v>371</v>
      </c>
      <c r="K729">
        <v>0</v>
      </c>
      <c r="L729">
        <v>519.4</v>
      </c>
    </row>
    <row r="730" spans="1:12" x14ac:dyDescent="0.25">
      <c r="A730" t="str">
        <f t="shared" si="149"/>
        <v>89301000</v>
      </c>
      <c r="B730" t="str">
        <f t="shared" si="151"/>
        <v>89383000</v>
      </c>
      <c r="C730" t="str">
        <f t="shared" si="152"/>
        <v>89383002</v>
      </c>
      <c r="D730" t="str">
        <f t="shared" si="154"/>
        <v>809</v>
      </c>
      <c r="E730" t="str">
        <f t="shared" si="153"/>
        <v>89301212</v>
      </c>
      <c r="F730" t="str">
        <f>"6452210721"</f>
        <v>6452210721</v>
      </c>
      <c r="G730" s="1">
        <v>44580</v>
      </c>
      <c r="H730" t="str">
        <f>"89514"</f>
        <v>89514</v>
      </c>
      <c r="I730">
        <v>1</v>
      </c>
      <c r="J730">
        <v>371</v>
      </c>
      <c r="K730">
        <v>0</v>
      </c>
      <c r="L730">
        <v>519.4</v>
      </c>
    </row>
    <row r="731" spans="1:12" x14ac:dyDescent="0.25">
      <c r="A731" t="str">
        <f t="shared" si="149"/>
        <v>89301000</v>
      </c>
      <c r="B731" t="str">
        <f t="shared" si="151"/>
        <v>89383000</v>
      </c>
      <c r="C731" t="str">
        <f t="shared" si="152"/>
        <v>89383002</v>
      </c>
      <c r="D731" t="str">
        <f t="shared" si="154"/>
        <v>809</v>
      </c>
      <c r="E731" t="str">
        <f t="shared" si="153"/>
        <v>89301212</v>
      </c>
      <c r="F731" t="str">
        <f>"5857210106"</f>
        <v>5857210106</v>
      </c>
      <c r="G731" s="1">
        <v>44580</v>
      </c>
      <c r="H731" t="str">
        <f>"89512"</f>
        <v>89512</v>
      </c>
      <c r="I731">
        <v>1</v>
      </c>
      <c r="J731">
        <v>277</v>
      </c>
      <c r="K731">
        <v>0</v>
      </c>
      <c r="L731">
        <v>387.8</v>
      </c>
    </row>
    <row r="732" spans="1:12" x14ac:dyDescent="0.25">
      <c r="A732" t="str">
        <f t="shared" si="149"/>
        <v>89301000</v>
      </c>
      <c r="B732" t="str">
        <f t="shared" si="151"/>
        <v>89383000</v>
      </c>
      <c r="C732" t="str">
        <f t="shared" si="152"/>
        <v>89383002</v>
      </c>
      <c r="D732" t="str">
        <f t="shared" si="154"/>
        <v>809</v>
      </c>
      <c r="E732" t="str">
        <f t="shared" si="153"/>
        <v>89301212</v>
      </c>
      <c r="F732" t="str">
        <f>"5857210106"</f>
        <v>5857210106</v>
      </c>
      <c r="G732" s="1">
        <v>44580</v>
      </c>
      <c r="H732" t="str">
        <f>"89514"</f>
        <v>89514</v>
      </c>
      <c r="I732">
        <v>1</v>
      </c>
      <c r="J732">
        <v>371</v>
      </c>
      <c r="K732">
        <v>0</v>
      </c>
      <c r="L732">
        <v>519.4</v>
      </c>
    </row>
    <row r="733" spans="1:12" x14ac:dyDescent="0.25">
      <c r="A733" t="str">
        <f t="shared" si="149"/>
        <v>89301000</v>
      </c>
      <c r="B733" t="str">
        <f t="shared" si="151"/>
        <v>89383000</v>
      </c>
      <c r="C733" t="str">
        <f t="shared" si="152"/>
        <v>89383002</v>
      </c>
      <c r="D733" t="str">
        <f t="shared" si="154"/>
        <v>809</v>
      </c>
      <c r="E733" t="str">
        <f t="shared" si="153"/>
        <v>89301212</v>
      </c>
      <c r="F733" t="str">
        <f>"5857210106"</f>
        <v>5857210106</v>
      </c>
      <c r="G733" s="1">
        <v>44580</v>
      </c>
      <c r="H733" t="str">
        <f>"89513"</f>
        <v>89513</v>
      </c>
      <c r="I733">
        <v>1</v>
      </c>
      <c r="J733">
        <v>371</v>
      </c>
      <c r="K733">
        <v>0</v>
      </c>
      <c r="L733">
        <v>519.4</v>
      </c>
    </row>
    <row r="734" spans="1:12" x14ac:dyDescent="0.25">
      <c r="A734" t="str">
        <f t="shared" si="149"/>
        <v>89301000</v>
      </c>
      <c r="B734" t="str">
        <f t="shared" si="151"/>
        <v>89383000</v>
      </c>
      <c r="C734" t="str">
        <f t="shared" si="152"/>
        <v>89383002</v>
      </c>
      <c r="D734" t="str">
        <f t="shared" si="154"/>
        <v>809</v>
      </c>
      <c r="E734" t="str">
        <f t="shared" si="153"/>
        <v>89301212</v>
      </c>
      <c r="F734" t="str">
        <f>"9354025714"</f>
        <v>9354025714</v>
      </c>
      <c r="G734" s="1">
        <v>44580</v>
      </c>
      <c r="H734" t="str">
        <f>"89513"</f>
        <v>89513</v>
      </c>
      <c r="I734">
        <v>1</v>
      </c>
      <c r="J734">
        <v>371</v>
      </c>
      <c r="K734">
        <v>0</v>
      </c>
      <c r="L734">
        <v>519.4</v>
      </c>
    </row>
    <row r="735" spans="1:12" x14ac:dyDescent="0.25">
      <c r="A735" t="str">
        <f t="shared" si="149"/>
        <v>89301000</v>
      </c>
      <c r="B735" t="str">
        <f t="shared" si="151"/>
        <v>89383000</v>
      </c>
      <c r="C735" t="str">
        <f t="shared" si="152"/>
        <v>89383002</v>
      </c>
      <c r="D735" t="str">
        <f t="shared" si="154"/>
        <v>809</v>
      </c>
      <c r="E735" t="str">
        <f t="shared" si="153"/>
        <v>89301212</v>
      </c>
      <c r="F735" t="str">
        <f>"9354025714"</f>
        <v>9354025714</v>
      </c>
      <c r="G735" s="1">
        <v>44580</v>
      </c>
      <c r="H735" t="str">
        <f>"89514"</f>
        <v>89514</v>
      </c>
      <c r="I735">
        <v>1</v>
      </c>
      <c r="J735">
        <v>371</v>
      </c>
      <c r="K735">
        <v>0</v>
      </c>
      <c r="L735">
        <v>519.4</v>
      </c>
    </row>
    <row r="736" spans="1:12" x14ac:dyDescent="0.25">
      <c r="A736" t="str">
        <f t="shared" si="149"/>
        <v>89301000</v>
      </c>
      <c r="B736" t="str">
        <f t="shared" si="151"/>
        <v>89383000</v>
      </c>
      <c r="C736" t="str">
        <f t="shared" si="152"/>
        <v>89383002</v>
      </c>
      <c r="D736" t="str">
        <f t="shared" si="154"/>
        <v>809</v>
      </c>
      <c r="E736" t="str">
        <f t="shared" si="153"/>
        <v>89301212</v>
      </c>
      <c r="F736" t="str">
        <f>"7652195320"</f>
        <v>7652195320</v>
      </c>
      <c r="G736" s="1">
        <v>44581</v>
      </c>
      <c r="H736" t="str">
        <f>"89512"</f>
        <v>89512</v>
      </c>
      <c r="I736">
        <v>1</v>
      </c>
      <c r="J736">
        <v>277</v>
      </c>
      <c r="K736">
        <v>0</v>
      </c>
      <c r="L736">
        <v>387.8</v>
      </c>
    </row>
    <row r="737" spans="1:12" x14ac:dyDescent="0.25">
      <c r="A737" t="str">
        <f t="shared" si="149"/>
        <v>89301000</v>
      </c>
      <c r="B737" t="str">
        <f t="shared" si="151"/>
        <v>89383000</v>
      </c>
      <c r="C737" t="str">
        <f t="shared" si="152"/>
        <v>89383002</v>
      </c>
      <c r="D737" t="str">
        <f t="shared" si="154"/>
        <v>809</v>
      </c>
      <c r="E737" t="str">
        <f>"89301215"</f>
        <v>89301215</v>
      </c>
      <c r="F737" t="str">
        <f>"5957181208"</f>
        <v>5957181208</v>
      </c>
      <c r="G737" s="1">
        <v>44582</v>
      </c>
      <c r="H737" t="str">
        <f>"89513"</f>
        <v>89513</v>
      </c>
      <c r="I737">
        <v>1</v>
      </c>
      <c r="J737">
        <v>371</v>
      </c>
      <c r="K737">
        <v>0</v>
      </c>
      <c r="L737">
        <v>519.4</v>
      </c>
    </row>
    <row r="738" spans="1:12" x14ac:dyDescent="0.25">
      <c r="A738" t="str">
        <f t="shared" si="149"/>
        <v>89301000</v>
      </c>
      <c r="B738" t="str">
        <f t="shared" si="151"/>
        <v>89383000</v>
      </c>
      <c r="C738" t="str">
        <f t="shared" si="152"/>
        <v>89383002</v>
      </c>
      <c r="D738" t="str">
        <f t="shared" si="154"/>
        <v>809</v>
      </c>
      <c r="E738" t="str">
        <f>"89301215"</f>
        <v>89301215</v>
      </c>
      <c r="F738" t="str">
        <f>"5957181208"</f>
        <v>5957181208</v>
      </c>
      <c r="G738" s="1">
        <v>44582</v>
      </c>
      <c r="H738" t="str">
        <f>"89514"</f>
        <v>89514</v>
      </c>
      <c r="I738">
        <v>1</v>
      </c>
      <c r="J738">
        <v>371</v>
      </c>
      <c r="K738">
        <v>0</v>
      </c>
      <c r="L738">
        <v>519.4</v>
      </c>
    </row>
    <row r="739" spans="1:12" x14ac:dyDescent="0.25">
      <c r="A739" t="str">
        <f t="shared" si="149"/>
        <v>89301000</v>
      </c>
      <c r="B739" t="str">
        <f t="shared" si="151"/>
        <v>89383000</v>
      </c>
      <c r="C739" t="str">
        <f t="shared" si="152"/>
        <v>89383002</v>
      </c>
      <c r="D739" t="str">
        <f t="shared" si="154"/>
        <v>809</v>
      </c>
      <c r="E739" t="str">
        <f t="shared" ref="E739:E745" si="155">"89301212"</f>
        <v>89301212</v>
      </c>
      <c r="F739" t="str">
        <f>"6352020785"</f>
        <v>6352020785</v>
      </c>
      <c r="G739" s="1">
        <v>44585</v>
      </c>
      <c r="H739" t="str">
        <f>"89180"</f>
        <v>89180</v>
      </c>
      <c r="I739">
        <v>2</v>
      </c>
      <c r="J739">
        <v>752</v>
      </c>
      <c r="K739">
        <v>0</v>
      </c>
      <c r="L739">
        <v>1052.8</v>
      </c>
    </row>
    <row r="740" spans="1:12" x14ac:dyDescent="0.25">
      <c r="A740" t="str">
        <f t="shared" si="149"/>
        <v>89301000</v>
      </c>
      <c r="B740" t="str">
        <f t="shared" si="151"/>
        <v>89383000</v>
      </c>
      <c r="C740" t="str">
        <f t="shared" si="152"/>
        <v>89383002</v>
      </c>
      <c r="D740" t="str">
        <f t="shared" si="154"/>
        <v>809</v>
      </c>
      <c r="E740" t="str">
        <f t="shared" si="155"/>
        <v>89301212</v>
      </c>
      <c r="F740" t="str">
        <f>"6352020785"</f>
        <v>6352020785</v>
      </c>
      <c r="G740" s="1">
        <v>44585</v>
      </c>
      <c r="H740" t="str">
        <f>"89512"</f>
        <v>89512</v>
      </c>
      <c r="I740">
        <v>1</v>
      </c>
      <c r="J740">
        <v>277</v>
      </c>
      <c r="K740">
        <v>0</v>
      </c>
      <c r="L740">
        <v>387.8</v>
      </c>
    </row>
    <row r="741" spans="1:12" x14ac:dyDescent="0.25">
      <c r="A741" t="str">
        <f t="shared" si="149"/>
        <v>89301000</v>
      </c>
      <c r="B741" t="str">
        <f t="shared" si="151"/>
        <v>89383000</v>
      </c>
      <c r="C741" t="str">
        <f t="shared" si="152"/>
        <v>89383002</v>
      </c>
      <c r="D741" t="str">
        <f t="shared" si="154"/>
        <v>809</v>
      </c>
      <c r="E741" t="str">
        <f t="shared" si="155"/>
        <v>89301212</v>
      </c>
      <c r="F741" t="str">
        <f>"6352020785"</f>
        <v>6352020785</v>
      </c>
      <c r="G741" s="1">
        <v>44585</v>
      </c>
      <c r="H741" t="str">
        <f>"89513"</f>
        <v>89513</v>
      </c>
      <c r="I741">
        <v>1</v>
      </c>
      <c r="J741">
        <v>371</v>
      </c>
      <c r="K741">
        <v>0</v>
      </c>
      <c r="L741">
        <v>519.4</v>
      </c>
    </row>
    <row r="742" spans="1:12" x14ac:dyDescent="0.25">
      <c r="A742" t="str">
        <f t="shared" si="149"/>
        <v>89301000</v>
      </c>
      <c r="B742" t="str">
        <f t="shared" si="151"/>
        <v>89383000</v>
      </c>
      <c r="C742" t="str">
        <f t="shared" si="152"/>
        <v>89383002</v>
      </c>
      <c r="D742" t="str">
        <f t="shared" si="154"/>
        <v>809</v>
      </c>
      <c r="E742" t="str">
        <f t="shared" si="155"/>
        <v>89301212</v>
      </c>
      <c r="F742" t="str">
        <f>"6352020785"</f>
        <v>6352020785</v>
      </c>
      <c r="G742" s="1">
        <v>44585</v>
      </c>
      <c r="H742" t="str">
        <f>"89514"</f>
        <v>89514</v>
      </c>
      <c r="I742">
        <v>1</v>
      </c>
      <c r="J742">
        <v>371</v>
      </c>
      <c r="K742">
        <v>0</v>
      </c>
      <c r="L742">
        <v>519.4</v>
      </c>
    </row>
    <row r="743" spans="1:12" x14ac:dyDescent="0.25">
      <c r="A743" t="str">
        <f t="shared" si="149"/>
        <v>89301000</v>
      </c>
      <c r="B743" t="str">
        <f t="shared" si="151"/>
        <v>89383000</v>
      </c>
      <c r="C743" t="str">
        <f t="shared" si="152"/>
        <v>89383002</v>
      </c>
      <c r="D743" t="str">
        <f t="shared" si="154"/>
        <v>809</v>
      </c>
      <c r="E743" t="str">
        <f t="shared" si="155"/>
        <v>89301212</v>
      </c>
      <c r="F743" t="str">
        <f>"6457251053"</f>
        <v>6457251053</v>
      </c>
      <c r="G743" s="1">
        <v>44585</v>
      </c>
      <c r="H743" t="str">
        <f>"89180"</f>
        <v>89180</v>
      </c>
      <c r="I743">
        <v>2</v>
      </c>
      <c r="J743">
        <v>752</v>
      </c>
      <c r="K743">
        <v>0</v>
      </c>
      <c r="L743">
        <v>1052.8</v>
      </c>
    </row>
    <row r="744" spans="1:12" x14ac:dyDescent="0.25">
      <c r="A744" t="str">
        <f t="shared" si="149"/>
        <v>89301000</v>
      </c>
      <c r="B744" t="str">
        <f t="shared" si="151"/>
        <v>89383000</v>
      </c>
      <c r="C744" t="str">
        <f t="shared" si="152"/>
        <v>89383002</v>
      </c>
      <c r="D744" t="str">
        <f t="shared" si="154"/>
        <v>809</v>
      </c>
      <c r="E744" t="str">
        <f t="shared" si="155"/>
        <v>89301212</v>
      </c>
      <c r="F744" t="str">
        <f>"6457251053"</f>
        <v>6457251053</v>
      </c>
      <c r="G744" s="1">
        <v>44585</v>
      </c>
      <c r="H744" t="str">
        <f>"89512"</f>
        <v>89512</v>
      </c>
      <c r="I744">
        <v>1</v>
      </c>
      <c r="J744">
        <v>277</v>
      </c>
      <c r="K744">
        <v>0</v>
      </c>
      <c r="L744">
        <v>387.8</v>
      </c>
    </row>
    <row r="745" spans="1:12" x14ac:dyDescent="0.25">
      <c r="A745" t="str">
        <f t="shared" si="149"/>
        <v>89301000</v>
      </c>
      <c r="B745" t="str">
        <f t="shared" si="151"/>
        <v>89383000</v>
      </c>
      <c r="C745" t="str">
        <f t="shared" si="152"/>
        <v>89383002</v>
      </c>
      <c r="D745" t="str">
        <f t="shared" si="154"/>
        <v>809</v>
      </c>
      <c r="E745" t="str">
        <f t="shared" si="155"/>
        <v>89301212</v>
      </c>
      <c r="F745" t="str">
        <f>"495701147"</f>
        <v>495701147</v>
      </c>
      <c r="G745" s="1">
        <v>44587</v>
      </c>
      <c r="H745" t="str">
        <f>"89512"</f>
        <v>89512</v>
      </c>
      <c r="I745">
        <v>1</v>
      </c>
      <c r="J745">
        <v>277</v>
      </c>
      <c r="K745">
        <v>0</v>
      </c>
      <c r="L745">
        <v>387.8</v>
      </c>
    </row>
    <row r="746" spans="1:12" x14ac:dyDescent="0.25">
      <c r="A746" t="str">
        <f t="shared" si="149"/>
        <v>89301000</v>
      </c>
      <c r="B746" t="str">
        <f t="shared" ref="B746:B758" si="156">"89383000"</f>
        <v>89383000</v>
      </c>
      <c r="C746" t="str">
        <f t="shared" ref="C746:C758" si="157">"89383002"</f>
        <v>89383002</v>
      </c>
      <c r="D746" t="str">
        <f t="shared" si="154"/>
        <v>809</v>
      </c>
      <c r="E746" t="str">
        <f>"89301042"</f>
        <v>89301042</v>
      </c>
      <c r="F746" t="str">
        <f>"525528085"</f>
        <v>525528085</v>
      </c>
      <c r="G746" s="1">
        <v>44585</v>
      </c>
      <c r="H746" t="str">
        <f>"89343"</f>
        <v>89343</v>
      </c>
      <c r="I746">
        <v>1</v>
      </c>
      <c r="J746">
        <v>4980</v>
      </c>
      <c r="K746">
        <v>0</v>
      </c>
      <c r="L746">
        <v>6972</v>
      </c>
    </row>
    <row r="747" spans="1:12" x14ac:dyDescent="0.25">
      <c r="A747" t="str">
        <f t="shared" si="149"/>
        <v>89301000</v>
      </c>
      <c r="B747" t="str">
        <f t="shared" si="156"/>
        <v>89383000</v>
      </c>
      <c r="C747" t="str">
        <f t="shared" si="157"/>
        <v>89383002</v>
      </c>
      <c r="D747" t="str">
        <f t="shared" si="154"/>
        <v>809</v>
      </c>
      <c r="E747" t="str">
        <f>"89301042"</f>
        <v>89301042</v>
      </c>
      <c r="F747" t="str">
        <f>"525528085"</f>
        <v>525528085</v>
      </c>
      <c r="G747" s="1">
        <v>44585</v>
      </c>
      <c r="H747" t="str">
        <f>"89512"</f>
        <v>89512</v>
      </c>
      <c r="I747">
        <v>1</v>
      </c>
      <c r="J747">
        <v>277</v>
      </c>
      <c r="K747">
        <v>0</v>
      </c>
      <c r="L747">
        <v>387.8</v>
      </c>
    </row>
    <row r="748" spans="1:12" x14ac:dyDescent="0.25">
      <c r="A748" t="str">
        <f t="shared" si="149"/>
        <v>89301000</v>
      </c>
      <c r="B748" t="str">
        <f t="shared" si="156"/>
        <v>89383000</v>
      </c>
      <c r="C748" t="str">
        <f t="shared" si="157"/>
        <v>89383002</v>
      </c>
      <c r="D748" t="str">
        <f t="shared" si="154"/>
        <v>809</v>
      </c>
      <c r="E748" t="str">
        <f>"89301042"</f>
        <v>89301042</v>
      </c>
      <c r="F748" t="str">
        <f>"525528085"</f>
        <v>525528085</v>
      </c>
      <c r="G748" s="1">
        <v>44585</v>
      </c>
      <c r="H748" t="str">
        <f>"0225891"</f>
        <v>0225891</v>
      </c>
      <c r="I748">
        <v>0.1</v>
      </c>
      <c r="K748">
        <v>36.770000000000003</v>
      </c>
      <c r="L748">
        <v>36.770000000000003</v>
      </c>
    </row>
    <row r="749" spans="1:12" x14ac:dyDescent="0.25">
      <c r="A749" t="str">
        <f t="shared" si="149"/>
        <v>89301000</v>
      </c>
      <c r="B749" t="str">
        <f t="shared" si="156"/>
        <v>89383000</v>
      </c>
      <c r="C749" t="str">
        <f t="shared" si="157"/>
        <v>89383002</v>
      </c>
      <c r="D749" t="str">
        <f t="shared" si="154"/>
        <v>809</v>
      </c>
      <c r="E749" t="str">
        <f>"89301042"</f>
        <v>89301042</v>
      </c>
      <c r="F749" t="str">
        <f>"525528085"</f>
        <v>525528085</v>
      </c>
      <c r="G749" s="1">
        <v>44585</v>
      </c>
      <c r="H749" t="str">
        <f>"0006707"</f>
        <v>0006707</v>
      </c>
      <c r="I749">
        <v>1</v>
      </c>
      <c r="K749">
        <v>9783.27</v>
      </c>
      <c r="L749">
        <v>9783.27</v>
      </c>
    </row>
    <row r="750" spans="1:12" x14ac:dyDescent="0.25">
      <c r="A750" t="str">
        <f t="shared" si="149"/>
        <v>89301000</v>
      </c>
      <c r="B750" t="str">
        <f t="shared" si="156"/>
        <v>89383000</v>
      </c>
      <c r="C750" t="str">
        <f t="shared" si="157"/>
        <v>89383002</v>
      </c>
      <c r="D750" t="str">
        <f t="shared" si="154"/>
        <v>809</v>
      </c>
      <c r="E750" t="str">
        <f>"89301212"</f>
        <v>89301212</v>
      </c>
      <c r="F750" t="str">
        <f>"7958025361"</f>
        <v>7958025361</v>
      </c>
      <c r="G750" s="1">
        <v>44587</v>
      </c>
      <c r="H750" t="str">
        <f>"89512"</f>
        <v>89512</v>
      </c>
      <c r="I750">
        <v>1</v>
      </c>
      <c r="J750">
        <v>277</v>
      </c>
      <c r="K750">
        <v>0</v>
      </c>
      <c r="L750">
        <v>387.8</v>
      </c>
    </row>
    <row r="751" spans="1:12" x14ac:dyDescent="0.25">
      <c r="A751" t="str">
        <f t="shared" si="149"/>
        <v>89301000</v>
      </c>
      <c r="B751" t="str">
        <f t="shared" si="156"/>
        <v>89383000</v>
      </c>
      <c r="C751" t="str">
        <f t="shared" si="157"/>
        <v>89383002</v>
      </c>
      <c r="D751" t="str">
        <f t="shared" ref="D751:D782" si="158">"809"</f>
        <v>809</v>
      </c>
      <c r="E751" t="str">
        <f>"89301082"</f>
        <v>89301082</v>
      </c>
      <c r="F751" t="str">
        <f>"8352105344"</f>
        <v>8352105344</v>
      </c>
      <c r="G751" s="1">
        <v>44588</v>
      </c>
      <c r="H751" t="str">
        <f>"89512"</f>
        <v>89512</v>
      </c>
      <c r="I751">
        <v>1</v>
      </c>
      <c r="J751">
        <v>277</v>
      </c>
      <c r="K751">
        <v>0</v>
      </c>
      <c r="L751">
        <v>387.8</v>
      </c>
    </row>
    <row r="752" spans="1:12" x14ac:dyDescent="0.25">
      <c r="A752" t="str">
        <f t="shared" si="149"/>
        <v>89301000</v>
      </c>
      <c r="B752" t="str">
        <f t="shared" si="156"/>
        <v>89383000</v>
      </c>
      <c r="C752" t="str">
        <f t="shared" si="157"/>
        <v>89383002</v>
      </c>
      <c r="D752" t="str">
        <f t="shared" si="158"/>
        <v>809</v>
      </c>
      <c r="E752" t="str">
        <f>"89301212"</f>
        <v>89301212</v>
      </c>
      <c r="F752" t="str">
        <f>"6760110577"</f>
        <v>6760110577</v>
      </c>
      <c r="G752" s="1">
        <v>44589</v>
      </c>
      <c r="H752" t="str">
        <f>"89180"</f>
        <v>89180</v>
      </c>
      <c r="I752">
        <v>2</v>
      </c>
      <c r="J752">
        <v>752</v>
      </c>
      <c r="K752">
        <v>0</v>
      </c>
      <c r="L752">
        <v>1052.8</v>
      </c>
    </row>
    <row r="753" spans="1:12" x14ac:dyDescent="0.25">
      <c r="A753" t="str">
        <f t="shared" si="149"/>
        <v>89301000</v>
      </c>
      <c r="B753" t="str">
        <f t="shared" si="156"/>
        <v>89383000</v>
      </c>
      <c r="C753" t="str">
        <f t="shared" si="157"/>
        <v>89383002</v>
      </c>
      <c r="D753" t="str">
        <f t="shared" si="158"/>
        <v>809</v>
      </c>
      <c r="E753" t="str">
        <f>"89301212"</f>
        <v>89301212</v>
      </c>
      <c r="F753" t="str">
        <f>"6760110577"</f>
        <v>6760110577</v>
      </c>
      <c r="G753" s="1">
        <v>44589</v>
      </c>
      <c r="H753" t="str">
        <f>"89512"</f>
        <v>89512</v>
      </c>
      <c r="I753">
        <v>1</v>
      </c>
      <c r="J753">
        <v>277</v>
      </c>
      <c r="K753">
        <v>0</v>
      </c>
      <c r="L753">
        <v>387.8</v>
      </c>
    </row>
    <row r="754" spans="1:12" x14ac:dyDescent="0.25">
      <c r="A754" t="str">
        <f t="shared" si="149"/>
        <v>89301000</v>
      </c>
      <c r="B754" t="str">
        <f t="shared" si="156"/>
        <v>89383000</v>
      </c>
      <c r="C754" t="str">
        <f t="shared" si="157"/>
        <v>89383002</v>
      </c>
      <c r="D754" t="str">
        <f t="shared" si="158"/>
        <v>809</v>
      </c>
      <c r="E754" t="str">
        <f>"89301212"</f>
        <v>89301212</v>
      </c>
      <c r="F754" t="str">
        <f>"6760110577"</f>
        <v>6760110577</v>
      </c>
      <c r="G754" s="1">
        <v>44589</v>
      </c>
      <c r="H754" t="str">
        <f>"89513"</f>
        <v>89513</v>
      </c>
      <c r="I754">
        <v>1</v>
      </c>
      <c r="J754">
        <v>371</v>
      </c>
      <c r="K754">
        <v>0</v>
      </c>
      <c r="L754">
        <v>519.4</v>
      </c>
    </row>
    <row r="755" spans="1:12" x14ac:dyDescent="0.25">
      <c r="A755" t="str">
        <f t="shared" si="149"/>
        <v>89301000</v>
      </c>
      <c r="B755" t="str">
        <f t="shared" si="156"/>
        <v>89383000</v>
      </c>
      <c r="C755" t="str">
        <f t="shared" si="157"/>
        <v>89383002</v>
      </c>
      <c r="D755" t="str">
        <f t="shared" si="158"/>
        <v>809</v>
      </c>
      <c r="E755" t="str">
        <f>"89301212"</f>
        <v>89301212</v>
      </c>
      <c r="F755" t="str">
        <f>"6760110577"</f>
        <v>6760110577</v>
      </c>
      <c r="G755" s="1">
        <v>44589</v>
      </c>
      <c r="H755" t="str">
        <f>"89514"</f>
        <v>89514</v>
      </c>
      <c r="I755">
        <v>1</v>
      </c>
      <c r="J755">
        <v>371</v>
      </c>
      <c r="K755">
        <v>0</v>
      </c>
      <c r="L755">
        <v>519.4</v>
      </c>
    </row>
    <row r="756" spans="1:12" x14ac:dyDescent="0.25">
      <c r="A756" t="str">
        <f t="shared" si="149"/>
        <v>89301000</v>
      </c>
      <c r="B756" t="str">
        <f t="shared" si="156"/>
        <v>89383000</v>
      </c>
      <c r="C756" t="str">
        <f t="shared" si="157"/>
        <v>89383002</v>
      </c>
      <c r="D756" t="str">
        <f t="shared" si="158"/>
        <v>809</v>
      </c>
      <c r="E756" t="str">
        <f>"89301042"</f>
        <v>89301042</v>
      </c>
      <c r="F756" t="str">
        <f>"8160314459"</f>
        <v>8160314459</v>
      </c>
      <c r="G756" s="1">
        <v>44592</v>
      </c>
      <c r="H756" t="str">
        <f>"89180"</f>
        <v>89180</v>
      </c>
      <c r="I756">
        <v>2</v>
      </c>
      <c r="J756">
        <v>752</v>
      </c>
      <c r="K756">
        <v>0</v>
      </c>
      <c r="L756">
        <v>1052.8</v>
      </c>
    </row>
    <row r="757" spans="1:12" x14ac:dyDescent="0.25">
      <c r="A757" t="str">
        <f t="shared" si="149"/>
        <v>89301000</v>
      </c>
      <c r="B757" t="str">
        <f t="shared" si="156"/>
        <v>89383000</v>
      </c>
      <c r="C757" t="str">
        <f t="shared" si="157"/>
        <v>89383002</v>
      </c>
      <c r="D757" t="str">
        <f t="shared" si="158"/>
        <v>809</v>
      </c>
      <c r="E757" t="str">
        <f>"89301042"</f>
        <v>89301042</v>
      </c>
      <c r="F757" t="str">
        <f>"8160314459"</f>
        <v>8160314459</v>
      </c>
      <c r="G757" s="1">
        <v>44592</v>
      </c>
      <c r="H757" t="str">
        <f>"89513"</f>
        <v>89513</v>
      </c>
      <c r="I757">
        <v>1</v>
      </c>
      <c r="J757">
        <v>371</v>
      </c>
      <c r="K757">
        <v>0</v>
      </c>
      <c r="L757">
        <v>519.4</v>
      </c>
    </row>
    <row r="758" spans="1:12" x14ac:dyDescent="0.25">
      <c r="A758" t="str">
        <f t="shared" si="149"/>
        <v>89301000</v>
      </c>
      <c r="B758" t="str">
        <f t="shared" si="156"/>
        <v>89383000</v>
      </c>
      <c r="C758" t="str">
        <f t="shared" si="157"/>
        <v>89383002</v>
      </c>
      <c r="D758" t="str">
        <f t="shared" si="158"/>
        <v>809</v>
      </c>
      <c r="E758" t="str">
        <f>"89301042"</f>
        <v>89301042</v>
      </c>
      <c r="F758" t="str">
        <f>"8160314459"</f>
        <v>8160314459</v>
      </c>
      <c r="G758" s="1">
        <v>44592</v>
      </c>
      <c r="H758" t="str">
        <f>"89514"</f>
        <v>89514</v>
      </c>
      <c r="I758">
        <v>1</v>
      </c>
      <c r="J758">
        <v>371</v>
      </c>
      <c r="K758">
        <v>0</v>
      </c>
      <c r="L758">
        <v>519.4</v>
      </c>
    </row>
    <row r="759" spans="1:12" x14ac:dyDescent="0.25">
      <c r="A759" t="str">
        <f t="shared" si="149"/>
        <v>89301000</v>
      </c>
      <c r="B759" t="str">
        <f>"93641000"</f>
        <v>93641000</v>
      </c>
      <c r="C759" t="str">
        <f>"93641001"</f>
        <v>93641001</v>
      </c>
      <c r="D759" t="str">
        <f t="shared" si="158"/>
        <v>809</v>
      </c>
      <c r="E759" t="str">
        <f>"89301215"</f>
        <v>89301215</v>
      </c>
      <c r="F759" t="str">
        <f>"475822490"</f>
        <v>475822490</v>
      </c>
      <c r="G759" s="1">
        <v>44608</v>
      </c>
      <c r="H759" t="str">
        <f>"89312"</f>
        <v>89312</v>
      </c>
      <c r="I759">
        <v>2</v>
      </c>
      <c r="J759">
        <v>604</v>
      </c>
      <c r="K759">
        <v>0</v>
      </c>
      <c r="L759">
        <v>634.20000000000005</v>
      </c>
    </row>
    <row r="760" spans="1:12" x14ac:dyDescent="0.25">
      <c r="A760" t="str">
        <f t="shared" si="149"/>
        <v>89301000</v>
      </c>
      <c r="B760" t="str">
        <f t="shared" ref="B760:B806" si="159">"78915000"</f>
        <v>78915000</v>
      </c>
      <c r="C760" t="str">
        <f t="shared" ref="C760:C806" si="160">"78915001"</f>
        <v>78915001</v>
      </c>
      <c r="D760" t="str">
        <f t="shared" si="158"/>
        <v>809</v>
      </c>
      <c r="E760" t="str">
        <f>"89301062"</f>
        <v>89301062</v>
      </c>
      <c r="F760" t="str">
        <f>"426001405"</f>
        <v>426001405</v>
      </c>
      <c r="G760" s="1">
        <v>44596</v>
      </c>
      <c r="H760" t="str">
        <f>"89713"</f>
        <v>89713</v>
      </c>
      <c r="I760">
        <v>1</v>
      </c>
      <c r="J760">
        <v>5362</v>
      </c>
      <c r="K760">
        <v>0</v>
      </c>
      <c r="L760">
        <v>3217.2</v>
      </c>
    </row>
    <row r="761" spans="1:12" x14ac:dyDescent="0.25">
      <c r="A761" t="str">
        <f t="shared" si="149"/>
        <v>89301000</v>
      </c>
      <c r="B761" t="str">
        <f t="shared" si="159"/>
        <v>78915000</v>
      </c>
      <c r="C761" t="str">
        <f t="shared" si="160"/>
        <v>78915001</v>
      </c>
      <c r="D761" t="str">
        <f t="shared" si="158"/>
        <v>809</v>
      </c>
      <c r="E761" t="str">
        <f>"89301062"</f>
        <v>89301062</v>
      </c>
      <c r="F761" t="str">
        <f>"426001405"</f>
        <v>426001405</v>
      </c>
      <c r="G761" s="1">
        <v>44596</v>
      </c>
      <c r="H761" t="str">
        <f>"89725"</f>
        <v>89725</v>
      </c>
      <c r="I761">
        <v>1</v>
      </c>
      <c r="J761">
        <v>2839</v>
      </c>
      <c r="K761">
        <v>0</v>
      </c>
      <c r="L761">
        <v>1703.4</v>
      </c>
    </row>
    <row r="762" spans="1:12" x14ac:dyDescent="0.25">
      <c r="A762" t="str">
        <f t="shared" si="149"/>
        <v>89301000</v>
      </c>
      <c r="B762" t="str">
        <f t="shared" si="159"/>
        <v>78915000</v>
      </c>
      <c r="C762" t="str">
        <f t="shared" si="160"/>
        <v>78915001</v>
      </c>
      <c r="D762" t="str">
        <f t="shared" si="158"/>
        <v>809</v>
      </c>
      <c r="E762" t="str">
        <f>"89301606"</f>
        <v>89301606</v>
      </c>
      <c r="F762" t="str">
        <f>"485421121"</f>
        <v>485421121</v>
      </c>
      <c r="G762" s="1">
        <v>44617</v>
      </c>
      <c r="H762" t="str">
        <f>"89713"</f>
        <v>89713</v>
      </c>
      <c r="I762">
        <v>1</v>
      </c>
      <c r="J762">
        <v>5362</v>
      </c>
      <c r="K762">
        <v>0</v>
      </c>
      <c r="L762">
        <v>3217.2</v>
      </c>
    </row>
    <row r="763" spans="1:12" x14ac:dyDescent="0.25">
      <c r="A763" t="str">
        <f t="shared" si="149"/>
        <v>89301000</v>
      </c>
      <c r="B763" t="str">
        <f t="shared" si="159"/>
        <v>78915000</v>
      </c>
      <c r="C763" t="str">
        <f t="shared" si="160"/>
        <v>78915001</v>
      </c>
      <c r="D763" t="str">
        <f t="shared" si="158"/>
        <v>809</v>
      </c>
      <c r="E763" t="str">
        <f>"89301081"</f>
        <v>89301081</v>
      </c>
      <c r="F763" t="str">
        <f>"5512101452"</f>
        <v>5512101452</v>
      </c>
      <c r="G763" s="1">
        <v>44596</v>
      </c>
      <c r="H763" t="str">
        <f>"09569"</f>
        <v>09569</v>
      </c>
      <c r="I763">
        <v>1</v>
      </c>
      <c r="J763">
        <v>0</v>
      </c>
      <c r="K763">
        <v>0</v>
      </c>
      <c r="L763">
        <v>0</v>
      </c>
    </row>
    <row r="764" spans="1:12" x14ac:dyDescent="0.25">
      <c r="A764" t="str">
        <f t="shared" si="149"/>
        <v>89301000</v>
      </c>
      <c r="B764" t="str">
        <f t="shared" si="159"/>
        <v>78915000</v>
      </c>
      <c r="C764" t="str">
        <f t="shared" si="160"/>
        <v>78915001</v>
      </c>
      <c r="D764" t="str">
        <f t="shared" si="158"/>
        <v>809</v>
      </c>
      <c r="E764" t="str">
        <f>"89301081"</f>
        <v>89301081</v>
      </c>
      <c r="F764" t="str">
        <f>"5512101452"</f>
        <v>5512101452</v>
      </c>
      <c r="G764" s="1">
        <v>44596</v>
      </c>
      <c r="H764" t="str">
        <f>"89713"</f>
        <v>89713</v>
      </c>
      <c r="I764">
        <v>1</v>
      </c>
      <c r="J764">
        <v>5362</v>
      </c>
      <c r="K764">
        <v>0</v>
      </c>
      <c r="L764">
        <v>3217.2</v>
      </c>
    </row>
    <row r="765" spans="1:12" x14ac:dyDescent="0.25">
      <c r="A765" t="str">
        <f t="shared" si="149"/>
        <v>89301000</v>
      </c>
      <c r="B765" t="str">
        <f t="shared" si="159"/>
        <v>78915000</v>
      </c>
      <c r="C765" t="str">
        <f t="shared" si="160"/>
        <v>78915001</v>
      </c>
      <c r="D765" t="str">
        <f t="shared" si="158"/>
        <v>809</v>
      </c>
      <c r="E765" t="str">
        <f t="shared" ref="E765:E771" si="161">"89301062"</f>
        <v>89301062</v>
      </c>
      <c r="F765" t="str">
        <f>"5703222272"</f>
        <v>5703222272</v>
      </c>
      <c r="G765" s="1">
        <v>44618</v>
      </c>
      <c r="H765" t="str">
        <f>"89713"</f>
        <v>89713</v>
      </c>
      <c r="I765">
        <v>1</v>
      </c>
      <c r="J765">
        <v>5362</v>
      </c>
      <c r="K765">
        <v>0</v>
      </c>
      <c r="L765">
        <v>3217.2</v>
      </c>
    </row>
    <row r="766" spans="1:12" x14ac:dyDescent="0.25">
      <c r="A766" t="str">
        <f t="shared" si="149"/>
        <v>89301000</v>
      </c>
      <c r="B766" t="str">
        <f t="shared" si="159"/>
        <v>78915000</v>
      </c>
      <c r="C766" t="str">
        <f t="shared" si="160"/>
        <v>78915001</v>
      </c>
      <c r="D766" t="str">
        <f t="shared" si="158"/>
        <v>809</v>
      </c>
      <c r="E766" t="str">
        <f t="shared" si="161"/>
        <v>89301062</v>
      </c>
      <c r="F766" t="str">
        <f>"5703222272"</f>
        <v>5703222272</v>
      </c>
      <c r="G766" s="1">
        <v>44618</v>
      </c>
      <c r="H766" t="str">
        <f>"89725"</f>
        <v>89725</v>
      </c>
      <c r="I766">
        <v>1</v>
      </c>
      <c r="J766">
        <v>2839</v>
      </c>
      <c r="K766">
        <v>0</v>
      </c>
      <c r="L766">
        <v>1703.4</v>
      </c>
    </row>
    <row r="767" spans="1:12" x14ac:dyDescent="0.25">
      <c r="A767" t="str">
        <f t="shared" si="149"/>
        <v>89301000</v>
      </c>
      <c r="B767" t="str">
        <f t="shared" si="159"/>
        <v>78915000</v>
      </c>
      <c r="C767" t="str">
        <f t="shared" si="160"/>
        <v>78915001</v>
      </c>
      <c r="D767" t="str">
        <f t="shared" si="158"/>
        <v>809</v>
      </c>
      <c r="E767" t="str">
        <f t="shared" si="161"/>
        <v>89301062</v>
      </c>
      <c r="F767" t="str">
        <f>"5759201668"</f>
        <v>5759201668</v>
      </c>
      <c r="G767" s="1">
        <v>44617</v>
      </c>
      <c r="H767" t="str">
        <f>"89713"</f>
        <v>89713</v>
      </c>
      <c r="I767">
        <v>1</v>
      </c>
      <c r="J767">
        <v>5362</v>
      </c>
      <c r="K767">
        <v>0</v>
      </c>
      <c r="L767">
        <v>3217.2</v>
      </c>
    </row>
    <row r="768" spans="1:12" x14ac:dyDescent="0.25">
      <c r="A768" t="str">
        <f t="shared" si="149"/>
        <v>89301000</v>
      </c>
      <c r="B768" t="str">
        <f t="shared" si="159"/>
        <v>78915000</v>
      </c>
      <c r="C768" t="str">
        <f t="shared" si="160"/>
        <v>78915001</v>
      </c>
      <c r="D768" t="str">
        <f t="shared" si="158"/>
        <v>809</v>
      </c>
      <c r="E768" t="str">
        <f t="shared" si="161"/>
        <v>89301062</v>
      </c>
      <c r="F768" t="str">
        <f>"5759201668"</f>
        <v>5759201668</v>
      </c>
      <c r="G768" s="1">
        <v>44617</v>
      </c>
      <c r="H768" t="str">
        <f>"89725"</f>
        <v>89725</v>
      </c>
      <c r="I768">
        <v>1</v>
      </c>
      <c r="J768">
        <v>2839</v>
      </c>
      <c r="K768">
        <v>0</v>
      </c>
      <c r="L768">
        <v>1703.4</v>
      </c>
    </row>
    <row r="769" spans="1:12" x14ac:dyDescent="0.25">
      <c r="A769" t="str">
        <f t="shared" si="149"/>
        <v>89301000</v>
      </c>
      <c r="B769" t="str">
        <f t="shared" si="159"/>
        <v>78915000</v>
      </c>
      <c r="C769" t="str">
        <f t="shared" si="160"/>
        <v>78915001</v>
      </c>
      <c r="D769" t="str">
        <f t="shared" si="158"/>
        <v>809</v>
      </c>
      <c r="E769" t="str">
        <f t="shared" si="161"/>
        <v>89301062</v>
      </c>
      <c r="F769" t="str">
        <f>"5759201668"</f>
        <v>5759201668</v>
      </c>
      <c r="G769" s="1">
        <v>44620</v>
      </c>
      <c r="H769" t="str">
        <f>"89713"</f>
        <v>89713</v>
      </c>
      <c r="I769">
        <v>1</v>
      </c>
      <c r="J769">
        <v>5362</v>
      </c>
      <c r="K769">
        <v>0</v>
      </c>
      <c r="L769">
        <v>3217.2</v>
      </c>
    </row>
    <row r="770" spans="1:12" x14ac:dyDescent="0.25">
      <c r="A770" t="str">
        <f t="shared" ref="A770:A833" si="162">"89301000"</f>
        <v>89301000</v>
      </c>
      <c r="B770" t="str">
        <f t="shared" si="159"/>
        <v>78915000</v>
      </c>
      <c r="C770" t="str">
        <f t="shared" si="160"/>
        <v>78915001</v>
      </c>
      <c r="D770" t="str">
        <f t="shared" si="158"/>
        <v>809</v>
      </c>
      <c r="E770" t="str">
        <f t="shared" si="161"/>
        <v>89301062</v>
      </c>
      <c r="F770" t="str">
        <f>"5759201668"</f>
        <v>5759201668</v>
      </c>
      <c r="G770" s="1">
        <v>44620</v>
      </c>
      <c r="H770" t="str">
        <f>"89725"</f>
        <v>89725</v>
      </c>
      <c r="I770">
        <v>1</v>
      </c>
      <c r="J770">
        <v>2839</v>
      </c>
      <c r="K770">
        <v>0</v>
      </c>
      <c r="L770">
        <v>1703.4</v>
      </c>
    </row>
    <row r="771" spans="1:12" x14ac:dyDescent="0.25">
      <c r="A771" t="str">
        <f t="shared" si="162"/>
        <v>89301000</v>
      </c>
      <c r="B771" t="str">
        <f t="shared" si="159"/>
        <v>78915000</v>
      </c>
      <c r="C771" t="str">
        <f t="shared" si="160"/>
        <v>78915001</v>
      </c>
      <c r="D771" t="str">
        <f t="shared" si="158"/>
        <v>809</v>
      </c>
      <c r="E771" t="str">
        <f t="shared" si="161"/>
        <v>89301062</v>
      </c>
      <c r="F771" t="str">
        <f>"5759201668"</f>
        <v>5759201668</v>
      </c>
      <c r="G771" s="1">
        <v>44620</v>
      </c>
      <c r="H771" t="str">
        <f>"0207733"</f>
        <v>0207733</v>
      </c>
      <c r="I771">
        <v>1.26</v>
      </c>
      <c r="K771">
        <v>3264.07</v>
      </c>
      <c r="L771">
        <v>3264.07</v>
      </c>
    </row>
    <row r="772" spans="1:12" x14ac:dyDescent="0.25">
      <c r="A772" t="str">
        <f t="shared" si="162"/>
        <v>89301000</v>
      </c>
      <c r="B772" t="str">
        <f t="shared" si="159"/>
        <v>78915000</v>
      </c>
      <c r="C772" t="str">
        <f t="shared" si="160"/>
        <v>78915001</v>
      </c>
      <c r="D772" t="str">
        <f t="shared" si="158"/>
        <v>809</v>
      </c>
      <c r="E772" t="str">
        <f>"89301172"</f>
        <v>89301172</v>
      </c>
      <c r="F772" t="str">
        <f>"6054232162"</f>
        <v>6054232162</v>
      </c>
      <c r="G772" s="1">
        <v>44601</v>
      </c>
      <c r="H772" t="str">
        <f>"89713"</f>
        <v>89713</v>
      </c>
      <c r="I772">
        <v>2</v>
      </c>
      <c r="J772">
        <v>10724</v>
      </c>
      <c r="K772">
        <v>0</v>
      </c>
      <c r="L772">
        <v>6434.4</v>
      </c>
    </row>
    <row r="773" spans="1:12" x14ac:dyDescent="0.25">
      <c r="A773" t="str">
        <f t="shared" si="162"/>
        <v>89301000</v>
      </c>
      <c r="B773" t="str">
        <f t="shared" si="159"/>
        <v>78915000</v>
      </c>
      <c r="C773" t="str">
        <f t="shared" si="160"/>
        <v>78915001</v>
      </c>
      <c r="D773" t="str">
        <f t="shared" si="158"/>
        <v>809</v>
      </c>
      <c r="E773" t="str">
        <f>"89301172"</f>
        <v>89301172</v>
      </c>
      <c r="F773" t="str">
        <f>"6054232162"</f>
        <v>6054232162</v>
      </c>
      <c r="G773" s="1">
        <v>44601</v>
      </c>
      <c r="H773" t="str">
        <f>"89725"</f>
        <v>89725</v>
      </c>
      <c r="I773">
        <v>1</v>
      </c>
      <c r="J773">
        <v>2839</v>
      </c>
      <c r="K773">
        <v>0</v>
      </c>
      <c r="L773">
        <v>1703.4</v>
      </c>
    </row>
    <row r="774" spans="1:12" x14ac:dyDescent="0.25">
      <c r="A774" t="str">
        <f t="shared" si="162"/>
        <v>89301000</v>
      </c>
      <c r="B774" t="str">
        <f t="shared" si="159"/>
        <v>78915000</v>
      </c>
      <c r="C774" t="str">
        <f t="shared" si="160"/>
        <v>78915001</v>
      </c>
      <c r="D774" t="str">
        <f t="shared" si="158"/>
        <v>809</v>
      </c>
      <c r="E774" t="str">
        <f>"89301062"</f>
        <v>89301062</v>
      </c>
      <c r="F774" t="str">
        <f>"6155111259"</f>
        <v>6155111259</v>
      </c>
      <c r="G774" s="1">
        <v>44613</v>
      </c>
      <c r="H774" t="str">
        <f>"89713"</f>
        <v>89713</v>
      </c>
      <c r="I774">
        <v>1</v>
      </c>
      <c r="J774">
        <v>5362</v>
      </c>
      <c r="K774">
        <v>0</v>
      </c>
      <c r="L774">
        <v>3217.2</v>
      </c>
    </row>
    <row r="775" spans="1:12" x14ac:dyDescent="0.25">
      <c r="A775" t="str">
        <f t="shared" si="162"/>
        <v>89301000</v>
      </c>
      <c r="B775" t="str">
        <f t="shared" si="159"/>
        <v>78915000</v>
      </c>
      <c r="C775" t="str">
        <f t="shared" si="160"/>
        <v>78915001</v>
      </c>
      <c r="D775" t="str">
        <f t="shared" si="158"/>
        <v>809</v>
      </c>
      <c r="E775" t="str">
        <f>"89301062"</f>
        <v>89301062</v>
      </c>
      <c r="F775" t="str">
        <f>"6155111259"</f>
        <v>6155111259</v>
      </c>
      <c r="G775" s="1">
        <v>44613</v>
      </c>
      <c r="H775" t="str">
        <f>"89725"</f>
        <v>89725</v>
      </c>
      <c r="I775">
        <v>1</v>
      </c>
      <c r="J775">
        <v>2839</v>
      </c>
      <c r="K775">
        <v>0</v>
      </c>
      <c r="L775">
        <v>1703.4</v>
      </c>
    </row>
    <row r="776" spans="1:12" x14ac:dyDescent="0.25">
      <c r="A776" t="str">
        <f t="shared" si="162"/>
        <v>89301000</v>
      </c>
      <c r="B776" t="str">
        <f t="shared" si="159"/>
        <v>78915000</v>
      </c>
      <c r="C776" t="str">
        <f t="shared" si="160"/>
        <v>78915001</v>
      </c>
      <c r="D776" t="str">
        <f t="shared" si="158"/>
        <v>809</v>
      </c>
      <c r="E776" t="str">
        <f>"89301112"</f>
        <v>89301112</v>
      </c>
      <c r="F776" t="str">
        <f>"6355091622"</f>
        <v>6355091622</v>
      </c>
      <c r="G776" s="1">
        <v>44610</v>
      </c>
      <c r="H776" t="str">
        <f>"09569"</f>
        <v>09569</v>
      </c>
      <c r="I776">
        <v>1</v>
      </c>
      <c r="J776">
        <v>0</v>
      </c>
      <c r="K776">
        <v>0</v>
      </c>
      <c r="L776">
        <v>0</v>
      </c>
    </row>
    <row r="777" spans="1:12" x14ac:dyDescent="0.25">
      <c r="A777" t="str">
        <f t="shared" si="162"/>
        <v>89301000</v>
      </c>
      <c r="B777" t="str">
        <f t="shared" si="159"/>
        <v>78915000</v>
      </c>
      <c r="C777" t="str">
        <f t="shared" si="160"/>
        <v>78915001</v>
      </c>
      <c r="D777" t="str">
        <f t="shared" si="158"/>
        <v>809</v>
      </c>
      <c r="E777" t="str">
        <f>"89301112"</f>
        <v>89301112</v>
      </c>
      <c r="F777" t="str">
        <f>"6355091622"</f>
        <v>6355091622</v>
      </c>
      <c r="G777" s="1">
        <v>44610</v>
      </c>
      <c r="H777" t="str">
        <f>"89713"</f>
        <v>89713</v>
      </c>
      <c r="I777">
        <v>1</v>
      </c>
      <c r="J777">
        <v>5362</v>
      </c>
      <c r="K777">
        <v>0</v>
      </c>
      <c r="L777">
        <v>3217.2</v>
      </c>
    </row>
    <row r="778" spans="1:12" x14ac:dyDescent="0.25">
      <c r="A778" t="str">
        <f t="shared" si="162"/>
        <v>89301000</v>
      </c>
      <c r="B778" t="str">
        <f t="shared" si="159"/>
        <v>78915000</v>
      </c>
      <c r="C778" t="str">
        <f t="shared" si="160"/>
        <v>78915001</v>
      </c>
      <c r="D778" t="str">
        <f t="shared" si="158"/>
        <v>809</v>
      </c>
      <c r="E778" t="str">
        <f>"89301292"</f>
        <v>89301292</v>
      </c>
      <c r="F778" t="str">
        <f>"6402061083"</f>
        <v>6402061083</v>
      </c>
      <c r="G778" s="1">
        <v>44596</v>
      </c>
      <c r="H778" t="str">
        <f>"09567"</f>
        <v>09567</v>
      </c>
      <c r="I778">
        <v>1</v>
      </c>
      <c r="J778">
        <v>0</v>
      </c>
      <c r="K778">
        <v>0</v>
      </c>
      <c r="L778">
        <v>0</v>
      </c>
    </row>
    <row r="779" spans="1:12" x14ac:dyDescent="0.25">
      <c r="A779" t="str">
        <f t="shared" si="162"/>
        <v>89301000</v>
      </c>
      <c r="B779" t="str">
        <f t="shared" si="159"/>
        <v>78915000</v>
      </c>
      <c r="C779" t="str">
        <f t="shared" si="160"/>
        <v>78915001</v>
      </c>
      <c r="D779" t="str">
        <f t="shared" si="158"/>
        <v>809</v>
      </c>
      <c r="E779" t="str">
        <f>"89301292"</f>
        <v>89301292</v>
      </c>
      <c r="F779" t="str">
        <f>"6402061083"</f>
        <v>6402061083</v>
      </c>
      <c r="G779" s="1">
        <v>44596</v>
      </c>
      <c r="H779" t="str">
        <f>"89713"</f>
        <v>89713</v>
      </c>
      <c r="I779">
        <v>1</v>
      </c>
      <c r="J779">
        <v>5362</v>
      </c>
      <c r="K779">
        <v>0</v>
      </c>
      <c r="L779">
        <v>3217.2</v>
      </c>
    </row>
    <row r="780" spans="1:12" x14ac:dyDescent="0.25">
      <c r="A780" t="str">
        <f t="shared" si="162"/>
        <v>89301000</v>
      </c>
      <c r="B780" t="str">
        <f t="shared" si="159"/>
        <v>78915000</v>
      </c>
      <c r="C780" t="str">
        <f t="shared" si="160"/>
        <v>78915001</v>
      </c>
      <c r="D780" t="str">
        <f t="shared" si="158"/>
        <v>809</v>
      </c>
      <c r="E780" t="str">
        <f>"89301062"</f>
        <v>89301062</v>
      </c>
      <c r="F780" t="str">
        <f>"6407260739"</f>
        <v>6407260739</v>
      </c>
      <c r="G780" s="1">
        <v>44599</v>
      </c>
      <c r="H780" t="str">
        <f>"89713"</f>
        <v>89713</v>
      </c>
      <c r="I780">
        <v>1</v>
      </c>
      <c r="J780">
        <v>5362</v>
      </c>
      <c r="K780">
        <v>0</v>
      </c>
      <c r="L780">
        <v>3217.2</v>
      </c>
    </row>
    <row r="781" spans="1:12" x14ac:dyDescent="0.25">
      <c r="A781" t="str">
        <f t="shared" si="162"/>
        <v>89301000</v>
      </c>
      <c r="B781" t="str">
        <f t="shared" si="159"/>
        <v>78915000</v>
      </c>
      <c r="C781" t="str">
        <f t="shared" si="160"/>
        <v>78915001</v>
      </c>
      <c r="D781" t="str">
        <f t="shared" si="158"/>
        <v>809</v>
      </c>
      <c r="E781" t="str">
        <f>"89301062"</f>
        <v>89301062</v>
      </c>
      <c r="F781" t="str">
        <f>"6407260739"</f>
        <v>6407260739</v>
      </c>
      <c r="G781" s="1">
        <v>44599</v>
      </c>
      <c r="H781" t="str">
        <f>"89725"</f>
        <v>89725</v>
      </c>
      <c r="I781">
        <v>1</v>
      </c>
      <c r="J781">
        <v>2839</v>
      </c>
      <c r="K781">
        <v>0</v>
      </c>
      <c r="L781">
        <v>1703.4</v>
      </c>
    </row>
    <row r="782" spans="1:12" x14ac:dyDescent="0.25">
      <c r="A782" t="str">
        <f t="shared" si="162"/>
        <v>89301000</v>
      </c>
      <c r="B782" t="str">
        <f t="shared" si="159"/>
        <v>78915000</v>
      </c>
      <c r="C782" t="str">
        <f t="shared" si="160"/>
        <v>78915001</v>
      </c>
      <c r="D782" t="str">
        <f t="shared" si="158"/>
        <v>809</v>
      </c>
      <c r="E782" t="str">
        <f>"89301062"</f>
        <v>89301062</v>
      </c>
      <c r="F782" t="str">
        <f>"6757051059"</f>
        <v>6757051059</v>
      </c>
      <c r="G782" s="1">
        <v>44602</v>
      </c>
      <c r="H782" t="str">
        <f>"89713"</f>
        <v>89713</v>
      </c>
      <c r="I782">
        <v>1</v>
      </c>
      <c r="J782">
        <v>5362</v>
      </c>
      <c r="K782">
        <v>0</v>
      </c>
      <c r="L782">
        <v>3217.2</v>
      </c>
    </row>
    <row r="783" spans="1:12" x14ac:dyDescent="0.25">
      <c r="A783" t="str">
        <f t="shared" si="162"/>
        <v>89301000</v>
      </c>
      <c r="B783" t="str">
        <f t="shared" si="159"/>
        <v>78915000</v>
      </c>
      <c r="C783" t="str">
        <f t="shared" si="160"/>
        <v>78915001</v>
      </c>
      <c r="D783" t="str">
        <f t="shared" ref="D783:D806" si="163">"809"</f>
        <v>809</v>
      </c>
      <c r="E783" t="str">
        <f>"89301062"</f>
        <v>89301062</v>
      </c>
      <c r="F783" t="str">
        <f>"6757051059"</f>
        <v>6757051059</v>
      </c>
      <c r="G783" s="1">
        <v>44602</v>
      </c>
      <c r="H783" t="str">
        <f>"89725"</f>
        <v>89725</v>
      </c>
      <c r="I783">
        <v>1</v>
      </c>
      <c r="J783">
        <v>2839</v>
      </c>
      <c r="K783">
        <v>0</v>
      </c>
      <c r="L783">
        <v>1703.4</v>
      </c>
    </row>
    <row r="784" spans="1:12" x14ac:dyDescent="0.25">
      <c r="A784" t="str">
        <f t="shared" si="162"/>
        <v>89301000</v>
      </c>
      <c r="B784" t="str">
        <f t="shared" si="159"/>
        <v>78915000</v>
      </c>
      <c r="C784" t="str">
        <f t="shared" si="160"/>
        <v>78915001</v>
      </c>
      <c r="D784" t="str">
        <f t="shared" si="163"/>
        <v>809</v>
      </c>
      <c r="E784" t="str">
        <f>"89301292"</f>
        <v>89301292</v>
      </c>
      <c r="F784" t="str">
        <f>"7004155686"</f>
        <v>7004155686</v>
      </c>
      <c r="G784" s="1">
        <v>44607</v>
      </c>
      <c r="H784" t="str">
        <f>"09572"</f>
        <v>09572</v>
      </c>
      <c r="I784">
        <v>1</v>
      </c>
      <c r="J784">
        <v>0</v>
      </c>
      <c r="K784">
        <v>0</v>
      </c>
      <c r="L784">
        <v>0</v>
      </c>
    </row>
    <row r="785" spans="1:12" x14ac:dyDescent="0.25">
      <c r="A785" t="str">
        <f t="shared" si="162"/>
        <v>89301000</v>
      </c>
      <c r="B785" t="str">
        <f t="shared" si="159"/>
        <v>78915000</v>
      </c>
      <c r="C785" t="str">
        <f t="shared" si="160"/>
        <v>78915001</v>
      </c>
      <c r="D785" t="str">
        <f t="shared" si="163"/>
        <v>809</v>
      </c>
      <c r="E785" t="str">
        <f>"89301292"</f>
        <v>89301292</v>
      </c>
      <c r="F785" t="str">
        <f>"7004155686"</f>
        <v>7004155686</v>
      </c>
      <c r="G785" s="1">
        <v>44607</v>
      </c>
      <c r="H785" t="str">
        <f>"89713"</f>
        <v>89713</v>
      </c>
      <c r="I785">
        <v>2</v>
      </c>
      <c r="J785">
        <v>10724</v>
      </c>
      <c r="K785">
        <v>0</v>
      </c>
      <c r="L785">
        <v>6434.4</v>
      </c>
    </row>
    <row r="786" spans="1:12" x14ac:dyDescent="0.25">
      <c r="A786" t="str">
        <f t="shared" si="162"/>
        <v>89301000</v>
      </c>
      <c r="B786" t="str">
        <f t="shared" si="159"/>
        <v>78915000</v>
      </c>
      <c r="C786" t="str">
        <f t="shared" si="160"/>
        <v>78915001</v>
      </c>
      <c r="D786" t="str">
        <f t="shared" si="163"/>
        <v>809</v>
      </c>
      <c r="E786" t="str">
        <f>"89301062"</f>
        <v>89301062</v>
      </c>
      <c r="F786" t="str">
        <f>"7055025780"</f>
        <v>7055025780</v>
      </c>
      <c r="G786" s="1">
        <v>44596</v>
      </c>
      <c r="H786" t="str">
        <f>"89713"</f>
        <v>89713</v>
      </c>
      <c r="I786">
        <v>1</v>
      </c>
      <c r="J786">
        <v>5362</v>
      </c>
      <c r="K786">
        <v>0</v>
      </c>
      <c r="L786">
        <v>3217.2</v>
      </c>
    </row>
    <row r="787" spans="1:12" x14ac:dyDescent="0.25">
      <c r="A787" t="str">
        <f t="shared" si="162"/>
        <v>89301000</v>
      </c>
      <c r="B787" t="str">
        <f t="shared" si="159"/>
        <v>78915000</v>
      </c>
      <c r="C787" t="str">
        <f t="shared" si="160"/>
        <v>78915001</v>
      </c>
      <c r="D787" t="str">
        <f t="shared" si="163"/>
        <v>809</v>
      </c>
      <c r="E787" t="str">
        <f>"89301062"</f>
        <v>89301062</v>
      </c>
      <c r="F787" t="str">
        <f>"7055025780"</f>
        <v>7055025780</v>
      </c>
      <c r="G787" s="1">
        <v>44596</v>
      </c>
      <c r="H787" t="str">
        <f>"89725"</f>
        <v>89725</v>
      </c>
      <c r="I787">
        <v>1</v>
      </c>
      <c r="J787">
        <v>2839</v>
      </c>
      <c r="K787">
        <v>0</v>
      </c>
      <c r="L787">
        <v>1703.4</v>
      </c>
    </row>
    <row r="788" spans="1:12" x14ac:dyDescent="0.25">
      <c r="A788" t="str">
        <f t="shared" si="162"/>
        <v>89301000</v>
      </c>
      <c r="B788" t="str">
        <f t="shared" si="159"/>
        <v>78915000</v>
      </c>
      <c r="C788" t="str">
        <f t="shared" si="160"/>
        <v>78915001</v>
      </c>
      <c r="D788" t="str">
        <f t="shared" si="163"/>
        <v>809</v>
      </c>
      <c r="E788" t="str">
        <f>"89301212"</f>
        <v>89301212</v>
      </c>
      <c r="F788" t="str">
        <f>"7458245344"</f>
        <v>7458245344</v>
      </c>
      <c r="G788" s="1">
        <v>44610</v>
      </c>
      <c r="H788" t="str">
        <f>"89713"</f>
        <v>89713</v>
      </c>
      <c r="I788">
        <v>1</v>
      </c>
      <c r="J788">
        <v>5362</v>
      </c>
      <c r="K788">
        <v>0</v>
      </c>
      <c r="L788">
        <v>3217.2</v>
      </c>
    </row>
    <row r="789" spans="1:12" x14ac:dyDescent="0.25">
      <c r="A789" t="str">
        <f t="shared" si="162"/>
        <v>89301000</v>
      </c>
      <c r="B789" t="str">
        <f t="shared" si="159"/>
        <v>78915000</v>
      </c>
      <c r="C789" t="str">
        <f t="shared" si="160"/>
        <v>78915001</v>
      </c>
      <c r="D789" t="str">
        <f t="shared" si="163"/>
        <v>809</v>
      </c>
      <c r="E789" t="str">
        <f>"89301212"</f>
        <v>89301212</v>
      </c>
      <c r="F789" t="str">
        <f>"7458245344"</f>
        <v>7458245344</v>
      </c>
      <c r="G789" s="1">
        <v>44610</v>
      </c>
      <c r="H789" t="str">
        <f>"89725"</f>
        <v>89725</v>
      </c>
      <c r="I789">
        <v>1</v>
      </c>
      <c r="J789">
        <v>2839</v>
      </c>
      <c r="K789">
        <v>0</v>
      </c>
      <c r="L789">
        <v>1703.4</v>
      </c>
    </row>
    <row r="790" spans="1:12" x14ac:dyDescent="0.25">
      <c r="A790" t="str">
        <f t="shared" si="162"/>
        <v>89301000</v>
      </c>
      <c r="B790" t="str">
        <f t="shared" si="159"/>
        <v>78915000</v>
      </c>
      <c r="C790" t="str">
        <f t="shared" si="160"/>
        <v>78915001</v>
      </c>
      <c r="D790" t="str">
        <f t="shared" si="163"/>
        <v>809</v>
      </c>
      <c r="E790" t="str">
        <f>"89301212"</f>
        <v>89301212</v>
      </c>
      <c r="F790" t="str">
        <f>"7458245344"</f>
        <v>7458245344</v>
      </c>
      <c r="G790" s="1">
        <v>44610</v>
      </c>
      <c r="H790" t="str">
        <f>"0207733"</f>
        <v>0207733</v>
      </c>
      <c r="I790">
        <v>1</v>
      </c>
      <c r="K790">
        <v>2590.5300000000002</v>
      </c>
      <c r="L790">
        <v>2590.5300000000002</v>
      </c>
    </row>
    <row r="791" spans="1:12" x14ac:dyDescent="0.25">
      <c r="A791" t="str">
        <f t="shared" si="162"/>
        <v>89301000</v>
      </c>
      <c r="B791" t="str">
        <f t="shared" si="159"/>
        <v>78915000</v>
      </c>
      <c r="C791" t="str">
        <f t="shared" si="160"/>
        <v>78915001</v>
      </c>
      <c r="D791" t="str">
        <f t="shared" si="163"/>
        <v>809</v>
      </c>
      <c r="E791" t="str">
        <f>"89301112"</f>
        <v>89301112</v>
      </c>
      <c r="F791" t="str">
        <f>"7505294456"</f>
        <v>7505294456</v>
      </c>
      <c r="G791" s="1">
        <v>44595</v>
      </c>
      <c r="H791" t="str">
        <f>"09567"</f>
        <v>09567</v>
      </c>
      <c r="I791">
        <v>1</v>
      </c>
      <c r="J791">
        <v>0</v>
      </c>
      <c r="K791">
        <v>0</v>
      </c>
      <c r="L791">
        <v>0</v>
      </c>
    </row>
    <row r="792" spans="1:12" x14ac:dyDescent="0.25">
      <c r="A792" t="str">
        <f t="shared" si="162"/>
        <v>89301000</v>
      </c>
      <c r="B792" t="str">
        <f t="shared" si="159"/>
        <v>78915000</v>
      </c>
      <c r="C792" t="str">
        <f t="shared" si="160"/>
        <v>78915001</v>
      </c>
      <c r="D792" t="str">
        <f t="shared" si="163"/>
        <v>809</v>
      </c>
      <c r="E792" t="str">
        <f>"89301112"</f>
        <v>89301112</v>
      </c>
      <c r="F792" t="str">
        <f>"7505294456"</f>
        <v>7505294456</v>
      </c>
      <c r="G792" s="1">
        <v>44595</v>
      </c>
      <c r="H792" t="str">
        <f>"89713"</f>
        <v>89713</v>
      </c>
      <c r="I792">
        <v>1</v>
      </c>
      <c r="J792">
        <v>5362</v>
      </c>
      <c r="K792">
        <v>0</v>
      </c>
      <c r="L792">
        <v>3217.2</v>
      </c>
    </row>
    <row r="793" spans="1:12" x14ac:dyDescent="0.25">
      <c r="A793" t="str">
        <f t="shared" si="162"/>
        <v>89301000</v>
      </c>
      <c r="B793" t="str">
        <f t="shared" si="159"/>
        <v>78915000</v>
      </c>
      <c r="C793" t="str">
        <f t="shared" si="160"/>
        <v>78915001</v>
      </c>
      <c r="D793" t="str">
        <f t="shared" si="163"/>
        <v>809</v>
      </c>
      <c r="E793" t="str">
        <f>"89301172"</f>
        <v>89301172</v>
      </c>
      <c r="F793" t="str">
        <f>"7660014461"</f>
        <v>7660014461</v>
      </c>
      <c r="G793" s="1">
        <v>44601</v>
      </c>
      <c r="H793" t="str">
        <f>"89713"</f>
        <v>89713</v>
      </c>
      <c r="I793">
        <v>1</v>
      </c>
      <c r="J793">
        <v>5362</v>
      </c>
      <c r="K793">
        <v>0</v>
      </c>
      <c r="L793">
        <v>3217.2</v>
      </c>
    </row>
    <row r="794" spans="1:12" x14ac:dyDescent="0.25">
      <c r="A794" t="str">
        <f t="shared" si="162"/>
        <v>89301000</v>
      </c>
      <c r="B794" t="str">
        <f t="shared" si="159"/>
        <v>78915000</v>
      </c>
      <c r="C794" t="str">
        <f t="shared" si="160"/>
        <v>78915001</v>
      </c>
      <c r="D794" t="str">
        <f t="shared" si="163"/>
        <v>809</v>
      </c>
      <c r="E794" t="str">
        <f>"89301172"</f>
        <v>89301172</v>
      </c>
      <c r="F794" t="str">
        <f>"7660014461"</f>
        <v>7660014461</v>
      </c>
      <c r="G794" s="1">
        <v>44601</v>
      </c>
      <c r="H794" t="str">
        <f>"89725"</f>
        <v>89725</v>
      </c>
      <c r="I794">
        <v>1</v>
      </c>
      <c r="J794">
        <v>2839</v>
      </c>
      <c r="K794">
        <v>0</v>
      </c>
      <c r="L794">
        <v>1703.4</v>
      </c>
    </row>
    <row r="795" spans="1:12" x14ac:dyDescent="0.25">
      <c r="A795" t="str">
        <f t="shared" si="162"/>
        <v>89301000</v>
      </c>
      <c r="B795" t="str">
        <f t="shared" si="159"/>
        <v>78915000</v>
      </c>
      <c r="C795" t="str">
        <f t="shared" si="160"/>
        <v>78915001</v>
      </c>
      <c r="D795" t="str">
        <f t="shared" si="163"/>
        <v>809</v>
      </c>
      <c r="E795" t="str">
        <f>"89301062"</f>
        <v>89301062</v>
      </c>
      <c r="F795" t="str">
        <f>"7911265307"</f>
        <v>7911265307</v>
      </c>
      <c r="G795" s="1">
        <v>44606</v>
      </c>
      <c r="H795" t="str">
        <f>"89713"</f>
        <v>89713</v>
      </c>
      <c r="I795">
        <v>1</v>
      </c>
      <c r="J795">
        <v>5362</v>
      </c>
      <c r="K795">
        <v>0</v>
      </c>
      <c r="L795">
        <v>3217.2</v>
      </c>
    </row>
    <row r="796" spans="1:12" x14ac:dyDescent="0.25">
      <c r="A796" t="str">
        <f t="shared" si="162"/>
        <v>89301000</v>
      </c>
      <c r="B796" t="str">
        <f t="shared" si="159"/>
        <v>78915000</v>
      </c>
      <c r="C796" t="str">
        <f t="shared" si="160"/>
        <v>78915001</v>
      </c>
      <c r="D796" t="str">
        <f t="shared" si="163"/>
        <v>809</v>
      </c>
      <c r="E796" t="str">
        <f>"89301062"</f>
        <v>89301062</v>
      </c>
      <c r="F796" t="str">
        <f>"7911265307"</f>
        <v>7911265307</v>
      </c>
      <c r="G796" s="1">
        <v>44606</v>
      </c>
      <c r="H796" t="str">
        <f>"89725"</f>
        <v>89725</v>
      </c>
      <c r="I796">
        <v>1</v>
      </c>
      <c r="J796">
        <v>2839</v>
      </c>
      <c r="K796">
        <v>0</v>
      </c>
      <c r="L796">
        <v>1703.4</v>
      </c>
    </row>
    <row r="797" spans="1:12" x14ac:dyDescent="0.25">
      <c r="A797" t="str">
        <f t="shared" si="162"/>
        <v>89301000</v>
      </c>
      <c r="B797" t="str">
        <f t="shared" si="159"/>
        <v>78915000</v>
      </c>
      <c r="C797" t="str">
        <f t="shared" si="160"/>
        <v>78915001</v>
      </c>
      <c r="D797" t="str">
        <f t="shared" si="163"/>
        <v>809</v>
      </c>
      <c r="E797" t="str">
        <f>"89301292"</f>
        <v>89301292</v>
      </c>
      <c r="F797" t="str">
        <f>"8659014914"</f>
        <v>8659014914</v>
      </c>
      <c r="G797" s="1">
        <v>44601</v>
      </c>
      <c r="H797" t="str">
        <f>"89715"</f>
        <v>89715</v>
      </c>
      <c r="I797">
        <v>1</v>
      </c>
      <c r="J797">
        <v>5474</v>
      </c>
      <c r="K797">
        <v>0</v>
      </c>
      <c r="L797">
        <v>3284.4</v>
      </c>
    </row>
    <row r="798" spans="1:12" x14ac:dyDescent="0.25">
      <c r="A798" t="str">
        <f t="shared" si="162"/>
        <v>89301000</v>
      </c>
      <c r="B798" t="str">
        <f t="shared" si="159"/>
        <v>78915000</v>
      </c>
      <c r="C798" t="str">
        <f t="shared" si="160"/>
        <v>78915001</v>
      </c>
      <c r="D798" t="str">
        <f t="shared" si="163"/>
        <v>809</v>
      </c>
      <c r="E798" t="str">
        <f>"89301292"</f>
        <v>89301292</v>
      </c>
      <c r="F798" t="str">
        <f>"8659014914"</f>
        <v>8659014914</v>
      </c>
      <c r="G798" s="1">
        <v>44601</v>
      </c>
      <c r="H798" t="str">
        <f>"89725"</f>
        <v>89725</v>
      </c>
      <c r="I798">
        <v>1</v>
      </c>
      <c r="J798">
        <v>2839</v>
      </c>
      <c r="K798">
        <v>0</v>
      </c>
      <c r="L798">
        <v>1703.4</v>
      </c>
    </row>
    <row r="799" spans="1:12" x14ac:dyDescent="0.25">
      <c r="A799" t="str">
        <f t="shared" si="162"/>
        <v>89301000</v>
      </c>
      <c r="B799" t="str">
        <f t="shared" si="159"/>
        <v>78915000</v>
      </c>
      <c r="C799" t="str">
        <f t="shared" si="160"/>
        <v>78915001</v>
      </c>
      <c r="D799" t="str">
        <f t="shared" si="163"/>
        <v>809</v>
      </c>
      <c r="E799" t="str">
        <f>"89301292"</f>
        <v>89301292</v>
      </c>
      <c r="F799" t="str">
        <f>"8659014914"</f>
        <v>8659014914</v>
      </c>
      <c r="G799" s="1">
        <v>44601</v>
      </c>
      <c r="H799" t="str">
        <f>"0207733"</f>
        <v>0207733</v>
      </c>
      <c r="I799">
        <v>1</v>
      </c>
      <c r="K799">
        <v>2590.5300000000002</v>
      </c>
      <c r="L799">
        <v>2590.5300000000002</v>
      </c>
    </row>
    <row r="800" spans="1:12" x14ac:dyDescent="0.25">
      <c r="A800" t="str">
        <f t="shared" si="162"/>
        <v>89301000</v>
      </c>
      <c r="B800" t="str">
        <f t="shared" si="159"/>
        <v>78915000</v>
      </c>
      <c r="C800" t="str">
        <f t="shared" si="160"/>
        <v>78915001</v>
      </c>
      <c r="D800" t="str">
        <f t="shared" si="163"/>
        <v>809</v>
      </c>
      <c r="E800" t="str">
        <f>"89301212"</f>
        <v>89301212</v>
      </c>
      <c r="F800" t="str">
        <f>"8904105705"</f>
        <v>8904105705</v>
      </c>
      <c r="G800" s="1">
        <v>44594</v>
      </c>
      <c r="H800" t="str">
        <f>"89715"</f>
        <v>89715</v>
      </c>
      <c r="I800">
        <v>1</v>
      </c>
      <c r="J800">
        <v>5474</v>
      </c>
      <c r="K800">
        <v>0</v>
      </c>
      <c r="L800">
        <v>3284.4</v>
      </c>
    </row>
    <row r="801" spans="1:12" x14ac:dyDescent="0.25">
      <c r="A801" t="str">
        <f t="shared" si="162"/>
        <v>89301000</v>
      </c>
      <c r="B801" t="str">
        <f t="shared" si="159"/>
        <v>78915000</v>
      </c>
      <c r="C801" t="str">
        <f t="shared" si="160"/>
        <v>78915001</v>
      </c>
      <c r="D801" t="str">
        <f t="shared" si="163"/>
        <v>809</v>
      </c>
      <c r="E801" t="str">
        <f>"89301212"</f>
        <v>89301212</v>
      </c>
      <c r="F801" t="str">
        <f>"8904105705"</f>
        <v>8904105705</v>
      </c>
      <c r="G801" s="1">
        <v>44594</v>
      </c>
      <c r="H801" t="str">
        <f>"89725"</f>
        <v>89725</v>
      </c>
      <c r="I801">
        <v>1</v>
      </c>
      <c r="J801">
        <v>2839</v>
      </c>
      <c r="K801">
        <v>0</v>
      </c>
      <c r="L801">
        <v>1703.4</v>
      </c>
    </row>
    <row r="802" spans="1:12" x14ac:dyDescent="0.25">
      <c r="A802" t="str">
        <f t="shared" si="162"/>
        <v>89301000</v>
      </c>
      <c r="B802" t="str">
        <f t="shared" si="159"/>
        <v>78915000</v>
      </c>
      <c r="C802" t="str">
        <f t="shared" si="160"/>
        <v>78915001</v>
      </c>
      <c r="D802" t="str">
        <f t="shared" si="163"/>
        <v>809</v>
      </c>
      <c r="E802" t="str">
        <f>"89301212"</f>
        <v>89301212</v>
      </c>
      <c r="F802" t="str">
        <f>"8904105705"</f>
        <v>8904105705</v>
      </c>
      <c r="G802" s="1">
        <v>44594</v>
      </c>
      <c r="H802" t="str">
        <f>"0207733"</f>
        <v>0207733</v>
      </c>
      <c r="I802">
        <v>1</v>
      </c>
      <c r="K802">
        <v>2590.5300000000002</v>
      </c>
      <c r="L802">
        <v>2590.5300000000002</v>
      </c>
    </row>
    <row r="803" spans="1:12" x14ac:dyDescent="0.25">
      <c r="A803" t="str">
        <f t="shared" si="162"/>
        <v>89301000</v>
      </c>
      <c r="B803" t="str">
        <f t="shared" si="159"/>
        <v>78915000</v>
      </c>
      <c r="C803" t="str">
        <f t="shared" si="160"/>
        <v>78915001</v>
      </c>
      <c r="D803" t="str">
        <f t="shared" si="163"/>
        <v>809</v>
      </c>
      <c r="E803" t="str">
        <f>"89301062"</f>
        <v>89301062</v>
      </c>
      <c r="F803" t="str">
        <f>"9105135765"</f>
        <v>9105135765</v>
      </c>
      <c r="G803" s="1">
        <v>44593</v>
      </c>
      <c r="H803" t="str">
        <f>"89713"</f>
        <v>89713</v>
      </c>
      <c r="I803">
        <v>2</v>
      </c>
      <c r="J803">
        <v>10724</v>
      </c>
      <c r="K803">
        <v>0</v>
      </c>
      <c r="L803">
        <v>6434.4</v>
      </c>
    </row>
    <row r="804" spans="1:12" x14ac:dyDescent="0.25">
      <c r="A804" t="str">
        <f t="shared" si="162"/>
        <v>89301000</v>
      </c>
      <c r="B804" t="str">
        <f t="shared" si="159"/>
        <v>78915000</v>
      </c>
      <c r="C804" t="str">
        <f t="shared" si="160"/>
        <v>78915001</v>
      </c>
      <c r="D804" t="str">
        <f t="shared" si="163"/>
        <v>809</v>
      </c>
      <c r="E804" t="str">
        <f>"89301062"</f>
        <v>89301062</v>
      </c>
      <c r="F804" t="str">
        <f>"9105135765"</f>
        <v>9105135765</v>
      </c>
      <c r="G804" s="1">
        <v>44593</v>
      </c>
      <c r="H804" t="str">
        <f>"89725"</f>
        <v>89725</v>
      </c>
      <c r="I804">
        <v>1</v>
      </c>
      <c r="J804">
        <v>2839</v>
      </c>
      <c r="K804">
        <v>0</v>
      </c>
      <c r="L804">
        <v>1703.4</v>
      </c>
    </row>
    <row r="805" spans="1:12" x14ac:dyDescent="0.25">
      <c r="A805" t="str">
        <f t="shared" si="162"/>
        <v>89301000</v>
      </c>
      <c r="B805" t="str">
        <f t="shared" si="159"/>
        <v>78915000</v>
      </c>
      <c r="C805" t="str">
        <f t="shared" si="160"/>
        <v>78915001</v>
      </c>
      <c r="D805" t="str">
        <f t="shared" si="163"/>
        <v>809</v>
      </c>
      <c r="E805" t="str">
        <f>"89301112"</f>
        <v>89301112</v>
      </c>
      <c r="F805" t="str">
        <f>"9201044468"</f>
        <v>9201044468</v>
      </c>
      <c r="G805" s="1">
        <v>44599</v>
      </c>
      <c r="H805" t="str">
        <f>"09569"</f>
        <v>09569</v>
      </c>
      <c r="I805">
        <v>1</v>
      </c>
      <c r="J805">
        <v>0</v>
      </c>
      <c r="K805">
        <v>0</v>
      </c>
      <c r="L805">
        <v>0</v>
      </c>
    </row>
    <row r="806" spans="1:12" x14ac:dyDescent="0.25">
      <c r="A806" t="str">
        <f t="shared" si="162"/>
        <v>89301000</v>
      </c>
      <c r="B806" t="str">
        <f t="shared" si="159"/>
        <v>78915000</v>
      </c>
      <c r="C806" t="str">
        <f t="shared" si="160"/>
        <v>78915001</v>
      </c>
      <c r="D806" t="str">
        <f t="shared" si="163"/>
        <v>809</v>
      </c>
      <c r="E806" t="str">
        <f>"89301112"</f>
        <v>89301112</v>
      </c>
      <c r="F806" t="str">
        <f>"9201044468"</f>
        <v>9201044468</v>
      </c>
      <c r="G806" s="1">
        <v>44599</v>
      </c>
      <c r="H806" t="str">
        <f>"89713"</f>
        <v>89713</v>
      </c>
      <c r="I806">
        <v>1</v>
      </c>
      <c r="J806">
        <v>5362</v>
      </c>
      <c r="K806">
        <v>0</v>
      </c>
      <c r="L806">
        <v>3217.2</v>
      </c>
    </row>
    <row r="807" spans="1:12" x14ac:dyDescent="0.25">
      <c r="A807" t="str">
        <f t="shared" si="162"/>
        <v>89301000</v>
      </c>
      <c r="B807" t="str">
        <f>"93501000"</f>
        <v>93501000</v>
      </c>
      <c r="C807" t="str">
        <f>"93501001"</f>
        <v>93501001</v>
      </c>
      <c r="D807" t="str">
        <f t="shared" ref="D807:D829" si="164">"801"</f>
        <v>801</v>
      </c>
      <c r="E807" t="str">
        <f>"89301082"</f>
        <v>89301082</v>
      </c>
      <c r="F807" t="str">
        <f>"8157155754"</f>
        <v>8157155754</v>
      </c>
      <c r="G807" s="1">
        <v>44601</v>
      </c>
      <c r="H807" t="str">
        <f>"09119"</f>
        <v>09119</v>
      </c>
      <c r="I807">
        <v>1</v>
      </c>
      <c r="J807">
        <v>42</v>
      </c>
      <c r="K807">
        <v>0</v>
      </c>
      <c r="L807">
        <v>32.76</v>
      </c>
    </row>
    <row r="808" spans="1:12" x14ac:dyDescent="0.25">
      <c r="A808" t="str">
        <f t="shared" si="162"/>
        <v>89301000</v>
      </c>
      <c r="B808" t="str">
        <f>"93501000"</f>
        <v>93501000</v>
      </c>
      <c r="C808" t="str">
        <f>"93501001"</f>
        <v>93501001</v>
      </c>
      <c r="D808" t="str">
        <f t="shared" si="164"/>
        <v>801</v>
      </c>
      <c r="E808" t="str">
        <f>"89301082"</f>
        <v>89301082</v>
      </c>
      <c r="F808" t="str">
        <f>"8157155754"</f>
        <v>8157155754</v>
      </c>
      <c r="G808" s="1">
        <v>44601</v>
      </c>
      <c r="H808" t="str">
        <f>"93159"</f>
        <v>93159</v>
      </c>
      <c r="I808">
        <v>1</v>
      </c>
      <c r="J808">
        <v>195</v>
      </c>
      <c r="K808">
        <v>0</v>
      </c>
      <c r="L808">
        <v>152.1</v>
      </c>
    </row>
    <row r="809" spans="1:12" x14ac:dyDescent="0.25">
      <c r="A809" t="str">
        <f t="shared" si="162"/>
        <v>89301000</v>
      </c>
      <c r="B809" t="str">
        <f>"93501000"</f>
        <v>93501000</v>
      </c>
      <c r="C809" t="str">
        <f>"93501001"</f>
        <v>93501001</v>
      </c>
      <c r="D809" t="str">
        <f t="shared" si="164"/>
        <v>801</v>
      </c>
      <c r="E809" t="str">
        <f>"89301082"</f>
        <v>89301082</v>
      </c>
      <c r="F809" t="str">
        <f>"8157155754"</f>
        <v>8157155754</v>
      </c>
      <c r="G809" s="1">
        <v>44601</v>
      </c>
      <c r="H809" t="str">
        <f>"97111"</f>
        <v>97111</v>
      </c>
      <c r="I809">
        <v>1</v>
      </c>
      <c r="J809">
        <v>18</v>
      </c>
      <c r="K809">
        <v>0</v>
      </c>
      <c r="L809">
        <v>14.04</v>
      </c>
    </row>
    <row r="810" spans="1:12" x14ac:dyDescent="0.25">
      <c r="A810" t="str">
        <f t="shared" si="162"/>
        <v>89301000</v>
      </c>
      <c r="B810" t="str">
        <f t="shared" ref="B810:B831" si="165">"86240000"</f>
        <v>86240000</v>
      </c>
      <c r="C810" t="str">
        <f t="shared" ref="C810:C829" si="166">"86240002"</f>
        <v>86240002</v>
      </c>
      <c r="D810" t="str">
        <f t="shared" si="164"/>
        <v>801</v>
      </c>
      <c r="E810" t="str">
        <f t="shared" ref="E810:E831" si="167">"89301167"</f>
        <v>89301167</v>
      </c>
      <c r="F810" t="str">
        <f t="shared" ref="F810:F831" si="168">"5461103197"</f>
        <v>5461103197</v>
      </c>
      <c r="G810" s="1">
        <v>44603</v>
      </c>
      <c r="H810" t="str">
        <f>"81593"</f>
        <v>81593</v>
      </c>
      <c r="I810">
        <v>1</v>
      </c>
      <c r="J810">
        <v>22</v>
      </c>
      <c r="K810">
        <v>0</v>
      </c>
      <c r="L810">
        <v>17.16</v>
      </c>
    </row>
    <row r="811" spans="1:12" x14ac:dyDescent="0.25">
      <c r="A811" t="str">
        <f t="shared" si="162"/>
        <v>89301000</v>
      </c>
      <c r="B811" t="str">
        <f t="shared" si="165"/>
        <v>86240000</v>
      </c>
      <c r="C811" t="str">
        <f t="shared" si="166"/>
        <v>86240002</v>
      </c>
      <c r="D811" t="str">
        <f t="shared" si="164"/>
        <v>801</v>
      </c>
      <c r="E811" t="str">
        <f t="shared" si="167"/>
        <v>89301167</v>
      </c>
      <c r="F811" t="str">
        <f t="shared" si="168"/>
        <v>5461103197</v>
      </c>
      <c r="G811" s="1">
        <v>44603</v>
      </c>
      <c r="H811" t="str">
        <f>"97111"</f>
        <v>97111</v>
      </c>
      <c r="I811">
        <v>1</v>
      </c>
      <c r="J811">
        <v>18</v>
      </c>
      <c r="K811">
        <v>0</v>
      </c>
      <c r="L811">
        <v>14.04</v>
      </c>
    </row>
    <row r="812" spans="1:12" x14ac:dyDescent="0.25">
      <c r="A812" t="str">
        <f t="shared" si="162"/>
        <v>89301000</v>
      </c>
      <c r="B812" t="str">
        <f t="shared" si="165"/>
        <v>86240000</v>
      </c>
      <c r="C812" t="str">
        <f t="shared" si="166"/>
        <v>86240002</v>
      </c>
      <c r="D812" t="str">
        <f t="shared" si="164"/>
        <v>801</v>
      </c>
      <c r="E812" t="str">
        <f t="shared" si="167"/>
        <v>89301167</v>
      </c>
      <c r="F812" t="str">
        <f t="shared" si="168"/>
        <v>5461103197</v>
      </c>
      <c r="G812" s="1">
        <v>44603</v>
      </c>
      <c r="H812" t="str">
        <f>"81393"</f>
        <v>81393</v>
      </c>
      <c r="I812">
        <v>1</v>
      </c>
      <c r="J812">
        <v>24</v>
      </c>
      <c r="K812">
        <v>0</v>
      </c>
      <c r="L812">
        <v>18.72</v>
      </c>
    </row>
    <row r="813" spans="1:12" x14ac:dyDescent="0.25">
      <c r="A813" t="str">
        <f t="shared" si="162"/>
        <v>89301000</v>
      </c>
      <c r="B813" t="str">
        <f t="shared" si="165"/>
        <v>86240000</v>
      </c>
      <c r="C813" t="str">
        <f t="shared" si="166"/>
        <v>86240002</v>
      </c>
      <c r="D813" t="str">
        <f t="shared" si="164"/>
        <v>801</v>
      </c>
      <c r="E813" t="str">
        <f t="shared" si="167"/>
        <v>89301167</v>
      </c>
      <c r="F813" t="str">
        <f t="shared" si="168"/>
        <v>5461103197</v>
      </c>
      <c r="G813" s="1">
        <v>44603</v>
      </c>
      <c r="H813" t="str">
        <f>"81469"</f>
        <v>81469</v>
      </c>
      <c r="I813">
        <v>1</v>
      </c>
      <c r="J813">
        <v>16</v>
      </c>
      <c r="K813">
        <v>0</v>
      </c>
      <c r="L813">
        <v>12.48</v>
      </c>
    </row>
    <row r="814" spans="1:12" x14ac:dyDescent="0.25">
      <c r="A814" t="str">
        <f t="shared" si="162"/>
        <v>89301000</v>
      </c>
      <c r="B814" t="str">
        <f t="shared" si="165"/>
        <v>86240000</v>
      </c>
      <c r="C814" t="str">
        <f t="shared" si="166"/>
        <v>86240002</v>
      </c>
      <c r="D814" t="str">
        <f t="shared" si="164"/>
        <v>801</v>
      </c>
      <c r="E814" t="str">
        <f t="shared" si="167"/>
        <v>89301167</v>
      </c>
      <c r="F814" t="str">
        <f t="shared" si="168"/>
        <v>5461103197</v>
      </c>
      <c r="G814" s="1">
        <v>44603</v>
      </c>
      <c r="H814" t="str">
        <f>"81625"</f>
        <v>81625</v>
      </c>
      <c r="I814">
        <v>1</v>
      </c>
      <c r="J814">
        <v>20</v>
      </c>
      <c r="K814">
        <v>0</v>
      </c>
      <c r="L814">
        <v>15.6</v>
      </c>
    </row>
    <row r="815" spans="1:12" x14ac:dyDescent="0.25">
      <c r="A815" t="str">
        <f t="shared" si="162"/>
        <v>89301000</v>
      </c>
      <c r="B815" t="str">
        <f t="shared" si="165"/>
        <v>86240000</v>
      </c>
      <c r="C815" t="str">
        <f t="shared" si="166"/>
        <v>86240002</v>
      </c>
      <c r="D815" t="str">
        <f t="shared" si="164"/>
        <v>801</v>
      </c>
      <c r="E815" t="str">
        <f t="shared" si="167"/>
        <v>89301167</v>
      </c>
      <c r="F815" t="str">
        <f t="shared" si="168"/>
        <v>5461103197</v>
      </c>
      <c r="G815" s="1">
        <v>44603</v>
      </c>
      <c r="H815" t="str">
        <f>"81465"</f>
        <v>81465</v>
      </c>
      <c r="I815">
        <v>1</v>
      </c>
      <c r="J815">
        <v>21</v>
      </c>
      <c r="K815">
        <v>0</v>
      </c>
      <c r="L815">
        <v>16.38</v>
      </c>
    </row>
    <row r="816" spans="1:12" x14ac:dyDescent="0.25">
      <c r="A816" t="str">
        <f t="shared" si="162"/>
        <v>89301000</v>
      </c>
      <c r="B816" t="str">
        <f t="shared" si="165"/>
        <v>86240000</v>
      </c>
      <c r="C816" t="str">
        <f t="shared" si="166"/>
        <v>86240002</v>
      </c>
      <c r="D816" t="str">
        <f t="shared" si="164"/>
        <v>801</v>
      </c>
      <c r="E816" t="str">
        <f t="shared" si="167"/>
        <v>89301167</v>
      </c>
      <c r="F816" t="str">
        <f t="shared" si="168"/>
        <v>5461103197</v>
      </c>
      <c r="G816" s="1">
        <v>44603</v>
      </c>
      <c r="H816" t="str">
        <f>"81439"</f>
        <v>81439</v>
      </c>
      <c r="I816">
        <v>1</v>
      </c>
      <c r="J816">
        <v>16</v>
      </c>
      <c r="K816">
        <v>0</v>
      </c>
      <c r="L816">
        <v>12.48</v>
      </c>
    </row>
    <row r="817" spans="1:12" x14ac:dyDescent="0.25">
      <c r="A817" t="str">
        <f t="shared" si="162"/>
        <v>89301000</v>
      </c>
      <c r="B817" t="str">
        <f t="shared" si="165"/>
        <v>86240000</v>
      </c>
      <c r="C817" t="str">
        <f t="shared" si="166"/>
        <v>86240002</v>
      </c>
      <c r="D817" t="str">
        <f t="shared" si="164"/>
        <v>801</v>
      </c>
      <c r="E817" t="str">
        <f t="shared" si="167"/>
        <v>89301167</v>
      </c>
      <c r="F817" t="str">
        <f t="shared" si="168"/>
        <v>5461103197</v>
      </c>
      <c r="G817" s="1">
        <v>44603</v>
      </c>
      <c r="H817" t="str">
        <f>"81621"</f>
        <v>81621</v>
      </c>
      <c r="I817">
        <v>1</v>
      </c>
      <c r="J817">
        <v>19</v>
      </c>
      <c r="K817">
        <v>0</v>
      </c>
      <c r="L817">
        <v>14.82</v>
      </c>
    </row>
    <row r="818" spans="1:12" x14ac:dyDescent="0.25">
      <c r="A818" t="str">
        <f t="shared" si="162"/>
        <v>89301000</v>
      </c>
      <c r="B818" t="str">
        <f t="shared" si="165"/>
        <v>86240000</v>
      </c>
      <c r="C818" t="str">
        <f t="shared" si="166"/>
        <v>86240002</v>
      </c>
      <c r="D818" t="str">
        <f t="shared" si="164"/>
        <v>801</v>
      </c>
      <c r="E818" t="str">
        <f t="shared" si="167"/>
        <v>89301167</v>
      </c>
      <c r="F818" t="str">
        <f t="shared" si="168"/>
        <v>5461103197</v>
      </c>
      <c r="G818" s="1">
        <v>44603</v>
      </c>
      <c r="H818" t="str">
        <f>"81499"</f>
        <v>81499</v>
      </c>
      <c r="I818">
        <v>1</v>
      </c>
      <c r="J818">
        <v>18</v>
      </c>
      <c r="K818">
        <v>0</v>
      </c>
      <c r="L818">
        <v>14.04</v>
      </c>
    </row>
    <row r="819" spans="1:12" x14ac:dyDescent="0.25">
      <c r="A819" t="str">
        <f t="shared" si="162"/>
        <v>89301000</v>
      </c>
      <c r="B819" t="str">
        <f t="shared" si="165"/>
        <v>86240000</v>
      </c>
      <c r="C819" t="str">
        <f t="shared" si="166"/>
        <v>86240002</v>
      </c>
      <c r="D819" t="str">
        <f t="shared" si="164"/>
        <v>801</v>
      </c>
      <c r="E819" t="str">
        <f t="shared" si="167"/>
        <v>89301167</v>
      </c>
      <c r="F819" t="str">
        <f t="shared" si="168"/>
        <v>5461103197</v>
      </c>
      <c r="G819" s="1">
        <v>44603</v>
      </c>
      <c r="H819" t="str">
        <f>"81361"</f>
        <v>81361</v>
      </c>
      <c r="I819">
        <v>1</v>
      </c>
      <c r="J819">
        <v>17</v>
      </c>
      <c r="K819">
        <v>0</v>
      </c>
      <c r="L819">
        <v>13.26</v>
      </c>
    </row>
    <row r="820" spans="1:12" x14ac:dyDescent="0.25">
      <c r="A820" t="str">
        <f t="shared" si="162"/>
        <v>89301000</v>
      </c>
      <c r="B820" t="str">
        <f t="shared" si="165"/>
        <v>86240000</v>
      </c>
      <c r="C820" t="str">
        <f t="shared" si="166"/>
        <v>86240002</v>
      </c>
      <c r="D820" t="str">
        <f t="shared" si="164"/>
        <v>801</v>
      </c>
      <c r="E820" t="str">
        <f t="shared" si="167"/>
        <v>89301167</v>
      </c>
      <c r="F820" t="str">
        <f t="shared" si="168"/>
        <v>5461103197</v>
      </c>
      <c r="G820" s="1">
        <v>44603</v>
      </c>
      <c r="H820" t="str">
        <f>"81421"</f>
        <v>81421</v>
      </c>
      <c r="I820">
        <v>1</v>
      </c>
      <c r="J820">
        <v>19</v>
      </c>
      <c r="K820">
        <v>0</v>
      </c>
      <c r="L820">
        <v>14.82</v>
      </c>
    </row>
    <row r="821" spans="1:12" x14ac:dyDescent="0.25">
      <c r="A821" t="str">
        <f t="shared" si="162"/>
        <v>89301000</v>
      </c>
      <c r="B821" t="str">
        <f t="shared" si="165"/>
        <v>86240000</v>
      </c>
      <c r="C821" t="str">
        <f t="shared" si="166"/>
        <v>86240002</v>
      </c>
      <c r="D821" t="str">
        <f t="shared" si="164"/>
        <v>801</v>
      </c>
      <c r="E821" t="str">
        <f t="shared" si="167"/>
        <v>89301167</v>
      </c>
      <c r="F821" t="str">
        <f t="shared" si="168"/>
        <v>5461103197</v>
      </c>
      <c r="G821" s="1">
        <v>44603</v>
      </c>
      <c r="H821" t="str">
        <f>"81337"</f>
        <v>81337</v>
      </c>
      <c r="I821">
        <v>1</v>
      </c>
      <c r="J821">
        <v>19</v>
      </c>
      <c r="K821">
        <v>0</v>
      </c>
      <c r="L821">
        <v>14.82</v>
      </c>
    </row>
    <row r="822" spans="1:12" x14ac:dyDescent="0.25">
      <c r="A822" t="str">
        <f t="shared" si="162"/>
        <v>89301000</v>
      </c>
      <c r="B822" t="str">
        <f t="shared" si="165"/>
        <v>86240000</v>
      </c>
      <c r="C822" t="str">
        <f t="shared" si="166"/>
        <v>86240002</v>
      </c>
      <c r="D822" t="str">
        <f t="shared" si="164"/>
        <v>801</v>
      </c>
      <c r="E822" t="str">
        <f t="shared" si="167"/>
        <v>89301167</v>
      </c>
      <c r="F822" t="str">
        <f t="shared" si="168"/>
        <v>5461103197</v>
      </c>
      <c r="G822" s="1">
        <v>44603</v>
      </c>
      <c r="H822" t="str">
        <f>"81357"</f>
        <v>81357</v>
      </c>
      <c r="I822">
        <v>1</v>
      </c>
      <c r="J822">
        <v>19</v>
      </c>
      <c r="K822">
        <v>0</v>
      </c>
      <c r="L822">
        <v>14.82</v>
      </c>
    </row>
    <row r="823" spans="1:12" x14ac:dyDescent="0.25">
      <c r="A823" t="str">
        <f t="shared" si="162"/>
        <v>89301000</v>
      </c>
      <c r="B823" t="str">
        <f t="shared" si="165"/>
        <v>86240000</v>
      </c>
      <c r="C823" t="str">
        <f t="shared" si="166"/>
        <v>86240002</v>
      </c>
      <c r="D823" t="str">
        <f t="shared" si="164"/>
        <v>801</v>
      </c>
      <c r="E823" t="str">
        <f t="shared" si="167"/>
        <v>89301167</v>
      </c>
      <c r="F823" t="str">
        <f t="shared" si="168"/>
        <v>5461103197</v>
      </c>
      <c r="G823" s="1">
        <v>44603</v>
      </c>
      <c r="H823" t="str">
        <f>"81435"</f>
        <v>81435</v>
      </c>
      <c r="I823">
        <v>1</v>
      </c>
      <c r="J823">
        <v>22</v>
      </c>
      <c r="K823">
        <v>0</v>
      </c>
      <c r="L823">
        <v>17.16</v>
      </c>
    </row>
    <row r="824" spans="1:12" x14ac:dyDescent="0.25">
      <c r="A824" t="str">
        <f t="shared" si="162"/>
        <v>89301000</v>
      </c>
      <c r="B824" t="str">
        <f t="shared" si="165"/>
        <v>86240000</v>
      </c>
      <c r="C824" t="str">
        <f t="shared" si="166"/>
        <v>86240002</v>
      </c>
      <c r="D824" t="str">
        <f t="shared" si="164"/>
        <v>801</v>
      </c>
      <c r="E824" t="str">
        <f t="shared" si="167"/>
        <v>89301167</v>
      </c>
      <c r="F824" t="str">
        <f t="shared" si="168"/>
        <v>5461103197</v>
      </c>
      <c r="G824" s="1">
        <v>44603</v>
      </c>
      <c r="H824" t="str">
        <f>"81383"</f>
        <v>81383</v>
      </c>
      <c r="I824">
        <v>1</v>
      </c>
      <c r="J824">
        <v>23</v>
      </c>
      <c r="K824">
        <v>0</v>
      </c>
      <c r="L824">
        <v>17.940000000000001</v>
      </c>
    </row>
    <row r="825" spans="1:12" x14ac:dyDescent="0.25">
      <c r="A825" t="str">
        <f t="shared" si="162"/>
        <v>89301000</v>
      </c>
      <c r="B825" t="str">
        <f t="shared" si="165"/>
        <v>86240000</v>
      </c>
      <c r="C825" t="str">
        <f t="shared" si="166"/>
        <v>86240002</v>
      </c>
      <c r="D825" t="str">
        <f t="shared" si="164"/>
        <v>801</v>
      </c>
      <c r="E825" t="str">
        <f t="shared" si="167"/>
        <v>89301167</v>
      </c>
      <c r="F825" t="str">
        <f t="shared" si="168"/>
        <v>5461103197</v>
      </c>
      <c r="G825" s="1">
        <v>44603</v>
      </c>
      <c r="H825" t="str">
        <f>"81365"</f>
        <v>81365</v>
      </c>
      <c r="I825">
        <v>1</v>
      </c>
      <c r="J825">
        <v>16</v>
      </c>
      <c r="K825">
        <v>0</v>
      </c>
      <c r="L825">
        <v>12.48</v>
      </c>
    </row>
    <row r="826" spans="1:12" x14ac:dyDescent="0.25">
      <c r="A826" t="str">
        <f t="shared" si="162"/>
        <v>89301000</v>
      </c>
      <c r="B826" t="str">
        <f t="shared" si="165"/>
        <v>86240000</v>
      </c>
      <c r="C826" t="str">
        <f t="shared" si="166"/>
        <v>86240002</v>
      </c>
      <c r="D826" t="str">
        <f t="shared" si="164"/>
        <v>801</v>
      </c>
      <c r="E826" t="str">
        <f t="shared" si="167"/>
        <v>89301167</v>
      </c>
      <c r="F826" t="str">
        <f t="shared" si="168"/>
        <v>5461103197</v>
      </c>
      <c r="G826" s="1">
        <v>44603</v>
      </c>
      <c r="H826" t="str">
        <f>"81329"</f>
        <v>81329</v>
      </c>
      <c r="I826">
        <v>1</v>
      </c>
      <c r="J826">
        <v>16</v>
      </c>
      <c r="K826">
        <v>0</v>
      </c>
      <c r="L826">
        <v>12.48</v>
      </c>
    </row>
    <row r="827" spans="1:12" x14ac:dyDescent="0.25">
      <c r="A827" t="str">
        <f t="shared" si="162"/>
        <v>89301000</v>
      </c>
      <c r="B827" t="str">
        <f t="shared" si="165"/>
        <v>86240000</v>
      </c>
      <c r="C827" t="str">
        <f t="shared" si="166"/>
        <v>86240002</v>
      </c>
      <c r="D827" t="str">
        <f t="shared" si="164"/>
        <v>801</v>
      </c>
      <c r="E827" t="str">
        <f t="shared" si="167"/>
        <v>89301167</v>
      </c>
      <c r="F827" t="str">
        <f t="shared" si="168"/>
        <v>5461103197</v>
      </c>
      <c r="G827" s="1">
        <v>44603</v>
      </c>
      <c r="H827" t="str">
        <f>"81249"</f>
        <v>81249</v>
      </c>
      <c r="I827">
        <v>1</v>
      </c>
      <c r="J827">
        <v>333</v>
      </c>
      <c r="K827">
        <v>0</v>
      </c>
      <c r="L827">
        <v>259.74</v>
      </c>
    </row>
    <row r="828" spans="1:12" x14ac:dyDescent="0.25">
      <c r="A828" t="str">
        <f t="shared" si="162"/>
        <v>89301000</v>
      </c>
      <c r="B828" t="str">
        <f t="shared" si="165"/>
        <v>86240000</v>
      </c>
      <c r="C828" t="str">
        <f t="shared" si="166"/>
        <v>86240002</v>
      </c>
      <c r="D828" t="str">
        <f t="shared" si="164"/>
        <v>801</v>
      </c>
      <c r="E828" t="str">
        <f t="shared" si="167"/>
        <v>89301167</v>
      </c>
      <c r="F828" t="str">
        <f t="shared" si="168"/>
        <v>5461103197</v>
      </c>
      <c r="G828" s="1">
        <v>44603</v>
      </c>
      <c r="H828" t="str">
        <f>"93195"</f>
        <v>93195</v>
      </c>
      <c r="I828">
        <v>1</v>
      </c>
      <c r="J828">
        <v>181</v>
      </c>
      <c r="K828">
        <v>0</v>
      </c>
      <c r="L828">
        <v>141.18</v>
      </c>
    </row>
    <row r="829" spans="1:12" x14ac:dyDescent="0.25">
      <c r="A829" t="str">
        <f t="shared" si="162"/>
        <v>89301000</v>
      </c>
      <c r="B829" t="str">
        <f t="shared" si="165"/>
        <v>86240000</v>
      </c>
      <c r="C829" t="str">
        <f t="shared" si="166"/>
        <v>86240002</v>
      </c>
      <c r="D829" t="str">
        <f t="shared" si="164"/>
        <v>801</v>
      </c>
      <c r="E829" t="str">
        <f t="shared" si="167"/>
        <v>89301167</v>
      </c>
      <c r="F829" t="str">
        <f t="shared" si="168"/>
        <v>5461103197</v>
      </c>
      <c r="G829" s="1">
        <v>44603</v>
      </c>
      <c r="H829" t="str">
        <f>"93189"</f>
        <v>93189</v>
      </c>
      <c r="I829">
        <v>1</v>
      </c>
      <c r="J829">
        <v>189</v>
      </c>
      <c r="K829">
        <v>0</v>
      </c>
      <c r="L829">
        <v>147.41999999999999</v>
      </c>
    </row>
    <row r="830" spans="1:12" x14ac:dyDescent="0.25">
      <c r="A830" t="str">
        <f t="shared" si="162"/>
        <v>89301000</v>
      </c>
      <c r="B830" t="str">
        <f t="shared" si="165"/>
        <v>86240000</v>
      </c>
      <c r="C830" t="str">
        <f>"86240006"</f>
        <v>86240006</v>
      </c>
      <c r="D830" t="str">
        <f>"813"</f>
        <v>813</v>
      </c>
      <c r="E830" t="str">
        <f t="shared" si="167"/>
        <v>89301167</v>
      </c>
      <c r="F830" t="str">
        <f t="shared" si="168"/>
        <v>5461103197</v>
      </c>
      <c r="G830" s="1">
        <v>44603</v>
      </c>
      <c r="H830" t="str">
        <f>"91153"</f>
        <v>91153</v>
      </c>
      <c r="I830">
        <v>1</v>
      </c>
      <c r="J830">
        <v>152</v>
      </c>
      <c r="K830">
        <v>0</v>
      </c>
      <c r="L830">
        <v>118.56</v>
      </c>
    </row>
    <row r="831" spans="1:12" x14ac:dyDescent="0.25">
      <c r="A831" t="str">
        <f t="shared" si="162"/>
        <v>89301000</v>
      </c>
      <c r="B831" t="str">
        <f t="shared" si="165"/>
        <v>86240000</v>
      </c>
      <c r="C831" t="str">
        <f>"86240003"</f>
        <v>86240003</v>
      </c>
      <c r="D831" t="str">
        <f>"818"</f>
        <v>818</v>
      </c>
      <c r="E831" t="str">
        <f t="shared" si="167"/>
        <v>89301167</v>
      </c>
      <c r="F831" t="str">
        <f t="shared" si="168"/>
        <v>5461103197</v>
      </c>
      <c r="G831" s="1">
        <v>44603</v>
      </c>
      <c r="H831" t="str">
        <f>"96167"</f>
        <v>96167</v>
      </c>
      <c r="I831">
        <v>1</v>
      </c>
      <c r="J831">
        <v>67</v>
      </c>
      <c r="K831">
        <v>0</v>
      </c>
      <c r="L831">
        <v>60.97</v>
      </c>
    </row>
    <row r="832" spans="1:12" x14ac:dyDescent="0.25">
      <c r="A832" t="str">
        <f t="shared" si="162"/>
        <v>89301000</v>
      </c>
      <c r="B832" t="str">
        <f>"07200000"</f>
        <v>07200000</v>
      </c>
      <c r="C832" t="str">
        <f>"07200001"</f>
        <v>07200001</v>
      </c>
      <c r="D832" t="str">
        <f>"816"</f>
        <v>816</v>
      </c>
      <c r="E832" t="str">
        <f>"89301282"</f>
        <v>89301282</v>
      </c>
      <c r="F832" t="str">
        <f>"6604071474"</f>
        <v>6604071474</v>
      </c>
      <c r="G832" s="1">
        <v>44594</v>
      </c>
      <c r="H832" t="str">
        <f>"94221"</f>
        <v>94221</v>
      </c>
      <c r="I832">
        <v>5</v>
      </c>
      <c r="J832">
        <v>12265</v>
      </c>
      <c r="K832">
        <v>0</v>
      </c>
      <c r="L832">
        <v>10425.25</v>
      </c>
    </row>
    <row r="833" spans="1:12" x14ac:dyDescent="0.25">
      <c r="A833" t="str">
        <f t="shared" si="162"/>
        <v>89301000</v>
      </c>
      <c r="B833" t="str">
        <f t="shared" ref="B833:B841" si="169">"91866000"</f>
        <v>91866000</v>
      </c>
      <c r="C833" t="str">
        <f t="shared" ref="C833:C841" si="170">"91866313"</f>
        <v>91866313</v>
      </c>
      <c r="D833" t="str">
        <f t="shared" ref="D833:D841" si="171">"802"</f>
        <v>802</v>
      </c>
      <c r="E833" t="str">
        <f>"89301162"</f>
        <v>89301162</v>
      </c>
      <c r="F833" t="str">
        <f>"5604081362"</f>
        <v>5604081362</v>
      </c>
      <c r="G833" s="1">
        <v>44594</v>
      </c>
      <c r="H833" t="str">
        <f>"82035"</f>
        <v>82035</v>
      </c>
      <c r="I833">
        <v>1</v>
      </c>
      <c r="J833">
        <v>534</v>
      </c>
      <c r="K833">
        <v>0</v>
      </c>
      <c r="L833">
        <v>485.94</v>
      </c>
    </row>
    <row r="834" spans="1:12" x14ac:dyDescent="0.25">
      <c r="A834" t="str">
        <f t="shared" ref="A834:A897" si="172">"89301000"</f>
        <v>89301000</v>
      </c>
      <c r="B834" t="str">
        <f t="shared" si="169"/>
        <v>91866000</v>
      </c>
      <c r="C834" t="str">
        <f t="shared" si="170"/>
        <v>91866313</v>
      </c>
      <c r="D834" t="str">
        <f t="shared" si="171"/>
        <v>802</v>
      </c>
      <c r="E834" t="str">
        <f>"89301162"</f>
        <v>89301162</v>
      </c>
      <c r="F834" t="str">
        <f>"5604081362"</f>
        <v>5604081362</v>
      </c>
      <c r="G834" s="1">
        <v>44595</v>
      </c>
      <c r="H834" t="str">
        <f>"82035"</f>
        <v>82035</v>
      </c>
      <c r="I834">
        <v>1</v>
      </c>
      <c r="J834">
        <v>534</v>
      </c>
      <c r="K834">
        <v>0</v>
      </c>
      <c r="L834">
        <v>485.94</v>
      </c>
    </row>
    <row r="835" spans="1:12" x14ac:dyDescent="0.25">
      <c r="A835" t="str">
        <f t="shared" si="172"/>
        <v>89301000</v>
      </c>
      <c r="B835" t="str">
        <f t="shared" si="169"/>
        <v>91866000</v>
      </c>
      <c r="C835" t="str">
        <f t="shared" si="170"/>
        <v>91866313</v>
      </c>
      <c r="D835" t="str">
        <f t="shared" si="171"/>
        <v>802</v>
      </c>
      <c r="E835" t="str">
        <f>"89301162"</f>
        <v>89301162</v>
      </c>
      <c r="F835" t="str">
        <f>"5604081362"</f>
        <v>5604081362</v>
      </c>
      <c r="G835" s="1">
        <v>44594</v>
      </c>
      <c r="H835" t="str">
        <f>"82215"</f>
        <v>82215</v>
      </c>
      <c r="I835">
        <v>2</v>
      </c>
      <c r="J835">
        <v>916</v>
      </c>
      <c r="K835">
        <v>0</v>
      </c>
      <c r="L835">
        <v>833.56</v>
      </c>
    </row>
    <row r="836" spans="1:12" x14ac:dyDescent="0.25">
      <c r="A836" t="str">
        <f t="shared" si="172"/>
        <v>89301000</v>
      </c>
      <c r="B836" t="str">
        <f t="shared" si="169"/>
        <v>91866000</v>
      </c>
      <c r="C836" t="str">
        <f t="shared" si="170"/>
        <v>91866313</v>
      </c>
      <c r="D836" t="str">
        <f t="shared" si="171"/>
        <v>802</v>
      </c>
      <c r="E836" t="str">
        <f>"89301102"</f>
        <v>89301102</v>
      </c>
      <c r="F836" t="str">
        <f>"1356170497"</f>
        <v>1356170497</v>
      </c>
      <c r="G836" s="1">
        <v>44596</v>
      </c>
      <c r="H836" t="str">
        <f>"82113"</f>
        <v>82113</v>
      </c>
      <c r="I836">
        <v>2</v>
      </c>
      <c r="J836">
        <v>724</v>
      </c>
      <c r="K836">
        <v>0</v>
      </c>
      <c r="L836">
        <v>658.84</v>
      </c>
    </row>
    <row r="837" spans="1:12" x14ac:dyDescent="0.25">
      <c r="A837" t="str">
        <f t="shared" si="172"/>
        <v>89301000</v>
      </c>
      <c r="B837" t="str">
        <f t="shared" si="169"/>
        <v>91866000</v>
      </c>
      <c r="C837" t="str">
        <f t="shared" si="170"/>
        <v>91866313</v>
      </c>
      <c r="D837" t="str">
        <f t="shared" si="171"/>
        <v>802</v>
      </c>
      <c r="E837" t="str">
        <f>"89301102"</f>
        <v>89301102</v>
      </c>
      <c r="F837" t="str">
        <f>"1356170497"</f>
        <v>1356170497</v>
      </c>
      <c r="G837" s="1">
        <v>44602</v>
      </c>
      <c r="H837" t="str">
        <f>"82087"</f>
        <v>82087</v>
      </c>
      <c r="I837">
        <v>1</v>
      </c>
      <c r="J837">
        <v>53</v>
      </c>
      <c r="K837">
        <v>0</v>
      </c>
      <c r="L837">
        <v>48.23</v>
      </c>
    </row>
    <row r="838" spans="1:12" x14ac:dyDescent="0.25">
      <c r="A838" t="str">
        <f t="shared" si="172"/>
        <v>89301000</v>
      </c>
      <c r="B838" t="str">
        <f t="shared" si="169"/>
        <v>91866000</v>
      </c>
      <c r="C838" t="str">
        <f t="shared" si="170"/>
        <v>91866313</v>
      </c>
      <c r="D838" t="str">
        <f t="shared" si="171"/>
        <v>802</v>
      </c>
      <c r="E838" t="str">
        <f>"89301102"</f>
        <v>89301102</v>
      </c>
      <c r="F838" t="str">
        <f>"1356170497"</f>
        <v>1356170497</v>
      </c>
      <c r="G838" s="1">
        <v>44596</v>
      </c>
      <c r="H838" t="str">
        <f>"82113"</f>
        <v>82113</v>
      </c>
      <c r="I838">
        <v>2</v>
      </c>
      <c r="J838">
        <v>724</v>
      </c>
      <c r="K838">
        <v>0</v>
      </c>
      <c r="L838">
        <v>658.84</v>
      </c>
    </row>
    <row r="839" spans="1:12" x14ac:dyDescent="0.25">
      <c r="A839" t="str">
        <f t="shared" si="172"/>
        <v>89301000</v>
      </c>
      <c r="B839" t="str">
        <f t="shared" si="169"/>
        <v>91866000</v>
      </c>
      <c r="C839" t="str">
        <f t="shared" si="170"/>
        <v>91866313</v>
      </c>
      <c r="D839" t="str">
        <f t="shared" si="171"/>
        <v>802</v>
      </c>
      <c r="E839" t="str">
        <f>"89301101"</f>
        <v>89301101</v>
      </c>
      <c r="F839" t="str">
        <f>"0609133228"</f>
        <v>0609133228</v>
      </c>
      <c r="G839" s="1">
        <v>44602</v>
      </c>
      <c r="H839" t="str">
        <f>"97111"</f>
        <v>97111</v>
      </c>
      <c r="I839">
        <v>1</v>
      </c>
      <c r="J839">
        <v>18</v>
      </c>
      <c r="K839">
        <v>0</v>
      </c>
      <c r="L839">
        <v>16.38</v>
      </c>
    </row>
    <row r="840" spans="1:12" x14ac:dyDescent="0.25">
      <c r="A840" t="str">
        <f t="shared" si="172"/>
        <v>89301000</v>
      </c>
      <c r="B840" t="str">
        <f t="shared" si="169"/>
        <v>91866000</v>
      </c>
      <c r="C840" t="str">
        <f t="shared" si="170"/>
        <v>91866313</v>
      </c>
      <c r="D840" t="str">
        <f t="shared" si="171"/>
        <v>802</v>
      </c>
      <c r="E840" t="str">
        <f>"89301101"</f>
        <v>89301101</v>
      </c>
      <c r="F840" t="str">
        <f>"0609133228"</f>
        <v>0609133228</v>
      </c>
      <c r="G840" s="1">
        <v>44602</v>
      </c>
      <c r="H840" t="str">
        <f>"82113"</f>
        <v>82113</v>
      </c>
      <c r="I840">
        <v>2</v>
      </c>
      <c r="J840">
        <v>724</v>
      </c>
      <c r="K840">
        <v>0</v>
      </c>
      <c r="L840">
        <v>658.84</v>
      </c>
    </row>
    <row r="841" spans="1:12" x14ac:dyDescent="0.25">
      <c r="A841" t="str">
        <f t="shared" si="172"/>
        <v>89301000</v>
      </c>
      <c r="B841" t="str">
        <f t="shared" si="169"/>
        <v>91866000</v>
      </c>
      <c r="C841" t="str">
        <f t="shared" si="170"/>
        <v>91866313</v>
      </c>
      <c r="D841" t="str">
        <f t="shared" si="171"/>
        <v>802</v>
      </c>
      <c r="E841" t="str">
        <f>"89301101"</f>
        <v>89301101</v>
      </c>
      <c r="F841" t="str">
        <f>"0609133228"</f>
        <v>0609133228</v>
      </c>
      <c r="G841" s="1">
        <v>44602</v>
      </c>
      <c r="H841" t="str">
        <f>"82113"</f>
        <v>82113</v>
      </c>
      <c r="I841">
        <v>2</v>
      </c>
      <c r="J841">
        <v>724</v>
      </c>
      <c r="K841">
        <v>0</v>
      </c>
      <c r="L841">
        <v>658.84</v>
      </c>
    </row>
    <row r="842" spans="1:12" x14ac:dyDescent="0.25">
      <c r="A842" t="str">
        <f t="shared" si="172"/>
        <v>89301000</v>
      </c>
      <c r="B842" t="str">
        <f t="shared" ref="B842:C861" si="173">"89063000"</f>
        <v>89063000</v>
      </c>
      <c r="C842" t="str">
        <f t="shared" si="173"/>
        <v>89063000</v>
      </c>
      <c r="D842" t="str">
        <f t="shared" ref="D842:D873" si="174">"809"</f>
        <v>809</v>
      </c>
      <c r="E842" t="str">
        <f t="shared" ref="E842:E848" si="175">"89301037"</f>
        <v>89301037</v>
      </c>
      <c r="F842" t="str">
        <f>"401214426"</f>
        <v>401214426</v>
      </c>
      <c r="G842" s="1">
        <v>44593</v>
      </c>
      <c r="H842" t="str">
        <f t="shared" ref="H842:H873" si="176">"89312"</f>
        <v>89312</v>
      </c>
      <c r="I842">
        <v>3</v>
      </c>
      <c r="J842">
        <v>906</v>
      </c>
      <c r="K842">
        <v>0</v>
      </c>
      <c r="L842">
        <v>951.3</v>
      </c>
    </row>
    <row r="843" spans="1:12" x14ac:dyDescent="0.25">
      <c r="A843" t="str">
        <f t="shared" si="172"/>
        <v>89301000</v>
      </c>
      <c r="B843" t="str">
        <f t="shared" si="173"/>
        <v>89063000</v>
      </c>
      <c r="C843" t="str">
        <f t="shared" si="173"/>
        <v>89063000</v>
      </c>
      <c r="D843" t="str">
        <f t="shared" si="174"/>
        <v>809</v>
      </c>
      <c r="E843" t="str">
        <f t="shared" si="175"/>
        <v>89301037</v>
      </c>
      <c r="F843" t="str">
        <f>"5659230852"</f>
        <v>5659230852</v>
      </c>
      <c r="G843" s="1">
        <v>44594</v>
      </c>
      <c r="H843" t="str">
        <f t="shared" si="176"/>
        <v>89312</v>
      </c>
      <c r="I843">
        <v>3</v>
      </c>
      <c r="J843">
        <v>906</v>
      </c>
      <c r="K843">
        <v>0</v>
      </c>
      <c r="L843">
        <v>951.3</v>
      </c>
    </row>
    <row r="844" spans="1:12" x14ac:dyDescent="0.25">
      <c r="A844" t="str">
        <f t="shared" si="172"/>
        <v>89301000</v>
      </c>
      <c r="B844" t="str">
        <f t="shared" si="173"/>
        <v>89063000</v>
      </c>
      <c r="C844" t="str">
        <f t="shared" si="173"/>
        <v>89063000</v>
      </c>
      <c r="D844" t="str">
        <f t="shared" si="174"/>
        <v>809</v>
      </c>
      <c r="E844" t="str">
        <f t="shared" si="175"/>
        <v>89301037</v>
      </c>
      <c r="F844" t="str">
        <f>"481222023"</f>
        <v>481222023</v>
      </c>
      <c r="G844" s="1">
        <v>44594</v>
      </c>
      <c r="H844" t="str">
        <f t="shared" si="176"/>
        <v>89312</v>
      </c>
      <c r="I844">
        <v>3</v>
      </c>
      <c r="J844">
        <v>906</v>
      </c>
      <c r="K844">
        <v>0</v>
      </c>
      <c r="L844">
        <v>951.3</v>
      </c>
    </row>
    <row r="845" spans="1:12" x14ac:dyDescent="0.25">
      <c r="A845" t="str">
        <f t="shared" si="172"/>
        <v>89301000</v>
      </c>
      <c r="B845" t="str">
        <f t="shared" si="173"/>
        <v>89063000</v>
      </c>
      <c r="C845" t="str">
        <f t="shared" si="173"/>
        <v>89063000</v>
      </c>
      <c r="D845" t="str">
        <f t="shared" si="174"/>
        <v>809</v>
      </c>
      <c r="E845" t="str">
        <f t="shared" si="175"/>
        <v>89301037</v>
      </c>
      <c r="F845" t="str">
        <f>"0258045381"</f>
        <v>0258045381</v>
      </c>
      <c r="G845" s="1">
        <v>44594</v>
      </c>
      <c r="H845" t="str">
        <f t="shared" si="176"/>
        <v>89312</v>
      </c>
      <c r="I845">
        <v>3</v>
      </c>
      <c r="J845">
        <v>906</v>
      </c>
      <c r="K845">
        <v>0</v>
      </c>
      <c r="L845">
        <v>951.3</v>
      </c>
    </row>
    <row r="846" spans="1:12" x14ac:dyDescent="0.25">
      <c r="A846" t="str">
        <f t="shared" si="172"/>
        <v>89301000</v>
      </c>
      <c r="B846" t="str">
        <f t="shared" si="173"/>
        <v>89063000</v>
      </c>
      <c r="C846" t="str">
        <f t="shared" si="173"/>
        <v>89063000</v>
      </c>
      <c r="D846" t="str">
        <f t="shared" si="174"/>
        <v>809</v>
      </c>
      <c r="E846" t="str">
        <f t="shared" si="175"/>
        <v>89301037</v>
      </c>
      <c r="F846" t="str">
        <f>"476129453"</f>
        <v>476129453</v>
      </c>
      <c r="G846" s="1">
        <v>44596</v>
      </c>
      <c r="H846" t="str">
        <f t="shared" si="176"/>
        <v>89312</v>
      </c>
      <c r="I846">
        <v>3</v>
      </c>
      <c r="J846">
        <v>906</v>
      </c>
      <c r="K846">
        <v>0</v>
      </c>
      <c r="L846">
        <v>951.3</v>
      </c>
    </row>
    <row r="847" spans="1:12" x14ac:dyDescent="0.25">
      <c r="A847" t="str">
        <f t="shared" si="172"/>
        <v>89301000</v>
      </c>
      <c r="B847" t="str">
        <f t="shared" si="173"/>
        <v>89063000</v>
      </c>
      <c r="C847" t="str">
        <f t="shared" si="173"/>
        <v>89063000</v>
      </c>
      <c r="D847" t="str">
        <f t="shared" si="174"/>
        <v>809</v>
      </c>
      <c r="E847" t="str">
        <f t="shared" si="175"/>
        <v>89301037</v>
      </c>
      <c r="F847" t="str">
        <f>"6753280743"</f>
        <v>6753280743</v>
      </c>
      <c r="G847" s="1">
        <v>44596</v>
      </c>
      <c r="H847" t="str">
        <f t="shared" si="176"/>
        <v>89312</v>
      </c>
      <c r="I847">
        <v>3</v>
      </c>
      <c r="J847">
        <v>906</v>
      </c>
      <c r="K847">
        <v>0</v>
      </c>
      <c r="L847">
        <v>951.3</v>
      </c>
    </row>
    <row r="848" spans="1:12" x14ac:dyDescent="0.25">
      <c r="A848" t="str">
        <f t="shared" si="172"/>
        <v>89301000</v>
      </c>
      <c r="B848" t="str">
        <f t="shared" si="173"/>
        <v>89063000</v>
      </c>
      <c r="C848" t="str">
        <f t="shared" si="173"/>
        <v>89063000</v>
      </c>
      <c r="D848" t="str">
        <f t="shared" si="174"/>
        <v>809</v>
      </c>
      <c r="E848" t="str">
        <f t="shared" si="175"/>
        <v>89301037</v>
      </c>
      <c r="F848" t="str">
        <f>"5659241665"</f>
        <v>5659241665</v>
      </c>
      <c r="G848" s="1">
        <v>44596</v>
      </c>
      <c r="H848" t="str">
        <f t="shared" si="176"/>
        <v>89312</v>
      </c>
      <c r="I848">
        <v>3</v>
      </c>
      <c r="J848">
        <v>906</v>
      </c>
      <c r="K848">
        <v>0</v>
      </c>
      <c r="L848">
        <v>951.3</v>
      </c>
    </row>
    <row r="849" spans="1:12" x14ac:dyDescent="0.25">
      <c r="A849" t="str">
        <f t="shared" si="172"/>
        <v>89301000</v>
      </c>
      <c r="B849" t="str">
        <f t="shared" si="173"/>
        <v>89063000</v>
      </c>
      <c r="C849" t="str">
        <f t="shared" si="173"/>
        <v>89063000</v>
      </c>
      <c r="D849" t="str">
        <f t="shared" si="174"/>
        <v>809</v>
      </c>
      <c r="E849" t="str">
        <f>"89301102"</f>
        <v>89301102</v>
      </c>
      <c r="F849" t="str">
        <f>"0309196195"</f>
        <v>0309196195</v>
      </c>
      <c r="G849" s="1">
        <v>44596</v>
      </c>
      <c r="H849" t="str">
        <f t="shared" si="176"/>
        <v>89312</v>
      </c>
      <c r="I849">
        <v>1</v>
      </c>
      <c r="J849">
        <v>302</v>
      </c>
      <c r="K849">
        <v>0</v>
      </c>
      <c r="L849">
        <v>317.10000000000002</v>
      </c>
    </row>
    <row r="850" spans="1:12" x14ac:dyDescent="0.25">
      <c r="A850" t="str">
        <f t="shared" si="172"/>
        <v>89301000</v>
      </c>
      <c r="B850" t="str">
        <f t="shared" si="173"/>
        <v>89063000</v>
      </c>
      <c r="C850" t="str">
        <f t="shared" si="173"/>
        <v>89063000</v>
      </c>
      <c r="D850" t="str">
        <f t="shared" si="174"/>
        <v>809</v>
      </c>
      <c r="E850" t="str">
        <f>"89301702"</f>
        <v>89301702</v>
      </c>
      <c r="F850" t="str">
        <f>"0360095725"</f>
        <v>0360095725</v>
      </c>
      <c r="G850" s="1">
        <v>44596</v>
      </c>
      <c r="H850" t="str">
        <f t="shared" si="176"/>
        <v>89312</v>
      </c>
      <c r="I850">
        <v>1</v>
      </c>
      <c r="J850">
        <v>302</v>
      </c>
      <c r="K850">
        <v>0</v>
      </c>
      <c r="L850">
        <v>317.10000000000002</v>
      </c>
    </row>
    <row r="851" spans="1:12" x14ac:dyDescent="0.25">
      <c r="A851" t="str">
        <f t="shared" si="172"/>
        <v>89301000</v>
      </c>
      <c r="B851" t="str">
        <f t="shared" si="173"/>
        <v>89063000</v>
      </c>
      <c r="C851" t="str">
        <f t="shared" si="173"/>
        <v>89063000</v>
      </c>
      <c r="D851" t="str">
        <f t="shared" si="174"/>
        <v>809</v>
      </c>
      <c r="E851" t="str">
        <f>"89301037"</f>
        <v>89301037</v>
      </c>
      <c r="F851" t="str">
        <f>"0003024868"</f>
        <v>0003024868</v>
      </c>
      <c r="G851" s="1">
        <v>44600</v>
      </c>
      <c r="H851" t="str">
        <f t="shared" si="176"/>
        <v>89312</v>
      </c>
      <c r="I851">
        <v>3</v>
      </c>
      <c r="J851">
        <v>906</v>
      </c>
      <c r="K851">
        <v>0</v>
      </c>
      <c r="L851">
        <v>951.3</v>
      </c>
    </row>
    <row r="852" spans="1:12" x14ac:dyDescent="0.25">
      <c r="A852" t="str">
        <f t="shared" si="172"/>
        <v>89301000</v>
      </c>
      <c r="B852" t="str">
        <f t="shared" si="173"/>
        <v>89063000</v>
      </c>
      <c r="C852" t="str">
        <f t="shared" si="173"/>
        <v>89063000</v>
      </c>
      <c r="D852" t="str">
        <f t="shared" si="174"/>
        <v>809</v>
      </c>
      <c r="E852" t="str">
        <f>"89301037"</f>
        <v>89301037</v>
      </c>
      <c r="F852" t="str">
        <f>"535826055"</f>
        <v>535826055</v>
      </c>
      <c r="G852" s="1">
        <v>44600</v>
      </c>
      <c r="H852" t="str">
        <f t="shared" si="176"/>
        <v>89312</v>
      </c>
      <c r="I852">
        <v>3</v>
      </c>
      <c r="J852">
        <v>906</v>
      </c>
      <c r="K852">
        <v>0</v>
      </c>
      <c r="L852">
        <v>951.3</v>
      </c>
    </row>
    <row r="853" spans="1:12" x14ac:dyDescent="0.25">
      <c r="A853" t="str">
        <f t="shared" si="172"/>
        <v>89301000</v>
      </c>
      <c r="B853" t="str">
        <f t="shared" si="173"/>
        <v>89063000</v>
      </c>
      <c r="C853" t="str">
        <f t="shared" si="173"/>
        <v>89063000</v>
      </c>
      <c r="D853" t="str">
        <f t="shared" si="174"/>
        <v>809</v>
      </c>
      <c r="E853" t="str">
        <f>"89301036"</f>
        <v>89301036</v>
      </c>
      <c r="F853" t="str">
        <f>"7660065248"</f>
        <v>7660065248</v>
      </c>
      <c r="G853" s="1">
        <v>44600</v>
      </c>
      <c r="H853" t="str">
        <f t="shared" si="176"/>
        <v>89312</v>
      </c>
      <c r="I853">
        <v>3</v>
      </c>
      <c r="J853">
        <v>906</v>
      </c>
      <c r="K853">
        <v>0</v>
      </c>
      <c r="L853">
        <v>951.3</v>
      </c>
    </row>
    <row r="854" spans="1:12" x14ac:dyDescent="0.25">
      <c r="A854" t="str">
        <f t="shared" si="172"/>
        <v>89301000</v>
      </c>
      <c r="B854" t="str">
        <f t="shared" si="173"/>
        <v>89063000</v>
      </c>
      <c r="C854" t="str">
        <f t="shared" si="173"/>
        <v>89063000</v>
      </c>
      <c r="D854" t="str">
        <f t="shared" si="174"/>
        <v>809</v>
      </c>
      <c r="E854" t="str">
        <f>"89301037"</f>
        <v>89301037</v>
      </c>
      <c r="F854" t="str">
        <f>"480326022"</f>
        <v>480326022</v>
      </c>
      <c r="G854" s="1">
        <v>44601</v>
      </c>
      <c r="H854" t="str">
        <f t="shared" si="176"/>
        <v>89312</v>
      </c>
      <c r="I854">
        <v>3</v>
      </c>
      <c r="J854">
        <v>906</v>
      </c>
      <c r="K854">
        <v>0</v>
      </c>
      <c r="L854">
        <v>951.3</v>
      </c>
    </row>
    <row r="855" spans="1:12" x14ac:dyDescent="0.25">
      <c r="A855" t="str">
        <f t="shared" si="172"/>
        <v>89301000</v>
      </c>
      <c r="B855" t="str">
        <f t="shared" si="173"/>
        <v>89063000</v>
      </c>
      <c r="C855" t="str">
        <f t="shared" si="173"/>
        <v>89063000</v>
      </c>
      <c r="D855" t="str">
        <f t="shared" si="174"/>
        <v>809</v>
      </c>
      <c r="E855" t="str">
        <f>"89301037"</f>
        <v>89301037</v>
      </c>
      <c r="F855" t="str">
        <f>"455505412"</f>
        <v>455505412</v>
      </c>
      <c r="G855" s="1">
        <v>44601</v>
      </c>
      <c r="H855" t="str">
        <f t="shared" si="176"/>
        <v>89312</v>
      </c>
      <c r="I855">
        <v>3</v>
      </c>
      <c r="J855">
        <v>906</v>
      </c>
      <c r="K855">
        <v>0</v>
      </c>
      <c r="L855">
        <v>951.3</v>
      </c>
    </row>
    <row r="856" spans="1:12" x14ac:dyDescent="0.25">
      <c r="A856" t="str">
        <f t="shared" si="172"/>
        <v>89301000</v>
      </c>
      <c r="B856" t="str">
        <f t="shared" si="173"/>
        <v>89063000</v>
      </c>
      <c r="C856" t="str">
        <f t="shared" si="173"/>
        <v>89063000</v>
      </c>
      <c r="D856" t="str">
        <f t="shared" si="174"/>
        <v>809</v>
      </c>
      <c r="E856" t="str">
        <f>"89301037"</f>
        <v>89301037</v>
      </c>
      <c r="F856" t="str">
        <f>"6055161156"</f>
        <v>6055161156</v>
      </c>
      <c r="G856" s="1">
        <v>44603</v>
      </c>
      <c r="H856" t="str">
        <f t="shared" si="176"/>
        <v>89312</v>
      </c>
      <c r="I856">
        <v>3</v>
      </c>
      <c r="J856">
        <v>906</v>
      </c>
      <c r="K856">
        <v>0</v>
      </c>
      <c r="L856">
        <v>951.3</v>
      </c>
    </row>
    <row r="857" spans="1:12" x14ac:dyDescent="0.25">
      <c r="A857" t="str">
        <f t="shared" si="172"/>
        <v>89301000</v>
      </c>
      <c r="B857" t="str">
        <f t="shared" si="173"/>
        <v>89063000</v>
      </c>
      <c r="C857" t="str">
        <f t="shared" si="173"/>
        <v>89063000</v>
      </c>
      <c r="D857" t="str">
        <f t="shared" si="174"/>
        <v>809</v>
      </c>
      <c r="E857" t="str">
        <f>"89301102"</f>
        <v>89301102</v>
      </c>
      <c r="F857" t="str">
        <f>"0455243250"</f>
        <v>0455243250</v>
      </c>
      <c r="G857" s="1">
        <v>44603</v>
      </c>
      <c r="H857" t="str">
        <f t="shared" si="176"/>
        <v>89312</v>
      </c>
      <c r="I857">
        <v>1</v>
      </c>
      <c r="J857">
        <v>302</v>
      </c>
      <c r="K857">
        <v>0</v>
      </c>
      <c r="L857">
        <v>317.10000000000002</v>
      </c>
    </row>
    <row r="858" spans="1:12" x14ac:dyDescent="0.25">
      <c r="A858" t="str">
        <f t="shared" si="172"/>
        <v>89301000</v>
      </c>
      <c r="B858" t="str">
        <f t="shared" si="173"/>
        <v>89063000</v>
      </c>
      <c r="C858" t="str">
        <f t="shared" si="173"/>
        <v>89063000</v>
      </c>
      <c r="D858" t="str">
        <f t="shared" si="174"/>
        <v>809</v>
      </c>
      <c r="E858" t="str">
        <f>"89301037"</f>
        <v>89301037</v>
      </c>
      <c r="F858" t="str">
        <f>"6558290585"</f>
        <v>6558290585</v>
      </c>
      <c r="G858" s="1">
        <v>44603</v>
      </c>
      <c r="H858" t="str">
        <f t="shared" si="176"/>
        <v>89312</v>
      </c>
      <c r="I858">
        <v>3</v>
      </c>
      <c r="J858">
        <v>906</v>
      </c>
      <c r="K858">
        <v>0</v>
      </c>
      <c r="L858">
        <v>951.3</v>
      </c>
    </row>
    <row r="859" spans="1:12" x14ac:dyDescent="0.25">
      <c r="A859" t="str">
        <f t="shared" si="172"/>
        <v>89301000</v>
      </c>
      <c r="B859" t="str">
        <f t="shared" si="173"/>
        <v>89063000</v>
      </c>
      <c r="C859" t="str">
        <f t="shared" si="173"/>
        <v>89063000</v>
      </c>
      <c r="D859" t="str">
        <f t="shared" si="174"/>
        <v>809</v>
      </c>
      <c r="E859" t="str">
        <f>"89301037"</f>
        <v>89301037</v>
      </c>
      <c r="F859" t="str">
        <f>"8760234912"</f>
        <v>8760234912</v>
      </c>
      <c r="G859" s="1">
        <v>44603</v>
      </c>
      <c r="H859" t="str">
        <f t="shared" si="176"/>
        <v>89312</v>
      </c>
      <c r="I859">
        <v>3</v>
      </c>
      <c r="J859">
        <v>906</v>
      </c>
      <c r="K859">
        <v>0</v>
      </c>
      <c r="L859">
        <v>951.3</v>
      </c>
    </row>
    <row r="860" spans="1:12" x14ac:dyDescent="0.25">
      <c r="A860" t="str">
        <f t="shared" si="172"/>
        <v>89301000</v>
      </c>
      <c r="B860" t="str">
        <f t="shared" si="173"/>
        <v>89063000</v>
      </c>
      <c r="C860" t="str">
        <f t="shared" si="173"/>
        <v>89063000</v>
      </c>
      <c r="D860" t="str">
        <f t="shared" si="174"/>
        <v>809</v>
      </c>
      <c r="E860" t="str">
        <f>"89301212"</f>
        <v>89301212</v>
      </c>
      <c r="F860" t="str">
        <f>"486007402"</f>
        <v>486007402</v>
      </c>
      <c r="G860" s="1">
        <v>44606</v>
      </c>
      <c r="H860" t="str">
        <f t="shared" si="176"/>
        <v>89312</v>
      </c>
      <c r="I860">
        <v>3</v>
      </c>
      <c r="J860">
        <v>906</v>
      </c>
      <c r="K860">
        <v>0</v>
      </c>
      <c r="L860">
        <v>951.3</v>
      </c>
    </row>
    <row r="861" spans="1:12" x14ac:dyDescent="0.25">
      <c r="A861" t="str">
        <f t="shared" si="172"/>
        <v>89301000</v>
      </c>
      <c r="B861" t="str">
        <f t="shared" si="173"/>
        <v>89063000</v>
      </c>
      <c r="C861" t="str">
        <f t="shared" si="173"/>
        <v>89063000</v>
      </c>
      <c r="D861" t="str">
        <f t="shared" si="174"/>
        <v>809</v>
      </c>
      <c r="E861" t="str">
        <f>"89301702"</f>
        <v>89301702</v>
      </c>
      <c r="F861" t="str">
        <f>"0852096157"</f>
        <v>0852096157</v>
      </c>
      <c r="G861" s="1">
        <v>44606</v>
      </c>
      <c r="H861" t="str">
        <f t="shared" si="176"/>
        <v>89312</v>
      </c>
      <c r="I861">
        <v>1</v>
      </c>
      <c r="J861">
        <v>302</v>
      </c>
      <c r="K861">
        <v>0</v>
      </c>
      <c r="L861">
        <v>317.10000000000002</v>
      </c>
    </row>
    <row r="862" spans="1:12" x14ac:dyDescent="0.25">
      <c r="A862" t="str">
        <f t="shared" si="172"/>
        <v>89301000</v>
      </c>
      <c r="B862" t="str">
        <f t="shared" ref="B862:C881" si="177">"89063000"</f>
        <v>89063000</v>
      </c>
      <c r="C862" t="str">
        <f t="shared" si="177"/>
        <v>89063000</v>
      </c>
      <c r="D862" t="str">
        <f t="shared" si="174"/>
        <v>809</v>
      </c>
      <c r="E862" t="str">
        <f>"89301037"</f>
        <v>89301037</v>
      </c>
      <c r="F862" t="str">
        <f>"6259011880"</f>
        <v>6259011880</v>
      </c>
      <c r="G862" s="1">
        <v>44606</v>
      </c>
      <c r="H862" t="str">
        <f t="shared" si="176"/>
        <v>89312</v>
      </c>
      <c r="I862">
        <v>3</v>
      </c>
      <c r="J862">
        <v>906</v>
      </c>
      <c r="K862">
        <v>0</v>
      </c>
      <c r="L862">
        <v>951.3</v>
      </c>
    </row>
    <row r="863" spans="1:12" x14ac:dyDescent="0.25">
      <c r="A863" t="str">
        <f t="shared" si="172"/>
        <v>89301000</v>
      </c>
      <c r="B863" t="str">
        <f t="shared" si="177"/>
        <v>89063000</v>
      </c>
      <c r="C863" t="str">
        <f t="shared" si="177"/>
        <v>89063000</v>
      </c>
      <c r="D863" t="str">
        <f t="shared" si="174"/>
        <v>809</v>
      </c>
      <c r="E863" t="str">
        <f>"89301037"</f>
        <v>89301037</v>
      </c>
      <c r="F863" t="str">
        <f>"5457011021"</f>
        <v>5457011021</v>
      </c>
      <c r="G863" s="1">
        <v>44607</v>
      </c>
      <c r="H863" t="str">
        <f t="shared" si="176"/>
        <v>89312</v>
      </c>
      <c r="I863">
        <v>3</v>
      </c>
      <c r="J863">
        <v>906</v>
      </c>
      <c r="K863">
        <v>0</v>
      </c>
      <c r="L863">
        <v>951.3</v>
      </c>
    </row>
    <row r="864" spans="1:12" x14ac:dyDescent="0.25">
      <c r="A864" t="str">
        <f t="shared" si="172"/>
        <v>89301000</v>
      </c>
      <c r="B864" t="str">
        <f t="shared" si="177"/>
        <v>89063000</v>
      </c>
      <c r="C864" t="str">
        <f t="shared" si="177"/>
        <v>89063000</v>
      </c>
      <c r="D864" t="str">
        <f t="shared" si="174"/>
        <v>809</v>
      </c>
      <c r="E864" t="str">
        <f>"89301039"</f>
        <v>89301039</v>
      </c>
      <c r="F864" t="str">
        <f>"5461151663"</f>
        <v>5461151663</v>
      </c>
      <c r="G864" s="1">
        <v>44607</v>
      </c>
      <c r="H864" t="str">
        <f t="shared" si="176"/>
        <v>89312</v>
      </c>
      <c r="I864">
        <v>3</v>
      </c>
      <c r="J864">
        <v>906</v>
      </c>
      <c r="K864">
        <v>0</v>
      </c>
      <c r="L864">
        <v>951.3</v>
      </c>
    </row>
    <row r="865" spans="1:12" x14ac:dyDescent="0.25">
      <c r="A865" t="str">
        <f t="shared" si="172"/>
        <v>89301000</v>
      </c>
      <c r="B865" t="str">
        <f t="shared" si="177"/>
        <v>89063000</v>
      </c>
      <c r="C865" t="str">
        <f t="shared" si="177"/>
        <v>89063000</v>
      </c>
      <c r="D865" t="str">
        <f t="shared" si="174"/>
        <v>809</v>
      </c>
      <c r="E865" t="str">
        <f>"89301036"</f>
        <v>89301036</v>
      </c>
      <c r="F865" t="str">
        <f>"6758250235"</f>
        <v>6758250235</v>
      </c>
      <c r="G865" s="1">
        <v>44607</v>
      </c>
      <c r="H865" t="str">
        <f t="shared" si="176"/>
        <v>89312</v>
      </c>
      <c r="I865">
        <v>3</v>
      </c>
      <c r="J865">
        <v>906</v>
      </c>
      <c r="K865">
        <v>0</v>
      </c>
      <c r="L865">
        <v>951.3</v>
      </c>
    </row>
    <row r="866" spans="1:12" x14ac:dyDescent="0.25">
      <c r="A866" t="str">
        <f t="shared" si="172"/>
        <v>89301000</v>
      </c>
      <c r="B866" t="str">
        <f t="shared" si="177"/>
        <v>89063000</v>
      </c>
      <c r="C866" t="str">
        <f t="shared" si="177"/>
        <v>89063000</v>
      </c>
      <c r="D866" t="str">
        <f t="shared" si="174"/>
        <v>809</v>
      </c>
      <c r="E866" t="str">
        <f>"89301037"</f>
        <v>89301037</v>
      </c>
      <c r="F866" t="str">
        <f>"5653080983"</f>
        <v>5653080983</v>
      </c>
      <c r="G866" s="1">
        <v>44608</v>
      </c>
      <c r="H866" t="str">
        <f t="shared" si="176"/>
        <v>89312</v>
      </c>
      <c r="I866">
        <v>3</v>
      </c>
      <c r="J866">
        <v>906</v>
      </c>
      <c r="K866">
        <v>0</v>
      </c>
      <c r="L866">
        <v>951.3</v>
      </c>
    </row>
    <row r="867" spans="1:12" x14ac:dyDescent="0.25">
      <c r="A867" t="str">
        <f t="shared" si="172"/>
        <v>89301000</v>
      </c>
      <c r="B867" t="str">
        <f t="shared" si="177"/>
        <v>89063000</v>
      </c>
      <c r="C867" t="str">
        <f t="shared" si="177"/>
        <v>89063000</v>
      </c>
      <c r="D867" t="str">
        <f t="shared" si="174"/>
        <v>809</v>
      </c>
      <c r="E867" t="str">
        <f>"89301036"</f>
        <v>89301036</v>
      </c>
      <c r="F867" t="str">
        <f>"7407204475"</f>
        <v>7407204475</v>
      </c>
      <c r="G867" s="1">
        <v>44608</v>
      </c>
      <c r="H867" t="str">
        <f t="shared" si="176"/>
        <v>89312</v>
      </c>
      <c r="I867">
        <v>3</v>
      </c>
      <c r="J867">
        <v>906</v>
      </c>
      <c r="K867">
        <v>0</v>
      </c>
      <c r="L867">
        <v>951.3</v>
      </c>
    </row>
    <row r="868" spans="1:12" x14ac:dyDescent="0.25">
      <c r="A868" t="str">
        <f t="shared" si="172"/>
        <v>89301000</v>
      </c>
      <c r="B868" t="str">
        <f t="shared" si="177"/>
        <v>89063000</v>
      </c>
      <c r="C868" t="str">
        <f t="shared" si="177"/>
        <v>89063000</v>
      </c>
      <c r="D868" t="str">
        <f t="shared" si="174"/>
        <v>809</v>
      </c>
      <c r="E868" t="str">
        <f>"89301082"</f>
        <v>89301082</v>
      </c>
      <c r="F868" t="str">
        <f>"9254184852"</f>
        <v>9254184852</v>
      </c>
      <c r="G868" s="1">
        <v>44609</v>
      </c>
      <c r="H868" t="str">
        <f t="shared" si="176"/>
        <v>89312</v>
      </c>
      <c r="I868">
        <v>3</v>
      </c>
      <c r="J868">
        <v>906</v>
      </c>
      <c r="K868">
        <v>0</v>
      </c>
      <c r="L868">
        <v>951.3</v>
      </c>
    </row>
    <row r="869" spans="1:12" x14ac:dyDescent="0.25">
      <c r="A869" t="str">
        <f t="shared" si="172"/>
        <v>89301000</v>
      </c>
      <c r="B869" t="str">
        <f t="shared" si="177"/>
        <v>89063000</v>
      </c>
      <c r="C869" t="str">
        <f t="shared" si="177"/>
        <v>89063000</v>
      </c>
      <c r="D869" t="str">
        <f t="shared" si="174"/>
        <v>809</v>
      </c>
      <c r="E869" t="str">
        <f>"89301037"</f>
        <v>89301037</v>
      </c>
      <c r="F869" t="str">
        <f>"485307401"</f>
        <v>485307401</v>
      </c>
      <c r="G869" s="1">
        <v>44609</v>
      </c>
      <c r="H869" t="str">
        <f t="shared" si="176"/>
        <v>89312</v>
      </c>
      <c r="I869">
        <v>3</v>
      </c>
      <c r="J869">
        <v>906</v>
      </c>
      <c r="K869">
        <v>0</v>
      </c>
      <c r="L869">
        <v>951.3</v>
      </c>
    </row>
    <row r="870" spans="1:12" x14ac:dyDescent="0.25">
      <c r="A870" t="str">
        <f t="shared" si="172"/>
        <v>89301000</v>
      </c>
      <c r="B870" t="str">
        <f t="shared" si="177"/>
        <v>89063000</v>
      </c>
      <c r="C870" t="str">
        <f t="shared" si="177"/>
        <v>89063000</v>
      </c>
      <c r="D870" t="str">
        <f t="shared" si="174"/>
        <v>809</v>
      </c>
      <c r="E870" t="str">
        <f>"89301037"</f>
        <v>89301037</v>
      </c>
      <c r="F870" t="str">
        <f>"515613022"</f>
        <v>515613022</v>
      </c>
      <c r="G870" s="1">
        <v>44609</v>
      </c>
      <c r="H870" t="str">
        <f t="shared" si="176"/>
        <v>89312</v>
      </c>
      <c r="I870">
        <v>3</v>
      </c>
      <c r="J870">
        <v>906</v>
      </c>
      <c r="K870">
        <v>0</v>
      </c>
      <c r="L870">
        <v>951.3</v>
      </c>
    </row>
    <row r="871" spans="1:12" x14ac:dyDescent="0.25">
      <c r="A871" t="str">
        <f t="shared" si="172"/>
        <v>89301000</v>
      </c>
      <c r="B871" t="str">
        <f t="shared" si="177"/>
        <v>89063000</v>
      </c>
      <c r="C871" t="str">
        <f t="shared" si="177"/>
        <v>89063000</v>
      </c>
      <c r="D871" t="str">
        <f t="shared" si="174"/>
        <v>809</v>
      </c>
      <c r="E871" t="str">
        <f>"89301336"</f>
        <v>89301336</v>
      </c>
      <c r="F871" t="str">
        <f>"6053070936"</f>
        <v>6053070936</v>
      </c>
      <c r="G871" s="1">
        <v>44609</v>
      </c>
      <c r="H871" t="str">
        <f t="shared" si="176"/>
        <v>89312</v>
      </c>
      <c r="I871">
        <v>3</v>
      </c>
      <c r="J871">
        <v>906</v>
      </c>
      <c r="K871">
        <v>0</v>
      </c>
      <c r="L871">
        <v>951.3</v>
      </c>
    </row>
    <row r="872" spans="1:12" x14ac:dyDescent="0.25">
      <c r="A872" t="str">
        <f t="shared" si="172"/>
        <v>89301000</v>
      </c>
      <c r="B872" t="str">
        <f t="shared" si="177"/>
        <v>89063000</v>
      </c>
      <c r="C872" t="str">
        <f t="shared" si="177"/>
        <v>89063000</v>
      </c>
      <c r="D872" t="str">
        <f t="shared" si="174"/>
        <v>809</v>
      </c>
      <c r="E872" t="str">
        <f>"89301036"</f>
        <v>89301036</v>
      </c>
      <c r="F872" t="str">
        <f>"6062020668"</f>
        <v>6062020668</v>
      </c>
      <c r="G872" s="1">
        <v>44609</v>
      </c>
      <c r="H872" t="str">
        <f t="shared" si="176"/>
        <v>89312</v>
      </c>
      <c r="I872">
        <v>3</v>
      </c>
      <c r="J872">
        <v>906</v>
      </c>
      <c r="K872">
        <v>0</v>
      </c>
      <c r="L872">
        <v>951.3</v>
      </c>
    </row>
    <row r="873" spans="1:12" x14ac:dyDescent="0.25">
      <c r="A873" t="str">
        <f t="shared" si="172"/>
        <v>89301000</v>
      </c>
      <c r="B873" t="str">
        <f t="shared" si="177"/>
        <v>89063000</v>
      </c>
      <c r="C873" t="str">
        <f t="shared" si="177"/>
        <v>89063000</v>
      </c>
      <c r="D873" t="str">
        <f t="shared" si="174"/>
        <v>809</v>
      </c>
      <c r="E873" t="str">
        <f>"89301037"</f>
        <v>89301037</v>
      </c>
      <c r="F873" t="str">
        <f>"535901104"</f>
        <v>535901104</v>
      </c>
      <c r="G873" s="1">
        <v>44610</v>
      </c>
      <c r="H873" t="str">
        <f t="shared" si="176"/>
        <v>89312</v>
      </c>
      <c r="I873">
        <v>3</v>
      </c>
      <c r="J873">
        <v>906</v>
      </c>
      <c r="K873">
        <v>0</v>
      </c>
      <c r="L873">
        <v>951.3</v>
      </c>
    </row>
    <row r="874" spans="1:12" x14ac:dyDescent="0.25">
      <c r="A874" t="str">
        <f t="shared" si="172"/>
        <v>89301000</v>
      </c>
      <c r="B874" t="str">
        <f t="shared" si="177"/>
        <v>89063000</v>
      </c>
      <c r="C874" t="str">
        <f t="shared" si="177"/>
        <v>89063000</v>
      </c>
      <c r="D874" t="str">
        <f t="shared" ref="D874:D905" si="178">"809"</f>
        <v>809</v>
      </c>
      <c r="E874" t="str">
        <f>"89301037"</f>
        <v>89301037</v>
      </c>
      <c r="F874" t="str">
        <f>"5856251907"</f>
        <v>5856251907</v>
      </c>
      <c r="G874" s="1">
        <v>44610</v>
      </c>
      <c r="H874" t="str">
        <f t="shared" ref="H874:H890" si="179">"89312"</f>
        <v>89312</v>
      </c>
      <c r="I874">
        <v>3</v>
      </c>
      <c r="J874">
        <v>906</v>
      </c>
      <c r="K874">
        <v>0</v>
      </c>
      <c r="L874">
        <v>951.3</v>
      </c>
    </row>
    <row r="875" spans="1:12" x14ac:dyDescent="0.25">
      <c r="A875" t="str">
        <f t="shared" si="172"/>
        <v>89301000</v>
      </c>
      <c r="B875" t="str">
        <f t="shared" si="177"/>
        <v>89063000</v>
      </c>
      <c r="C875" t="str">
        <f t="shared" si="177"/>
        <v>89063000</v>
      </c>
      <c r="D875" t="str">
        <f t="shared" si="178"/>
        <v>809</v>
      </c>
      <c r="E875" t="str">
        <f>"89301037"</f>
        <v>89301037</v>
      </c>
      <c r="F875" t="str">
        <f>"6753260602"</f>
        <v>6753260602</v>
      </c>
      <c r="G875" s="1">
        <v>44613</v>
      </c>
      <c r="H875" t="str">
        <f t="shared" si="179"/>
        <v>89312</v>
      </c>
      <c r="I875">
        <v>3</v>
      </c>
      <c r="J875">
        <v>906</v>
      </c>
      <c r="K875">
        <v>0</v>
      </c>
      <c r="L875">
        <v>951.3</v>
      </c>
    </row>
    <row r="876" spans="1:12" x14ac:dyDescent="0.25">
      <c r="A876" t="str">
        <f t="shared" si="172"/>
        <v>89301000</v>
      </c>
      <c r="B876" t="str">
        <f t="shared" si="177"/>
        <v>89063000</v>
      </c>
      <c r="C876" t="str">
        <f t="shared" si="177"/>
        <v>89063000</v>
      </c>
      <c r="D876" t="str">
        <f t="shared" si="178"/>
        <v>809</v>
      </c>
      <c r="E876" t="str">
        <f>"89301037"</f>
        <v>89301037</v>
      </c>
      <c r="F876" t="str">
        <f>"5656171048"</f>
        <v>5656171048</v>
      </c>
      <c r="G876" s="1">
        <v>44613</v>
      </c>
      <c r="H876" t="str">
        <f t="shared" si="179"/>
        <v>89312</v>
      </c>
      <c r="I876">
        <v>3</v>
      </c>
      <c r="J876">
        <v>906</v>
      </c>
      <c r="K876">
        <v>0</v>
      </c>
      <c r="L876">
        <v>951.3</v>
      </c>
    </row>
    <row r="877" spans="1:12" x14ac:dyDescent="0.25">
      <c r="A877" t="str">
        <f t="shared" si="172"/>
        <v>89301000</v>
      </c>
      <c r="B877" t="str">
        <f t="shared" si="177"/>
        <v>89063000</v>
      </c>
      <c r="C877" t="str">
        <f t="shared" si="177"/>
        <v>89063000</v>
      </c>
      <c r="D877" t="str">
        <f t="shared" si="178"/>
        <v>809</v>
      </c>
      <c r="E877" t="str">
        <f>"89301037"</f>
        <v>89301037</v>
      </c>
      <c r="F877" t="str">
        <f>"485214414"</f>
        <v>485214414</v>
      </c>
      <c r="G877" s="1">
        <v>44613</v>
      </c>
      <c r="H877" t="str">
        <f t="shared" si="179"/>
        <v>89312</v>
      </c>
      <c r="I877">
        <v>3</v>
      </c>
      <c r="J877">
        <v>906</v>
      </c>
      <c r="K877">
        <v>0</v>
      </c>
      <c r="L877">
        <v>951.3</v>
      </c>
    </row>
    <row r="878" spans="1:12" x14ac:dyDescent="0.25">
      <c r="A878" t="str">
        <f t="shared" si="172"/>
        <v>89301000</v>
      </c>
      <c r="B878" t="str">
        <f t="shared" si="177"/>
        <v>89063000</v>
      </c>
      <c r="C878" t="str">
        <f t="shared" si="177"/>
        <v>89063000</v>
      </c>
      <c r="D878" t="str">
        <f t="shared" si="178"/>
        <v>809</v>
      </c>
      <c r="E878" t="str">
        <f>"89301704"</f>
        <v>89301704</v>
      </c>
      <c r="F878" t="str">
        <f>"0357205915"</f>
        <v>0357205915</v>
      </c>
      <c r="G878" s="1">
        <v>44613</v>
      </c>
      <c r="H878" t="str">
        <f t="shared" si="179"/>
        <v>89312</v>
      </c>
      <c r="I878">
        <v>1</v>
      </c>
      <c r="J878">
        <v>302</v>
      </c>
      <c r="K878">
        <v>0</v>
      </c>
      <c r="L878">
        <v>317.10000000000002</v>
      </c>
    </row>
    <row r="879" spans="1:12" x14ac:dyDescent="0.25">
      <c r="A879" t="str">
        <f t="shared" si="172"/>
        <v>89301000</v>
      </c>
      <c r="B879" t="str">
        <f t="shared" si="177"/>
        <v>89063000</v>
      </c>
      <c r="C879" t="str">
        <f t="shared" si="177"/>
        <v>89063000</v>
      </c>
      <c r="D879" t="str">
        <f t="shared" si="178"/>
        <v>809</v>
      </c>
      <c r="E879" t="str">
        <f>"89301036"</f>
        <v>89301036</v>
      </c>
      <c r="F879" t="str">
        <f>"7004085330"</f>
        <v>7004085330</v>
      </c>
      <c r="G879" s="1">
        <v>44614</v>
      </c>
      <c r="H879" t="str">
        <f t="shared" si="179"/>
        <v>89312</v>
      </c>
      <c r="I879">
        <v>3</v>
      </c>
      <c r="J879">
        <v>906</v>
      </c>
      <c r="K879">
        <v>0</v>
      </c>
      <c r="L879">
        <v>951.3</v>
      </c>
    </row>
    <row r="880" spans="1:12" x14ac:dyDescent="0.25">
      <c r="A880" t="str">
        <f t="shared" si="172"/>
        <v>89301000</v>
      </c>
      <c r="B880" t="str">
        <f t="shared" si="177"/>
        <v>89063000</v>
      </c>
      <c r="C880" t="str">
        <f t="shared" si="177"/>
        <v>89063000</v>
      </c>
      <c r="D880" t="str">
        <f t="shared" si="178"/>
        <v>809</v>
      </c>
      <c r="E880" t="str">
        <f>"89301036"</f>
        <v>89301036</v>
      </c>
      <c r="F880" t="str">
        <f>"6753040404"</f>
        <v>6753040404</v>
      </c>
      <c r="G880" s="1">
        <v>44614</v>
      </c>
      <c r="H880" t="str">
        <f t="shared" si="179"/>
        <v>89312</v>
      </c>
      <c r="I880">
        <v>3</v>
      </c>
      <c r="J880">
        <v>906</v>
      </c>
      <c r="K880">
        <v>0</v>
      </c>
      <c r="L880">
        <v>951.3</v>
      </c>
    </row>
    <row r="881" spans="1:12" x14ac:dyDescent="0.25">
      <c r="A881" t="str">
        <f t="shared" si="172"/>
        <v>89301000</v>
      </c>
      <c r="B881" t="str">
        <f t="shared" si="177"/>
        <v>89063000</v>
      </c>
      <c r="C881" t="str">
        <f t="shared" si="177"/>
        <v>89063000</v>
      </c>
      <c r="D881" t="str">
        <f t="shared" si="178"/>
        <v>809</v>
      </c>
      <c r="E881" t="str">
        <f>"89301037"</f>
        <v>89301037</v>
      </c>
      <c r="F881" t="str">
        <f>"5652036874"</f>
        <v>5652036874</v>
      </c>
      <c r="G881" s="1">
        <v>44614</v>
      </c>
      <c r="H881" t="str">
        <f t="shared" si="179"/>
        <v>89312</v>
      </c>
      <c r="I881">
        <v>3</v>
      </c>
      <c r="J881">
        <v>906</v>
      </c>
      <c r="K881">
        <v>0</v>
      </c>
      <c r="L881">
        <v>951.3</v>
      </c>
    </row>
    <row r="882" spans="1:12" x14ac:dyDescent="0.25">
      <c r="A882" t="str">
        <f t="shared" si="172"/>
        <v>89301000</v>
      </c>
      <c r="B882" t="str">
        <f t="shared" ref="B882:C890" si="180">"89063000"</f>
        <v>89063000</v>
      </c>
      <c r="C882" t="str">
        <f t="shared" si="180"/>
        <v>89063000</v>
      </c>
      <c r="D882" t="str">
        <f t="shared" si="178"/>
        <v>809</v>
      </c>
      <c r="E882" t="str">
        <f>"89301037"</f>
        <v>89301037</v>
      </c>
      <c r="F882" t="str">
        <f>"505630076"</f>
        <v>505630076</v>
      </c>
      <c r="G882" s="1">
        <v>44614</v>
      </c>
      <c r="H882" t="str">
        <f t="shared" si="179"/>
        <v>89312</v>
      </c>
      <c r="I882">
        <v>3</v>
      </c>
      <c r="J882">
        <v>906</v>
      </c>
      <c r="K882">
        <v>0</v>
      </c>
      <c r="L882">
        <v>951.3</v>
      </c>
    </row>
    <row r="883" spans="1:12" x14ac:dyDescent="0.25">
      <c r="A883" t="str">
        <f t="shared" si="172"/>
        <v>89301000</v>
      </c>
      <c r="B883" t="str">
        <f t="shared" si="180"/>
        <v>89063000</v>
      </c>
      <c r="C883" t="str">
        <f t="shared" si="180"/>
        <v>89063000</v>
      </c>
      <c r="D883" t="str">
        <f t="shared" si="178"/>
        <v>809</v>
      </c>
      <c r="E883" t="str">
        <f>"89301037"</f>
        <v>89301037</v>
      </c>
      <c r="F883" t="str">
        <f>"535215035"</f>
        <v>535215035</v>
      </c>
      <c r="G883" s="1">
        <v>44615</v>
      </c>
      <c r="H883" t="str">
        <f t="shared" si="179"/>
        <v>89312</v>
      </c>
      <c r="I883">
        <v>3</v>
      </c>
      <c r="J883">
        <v>906</v>
      </c>
      <c r="K883">
        <v>0</v>
      </c>
      <c r="L883">
        <v>951.3</v>
      </c>
    </row>
    <row r="884" spans="1:12" x14ac:dyDescent="0.25">
      <c r="A884" t="str">
        <f t="shared" si="172"/>
        <v>89301000</v>
      </c>
      <c r="B884" t="str">
        <f t="shared" si="180"/>
        <v>89063000</v>
      </c>
      <c r="C884" t="str">
        <f t="shared" si="180"/>
        <v>89063000</v>
      </c>
      <c r="D884" t="str">
        <f t="shared" si="178"/>
        <v>809</v>
      </c>
      <c r="E884" t="str">
        <f>"89301162"</f>
        <v>89301162</v>
      </c>
      <c r="F884" t="str">
        <f>"8708075816"</f>
        <v>8708075816</v>
      </c>
      <c r="G884" s="1">
        <v>44615</v>
      </c>
      <c r="H884" t="str">
        <f t="shared" si="179"/>
        <v>89312</v>
      </c>
      <c r="I884">
        <v>3</v>
      </c>
      <c r="J884">
        <v>906</v>
      </c>
      <c r="K884">
        <v>0</v>
      </c>
      <c r="L884">
        <v>951.3</v>
      </c>
    </row>
    <row r="885" spans="1:12" x14ac:dyDescent="0.25">
      <c r="A885" t="str">
        <f t="shared" si="172"/>
        <v>89301000</v>
      </c>
      <c r="B885" t="str">
        <f t="shared" si="180"/>
        <v>89063000</v>
      </c>
      <c r="C885" t="str">
        <f t="shared" si="180"/>
        <v>89063000</v>
      </c>
      <c r="D885" t="str">
        <f t="shared" si="178"/>
        <v>809</v>
      </c>
      <c r="E885" t="str">
        <f>"89301037"</f>
        <v>89301037</v>
      </c>
      <c r="F885" t="str">
        <f>"511230224"</f>
        <v>511230224</v>
      </c>
      <c r="G885" s="1">
        <v>44615</v>
      </c>
      <c r="H885" t="str">
        <f t="shared" si="179"/>
        <v>89312</v>
      </c>
      <c r="I885">
        <v>3</v>
      </c>
      <c r="J885">
        <v>906</v>
      </c>
      <c r="K885">
        <v>0</v>
      </c>
      <c r="L885">
        <v>951.3</v>
      </c>
    </row>
    <row r="886" spans="1:12" x14ac:dyDescent="0.25">
      <c r="A886" t="str">
        <f t="shared" si="172"/>
        <v>89301000</v>
      </c>
      <c r="B886" t="str">
        <f t="shared" si="180"/>
        <v>89063000</v>
      </c>
      <c r="C886" t="str">
        <f t="shared" si="180"/>
        <v>89063000</v>
      </c>
      <c r="D886" t="str">
        <f t="shared" si="178"/>
        <v>809</v>
      </c>
      <c r="E886" t="str">
        <f>"89301037"</f>
        <v>89301037</v>
      </c>
      <c r="F886" t="str">
        <f>"6260301289"</f>
        <v>6260301289</v>
      </c>
      <c r="G886" s="1">
        <v>44616</v>
      </c>
      <c r="H886" t="str">
        <f t="shared" si="179"/>
        <v>89312</v>
      </c>
      <c r="I886">
        <v>3</v>
      </c>
      <c r="J886">
        <v>906</v>
      </c>
      <c r="K886">
        <v>0</v>
      </c>
      <c r="L886">
        <v>951.3</v>
      </c>
    </row>
    <row r="887" spans="1:12" x14ac:dyDescent="0.25">
      <c r="A887" t="str">
        <f t="shared" si="172"/>
        <v>89301000</v>
      </c>
      <c r="B887" t="str">
        <f t="shared" si="180"/>
        <v>89063000</v>
      </c>
      <c r="C887" t="str">
        <f t="shared" si="180"/>
        <v>89063000</v>
      </c>
      <c r="D887" t="str">
        <f t="shared" si="178"/>
        <v>809</v>
      </c>
      <c r="E887" t="str">
        <f>"89301037"</f>
        <v>89301037</v>
      </c>
      <c r="F887" t="str">
        <f>"6106261128"</f>
        <v>6106261128</v>
      </c>
      <c r="G887" s="1">
        <v>44616</v>
      </c>
      <c r="H887" t="str">
        <f t="shared" si="179"/>
        <v>89312</v>
      </c>
      <c r="I887">
        <v>3</v>
      </c>
      <c r="J887">
        <v>906</v>
      </c>
      <c r="K887">
        <v>0</v>
      </c>
      <c r="L887">
        <v>951.3</v>
      </c>
    </row>
    <row r="888" spans="1:12" x14ac:dyDescent="0.25">
      <c r="A888" t="str">
        <f t="shared" si="172"/>
        <v>89301000</v>
      </c>
      <c r="B888" t="str">
        <f t="shared" si="180"/>
        <v>89063000</v>
      </c>
      <c r="C888" t="str">
        <f t="shared" si="180"/>
        <v>89063000</v>
      </c>
      <c r="D888" t="str">
        <f t="shared" si="178"/>
        <v>809</v>
      </c>
      <c r="E888" t="str">
        <f>"89301037"</f>
        <v>89301037</v>
      </c>
      <c r="F888" t="str">
        <f>"6354220620"</f>
        <v>6354220620</v>
      </c>
      <c r="G888" s="1">
        <v>44616</v>
      </c>
      <c r="H888" t="str">
        <f t="shared" si="179"/>
        <v>89312</v>
      </c>
      <c r="I888">
        <v>3</v>
      </c>
      <c r="J888">
        <v>906</v>
      </c>
      <c r="K888">
        <v>0</v>
      </c>
      <c r="L888">
        <v>951.3</v>
      </c>
    </row>
    <row r="889" spans="1:12" x14ac:dyDescent="0.25">
      <c r="A889" t="str">
        <f t="shared" si="172"/>
        <v>89301000</v>
      </c>
      <c r="B889" t="str">
        <f t="shared" si="180"/>
        <v>89063000</v>
      </c>
      <c r="C889" t="str">
        <f t="shared" si="180"/>
        <v>89063000</v>
      </c>
      <c r="D889" t="str">
        <f t="shared" si="178"/>
        <v>809</v>
      </c>
      <c r="E889" t="str">
        <f>"89301037"</f>
        <v>89301037</v>
      </c>
      <c r="F889" t="str">
        <f>"5557180849"</f>
        <v>5557180849</v>
      </c>
      <c r="G889" s="1">
        <v>44616</v>
      </c>
      <c r="H889" t="str">
        <f t="shared" si="179"/>
        <v>89312</v>
      </c>
      <c r="I889">
        <v>3</v>
      </c>
      <c r="J889">
        <v>906</v>
      </c>
      <c r="K889">
        <v>0</v>
      </c>
      <c r="L889">
        <v>951.3</v>
      </c>
    </row>
    <row r="890" spans="1:12" x14ac:dyDescent="0.25">
      <c r="A890" t="str">
        <f t="shared" si="172"/>
        <v>89301000</v>
      </c>
      <c r="B890" t="str">
        <f t="shared" si="180"/>
        <v>89063000</v>
      </c>
      <c r="C890" t="str">
        <f t="shared" si="180"/>
        <v>89063000</v>
      </c>
      <c r="D890" t="str">
        <f t="shared" si="178"/>
        <v>809</v>
      </c>
      <c r="E890" t="str">
        <f>"89301322"</f>
        <v>89301322</v>
      </c>
      <c r="F890" t="str">
        <f>"5860260989"</f>
        <v>5860260989</v>
      </c>
      <c r="G890" s="1">
        <v>44617</v>
      </c>
      <c r="H890" t="str">
        <f t="shared" si="179"/>
        <v>89312</v>
      </c>
      <c r="I890">
        <v>3</v>
      </c>
      <c r="J890">
        <v>906</v>
      </c>
      <c r="K890">
        <v>0</v>
      </c>
      <c r="L890">
        <v>951.3</v>
      </c>
    </row>
    <row r="891" spans="1:12" x14ac:dyDescent="0.25">
      <c r="A891" t="str">
        <f t="shared" si="172"/>
        <v>89301000</v>
      </c>
      <c r="B891" t="str">
        <f t="shared" ref="B891:B922" si="181">"78051000"</f>
        <v>78051000</v>
      </c>
      <c r="C891" t="str">
        <f t="shared" ref="C891:C922" si="182">"78051004"</f>
        <v>78051004</v>
      </c>
      <c r="D891" t="str">
        <f t="shared" si="178"/>
        <v>809</v>
      </c>
      <c r="E891" t="str">
        <f t="shared" ref="E891:E922" si="183">"89301062"</f>
        <v>89301062</v>
      </c>
      <c r="F891" t="str">
        <f>"6954025331"</f>
        <v>6954025331</v>
      </c>
      <c r="G891" s="1">
        <v>44593</v>
      </c>
      <c r="H891" t="str">
        <f>"89311"</f>
        <v>89311</v>
      </c>
      <c r="I891">
        <v>1</v>
      </c>
      <c r="J891">
        <v>936</v>
      </c>
      <c r="K891">
        <v>0</v>
      </c>
      <c r="L891">
        <v>1310.4000000000001</v>
      </c>
    </row>
    <row r="892" spans="1:12" x14ac:dyDescent="0.25">
      <c r="A892" t="str">
        <f t="shared" si="172"/>
        <v>89301000</v>
      </c>
      <c r="B892" t="str">
        <f t="shared" si="181"/>
        <v>78051000</v>
      </c>
      <c r="C892" t="str">
        <f t="shared" si="182"/>
        <v>78051004</v>
      </c>
      <c r="D892" t="str">
        <f t="shared" si="178"/>
        <v>809</v>
      </c>
      <c r="E892" t="str">
        <f t="shared" si="183"/>
        <v>89301062</v>
      </c>
      <c r="F892" t="str">
        <f>"6954025331"</f>
        <v>6954025331</v>
      </c>
      <c r="G892" s="1">
        <v>44593</v>
      </c>
      <c r="H892" t="str">
        <f>"0090044"</f>
        <v>0090044</v>
      </c>
      <c r="I892">
        <v>1</v>
      </c>
      <c r="K892">
        <v>16.8</v>
      </c>
      <c r="L892">
        <v>16.8</v>
      </c>
    </row>
    <row r="893" spans="1:12" x14ac:dyDescent="0.25">
      <c r="A893" t="str">
        <f t="shared" si="172"/>
        <v>89301000</v>
      </c>
      <c r="B893" t="str">
        <f t="shared" si="181"/>
        <v>78051000</v>
      </c>
      <c r="C893" t="str">
        <f t="shared" si="182"/>
        <v>78051004</v>
      </c>
      <c r="D893" t="str">
        <f t="shared" si="178"/>
        <v>809</v>
      </c>
      <c r="E893" t="str">
        <f t="shared" si="183"/>
        <v>89301062</v>
      </c>
      <c r="F893" t="str">
        <f>"6954025331"</f>
        <v>6954025331</v>
      </c>
      <c r="G893" s="1">
        <v>44593</v>
      </c>
      <c r="H893" t="str">
        <f>"0225891"</f>
        <v>0225891</v>
      </c>
      <c r="I893">
        <v>0.2</v>
      </c>
      <c r="K893">
        <v>73.540000000000006</v>
      </c>
      <c r="L893">
        <v>73.540000000000006</v>
      </c>
    </row>
    <row r="894" spans="1:12" x14ac:dyDescent="0.25">
      <c r="A894" t="str">
        <f t="shared" si="172"/>
        <v>89301000</v>
      </c>
      <c r="B894" t="str">
        <f t="shared" si="181"/>
        <v>78051000</v>
      </c>
      <c r="C894" t="str">
        <f t="shared" si="182"/>
        <v>78051004</v>
      </c>
      <c r="D894" t="str">
        <f t="shared" si="178"/>
        <v>809</v>
      </c>
      <c r="E894" t="str">
        <f t="shared" si="183"/>
        <v>89301062</v>
      </c>
      <c r="F894" t="str">
        <f>"6954025331"</f>
        <v>6954025331</v>
      </c>
      <c r="G894" s="1">
        <v>44593</v>
      </c>
      <c r="H894" t="str">
        <f>"0096251"</f>
        <v>0096251</v>
      </c>
      <c r="I894">
        <v>0.17</v>
      </c>
      <c r="K894">
        <v>198.83</v>
      </c>
      <c r="L894">
        <v>198.83</v>
      </c>
    </row>
    <row r="895" spans="1:12" x14ac:dyDescent="0.25">
      <c r="A895" t="str">
        <f t="shared" si="172"/>
        <v>89301000</v>
      </c>
      <c r="B895" t="str">
        <f t="shared" si="181"/>
        <v>78051000</v>
      </c>
      <c r="C895" t="str">
        <f t="shared" si="182"/>
        <v>78051004</v>
      </c>
      <c r="D895" t="str">
        <f t="shared" si="178"/>
        <v>809</v>
      </c>
      <c r="E895" t="str">
        <f t="shared" si="183"/>
        <v>89301062</v>
      </c>
      <c r="F895" t="str">
        <f>"6954025331"</f>
        <v>6954025331</v>
      </c>
      <c r="G895" s="1">
        <v>44593</v>
      </c>
      <c r="H895" t="str">
        <f>"0098943"</f>
        <v>0098943</v>
      </c>
      <c r="I895">
        <v>1</v>
      </c>
      <c r="K895">
        <v>293.81</v>
      </c>
      <c r="L895">
        <v>293.81</v>
      </c>
    </row>
    <row r="896" spans="1:12" x14ac:dyDescent="0.25">
      <c r="A896" t="str">
        <f t="shared" si="172"/>
        <v>89301000</v>
      </c>
      <c r="B896" t="str">
        <f t="shared" si="181"/>
        <v>78051000</v>
      </c>
      <c r="C896" t="str">
        <f t="shared" si="182"/>
        <v>78051004</v>
      </c>
      <c r="D896" t="str">
        <f t="shared" si="178"/>
        <v>809</v>
      </c>
      <c r="E896" t="str">
        <f t="shared" si="183"/>
        <v>89301062</v>
      </c>
      <c r="F896" t="str">
        <f>"6906185319"</f>
        <v>6906185319</v>
      </c>
      <c r="G896" s="1">
        <v>44593</v>
      </c>
      <c r="H896" t="str">
        <f>"89311"</f>
        <v>89311</v>
      </c>
      <c r="I896">
        <v>1</v>
      </c>
      <c r="J896">
        <v>936</v>
      </c>
      <c r="K896">
        <v>0</v>
      </c>
      <c r="L896">
        <v>1310.4000000000001</v>
      </c>
    </row>
    <row r="897" spans="1:12" x14ac:dyDescent="0.25">
      <c r="A897" t="str">
        <f t="shared" si="172"/>
        <v>89301000</v>
      </c>
      <c r="B897" t="str">
        <f t="shared" si="181"/>
        <v>78051000</v>
      </c>
      <c r="C897" t="str">
        <f t="shared" si="182"/>
        <v>78051004</v>
      </c>
      <c r="D897" t="str">
        <f t="shared" si="178"/>
        <v>809</v>
      </c>
      <c r="E897" t="str">
        <f t="shared" si="183"/>
        <v>89301062</v>
      </c>
      <c r="F897" t="str">
        <f>"6906185319"</f>
        <v>6906185319</v>
      </c>
      <c r="G897" s="1">
        <v>44593</v>
      </c>
      <c r="H897" t="str">
        <f>"0090044"</f>
        <v>0090044</v>
      </c>
      <c r="I897">
        <v>1</v>
      </c>
      <c r="K897">
        <v>16.8</v>
      </c>
      <c r="L897">
        <v>16.8</v>
      </c>
    </row>
    <row r="898" spans="1:12" x14ac:dyDescent="0.25">
      <c r="A898" t="str">
        <f t="shared" ref="A898:A961" si="184">"89301000"</f>
        <v>89301000</v>
      </c>
      <c r="B898" t="str">
        <f t="shared" si="181"/>
        <v>78051000</v>
      </c>
      <c r="C898" t="str">
        <f t="shared" si="182"/>
        <v>78051004</v>
      </c>
      <c r="D898" t="str">
        <f t="shared" si="178"/>
        <v>809</v>
      </c>
      <c r="E898" t="str">
        <f t="shared" si="183"/>
        <v>89301062</v>
      </c>
      <c r="F898" t="str">
        <f>"6906185319"</f>
        <v>6906185319</v>
      </c>
      <c r="G898" s="1">
        <v>44593</v>
      </c>
      <c r="H898" t="str">
        <f>"0225891"</f>
        <v>0225891</v>
      </c>
      <c r="I898">
        <v>0.2</v>
      </c>
      <c r="K898">
        <v>73.540000000000006</v>
      </c>
      <c r="L898">
        <v>73.540000000000006</v>
      </c>
    </row>
    <row r="899" spans="1:12" x14ac:dyDescent="0.25">
      <c r="A899" t="str">
        <f t="shared" si="184"/>
        <v>89301000</v>
      </c>
      <c r="B899" t="str">
        <f t="shared" si="181"/>
        <v>78051000</v>
      </c>
      <c r="C899" t="str">
        <f t="shared" si="182"/>
        <v>78051004</v>
      </c>
      <c r="D899" t="str">
        <f t="shared" si="178"/>
        <v>809</v>
      </c>
      <c r="E899" t="str">
        <f t="shared" si="183"/>
        <v>89301062</v>
      </c>
      <c r="F899" t="str">
        <f>"6906185319"</f>
        <v>6906185319</v>
      </c>
      <c r="G899" s="1">
        <v>44593</v>
      </c>
      <c r="H899" t="str">
        <f>"0096251"</f>
        <v>0096251</v>
      </c>
      <c r="I899">
        <v>0.17</v>
      </c>
      <c r="K899">
        <v>198.83</v>
      </c>
      <c r="L899">
        <v>198.83</v>
      </c>
    </row>
    <row r="900" spans="1:12" x14ac:dyDescent="0.25">
      <c r="A900" t="str">
        <f t="shared" si="184"/>
        <v>89301000</v>
      </c>
      <c r="B900" t="str">
        <f t="shared" si="181"/>
        <v>78051000</v>
      </c>
      <c r="C900" t="str">
        <f t="shared" si="182"/>
        <v>78051004</v>
      </c>
      <c r="D900" t="str">
        <f t="shared" si="178"/>
        <v>809</v>
      </c>
      <c r="E900" t="str">
        <f t="shared" si="183"/>
        <v>89301062</v>
      </c>
      <c r="F900" t="str">
        <f>"6906185319"</f>
        <v>6906185319</v>
      </c>
      <c r="G900" s="1">
        <v>44593</v>
      </c>
      <c r="H900" t="str">
        <f>"0098943"</f>
        <v>0098943</v>
      </c>
      <c r="I900">
        <v>1</v>
      </c>
      <c r="K900">
        <v>293.81</v>
      </c>
      <c r="L900">
        <v>293.81</v>
      </c>
    </row>
    <row r="901" spans="1:12" x14ac:dyDescent="0.25">
      <c r="A901" t="str">
        <f t="shared" si="184"/>
        <v>89301000</v>
      </c>
      <c r="B901" t="str">
        <f t="shared" si="181"/>
        <v>78051000</v>
      </c>
      <c r="C901" t="str">
        <f t="shared" si="182"/>
        <v>78051004</v>
      </c>
      <c r="D901" t="str">
        <f t="shared" si="178"/>
        <v>809</v>
      </c>
      <c r="E901" t="str">
        <f t="shared" si="183"/>
        <v>89301062</v>
      </c>
      <c r="F901" t="str">
        <f>"8456075397"</f>
        <v>8456075397</v>
      </c>
      <c r="G901" s="1">
        <v>44593</v>
      </c>
      <c r="H901" t="str">
        <f>"89311"</f>
        <v>89311</v>
      </c>
      <c r="I901">
        <v>1</v>
      </c>
      <c r="J901">
        <v>936</v>
      </c>
      <c r="K901">
        <v>0</v>
      </c>
      <c r="L901">
        <v>1310.4000000000001</v>
      </c>
    </row>
    <row r="902" spans="1:12" x14ac:dyDescent="0.25">
      <c r="A902" t="str">
        <f t="shared" si="184"/>
        <v>89301000</v>
      </c>
      <c r="B902" t="str">
        <f t="shared" si="181"/>
        <v>78051000</v>
      </c>
      <c r="C902" t="str">
        <f t="shared" si="182"/>
        <v>78051004</v>
      </c>
      <c r="D902" t="str">
        <f t="shared" si="178"/>
        <v>809</v>
      </c>
      <c r="E902" t="str">
        <f t="shared" si="183"/>
        <v>89301062</v>
      </c>
      <c r="F902" t="str">
        <f>"8456075397"</f>
        <v>8456075397</v>
      </c>
      <c r="G902" s="1">
        <v>44593</v>
      </c>
      <c r="H902" t="str">
        <f>"0090044"</f>
        <v>0090044</v>
      </c>
      <c r="I902">
        <v>1</v>
      </c>
      <c r="K902">
        <v>16.8</v>
      </c>
      <c r="L902">
        <v>16.8</v>
      </c>
    </row>
    <row r="903" spans="1:12" x14ac:dyDescent="0.25">
      <c r="A903" t="str">
        <f t="shared" si="184"/>
        <v>89301000</v>
      </c>
      <c r="B903" t="str">
        <f t="shared" si="181"/>
        <v>78051000</v>
      </c>
      <c r="C903" t="str">
        <f t="shared" si="182"/>
        <v>78051004</v>
      </c>
      <c r="D903" t="str">
        <f t="shared" si="178"/>
        <v>809</v>
      </c>
      <c r="E903" t="str">
        <f t="shared" si="183"/>
        <v>89301062</v>
      </c>
      <c r="F903" t="str">
        <f>"8456075397"</f>
        <v>8456075397</v>
      </c>
      <c r="G903" s="1">
        <v>44593</v>
      </c>
      <c r="H903" t="str">
        <f>"0225891"</f>
        <v>0225891</v>
      </c>
      <c r="I903">
        <v>0.2</v>
      </c>
      <c r="K903">
        <v>73.540000000000006</v>
      </c>
      <c r="L903">
        <v>73.540000000000006</v>
      </c>
    </row>
    <row r="904" spans="1:12" x14ac:dyDescent="0.25">
      <c r="A904" t="str">
        <f t="shared" si="184"/>
        <v>89301000</v>
      </c>
      <c r="B904" t="str">
        <f t="shared" si="181"/>
        <v>78051000</v>
      </c>
      <c r="C904" t="str">
        <f t="shared" si="182"/>
        <v>78051004</v>
      </c>
      <c r="D904" t="str">
        <f t="shared" si="178"/>
        <v>809</v>
      </c>
      <c r="E904" t="str">
        <f t="shared" si="183"/>
        <v>89301062</v>
      </c>
      <c r="F904" t="str">
        <f>"8456075397"</f>
        <v>8456075397</v>
      </c>
      <c r="G904" s="1">
        <v>44593</v>
      </c>
      <c r="H904" t="str">
        <f>"0096251"</f>
        <v>0096251</v>
      </c>
      <c r="I904">
        <v>0.17</v>
      </c>
      <c r="K904">
        <v>198.83</v>
      </c>
      <c r="L904">
        <v>198.83</v>
      </c>
    </row>
    <row r="905" spans="1:12" x14ac:dyDescent="0.25">
      <c r="A905" t="str">
        <f t="shared" si="184"/>
        <v>89301000</v>
      </c>
      <c r="B905" t="str">
        <f t="shared" si="181"/>
        <v>78051000</v>
      </c>
      <c r="C905" t="str">
        <f t="shared" si="182"/>
        <v>78051004</v>
      </c>
      <c r="D905" t="str">
        <f t="shared" si="178"/>
        <v>809</v>
      </c>
      <c r="E905" t="str">
        <f t="shared" si="183"/>
        <v>89301062</v>
      </c>
      <c r="F905" t="str">
        <f>"8456075397"</f>
        <v>8456075397</v>
      </c>
      <c r="G905" s="1">
        <v>44593</v>
      </c>
      <c r="H905" t="str">
        <f>"0098943"</f>
        <v>0098943</v>
      </c>
      <c r="I905">
        <v>1</v>
      </c>
      <c r="K905">
        <v>293.81</v>
      </c>
      <c r="L905">
        <v>293.81</v>
      </c>
    </row>
    <row r="906" spans="1:12" x14ac:dyDescent="0.25">
      <c r="A906" t="str">
        <f t="shared" si="184"/>
        <v>89301000</v>
      </c>
      <c r="B906" t="str">
        <f t="shared" si="181"/>
        <v>78051000</v>
      </c>
      <c r="C906" t="str">
        <f t="shared" si="182"/>
        <v>78051004</v>
      </c>
      <c r="D906" t="str">
        <f t="shared" ref="D906:D937" si="185">"809"</f>
        <v>809</v>
      </c>
      <c r="E906" t="str">
        <f t="shared" si="183"/>
        <v>89301062</v>
      </c>
      <c r="F906" t="str">
        <f>"7510285783"</f>
        <v>7510285783</v>
      </c>
      <c r="G906" s="1">
        <v>44601</v>
      </c>
      <c r="H906" t="str">
        <f>"89311"</f>
        <v>89311</v>
      </c>
      <c r="I906">
        <v>1</v>
      </c>
      <c r="J906">
        <v>936</v>
      </c>
      <c r="K906">
        <v>0</v>
      </c>
      <c r="L906">
        <v>1310.4000000000001</v>
      </c>
    </row>
    <row r="907" spans="1:12" x14ac:dyDescent="0.25">
      <c r="A907" t="str">
        <f t="shared" si="184"/>
        <v>89301000</v>
      </c>
      <c r="B907" t="str">
        <f t="shared" si="181"/>
        <v>78051000</v>
      </c>
      <c r="C907" t="str">
        <f t="shared" si="182"/>
        <v>78051004</v>
      </c>
      <c r="D907" t="str">
        <f t="shared" si="185"/>
        <v>809</v>
      </c>
      <c r="E907" t="str">
        <f t="shared" si="183"/>
        <v>89301062</v>
      </c>
      <c r="F907" t="str">
        <f>"7510285783"</f>
        <v>7510285783</v>
      </c>
      <c r="G907" s="1">
        <v>44601</v>
      </c>
      <c r="H907" t="str">
        <f>"0090044"</f>
        <v>0090044</v>
      </c>
      <c r="I907">
        <v>1</v>
      </c>
      <c r="K907">
        <v>16.8</v>
      </c>
      <c r="L907">
        <v>16.8</v>
      </c>
    </row>
    <row r="908" spans="1:12" x14ac:dyDescent="0.25">
      <c r="A908" t="str">
        <f t="shared" si="184"/>
        <v>89301000</v>
      </c>
      <c r="B908" t="str">
        <f t="shared" si="181"/>
        <v>78051000</v>
      </c>
      <c r="C908" t="str">
        <f t="shared" si="182"/>
        <v>78051004</v>
      </c>
      <c r="D908" t="str">
        <f t="shared" si="185"/>
        <v>809</v>
      </c>
      <c r="E908" t="str">
        <f t="shared" si="183"/>
        <v>89301062</v>
      </c>
      <c r="F908" t="str">
        <f>"7510285783"</f>
        <v>7510285783</v>
      </c>
      <c r="G908" s="1">
        <v>44601</v>
      </c>
      <c r="H908" t="str">
        <f>"0225891"</f>
        <v>0225891</v>
      </c>
      <c r="I908">
        <v>0.2</v>
      </c>
      <c r="K908">
        <v>73.540000000000006</v>
      </c>
      <c r="L908">
        <v>73.540000000000006</v>
      </c>
    </row>
    <row r="909" spans="1:12" x14ac:dyDescent="0.25">
      <c r="A909" t="str">
        <f t="shared" si="184"/>
        <v>89301000</v>
      </c>
      <c r="B909" t="str">
        <f t="shared" si="181"/>
        <v>78051000</v>
      </c>
      <c r="C909" t="str">
        <f t="shared" si="182"/>
        <v>78051004</v>
      </c>
      <c r="D909" t="str">
        <f t="shared" si="185"/>
        <v>809</v>
      </c>
      <c r="E909" t="str">
        <f t="shared" si="183"/>
        <v>89301062</v>
      </c>
      <c r="F909" t="str">
        <f>"7510285783"</f>
        <v>7510285783</v>
      </c>
      <c r="G909" s="1">
        <v>44601</v>
      </c>
      <c r="H909" t="str">
        <f>"0096251"</f>
        <v>0096251</v>
      </c>
      <c r="I909">
        <v>0.17</v>
      </c>
      <c r="K909">
        <v>198.83</v>
      </c>
      <c r="L909">
        <v>198.83</v>
      </c>
    </row>
    <row r="910" spans="1:12" x14ac:dyDescent="0.25">
      <c r="A910" t="str">
        <f t="shared" si="184"/>
        <v>89301000</v>
      </c>
      <c r="B910" t="str">
        <f t="shared" si="181"/>
        <v>78051000</v>
      </c>
      <c r="C910" t="str">
        <f t="shared" si="182"/>
        <v>78051004</v>
      </c>
      <c r="D910" t="str">
        <f t="shared" si="185"/>
        <v>809</v>
      </c>
      <c r="E910" t="str">
        <f t="shared" si="183"/>
        <v>89301062</v>
      </c>
      <c r="F910" t="str">
        <f>"7510285783"</f>
        <v>7510285783</v>
      </c>
      <c r="G910" s="1">
        <v>44601</v>
      </c>
      <c r="H910" t="str">
        <f>"0098943"</f>
        <v>0098943</v>
      </c>
      <c r="I910">
        <v>1</v>
      </c>
      <c r="K910">
        <v>293.81</v>
      </c>
      <c r="L910">
        <v>293.81</v>
      </c>
    </row>
    <row r="911" spans="1:12" x14ac:dyDescent="0.25">
      <c r="A911" t="str">
        <f t="shared" si="184"/>
        <v>89301000</v>
      </c>
      <c r="B911" t="str">
        <f t="shared" si="181"/>
        <v>78051000</v>
      </c>
      <c r="C911" t="str">
        <f t="shared" si="182"/>
        <v>78051004</v>
      </c>
      <c r="D911" t="str">
        <f t="shared" si="185"/>
        <v>809</v>
      </c>
      <c r="E911" t="str">
        <f t="shared" si="183"/>
        <v>89301062</v>
      </c>
      <c r="F911" t="str">
        <f>"6151300881"</f>
        <v>6151300881</v>
      </c>
      <c r="G911" s="1">
        <v>44608</v>
      </c>
      <c r="H911" t="str">
        <f>"89311"</f>
        <v>89311</v>
      </c>
      <c r="I911">
        <v>1</v>
      </c>
      <c r="J911">
        <v>936</v>
      </c>
      <c r="K911">
        <v>0</v>
      </c>
      <c r="L911">
        <v>1310.4000000000001</v>
      </c>
    </row>
    <row r="912" spans="1:12" x14ac:dyDescent="0.25">
      <c r="A912" t="str">
        <f t="shared" si="184"/>
        <v>89301000</v>
      </c>
      <c r="B912" t="str">
        <f t="shared" si="181"/>
        <v>78051000</v>
      </c>
      <c r="C912" t="str">
        <f t="shared" si="182"/>
        <v>78051004</v>
      </c>
      <c r="D912" t="str">
        <f t="shared" si="185"/>
        <v>809</v>
      </c>
      <c r="E912" t="str">
        <f t="shared" si="183"/>
        <v>89301062</v>
      </c>
      <c r="F912" t="str">
        <f>"6151300881"</f>
        <v>6151300881</v>
      </c>
      <c r="G912" s="1">
        <v>44608</v>
      </c>
      <c r="H912" t="str">
        <f>"0090044"</f>
        <v>0090044</v>
      </c>
      <c r="I912">
        <v>1</v>
      </c>
      <c r="K912">
        <v>16.8</v>
      </c>
      <c r="L912">
        <v>16.8</v>
      </c>
    </row>
    <row r="913" spans="1:12" x14ac:dyDescent="0.25">
      <c r="A913" t="str">
        <f t="shared" si="184"/>
        <v>89301000</v>
      </c>
      <c r="B913" t="str">
        <f t="shared" si="181"/>
        <v>78051000</v>
      </c>
      <c r="C913" t="str">
        <f t="shared" si="182"/>
        <v>78051004</v>
      </c>
      <c r="D913" t="str">
        <f t="shared" si="185"/>
        <v>809</v>
      </c>
      <c r="E913" t="str">
        <f t="shared" si="183"/>
        <v>89301062</v>
      </c>
      <c r="F913" t="str">
        <f>"6151300881"</f>
        <v>6151300881</v>
      </c>
      <c r="G913" s="1">
        <v>44608</v>
      </c>
      <c r="H913" t="str">
        <f>"0225891"</f>
        <v>0225891</v>
      </c>
      <c r="I913">
        <v>0.2</v>
      </c>
      <c r="K913">
        <v>73.540000000000006</v>
      </c>
      <c r="L913">
        <v>73.540000000000006</v>
      </c>
    </row>
    <row r="914" spans="1:12" x14ac:dyDescent="0.25">
      <c r="A914" t="str">
        <f t="shared" si="184"/>
        <v>89301000</v>
      </c>
      <c r="B914" t="str">
        <f t="shared" si="181"/>
        <v>78051000</v>
      </c>
      <c r="C914" t="str">
        <f t="shared" si="182"/>
        <v>78051004</v>
      </c>
      <c r="D914" t="str">
        <f t="shared" si="185"/>
        <v>809</v>
      </c>
      <c r="E914" t="str">
        <f t="shared" si="183"/>
        <v>89301062</v>
      </c>
      <c r="F914" t="str">
        <f>"6151300881"</f>
        <v>6151300881</v>
      </c>
      <c r="G914" s="1">
        <v>44608</v>
      </c>
      <c r="H914" t="str">
        <f>"0096251"</f>
        <v>0096251</v>
      </c>
      <c r="I914">
        <v>0.17</v>
      </c>
      <c r="K914">
        <v>198.83</v>
      </c>
      <c r="L914">
        <v>198.83</v>
      </c>
    </row>
    <row r="915" spans="1:12" x14ac:dyDescent="0.25">
      <c r="A915" t="str">
        <f t="shared" si="184"/>
        <v>89301000</v>
      </c>
      <c r="B915" t="str">
        <f t="shared" si="181"/>
        <v>78051000</v>
      </c>
      <c r="C915" t="str">
        <f t="shared" si="182"/>
        <v>78051004</v>
      </c>
      <c r="D915" t="str">
        <f t="shared" si="185"/>
        <v>809</v>
      </c>
      <c r="E915" t="str">
        <f t="shared" si="183"/>
        <v>89301062</v>
      </c>
      <c r="F915" t="str">
        <f>"6151300881"</f>
        <v>6151300881</v>
      </c>
      <c r="G915" s="1">
        <v>44608</v>
      </c>
      <c r="H915" t="str">
        <f>"0098943"</f>
        <v>0098943</v>
      </c>
      <c r="I915">
        <v>1</v>
      </c>
      <c r="K915">
        <v>293.81</v>
      </c>
      <c r="L915">
        <v>293.81</v>
      </c>
    </row>
    <row r="916" spans="1:12" x14ac:dyDescent="0.25">
      <c r="A916" t="str">
        <f t="shared" si="184"/>
        <v>89301000</v>
      </c>
      <c r="B916" t="str">
        <f t="shared" si="181"/>
        <v>78051000</v>
      </c>
      <c r="C916" t="str">
        <f t="shared" si="182"/>
        <v>78051004</v>
      </c>
      <c r="D916" t="str">
        <f t="shared" si="185"/>
        <v>809</v>
      </c>
      <c r="E916" t="str">
        <f t="shared" si="183"/>
        <v>89301062</v>
      </c>
      <c r="F916" t="str">
        <f>"6159121243"</f>
        <v>6159121243</v>
      </c>
      <c r="G916" s="1">
        <v>44608</v>
      </c>
      <c r="H916" t="str">
        <f>"89311"</f>
        <v>89311</v>
      </c>
      <c r="I916">
        <v>1</v>
      </c>
      <c r="J916">
        <v>936</v>
      </c>
      <c r="K916">
        <v>0</v>
      </c>
      <c r="L916">
        <v>1310.4000000000001</v>
      </c>
    </row>
    <row r="917" spans="1:12" x14ac:dyDescent="0.25">
      <c r="A917" t="str">
        <f t="shared" si="184"/>
        <v>89301000</v>
      </c>
      <c r="B917" t="str">
        <f t="shared" si="181"/>
        <v>78051000</v>
      </c>
      <c r="C917" t="str">
        <f t="shared" si="182"/>
        <v>78051004</v>
      </c>
      <c r="D917" t="str">
        <f t="shared" si="185"/>
        <v>809</v>
      </c>
      <c r="E917" t="str">
        <f t="shared" si="183"/>
        <v>89301062</v>
      </c>
      <c r="F917" t="str">
        <f>"6159121243"</f>
        <v>6159121243</v>
      </c>
      <c r="G917" s="1">
        <v>44608</v>
      </c>
      <c r="H917" t="str">
        <f>"0090044"</f>
        <v>0090044</v>
      </c>
      <c r="I917">
        <v>1</v>
      </c>
      <c r="K917">
        <v>16.8</v>
      </c>
      <c r="L917">
        <v>16.8</v>
      </c>
    </row>
    <row r="918" spans="1:12" x14ac:dyDescent="0.25">
      <c r="A918" t="str">
        <f t="shared" si="184"/>
        <v>89301000</v>
      </c>
      <c r="B918" t="str">
        <f t="shared" si="181"/>
        <v>78051000</v>
      </c>
      <c r="C918" t="str">
        <f t="shared" si="182"/>
        <v>78051004</v>
      </c>
      <c r="D918" t="str">
        <f t="shared" si="185"/>
        <v>809</v>
      </c>
      <c r="E918" t="str">
        <f t="shared" si="183"/>
        <v>89301062</v>
      </c>
      <c r="F918" t="str">
        <f>"6159121243"</f>
        <v>6159121243</v>
      </c>
      <c r="G918" s="1">
        <v>44608</v>
      </c>
      <c r="H918" t="str">
        <f>"0225891"</f>
        <v>0225891</v>
      </c>
      <c r="I918">
        <v>0.2</v>
      </c>
      <c r="K918">
        <v>73.540000000000006</v>
      </c>
      <c r="L918">
        <v>73.540000000000006</v>
      </c>
    </row>
    <row r="919" spans="1:12" x14ac:dyDescent="0.25">
      <c r="A919" t="str">
        <f t="shared" si="184"/>
        <v>89301000</v>
      </c>
      <c r="B919" t="str">
        <f t="shared" si="181"/>
        <v>78051000</v>
      </c>
      <c r="C919" t="str">
        <f t="shared" si="182"/>
        <v>78051004</v>
      </c>
      <c r="D919" t="str">
        <f t="shared" si="185"/>
        <v>809</v>
      </c>
      <c r="E919" t="str">
        <f t="shared" si="183"/>
        <v>89301062</v>
      </c>
      <c r="F919" t="str">
        <f>"6159121243"</f>
        <v>6159121243</v>
      </c>
      <c r="G919" s="1">
        <v>44608</v>
      </c>
      <c r="H919" t="str">
        <f>"0096251"</f>
        <v>0096251</v>
      </c>
      <c r="I919">
        <v>0.17</v>
      </c>
      <c r="K919">
        <v>198.83</v>
      </c>
      <c r="L919">
        <v>198.83</v>
      </c>
    </row>
    <row r="920" spans="1:12" x14ac:dyDescent="0.25">
      <c r="A920" t="str">
        <f t="shared" si="184"/>
        <v>89301000</v>
      </c>
      <c r="B920" t="str">
        <f t="shared" si="181"/>
        <v>78051000</v>
      </c>
      <c r="C920" t="str">
        <f t="shared" si="182"/>
        <v>78051004</v>
      </c>
      <c r="D920" t="str">
        <f t="shared" si="185"/>
        <v>809</v>
      </c>
      <c r="E920" t="str">
        <f t="shared" si="183"/>
        <v>89301062</v>
      </c>
      <c r="F920" t="str">
        <f>"6159121243"</f>
        <v>6159121243</v>
      </c>
      <c r="G920" s="1">
        <v>44608</v>
      </c>
      <c r="H920" t="str">
        <f>"0098943"</f>
        <v>0098943</v>
      </c>
      <c r="I920">
        <v>1</v>
      </c>
      <c r="K920">
        <v>293.81</v>
      </c>
      <c r="L920">
        <v>293.81</v>
      </c>
    </row>
    <row r="921" spans="1:12" x14ac:dyDescent="0.25">
      <c r="A921" t="str">
        <f t="shared" si="184"/>
        <v>89301000</v>
      </c>
      <c r="B921" t="str">
        <f t="shared" si="181"/>
        <v>78051000</v>
      </c>
      <c r="C921" t="str">
        <f t="shared" si="182"/>
        <v>78051004</v>
      </c>
      <c r="D921" t="str">
        <f t="shared" si="185"/>
        <v>809</v>
      </c>
      <c r="E921" t="str">
        <f t="shared" si="183"/>
        <v>89301062</v>
      </c>
      <c r="F921" t="str">
        <f>"415427416"</f>
        <v>415427416</v>
      </c>
      <c r="G921" s="1">
        <v>44615</v>
      </c>
      <c r="H921" t="str">
        <f>"89311"</f>
        <v>89311</v>
      </c>
      <c r="I921">
        <v>1</v>
      </c>
      <c r="J921">
        <v>936</v>
      </c>
      <c r="K921">
        <v>0</v>
      </c>
      <c r="L921">
        <v>1310.4000000000001</v>
      </c>
    </row>
    <row r="922" spans="1:12" x14ac:dyDescent="0.25">
      <c r="A922" t="str">
        <f t="shared" si="184"/>
        <v>89301000</v>
      </c>
      <c r="B922" t="str">
        <f t="shared" si="181"/>
        <v>78051000</v>
      </c>
      <c r="C922" t="str">
        <f t="shared" si="182"/>
        <v>78051004</v>
      </c>
      <c r="D922" t="str">
        <f t="shared" si="185"/>
        <v>809</v>
      </c>
      <c r="E922" t="str">
        <f t="shared" si="183"/>
        <v>89301062</v>
      </c>
      <c r="F922" t="str">
        <f>"415427416"</f>
        <v>415427416</v>
      </c>
      <c r="G922" s="1">
        <v>44615</v>
      </c>
      <c r="H922" t="str">
        <f>"0090044"</f>
        <v>0090044</v>
      </c>
      <c r="I922">
        <v>1</v>
      </c>
      <c r="K922">
        <v>16.8</v>
      </c>
      <c r="L922">
        <v>16.8</v>
      </c>
    </row>
    <row r="923" spans="1:12" x14ac:dyDescent="0.25">
      <c r="A923" t="str">
        <f t="shared" si="184"/>
        <v>89301000</v>
      </c>
      <c r="B923" t="str">
        <f t="shared" ref="B923:B956" si="186">"78051000"</f>
        <v>78051000</v>
      </c>
      <c r="C923" t="str">
        <f t="shared" ref="C923:C945" si="187">"78051004"</f>
        <v>78051004</v>
      </c>
      <c r="D923" t="str">
        <f t="shared" si="185"/>
        <v>809</v>
      </c>
      <c r="E923" t="str">
        <f t="shared" ref="E923:E956" si="188">"89301062"</f>
        <v>89301062</v>
      </c>
      <c r="F923" t="str">
        <f>"415427416"</f>
        <v>415427416</v>
      </c>
      <c r="G923" s="1">
        <v>44615</v>
      </c>
      <c r="H923" t="str">
        <f>"0225891"</f>
        <v>0225891</v>
      </c>
      <c r="I923">
        <v>0.2</v>
      </c>
      <c r="K923">
        <v>73.540000000000006</v>
      </c>
      <c r="L923">
        <v>73.540000000000006</v>
      </c>
    </row>
    <row r="924" spans="1:12" x14ac:dyDescent="0.25">
      <c r="A924" t="str">
        <f t="shared" si="184"/>
        <v>89301000</v>
      </c>
      <c r="B924" t="str">
        <f t="shared" si="186"/>
        <v>78051000</v>
      </c>
      <c r="C924" t="str">
        <f t="shared" si="187"/>
        <v>78051004</v>
      </c>
      <c r="D924" t="str">
        <f t="shared" si="185"/>
        <v>809</v>
      </c>
      <c r="E924" t="str">
        <f t="shared" si="188"/>
        <v>89301062</v>
      </c>
      <c r="F924" t="str">
        <f>"415427416"</f>
        <v>415427416</v>
      </c>
      <c r="G924" s="1">
        <v>44615</v>
      </c>
      <c r="H924" t="str">
        <f>"0096251"</f>
        <v>0096251</v>
      </c>
      <c r="I924">
        <v>0.17</v>
      </c>
      <c r="K924">
        <v>198.83</v>
      </c>
      <c r="L924">
        <v>198.83</v>
      </c>
    </row>
    <row r="925" spans="1:12" x14ac:dyDescent="0.25">
      <c r="A925" t="str">
        <f t="shared" si="184"/>
        <v>89301000</v>
      </c>
      <c r="B925" t="str">
        <f t="shared" si="186"/>
        <v>78051000</v>
      </c>
      <c r="C925" t="str">
        <f t="shared" si="187"/>
        <v>78051004</v>
      </c>
      <c r="D925" t="str">
        <f t="shared" si="185"/>
        <v>809</v>
      </c>
      <c r="E925" t="str">
        <f t="shared" si="188"/>
        <v>89301062</v>
      </c>
      <c r="F925" t="str">
        <f>"415427416"</f>
        <v>415427416</v>
      </c>
      <c r="G925" s="1">
        <v>44615</v>
      </c>
      <c r="H925" t="str">
        <f>"0098943"</f>
        <v>0098943</v>
      </c>
      <c r="I925">
        <v>1</v>
      </c>
      <c r="K925">
        <v>293.81</v>
      </c>
      <c r="L925">
        <v>293.81</v>
      </c>
    </row>
    <row r="926" spans="1:12" x14ac:dyDescent="0.25">
      <c r="A926" t="str">
        <f t="shared" si="184"/>
        <v>89301000</v>
      </c>
      <c r="B926" t="str">
        <f t="shared" si="186"/>
        <v>78051000</v>
      </c>
      <c r="C926" t="str">
        <f t="shared" si="187"/>
        <v>78051004</v>
      </c>
      <c r="D926" t="str">
        <f t="shared" si="185"/>
        <v>809</v>
      </c>
      <c r="E926" t="str">
        <f t="shared" si="188"/>
        <v>89301062</v>
      </c>
      <c r="F926" t="str">
        <f>"495828157"</f>
        <v>495828157</v>
      </c>
      <c r="G926" s="1">
        <v>44615</v>
      </c>
      <c r="H926" t="str">
        <f>"89311"</f>
        <v>89311</v>
      </c>
      <c r="I926">
        <v>1</v>
      </c>
      <c r="J926">
        <v>936</v>
      </c>
      <c r="K926">
        <v>0</v>
      </c>
      <c r="L926">
        <v>1310.4000000000001</v>
      </c>
    </row>
    <row r="927" spans="1:12" x14ac:dyDescent="0.25">
      <c r="A927" t="str">
        <f t="shared" si="184"/>
        <v>89301000</v>
      </c>
      <c r="B927" t="str">
        <f t="shared" si="186"/>
        <v>78051000</v>
      </c>
      <c r="C927" t="str">
        <f t="shared" si="187"/>
        <v>78051004</v>
      </c>
      <c r="D927" t="str">
        <f t="shared" si="185"/>
        <v>809</v>
      </c>
      <c r="E927" t="str">
        <f t="shared" si="188"/>
        <v>89301062</v>
      </c>
      <c r="F927" t="str">
        <f>"495828157"</f>
        <v>495828157</v>
      </c>
      <c r="G927" s="1">
        <v>44615</v>
      </c>
      <c r="H927" t="str">
        <f>"0090044"</f>
        <v>0090044</v>
      </c>
      <c r="I927">
        <v>1</v>
      </c>
      <c r="K927">
        <v>16.8</v>
      </c>
      <c r="L927">
        <v>16.8</v>
      </c>
    </row>
    <row r="928" spans="1:12" x14ac:dyDescent="0.25">
      <c r="A928" t="str">
        <f t="shared" si="184"/>
        <v>89301000</v>
      </c>
      <c r="B928" t="str">
        <f t="shared" si="186"/>
        <v>78051000</v>
      </c>
      <c r="C928" t="str">
        <f t="shared" si="187"/>
        <v>78051004</v>
      </c>
      <c r="D928" t="str">
        <f t="shared" si="185"/>
        <v>809</v>
      </c>
      <c r="E928" t="str">
        <f t="shared" si="188"/>
        <v>89301062</v>
      </c>
      <c r="F928" t="str">
        <f>"495828157"</f>
        <v>495828157</v>
      </c>
      <c r="G928" s="1">
        <v>44615</v>
      </c>
      <c r="H928" t="str">
        <f>"0225891"</f>
        <v>0225891</v>
      </c>
      <c r="I928">
        <v>0.2</v>
      </c>
      <c r="K928">
        <v>73.540000000000006</v>
      </c>
      <c r="L928">
        <v>73.540000000000006</v>
      </c>
    </row>
    <row r="929" spans="1:12" x14ac:dyDescent="0.25">
      <c r="A929" t="str">
        <f t="shared" si="184"/>
        <v>89301000</v>
      </c>
      <c r="B929" t="str">
        <f t="shared" si="186"/>
        <v>78051000</v>
      </c>
      <c r="C929" t="str">
        <f t="shared" si="187"/>
        <v>78051004</v>
      </c>
      <c r="D929" t="str">
        <f t="shared" si="185"/>
        <v>809</v>
      </c>
      <c r="E929" t="str">
        <f t="shared" si="188"/>
        <v>89301062</v>
      </c>
      <c r="F929" t="str">
        <f>"495828157"</f>
        <v>495828157</v>
      </c>
      <c r="G929" s="1">
        <v>44615</v>
      </c>
      <c r="H929" t="str">
        <f>"0096251"</f>
        <v>0096251</v>
      </c>
      <c r="I929">
        <v>0.17</v>
      </c>
      <c r="K929">
        <v>198.83</v>
      </c>
      <c r="L929">
        <v>198.83</v>
      </c>
    </row>
    <row r="930" spans="1:12" x14ac:dyDescent="0.25">
      <c r="A930" t="str">
        <f t="shared" si="184"/>
        <v>89301000</v>
      </c>
      <c r="B930" t="str">
        <f t="shared" si="186"/>
        <v>78051000</v>
      </c>
      <c r="C930" t="str">
        <f t="shared" si="187"/>
        <v>78051004</v>
      </c>
      <c r="D930" t="str">
        <f t="shared" si="185"/>
        <v>809</v>
      </c>
      <c r="E930" t="str">
        <f t="shared" si="188"/>
        <v>89301062</v>
      </c>
      <c r="F930" t="str">
        <f>"495828157"</f>
        <v>495828157</v>
      </c>
      <c r="G930" s="1">
        <v>44615</v>
      </c>
      <c r="H930" t="str">
        <f>"0098943"</f>
        <v>0098943</v>
      </c>
      <c r="I930">
        <v>1</v>
      </c>
      <c r="K930">
        <v>293.81</v>
      </c>
      <c r="L930">
        <v>293.81</v>
      </c>
    </row>
    <row r="931" spans="1:12" x14ac:dyDescent="0.25">
      <c r="A931" t="str">
        <f t="shared" si="184"/>
        <v>89301000</v>
      </c>
      <c r="B931" t="str">
        <f t="shared" si="186"/>
        <v>78051000</v>
      </c>
      <c r="C931" t="str">
        <f t="shared" si="187"/>
        <v>78051004</v>
      </c>
      <c r="D931" t="str">
        <f t="shared" si="185"/>
        <v>809</v>
      </c>
      <c r="E931" t="str">
        <f t="shared" si="188"/>
        <v>89301062</v>
      </c>
      <c r="F931" t="str">
        <f>"7252175304"</f>
        <v>7252175304</v>
      </c>
      <c r="G931" s="1">
        <v>44615</v>
      </c>
      <c r="H931" t="str">
        <f>"89311"</f>
        <v>89311</v>
      </c>
      <c r="I931">
        <v>1</v>
      </c>
      <c r="J931">
        <v>936</v>
      </c>
      <c r="K931">
        <v>0</v>
      </c>
      <c r="L931">
        <v>1310.4000000000001</v>
      </c>
    </row>
    <row r="932" spans="1:12" x14ac:dyDescent="0.25">
      <c r="A932" t="str">
        <f t="shared" si="184"/>
        <v>89301000</v>
      </c>
      <c r="B932" t="str">
        <f t="shared" si="186"/>
        <v>78051000</v>
      </c>
      <c r="C932" t="str">
        <f t="shared" si="187"/>
        <v>78051004</v>
      </c>
      <c r="D932" t="str">
        <f t="shared" si="185"/>
        <v>809</v>
      </c>
      <c r="E932" t="str">
        <f t="shared" si="188"/>
        <v>89301062</v>
      </c>
      <c r="F932" t="str">
        <f>"7252175304"</f>
        <v>7252175304</v>
      </c>
      <c r="G932" s="1">
        <v>44615</v>
      </c>
      <c r="H932" t="str">
        <f>"0090044"</f>
        <v>0090044</v>
      </c>
      <c r="I932">
        <v>1</v>
      </c>
      <c r="K932">
        <v>16.8</v>
      </c>
      <c r="L932">
        <v>16.8</v>
      </c>
    </row>
    <row r="933" spans="1:12" x14ac:dyDescent="0.25">
      <c r="A933" t="str">
        <f t="shared" si="184"/>
        <v>89301000</v>
      </c>
      <c r="B933" t="str">
        <f t="shared" si="186"/>
        <v>78051000</v>
      </c>
      <c r="C933" t="str">
        <f t="shared" si="187"/>
        <v>78051004</v>
      </c>
      <c r="D933" t="str">
        <f t="shared" si="185"/>
        <v>809</v>
      </c>
      <c r="E933" t="str">
        <f t="shared" si="188"/>
        <v>89301062</v>
      </c>
      <c r="F933" t="str">
        <f>"7252175304"</f>
        <v>7252175304</v>
      </c>
      <c r="G933" s="1">
        <v>44615</v>
      </c>
      <c r="H933" t="str">
        <f>"0225891"</f>
        <v>0225891</v>
      </c>
      <c r="I933">
        <v>0.2</v>
      </c>
      <c r="K933">
        <v>73.540000000000006</v>
      </c>
      <c r="L933">
        <v>73.540000000000006</v>
      </c>
    </row>
    <row r="934" spans="1:12" x14ac:dyDescent="0.25">
      <c r="A934" t="str">
        <f t="shared" si="184"/>
        <v>89301000</v>
      </c>
      <c r="B934" t="str">
        <f t="shared" si="186"/>
        <v>78051000</v>
      </c>
      <c r="C934" t="str">
        <f t="shared" si="187"/>
        <v>78051004</v>
      </c>
      <c r="D934" t="str">
        <f t="shared" si="185"/>
        <v>809</v>
      </c>
      <c r="E934" t="str">
        <f t="shared" si="188"/>
        <v>89301062</v>
      </c>
      <c r="F934" t="str">
        <f>"7252175304"</f>
        <v>7252175304</v>
      </c>
      <c r="G934" s="1">
        <v>44615</v>
      </c>
      <c r="H934" t="str">
        <f>"0096251"</f>
        <v>0096251</v>
      </c>
      <c r="I934">
        <v>0.17</v>
      </c>
      <c r="K934">
        <v>198.83</v>
      </c>
      <c r="L934">
        <v>198.83</v>
      </c>
    </row>
    <row r="935" spans="1:12" x14ac:dyDescent="0.25">
      <c r="A935" t="str">
        <f t="shared" si="184"/>
        <v>89301000</v>
      </c>
      <c r="B935" t="str">
        <f t="shared" si="186"/>
        <v>78051000</v>
      </c>
      <c r="C935" t="str">
        <f t="shared" si="187"/>
        <v>78051004</v>
      </c>
      <c r="D935" t="str">
        <f t="shared" si="185"/>
        <v>809</v>
      </c>
      <c r="E935" t="str">
        <f t="shared" si="188"/>
        <v>89301062</v>
      </c>
      <c r="F935" t="str">
        <f>"7252175304"</f>
        <v>7252175304</v>
      </c>
      <c r="G935" s="1">
        <v>44615</v>
      </c>
      <c r="H935" t="str">
        <f>"0098943"</f>
        <v>0098943</v>
      </c>
      <c r="I935">
        <v>1</v>
      </c>
      <c r="K935">
        <v>293.81</v>
      </c>
      <c r="L935">
        <v>293.81</v>
      </c>
    </row>
    <row r="936" spans="1:12" x14ac:dyDescent="0.25">
      <c r="A936" t="str">
        <f t="shared" si="184"/>
        <v>89301000</v>
      </c>
      <c r="B936" t="str">
        <f t="shared" si="186"/>
        <v>78051000</v>
      </c>
      <c r="C936" t="str">
        <f t="shared" si="187"/>
        <v>78051004</v>
      </c>
      <c r="D936" t="str">
        <f t="shared" si="185"/>
        <v>809</v>
      </c>
      <c r="E936" t="str">
        <f t="shared" si="188"/>
        <v>89301062</v>
      </c>
      <c r="F936" t="str">
        <f>"5402153702"</f>
        <v>5402153702</v>
      </c>
      <c r="G936" s="1">
        <v>44615</v>
      </c>
      <c r="H936" t="str">
        <f>"89311"</f>
        <v>89311</v>
      </c>
      <c r="I936">
        <v>1</v>
      </c>
      <c r="J936">
        <v>936</v>
      </c>
      <c r="K936">
        <v>0</v>
      </c>
      <c r="L936">
        <v>1310.4000000000001</v>
      </c>
    </row>
    <row r="937" spans="1:12" x14ac:dyDescent="0.25">
      <c r="A937" t="str">
        <f t="shared" si="184"/>
        <v>89301000</v>
      </c>
      <c r="B937" t="str">
        <f t="shared" si="186"/>
        <v>78051000</v>
      </c>
      <c r="C937" t="str">
        <f t="shared" si="187"/>
        <v>78051004</v>
      </c>
      <c r="D937" t="str">
        <f t="shared" si="185"/>
        <v>809</v>
      </c>
      <c r="E937" t="str">
        <f t="shared" si="188"/>
        <v>89301062</v>
      </c>
      <c r="F937" t="str">
        <f>"5402153702"</f>
        <v>5402153702</v>
      </c>
      <c r="G937" s="1">
        <v>44615</v>
      </c>
      <c r="H937" t="str">
        <f>"0090044"</f>
        <v>0090044</v>
      </c>
      <c r="I937">
        <v>1</v>
      </c>
      <c r="K937">
        <v>16.8</v>
      </c>
      <c r="L937">
        <v>16.8</v>
      </c>
    </row>
    <row r="938" spans="1:12" x14ac:dyDescent="0.25">
      <c r="A938" t="str">
        <f t="shared" si="184"/>
        <v>89301000</v>
      </c>
      <c r="B938" t="str">
        <f t="shared" si="186"/>
        <v>78051000</v>
      </c>
      <c r="C938" t="str">
        <f t="shared" si="187"/>
        <v>78051004</v>
      </c>
      <c r="D938" t="str">
        <f t="shared" ref="D938:D945" si="189">"809"</f>
        <v>809</v>
      </c>
      <c r="E938" t="str">
        <f t="shared" si="188"/>
        <v>89301062</v>
      </c>
      <c r="F938" t="str">
        <f>"5402153702"</f>
        <v>5402153702</v>
      </c>
      <c r="G938" s="1">
        <v>44615</v>
      </c>
      <c r="H938" t="str">
        <f>"0225891"</f>
        <v>0225891</v>
      </c>
      <c r="I938">
        <v>0.2</v>
      </c>
      <c r="K938">
        <v>73.540000000000006</v>
      </c>
      <c r="L938">
        <v>73.540000000000006</v>
      </c>
    </row>
    <row r="939" spans="1:12" x14ac:dyDescent="0.25">
      <c r="A939" t="str">
        <f t="shared" si="184"/>
        <v>89301000</v>
      </c>
      <c r="B939" t="str">
        <f t="shared" si="186"/>
        <v>78051000</v>
      </c>
      <c r="C939" t="str">
        <f t="shared" si="187"/>
        <v>78051004</v>
      </c>
      <c r="D939" t="str">
        <f t="shared" si="189"/>
        <v>809</v>
      </c>
      <c r="E939" t="str">
        <f t="shared" si="188"/>
        <v>89301062</v>
      </c>
      <c r="F939" t="str">
        <f>"5402153702"</f>
        <v>5402153702</v>
      </c>
      <c r="G939" s="1">
        <v>44615</v>
      </c>
      <c r="H939" t="str">
        <f>"0096251"</f>
        <v>0096251</v>
      </c>
      <c r="I939">
        <v>0.17</v>
      </c>
      <c r="K939">
        <v>198.83</v>
      </c>
      <c r="L939">
        <v>198.83</v>
      </c>
    </row>
    <row r="940" spans="1:12" x14ac:dyDescent="0.25">
      <c r="A940" t="str">
        <f t="shared" si="184"/>
        <v>89301000</v>
      </c>
      <c r="B940" t="str">
        <f t="shared" si="186"/>
        <v>78051000</v>
      </c>
      <c r="C940" t="str">
        <f t="shared" si="187"/>
        <v>78051004</v>
      </c>
      <c r="D940" t="str">
        <f t="shared" si="189"/>
        <v>809</v>
      </c>
      <c r="E940" t="str">
        <f t="shared" si="188"/>
        <v>89301062</v>
      </c>
      <c r="F940" t="str">
        <f>"5402153702"</f>
        <v>5402153702</v>
      </c>
      <c r="G940" s="1">
        <v>44615</v>
      </c>
      <c r="H940" t="str">
        <f>"0098943"</f>
        <v>0098943</v>
      </c>
      <c r="I940">
        <v>1</v>
      </c>
      <c r="K940">
        <v>293.81</v>
      </c>
      <c r="L940">
        <v>293.81</v>
      </c>
    </row>
    <row r="941" spans="1:12" x14ac:dyDescent="0.25">
      <c r="A941" t="str">
        <f t="shared" si="184"/>
        <v>89301000</v>
      </c>
      <c r="B941" t="str">
        <f t="shared" si="186"/>
        <v>78051000</v>
      </c>
      <c r="C941" t="str">
        <f t="shared" si="187"/>
        <v>78051004</v>
      </c>
      <c r="D941" t="str">
        <f t="shared" si="189"/>
        <v>809</v>
      </c>
      <c r="E941" t="str">
        <f t="shared" si="188"/>
        <v>89301062</v>
      </c>
      <c r="F941" t="str">
        <f>"415716461"</f>
        <v>415716461</v>
      </c>
      <c r="G941" s="1">
        <v>44615</v>
      </c>
      <c r="H941" t="str">
        <f>"89311"</f>
        <v>89311</v>
      </c>
      <c r="I941">
        <v>1</v>
      </c>
      <c r="J941">
        <v>936</v>
      </c>
      <c r="K941">
        <v>0</v>
      </c>
      <c r="L941">
        <v>1310.4000000000001</v>
      </c>
    </row>
    <row r="942" spans="1:12" x14ac:dyDescent="0.25">
      <c r="A942" t="str">
        <f t="shared" si="184"/>
        <v>89301000</v>
      </c>
      <c r="B942" t="str">
        <f t="shared" si="186"/>
        <v>78051000</v>
      </c>
      <c r="C942" t="str">
        <f t="shared" si="187"/>
        <v>78051004</v>
      </c>
      <c r="D942" t="str">
        <f t="shared" si="189"/>
        <v>809</v>
      </c>
      <c r="E942" t="str">
        <f t="shared" si="188"/>
        <v>89301062</v>
      </c>
      <c r="F942" t="str">
        <f>"415716461"</f>
        <v>415716461</v>
      </c>
      <c r="G942" s="1">
        <v>44615</v>
      </c>
      <c r="H942" t="str">
        <f>"0090044"</f>
        <v>0090044</v>
      </c>
      <c r="I942">
        <v>1</v>
      </c>
      <c r="K942">
        <v>16.8</v>
      </c>
      <c r="L942">
        <v>16.8</v>
      </c>
    </row>
    <row r="943" spans="1:12" x14ac:dyDescent="0.25">
      <c r="A943" t="str">
        <f t="shared" si="184"/>
        <v>89301000</v>
      </c>
      <c r="B943" t="str">
        <f t="shared" si="186"/>
        <v>78051000</v>
      </c>
      <c r="C943" t="str">
        <f t="shared" si="187"/>
        <v>78051004</v>
      </c>
      <c r="D943" t="str">
        <f t="shared" si="189"/>
        <v>809</v>
      </c>
      <c r="E943" t="str">
        <f t="shared" si="188"/>
        <v>89301062</v>
      </c>
      <c r="F943" t="str">
        <f>"415716461"</f>
        <v>415716461</v>
      </c>
      <c r="G943" s="1">
        <v>44615</v>
      </c>
      <c r="H943" t="str">
        <f>"0225891"</f>
        <v>0225891</v>
      </c>
      <c r="I943">
        <v>0.2</v>
      </c>
      <c r="K943">
        <v>73.540000000000006</v>
      </c>
      <c r="L943">
        <v>73.540000000000006</v>
      </c>
    </row>
    <row r="944" spans="1:12" x14ac:dyDescent="0.25">
      <c r="A944" t="str">
        <f t="shared" si="184"/>
        <v>89301000</v>
      </c>
      <c r="B944" t="str">
        <f t="shared" si="186"/>
        <v>78051000</v>
      </c>
      <c r="C944" t="str">
        <f t="shared" si="187"/>
        <v>78051004</v>
      </c>
      <c r="D944" t="str">
        <f t="shared" si="189"/>
        <v>809</v>
      </c>
      <c r="E944" t="str">
        <f t="shared" si="188"/>
        <v>89301062</v>
      </c>
      <c r="F944" t="str">
        <f>"415716461"</f>
        <v>415716461</v>
      </c>
      <c r="G944" s="1">
        <v>44615</v>
      </c>
      <c r="H944" t="str">
        <f>"0096251"</f>
        <v>0096251</v>
      </c>
      <c r="I944">
        <v>0.17</v>
      </c>
      <c r="K944">
        <v>198.83</v>
      </c>
      <c r="L944">
        <v>198.83</v>
      </c>
    </row>
    <row r="945" spans="1:12" x14ac:dyDescent="0.25">
      <c r="A945" t="str">
        <f t="shared" si="184"/>
        <v>89301000</v>
      </c>
      <c r="B945" t="str">
        <f t="shared" si="186"/>
        <v>78051000</v>
      </c>
      <c r="C945" t="str">
        <f t="shared" si="187"/>
        <v>78051004</v>
      </c>
      <c r="D945" t="str">
        <f t="shared" si="189"/>
        <v>809</v>
      </c>
      <c r="E945" t="str">
        <f t="shared" si="188"/>
        <v>89301062</v>
      </c>
      <c r="F945" t="str">
        <f>"415716461"</f>
        <v>415716461</v>
      </c>
      <c r="G945" s="1">
        <v>44615</v>
      </c>
      <c r="H945" t="str">
        <f>"0098943"</f>
        <v>0098943</v>
      </c>
      <c r="I945">
        <v>1</v>
      </c>
      <c r="K945">
        <v>293.81</v>
      </c>
      <c r="L945">
        <v>293.81</v>
      </c>
    </row>
    <row r="946" spans="1:12" x14ac:dyDescent="0.25">
      <c r="A946" t="str">
        <f t="shared" si="184"/>
        <v>89301000</v>
      </c>
      <c r="B946" t="str">
        <f t="shared" si="186"/>
        <v>78051000</v>
      </c>
      <c r="C946" t="str">
        <f t="shared" ref="C946:C956" si="190">"78051017"</f>
        <v>78051017</v>
      </c>
      <c r="D946" t="str">
        <f t="shared" ref="D946:D956" si="191">"810"</f>
        <v>810</v>
      </c>
      <c r="E946" t="str">
        <f t="shared" si="188"/>
        <v>89301062</v>
      </c>
      <c r="F946" t="str">
        <f>"6954025331"</f>
        <v>6954025331</v>
      </c>
      <c r="G946" s="1">
        <v>44593</v>
      </c>
      <c r="H946" t="str">
        <f t="shared" ref="H946:H956" si="192">"89615"</f>
        <v>89615</v>
      </c>
      <c r="I946">
        <v>1</v>
      </c>
      <c r="J946">
        <v>2170</v>
      </c>
      <c r="K946">
        <v>0</v>
      </c>
      <c r="L946">
        <v>1302</v>
      </c>
    </row>
    <row r="947" spans="1:12" x14ac:dyDescent="0.25">
      <c r="A947" t="str">
        <f t="shared" si="184"/>
        <v>89301000</v>
      </c>
      <c r="B947" t="str">
        <f t="shared" si="186"/>
        <v>78051000</v>
      </c>
      <c r="C947" t="str">
        <f t="shared" si="190"/>
        <v>78051017</v>
      </c>
      <c r="D947" t="str">
        <f t="shared" si="191"/>
        <v>810</v>
      </c>
      <c r="E947" t="str">
        <f t="shared" si="188"/>
        <v>89301062</v>
      </c>
      <c r="F947" t="str">
        <f>"6906185319"</f>
        <v>6906185319</v>
      </c>
      <c r="G947" s="1">
        <v>44593</v>
      </c>
      <c r="H947" t="str">
        <f t="shared" si="192"/>
        <v>89615</v>
      </c>
      <c r="I947">
        <v>1</v>
      </c>
      <c r="J947">
        <v>2170</v>
      </c>
      <c r="K947">
        <v>0</v>
      </c>
      <c r="L947">
        <v>1302</v>
      </c>
    </row>
    <row r="948" spans="1:12" x14ac:dyDescent="0.25">
      <c r="A948" t="str">
        <f t="shared" si="184"/>
        <v>89301000</v>
      </c>
      <c r="B948" t="str">
        <f t="shared" si="186"/>
        <v>78051000</v>
      </c>
      <c r="C948" t="str">
        <f t="shared" si="190"/>
        <v>78051017</v>
      </c>
      <c r="D948" t="str">
        <f t="shared" si="191"/>
        <v>810</v>
      </c>
      <c r="E948" t="str">
        <f t="shared" si="188"/>
        <v>89301062</v>
      </c>
      <c r="F948" t="str">
        <f>"8456075397"</f>
        <v>8456075397</v>
      </c>
      <c r="G948" s="1">
        <v>44593</v>
      </c>
      <c r="H948" t="str">
        <f t="shared" si="192"/>
        <v>89615</v>
      </c>
      <c r="I948">
        <v>1</v>
      </c>
      <c r="J948">
        <v>2170</v>
      </c>
      <c r="K948">
        <v>0</v>
      </c>
      <c r="L948">
        <v>1302</v>
      </c>
    </row>
    <row r="949" spans="1:12" x14ac:dyDescent="0.25">
      <c r="A949" t="str">
        <f t="shared" si="184"/>
        <v>89301000</v>
      </c>
      <c r="B949" t="str">
        <f t="shared" si="186"/>
        <v>78051000</v>
      </c>
      <c r="C949" t="str">
        <f t="shared" si="190"/>
        <v>78051017</v>
      </c>
      <c r="D949" t="str">
        <f t="shared" si="191"/>
        <v>810</v>
      </c>
      <c r="E949" t="str">
        <f t="shared" si="188"/>
        <v>89301062</v>
      </c>
      <c r="F949" t="str">
        <f>"7510285783"</f>
        <v>7510285783</v>
      </c>
      <c r="G949" s="1">
        <v>44601</v>
      </c>
      <c r="H949" t="str">
        <f t="shared" si="192"/>
        <v>89615</v>
      </c>
      <c r="I949">
        <v>1</v>
      </c>
      <c r="J949">
        <v>2170</v>
      </c>
      <c r="K949">
        <v>0</v>
      </c>
      <c r="L949">
        <v>1302</v>
      </c>
    </row>
    <row r="950" spans="1:12" x14ac:dyDescent="0.25">
      <c r="A950" t="str">
        <f t="shared" si="184"/>
        <v>89301000</v>
      </c>
      <c r="B950" t="str">
        <f t="shared" si="186"/>
        <v>78051000</v>
      </c>
      <c r="C950" t="str">
        <f t="shared" si="190"/>
        <v>78051017</v>
      </c>
      <c r="D950" t="str">
        <f t="shared" si="191"/>
        <v>810</v>
      </c>
      <c r="E950" t="str">
        <f t="shared" si="188"/>
        <v>89301062</v>
      </c>
      <c r="F950" t="str">
        <f>"6151300881"</f>
        <v>6151300881</v>
      </c>
      <c r="G950" s="1">
        <v>44608</v>
      </c>
      <c r="H950" t="str">
        <f t="shared" si="192"/>
        <v>89615</v>
      </c>
      <c r="I950">
        <v>1</v>
      </c>
      <c r="J950">
        <v>2170</v>
      </c>
      <c r="K950">
        <v>0</v>
      </c>
      <c r="L950">
        <v>1302</v>
      </c>
    </row>
    <row r="951" spans="1:12" x14ac:dyDescent="0.25">
      <c r="A951" t="str">
        <f t="shared" si="184"/>
        <v>89301000</v>
      </c>
      <c r="B951" t="str">
        <f t="shared" si="186"/>
        <v>78051000</v>
      </c>
      <c r="C951" t="str">
        <f t="shared" si="190"/>
        <v>78051017</v>
      </c>
      <c r="D951" t="str">
        <f t="shared" si="191"/>
        <v>810</v>
      </c>
      <c r="E951" t="str">
        <f t="shared" si="188"/>
        <v>89301062</v>
      </c>
      <c r="F951" t="str">
        <f>"6159121243"</f>
        <v>6159121243</v>
      </c>
      <c r="G951" s="1">
        <v>44608</v>
      </c>
      <c r="H951" t="str">
        <f t="shared" si="192"/>
        <v>89615</v>
      </c>
      <c r="I951">
        <v>1</v>
      </c>
      <c r="J951">
        <v>2170</v>
      </c>
      <c r="K951">
        <v>0</v>
      </c>
      <c r="L951">
        <v>1302</v>
      </c>
    </row>
    <row r="952" spans="1:12" x14ac:dyDescent="0.25">
      <c r="A952" t="str">
        <f t="shared" si="184"/>
        <v>89301000</v>
      </c>
      <c r="B952" t="str">
        <f t="shared" si="186"/>
        <v>78051000</v>
      </c>
      <c r="C952" t="str">
        <f t="shared" si="190"/>
        <v>78051017</v>
      </c>
      <c r="D952" t="str">
        <f t="shared" si="191"/>
        <v>810</v>
      </c>
      <c r="E952" t="str">
        <f t="shared" si="188"/>
        <v>89301062</v>
      </c>
      <c r="F952" t="str">
        <f>"415427416"</f>
        <v>415427416</v>
      </c>
      <c r="G952" s="1">
        <v>44615</v>
      </c>
      <c r="H952" t="str">
        <f t="shared" si="192"/>
        <v>89615</v>
      </c>
      <c r="I952">
        <v>1</v>
      </c>
      <c r="J952">
        <v>2170</v>
      </c>
      <c r="K952">
        <v>0</v>
      </c>
      <c r="L952">
        <v>1302</v>
      </c>
    </row>
    <row r="953" spans="1:12" x14ac:dyDescent="0.25">
      <c r="A953" t="str">
        <f t="shared" si="184"/>
        <v>89301000</v>
      </c>
      <c r="B953" t="str">
        <f t="shared" si="186"/>
        <v>78051000</v>
      </c>
      <c r="C953" t="str">
        <f t="shared" si="190"/>
        <v>78051017</v>
      </c>
      <c r="D953" t="str">
        <f t="shared" si="191"/>
        <v>810</v>
      </c>
      <c r="E953" t="str">
        <f t="shared" si="188"/>
        <v>89301062</v>
      </c>
      <c r="F953" t="str">
        <f>"495828157"</f>
        <v>495828157</v>
      </c>
      <c r="G953" s="1">
        <v>44615</v>
      </c>
      <c r="H953" t="str">
        <f t="shared" si="192"/>
        <v>89615</v>
      </c>
      <c r="I953">
        <v>1</v>
      </c>
      <c r="J953">
        <v>2170</v>
      </c>
      <c r="K953">
        <v>0</v>
      </c>
      <c r="L953">
        <v>1302</v>
      </c>
    </row>
    <row r="954" spans="1:12" x14ac:dyDescent="0.25">
      <c r="A954" t="str">
        <f t="shared" si="184"/>
        <v>89301000</v>
      </c>
      <c r="B954" t="str">
        <f t="shared" si="186"/>
        <v>78051000</v>
      </c>
      <c r="C954" t="str">
        <f t="shared" si="190"/>
        <v>78051017</v>
      </c>
      <c r="D954" t="str">
        <f t="shared" si="191"/>
        <v>810</v>
      </c>
      <c r="E954" t="str">
        <f t="shared" si="188"/>
        <v>89301062</v>
      </c>
      <c r="F954" t="str">
        <f>"7252175304"</f>
        <v>7252175304</v>
      </c>
      <c r="G954" s="1">
        <v>44615</v>
      </c>
      <c r="H954" t="str">
        <f t="shared" si="192"/>
        <v>89615</v>
      </c>
      <c r="I954">
        <v>1</v>
      </c>
      <c r="J954">
        <v>2170</v>
      </c>
      <c r="K954">
        <v>0</v>
      </c>
      <c r="L954">
        <v>1302</v>
      </c>
    </row>
    <row r="955" spans="1:12" x14ac:dyDescent="0.25">
      <c r="A955" t="str">
        <f t="shared" si="184"/>
        <v>89301000</v>
      </c>
      <c r="B955" t="str">
        <f t="shared" si="186"/>
        <v>78051000</v>
      </c>
      <c r="C955" t="str">
        <f t="shared" si="190"/>
        <v>78051017</v>
      </c>
      <c r="D955" t="str">
        <f t="shared" si="191"/>
        <v>810</v>
      </c>
      <c r="E955" t="str">
        <f t="shared" si="188"/>
        <v>89301062</v>
      </c>
      <c r="F955" t="str">
        <f>"5402153702"</f>
        <v>5402153702</v>
      </c>
      <c r="G955" s="1">
        <v>44615</v>
      </c>
      <c r="H955" t="str">
        <f t="shared" si="192"/>
        <v>89615</v>
      </c>
      <c r="I955">
        <v>1</v>
      </c>
      <c r="J955">
        <v>2170</v>
      </c>
      <c r="K955">
        <v>0</v>
      </c>
      <c r="L955">
        <v>1302</v>
      </c>
    </row>
    <row r="956" spans="1:12" x14ac:dyDescent="0.25">
      <c r="A956" t="str">
        <f t="shared" si="184"/>
        <v>89301000</v>
      </c>
      <c r="B956" t="str">
        <f t="shared" si="186"/>
        <v>78051000</v>
      </c>
      <c r="C956" t="str">
        <f t="shared" si="190"/>
        <v>78051017</v>
      </c>
      <c r="D956" t="str">
        <f t="shared" si="191"/>
        <v>810</v>
      </c>
      <c r="E956" t="str">
        <f t="shared" si="188"/>
        <v>89301062</v>
      </c>
      <c r="F956" t="str">
        <f>"415716461"</f>
        <v>415716461</v>
      </c>
      <c r="G956" s="1">
        <v>44615</v>
      </c>
      <c r="H956" t="str">
        <f t="shared" si="192"/>
        <v>89615</v>
      </c>
      <c r="I956">
        <v>1</v>
      </c>
      <c r="J956">
        <v>2170</v>
      </c>
      <c r="K956">
        <v>0</v>
      </c>
      <c r="L956">
        <v>1302</v>
      </c>
    </row>
    <row r="957" spans="1:12" x14ac:dyDescent="0.25">
      <c r="A957" t="str">
        <f t="shared" si="184"/>
        <v>89301000</v>
      </c>
      <c r="B957" t="str">
        <f t="shared" ref="B957:C959" si="193">"89345401"</f>
        <v>89345401</v>
      </c>
      <c r="C957" t="str">
        <f t="shared" si="193"/>
        <v>89345401</v>
      </c>
      <c r="D957" t="str">
        <f>"809"</f>
        <v>809</v>
      </c>
      <c r="E957" t="str">
        <f>"89301172"</f>
        <v>89301172</v>
      </c>
      <c r="F957" t="str">
        <f>"7661152928"</f>
        <v>7661152928</v>
      </c>
      <c r="G957" s="1">
        <v>44614</v>
      </c>
      <c r="H957" t="str">
        <f>"89513"</f>
        <v>89513</v>
      </c>
      <c r="I957">
        <v>1</v>
      </c>
      <c r="J957">
        <v>371</v>
      </c>
      <c r="K957">
        <v>0</v>
      </c>
      <c r="L957">
        <v>519.4</v>
      </c>
    </row>
    <row r="958" spans="1:12" x14ac:dyDescent="0.25">
      <c r="A958" t="str">
        <f t="shared" si="184"/>
        <v>89301000</v>
      </c>
      <c r="B958" t="str">
        <f t="shared" si="193"/>
        <v>89345401</v>
      </c>
      <c r="C958" t="str">
        <f t="shared" si="193"/>
        <v>89345401</v>
      </c>
      <c r="D958" t="str">
        <f>"809"</f>
        <v>809</v>
      </c>
      <c r="E958" t="str">
        <f>"89301172"</f>
        <v>89301172</v>
      </c>
      <c r="F958" t="str">
        <f>"7661152928"</f>
        <v>7661152928</v>
      </c>
      <c r="G958" s="1">
        <v>44614</v>
      </c>
      <c r="H958" t="str">
        <f>"89514"</f>
        <v>89514</v>
      </c>
      <c r="I958">
        <v>1</v>
      </c>
      <c r="J958">
        <v>371</v>
      </c>
      <c r="K958">
        <v>0</v>
      </c>
      <c r="L958">
        <v>519.4</v>
      </c>
    </row>
    <row r="959" spans="1:12" x14ac:dyDescent="0.25">
      <c r="A959" t="str">
        <f t="shared" si="184"/>
        <v>89301000</v>
      </c>
      <c r="B959" t="str">
        <f t="shared" si="193"/>
        <v>89345401</v>
      </c>
      <c r="C959" t="str">
        <f t="shared" si="193"/>
        <v>89345401</v>
      </c>
      <c r="D959" t="str">
        <f>"809"</f>
        <v>809</v>
      </c>
      <c r="E959" t="str">
        <f>"89301292"</f>
        <v>89301292</v>
      </c>
      <c r="F959" t="str">
        <f>"7353224483"</f>
        <v>7353224483</v>
      </c>
      <c r="G959" s="1">
        <v>44614</v>
      </c>
      <c r="H959" t="str">
        <f>"89513"</f>
        <v>89513</v>
      </c>
      <c r="I959">
        <v>1</v>
      </c>
      <c r="J959">
        <v>371</v>
      </c>
      <c r="K959">
        <v>0</v>
      </c>
      <c r="L959">
        <v>519.4</v>
      </c>
    </row>
    <row r="960" spans="1:12" x14ac:dyDescent="0.25">
      <c r="A960" t="str">
        <f t="shared" si="184"/>
        <v>89301000</v>
      </c>
      <c r="B960" t="str">
        <f t="shared" ref="B960:B994" si="194">"72077000"</f>
        <v>72077000</v>
      </c>
      <c r="C960" t="str">
        <f t="shared" ref="C960:C994" si="195">"72077001"</f>
        <v>72077001</v>
      </c>
      <c r="D960" t="str">
        <f t="shared" ref="D960:D994" si="196">"813"</f>
        <v>813</v>
      </c>
      <c r="E960" t="str">
        <f t="shared" ref="E960:E969" si="197">"89301152"</f>
        <v>89301152</v>
      </c>
      <c r="F960" t="str">
        <f>"9606055734"</f>
        <v>9606055734</v>
      </c>
      <c r="G960" s="1">
        <v>44595</v>
      </c>
      <c r="H960" t="str">
        <f>"91219"</f>
        <v>91219</v>
      </c>
      <c r="I960">
        <v>1</v>
      </c>
      <c r="J960">
        <v>342</v>
      </c>
      <c r="K960">
        <v>0</v>
      </c>
      <c r="L960">
        <v>266.76</v>
      </c>
    </row>
    <row r="961" spans="1:12" x14ac:dyDescent="0.25">
      <c r="A961" t="str">
        <f t="shared" si="184"/>
        <v>89301000</v>
      </c>
      <c r="B961" t="str">
        <f t="shared" si="194"/>
        <v>72077000</v>
      </c>
      <c r="C961" t="str">
        <f t="shared" si="195"/>
        <v>72077001</v>
      </c>
      <c r="D961" t="str">
        <f t="shared" si="196"/>
        <v>813</v>
      </c>
      <c r="E961" t="str">
        <f t="shared" si="197"/>
        <v>89301152</v>
      </c>
      <c r="F961" t="str">
        <f>"9606055734"</f>
        <v>9606055734</v>
      </c>
      <c r="G961" s="1">
        <v>44595</v>
      </c>
      <c r="H961" t="str">
        <f>"91219"</f>
        <v>91219</v>
      </c>
      <c r="I961">
        <v>1</v>
      </c>
      <c r="J961">
        <v>342</v>
      </c>
      <c r="K961">
        <v>0</v>
      </c>
      <c r="L961">
        <v>266.76</v>
      </c>
    </row>
    <row r="962" spans="1:12" x14ac:dyDescent="0.25">
      <c r="A962" t="str">
        <f t="shared" ref="A962:A1025" si="198">"89301000"</f>
        <v>89301000</v>
      </c>
      <c r="B962" t="str">
        <f t="shared" si="194"/>
        <v>72077000</v>
      </c>
      <c r="C962" t="str">
        <f t="shared" si="195"/>
        <v>72077001</v>
      </c>
      <c r="D962" t="str">
        <f t="shared" si="196"/>
        <v>813</v>
      </c>
      <c r="E962" t="str">
        <f t="shared" si="197"/>
        <v>89301152</v>
      </c>
      <c r="F962" t="str">
        <f>"9606055734"</f>
        <v>9606055734</v>
      </c>
      <c r="G962" s="1">
        <v>44595</v>
      </c>
      <c r="H962" t="str">
        <f>"91219"</f>
        <v>91219</v>
      </c>
      <c r="I962">
        <v>1</v>
      </c>
      <c r="J962">
        <v>342</v>
      </c>
      <c r="K962">
        <v>0</v>
      </c>
      <c r="L962">
        <v>266.76</v>
      </c>
    </row>
    <row r="963" spans="1:12" x14ac:dyDescent="0.25">
      <c r="A963" t="str">
        <f t="shared" si="198"/>
        <v>89301000</v>
      </c>
      <c r="B963" t="str">
        <f t="shared" si="194"/>
        <v>72077000</v>
      </c>
      <c r="C963" t="str">
        <f t="shared" si="195"/>
        <v>72077001</v>
      </c>
      <c r="D963" t="str">
        <f t="shared" si="196"/>
        <v>813</v>
      </c>
      <c r="E963" t="str">
        <f t="shared" si="197"/>
        <v>89301152</v>
      </c>
      <c r="F963" t="str">
        <f>"7157235360"</f>
        <v>7157235360</v>
      </c>
      <c r="G963" s="1">
        <v>44594</v>
      </c>
      <c r="H963" t="str">
        <f>"91197"</f>
        <v>91197</v>
      </c>
      <c r="I963">
        <v>1</v>
      </c>
      <c r="J963">
        <v>1046</v>
      </c>
      <c r="K963">
        <v>0</v>
      </c>
      <c r="L963">
        <v>815.88</v>
      </c>
    </row>
    <row r="964" spans="1:12" x14ac:dyDescent="0.25">
      <c r="A964" t="str">
        <f t="shared" si="198"/>
        <v>89301000</v>
      </c>
      <c r="B964" t="str">
        <f t="shared" si="194"/>
        <v>72077000</v>
      </c>
      <c r="C964" t="str">
        <f t="shared" si="195"/>
        <v>72077001</v>
      </c>
      <c r="D964" t="str">
        <f t="shared" si="196"/>
        <v>813</v>
      </c>
      <c r="E964" t="str">
        <f t="shared" si="197"/>
        <v>89301152</v>
      </c>
      <c r="F964" t="str">
        <f>"9708135723"</f>
        <v>9708135723</v>
      </c>
      <c r="G964" s="1">
        <v>44594</v>
      </c>
      <c r="H964" t="str">
        <f>"91197"</f>
        <v>91197</v>
      </c>
      <c r="I964">
        <v>1</v>
      </c>
      <c r="J964">
        <v>1046</v>
      </c>
      <c r="K964">
        <v>0</v>
      </c>
      <c r="L964">
        <v>815.88</v>
      </c>
    </row>
    <row r="965" spans="1:12" x14ac:dyDescent="0.25">
      <c r="A965" t="str">
        <f t="shared" si="198"/>
        <v>89301000</v>
      </c>
      <c r="B965" t="str">
        <f t="shared" si="194"/>
        <v>72077000</v>
      </c>
      <c r="C965" t="str">
        <f t="shared" si="195"/>
        <v>72077001</v>
      </c>
      <c r="D965" t="str">
        <f t="shared" si="196"/>
        <v>813</v>
      </c>
      <c r="E965" t="str">
        <f t="shared" si="197"/>
        <v>89301152</v>
      </c>
      <c r="F965" t="str">
        <f>"9708135723"</f>
        <v>9708135723</v>
      </c>
      <c r="G965" s="1">
        <v>44596</v>
      </c>
      <c r="H965" t="str">
        <f>"91465"</f>
        <v>91465</v>
      </c>
      <c r="I965">
        <v>1</v>
      </c>
      <c r="J965">
        <v>1404</v>
      </c>
      <c r="K965">
        <v>0</v>
      </c>
      <c r="L965">
        <v>1095.1199999999999</v>
      </c>
    </row>
    <row r="966" spans="1:12" x14ac:dyDescent="0.25">
      <c r="A966" t="str">
        <f t="shared" si="198"/>
        <v>89301000</v>
      </c>
      <c r="B966" t="str">
        <f t="shared" si="194"/>
        <v>72077000</v>
      </c>
      <c r="C966" t="str">
        <f t="shared" si="195"/>
        <v>72077001</v>
      </c>
      <c r="D966" t="str">
        <f t="shared" si="196"/>
        <v>813</v>
      </c>
      <c r="E966" t="str">
        <f t="shared" si="197"/>
        <v>89301152</v>
      </c>
      <c r="F966" t="str">
        <f>"8753146226"</f>
        <v>8753146226</v>
      </c>
      <c r="G966" s="1">
        <v>44600</v>
      </c>
      <c r="H966" t="str">
        <f>"91197"</f>
        <v>91197</v>
      </c>
      <c r="I966">
        <v>1</v>
      </c>
      <c r="J966">
        <v>1046</v>
      </c>
      <c r="K966">
        <v>0</v>
      </c>
      <c r="L966">
        <v>815.88</v>
      </c>
    </row>
    <row r="967" spans="1:12" x14ac:dyDescent="0.25">
      <c r="A967" t="str">
        <f t="shared" si="198"/>
        <v>89301000</v>
      </c>
      <c r="B967" t="str">
        <f t="shared" si="194"/>
        <v>72077000</v>
      </c>
      <c r="C967" t="str">
        <f t="shared" si="195"/>
        <v>72077001</v>
      </c>
      <c r="D967" t="str">
        <f t="shared" si="196"/>
        <v>813</v>
      </c>
      <c r="E967" t="str">
        <f t="shared" si="197"/>
        <v>89301152</v>
      </c>
      <c r="F967" t="str">
        <f>"8753146226"</f>
        <v>8753146226</v>
      </c>
      <c r="G967" s="1">
        <v>44600</v>
      </c>
      <c r="H967" t="str">
        <f>"91465"</f>
        <v>91465</v>
      </c>
      <c r="I967">
        <v>1</v>
      </c>
      <c r="J967">
        <v>1404</v>
      </c>
      <c r="K967">
        <v>0</v>
      </c>
      <c r="L967">
        <v>1095.1199999999999</v>
      </c>
    </row>
    <row r="968" spans="1:12" x14ac:dyDescent="0.25">
      <c r="A968" t="str">
        <f t="shared" si="198"/>
        <v>89301000</v>
      </c>
      <c r="B968" t="str">
        <f t="shared" si="194"/>
        <v>72077000</v>
      </c>
      <c r="C968" t="str">
        <f t="shared" si="195"/>
        <v>72077001</v>
      </c>
      <c r="D968" t="str">
        <f t="shared" si="196"/>
        <v>813</v>
      </c>
      <c r="E968" t="str">
        <f t="shared" si="197"/>
        <v>89301152</v>
      </c>
      <c r="F968" t="str">
        <f>"7704015385"</f>
        <v>7704015385</v>
      </c>
      <c r="G968" s="1">
        <v>44600</v>
      </c>
      <c r="H968" t="str">
        <f>"91197"</f>
        <v>91197</v>
      </c>
      <c r="I968">
        <v>1</v>
      </c>
      <c r="J968">
        <v>1046</v>
      </c>
      <c r="K968">
        <v>0</v>
      </c>
      <c r="L968">
        <v>815.88</v>
      </c>
    </row>
    <row r="969" spans="1:12" x14ac:dyDescent="0.25">
      <c r="A969" t="str">
        <f t="shared" si="198"/>
        <v>89301000</v>
      </c>
      <c r="B969" t="str">
        <f t="shared" si="194"/>
        <v>72077000</v>
      </c>
      <c r="C969" t="str">
        <f t="shared" si="195"/>
        <v>72077001</v>
      </c>
      <c r="D969" t="str">
        <f t="shared" si="196"/>
        <v>813</v>
      </c>
      <c r="E969" t="str">
        <f t="shared" si="197"/>
        <v>89301152</v>
      </c>
      <c r="F969" t="str">
        <f>"7704015385"</f>
        <v>7704015385</v>
      </c>
      <c r="G969" s="1">
        <v>44600</v>
      </c>
      <c r="H969" t="str">
        <f>"91465"</f>
        <v>91465</v>
      </c>
      <c r="I969">
        <v>1</v>
      </c>
      <c r="J969">
        <v>1404</v>
      </c>
      <c r="K969">
        <v>0</v>
      </c>
      <c r="L969">
        <v>1095.1199999999999</v>
      </c>
    </row>
    <row r="970" spans="1:12" x14ac:dyDescent="0.25">
      <c r="A970" t="str">
        <f t="shared" si="198"/>
        <v>89301000</v>
      </c>
      <c r="B970" t="str">
        <f t="shared" si="194"/>
        <v>72077000</v>
      </c>
      <c r="C970" t="str">
        <f t="shared" si="195"/>
        <v>72077001</v>
      </c>
      <c r="D970" t="str">
        <f t="shared" si="196"/>
        <v>813</v>
      </c>
      <c r="E970" t="str">
        <f>"89301107"</f>
        <v>89301107</v>
      </c>
      <c r="F970" t="str">
        <f>"0857135367"</f>
        <v>0857135367</v>
      </c>
      <c r="G970" s="1">
        <v>44602</v>
      </c>
      <c r="H970" t="str">
        <f>"91197"</f>
        <v>91197</v>
      </c>
      <c r="I970">
        <v>1</v>
      </c>
      <c r="J970">
        <v>1046</v>
      </c>
      <c r="K970">
        <v>0</v>
      </c>
      <c r="L970">
        <v>815.88</v>
      </c>
    </row>
    <row r="971" spans="1:12" x14ac:dyDescent="0.25">
      <c r="A971" t="str">
        <f t="shared" si="198"/>
        <v>89301000</v>
      </c>
      <c r="B971" t="str">
        <f t="shared" si="194"/>
        <v>72077000</v>
      </c>
      <c r="C971" t="str">
        <f t="shared" si="195"/>
        <v>72077001</v>
      </c>
      <c r="D971" t="str">
        <f t="shared" si="196"/>
        <v>813</v>
      </c>
      <c r="E971" t="str">
        <f t="shared" ref="E971:E994" si="199">"89301152"</f>
        <v>89301152</v>
      </c>
      <c r="F971" t="str">
        <f>"8060264498"</f>
        <v>8060264498</v>
      </c>
      <c r="G971" s="1">
        <v>44607</v>
      </c>
      <c r="H971" t="str">
        <f>"91465"</f>
        <v>91465</v>
      </c>
      <c r="I971">
        <v>1</v>
      </c>
      <c r="J971">
        <v>1404</v>
      </c>
      <c r="K971">
        <v>0</v>
      </c>
      <c r="L971">
        <v>1095.1199999999999</v>
      </c>
    </row>
    <row r="972" spans="1:12" x14ac:dyDescent="0.25">
      <c r="A972" t="str">
        <f t="shared" si="198"/>
        <v>89301000</v>
      </c>
      <c r="B972" t="str">
        <f t="shared" si="194"/>
        <v>72077000</v>
      </c>
      <c r="C972" t="str">
        <f t="shared" si="195"/>
        <v>72077001</v>
      </c>
      <c r="D972" t="str">
        <f t="shared" si="196"/>
        <v>813</v>
      </c>
      <c r="E972" t="str">
        <f t="shared" si="199"/>
        <v>89301152</v>
      </c>
      <c r="F972" t="str">
        <f>"8060264498"</f>
        <v>8060264498</v>
      </c>
      <c r="G972" s="1">
        <v>44608</v>
      </c>
      <c r="H972" t="str">
        <f>"91197"</f>
        <v>91197</v>
      </c>
      <c r="I972">
        <v>1</v>
      </c>
      <c r="J972">
        <v>1046</v>
      </c>
      <c r="K972">
        <v>0</v>
      </c>
      <c r="L972">
        <v>815.88</v>
      </c>
    </row>
    <row r="973" spans="1:12" x14ac:dyDescent="0.25">
      <c r="A973" t="str">
        <f t="shared" si="198"/>
        <v>89301000</v>
      </c>
      <c r="B973" t="str">
        <f t="shared" si="194"/>
        <v>72077000</v>
      </c>
      <c r="C973" t="str">
        <f t="shared" si="195"/>
        <v>72077001</v>
      </c>
      <c r="D973" t="str">
        <f t="shared" si="196"/>
        <v>813</v>
      </c>
      <c r="E973" t="str">
        <f t="shared" si="199"/>
        <v>89301152</v>
      </c>
      <c r="F973" t="str">
        <f>"9103166182"</f>
        <v>9103166182</v>
      </c>
      <c r="G973" s="1">
        <v>44609</v>
      </c>
      <c r="H973" t="str">
        <f>"91219"</f>
        <v>91219</v>
      </c>
      <c r="I973">
        <v>1</v>
      </c>
      <c r="J973">
        <v>342</v>
      </c>
      <c r="K973">
        <v>0</v>
      </c>
      <c r="L973">
        <v>266.76</v>
      </c>
    </row>
    <row r="974" spans="1:12" x14ac:dyDescent="0.25">
      <c r="A974" t="str">
        <f t="shared" si="198"/>
        <v>89301000</v>
      </c>
      <c r="B974" t="str">
        <f t="shared" si="194"/>
        <v>72077000</v>
      </c>
      <c r="C974" t="str">
        <f t="shared" si="195"/>
        <v>72077001</v>
      </c>
      <c r="D974" t="str">
        <f t="shared" si="196"/>
        <v>813</v>
      </c>
      <c r="E974" t="str">
        <f t="shared" si="199"/>
        <v>89301152</v>
      </c>
      <c r="F974" t="str">
        <f>"8857155791"</f>
        <v>8857155791</v>
      </c>
      <c r="G974" s="1">
        <v>44608</v>
      </c>
      <c r="H974" t="str">
        <f>"91197"</f>
        <v>91197</v>
      </c>
      <c r="I974">
        <v>1</v>
      </c>
      <c r="J974">
        <v>1046</v>
      </c>
      <c r="K974">
        <v>0</v>
      </c>
      <c r="L974">
        <v>815.88</v>
      </c>
    </row>
    <row r="975" spans="1:12" x14ac:dyDescent="0.25">
      <c r="A975" t="str">
        <f t="shared" si="198"/>
        <v>89301000</v>
      </c>
      <c r="B975" t="str">
        <f t="shared" si="194"/>
        <v>72077000</v>
      </c>
      <c r="C975" t="str">
        <f t="shared" si="195"/>
        <v>72077001</v>
      </c>
      <c r="D975" t="str">
        <f t="shared" si="196"/>
        <v>813</v>
      </c>
      <c r="E975" t="str">
        <f t="shared" si="199"/>
        <v>89301152</v>
      </c>
      <c r="F975" t="str">
        <f>"8857155791"</f>
        <v>8857155791</v>
      </c>
      <c r="G975" s="1">
        <v>44609</v>
      </c>
      <c r="H975" t="str">
        <f>"91465"</f>
        <v>91465</v>
      </c>
      <c r="I975">
        <v>1</v>
      </c>
      <c r="J975">
        <v>1404</v>
      </c>
      <c r="K975">
        <v>0</v>
      </c>
      <c r="L975">
        <v>1095.1199999999999</v>
      </c>
    </row>
    <row r="976" spans="1:12" x14ac:dyDescent="0.25">
      <c r="A976" t="str">
        <f t="shared" si="198"/>
        <v>89301000</v>
      </c>
      <c r="B976" t="str">
        <f t="shared" si="194"/>
        <v>72077000</v>
      </c>
      <c r="C976" t="str">
        <f t="shared" si="195"/>
        <v>72077001</v>
      </c>
      <c r="D976" t="str">
        <f t="shared" si="196"/>
        <v>813</v>
      </c>
      <c r="E976" t="str">
        <f t="shared" si="199"/>
        <v>89301152</v>
      </c>
      <c r="F976" t="str">
        <f>"7051265331"</f>
        <v>7051265331</v>
      </c>
      <c r="G976" s="1">
        <v>44608</v>
      </c>
      <c r="H976" t="str">
        <f>"91197"</f>
        <v>91197</v>
      </c>
      <c r="I976">
        <v>1</v>
      </c>
      <c r="J976">
        <v>1046</v>
      </c>
      <c r="K976">
        <v>0</v>
      </c>
      <c r="L976">
        <v>815.88</v>
      </c>
    </row>
    <row r="977" spans="1:12" x14ac:dyDescent="0.25">
      <c r="A977" t="str">
        <f t="shared" si="198"/>
        <v>89301000</v>
      </c>
      <c r="B977" t="str">
        <f t="shared" si="194"/>
        <v>72077000</v>
      </c>
      <c r="C977" t="str">
        <f t="shared" si="195"/>
        <v>72077001</v>
      </c>
      <c r="D977" t="str">
        <f t="shared" si="196"/>
        <v>813</v>
      </c>
      <c r="E977" t="str">
        <f t="shared" si="199"/>
        <v>89301152</v>
      </c>
      <c r="F977" t="str">
        <f>"7051265331"</f>
        <v>7051265331</v>
      </c>
      <c r="G977" s="1">
        <v>44609</v>
      </c>
      <c r="H977" t="str">
        <f>"91465"</f>
        <v>91465</v>
      </c>
      <c r="I977">
        <v>1</v>
      </c>
      <c r="J977">
        <v>1404</v>
      </c>
      <c r="K977">
        <v>0</v>
      </c>
      <c r="L977">
        <v>1095.1199999999999</v>
      </c>
    </row>
    <row r="978" spans="1:12" x14ac:dyDescent="0.25">
      <c r="A978" t="str">
        <f t="shared" si="198"/>
        <v>89301000</v>
      </c>
      <c r="B978" t="str">
        <f t="shared" si="194"/>
        <v>72077000</v>
      </c>
      <c r="C978" t="str">
        <f t="shared" si="195"/>
        <v>72077001</v>
      </c>
      <c r="D978" t="str">
        <f t="shared" si="196"/>
        <v>813</v>
      </c>
      <c r="E978" t="str">
        <f t="shared" si="199"/>
        <v>89301152</v>
      </c>
      <c r="F978" t="str">
        <f>"7251185161"</f>
        <v>7251185161</v>
      </c>
      <c r="G978" s="1">
        <v>44614</v>
      </c>
      <c r="H978" t="str">
        <f>"91197"</f>
        <v>91197</v>
      </c>
      <c r="I978">
        <v>1</v>
      </c>
      <c r="J978">
        <v>1046</v>
      </c>
      <c r="K978">
        <v>0</v>
      </c>
      <c r="L978">
        <v>815.88</v>
      </c>
    </row>
    <row r="979" spans="1:12" x14ac:dyDescent="0.25">
      <c r="A979" t="str">
        <f t="shared" si="198"/>
        <v>89301000</v>
      </c>
      <c r="B979" t="str">
        <f t="shared" si="194"/>
        <v>72077000</v>
      </c>
      <c r="C979" t="str">
        <f t="shared" si="195"/>
        <v>72077001</v>
      </c>
      <c r="D979" t="str">
        <f t="shared" si="196"/>
        <v>813</v>
      </c>
      <c r="E979" t="str">
        <f t="shared" si="199"/>
        <v>89301152</v>
      </c>
      <c r="F979" t="str">
        <f>"7251185161"</f>
        <v>7251185161</v>
      </c>
      <c r="G979" s="1">
        <v>44614</v>
      </c>
      <c r="H979" t="str">
        <f>"91465"</f>
        <v>91465</v>
      </c>
      <c r="I979">
        <v>1</v>
      </c>
      <c r="J979">
        <v>1404</v>
      </c>
      <c r="K979">
        <v>0</v>
      </c>
      <c r="L979">
        <v>1095.1199999999999</v>
      </c>
    </row>
    <row r="980" spans="1:12" x14ac:dyDescent="0.25">
      <c r="A980" t="str">
        <f t="shared" si="198"/>
        <v>89301000</v>
      </c>
      <c r="B980" t="str">
        <f t="shared" si="194"/>
        <v>72077000</v>
      </c>
      <c r="C980" t="str">
        <f t="shared" si="195"/>
        <v>72077001</v>
      </c>
      <c r="D980" t="str">
        <f t="shared" si="196"/>
        <v>813</v>
      </c>
      <c r="E980" t="str">
        <f t="shared" si="199"/>
        <v>89301152</v>
      </c>
      <c r="F980" t="str">
        <f>"7659165316"</f>
        <v>7659165316</v>
      </c>
      <c r="G980" s="1">
        <v>44614</v>
      </c>
      <c r="H980" t="str">
        <f>"91197"</f>
        <v>91197</v>
      </c>
      <c r="I980">
        <v>1</v>
      </c>
      <c r="J980">
        <v>1046</v>
      </c>
      <c r="K980">
        <v>0</v>
      </c>
      <c r="L980">
        <v>815.88</v>
      </c>
    </row>
    <row r="981" spans="1:12" x14ac:dyDescent="0.25">
      <c r="A981" t="str">
        <f t="shared" si="198"/>
        <v>89301000</v>
      </c>
      <c r="B981" t="str">
        <f t="shared" si="194"/>
        <v>72077000</v>
      </c>
      <c r="C981" t="str">
        <f t="shared" si="195"/>
        <v>72077001</v>
      </c>
      <c r="D981" t="str">
        <f t="shared" si="196"/>
        <v>813</v>
      </c>
      <c r="E981" t="str">
        <f t="shared" si="199"/>
        <v>89301152</v>
      </c>
      <c r="F981" t="str">
        <f>"7659165316"</f>
        <v>7659165316</v>
      </c>
      <c r="G981" s="1">
        <v>44614</v>
      </c>
      <c r="H981" t="str">
        <f>"91465"</f>
        <v>91465</v>
      </c>
      <c r="I981">
        <v>1</v>
      </c>
      <c r="J981">
        <v>1404</v>
      </c>
      <c r="K981">
        <v>0</v>
      </c>
      <c r="L981">
        <v>1095.1199999999999</v>
      </c>
    </row>
    <row r="982" spans="1:12" x14ac:dyDescent="0.25">
      <c r="A982" t="str">
        <f t="shared" si="198"/>
        <v>89301000</v>
      </c>
      <c r="B982" t="str">
        <f t="shared" si="194"/>
        <v>72077000</v>
      </c>
      <c r="C982" t="str">
        <f t="shared" si="195"/>
        <v>72077001</v>
      </c>
      <c r="D982" t="str">
        <f t="shared" si="196"/>
        <v>813</v>
      </c>
      <c r="E982" t="str">
        <f t="shared" si="199"/>
        <v>89301152</v>
      </c>
      <c r="F982" t="str">
        <f>"525501455"</f>
        <v>525501455</v>
      </c>
      <c r="G982" s="1">
        <v>44614</v>
      </c>
      <c r="H982" t="str">
        <f>"91197"</f>
        <v>91197</v>
      </c>
      <c r="I982">
        <v>1</v>
      </c>
      <c r="J982">
        <v>1046</v>
      </c>
      <c r="K982">
        <v>0</v>
      </c>
      <c r="L982">
        <v>815.88</v>
      </c>
    </row>
    <row r="983" spans="1:12" x14ac:dyDescent="0.25">
      <c r="A983" t="str">
        <f t="shared" si="198"/>
        <v>89301000</v>
      </c>
      <c r="B983" t="str">
        <f t="shared" si="194"/>
        <v>72077000</v>
      </c>
      <c r="C983" t="str">
        <f t="shared" si="195"/>
        <v>72077001</v>
      </c>
      <c r="D983" t="str">
        <f t="shared" si="196"/>
        <v>813</v>
      </c>
      <c r="E983" t="str">
        <f t="shared" si="199"/>
        <v>89301152</v>
      </c>
      <c r="F983" t="str">
        <f>"525501455"</f>
        <v>525501455</v>
      </c>
      <c r="G983" s="1">
        <v>44614</v>
      </c>
      <c r="H983" t="str">
        <f>"91465"</f>
        <v>91465</v>
      </c>
      <c r="I983">
        <v>1</v>
      </c>
      <c r="J983">
        <v>1404</v>
      </c>
      <c r="K983">
        <v>0</v>
      </c>
      <c r="L983">
        <v>1095.1199999999999</v>
      </c>
    </row>
    <row r="984" spans="1:12" x14ac:dyDescent="0.25">
      <c r="A984" t="str">
        <f t="shared" si="198"/>
        <v>89301000</v>
      </c>
      <c r="B984" t="str">
        <f t="shared" si="194"/>
        <v>72077000</v>
      </c>
      <c r="C984" t="str">
        <f t="shared" si="195"/>
        <v>72077001</v>
      </c>
      <c r="D984" t="str">
        <f t="shared" si="196"/>
        <v>813</v>
      </c>
      <c r="E984" t="str">
        <f t="shared" si="199"/>
        <v>89301152</v>
      </c>
      <c r="F984" t="str">
        <f>"0656276071"</f>
        <v>0656276071</v>
      </c>
      <c r="G984" s="1">
        <v>44614</v>
      </c>
      <c r="H984" t="str">
        <f>"91197"</f>
        <v>91197</v>
      </c>
      <c r="I984">
        <v>1</v>
      </c>
      <c r="J984">
        <v>1046</v>
      </c>
      <c r="K984">
        <v>0</v>
      </c>
      <c r="L984">
        <v>815.88</v>
      </c>
    </row>
    <row r="985" spans="1:12" x14ac:dyDescent="0.25">
      <c r="A985" t="str">
        <f t="shared" si="198"/>
        <v>89301000</v>
      </c>
      <c r="B985" t="str">
        <f t="shared" si="194"/>
        <v>72077000</v>
      </c>
      <c r="C985" t="str">
        <f t="shared" si="195"/>
        <v>72077001</v>
      </c>
      <c r="D985" t="str">
        <f t="shared" si="196"/>
        <v>813</v>
      </c>
      <c r="E985" t="str">
        <f t="shared" si="199"/>
        <v>89301152</v>
      </c>
      <c r="F985" t="str">
        <f>"9262305646"</f>
        <v>9262305646</v>
      </c>
      <c r="G985" s="1">
        <v>44614</v>
      </c>
      <c r="H985" t="str">
        <f>"91197"</f>
        <v>91197</v>
      </c>
      <c r="I985">
        <v>1</v>
      </c>
      <c r="J985">
        <v>1046</v>
      </c>
      <c r="K985">
        <v>0</v>
      </c>
      <c r="L985">
        <v>815.88</v>
      </c>
    </row>
    <row r="986" spans="1:12" x14ac:dyDescent="0.25">
      <c r="A986" t="str">
        <f t="shared" si="198"/>
        <v>89301000</v>
      </c>
      <c r="B986" t="str">
        <f t="shared" si="194"/>
        <v>72077000</v>
      </c>
      <c r="C986" t="str">
        <f t="shared" si="195"/>
        <v>72077001</v>
      </c>
      <c r="D986" t="str">
        <f t="shared" si="196"/>
        <v>813</v>
      </c>
      <c r="E986" t="str">
        <f t="shared" si="199"/>
        <v>89301152</v>
      </c>
      <c r="F986" t="str">
        <f>"9262305646"</f>
        <v>9262305646</v>
      </c>
      <c r="G986" s="1">
        <v>44614</v>
      </c>
      <c r="H986" t="str">
        <f>"91465"</f>
        <v>91465</v>
      </c>
      <c r="I986">
        <v>1</v>
      </c>
      <c r="J986">
        <v>1404</v>
      </c>
      <c r="K986">
        <v>0</v>
      </c>
      <c r="L986">
        <v>1095.1199999999999</v>
      </c>
    </row>
    <row r="987" spans="1:12" x14ac:dyDescent="0.25">
      <c r="A987" t="str">
        <f t="shared" si="198"/>
        <v>89301000</v>
      </c>
      <c r="B987" t="str">
        <f t="shared" si="194"/>
        <v>72077000</v>
      </c>
      <c r="C987" t="str">
        <f t="shared" si="195"/>
        <v>72077001</v>
      </c>
      <c r="D987" t="str">
        <f t="shared" si="196"/>
        <v>813</v>
      </c>
      <c r="E987" t="str">
        <f t="shared" si="199"/>
        <v>89301152</v>
      </c>
      <c r="F987" t="str">
        <f>"7962314470"</f>
        <v>7962314470</v>
      </c>
      <c r="G987" s="1">
        <v>44616</v>
      </c>
      <c r="H987" t="str">
        <f>"91465"</f>
        <v>91465</v>
      </c>
      <c r="I987">
        <v>1</v>
      </c>
      <c r="J987">
        <v>1404</v>
      </c>
      <c r="K987">
        <v>0</v>
      </c>
      <c r="L987">
        <v>1095.1199999999999</v>
      </c>
    </row>
    <row r="988" spans="1:12" x14ac:dyDescent="0.25">
      <c r="A988" t="str">
        <f t="shared" si="198"/>
        <v>89301000</v>
      </c>
      <c r="B988" t="str">
        <f t="shared" si="194"/>
        <v>72077000</v>
      </c>
      <c r="C988" t="str">
        <f t="shared" si="195"/>
        <v>72077001</v>
      </c>
      <c r="D988" t="str">
        <f t="shared" si="196"/>
        <v>813</v>
      </c>
      <c r="E988" t="str">
        <f t="shared" si="199"/>
        <v>89301152</v>
      </c>
      <c r="F988" t="str">
        <f>"7962314470"</f>
        <v>7962314470</v>
      </c>
      <c r="G988" s="1">
        <v>44620</v>
      </c>
      <c r="H988" t="str">
        <f>"91197"</f>
        <v>91197</v>
      </c>
      <c r="I988">
        <v>1</v>
      </c>
      <c r="J988">
        <v>1046</v>
      </c>
      <c r="K988">
        <v>0</v>
      </c>
      <c r="L988">
        <v>815.88</v>
      </c>
    </row>
    <row r="989" spans="1:12" x14ac:dyDescent="0.25">
      <c r="A989" t="str">
        <f t="shared" si="198"/>
        <v>89301000</v>
      </c>
      <c r="B989" t="str">
        <f t="shared" si="194"/>
        <v>72077000</v>
      </c>
      <c r="C989" t="str">
        <f t="shared" si="195"/>
        <v>72077001</v>
      </c>
      <c r="D989" t="str">
        <f t="shared" si="196"/>
        <v>813</v>
      </c>
      <c r="E989" t="str">
        <f t="shared" si="199"/>
        <v>89301152</v>
      </c>
      <c r="F989" t="str">
        <f>"6459161082"</f>
        <v>6459161082</v>
      </c>
      <c r="G989" s="1">
        <v>44616</v>
      </c>
      <c r="H989" t="str">
        <f>"91465"</f>
        <v>91465</v>
      </c>
      <c r="I989">
        <v>1</v>
      </c>
      <c r="J989">
        <v>1404</v>
      </c>
      <c r="K989">
        <v>0</v>
      </c>
      <c r="L989">
        <v>1095.1199999999999</v>
      </c>
    </row>
    <row r="990" spans="1:12" x14ac:dyDescent="0.25">
      <c r="A990" t="str">
        <f t="shared" si="198"/>
        <v>89301000</v>
      </c>
      <c r="B990" t="str">
        <f t="shared" si="194"/>
        <v>72077000</v>
      </c>
      <c r="C990" t="str">
        <f t="shared" si="195"/>
        <v>72077001</v>
      </c>
      <c r="D990" t="str">
        <f t="shared" si="196"/>
        <v>813</v>
      </c>
      <c r="E990" t="str">
        <f t="shared" si="199"/>
        <v>89301152</v>
      </c>
      <c r="F990" t="str">
        <f>"6459161082"</f>
        <v>6459161082</v>
      </c>
      <c r="G990" s="1">
        <v>44620</v>
      </c>
      <c r="H990" t="str">
        <f>"91197"</f>
        <v>91197</v>
      </c>
      <c r="I990">
        <v>1</v>
      </c>
      <c r="J990">
        <v>1046</v>
      </c>
      <c r="K990">
        <v>0</v>
      </c>
      <c r="L990">
        <v>815.88</v>
      </c>
    </row>
    <row r="991" spans="1:12" x14ac:dyDescent="0.25">
      <c r="A991" t="str">
        <f t="shared" si="198"/>
        <v>89301000</v>
      </c>
      <c r="B991" t="str">
        <f t="shared" si="194"/>
        <v>72077000</v>
      </c>
      <c r="C991" t="str">
        <f t="shared" si="195"/>
        <v>72077001</v>
      </c>
      <c r="D991" t="str">
        <f t="shared" si="196"/>
        <v>813</v>
      </c>
      <c r="E991" t="str">
        <f t="shared" si="199"/>
        <v>89301152</v>
      </c>
      <c r="F991" t="str">
        <f>"9959195719"</f>
        <v>9959195719</v>
      </c>
      <c r="G991" s="1">
        <v>44616</v>
      </c>
      <c r="H991" t="str">
        <f>"91465"</f>
        <v>91465</v>
      </c>
      <c r="I991">
        <v>1</v>
      </c>
      <c r="J991">
        <v>1404</v>
      </c>
      <c r="K991">
        <v>0</v>
      </c>
      <c r="L991">
        <v>1095.1199999999999</v>
      </c>
    </row>
    <row r="992" spans="1:12" x14ac:dyDescent="0.25">
      <c r="A992" t="str">
        <f t="shared" si="198"/>
        <v>89301000</v>
      </c>
      <c r="B992" t="str">
        <f t="shared" si="194"/>
        <v>72077000</v>
      </c>
      <c r="C992" t="str">
        <f t="shared" si="195"/>
        <v>72077001</v>
      </c>
      <c r="D992" t="str">
        <f t="shared" si="196"/>
        <v>813</v>
      </c>
      <c r="E992" t="str">
        <f t="shared" si="199"/>
        <v>89301152</v>
      </c>
      <c r="F992" t="str">
        <f>"9959195719"</f>
        <v>9959195719</v>
      </c>
      <c r="G992" s="1">
        <v>44620</v>
      </c>
      <c r="H992" t="str">
        <f>"91197"</f>
        <v>91197</v>
      </c>
      <c r="I992">
        <v>1</v>
      </c>
      <c r="J992">
        <v>1046</v>
      </c>
      <c r="K992">
        <v>0</v>
      </c>
      <c r="L992">
        <v>815.88</v>
      </c>
    </row>
    <row r="993" spans="1:12" x14ac:dyDescent="0.25">
      <c r="A993" t="str">
        <f t="shared" si="198"/>
        <v>89301000</v>
      </c>
      <c r="B993" t="str">
        <f t="shared" si="194"/>
        <v>72077000</v>
      </c>
      <c r="C993" t="str">
        <f t="shared" si="195"/>
        <v>72077001</v>
      </c>
      <c r="D993" t="str">
        <f t="shared" si="196"/>
        <v>813</v>
      </c>
      <c r="E993" t="str">
        <f t="shared" si="199"/>
        <v>89301152</v>
      </c>
      <c r="F993" t="str">
        <f>"7404185360"</f>
        <v>7404185360</v>
      </c>
      <c r="G993" s="1">
        <v>44620</v>
      </c>
      <c r="H993" t="str">
        <f>"91197"</f>
        <v>91197</v>
      </c>
      <c r="I993">
        <v>1</v>
      </c>
      <c r="J993">
        <v>1046</v>
      </c>
      <c r="K993">
        <v>0</v>
      </c>
      <c r="L993">
        <v>815.88</v>
      </c>
    </row>
    <row r="994" spans="1:12" x14ac:dyDescent="0.25">
      <c r="A994" t="str">
        <f t="shared" si="198"/>
        <v>89301000</v>
      </c>
      <c r="B994" t="str">
        <f t="shared" si="194"/>
        <v>72077000</v>
      </c>
      <c r="C994" t="str">
        <f t="shared" si="195"/>
        <v>72077001</v>
      </c>
      <c r="D994" t="str">
        <f t="shared" si="196"/>
        <v>813</v>
      </c>
      <c r="E994" t="str">
        <f t="shared" si="199"/>
        <v>89301152</v>
      </c>
      <c r="F994" t="str">
        <f>"8061080005"</f>
        <v>8061080005</v>
      </c>
      <c r="G994" s="1">
        <v>44620</v>
      </c>
      <c r="H994" t="str">
        <f>"91197"</f>
        <v>91197</v>
      </c>
      <c r="I994">
        <v>1</v>
      </c>
      <c r="J994">
        <v>1046</v>
      </c>
      <c r="K994">
        <v>0</v>
      </c>
      <c r="L994">
        <v>815.88</v>
      </c>
    </row>
    <row r="995" spans="1:12" x14ac:dyDescent="0.25">
      <c r="A995" t="str">
        <f t="shared" si="198"/>
        <v>89301000</v>
      </c>
      <c r="B995" t="str">
        <f>"92503000"</f>
        <v>92503000</v>
      </c>
      <c r="C995" t="str">
        <f>"92503000"</f>
        <v>92503000</v>
      </c>
      <c r="D995" t="str">
        <f>"807"</f>
        <v>807</v>
      </c>
      <c r="E995" t="str">
        <f>"89301082"</f>
        <v>89301082</v>
      </c>
      <c r="F995" t="str">
        <f>"1051113382"</f>
        <v>1051113382</v>
      </c>
      <c r="G995" s="1">
        <v>44607</v>
      </c>
      <c r="H995" t="str">
        <f>"87433"</f>
        <v>87433</v>
      </c>
      <c r="I995">
        <v>1</v>
      </c>
      <c r="J995">
        <v>41</v>
      </c>
      <c r="K995">
        <v>0</v>
      </c>
      <c r="L995">
        <v>31.98</v>
      </c>
    </row>
    <row r="996" spans="1:12" x14ac:dyDescent="0.25">
      <c r="A996" t="str">
        <f t="shared" si="198"/>
        <v>89301000</v>
      </c>
      <c r="B996" t="str">
        <f>"92503000"</f>
        <v>92503000</v>
      </c>
      <c r="C996" t="str">
        <f>"92503000"</f>
        <v>92503000</v>
      </c>
      <c r="D996" t="str">
        <f>"807"</f>
        <v>807</v>
      </c>
      <c r="E996" t="str">
        <f>"89301082"</f>
        <v>89301082</v>
      </c>
      <c r="F996" t="str">
        <f>"1051113382"</f>
        <v>1051113382</v>
      </c>
      <c r="G996" s="1">
        <v>44607</v>
      </c>
      <c r="H996" t="str">
        <f>"87519"</f>
        <v>87519</v>
      </c>
      <c r="I996">
        <v>1</v>
      </c>
      <c r="J996">
        <v>310</v>
      </c>
      <c r="K996">
        <v>0</v>
      </c>
      <c r="L996">
        <v>241.8</v>
      </c>
    </row>
    <row r="997" spans="1:12" x14ac:dyDescent="0.25">
      <c r="A997" t="str">
        <f t="shared" si="198"/>
        <v>89301000</v>
      </c>
      <c r="B997" t="str">
        <f t="shared" ref="B997:B1035" si="200">"82083000"</f>
        <v>82083000</v>
      </c>
      <c r="C997" t="str">
        <f>"82083111"</f>
        <v>82083111</v>
      </c>
      <c r="D997" t="str">
        <f>"815"</f>
        <v>815</v>
      </c>
      <c r="E997" t="str">
        <f t="shared" ref="E997:E1035" si="201">"89301167"</f>
        <v>89301167</v>
      </c>
      <c r="F997" t="str">
        <f t="shared" ref="F997:F1035" si="202">"530825172"</f>
        <v>530825172</v>
      </c>
      <c r="G997" s="1">
        <v>44615</v>
      </c>
      <c r="H997" t="str">
        <f>"93265"</f>
        <v>93265</v>
      </c>
      <c r="I997">
        <v>1</v>
      </c>
      <c r="J997">
        <v>655</v>
      </c>
      <c r="K997">
        <v>0</v>
      </c>
      <c r="L997">
        <v>510.9</v>
      </c>
    </row>
    <row r="998" spans="1:12" x14ac:dyDescent="0.25">
      <c r="A998" t="str">
        <f t="shared" si="198"/>
        <v>89301000</v>
      </c>
      <c r="B998" t="str">
        <f t="shared" si="200"/>
        <v>82083000</v>
      </c>
      <c r="C998" t="str">
        <f t="shared" ref="C998:C1035" si="203">"82083102"</f>
        <v>82083102</v>
      </c>
      <c r="D998" t="str">
        <f t="shared" ref="D998:D1035" si="204">"801"</f>
        <v>801</v>
      </c>
      <c r="E998" t="str">
        <f t="shared" si="201"/>
        <v>89301167</v>
      </c>
      <c r="F998" t="str">
        <f t="shared" si="202"/>
        <v>530825172</v>
      </c>
      <c r="G998" s="1">
        <v>44594</v>
      </c>
      <c r="H998" t="str">
        <f>"09119"</f>
        <v>09119</v>
      </c>
      <c r="I998">
        <v>1</v>
      </c>
      <c r="J998">
        <v>42</v>
      </c>
      <c r="K998">
        <v>0</v>
      </c>
      <c r="L998">
        <v>32.76</v>
      </c>
    </row>
    <row r="999" spans="1:12" x14ac:dyDescent="0.25">
      <c r="A999" t="str">
        <f t="shared" si="198"/>
        <v>89301000</v>
      </c>
      <c r="B999" t="str">
        <f t="shared" si="200"/>
        <v>82083000</v>
      </c>
      <c r="C999" t="str">
        <f t="shared" si="203"/>
        <v>82083102</v>
      </c>
      <c r="D999" t="str">
        <f t="shared" si="204"/>
        <v>801</v>
      </c>
      <c r="E999" t="str">
        <f t="shared" si="201"/>
        <v>89301167</v>
      </c>
      <c r="F999" t="str">
        <f t="shared" si="202"/>
        <v>530825172</v>
      </c>
      <c r="G999" s="1">
        <v>44594</v>
      </c>
      <c r="H999" t="str">
        <f>"81393"</f>
        <v>81393</v>
      </c>
      <c r="I999">
        <v>1</v>
      </c>
      <c r="J999">
        <v>24</v>
      </c>
      <c r="K999">
        <v>0</v>
      </c>
      <c r="L999">
        <v>18.72</v>
      </c>
    </row>
    <row r="1000" spans="1:12" x14ac:dyDescent="0.25">
      <c r="A1000" t="str">
        <f t="shared" si="198"/>
        <v>89301000</v>
      </c>
      <c r="B1000" t="str">
        <f t="shared" si="200"/>
        <v>82083000</v>
      </c>
      <c r="C1000" t="str">
        <f t="shared" si="203"/>
        <v>82083102</v>
      </c>
      <c r="D1000" t="str">
        <f t="shared" si="204"/>
        <v>801</v>
      </c>
      <c r="E1000" t="str">
        <f t="shared" si="201"/>
        <v>89301167</v>
      </c>
      <c r="F1000" t="str">
        <f t="shared" si="202"/>
        <v>530825172</v>
      </c>
      <c r="G1000" s="1">
        <v>44594</v>
      </c>
      <c r="H1000" t="str">
        <f>"81469"</f>
        <v>81469</v>
      </c>
      <c r="I1000">
        <v>1</v>
      </c>
      <c r="J1000">
        <v>16</v>
      </c>
      <c r="K1000">
        <v>0</v>
      </c>
      <c r="L1000">
        <v>12.48</v>
      </c>
    </row>
    <row r="1001" spans="1:12" x14ac:dyDescent="0.25">
      <c r="A1001" t="str">
        <f t="shared" si="198"/>
        <v>89301000</v>
      </c>
      <c r="B1001" t="str">
        <f t="shared" si="200"/>
        <v>82083000</v>
      </c>
      <c r="C1001" t="str">
        <f t="shared" si="203"/>
        <v>82083102</v>
      </c>
      <c r="D1001" t="str">
        <f t="shared" si="204"/>
        <v>801</v>
      </c>
      <c r="E1001" t="str">
        <f t="shared" si="201"/>
        <v>89301167</v>
      </c>
      <c r="F1001" t="str">
        <f t="shared" si="202"/>
        <v>530825172</v>
      </c>
      <c r="G1001" s="1">
        <v>44594</v>
      </c>
      <c r="H1001" t="str">
        <f>"81499"</f>
        <v>81499</v>
      </c>
      <c r="I1001">
        <v>1</v>
      </c>
      <c r="J1001">
        <v>18</v>
      </c>
      <c r="K1001">
        <v>0</v>
      </c>
      <c r="L1001">
        <v>14.04</v>
      </c>
    </row>
    <row r="1002" spans="1:12" x14ac:dyDescent="0.25">
      <c r="A1002" t="str">
        <f t="shared" si="198"/>
        <v>89301000</v>
      </c>
      <c r="B1002" t="str">
        <f t="shared" si="200"/>
        <v>82083000</v>
      </c>
      <c r="C1002" t="str">
        <f t="shared" si="203"/>
        <v>82083102</v>
      </c>
      <c r="D1002" t="str">
        <f t="shared" si="204"/>
        <v>801</v>
      </c>
      <c r="E1002" t="str">
        <f t="shared" si="201"/>
        <v>89301167</v>
      </c>
      <c r="F1002" t="str">
        <f t="shared" si="202"/>
        <v>530825172</v>
      </c>
      <c r="G1002" s="1">
        <v>44594</v>
      </c>
      <c r="H1002" t="str">
        <f>"81593"</f>
        <v>81593</v>
      </c>
      <c r="I1002">
        <v>1</v>
      </c>
      <c r="J1002">
        <v>22</v>
      </c>
      <c r="K1002">
        <v>0</v>
      </c>
      <c r="L1002">
        <v>17.16</v>
      </c>
    </row>
    <row r="1003" spans="1:12" x14ac:dyDescent="0.25">
      <c r="A1003" t="str">
        <f t="shared" si="198"/>
        <v>89301000</v>
      </c>
      <c r="B1003" t="str">
        <f t="shared" si="200"/>
        <v>82083000</v>
      </c>
      <c r="C1003" t="str">
        <f t="shared" si="203"/>
        <v>82083102</v>
      </c>
      <c r="D1003" t="str">
        <f t="shared" si="204"/>
        <v>801</v>
      </c>
      <c r="E1003" t="str">
        <f t="shared" si="201"/>
        <v>89301167</v>
      </c>
      <c r="F1003" t="str">
        <f t="shared" si="202"/>
        <v>530825172</v>
      </c>
      <c r="G1003" s="1">
        <v>44594</v>
      </c>
      <c r="H1003" t="str">
        <f>"81621"</f>
        <v>81621</v>
      </c>
      <c r="I1003">
        <v>1</v>
      </c>
      <c r="J1003">
        <v>19</v>
      </c>
      <c r="K1003">
        <v>0</v>
      </c>
      <c r="L1003">
        <v>14.82</v>
      </c>
    </row>
    <row r="1004" spans="1:12" x14ac:dyDescent="0.25">
      <c r="A1004" t="str">
        <f t="shared" si="198"/>
        <v>89301000</v>
      </c>
      <c r="B1004" t="str">
        <f t="shared" si="200"/>
        <v>82083000</v>
      </c>
      <c r="C1004" t="str">
        <f t="shared" si="203"/>
        <v>82083102</v>
      </c>
      <c r="D1004" t="str">
        <f t="shared" si="204"/>
        <v>801</v>
      </c>
      <c r="E1004" t="str">
        <f t="shared" si="201"/>
        <v>89301167</v>
      </c>
      <c r="F1004" t="str">
        <f t="shared" si="202"/>
        <v>530825172</v>
      </c>
      <c r="G1004" s="1">
        <v>44594</v>
      </c>
      <c r="H1004" t="str">
        <f>"91153"</f>
        <v>91153</v>
      </c>
      <c r="I1004">
        <v>1</v>
      </c>
      <c r="J1004">
        <v>152</v>
      </c>
      <c r="K1004">
        <v>0</v>
      </c>
      <c r="L1004">
        <v>118.56</v>
      </c>
    </row>
    <row r="1005" spans="1:12" x14ac:dyDescent="0.25">
      <c r="A1005" t="str">
        <f t="shared" si="198"/>
        <v>89301000</v>
      </c>
      <c r="B1005" t="str">
        <f t="shared" si="200"/>
        <v>82083000</v>
      </c>
      <c r="C1005" t="str">
        <f t="shared" si="203"/>
        <v>82083102</v>
      </c>
      <c r="D1005" t="str">
        <f t="shared" si="204"/>
        <v>801</v>
      </c>
      <c r="E1005" t="str">
        <f t="shared" si="201"/>
        <v>89301167</v>
      </c>
      <c r="F1005" t="str">
        <f t="shared" si="202"/>
        <v>530825172</v>
      </c>
      <c r="G1005" s="1">
        <v>44594</v>
      </c>
      <c r="H1005" t="str">
        <f>"96165"</f>
        <v>96165</v>
      </c>
      <c r="I1005">
        <v>1</v>
      </c>
      <c r="J1005">
        <v>47</v>
      </c>
      <c r="K1005">
        <v>0</v>
      </c>
      <c r="L1005">
        <v>36.659999999999997</v>
      </c>
    </row>
    <row r="1006" spans="1:12" x14ac:dyDescent="0.25">
      <c r="A1006" t="str">
        <f t="shared" si="198"/>
        <v>89301000</v>
      </c>
      <c r="B1006" t="str">
        <f t="shared" si="200"/>
        <v>82083000</v>
      </c>
      <c r="C1006" t="str">
        <f t="shared" si="203"/>
        <v>82083102</v>
      </c>
      <c r="D1006" t="str">
        <f t="shared" si="204"/>
        <v>801</v>
      </c>
      <c r="E1006" t="str">
        <f t="shared" si="201"/>
        <v>89301167</v>
      </c>
      <c r="F1006" t="str">
        <f t="shared" si="202"/>
        <v>530825172</v>
      </c>
      <c r="G1006" s="1">
        <v>44594</v>
      </c>
      <c r="H1006" t="str">
        <f>"97111"</f>
        <v>97111</v>
      </c>
      <c r="I1006">
        <v>1</v>
      </c>
      <c r="J1006">
        <v>18</v>
      </c>
      <c r="K1006">
        <v>0</v>
      </c>
      <c r="L1006">
        <v>14.04</v>
      </c>
    </row>
    <row r="1007" spans="1:12" x14ac:dyDescent="0.25">
      <c r="A1007" t="str">
        <f t="shared" si="198"/>
        <v>89301000</v>
      </c>
      <c r="B1007" t="str">
        <f t="shared" si="200"/>
        <v>82083000</v>
      </c>
      <c r="C1007" t="str">
        <f t="shared" si="203"/>
        <v>82083102</v>
      </c>
      <c r="D1007" t="str">
        <f t="shared" si="204"/>
        <v>801</v>
      </c>
      <c r="E1007" t="str">
        <f t="shared" si="201"/>
        <v>89301167</v>
      </c>
      <c r="F1007" t="str">
        <f t="shared" si="202"/>
        <v>530825172</v>
      </c>
      <c r="G1007" s="1">
        <v>44615</v>
      </c>
      <c r="H1007" t="str">
        <f>"09119"</f>
        <v>09119</v>
      </c>
      <c r="I1007">
        <v>1</v>
      </c>
      <c r="J1007">
        <v>42</v>
      </c>
      <c r="K1007">
        <v>0</v>
      </c>
      <c r="L1007">
        <v>32.76</v>
      </c>
    </row>
    <row r="1008" spans="1:12" x14ac:dyDescent="0.25">
      <c r="A1008" t="str">
        <f t="shared" si="198"/>
        <v>89301000</v>
      </c>
      <c r="B1008" t="str">
        <f t="shared" si="200"/>
        <v>82083000</v>
      </c>
      <c r="C1008" t="str">
        <f t="shared" si="203"/>
        <v>82083102</v>
      </c>
      <c r="D1008" t="str">
        <f t="shared" si="204"/>
        <v>801</v>
      </c>
      <c r="E1008" t="str">
        <f t="shared" si="201"/>
        <v>89301167</v>
      </c>
      <c r="F1008" t="str">
        <f t="shared" si="202"/>
        <v>530825172</v>
      </c>
      <c r="G1008" s="1">
        <v>44615</v>
      </c>
      <c r="H1008" t="str">
        <f>"81329"</f>
        <v>81329</v>
      </c>
      <c r="I1008">
        <v>1</v>
      </c>
      <c r="J1008">
        <v>16</v>
      </c>
      <c r="K1008">
        <v>0</v>
      </c>
      <c r="L1008">
        <v>12.48</v>
      </c>
    </row>
    <row r="1009" spans="1:12" x14ac:dyDescent="0.25">
      <c r="A1009" t="str">
        <f t="shared" si="198"/>
        <v>89301000</v>
      </c>
      <c r="B1009" t="str">
        <f t="shared" si="200"/>
        <v>82083000</v>
      </c>
      <c r="C1009" t="str">
        <f t="shared" si="203"/>
        <v>82083102</v>
      </c>
      <c r="D1009" t="str">
        <f t="shared" si="204"/>
        <v>801</v>
      </c>
      <c r="E1009" t="str">
        <f t="shared" si="201"/>
        <v>89301167</v>
      </c>
      <c r="F1009" t="str">
        <f t="shared" si="202"/>
        <v>530825172</v>
      </c>
      <c r="G1009" s="1">
        <v>44615</v>
      </c>
      <c r="H1009" t="str">
        <f>"81337"</f>
        <v>81337</v>
      </c>
      <c r="I1009">
        <v>1</v>
      </c>
      <c r="J1009">
        <v>19</v>
      </c>
      <c r="K1009">
        <v>0</v>
      </c>
      <c r="L1009">
        <v>14.82</v>
      </c>
    </row>
    <row r="1010" spans="1:12" x14ac:dyDescent="0.25">
      <c r="A1010" t="str">
        <f t="shared" si="198"/>
        <v>89301000</v>
      </c>
      <c r="B1010" t="str">
        <f t="shared" si="200"/>
        <v>82083000</v>
      </c>
      <c r="C1010" t="str">
        <f t="shared" si="203"/>
        <v>82083102</v>
      </c>
      <c r="D1010" t="str">
        <f t="shared" si="204"/>
        <v>801</v>
      </c>
      <c r="E1010" t="str">
        <f t="shared" si="201"/>
        <v>89301167</v>
      </c>
      <c r="F1010" t="str">
        <f t="shared" si="202"/>
        <v>530825172</v>
      </c>
      <c r="G1010" s="1">
        <v>44615</v>
      </c>
      <c r="H1010" t="str">
        <f>"81357"</f>
        <v>81357</v>
      </c>
      <c r="I1010">
        <v>1</v>
      </c>
      <c r="J1010">
        <v>19</v>
      </c>
      <c r="K1010">
        <v>0</v>
      </c>
      <c r="L1010">
        <v>14.82</v>
      </c>
    </row>
    <row r="1011" spans="1:12" x14ac:dyDescent="0.25">
      <c r="A1011" t="str">
        <f t="shared" si="198"/>
        <v>89301000</v>
      </c>
      <c r="B1011" t="str">
        <f t="shared" si="200"/>
        <v>82083000</v>
      </c>
      <c r="C1011" t="str">
        <f t="shared" si="203"/>
        <v>82083102</v>
      </c>
      <c r="D1011" t="str">
        <f t="shared" si="204"/>
        <v>801</v>
      </c>
      <c r="E1011" t="str">
        <f t="shared" si="201"/>
        <v>89301167</v>
      </c>
      <c r="F1011" t="str">
        <f t="shared" si="202"/>
        <v>530825172</v>
      </c>
      <c r="G1011" s="1">
        <v>44615</v>
      </c>
      <c r="H1011" t="str">
        <f>"81361"</f>
        <v>81361</v>
      </c>
      <c r="I1011">
        <v>1</v>
      </c>
      <c r="J1011">
        <v>17</v>
      </c>
      <c r="K1011">
        <v>0</v>
      </c>
      <c r="L1011">
        <v>13.26</v>
      </c>
    </row>
    <row r="1012" spans="1:12" x14ac:dyDescent="0.25">
      <c r="A1012" t="str">
        <f t="shared" si="198"/>
        <v>89301000</v>
      </c>
      <c r="B1012" t="str">
        <f t="shared" si="200"/>
        <v>82083000</v>
      </c>
      <c r="C1012" t="str">
        <f t="shared" si="203"/>
        <v>82083102</v>
      </c>
      <c r="D1012" t="str">
        <f t="shared" si="204"/>
        <v>801</v>
      </c>
      <c r="E1012" t="str">
        <f t="shared" si="201"/>
        <v>89301167</v>
      </c>
      <c r="F1012" t="str">
        <f t="shared" si="202"/>
        <v>530825172</v>
      </c>
      <c r="G1012" s="1">
        <v>44615</v>
      </c>
      <c r="H1012" t="str">
        <f>"81383"</f>
        <v>81383</v>
      </c>
      <c r="I1012">
        <v>1</v>
      </c>
      <c r="J1012">
        <v>23</v>
      </c>
      <c r="K1012">
        <v>0</v>
      </c>
      <c r="L1012">
        <v>17.940000000000001</v>
      </c>
    </row>
    <row r="1013" spans="1:12" x14ac:dyDescent="0.25">
      <c r="A1013" t="str">
        <f t="shared" si="198"/>
        <v>89301000</v>
      </c>
      <c r="B1013" t="str">
        <f t="shared" si="200"/>
        <v>82083000</v>
      </c>
      <c r="C1013" t="str">
        <f t="shared" si="203"/>
        <v>82083102</v>
      </c>
      <c r="D1013" t="str">
        <f t="shared" si="204"/>
        <v>801</v>
      </c>
      <c r="E1013" t="str">
        <f t="shared" si="201"/>
        <v>89301167</v>
      </c>
      <c r="F1013" t="str">
        <f t="shared" si="202"/>
        <v>530825172</v>
      </c>
      <c r="G1013" s="1">
        <v>44615</v>
      </c>
      <c r="H1013" t="str">
        <f>"81393"</f>
        <v>81393</v>
      </c>
      <c r="I1013">
        <v>1</v>
      </c>
      <c r="J1013">
        <v>24</v>
      </c>
      <c r="K1013">
        <v>0</v>
      </c>
      <c r="L1013">
        <v>18.72</v>
      </c>
    </row>
    <row r="1014" spans="1:12" x14ac:dyDescent="0.25">
      <c r="A1014" t="str">
        <f t="shared" si="198"/>
        <v>89301000</v>
      </c>
      <c r="B1014" t="str">
        <f t="shared" si="200"/>
        <v>82083000</v>
      </c>
      <c r="C1014" t="str">
        <f t="shared" si="203"/>
        <v>82083102</v>
      </c>
      <c r="D1014" t="str">
        <f t="shared" si="204"/>
        <v>801</v>
      </c>
      <c r="E1014" t="str">
        <f t="shared" si="201"/>
        <v>89301167</v>
      </c>
      <c r="F1014" t="str">
        <f t="shared" si="202"/>
        <v>530825172</v>
      </c>
      <c r="G1014" s="1">
        <v>44615</v>
      </c>
      <c r="H1014" t="str">
        <f>"81421"</f>
        <v>81421</v>
      </c>
      <c r="I1014">
        <v>1</v>
      </c>
      <c r="J1014">
        <v>19</v>
      </c>
      <c r="K1014">
        <v>0</v>
      </c>
      <c r="L1014">
        <v>14.82</v>
      </c>
    </row>
    <row r="1015" spans="1:12" x14ac:dyDescent="0.25">
      <c r="A1015" t="str">
        <f t="shared" si="198"/>
        <v>89301000</v>
      </c>
      <c r="B1015" t="str">
        <f t="shared" si="200"/>
        <v>82083000</v>
      </c>
      <c r="C1015" t="str">
        <f t="shared" si="203"/>
        <v>82083102</v>
      </c>
      <c r="D1015" t="str">
        <f t="shared" si="204"/>
        <v>801</v>
      </c>
      <c r="E1015" t="str">
        <f t="shared" si="201"/>
        <v>89301167</v>
      </c>
      <c r="F1015" t="str">
        <f t="shared" si="202"/>
        <v>530825172</v>
      </c>
      <c r="G1015" s="1">
        <v>44615</v>
      </c>
      <c r="H1015" t="str">
        <f>"81435"</f>
        <v>81435</v>
      </c>
      <c r="I1015">
        <v>1</v>
      </c>
      <c r="J1015">
        <v>22</v>
      </c>
      <c r="K1015">
        <v>0</v>
      </c>
      <c r="L1015">
        <v>17.16</v>
      </c>
    </row>
    <row r="1016" spans="1:12" x14ac:dyDescent="0.25">
      <c r="A1016" t="str">
        <f t="shared" si="198"/>
        <v>89301000</v>
      </c>
      <c r="B1016" t="str">
        <f t="shared" si="200"/>
        <v>82083000</v>
      </c>
      <c r="C1016" t="str">
        <f t="shared" si="203"/>
        <v>82083102</v>
      </c>
      <c r="D1016" t="str">
        <f t="shared" si="204"/>
        <v>801</v>
      </c>
      <c r="E1016" t="str">
        <f t="shared" si="201"/>
        <v>89301167</v>
      </c>
      <c r="F1016" t="str">
        <f t="shared" si="202"/>
        <v>530825172</v>
      </c>
      <c r="G1016" s="1">
        <v>44615</v>
      </c>
      <c r="H1016" t="str">
        <f>"81439"</f>
        <v>81439</v>
      </c>
      <c r="I1016">
        <v>1</v>
      </c>
      <c r="J1016">
        <v>16</v>
      </c>
      <c r="K1016">
        <v>0</v>
      </c>
      <c r="L1016">
        <v>12.48</v>
      </c>
    </row>
    <row r="1017" spans="1:12" x14ac:dyDescent="0.25">
      <c r="A1017" t="str">
        <f t="shared" si="198"/>
        <v>89301000</v>
      </c>
      <c r="B1017" t="str">
        <f t="shared" si="200"/>
        <v>82083000</v>
      </c>
      <c r="C1017" t="str">
        <f t="shared" si="203"/>
        <v>82083102</v>
      </c>
      <c r="D1017" t="str">
        <f t="shared" si="204"/>
        <v>801</v>
      </c>
      <c r="E1017" t="str">
        <f t="shared" si="201"/>
        <v>89301167</v>
      </c>
      <c r="F1017" t="str">
        <f t="shared" si="202"/>
        <v>530825172</v>
      </c>
      <c r="G1017" s="1">
        <v>44615</v>
      </c>
      <c r="H1017" t="str">
        <f>"81469"</f>
        <v>81469</v>
      </c>
      <c r="I1017">
        <v>1</v>
      </c>
      <c r="J1017">
        <v>16</v>
      </c>
      <c r="K1017">
        <v>0</v>
      </c>
      <c r="L1017">
        <v>12.48</v>
      </c>
    </row>
    <row r="1018" spans="1:12" x14ac:dyDescent="0.25">
      <c r="A1018" t="str">
        <f t="shared" si="198"/>
        <v>89301000</v>
      </c>
      <c r="B1018" t="str">
        <f t="shared" si="200"/>
        <v>82083000</v>
      </c>
      <c r="C1018" t="str">
        <f t="shared" si="203"/>
        <v>82083102</v>
      </c>
      <c r="D1018" t="str">
        <f t="shared" si="204"/>
        <v>801</v>
      </c>
      <c r="E1018" t="str">
        <f t="shared" si="201"/>
        <v>89301167</v>
      </c>
      <c r="F1018" t="str">
        <f t="shared" si="202"/>
        <v>530825172</v>
      </c>
      <c r="G1018" s="1">
        <v>44615</v>
      </c>
      <c r="H1018" t="str">
        <f>"81499"</f>
        <v>81499</v>
      </c>
      <c r="I1018">
        <v>1</v>
      </c>
      <c r="J1018">
        <v>18</v>
      </c>
      <c r="K1018">
        <v>0</v>
      </c>
      <c r="L1018">
        <v>14.04</v>
      </c>
    </row>
    <row r="1019" spans="1:12" x14ac:dyDescent="0.25">
      <c r="A1019" t="str">
        <f t="shared" si="198"/>
        <v>89301000</v>
      </c>
      <c r="B1019" t="str">
        <f t="shared" si="200"/>
        <v>82083000</v>
      </c>
      <c r="C1019" t="str">
        <f t="shared" si="203"/>
        <v>82083102</v>
      </c>
      <c r="D1019" t="str">
        <f t="shared" si="204"/>
        <v>801</v>
      </c>
      <c r="E1019" t="str">
        <f t="shared" si="201"/>
        <v>89301167</v>
      </c>
      <c r="F1019" t="str">
        <f t="shared" si="202"/>
        <v>530825172</v>
      </c>
      <c r="G1019" s="1">
        <v>44615</v>
      </c>
      <c r="H1019" t="str">
        <f>"81593"</f>
        <v>81593</v>
      </c>
      <c r="I1019">
        <v>1</v>
      </c>
      <c r="J1019">
        <v>22</v>
      </c>
      <c r="K1019">
        <v>0</v>
      </c>
      <c r="L1019">
        <v>17.16</v>
      </c>
    </row>
    <row r="1020" spans="1:12" x14ac:dyDescent="0.25">
      <c r="A1020" t="str">
        <f t="shared" si="198"/>
        <v>89301000</v>
      </c>
      <c r="B1020" t="str">
        <f t="shared" si="200"/>
        <v>82083000</v>
      </c>
      <c r="C1020" t="str">
        <f t="shared" si="203"/>
        <v>82083102</v>
      </c>
      <c r="D1020" t="str">
        <f t="shared" si="204"/>
        <v>801</v>
      </c>
      <c r="E1020" t="str">
        <f t="shared" si="201"/>
        <v>89301167</v>
      </c>
      <c r="F1020" t="str">
        <f t="shared" si="202"/>
        <v>530825172</v>
      </c>
      <c r="G1020" s="1">
        <v>44615</v>
      </c>
      <c r="H1020" t="str">
        <f>"81621"</f>
        <v>81621</v>
      </c>
      <c r="I1020">
        <v>1</v>
      </c>
      <c r="J1020">
        <v>19</v>
      </c>
      <c r="K1020">
        <v>0</v>
      </c>
      <c r="L1020">
        <v>14.82</v>
      </c>
    </row>
    <row r="1021" spans="1:12" x14ac:dyDescent="0.25">
      <c r="A1021" t="str">
        <f t="shared" si="198"/>
        <v>89301000</v>
      </c>
      <c r="B1021" t="str">
        <f t="shared" si="200"/>
        <v>82083000</v>
      </c>
      <c r="C1021" t="str">
        <f t="shared" si="203"/>
        <v>82083102</v>
      </c>
      <c r="D1021" t="str">
        <f t="shared" si="204"/>
        <v>801</v>
      </c>
      <c r="E1021" t="str">
        <f t="shared" si="201"/>
        <v>89301167</v>
      </c>
      <c r="F1021" t="str">
        <f t="shared" si="202"/>
        <v>530825172</v>
      </c>
      <c r="G1021" s="1">
        <v>44615</v>
      </c>
      <c r="H1021" t="str">
        <f>"81625"</f>
        <v>81625</v>
      </c>
      <c r="I1021">
        <v>1</v>
      </c>
      <c r="J1021">
        <v>20</v>
      </c>
      <c r="K1021">
        <v>0</v>
      </c>
      <c r="L1021">
        <v>15.6</v>
      </c>
    </row>
    <row r="1022" spans="1:12" x14ac:dyDescent="0.25">
      <c r="A1022" t="str">
        <f t="shared" si="198"/>
        <v>89301000</v>
      </c>
      <c r="B1022" t="str">
        <f t="shared" si="200"/>
        <v>82083000</v>
      </c>
      <c r="C1022" t="str">
        <f t="shared" si="203"/>
        <v>82083102</v>
      </c>
      <c r="D1022" t="str">
        <f t="shared" si="204"/>
        <v>801</v>
      </c>
      <c r="E1022" t="str">
        <f t="shared" si="201"/>
        <v>89301167</v>
      </c>
      <c r="F1022" t="str">
        <f t="shared" si="202"/>
        <v>530825172</v>
      </c>
      <c r="G1022" s="1">
        <v>44615</v>
      </c>
      <c r="H1022" t="str">
        <f>"91153"</f>
        <v>91153</v>
      </c>
      <c r="I1022">
        <v>1</v>
      </c>
      <c r="J1022">
        <v>152</v>
      </c>
      <c r="K1022">
        <v>0</v>
      </c>
      <c r="L1022">
        <v>118.56</v>
      </c>
    </row>
    <row r="1023" spans="1:12" x14ac:dyDescent="0.25">
      <c r="A1023" t="str">
        <f t="shared" si="198"/>
        <v>89301000</v>
      </c>
      <c r="B1023" t="str">
        <f t="shared" si="200"/>
        <v>82083000</v>
      </c>
      <c r="C1023" t="str">
        <f t="shared" si="203"/>
        <v>82083102</v>
      </c>
      <c r="D1023" t="str">
        <f t="shared" si="204"/>
        <v>801</v>
      </c>
      <c r="E1023" t="str">
        <f t="shared" si="201"/>
        <v>89301167</v>
      </c>
      <c r="F1023" t="str">
        <f t="shared" si="202"/>
        <v>530825172</v>
      </c>
      <c r="G1023" s="1">
        <v>44615</v>
      </c>
      <c r="H1023" t="str">
        <f>"96165"</f>
        <v>96165</v>
      </c>
      <c r="I1023">
        <v>1</v>
      </c>
      <c r="J1023">
        <v>47</v>
      </c>
      <c r="K1023">
        <v>0</v>
      </c>
      <c r="L1023">
        <v>36.659999999999997</v>
      </c>
    </row>
    <row r="1024" spans="1:12" x14ac:dyDescent="0.25">
      <c r="A1024" t="str">
        <f t="shared" si="198"/>
        <v>89301000</v>
      </c>
      <c r="B1024" t="str">
        <f t="shared" si="200"/>
        <v>82083000</v>
      </c>
      <c r="C1024" t="str">
        <f t="shared" si="203"/>
        <v>82083102</v>
      </c>
      <c r="D1024" t="str">
        <f t="shared" si="204"/>
        <v>801</v>
      </c>
      <c r="E1024" t="str">
        <f t="shared" si="201"/>
        <v>89301167</v>
      </c>
      <c r="F1024" t="str">
        <f t="shared" si="202"/>
        <v>530825172</v>
      </c>
      <c r="G1024" s="1">
        <v>44615</v>
      </c>
      <c r="H1024" t="str">
        <f>"97111"</f>
        <v>97111</v>
      </c>
      <c r="I1024">
        <v>1</v>
      </c>
      <c r="J1024">
        <v>18</v>
      </c>
      <c r="K1024">
        <v>0</v>
      </c>
      <c r="L1024">
        <v>14.04</v>
      </c>
    </row>
    <row r="1025" spans="1:12" x14ac:dyDescent="0.25">
      <c r="A1025" t="str">
        <f t="shared" si="198"/>
        <v>89301000</v>
      </c>
      <c r="B1025" t="str">
        <f t="shared" si="200"/>
        <v>82083000</v>
      </c>
      <c r="C1025" t="str">
        <f t="shared" si="203"/>
        <v>82083102</v>
      </c>
      <c r="D1025" t="str">
        <f t="shared" si="204"/>
        <v>801</v>
      </c>
      <c r="E1025" t="str">
        <f t="shared" si="201"/>
        <v>89301167</v>
      </c>
      <c r="F1025" t="str">
        <f t="shared" si="202"/>
        <v>530825172</v>
      </c>
      <c r="G1025" s="1">
        <v>44601</v>
      </c>
      <c r="H1025" t="str">
        <f>"09119"</f>
        <v>09119</v>
      </c>
      <c r="I1025">
        <v>1</v>
      </c>
      <c r="J1025">
        <v>42</v>
      </c>
      <c r="K1025">
        <v>0</v>
      </c>
      <c r="L1025">
        <v>32.76</v>
      </c>
    </row>
    <row r="1026" spans="1:12" x14ac:dyDescent="0.25">
      <c r="A1026" t="str">
        <f t="shared" ref="A1026:A1089" si="205">"89301000"</f>
        <v>89301000</v>
      </c>
      <c r="B1026" t="str">
        <f t="shared" si="200"/>
        <v>82083000</v>
      </c>
      <c r="C1026" t="str">
        <f t="shared" si="203"/>
        <v>82083102</v>
      </c>
      <c r="D1026" t="str">
        <f t="shared" si="204"/>
        <v>801</v>
      </c>
      <c r="E1026" t="str">
        <f t="shared" si="201"/>
        <v>89301167</v>
      </c>
      <c r="F1026" t="str">
        <f t="shared" si="202"/>
        <v>530825172</v>
      </c>
      <c r="G1026" s="1">
        <v>44601</v>
      </c>
      <c r="H1026" t="str">
        <f>"96165"</f>
        <v>96165</v>
      </c>
      <c r="I1026">
        <v>1</v>
      </c>
      <c r="J1026">
        <v>47</v>
      </c>
      <c r="K1026">
        <v>0</v>
      </c>
      <c r="L1026">
        <v>36.659999999999997</v>
      </c>
    </row>
    <row r="1027" spans="1:12" x14ac:dyDescent="0.25">
      <c r="A1027" t="str">
        <f t="shared" si="205"/>
        <v>89301000</v>
      </c>
      <c r="B1027" t="str">
        <f t="shared" si="200"/>
        <v>82083000</v>
      </c>
      <c r="C1027" t="str">
        <f t="shared" si="203"/>
        <v>82083102</v>
      </c>
      <c r="D1027" t="str">
        <f t="shared" si="204"/>
        <v>801</v>
      </c>
      <c r="E1027" t="str">
        <f t="shared" si="201"/>
        <v>89301167</v>
      </c>
      <c r="F1027" t="str">
        <f t="shared" si="202"/>
        <v>530825172</v>
      </c>
      <c r="G1027" s="1">
        <v>44601</v>
      </c>
      <c r="H1027" t="str">
        <f>"96315"</f>
        <v>96315</v>
      </c>
      <c r="I1027">
        <v>1</v>
      </c>
      <c r="J1027">
        <v>29</v>
      </c>
      <c r="K1027">
        <v>0</v>
      </c>
      <c r="L1027">
        <v>22.62</v>
      </c>
    </row>
    <row r="1028" spans="1:12" x14ac:dyDescent="0.25">
      <c r="A1028" t="str">
        <f t="shared" si="205"/>
        <v>89301000</v>
      </c>
      <c r="B1028" t="str">
        <f t="shared" si="200"/>
        <v>82083000</v>
      </c>
      <c r="C1028" t="str">
        <f t="shared" si="203"/>
        <v>82083102</v>
      </c>
      <c r="D1028" t="str">
        <f t="shared" si="204"/>
        <v>801</v>
      </c>
      <c r="E1028" t="str">
        <f t="shared" si="201"/>
        <v>89301167</v>
      </c>
      <c r="F1028" t="str">
        <f t="shared" si="202"/>
        <v>530825172</v>
      </c>
      <c r="G1028" s="1">
        <v>44601</v>
      </c>
      <c r="H1028" t="str">
        <f>"96711"</f>
        <v>96711</v>
      </c>
      <c r="I1028">
        <v>1</v>
      </c>
      <c r="J1028">
        <v>27</v>
      </c>
      <c r="K1028">
        <v>0</v>
      </c>
      <c r="L1028">
        <v>21.06</v>
      </c>
    </row>
    <row r="1029" spans="1:12" x14ac:dyDescent="0.25">
      <c r="A1029" t="str">
        <f t="shared" si="205"/>
        <v>89301000</v>
      </c>
      <c r="B1029" t="str">
        <f t="shared" si="200"/>
        <v>82083000</v>
      </c>
      <c r="C1029" t="str">
        <f t="shared" si="203"/>
        <v>82083102</v>
      </c>
      <c r="D1029" t="str">
        <f t="shared" si="204"/>
        <v>801</v>
      </c>
      <c r="E1029" t="str">
        <f t="shared" si="201"/>
        <v>89301167</v>
      </c>
      <c r="F1029" t="str">
        <f t="shared" si="202"/>
        <v>530825172</v>
      </c>
      <c r="G1029" s="1">
        <v>44601</v>
      </c>
      <c r="H1029" t="str">
        <f>"96713"</f>
        <v>96713</v>
      </c>
      <c r="I1029">
        <v>1</v>
      </c>
      <c r="J1029">
        <v>14</v>
      </c>
      <c r="K1029">
        <v>0</v>
      </c>
      <c r="L1029">
        <v>10.92</v>
      </c>
    </row>
    <row r="1030" spans="1:12" x14ac:dyDescent="0.25">
      <c r="A1030" t="str">
        <f t="shared" si="205"/>
        <v>89301000</v>
      </c>
      <c r="B1030" t="str">
        <f t="shared" si="200"/>
        <v>82083000</v>
      </c>
      <c r="C1030" t="str">
        <f t="shared" si="203"/>
        <v>82083102</v>
      </c>
      <c r="D1030" t="str">
        <f t="shared" si="204"/>
        <v>801</v>
      </c>
      <c r="E1030" t="str">
        <f t="shared" si="201"/>
        <v>89301167</v>
      </c>
      <c r="F1030" t="str">
        <f t="shared" si="202"/>
        <v>530825172</v>
      </c>
      <c r="G1030" s="1">
        <v>44587</v>
      </c>
      <c r="H1030" t="str">
        <f>"09119"</f>
        <v>09119</v>
      </c>
      <c r="I1030">
        <v>1</v>
      </c>
      <c r="J1030">
        <v>42</v>
      </c>
      <c r="K1030">
        <v>0</v>
      </c>
      <c r="L1030">
        <v>32.76</v>
      </c>
    </row>
    <row r="1031" spans="1:12" x14ac:dyDescent="0.25">
      <c r="A1031" t="str">
        <f t="shared" si="205"/>
        <v>89301000</v>
      </c>
      <c r="B1031" t="str">
        <f t="shared" si="200"/>
        <v>82083000</v>
      </c>
      <c r="C1031" t="str">
        <f t="shared" si="203"/>
        <v>82083102</v>
      </c>
      <c r="D1031" t="str">
        <f t="shared" si="204"/>
        <v>801</v>
      </c>
      <c r="E1031" t="str">
        <f t="shared" si="201"/>
        <v>89301167</v>
      </c>
      <c r="F1031" t="str">
        <f t="shared" si="202"/>
        <v>530825172</v>
      </c>
      <c r="G1031" s="1">
        <v>44587</v>
      </c>
      <c r="H1031" t="str">
        <f>"96165"</f>
        <v>96165</v>
      </c>
      <c r="I1031">
        <v>1</v>
      </c>
      <c r="J1031">
        <v>47</v>
      </c>
      <c r="K1031">
        <v>0</v>
      </c>
      <c r="L1031">
        <v>36.659999999999997</v>
      </c>
    </row>
    <row r="1032" spans="1:12" x14ac:dyDescent="0.25">
      <c r="A1032" t="str">
        <f t="shared" si="205"/>
        <v>89301000</v>
      </c>
      <c r="B1032" t="str">
        <f t="shared" si="200"/>
        <v>82083000</v>
      </c>
      <c r="C1032" t="str">
        <f t="shared" si="203"/>
        <v>82083102</v>
      </c>
      <c r="D1032" t="str">
        <f t="shared" si="204"/>
        <v>801</v>
      </c>
      <c r="E1032" t="str">
        <f t="shared" si="201"/>
        <v>89301167</v>
      </c>
      <c r="F1032" t="str">
        <f t="shared" si="202"/>
        <v>530825172</v>
      </c>
      <c r="G1032" s="1">
        <v>44587</v>
      </c>
      <c r="H1032" t="str">
        <f>"96315"</f>
        <v>96315</v>
      </c>
      <c r="I1032">
        <v>1</v>
      </c>
      <c r="J1032">
        <v>29</v>
      </c>
      <c r="K1032">
        <v>0</v>
      </c>
      <c r="L1032">
        <v>22.62</v>
      </c>
    </row>
    <row r="1033" spans="1:12" x14ac:dyDescent="0.25">
      <c r="A1033" t="str">
        <f t="shared" si="205"/>
        <v>89301000</v>
      </c>
      <c r="B1033" t="str">
        <f t="shared" si="200"/>
        <v>82083000</v>
      </c>
      <c r="C1033" t="str">
        <f t="shared" si="203"/>
        <v>82083102</v>
      </c>
      <c r="D1033" t="str">
        <f t="shared" si="204"/>
        <v>801</v>
      </c>
      <c r="E1033" t="str">
        <f t="shared" si="201"/>
        <v>89301167</v>
      </c>
      <c r="F1033" t="str">
        <f t="shared" si="202"/>
        <v>530825172</v>
      </c>
      <c r="G1033" s="1">
        <v>44587</v>
      </c>
      <c r="H1033" t="str">
        <f>"96711"</f>
        <v>96711</v>
      </c>
      <c r="I1033">
        <v>1</v>
      </c>
      <c r="J1033">
        <v>27</v>
      </c>
      <c r="K1033">
        <v>0</v>
      </c>
      <c r="L1033">
        <v>21.06</v>
      </c>
    </row>
    <row r="1034" spans="1:12" x14ac:dyDescent="0.25">
      <c r="A1034" t="str">
        <f t="shared" si="205"/>
        <v>89301000</v>
      </c>
      <c r="B1034" t="str">
        <f t="shared" si="200"/>
        <v>82083000</v>
      </c>
      <c r="C1034" t="str">
        <f t="shared" si="203"/>
        <v>82083102</v>
      </c>
      <c r="D1034" t="str">
        <f t="shared" si="204"/>
        <v>801</v>
      </c>
      <c r="E1034" t="str">
        <f t="shared" si="201"/>
        <v>89301167</v>
      </c>
      <c r="F1034" t="str">
        <f t="shared" si="202"/>
        <v>530825172</v>
      </c>
      <c r="G1034" s="1">
        <v>44587</v>
      </c>
      <c r="H1034" t="str">
        <f>"96713"</f>
        <v>96713</v>
      </c>
      <c r="I1034">
        <v>1</v>
      </c>
      <c r="J1034">
        <v>14</v>
      </c>
      <c r="K1034">
        <v>0</v>
      </c>
      <c r="L1034">
        <v>10.92</v>
      </c>
    </row>
    <row r="1035" spans="1:12" x14ac:dyDescent="0.25">
      <c r="A1035" t="str">
        <f t="shared" si="205"/>
        <v>89301000</v>
      </c>
      <c r="B1035" t="str">
        <f t="shared" si="200"/>
        <v>82083000</v>
      </c>
      <c r="C1035" t="str">
        <f t="shared" si="203"/>
        <v>82083102</v>
      </c>
      <c r="D1035" t="str">
        <f t="shared" si="204"/>
        <v>801</v>
      </c>
      <c r="E1035" t="str">
        <f t="shared" si="201"/>
        <v>89301167</v>
      </c>
      <c r="F1035" t="str">
        <f t="shared" si="202"/>
        <v>530825172</v>
      </c>
      <c r="G1035" s="1">
        <v>44587</v>
      </c>
      <c r="H1035" t="str">
        <f>"97111"</f>
        <v>97111</v>
      </c>
      <c r="I1035">
        <v>1</v>
      </c>
      <c r="J1035">
        <v>18</v>
      </c>
      <c r="K1035">
        <v>0</v>
      </c>
      <c r="L1035">
        <v>14.04</v>
      </c>
    </row>
    <row r="1036" spans="1:12" x14ac:dyDescent="0.25">
      <c r="A1036" t="str">
        <f t="shared" si="205"/>
        <v>89301000</v>
      </c>
      <c r="B1036" t="str">
        <f>"93223000"</f>
        <v>93223000</v>
      </c>
      <c r="C1036" t="str">
        <f>"93223001"</f>
        <v>93223001</v>
      </c>
      <c r="D1036" t="str">
        <f>"809"</f>
        <v>809</v>
      </c>
      <c r="E1036" t="str">
        <f>"89301042"</f>
        <v>89301042</v>
      </c>
      <c r="F1036" t="str">
        <f>"6007150853"</f>
        <v>6007150853</v>
      </c>
      <c r="G1036" s="1">
        <v>44610</v>
      </c>
      <c r="H1036" t="str">
        <f>"89513"</f>
        <v>89513</v>
      </c>
      <c r="I1036">
        <v>1</v>
      </c>
      <c r="J1036">
        <v>371</v>
      </c>
      <c r="K1036">
        <v>0</v>
      </c>
      <c r="L1036">
        <v>519.4</v>
      </c>
    </row>
    <row r="1037" spans="1:12" x14ac:dyDescent="0.25">
      <c r="A1037" t="str">
        <f t="shared" si="205"/>
        <v>89301000</v>
      </c>
      <c r="B1037" t="str">
        <f>"93223000"</f>
        <v>93223000</v>
      </c>
      <c r="C1037" t="str">
        <f>"93223001"</f>
        <v>93223001</v>
      </c>
      <c r="D1037" t="str">
        <f>"809"</f>
        <v>809</v>
      </c>
      <c r="E1037" t="str">
        <f>"89301042"</f>
        <v>89301042</v>
      </c>
      <c r="F1037" t="str">
        <f>"6007150853"</f>
        <v>6007150853</v>
      </c>
      <c r="G1037" s="1">
        <v>44610</v>
      </c>
      <c r="H1037" t="str">
        <f>"89514"</f>
        <v>89514</v>
      </c>
      <c r="I1037">
        <v>1</v>
      </c>
      <c r="J1037">
        <v>371</v>
      </c>
      <c r="K1037">
        <v>0</v>
      </c>
      <c r="L1037">
        <v>519.4</v>
      </c>
    </row>
    <row r="1038" spans="1:12" x14ac:dyDescent="0.25">
      <c r="A1038" t="str">
        <f t="shared" si="205"/>
        <v>89301000</v>
      </c>
      <c r="B1038" t="str">
        <f>"02384000"</f>
        <v>02384000</v>
      </c>
      <c r="C1038" t="str">
        <f>"02384006"</f>
        <v>02384006</v>
      </c>
      <c r="D1038" t="str">
        <f>"809"</f>
        <v>809</v>
      </c>
      <c r="E1038" t="str">
        <f>"89301212"</f>
        <v>89301212</v>
      </c>
      <c r="F1038" t="str">
        <f>"7552173519"</f>
        <v>7552173519</v>
      </c>
      <c r="G1038" s="1">
        <v>44617</v>
      </c>
      <c r="H1038" t="str">
        <f>"89131"</f>
        <v>89131</v>
      </c>
      <c r="I1038">
        <v>1</v>
      </c>
      <c r="J1038">
        <v>187</v>
      </c>
      <c r="K1038">
        <v>0</v>
      </c>
      <c r="L1038">
        <v>261.8</v>
      </c>
    </row>
    <row r="1039" spans="1:12" x14ac:dyDescent="0.25">
      <c r="A1039" t="str">
        <f t="shared" si="205"/>
        <v>89301000</v>
      </c>
      <c r="B1039" t="str">
        <f t="shared" ref="B1039:B1066" si="206">"89148000"</f>
        <v>89148000</v>
      </c>
      <c r="C1039" t="str">
        <f t="shared" ref="C1039:C1066" si="207">"89148212"</f>
        <v>89148212</v>
      </c>
      <c r="D1039" t="str">
        <f t="shared" ref="D1039:D1066" si="208">"801"</f>
        <v>801</v>
      </c>
      <c r="E1039" t="str">
        <f t="shared" ref="E1039:E1059" si="209">"89301167"</f>
        <v>89301167</v>
      </c>
      <c r="F1039" t="str">
        <f t="shared" ref="F1039:F1059" si="210">"5561301526"</f>
        <v>5561301526</v>
      </c>
      <c r="G1039" s="1">
        <v>44564</v>
      </c>
      <c r="H1039" t="str">
        <f>"09119"</f>
        <v>09119</v>
      </c>
      <c r="I1039">
        <v>1</v>
      </c>
      <c r="J1039">
        <v>42</v>
      </c>
      <c r="K1039">
        <v>0</v>
      </c>
      <c r="L1039">
        <v>32.76</v>
      </c>
    </row>
    <row r="1040" spans="1:12" x14ac:dyDescent="0.25">
      <c r="A1040" t="str">
        <f t="shared" si="205"/>
        <v>89301000</v>
      </c>
      <c r="B1040" t="str">
        <f t="shared" si="206"/>
        <v>89148000</v>
      </c>
      <c r="C1040" t="str">
        <f t="shared" si="207"/>
        <v>89148212</v>
      </c>
      <c r="D1040" t="str">
        <f t="shared" si="208"/>
        <v>801</v>
      </c>
      <c r="E1040" t="str">
        <f t="shared" si="209"/>
        <v>89301167</v>
      </c>
      <c r="F1040" t="str">
        <f t="shared" si="210"/>
        <v>5561301526</v>
      </c>
      <c r="G1040" s="1">
        <v>44564</v>
      </c>
      <c r="H1040" t="str">
        <f>"81249"</f>
        <v>81249</v>
      </c>
      <c r="I1040">
        <v>1</v>
      </c>
      <c r="J1040">
        <v>333</v>
      </c>
      <c r="K1040">
        <v>0</v>
      </c>
      <c r="L1040">
        <v>259.74</v>
      </c>
    </row>
    <row r="1041" spans="1:12" x14ac:dyDescent="0.25">
      <c r="A1041" t="str">
        <f t="shared" si="205"/>
        <v>89301000</v>
      </c>
      <c r="B1041" t="str">
        <f t="shared" si="206"/>
        <v>89148000</v>
      </c>
      <c r="C1041" t="str">
        <f t="shared" si="207"/>
        <v>89148212</v>
      </c>
      <c r="D1041" t="str">
        <f t="shared" si="208"/>
        <v>801</v>
      </c>
      <c r="E1041" t="str">
        <f t="shared" si="209"/>
        <v>89301167</v>
      </c>
      <c r="F1041" t="str">
        <f t="shared" si="210"/>
        <v>5561301526</v>
      </c>
      <c r="G1041" s="1">
        <v>44564</v>
      </c>
      <c r="H1041" t="str">
        <f>"81329"</f>
        <v>81329</v>
      </c>
      <c r="I1041">
        <v>1</v>
      </c>
      <c r="J1041">
        <v>16</v>
      </c>
      <c r="K1041">
        <v>0</v>
      </c>
      <c r="L1041">
        <v>12.48</v>
      </c>
    </row>
    <row r="1042" spans="1:12" x14ac:dyDescent="0.25">
      <c r="A1042" t="str">
        <f t="shared" si="205"/>
        <v>89301000</v>
      </c>
      <c r="B1042" t="str">
        <f t="shared" si="206"/>
        <v>89148000</v>
      </c>
      <c r="C1042" t="str">
        <f t="shared" si="207"/>
        <v>89148212</v>
      </c>
      <c r="D1042" t="str">
        <f t="shared" si="208"/>
        <v>801</v>
      </c>
      <c r="E1042" t="str">
        <f t="shared" si="209"/>
        <v>89301167</v>
      </c>
      <c r="F1042" t="str">
        <f t="shared" si="210"/>
        <v>5561301526</v>
      </c>
      <c r="G1042" s="1">
        <v>44564</v>
      </c>
      <c r="H1042" t="str">
        <f>"81337"</f>
        <v>81337</v>
      </c>
      <c r="I1042">
        <v>1</v>
      </c>
      <c r="J1042">
        <v>19</v>
      </c>
      <c r="K1042">
        <v>0</v>
      </c>
      <c r="L1042">
        <v>14.82</v>
      </c>
    </row>
    <row r="1043" spans="1:12" x14ac:dyDescent="0.25">
      <c r="A1043" t="str">
        <f t="shared" si="205"/>
        <v>89301000</v>
      </c>
      <c r="B1043" t="str">
        <f t="shared" si="206"/>
        <v>89148000</v>
      </c>
      <c r="C1043" t="str">
        <f t="shared" si="207"/>
        <v>89148212</v>
      </c>
      <c r="D1043" t="str">
        <f t="shared" si="208"/>
        <v>801</v>
      </c>
      <c r="E1043" t="str">
        <f t="shared" si="209"/>
        <v>89301167</v>
      </c>
      <c r="F1043" t="str">
        <f t="shared" si="210"/>
        <v>5561301526</v>
      </c>
      <c r="G1043" s="1">
        <v>44564</v>
      </c>
      <c r="H1043" t="str">
        <f>"81357"</f>
        <v>81357</v>
      </c>
      <c r="I1043">
        <v>1</v>
      </c>
      <c r="J1043">
        <v>19</v>
      </c>
      <c r="K1043">
        <v>0</v>
      </c>
      <c r="L1043">
        <v>14.82</v>
      </c>
    </row>
    <row r="1044" spans="1:12" x14ac:dyDescent="0.25">
      <c r="A1044" t="str">
        <f t="shared" si="205"/>
        <v>89301000</v>
      </c>
      <c r="B1044" t="str">
        <f t="shared" si="206"/>
        <v>89148000</v>
      </c>
      <c r="C1044" t="str">
        <f t="shared" si="207"/>
        <v>89148212</v>
      </c>
      <c r="D1044" t="str">
        <f t="shared" si="208"/>
        <v>801</v>
      </c>
      <c r="E1044" t="str">
        <f t="shared" si="209"/>
        <v>89301167</v>
      </c>
      <c r="F1044" t="str">
        <f t="shared" si="210"/>
        <v>5561301526</v>
      </c>
      <c r="G1044" s="1">
        <v>44564</v>
      </c>
      <c r="H1044" t="str">
        <f>"81361"</f>
        <v>81361</v>
      </c>
      <c r="I1044">
        <v>1</v>
      </c>
      <c r="J1044">
        <v>17</v>
      </c>
      <c r="K1044">
        <v>0</v>
      </c>
      <c r="L1044">
        <v>13.26</v>
      </c>
    </row>
    <row r="1045" spans="1:12" x14ac:dyDescent="0.25">
      <c r="A1045" t="str">
        <f t="shared" si="205"/>
        <v>89301000</v>
      </c>
      <c r="B1045" t="str">
        <f t="shared" si="206"/>
        <v>89148000</v>
      </c>
      <c r="C1045" t="str">
        <f t="shared" si="207"/>
        <v>89148212</v>
      </c>
      <c r="D1045" t="str">
        <f t="shared" si="208"/>
        <v>801</v>
      </c>
      <c r="E1045" t="str">
        <f t="shared" si="209"/>
        <v>89301167</v>
      </c>
      <c r="F1045" t="str">
        <f t="shared" si="210"/>
        <v>5561301526</v>
      </c>
      <c r="G1045" s="1">
        <v>44564</v>
      </c>
      <c r="H1045" t="str">
        <f>"81383"</f>
        <v>81383</v>
      </c>
      <c r="I1045">
        <v>1</v>
      </c>
      <c r="J1045">
        <v>23</v>
      </c>
      <c r="K1045">
        <v>0</v>
      </c>
      <c r="L1045">
        <v>17.940000000000001</v>
      </c>
    </row>
    <row r="1046" spans="1:12" x14ac:dyDescent="0.25">
      <c r="A1046" t="str">
        <f t="shared" si="205"/>
        <v>89301000</v>
      </c>
      <c r="B1046" t="str">
        <f t="shared" si="206"/>
        <v>89148000</v>
      </c>
      <c r="C1046" t="str">
        <f t="shared" si="207"/>
        <v>89148212</v>
      </c>
      <c r="D1046" t="str">
        <f t="shared" si="208"/>
        <v>801</v>
      </c>
      <c r="E1046" t="str">
        <f t="shared" si="209"/>
        <v>89301167</v>
      </c>
      <c r="F1046" t="str">
        <f t="shared" si="210"/>
        <v>5561301526</v>
      </c>
      <c r="G1046" s="1">
        <v>44564</v>
      </c>
      <c r="H1046" t="str">
        <f>"81393"</f>
        <v>81393</v>
      </c>
      <c r="I1046">
        <v>1</v>
      </c>
      <c r="J1046">
        <v>24</v>
      </c>
      <c r="K1046">
        <v>0</v>
      </c>
      <c r="L1046">
        <v>18.72</v>
      </c>
    </row>
    <row r="1047" spans="1:12" x14ac:dyDescent="0.25">
      <c r="A1047" t="str">
        <f t="shared" si="205"/>
        <v>89301000</v>
      </c>
      <c r="B1047" t="str">
        <f t="shared" si="206"/>
        <v>89148000</v>
      </c>
      <c r="C1047" t="str">
        <f t="shared" si="207"/>
        <v>89148212</v>
      </c>
      <c r="D1047" t="str">
        <f t="shared" si="208"/>
        <v>801</v>
      </c>
      <c r="E1047" t="str">
        <f t="shared" si="209"/>
        <v>89301167</v>
      </c>
      <c r="F1047" t="str">
        <f t="shared" si="210"/>
        <v>5561301526</v>
      </c>
      <c r="G1047" s="1">
        <v>44564</v>
      </c>
      <c r="H1047" t="str">
        <f>"81435"</f>
        <v>81435</v>
      </c>
      <c r="I1047">
        <v>1</v>
      </c>
      <c r="J1047">
        <v>22</v>
      </c>
      <c r="K1047">
        <v>0</v>
      </c>
      <c r="L1047">
        <v>17.16</v>
      </c>
    </row>
    <row r="1048" spans="1:12" x14ac:dyDescent="0.25">
      <c r="A1048" t="str">
        <f t="shared" si="205"/>
        <v>89301000</v>
      </c>
      <c r="B1048" t="str">
        <f t="shared" si="206"/>
        <v>89148000</v>
      </c>
      <c r="C1048" t="str">
        <f t="shared" si="207"/>
        <v>89148212</v>
      </c>
      <c r="D1048" t="str">
        <f t="shared" si="208"/>
        <v>801</v>
      </c>
      <c r="E1048" t="str">
        <f t="shared" si="209"/>
        <v>89301167</v>
      </c>
      <c r="F1048" t="str">
        <f t="shared" si="210"/>
        <v>5561301526</v>
      </c>
      <c r="G1048" s="1">
        <v>44564</v>
      </c>
      <c r="H1048" t="str">
        <f>"81439"</f>
        <v>81439</v>
      </c>
      <c r="I1048">
        <v>1</v>
      </c>
      <c r="J1048">
        <v>16</v>
      </c>
      <c r="K1048">
        <v>0</v>
      </c>
      <c r="L1048">
        <v>12.48</v>
      </c>
    </row>
    <row r="1049" spans="1:12" x14ac:dyDescent="0.25">
      <c r="A1049" t="str">
        <f t="shared" si="205"/>
        <v>89301000</v>
      </c>
      <c r="B1049" t="str">
        <f t="shared" si="206"/>
        <v>89148000</v>
      </c>
      <c r="C1049" t="str">
        <f t="shared" si="207"/>
        <v>89148212</v>
      </c>
      <c r="D1049" t="str">
        <f t="shared" si="208"/>
        <v>801</v>
      </c>
      <c r="E1049" t="str">
        <f t="shared" si="209"/>
        <v>89301167</v>
      </c>
      <c r="F1049" t="str">
        <f t="shared" si="210"/>
        <v>5561301526</v>
      </c>
      <c r="G1049" s="1">
        <v>44564</v>
      </c>
      <c r="H1049" t="str">
        <f>"81469"</f>
        <v>81469</v>
      </c>
      <c r="I1049">
        <v>1</v>
      </c>
      <c r="J1049">
        <v>16</v>
      </c>
      <c r="K1049">
        <v>0</v>
      </c>
      <c r="L1049">
        <v>12.48</v>
      </c>
    </row>
    <row r="1050" spans="1:12" x14ac:dyDescent="0.25">
      <c r="A1050" t="str">
        <f t="shared" si="205"/>
        <v>89301000</v>
      </c>
      <c r="B1050" t="str">
        <f t="shared" si="206"/>
        <v>89148000</v>
      </c>
      <c r="C1050" t="str">
        <f t="shared" si="207"/>
        <v>89148212</v>
      </c>
      <c r="D1050" t="str">
        <f t="shared" si="208"/>
        <v>801</v>
      </c>
      <c r="E1050" t="str">
        <f t="shared" si="209"/>
        <v>89301167</v>
      </c>
      <c r="F1050" t="str">
        <f t="shared" si="210"/>
        <v>5561301526</v>
      </c>
      <c r="G1050" s="1">
        <v>44564</v>
      </c>
      <c r="H1050" t="str">
        <f>"81499"</f>
        <v>81499</v>
      </c>
      <c r="I1050">
        <v>1</v>
      </c>
      <c r="J1050">
        <v>18</v>
      </c>
      <c r="K1050">
        <v>0</v>
      </c>
      <c r="L1050">
        <v>14.04</v>
      </c>
    </row>
    <row r="1051" spans="1:12" x14ac:dyDescent="0.25">
      <c r="A1051" t="str">
        <f t="shared" si="205"/>
        <v>89301000</v>
      </c>
      <c r="B1051" t="str">
        <f t="shared" si="206"/>
        <v>89148000</v>
      </c>
      <c r="C1051" t="str">
        <f t="shared" si="207"/>
        <v>89148212</v>
      </c>
      <c r="D1051" t="str">
        <f t="shared" si="208"/>
        <v>801</v>
      </c>
      <c r="E1051" t="str">
        <f t="shared" si="209"/>
        <v>89301167</v>
      </c>
      <c r="F1051" t="str">
        <f t="shared" si="210"/>
        <v>5561301526</v>
      </c>
      <c r="G1051" s="1">
        <v>44564</v>
      </c>
      <c r="H1051" t="str">
        <f>"81523"</f>
        <v>81523</v>
      </c>
      <c r="I1051">
        <v>1</v>
      </c>
      <c r="J1051">
        <v>23</v>
      </c>
      <c r="K1051">
        <v>0</v>
      </c>
      <c r="L1051">
        <v>17.940000000000001</v>
      </c>
    </row>
    <row r="1052" spans="1:12" x14ac:dyDescent="0.25">
      <c r="A1052" t="str">
        <f t="shared" si="205"/>
        <v>89301000</v>
      </c>
      <c r="B1052" t="str">
        <f t="shared" si="206"/>
        <v>89148000</v>
      </c>
      <c r="C1052" t="str">
        <f t="shared" si="207"/>
        <v>89148212</v>
      </c>
      <c r="D1052" t="str">
        <f t="shared" si="208"/>
        <v>801</v>
      </c>
      <c r="E1052" t="str">
        <f t="shared" si="209"/>
        <v>89301167</v>
      </c>
      <c r="F1052" t="str">
        <f t="shared" si="210"/>
        <v>5561301526</v>
      </c>
      <c r="G1052" s="1">
        <v>44564</v>
      </c>
      <c r="H1052" t="str">
        <f>"81593"</f>
        <v>81593</v>
      </c>
      <c r="I1052">
        <v>1</v>
      </c>
      <c r="J1052">
        <v>22</v>
      </c>
      <c r="K1052">
        <v>0</v>
      </c>
      <c r="L1052">
        <v>17.16</v>
      </c>
    </row>
    <row r="1053" spans="1:12" x14ac:dyDescent="0.25">
      <c r="A1053" t="str">
        <f t="shared" si="205"/>
        <v>89301000</v>
      </c>
      <c r="B1053" t="str">
        <f t="shared" si="206"/>
        <v>89148000</v>
      </c>
      <c r="C1053" t="str">
        <f t="shared" si="207"/>
        <v>89148212</v>
      </c>
      <c r="D1053" t="str">
        <f t="shared" si="208"/>
        <v>801</v>
      </c>
      <c r="E1053" t="str">
        <f t="shared" si="209"/>
        <v>89301167</v>
      </c>
      <c r="F1053" t="str">
        <f t="shared" si="210"/>
        <v>5561301526</v>
      </c>
      <c r="G1053" s="1">
        <v>44564</v>
      </c>
      <c r="H1053" t="str">
        <f>"81621"</f>
        <v>81621</v>
      </c>
      <c r="I1053">
        <v>1</v>
      </c>
      <c r="J1053">
        <v>19</v>
      </c>
      <c r="K1053">
        <v>0</v>
      </c>
      <c r="L1053">
        <v>14.82</v>
      </c>
    </row>
    <row r="1054" spans="1:12" x14ac:dyDescent="0.25">
      <c r="A1054" t="str">
        <f t="shared" si="205"/>
        <v>89301000</v>
      </c>
      <c r="B1054" t="str">
        <f t="shared" si="206"/>
        <v>89148000</v>
      </c>
      <c r="C1054" t="str">
        <f t="shared" si="207"/>
        <v>89148212</v>
      </c>
      <c r="D1054" t="str">
        <f t="shared" si="208"/>
        <v>801</v>
      </c>
      <c r="E1054" t="str">
        <f t="shared" si="209"/>
        <v>89301167</v>
      </c>
      <c r="F1054" t="str">
        <f t="shared" si="210"/>
        <v>5561301526</v>
      </c>
      <c r="G1054" s="1">
        <v>44564</v>
      </c>
      <c r="H1054" t="str">
        <f>"81625"</f>
        <v>81625</v>
      </c>
      <c r="I1054">
        <v>1</v>
      </c>
      <c r="J1054">
        <v>20</v>
      </c>
      <c r="K1054">
        <v>0</v>
      </c>
      <c r="L1054">
        <v>15.6</v>
      </c>
    </row>
    <row r="1055" spans="1:12" x14ac:dyDescent="0.25">
      <c r="A1055" t="str">
        <f t="shared" si="205"/>
        <v>89301000</v>
      </c>
      <c r="B1055" t="str">
        <f t="shared" si="206"/>
        <v>89148000</v>
      </c>
      <c r="C1055" t="str">
        <f t="shared" si="207"/>
        <v>89148212</v>
      </c>
      <c r="D1055" t="str">
        <f t="shared" si="208"/>
        <v>801</v>
      </c>
      <c r="E1055" t="str">
        <f t="shared" si="209"/>
        <v>89301167</v>
      </c>
      <c r="F1055" t="str">
        <f t="shared" si="210"/>
        <v>5561301526</v>
      </c>
      <c r="G1055" s="1">
        <v>44564</v>
      </c>
      <c r="H1055" t="str">
        <f>"91153"</f>
        <v>91153</v>
      </c>
      <c r="I1055">
        <v>1</v>
      </c>
      <c r="J1055">
        <v>152</v>
      </c>
      <c r="K1055">
        <v>0</v>
      </c>
      <c r="L1055">
        <v>118.56</v>
      </c>
    </row>
    <row r="1056" spans="1:12" x14ac:dyDescent="0.25">
      <c r="A1056" t="str">
        <f t="shared" si="205"/>
        <v>89301000</v>
      </c>
      <c r="B1056" t="str">
        <f t="shared" si="206"/>
        <v>89148000</v>
      </c>
      <c r="C1056" t="str">
        <f t="shared" si="207"/>
        <v>89148212</v>
      </c>
      <c r="D1056" t="str">
        <f t="shared" si="208"/>
        <v>801</v>
      </c>
      <c r="E1056" t="str">
        <f t="shared" si="209"/>
        <v>89301167</v>
      </c>
      <c r="F1056" t="str">
        <f t="shared" si="210"/>
        <v>5561301526</v>
      </c>
      <c r="G1056" s="1">
        <v>44564</v>
      </c>
      <c r="H1056" t="str">
        <f>"93189"</f>
        <v>93189</v>
      </c>
      <c r="I1056">
        <v>1</v>
      </c>
      <c r="J1056">
        <v>189</v>
      </c>
      <c r="K1056">
        <v>0</v>
      </c>
      <c r="L1056">
        <v>147.41999999999999</v>
      </c>
    </row>
    <row r="1057" spans="1:12" x14ac:dyDescent="0.25">
      <c r="A1057" t="str">
        <f t="shared" si="205"/>
        <v>89301000</v>
      </c>
      <c r="B1057" t="str">
        <f t="shared" si="206"/>
        <v>89148000</v>
      </c>
      <c r="C1057" t="str">
        <f t="shared" si="207"/>
        <v>89148212</v>
      </c>
      <c r="D1057" t="str">
        <f t="shared" si="208"/>
        <v>801</v>
      </c>
      <c r="E1057" t="str">
        <f t="shared" si="209"/>
        <v>89301167</v>
      </c>
      <c r="F1057" t="str">
        <f t="shared" si="210"/>
        <v>5561301526</v>
      </c>
      <c r="G1057" s="1">
        <v>44564</v>
      </c>
      <c r="H1057" t="str">
        <f>"93195"</f>
        <v>93195</v>
      </c>
      <c r="I1057">
        <v>1</v>
      </c>
      <c r="J1057">
        <v>181</v>
      </c>
      <c r="K1057">
        <v>0</v>
      </c>
      <c r="L1057">
        <v>141.18</v>
      </c>
    </row>
    <row r="1058" spans="1:12" x14ac:dyDescent="0.25">
      <c r="A1058" t="str">
        <f t="shared" si="205"/>
        <v>89301000</v>
      </c>
      <c r="B1058" t="str">
        <f t="shared" si="206"/>
        <v>89148000</v>
      </c>
      <c r="C1058" t="str">
        <f t="shared" si="207"/>
        <v>89148212</v>
      </c>
      <c r="D1058" t="str">
        <f t="shared" si="208"/>
        <v>801</v>
      </c>
      <c r="E1058" t="str">
        <f t="shared" si="209"/>
        <v>89301167</v>
      </c>
      <c r="F1058" t="str">
        <f t="shared" si="210"/>
        <v>5561301526</v>
      </c>
      <c r="G1058" s="1">
        <v>44564</v>
      </c>
      <c r="H1058" t="str">
        <f>"96163"</f>
        <v>96163</v>
      </c>
      <c r="I1058">
        <v>2</v>
      </c>
      <c r="J1058">
        <v>54</v>
      </c>
      <c r="K1058">
        <v>0</v>
      </c>
      <c r="L1058">
        <v>42.12</v>
      </c>
    </row>
    <row r="1059" spans="1:12" x14ac:dyDescent="0.25">
      <c r="A1059" t="str">
        <f t="shared" si="205"/>
        <v>89301000</v>
      </c>
      <c r="B1059" t="str">
        <f t="shared" si="206"/>
        <v>89148000</v>
      </c>
      <c r="C1059" t="str">
        <f t="shared" si="207"/>
        <v>89148212</v>
      </c>
      <c r="D1059" t="str">
        <f t="shared" si="208"/>
        <v>801</v>
      </c>
      <c r="E1059" t="str">
        <f t="shared" si="209"/>
        <v>89301167</v>
      </c>
      <c r="F1059" t="str">
        <f t="shared" si="210"/>
        <v>5561301526</v>
      </c>
      <c r="G1059" s="1">
        <v>44564</v>
      </c>
      <c r="H1059" t="str">
        <f>"97111"</f>
        <v>97111</v>
      </c>
      <c r="I1059">
        <v>1</v>
      </c>
      <c r="J1059">
        <v>18</v>
      </c>
      <c r="K1059">
        <v>0</v>
      </c>
      <c r="L1059">
        <v>14.04</v>
      </c>
    </row>
    <row r="1060" spans="1:12" x14ac:dyDescent="0.25">
      <c r="A1060" t="str">
        <f t="shared" si="205"/>
        <v>89301000</v>
      </c>
      <c r="B1060" t="str">
        <f t="shared" si="206"/>
        <v>89148000</v>
      </c>
      <c r="C1060" t="str">
        <f t="shared" si="207"/>
        <v>89148212</v>
      </c>
      <c r="D1060" t="str">
        <f t="shared" si="208"/>
        <v>801</v>
      </c>
      <c r="E1060" t="str">
        <f t="shared" ref="E1060:E1066" si="211">"89301082"</f>
        <v>89301082</v>
      </c>
      <c r="F1060" t="str">
        <f t="shared" ref="F1060:F1066" si="212">"9356295707"</f>
        <v>9356295707</v>
      </c>
      <c r="G1060" s="1">
        <v>44620</v>
      </c>
      <c r="H1060" t="str">
        <f>"09119"</f>
        <v>09119</v>
      </c>
      <c r="I1060">
        <v>1</v>
      </c>
      <c r="J1060">
        <v>42</v>
      </c>
      <c r="K1060">
        <v>0</v>
      </c>
      <c r="L1060">
        <v>32.76</v>
      </c>
    </row>
    <row r="1061" spans="1:12" x14ac:dyDescent="0.25">
      <c r="A1061" t="str">
        <f t="shared" si="205"/>
        <v>89301000</v>
      </c>
      <c r="B1061" t="str">
        <f t="shared" si="206"/>
        <v>89148000</v>
      </c>
      <c r="C1061" t="str">
        <f t="shared" si="207"/>
        <v>89148212</v>
      </c>
      <c r="D1061" t="str">
        <f t="shared" si="208"/>
        <v>801</v>
      </c>
      <c r="E1061" t="str">
        <f t="shared" si="211"/>
        <v>89301082</v>
      </c>
      <c r="F1061" t="str">
        <f t="shared" si="212"/>
        <v>9356295707</v>
      </c>
      <c r="G1061" s="1">
        <v>44620</v>
      </c>
      <c r="H1061" t="str">
        <f>"93189"</f>
        <v>93189</v>
      </c>
      <c r="I1061">
        <v>1</v>
      </c>
      <c r="J1061">
        <v>189</v>
      </c>
      <c r="K1061">
        <v>0</v>
      </c>
      <c r="L1061">
        <v>147.41999999999999</v>
      </c>
    </row>
    <row r="1062" spans="1:12" x14ac:dyDescent="0.25">
      <c r="A1062" t="str">
        <f t="shared" si="205"/>
        <v>89301000</v>
      </c>
      <c r="B1062" t="str">
        <f t="shared" si="206"/>
        <v>89148000</v>
      </c>
      <c r="C1062" t="str">
        <f t="shared" si="207"/>
        <v>89148212</v>
      </c>
      <c r="D1062" t="str">
        <f t="shared" si="208"/>
        <v>801</v>
      </c>
      <c r="E1062" t="str">
        <f t="shared" si="211"/>
        <v>89301082</v>
      </c>
      <c r="F1062" t="str">
        <f t="shared" si="212"/>
        <v>9356295707</v>
      </c>
      <c r="G1062" s="1">
        <v>44620</v>
      </c>
      <c r="H1062" t="str">
        <f>"93195"</f>
        <v>93195</v>
      </c>
      <c r="I1062">
        <v>1</v>
      </c>
      <c r="J1062">
        <v>181</v>
      </c>
      <c r="K1062">
        <v>0</v>
      </c>
      <c r="L1062">
        <v>141.18</v>
      </c>
    </row>
    <row r="1063" spans="1:12" x14ac:dyDescent="0.25">
      <c r="A1063" t="str">
        <f t="shared" si="205"/>
        <v>89301000</v>
      </c>
      <c r="B1063" t="str">
        <f t="shared" si="206"/>
        <v>89148000</v>
      </c>
      <c r="C1063" t="str">
        <f t="shared" si="207"/>
        <v>89148212</v>
      </c>
      <c r="D1063" t="str">
        <f t="shared" si="208"/>
        <v>801</v>
      </c>
      <c r="E1063" t="str">
        <f t="shared" si="211"/>
        <v>89301082</v>
      </c>
      <c r="F1063" t="str">
        <f t="shared" si="212"/>
        <v>9356295707</v>
      </c>
      <c r="G1063" s="1">
        <v>44620</v>
      </c>
      <c r="H1063" t="str">
        <f>"93217"</f>
        <v>93217</v>
      </c>
      <c r="I1063">
        <v>1</v>
      </c>
      <c r="J1063">
        <v>420</v>
      </c>
      <c r="K1063">
        <v>0</v>
      </c>
      <c r="L1063">
        <v>327.60000000000002</v>
      </c>
    </row>
    <row r="1064" spans="1:12" x14ac:dyDescent="0.25">
      <c r="A1064" t="str">
        <f t="shared" si="205"/>
        <v>89301000</v>
      </c>
      <c r="B1064" t="str">
        <f t="shared" si="206"/>
        <v>89148000</v>
      </c>
      <c r="C1064" t="str">
        <f t="shared" si="207"/>
        <v>89148212</v>
      </c>
      <c r="D1064" t="str">
        <f t="shared" si="208"/>
        <v>801</v>
      </c>
      <c r="E1064" t="str">
        <f t="shared" si="211"/>
        <v>89301082</v>
      </c>
      <c r="F1064" t="str">
        <f t="shared" si="212"/>
        <v>9356295707</v>
      </c>
      <c r="G1064" s="1">
        <v>44620</v>
      </c>
      <c r="H1064" t="str">
        <f>"93231"</f>
        <v>93231</v>
      </c>
      <c r="I1064">
        <v>1</v>
      </c>
      <c r="J1064">
        <v>402</v>
      </c>
      <c r="K1064">
        <v>0</v>
      </c>
      <c r="L1064">
        <v>313.56</v>
      </c>
    </row>
    <row r="1065" spans="1:12" x14ac:dyDescent="0.25">
      <c r="A1065" t="str">
        <f t="shared" si="205"/>
        <v>89301000</v>
      </c>
      <c r="B1065" t="str">
        <f t="shared" si="206"/>
        <v>89148000</v>
      </c>
      <c r="C1065" t="str">
        <f t="shared" si="207"/>
        <v>89148212</v>
      </c>
      <c r="D1065" t="str">
        <f t="shared" si="208"/>
        <v>801</v>
      </c>
      <c r="E1065" t="str">
        <f t="shared" si="211"/>
        <v>89301082</v>
      </c>
      <c r="F1065" t="str">
        <f t="shared" si="212"/>
        <v>9356295707</v>
      </c>
      <c r="G1065" s="1">
        <v>44620</v>
      </c>
      <c r="H1065" t="str">
        <f>"93245"</f>
        <v>93245</v>
      </c>
      <c r="I1065">
        <v>1</v>
      </c>
      <c r="J1065">
        <v>190</v>
      </c>
      <c r="K1065">
        <v>0</v>
      </c>
      <c r="L1065">
        <v>148.19999999999999</v>
      </c>
    </row>
    <row r="1066" spans="1:12" x14ac:dyDescent="0.25">
      <c r="A1066" t="str">
        <f t="shared" si="205"/>
        <v>89301000</v>
      </c>
      <c r="B1066" t="str">
        <f t="shared" si="206"/>
        <v>89148000</v>
      </c>
      <c r="C1066" t="str">
        <f t="shared" si="207"/>
        <v>89148212</v>
      </c>
      <c r="D1066" t="str">
        <f t="shared" si="208"/>
        <v>801</v>
      </c>
      <c r="E1066" t="str">
        <f t="shared" si="211"/>
        <v>89301082</v>
      </c>
      <c r="F1066" t="str">
        <f t="shared" si="212"/>
        <v>9356295707</v>
      </c>
      <c r="G1066" s="1">
        <v>44620</v>
      </c>
      <c r="H1066" t="str">
        <f>"97111"</f>
        <v>97111</v>
      </c>
      <c r="I1066">
        <v>1</v>
      </c>
      <c r="J1066">
        <v>18</v>
      </c>
      <c r="K1066">
        <v>0</v>
      </c>
      <c r="L1066">
        <v>14.04</v>
      </c>
    </row>
    <row r="1067" spans="1:12" x14ac:dyDescent="0.25">
      <c r="A1067" t="str">
        <f t="shared" si="205"/>
        <v>89301000</v>
      </c>
      <c r="B1067" t="str">
        <f>"88631000"</f>
        <v>88631000</v>
      </c>
      <c r="C1067" t="str">
        <f>"88631002"</f>
        <v>88631002</v>
      </c>
      <c r="D1067" t="str">
        <f>"809"</f>
        <v>809</v>
      </c>
      <c r="E1067" t="str">
        <f t="shared" ref="E1067:E1075" si="213">"89301212"</f>
        <v>89301212</v>
      </c>
      <c r="F1067" t="str">
        <f>"7558225290"</f>
        <v>7558225290</v>
      </c>
      <c r="G1067" s="1">
        <v>44608</v>
      </c>
      <c r="H1067" t="str">
        <f>"89180"</f>
        <v>89180</v>
      </c>
      <c r="I1067">
        <v>2</v>
      </c>
      <c r="J1067">
        <v>752</v>
      </c>
      <c r="K1067">
        <v>0</v>
      </c>
      <c r="L1067">
        <v>1052.8</v>
      </c>
    </row>
    <row r="1068" spans="1:12" x14ac:dyDescent="0.25">
      <c r="A1068" t="str">
        <f t="shared" si="205"/>
        <v>89301000</v>
      </c>
      <c r="B1068" t="str">
        <f>"88631000"</f>
        <v>88631000</v>
      </c>
      <c r="C1068" t="str">
        <f>"88631002"</f>
        <v>88631002</v>
      </c>
      <c r="D1068" t="str">
        <f>"809"</f>
        <v>809</v>
      </c>
      <c r="E1068" t="str">
        <f t="shared" si="213"/>
        <v>89301212</v>
      </c>
      <c r="F1068" t="str">
        <f>"7558225290"</f>
        <v>7558225290</v>
      </c>
      <c r="G1068" s="1">
        <v>44608</v>
      </c>
      <c r="H1068" t="str">
        <f>"89512"</f>
        <v>89512</v>
      </c>
      <c r="I1068">
        <v>1</v>
      </c>
      <c r="J1068">
        <v>277</v>
      </c>
      <c r="K1068">
        <v>0</v>
      </c>
      <c r="L1068">
        <v>387.8</v>
      </c>
    </row>
    <row r="1069" spans="1:12" x14ac:dyDescent="0.25">
      <c r="A1069" t="str">
        <f t="shared" si="205"/>
        <v>89301000</v>
      </c>
      <c r="B1069" t="str">
        <f t="shared" ref="B1069:B1075" si="214">"44564000"</f>
        <v>44564000</v>
      </c>
      <c r="C1069" t="str">
        <f>"44564006"</f>
        <v>44564006</v>
      </c>
      <c r="D1069" t="str">
        <f>"816"</f>
        <v>816</v>
      </c>
      <c r="E1069" t="str">
        <f t="shared" si="213"/>
        <v>89301212</v>
      </c>
      <c r="F1069" t="str">
        <f>"350805412"</f>
        <v>350805412</v>
      </c>
      <c r="G1069" s="1">
        <v>44609</v>
      </c>
      <c r="H1069" t="str">
        <f>"94239"</f>
        <v>94239</v>
      </c>
      <c r="I1069">
        <v>3</v>
      </c>
      <c r="J1069">
        <v>11748</v>
      </c>
      <c r="K1069">
        <v>0</v>
      </c>
      <c r="L1069">
        <v>9985.7999999999993</v>
      </c>
    </row>
    <row r="1070" spans="1:12" x14ac:dyDescent="0.25">
      <c r="A1070" t="str">
        <f t="shared" si="205"/>
        <v>89301000</v>
      </c>
      <c r="B1070" t="str">
        <f t="shared" si="214"/>
        <v>44564000</v>
      </c>
      <c r="C1070" t="str">
        <f>"44564006"</f>
        <v>44564006</v>
      </c>
      <c r="D1070" t="str">
        <f>"816"</f>
        <v>816</v>
      </c>
      <c r="E1070" t="str">
        <f t="shared" si="213"/>
        <v>89301212</v>
      </c>
      <c r="F1070" t="str">
        <f>"8057204474"</f>
        <v>8057204474</v>
      </c>
      <c r="G1070" s="1">
        <v>44615</v>
      </c>
      <c r="H1070" t="str">
        <f>"94229"</f>
        <v>94229</v>
      </c>
      <c r="I1070">
        <v>8</v>
      </c>
      <c r="J1070">
        <v>4944</v>
      </c>
      <c r="K1070">
        <v>0</v>
      </c>
      <c r="L1070">
        <v>4202.3999999999996</v>
      </c>
    </row>
    <row r="1071" spans="1:12" x14ac:dyDescent="0.25">
      <c r="A1071" t="str">
        <f t="shared" si="205"/>
        <v>89301000</v>
      </c>
      <c r="B1071" t="str">
        <f t="shared" si="214"/>
        <v>44564000</v>
      </c>
      <c r="C1071" t="str">
        <f>"44564006"</f>
        <v>44564006</v>
      </c>
      <c r="D1071" t="str">
        <f>"816"</f>
        <v>816</v>
      </c>
      <c r="E1071" t="str">
        <f t="shared" si="213"/>
        <v>89301212</v>
      </c>
      <c r="F1071" t="str">
        <f>"8057204474"</f>
        <v>8057204474</v>
      </c>
      <c r="G1071" s="1">
        <v>44615</v>
      </c>
      <c r="H1071" t="str">
        <f>"94365"</f>
        <v>94365</v>
      </c>
      <c r="I1071">
        <v>1</v>
      </c>
      <c r="J1071">
        <v>36422</v>
      </c>
      <c r="K1071">
        <v>0</v>
      </c>
      <c r="L1071">
        <v>30958.7</v>
      </c>
    </row>
    <row r="1072" spans="1:12" x14ac:dyDescent="0.25">
      <c r="A1072" t="str">
        <f t="shared" si="205"/>
        <v>89301000</v>
      </c>
      <c r="B1072" t="str">
        <f t="shared" si="214"/>
        <v>44564000</v>
      </c>
      <c r="C1072" t="str">
        <f>"44564006"</f>
        <v>44564006</v>
      </c>
      <c r="D1072" t="str">
        <f>"816"</f>
        <v>816</v>
      </c>
      <c r="E1072" t="str">
        <f t="shared" si="213"/>
        <v>89301212</v>
      </c>
      <c r="F1072" t="str">
        <f>"8057204474"</f>
        <v>8057204474</v>
      </c>
      <c r="G1072" s="1">
        <v>44613</v>
      </c>
      <c r="H1072" t="str">
        <f>"94229"</f>
        <v>94229</v>
      </c>
      <c r="I1072">
        <v>1</v>
      </c>
      <c r="J1072">
        <v>618</v>
      </c>
      <c r="K1072">
        <v>0</v>
      </c>
      <c r="L1072">
        <v>525.29999999999995</v>
      </c>
    </row>
    <row r="1073" spans="1:12" x14ac:dyDescent="0.25">
      <c r="A1073" t="str">
        <f t="shared" si="205"/>
        <v>89301000</v>
      </c>
      <c r="B1073" t="str">
        <f t="shared" si="214"/>
        <v>44564000</v>
      </c>
      <c r="C1073" t="str">
        <f>"44564006"</f>
        <v>44564006</v>
      </c>
      <c r="D1073" t="str">
        <f>"816"</f>
        <v>816</v>
      </c>
      <c r="E1073" t="str">
        <f t="shared" si="213"/>
        <v>89301212</v>
      </c>
      <c r="F1073" t="str">
        <f>"8057204474"</f>
        <v>8057204474</v>
      </c>
      <c r="G1073" s="1">
        <v>44613</v>
      </c>
      <c r="H1073" t="str">
        <f>"94365"</f>
        <v>94365</v>
      </c>
      <c r="I1073">
        <v>1</v>
      </c>
      <c r="J1073">
        <v>36422</v>
      </c>
      <c r="K1073">
        <v>0</v>
      </c>
      <c r="L1073">
        <v>30958.7</v>
      </c>
    </row>
    <row r="1074" spans="1:12" x14ac:dyDescent="0.25">
      <c r="A1074" t="str">
        <f t="shared" si="205"/>
        <v>89301000</v>
      </c>
      <c r="B1074" t="str">
        <f t="shared" si="214"/>
        <v>44564000</v>
      </c>
      <c r="C1074" t="str">
        <f>"44564004"</f>
        <v>44564004</v>
      </c>
      <c r="D1074" t="str">
        <f>"807"</f>
        <v>807</v>
      </c>
      <c r="E1074" t="str">
        <f t="shared" si="213"/>
        <v>89301212</v>
      </c>
      <c r="F1074" t="str">
        <f>"350805412"</f>
        <v>350805412</v>
      </c>
      <c r="G1074" s="1">
        <v>44613</v>
      </c>
      <c r="H1074" t="str">
        <f>"99796"</f>
        <v>99796</v>
      </c>
      <c r="I1074">
        <v>1</v>
      </c>
      <c r="J1074">
        <v>7556</v>
      </c>
      <c r="K1074">
        <v>0</v>
      </c>
      <c r="L1074">
        <v>5893.68</v>
      </c>
    </row>
    <row r="1075" spans="1:12" x14ac:dyDescent="0.25">
      <c r="A1075" t="str">
        <f t="shared" si="205"/>
        <v>89301000</v>
      </c>
      <c r="B1075" t="str">
        <f t="shared" si="214"/>
        <v>44564000</v>
      </c>
      <c r="C1075" t="str">
        <f>"44564004"</f>
        <v>44564004</v>
      </c>
      <c r="D1075" t="str">
        <f>"807"</f>
        <v>807</v>
      </c>
      <c r="E1075" t="str">
        <f t="shared" si="213"/>
        <v>89301212</v>
      </c>
      <c r="F1075" t="str">
        <f>"350805412"</f>
        <v>350805412</v>
      </c>
      <c r="G1075" s="1">
        <v>44613</v>
      </c>
      <c r="H1075" t="str">
        <f>"99797"</f>
        <v>99797</v>
      </c>
      <c r="I1075">
        <v>1</v>
      </c>
      <c r="J1075">
        <v>7556</v>
      </c>
      <c r="K1075">
        <v>0</v>
      </c>
      <c r="L1075">
        <v>5893.68</v>
      </c>
    </row>
    <row r="1076" spans="1:12" x14ac:dyDescent="0.25">
      <c r="A1076" t="str">
        <f t="shared" si="205"/>
        <v>89301000</v>
      </c>
      <c r="B1076" t="str">
        <f>"06515000"</f>
        <v>06515000</v>
      </c>
      <c r="C1076" t="str">
        <f>"06515024"</f>
        <v>06515024</v>
      </c>
      <c r="D1076" t="str">
        <f>"801"</f>
        <v>801</v>
      </c>
      <c r="E1076" t="str">
        <f>"89301082"</f>
        <v>89301082</v>
      </c>
      <c r="F1076" t="str">
        <f>"9254175722"</f>
        <v>9254175722</v>
      </c>
      <c r="G1076" s="1">
        <v>44601</v>
      </c>
      <c r="H1076" t="str">
        <f>"93177"</f>
        <v>93177</v>
      </c>
      <c r="I1076">
        <v>1</v>
      </c>
      <c r="J1076">
        <v>178</v>
      </c>
      <c r="K1076">
        <v>0</v>
      </c>
      <c r="L1076">
        <v>138.84</v>
      </c>
    </row>
    <row r="1077" spans="1:12" x14ac:dyDescent="0.25">
      <c r="A1077" t="str">
        <f t="shared" si="205"/>
        <v>89301000</v>
      </c>
      <c r="B1077" t="str">
        <f>"06515000"</f>
        <v>06515000</v>
      </c>
      <c r="C1077" t="str">
        <f>"06515024"</f>
        <v>06515024</v>
      </c>
      <c r="D1077" t="str">
        <f>"801"</f>
        <v>801</v>
      </c>
      <c r="E1077" t="str">
        <f>"89301082"</f>
        <v>89301082</v>
      </c>
      <c r="F1077" t="str">
        <f>"9254175722"</f>
        <v>9254175722</v>
      </c>
      <c r="G1077" s="1">
        <v>44601</v>
      </c>
      <c r="H1077" t="str">
        <f>"93149"</f>
        <v>93149</v>
      </c>
      <c r="I1077">
        <v>1</v>
      </c>
      <c r="J1077">
        <v>204</v>
      </c>
      <c r="K1077">
        <v>0</v>
      </c>
      <c r="L1077">
        <v>159.12</v>
      </c>
    </row>
    <row r="1078" spans="1:12" x14ac:dyDescent="0.25">
      <c r="A1078" t="str">
        <f t="shared" si="205"/>
        <v>89301000</v>
      </c>
      <c r="B1078" t="str">
        <f>"06515000"</f>
        <v>06515000</v>
      </c>
      <c r="C1078" t="str">
        <f>"06515024"</f>
        <v>06515024</v>
      </c>
      <c r="D1078" t="str">
        <f>"801"</f>
        <v>801</v>
      </c>
      <c r="E1078" t="str">
        <f>"89301082"</f>
        <v>89301082</v>
      </c>
      <c r="F1078" t="str">
        <f>"9254175722"</f>
        <v>9254175722</v>
      </c>
      <c r="G1078" s="1">
        <v>44601</v>
      </c>
      <c r="H1078" t="str">
        <f>"97111"</f>
        <v>97111</v>
      </c>
      <c r="I1078">
        <v>1</v>
      </c>
      <c r="J1078">
        <v>18</v>
      </c>
      <c r="K1078">
        <v>0</v>
      </c>
      <c r="L1078">
        <v>14.04</v>
      </c>
    </row>
    <row r="1079" spans="1:12" x14ac:dyDescent="0.25">
      <c r="A1079" t="str">
        <f t="shared" si="205"/>
        <v>89301000</v>
      </c>
      <c r="B1079" t="str">
        <f>"06515000"</f>
        <v>06515000</v>
      </c>
      <c r="C1079" t="str">
        <f>"06515030"</f>
        <v>06515030</v>
      </c>
      <c r="D1079" t="str">
        <f>"813"</f>
        <v>813</v>
      </c>
      <c r="E1079" t="str">
        <f>"89301082"</f>
        <v>89301082</v>
      </c>
      <c r="F1079" t="str">
        <f>"9254175722"</f>
        <v>9254175722</v>
      </c>
      <c r="G1079" s="1">
        <v>44601</v>
      </c>
      <c r="H1079" t="str">
        <f>"93133"</f>
        <v>93133</v>
      </c>
      <c r="I1079">
        <v>1</v>
      </c>
      <c r="J1079">
        <v>168</v>
      </c>
      <c r="K1079">
        <v>0</v>
      </c>
      <c r="L1079">
        <v>131.04</v>
      </c>
    </row>
    <row r="1080" spans="1:12" x14ac:dyDescent="0.25">
      <c r="A1080" t="str">
        <f t="shared" si="205"/>
        <v>89301000</v>
      </c>
      <c r="B1080" t="str">
        <f>"06515000"</f>
        <v>06515000</v>
      </c>
      <c r="C1080" t="str">
        <f>"06515030"</f>
        <v>06515030</v>
      </c>
      <c r="D1080" t="str">
        <f>"813"</f>
        <v>813</v>
      </c>
      <c r="E1080" t="str">
        <f>"89301082"</f>
        <v>89301082</v>
      </c>
      <c r="F1080" t="str">
        <f>"9254175722"</f>
        <v>9254175722</v>
      </c>
      <c r="G1080" s="1">
        <v>44601</v>
      </c>
      <c r="H1080" t="str">
        <f>"93129"</f>
        <v>93129</v>
      </c>
      <c r="I1080">
        <v>1</v>
      </c>
      <c r="J1080">
        <v>168</v>
      </c>
      <c r="K1080">
        <v>0</v>
      </c>
      <c r="L1080">
        <v>131.04</v>
      </c>
    </row>
    <row r="1081" spans="1:12" x14ac:dyDescent="0.25">
      <c r="A1081" t="str">
        <f t="shared" si="205"/>
        <v>89301000</v>
      </c>
      <c r="B1081" t="str">
        <f t="shared" ref="B1081:B1094" si="215">"89895000"</f>
        <v>89895000</v>
      </c>
      <c r="C1081" t="str">
        <f t="shared" ref="C1081:C1094" si="216">"89895002"</f>
        <v>89895002</v>
      </c>
      <c r="D1081" t="str">
        <f t="shared" ref="D1081:D1098" si="217">"809"</f>
        <v>809</v>
      </c>
      <c r="E1081" t="str">
        <f t="shared" ref="E1081:E1094" si="218">"89301212"</f>
        <v>89301212</v>
      </c>
      <c r="F1081" t="str">
        <f>"405510426"</f>
        <v>405510426</v>
      </c>
      <c r="G1081" s="1">
        <v>44613</v>
      </c>
      <c r="H1081" t="str">
        <f>"89180"</f>
        <v>89180</v>
      </c>
      <c r="I1081">
        <v>2</v>
      </c>
      <c r="J1081">
        <v>752</v>
      </c>
      <c r="K1081">
        <v>0</v>
      </c>
      <c r="L1081">
        <v>1052.8</v>
      </c>
    </row>
    <row r="1082" spans="1:12" x14ac:dyDescent="0.25">
      <c r="A1082" t="str">
        <f t="shared" si="205"/>
        <v>89301000</v>
      </c>
      <c r="B1082" t="str">
        <f t="shared" si="215"/>
        <v>89895000</v>
      </c>
      <c r="C1082" t="str">
        <f t="shared" si="216"/>
        <v>89895002</v>
      </c>
      <c r="D1082" t="str">
        <f t="shared" si="217"/>
        <v>809</v>
      </c>
      <c r="E1082" t="str">
        <f t="shared" si="218"/>
        <v>89301212</v>
      </c>
      <c r="F1082" t="str">
        <f>"405510426"</f>
        <v>405510426</v>
      </c>
      <c r="G1082" s="1">
        <v>44613</v>
      </c>
      <c r="H1082" t="str">
        <f>"89512"</f>
        <v>89512</v>
      </c>
      <c r="I1082">
        <v>1</v>
      </c>
      <c r="J1082">
        <v>277</v>
      </c>
      <c r="K1082">
        <v>0</v>
      </c>
      <c r="L1082">
        <v>387.8</v>
      </c>
    </row>
    <row r="1083" spans="1:12" x14ac:dyDescent="0.25">
      <c r="A1083" t="str">
        <f t="shared" si="205"/>
        <v>89301000</v>
      </c>
      <c r="B1083" t="str">
        <f t="shared" si="215"/>
        <v>89895000</v>
      </c>
      <c r="C1083" t="str">
        <f t="shared" si="216"/>
        <v>89895002</v>
      </c>
      <c r="D1083" t="str">
        <f t="shared" si="217"/>
        <v>809</v>
      </c>
      <c r="E1083" t="str">
        <f t="shared" si="218"/>
        <v>89301212</v>
      </c>
      <c r="F1083" t="str">
        <f>"405510426"</f>
        <v>405510426</v>
      </c>
      <c r="G1083" s="1">
        <v>44613</v>
      </c>
      <c r="H1083" t="str">
        <f>"09511"</f>
        <v>09511</v>
      </c>
      <c r="I1083">
        <v>1</v>
      </c>
      <c r="J1083">
        <v>43</v>
      </c>
      <c r="K1083">
        <v>0</v>
      </c>
      <c r="L1083">
        <v>60.2</v>
      </c>
    </row>
    <row r="1084" spans="1:12" x14ac:dyDescent="0.25">
      <c r="A1084" t="str">
        <f t="shared" si="205"/>
        <v>89301000</v>
      </c>
      <c r="B1084" t="str">
        <f t="shared" si="215"/>
        <v>89895000</v>
      </c>
      <c r="C1084" t="str">
        <f t="shared" si="216"/>
        <v>89895002</v>
      </c>
      <c r="D1084" t="str">
        <f t="shared" si="217"/>
        <v>809</v>
      </c>
      <c r="E1084" t="str">
        <f t="shared" si="218"/>
        <v>89301212</v>
      </c>
      <c r="F1084" t="str">
        <f>"465206448"</f>
        <v>465206448</v>
      </c>
      <c r="G1084" s="1">
        <v>44594</v>
      </c>
      <c r="H1084" t="str">
        <f>"89180"</f>
        <v>89180</v>
      </c>
      <c r="I1084">
        <v>2</v>
      </c>
      <c r="J1084">
        <v>752</v>
      </c>
      <c r="K1084">
        <v>0</v>
      </c>
      <c r="L1084">
        <v>1052.8</v>
      </c>
    </row>
    <row r="1085" spans="1:12" x14ac:dyDescent="0.25">
      <c r="A1085" t="str">
        <f t="shared" si="205"/>
        <v>89301000</v>
      </c>
      <c r="B1085" t="str">
        <f t="shared" si="215"/>
        <v>89895000</v>
      </c>
      <c r="C1085" t="str">
        <f t="shared" si="216"/>
        <v>89895002</v>
      </c>
      <c r="D1085" t="str">
        <f t="shared" si="217"/>
        <v>809</v>
      </c>
      <c r="E1085" t="str">
        <f t="shared" si="218"/>
        <v>89301212</v>
      </c>
      <c r="F1085" t="str">
        <f>"525606072"</f>
        <v>525606072</v>
      </c>
      <c r="G1085" s="1">
        <v>44620</v>
      </c>
      <c r="H1085" t="str">
        <f>"89512"</f>
        <v>89512</v>
      </c>
      <c r="I1085">
        <v>1</v>
      </c>
      <c r="J1085">
        <v>277</v>
      </c>
      <c r="K1085">
        <v>0</v>
      </c>
      <c r="L1085">
        <v>387.8</v>
      </c>
    </row>
    <row r="1086" spans="1:12" x14ac:dyDescent="0.25">
      <c r="A1086" t="str">
        <f t="shared" si="205"/>
        <v>89301000</v>
      </c>
      <c r="B1086" t="str">
        <f t="shared" si="215"/>
        <v>89895000</v>
      </c>
      <c r="C1086" t="str">
        <f t="shared" si="216"/>
        <v>89895002</v>
      </c>
      <c r="D1086" t="str">
        <f t="shared" si="217"/>
        <v>809</v>
      </c>
      <c r="E1086" t="str">
        <f t="shared" si="218"/>
        <v>89301212</v>
      </c>
      <c r="F1086" t="str">
        <f>"525606072"</f>
        <v>525606072</v>
      </c>
      <c r="G1086" s="1">
        <v>44620</v>
      </c>
      <c r="H1086" t="str">
        <f>"09511"</f>
        <v>09511</v>
      </c>
      <c r="I1086">
        <v>1</v>
      </c>
      <c r="J1086">
        <v>43</v>
      </c>
      <c r="K1086">
        <v>0</v>
      </c>
      <c r="L1086">
        <v>60.2</v>
      </c>
    </row>
    <row r="1087" spans="1:12" x14ac:dyDescent="0.25">
      <c r="A1087" t="str">
        <f t="shared" si="205"/>
        <v>89301000</v>
      </c>
      <c r="B1087" t="str">
        <f t="shared" si="215"/>
        <v>89895000</v>
      </c>
      <c r="C1087" t="str">
        <f t="shared" si="216"/>
        <v>89895002</v>
      </c>
      <c r="D1087" t="str">
        <f t="shared" si="217"/>
        <v>809</v>
      </c>
      <c r="E1087" t="str">
        <f t="shared" si="218"/>
        <v>89301212</v>
      </c>
      <c r="F1087" t="str">
        <f>"5657240798"</f>
        <v>5657240798</v>
      </c>
      <c r="G1087" s="1">
        <v>44593</v>
      </c>
      <c r="H1087" t="str">
        <f>"89512"</f>
        <v>89512</v>
      </c>
      <c r="I1087">
        <v>1</v>
      </c>
      <c r="J1087">
        <v>277</v>
      </c>
      <c r="K1087">
        <v>0</v>
      </c>
      <c r="L1087">
        <v>387.8</v>
      </c>
    </row>
    <row r="1088" spans="1:12" x14ac:dyDescent="0.25">
      <c r="A1088" t="str">
        <f t="shared" si="205"/>
        <v>89301000</v>
      </c>
      <c r="B1088" t="str">
        <f t="shared" si="215"/>
        <v>89895000</v>
      </c>
      <c r="C1088" t="str">
        <f t="shared" si="216"/>
        <v>89895002</v>
      </c>
      <c r="D1088" t="str">
        <f t="shared" si="217"/>
        <v>809</v>
      </c>
      <c r="E1088" t="str">
        <f t="shared" si="218"/>
        <v>89301212</v>
      </c>
      <c r="F1088" t="str">
        <f>"5657240798"</f>
        <v>5657240798</v>
      </c>
      <c r="G1088" s="1">
        <v>44593</v>
      </c>
      <c r="H1088" t="str">
        <f>"09511"</f>
        <v>09511</v>
      </c>
      <c r="I1088">
        <v>1</v>
      </c>
      <c r="J1088">
        <v>43</v>
      </c>
      <c r="K1088">
        <v>0</v>
      </c>
      <c r="L1088">
        <v>60.2</v>
      </c>
    </row>
    <row r="1089" spans="1:12" x14ac:dyDescent="0.25">
      <c r="A1089" t="str">
        <f t="shared" si="205"/>
        <v>89301000</v>
      </c>
      <c r="B1089" t="str">
        <f t="shared" si="215"/>
        <v>89895000</v>
      </c>
      <c r="C1089" t="str">
        <f t="shared" si="216"/>
        <v>89895002</v>
      </c>
      <c r="D1089" t="str">
        <f t="shared" si="217"/>
        <v>809</v>
      </c>
      <c r="E1089" t="str">
        <f t="shared" si="218"/>
        <v>89301212</v>
      </c>
      <c r="F1089" t="str">
        <f>"5657240798"</f>
        <v>5657240798</v>
      </c>
      <c r="G1089" s="1">
        <v>44593</v>
      </c>
      <c r="H1089" t="str">
        <f>"89180"</f>
        <v>89180</v>
      </c>
      <c r="I1089">
        <v>2</v>
      </c>
      <c r="J1089">
        <v>752</v>
      </c>
      <c r="K1089">
        <v>0</v>
      </c>
      <c r="L1089">
        <v>1052.8</v>
      </c>
    </row>
    <row r="1090" spans="1:12" x14ac:dyDescent="0.25">
      <c r="A1090" t="str">
        <f t="shared" ref="A1090:A1153" si="219">"89301000"</f>
        <v>89301000</v>
      </c>
      <c r="B1090" t="str">
        <f t="shared" si="215"/>
        <v>89895000</v>
      </c>
      <c r="C1090" t="str">
        <f t="shared" si="216"/>
        <v>89895002</v>
      </c>
      <c r="D1090" t="str">
        <f t="shared" si="217"/>
        <v>809</v>
      </c>
      <c r="E1090" t="str">
        <f t="shared" si="218"/>
        <v>89301212</v>
      </c>
      <c r="F1090" t="str">
        <f>"5851150173"</f>
        <v>5851150173</v>
      </c>
      <c r="G1090" s="1">
        <v>44599</v>
      </c>
      <c r="H1090" t="str">
        <f>"89513"</f>
        <v>89513</v>
      </c>
      <c r="I1090">
        <v>1</v>
      </c>
      <c r="J1090">
        <v>371</v>
      </c>
      <c r="K1090">
        <v>0</v>
      </c>
      <c r="L1090">
        <v>519.4</v>
      </c>
    </row>
    <row r="1091" spans="1:12" x14ac:dyDescent="0.25">
      <c r="A1091" t="str">
        <f t="shared" si="219"/>
        <v>89301000</v>
      </c>
      <c r="B1091" t="str">
        <f t="shared" si="215"/>
        <v>89895000</v>
      </c>
      <c r="C1091" t="str">
        <f t="shared" si="216"/>
        <v>89895002</v>
      </c>
      <c r="D1091" t="str">
        <f t="shared" si="217"/>
        <v>809</v>
      </c>
      <c r="E1091" t="str">
        <f t="shared" si="218"/>
        <v>89301212</v>
      </c>
      <c r="F1091" t="str">
        <f>"5851150173"</f>
        <v>5851150173</v>
      </c>
      <c r="G1091" s="1">
        <v>44599</v>
      </c>
      <c r="H1091" t="str">
        <f>"89514"</f>
        <v>89514</v>
      </c>
      <c r="I1091">
        <v>1</v>
      </c>
      <c r="J1091">
        <v>371</v>
      </c>
      <c r="K1091">
        <v>0</v>
      </c>
      <c r="L1091">
        <v>519.4</v>
      </c>
    </row>
    <row r="1092" spans="1:12" x14ac:dyDescent="0.25">
      <c r="A1092" t="str">
        <f t="shared" si="219"/>
        <v>89301000</v>
      </c>
      <c r="B1092" t="str">
        <f t="shared" si="215"/>
        <v>89895000</v>
      </c>
      <c r="C1092" t="str">
        <f t="shared" si="216"/>
        <v>89895002</v>
      </c>
      <c r="D1092" t="str">
        <f t="shared" si="217"/>
        <v>809</v>
      </c>
      <c r="E1092" t="str">
        <f t="shared" si="218"/>
        <v>89301212</v>
      </c>
      <c r="F1092" t="str">
        <f>"6553221708"</f>
        <v>6553221708</v>
      </c>
      <c r="G1092" s="1">
        <v>44613</v>
      </c>
      <c r="H1092" t="str">
        <f>"89180"</f>
        <v>89180</v>
      </c>
      <c r="I1092">
        <v>2</v>
      </c>
      <c r="J1092">
        <v>752</v>
      </c>
      <c r="K1092">
        <v>0</v>
      </c>
      <c r="L1092">
        <v>1052.8</v>
      </c>
    </row>
    <row r="1093" spans="1:12" x14ac:dyDescent="0.25">
      <c r="A1093" t="str">
        <f t="shared" si="219"/>
        <v>89301000</v>
      </c>
      <c r="B1093" t="str">
        <f t="shared" si="215"/>
        <v>89895000</v>
      </c>
      <c r="C1093" t="str">
        <f t="shared" si="216"/>
        <v>89895002</v>
      </c>
      <c r="D1093" t="str">
        <f t="shared" si="217"/>
        <v>809</v>
      </c>
      <c r="E1093" t="str">
        <f t="shared" si="218"/>
        <v>89301212</v>
      </c>
      <c r="F1093" t="str">
        <f>"6553221708"</f>
        <v>6553221708</v>
      </c>
      <c r="G1093" s="1">
        <v>44613</v>
      </c>
      <c r="H1093" t="str">
        <f>"89513"</f>
        <v>89513</v>
      </c>
      <c r="I1093">
        <v>1</v>
      </c>
      <c r="J1093">
        <v>371</v>
      </c>
      <c r="K1093">
        <v>0</v>
      </c>
      <c r="L1093">
        <v>519.4</v>
      </c>
    </row>
    <row r="1094" spans="1:12" x14ac:dyDescent="0.25">
      <c r="A1094" t="str">
        <f t="shared" si="219"/>
        <v>89301000</v>
      </c>
      <c r="B1094" t="str">
        <f t="shared" si="215"/>
        <v>89895000</v>
      </c>
      <c r="C1094" t="str">
        <f t="shared" si="216"/>
        <v>89895002</v>
      </c>
      <c r="D1094" t="str">
        <f t="shared" si="217"/>
        <v>809</v>
      </c>
      <c r="E1094" t="str">
        <f t="shared" si="218"/>
        <v>89301212</v>
      </c>
      <c r="F1094" t="str">
        <f>"6553221708"</f>
        <v>6553221708</v>
      </c>
      <c r="G1094" s="1">
        <v>44613</v>
      </c>
      <c r="H1094" t="str">
        <f>"89514"</f>
        <v>89514</v>
      </c>
      <c r="I1094">
        <v>1</v>
      </c>
      <c r="J1094">
        <v>371</v>
      </c>
      <c r="K1094">
        <v>0</v>
      </c>
      <c r="L1094">
        <v>519.4</v>
      </c>
    </row>
    <row r="1095" spans="1:12" x14ac:dyDescent="0.25">
      <c r="A1095" t="str">
        <f t="shared" si="219"/>
        <v>89301000</v>
      </c>
      <c r="B1095" t="str">
        <f>"89632000"</f>
        <v>89632000</v>
      </c>
      <c r="C1095" t="str">
        <f>"89632000"</f>
        <v>89632000</v>
      </c>
      <c r="D1095" t="str">
        <f t="shared" si="217"/>
        <v>809</v>
      </c>
      <c r="E1095" t="str">
        <f>"89301132"</f>
        <v>89301132</v>
      </c>
      <c r="F1095" t="str">
        <f>"8153265329"</f>
        <v>8153265329</v>
      </c>
      <c r="G1095" s="1">
        <v>44613</v>
      </c>
      <c r="H1095" t="str">
        <f>"09139"</f>
        <v>09139</v>
      </c>
      <c r="I1095">
        <v>1</v>
      </c>
      <c r="J1095">
        <v>346</v>
      </c>
      <c r="K1095">
        <v>0</v>
      </c>
      <c r="L1095">
        <v>484.4</v>
      </c>
    </row>
    <row r="1096" spans="1:12" x14ac:dyDescent="0.25">
      <c r="A1096" t="str">
        <f t="shared" si="219"/>
        <v>89301000</v>
      </c>
      <c r="B1096" t="str">
        <f>"95202000"</f>
        <v>95202000</v>
      </c>
      <c r="C1096" t="str">
        <f>"95202511"</f>
        <v>95202511</v>
      </c>
      <c r="D1096" t="str">
        <f t="shared" si="217"/>
        <v>809</v>
      </c>
      <c r="E1096" t="str">
        <f>"89301042"</f>
        <v>89301042</v>
      </c>
      <c r="F1096" t="str">
        <f>"5405131369"</f>
        <v>5405131369</v>
      </c>
      <c r="G1096" s="1">
        <v>44606</v>
      </c>
      <c r="H1096" t="str">
        <f>"89131"</f>
        <v>89131</v>
      </c>
      <c r="I1096">
        <v>1</v>
      </c>
      <c r="J1096">
        <v>187</v>
      </c>
      <c r="K1096">
        <v>0</v>
      </c>
      <c r="L1096">
        <v>261.8</v>
      </c>
    </row>
    <row r="1097" spans="1:12" x14ac:dyDescent="0.25">
      <c r="A1097" t="str">
        <f t="shared" si="219"/>
        <v>89301000</v>
      </c>
      <c r="B1097" t="str">
        <f>"95202000"</f>
        <v>95202000</v>
      </c>
      <c r="C1097" t="str">
        <f>"95202511"</f>
        <v>95202511</v>
      </c>
      <c r="D1097" t="str">
        <f t="shared" si="217"/>
        <v>809</v>
      </c>
      <c r="E1097" t="str">
        <f>"89301042"</f>
        <v>89301042</v>
      </c>
      <c r="F1097" t="str">
        <f>"5405131369"</f>
        <v>5405131369</v>
      </c>
      <c r="G1097" s="1">
        <v>44606</v>
      </c>
      <c r="H1097" t="str">
        <f>"09572"</f>
        <v>09572</v>
      </c>
      <c r="I1097">
        <v>1</v>
      </c>
      <c r="J1097">
        <v>0</v>
      </c>
      <c r="K1097">
        <v>0</v>
      </c>
      <c r="L1097">
        <v>0</v>
      </c>
    </row>
    <row r="1098" spans="1:12" x14ac:dyDescent="0.25">
      <c r="A1098" t="str">
        <f t="shared" si="219"/>
        <v>89301000</v>
      </c>
      <c r="B1098" t="str">
        <f>"89434000"</f>
        <v>89434000</v>
      </c>
      <c r="C1098" t="str">
        <f>"89434000"</f>
        <v>89434000</v>
      </c>
      <c r="D1098" t="str">
        <f t="shared" si="217"/>
        <v>809</v>
      </c>
      <c r="E1098" t="str">
        <f>"89301036"</f>
        <v>89301036</v>
      </c>
      <c r="F1098" t="str">
        <f>"6703182156"</f>
        <v>6703182156</v>
      </c>
      <c r="G1098" s="1">
        <v>44600</v>
      </c>
      <c r="H1098" t="str">
        <f>"89131"</f>
        <v>89131</v>
      </c>
      <c r="I1098">
        <v>1</v>
      </c>
      <c r="J1098">
        <v>187</v>
      </c>
      <c r="K1098">
        <v>0</v>
      </c>
      <c r="L1098">
        <v>261.8</v>
      </c>
    </row>
    <row r="1099" spans="1:12" x14ac:dyDescent="0.25">
      <c r="A1099" t="str">
        <f t="shared" si="219"/>
        <v>89301000</v>
      </c>
      <c r="B1099" t="str">
        <f t="shared" ref="B1099:B1104" si="220">"44564000"</f>
        <v>44564000</v>
      </c>
      <c r="C1099" t="str">
        <f t="shared" ref="C1099:C1104" si="221">"44564004"</f>
        <v>44564004</v>
      </c>
      <c r="D1099" t="str">
        <f t="shared" ref="D1099:D1104" si="222">"807"</f>
        <v>807</v>
      </c>
      <c r="E1099" t="str">
        <f t="shared" ref="E1099:E1104" si="223">"89301212"</f>
        <v>89301212</v>
      </c>
      <c r="F1099" t="str">
        <f>"8057204474"</f>
        <v>8057204474</v>
      </c>
      <c r="G1099" s="1">
        <v>44615</v>
      </c>
      <c r="H1099" t="str">
        <f>"87217"</f>
        <v>87217</v>
      </c>
      <c r="I1099">
        <v>1</v>
      </c>
      <c r="J1099">
        <v>207</v>
      </c>
      <c r="K1099">
        <v>0</v>
      </c>
      <c r="L1099">
        <v>161.46</v>
      </c>
    </row>
    <row r="1100" spans="1:12" x14ac:dyDescent="0.25">
      <c r="A1100" t="str">
        <f t="shared" si="219"/>
        <v>89301000</v>
      </c>
      <c r="B1100" t="str">
        <f t="shared" si="220"/>
        <v>44564000</v>
      </c>
      <c r="C1100" t="str">
        <f t="shared" si="221"/>
        <v>44564004</v>
      </c>
      <c r="D1100" t="str">
        <f t="shared" si="222"/>
        <v>807</v>
      </c>
      <c r="E1100" t="str">
        <f t="shared" si="223"/>
        <v>89301212</v>
      </c>
      <c r="F1100" t="str">
        <f>"8057204474"</f>
        <v>8057204474</v>
      </c>
      <c r="G1100" s="1">
        <v>44615</v>
      </c>
      <c r="H1100" t="str">
        <f>"87523"</f>
        <v>87523</v>
      </c>
      <c r="I1100">
        <v>1</v>
      </c>
      <c r="J1100">
        <v>584</v>
      </c>
      <c r="K1100">
        <v>0</v>
      </c>
      <c r="L1100">
        <v>455.52</v>
      </c>
    </row>
    <row r="1101" spans="1:12" x14ac:dyDescent="0.25">
      <c r="A1101" t="str">
        <f t="shared" si="219"/>
        <v>89301000</v>
      </c>
      <c r="B1101" t="str">
        <f t="shared" si="220"/>
        <v>44564000</v>
      </c>
      <c r="C1101" t="str">
        <f t="shared" si="221"/>
        <v>44564004</v>
      </c>
      <c r="D1101" t="str">
        <f t="shared" si="222"/>
        <v>807</v>
      </c>
      <c r="E1101" t="str">
        <f t="shared" si="223"/>
        <v>89301212</v>
      </c>
      <c r="F1101" t="str">
        <f>"8057204474"</f>
        <v>8057204474</v>
      </c>
      <c r="G1101" s="1">
        <v>44615</v>
      </c>
      <c r="H1101" t="str">
        <f>"87613"</f>
        <v>87613</v>
      </c>
      <c r="I1101">
        <v>1</v>
      </c>
      <c r="J1101">
        <v>422</v>
      </c>
      <c r="K1101">
        <v>0</v>
      </c>
      <c r="L1101">
        <v>329.16</v>
      </c>
    </row>
    <row r="1102" spans="1:12" x14ac:dyDescent="0.25">
      <c r="A1102" t="str">
        <f t="shared" si="219"/>
        <v>89301000</v>
      </c>
      <c r="B1102" t="str">
        <f t="shared" si="220"/>
        <v>44564000</v>
      </c>
      <c r="C1102" t="str">
        <f t="shared" si="221"/>
        <v>44564004</v>
      </c>
      <c r="D1102" t="str">
        <f t="shared" si="222"/>
        <v>807</v>
      </c>
      <c r="E1102" t="str">
        <f t="shared" si="223"/>
        <v>89301212</v>
      </c>
      <c r="F1102" t="str">
        <f>"6910265340"</f>
        <v>6910265340</v>
      </c>
      <c r="G1102" s="1">
        <v>44608</v>
      </c>
      <c r="H1102" t="str">
        <f>"87217"</f>
        <v>87217</v>
      </c>
      <c r="I1102">
        <v>1</v>
      </c>
      <c r="J1102">
        <v>207</v>
      </c>
      <c r="K1102">
        <v>0</v>
      </c>
      <c r="L1102">
        <v>161.46</v>
      </c>
    </row>
    <row r="1103" spans="1:12" x14ac:dyDescent="0.25">
      <c r="A1103" t="str">
        <f t="shared" si="219"/>
        <v>89301000</v>
      </c>
      <c r="B1103" t="str">
        <f t="shared" si="220"/>
        <v>44564000</v>
      </c>
      <c r="C1103" t="str">
        <f t="shared" si="221"/>
        <v>44564004</v>
      </c>
      <c r="D1103" t="str">
        <f t="shared" si="222"/>
        <v>807</v>
      </c>
      <c r="E1103" t="str">
        <f t="shared" si="223"/>
        <v>89301212</v>
      </c>
      <c r="F1103" t="str">
        <f>"6910265340"</f>
        <v>6910265340</v>
      </c>
      <c r="G1103" s="1">
        <v>44608</v>
      </c>
      <c r="H1103" t="str">
        <f>"87613"</f>
        <v>87613</v>
      </c>
      <c r="I1103">
        <v>1</v>
      </c>
      <c r="J1103">
        <v>422</v>
      </c>
      <c r="K1103">
        <v>0</v>
      </c>
      <c r="L1103">
        <v>329.16</v>
      </c>
    </row>
    <row r="1104" spans="1:12" x14ac:dyDescent="0.25">
      <c r="A1104" t="str">
        <f t="shared" si="219"/>
        <v>89301000</v>
      </c>
      <c r="B1104" t="str">
        <f t="shared" si="220"/>
        <v>44564000</v>
      </c>
      <c r="C1104" t="str">
        <f t="shared" si="221"/>
        <v>44564004</v>
      </c>
      <c r="D1104" t="str">
        <f t="shared" si="222"/>
        <v>807</v>
      </c>
      <c r="E1104" t="str">
        <f t="shared" si="223"/>
        <v>89301212</v>
      </c>
      <c r="F1104" t="str">
        <f>"6910265340"</f>
        <v>6910265340</v>
      </c>
      <c r="G1104" s="1">
        <v>44608</v>
      </c>
      <c r="H1104" t="str">
        <f>"87617"</f>
        <v>87617</v>
      </c>
      <c r="I1104">
        <v>1</v>
      </c>
      <c r="J1104">
        <v>3625</v>
      </c>
      <c r="K1104">
        <v>0</v>
      </c>
      <c r="L1104">
        <v>2827.5</v>
      </c>
    </row>
    <row r="1105" spans="1:12" x14ac:dyDescent="0.25">
      <c r="A1105" t="str">
        <f t="shared" si="219"/>
        <v>89301000</v>
      </c>
      <c r="B1105" t="str">
        <f>"91997900"</f>
        <v>91997900</v>
      </c>
      <c r="C1105" t="str">
        <f>"91997901"</f>
        <v>91997901</v>
      </c>
      <c r="D1105" t="str">
        <f>"801"</f>
        <v>801</v>
      </c>
      <c r="E1105" t="str">
        <f>"89301101"</f>
        <v>89301101</v>
      </c>
      <c r="F1105" t="str">
        <f>"2157022043"</f>
        <v>2157022043</v>
      </c>
      <c r="G1105" s="1">
        <v>44600</v>
      </c>
      <c r="H1105" t="str">
        <f>"92157"</f>
        <v>92157</v>
      </c>
      <c r="I1105">
        <v>1</v>
      </c>
      <c r="J1105">
        <v>1754</v>
      </c>
      <c r="K1105">
        <v>0</v>
      </c>
      <c r="L1105">
        <v>1368.12</v>
      </c>
    </row>
    <row r="1106" spans="1:12" x14ac:dyDescent="0.25">
      <c r="A1106" t="str">
        <f t="shared" si="219"/>
        <v>89301000</v>
      </c>
      <c r="B1106" t="str">
        <f>"91997900"</f>
        <v>91997900</v>
      </c>
      <c r="C1106" t="str">
        <f>"91997901"</f>
        <v>91997901</v>
      </c>
      <c r="D1106" t="str">
        <f>"801"</f>
        <v>801</v>
      </c>
      <c r="E1106" t="str">
        <f>"89301101"</f>
        <v>89301101</v>
      </c>
      <c r="F1106" t="str">
        <f>"2157022043"</f>
        <v>2157022043</v>
      </c>
      <c r="G1106" s="1">
        <v>44602</v>
      </c>
      <c r="H1106" t="str">
        <f>"92169"</f>
        <v>92169</v>
      </c>
      <c r="I1106">
        <v>1</v>
      </c>
      <c r="J1106">
        <v>944</v>
      </c>
      <c r="K1106">
        <v>0</v>
      </c>
      <c r="L1106">
        <v>736.32</v>
      </c>
    </row>
    <row r="1107" spans="1:12" x14ac:dyDescent="0.25">
      <c r="A1107" t="str">
        <f t="shared" si="219"/>
        <v>89301000</v>
      </c>
      <c r="B1107" t="str">
        <f>"91997900"</f>
        <v>91997900</v>
      </c>
      <c r="C1107" t="str">
        <f>"91997901"</f>
        <v>91997901</v>
      </c>
      <c r="D1107" t="str">
        <f>"801"</f>
        <v>801</v>
      </c>
      <c r="E1107" t="str">
        <f>"89301082"</f>
        <v>89301082</v>
      </c>
      <c r="F1107" t="str">
        <f>"8355064982"</f>
        <v>8355064982</v>
      </c>
      <c r="G1107" s="1">
        <v>44593</v>
      </c>
      <c r="H1107" t="str">
        <f>"93159"</f>
        <v>93159</v>
      </c>
      <c r="I1107">
        <v>1</v>
      </c>
      <c r="J1107">
        <v>195</v>
      </c>
      <c r="K1107">
        <v>0</v>
      </c>
      <c r="L1107">
        <v>152.1</v>
      </c>
    </row>
    <row r="1108" spans="1:12" x14ac:dyDescent="0.25">
      <c r="A1108" t="str">
        <f t="shared" si="219"/>
        <v>89301000</v>
      </c>
      <c r="B1108" t="str">
        <f>"91997900"</f>
        <v>91997900</v>
      </c>
      <c r="C1108" t="str">
        <f>"91997901"</f>
        <v>91997901</v>
      </c>
      <c r="D1108" t="str">
        <f>"801"</f>
        <v>801</v>
      </c>
      <c r="E1108" t="str">
        <f>"89301082"</f>
        <v>89301082</v>
      </c>
      <c r="F1108" t="str">
        <f>"8355064982"</f>
        <v>8355064982</v>
      </c>
      <c r="G1108" s="1">
        <v>44593</v>
      </c>
      <c r="H1108" t="str">
        <f>"09119"</f>
        <v>09119</v>
      </c>
      <c r="I1108">
        <v>1</v>
      </c>
      <c r="J1108">
        <v>42</v>
      </c>
      <c r="K1108">
        <v>0</v>
      </c>
      <c r="L1108">
        <v>32.76</v>
      </c>
    </row>
    <row r="1109" spans="1:12" x14ac:dyDescent="0.25">
      <c r="A1109" t="str">
        <f t="shared" si="219"/>
        <v>89301000</v>
      </c>
      <c r="B1109" t="str">
        <f>"91997900"</f>
        <v>91997900</v>
      </c>
      <c r="C1109" t="str">
        <f>"91997901"</f>
        <v>91997901</v>
      </c>
      <c r="D1109" t="str">
        <f>"801"</f>
        <v>801</v>
      </c>
      <c r="E1109" t="str">
        <f>"89301082"</f>
        <v>89301082</v>
      </c>
      <c r="F1109" t="str">
        <f>"8355064982"</f>
        <v>8355064982</v>
      </c>
      <c r="G1109" s="1">
        <v>44593</v>
      </c>
      <c r="H1109" t="str">
        <f>"97111"</f>
        <v>97111</v>
      </c>
      <c r="I1109">
        <v>1</v>
      </c>
      <c r="J1109">
        <v>18</v>
      </c>
      <c r="K1109">
        <v>0</v>
      </c>
      <c r="L1109">
        <v>14.04</v>
      </c>
    </row>
    <row r="1110" spans="1:12" x14ac:dyDescent="0.25">
      <c r="A1110" t="str">
        <f t="shared" si="219"/>
        <v>89301000</v>
      </c>
      <c r="B1110" t="str">
        <f>"93201000"</f>
        <v>93201000</v>
      </c>
      <c r="C1110" t="str">
        <f>"93201130"</f>
        <v>93201130</v>
      </c>
      <c r="D1110" t="str">
        <f>"818"</f>
        <v>818</v>
      </c>
      <c r="E1110" t="str">
        <f>"89301167"</f>
        <v>89301167</v>
      </c>
      <c r="F1110" t="str">
        <f>"5504081473"</f>
        <v>5504081473</v>
      </c>
      <c r="G1110" s="1">
        <v>44613</v>
      </c>
      <c r="H1110" t="str">
        <f>"96167"</f>
        <v>96167</v>
      </c>
      <c r="I1110">
        <v>1</v>
      </c>
      <c r="J1110">
        <v>67</v>
      </c>
      <c r="K1110">
        <v>0</v>
      </c>
      <c r="L1110">
        <v>60.97</v>
      </c>
    </row>
    <row r="1111" spans="1:12" x14ac:dyDescent="0.25">
      <c r="A1111" t="str">
        <f t="shared" si="219"/>
        <v>89301000</v>
      </c>
      <c r="B1111" t="str">
        <f>"86210300"</f>
        <v>86210300</v>
      </c>
      <c r="C1111" t="str">
        <f>"86210220"</f>
        <v>86210220</v>
      </c>
      <c r="D1111" t="str">
        <f t="shared" ref="D1111:D1124" si="224">"809"</f>
        <v>809</v>
      </c>
      <c r="E1111" t="str">
        <f t="shared" ref="E1111:E1117" si="225">"89301212"</f>
        <v>89301212</v>
      </c>
      <c r="F1111" t="str">
        <f>"7558225290"</f>
        <v>7558225290</v>
      </c>
      <c r="G1111" s="1">
        <v>44602</v>
      </c>
      <c r="H1111" t="str">
        <f>"89312"</f>
        <v>89312</v>
      </c>
      <c r="I1111">
        <v>3</v>
      </c>
      <c r="J1111">
        <v>906</v>
      </c>
      <c r="K1111">
        <v>0</v>
      </c>
      <c r="L1111">
        <v>951.3</v>
      </c>
    </row>
    <row r="1112" spans="1:12" x14ac:dyDescent="0.25">
      <c r="A1112" t="str">
        <f t="shared" si="219"/>
        <v>89301000</v>
      </c>
      <c r="B1112" t="str">
        <f t="shared" ref="B1112:B1125" si="226">"93201000"</f>
        <v>93201000</v>
      </c>
      <c r="C1112" t="str">
        <f t="shared" ref="C1112:C1124" si="227">"93201350"</f>
        <v>93201350</v>
      </c>
      <c r="D1112" t="str">
        <f t="shared" si="224"/>
        <v>809</v>
      </c>
      <c r="E1112" t="str">
        <f t="shared" si="225"/>
        <v>89301212</v>
      </c>
      <c r="F1112" t="str">
        <f>"390716412"</f>
        <v>390716412</v>
      </c>
      <c r="G1112" s="1">
        <v>44620</v>
      </c>
      <c r="H1112" t="str">
        <f>"89611"</f>
        <v>89611</v>
      </c>
      <c r="I1112">
        <v>1</v>
      </c>
      <c r="J1112">
        <v>2241</v>
      </c>
      <c r="K1112">
        <v>0</v>
      </c>
      <c r="L1112">
        <v>1344.6</v>
      </c>
    </row>
    <row r="1113" spans="1:12" x14ac:dyDescent="0.25">
      <c r="A1113" t="str">
        <f t="shared" si="219"/>
        <v>89301000</v>
      </c>
      <c r="B1113" t="str">
        <f t="shared" si="226"/>
        <v>93201000</v>
      </c>
      <c r="C1113" t="str">
        <f t="shared" si="227"/>
        <v>93201350</v>
      </c>
      <c r="D1113" t="str">
        <f t="shared" si="224"/>
        <v>809</v>
      </c>
      <c r="E1113" t="str">
        <f t="shared" si="225"/>
        <v>89301212</v>
      </c>
      <c r="F1113" t="str">
        <f>"390716412"</f>
        <v>390716412</v>
      </c>
      <c r="G1113" s="1">
        <v>44620</v>
      </c>
      <c r="H1113" t="str">
        <f>"0137480"</f>
        <v>0137480</v>
      </c>
      <c r="I1113">
        <v>0.14000000000000001</v>
      </c>
      <c r="K1113">
        <v>703.38</v>
      </c>
      <c r="L1113">
        <v>703.38</v>
      </c>
    </row>
    <row r="1114" spans="1:12" x14ac:dyDescent="0.25">
      <c r="A1114" t="str">
        <f t="shared" si="219"/>
        <v>89301000</v>
      </c>
      <c r="B1114" t="str">
        <f t="shared" si="226"/>
        <v>93201000</v>
      </c>
      <c r="C1114" t="str">
        <f t="shared" si="227"/>
        <v>93201350</v>
      </c>
      <c r="D1114" t="str">
        <f t="shared" si="224"/>
        <v>809</v>
      </c>
      <c r="E1114" t="str">
        <f t="shared" si="225"/>
        <v>89301212</v>
      </c>
      <c r="F1114" t="str">
        <f>"7054305753"</f>
        <v>7054305753</v>
      </c>
      <c r="G1114" s="1">
        <v>44613</v>
      </c>
      <c r="H1114" t="str">
        <f>"89617"</f>
        <v>89617</v>
      </c>
      <c r="I1114">
        <v>1</v>
      </c>
      <c r="J1114">
        <v>1332</v>
      </c>
      <c r="K1114">
        <v>0</v>
      </c>
      <c r="L1114">
        <v>799.2</v>
      </c>
    </row>
    <row r="1115" spans="1:12" x14ac:dyDescent="0.25">
      <c r="A1115" t="str">
        <f t="shared" si="219"/>
        <v>89301000</v>
      </c>
      <c r="B1115" t="str">
        <f t="shared" si="226"/>
        <v>93201000</v>
      </c>
      <c r="C1115" t="str">
        <f t="shared" si="227"/>
        <v>93201350</v>
      </c>
      <c r="D1115" t="str">
        <f t="shared" si="224"/>
        <v>809</v>
      </c>
      <c r="E1115" t="str">
        <f t="shared" si="225"/>
        <v>89301212</v>
      </c>
      <c r="F1115" t="str">
        <f>"7054305753"</f>
        <v>7054305753</v>
      </c>
      <c r="G1115" s="1">
        <v>44613</v>
      </c>
      <c r="H1115" t="str">
        <f>"89619"</f>
        <v>89619</v>
      </c>
      <c r="I1115">
        <v>1</v>
      </c>
      <c r="J1115">
        <v>1210</v>
      </c>
      <c r="K1115">
        <v>0</v>
      </c>
      <c r="L1115">
        <v>726</v>
      </c>
    </row>
    <row r="1116" spans="1:12" x14ac:dyDescent="0.25">
      <c r="A1116" t="str">
        <f t="shared" si="219"/>
        <v>89301000</v>
      </c>
      <c r="B1116" t="str">
        <f t="shared" si="226"/>
        <v>93201000</v>
      </c>
      <c r="C1116" t="str">
        <f t="shared" si="227"/>
        <v>93201350</v>
      </c>
      <c r="D1116" t="str">
        <f t="shared" si="224"/>
        <v>809</v>
      </c>
      <c r="E1116" t="str">
        <f t="shared" si="225"/>
        <v>89301212</v>
      </c>
      <c r="F1116" t="str">
        <f>"7054305753"</f>
        <v>7054305753</v>
      </c>
      <c r="G1116" s="1">
        <v>44613</v>
      </c>
      <c r="H1116" t="str">
        <f>"0137480"</f>
        <v>0137480</v>
      </c>
      <c r="I1116">
        <v>0.16</v>
      </c>
      <c r="K1116">
        <v>803.86</v>
      </c>
      <c r="L1116">
        <v>803.86</v>
      </c>
    </row>
    <row r="1117" spans="1:12" x14ac:dyDescent="0.25">
      <c r="A1117" t="str">
        <f t="shared" si="219"/>
        <v>89301000</v>
      </c>
      <c r="B1117" t="str">
        <f t="shared" si="226"/>
        <v>93201000</v>
      </c>
      <c r="C1117" t="str">
        <f t="shared" si="227"/>
        <v>93201350</v>
      </c>
      <c r="D1117" t="str">
        <f t="shared" si="224"/>
        <v>809</v>
      </c>
      <c r="E1117" t="str">
        <f t="shared" si="225"/>
        <v>89301212</v>
      </c>
      <c r="F1117" t="str">
        <f>"7054305753"</f>
        <v>7054305753</v>
      </c>
      <c r="G1117" s="1">
        <v>44613</v>
      </c>
      <c r="H1117" t="str">
        <f>"0096278"</f>
        <v>0096278</v>
      </c>
      <c r="I1117">
        <v>5.0000000000000001E-3</v>
      </c>
      <c r="K1117">
        <v>97.23</v>
      </c>
      <c r="L1117">
        <v>97.23</v>
      </c>
    </row>
    <row r="1118" spans="1:12" x14ac:dyDescent="0.25">
      <c r="A1118" t="str">
        <f t="shared" si="219"/>
        <v>89301000</v>
      </c>
      <c r="B1118" t="str">
        <f t="shared" si="226"/>
        <v>93201000</v>
      </c>
      <c r="C1118" t="str">
        <f t="shared" si="227"/>
        <v>93201350</v>
      </c>
      <c r="D1118" t="str">
        <f t="shared" si="224"/>
        <v>809</v>
      </c>
      <c r="E1118" t="str">
        <f>"89301062"</f>
        <v>89301062</v>
      </c>
      <c r="F1118" t="str">
        <f>"7703093508"</f>
        <v>7703093508</v>
      </c>
      <c r="G1118" s="1">
        <v>44595</v>
      </c>
      <c r="H1118" t="str">
        <f>"89615"</f>
        <v>89615</v>
      </c>
      <c r="I1118">
        <v>1</v>
      </c>
      <c r="J1118">
        <v>2170</v>
      </c>
      <c r="K1118">
        <v>0</v>
      </c>
      <c r="L1118">
        <v>1302</v>
      </c>
    </row>
    <row r="1119" spans="1:12" x14ac:dyDescent="0.25">
      <c r="A1119" t="str">
        <f t="shared" si="219"/>
        <v>89301000</v>
      </c>
      <c r="B1119" t="str">
        <f t="shared" si="226"/>
        <v>93201000</v>
      </c>
      <c r="C1119" t="str">
        <f t="shared" si="227"/>
        <v>93201350</v>
      </c>
      <c r="D1119" t="str">
        <f t="shared" si="224"/>
        <v>809</v>
      </c>
      <c r="E1119" t="str">
        <f t="shared" ref="E1119:E1124" si="228">"89301212"</f>
        <v>89301212</v>
      </c>
      <c r="F1119" t="str">
        <f>"6053211131"</f>
        <v>6053211131</v>
      </c>
      <c r="G1119" s="1">
        <v>44601</v>
      </c>
      <c r="H1119" t="str">
        <f>"89512"</f>
        <v>89512</v>
      </c>
      <c r="I1119">
        <v>1</v>
      </c>
      <c r="J1119">
        <v>277</v>
      </c>
      <c r="K1119">
        <v>0</v>
      </c>
      <c r="L1119">
        <v>387.8</v>
      </c>
    </row>
    <row r="1120" spans="1:12" x14ac:dyDescent="0.25">
      <c r="A1120" t="str">
        <f t="shared" si="219"/>
        <v>89301000</v>
      </c>
      <c r="B1120" t="str">
        <f t="shared" si="226"/>
        <v>93201000</v>
      </c>
      <c r="C1120" t="str">
        <f t="shared" si="227"/>
        <v>93201350</v>
      </c>
      <c r="D1120" t="str">
        <f t="shared" si="224"/>
        <v>809</v>
      </c>
      <c r="E1120" t="str">
        <f t="shared" si="228"/>
        <v>89301212</v>
      </c>
      <c r="F1120" t="str">
        <f>"6053211131"</f>
        <v>6053211131</v>
      </c>
      <c r="G1120" s="1">
        <v>44601</v>
      </c>
      <c r="H1120" t="str">
        <f>"89180"</f>
        <v>89180</v>
      </c>
      <c r="I1120">
        <v>2</v>
      </c>
      <c r="J1120">
        <v>752</v>
      </c>
      <c r="K1120">
        <v>0</v>
      </c>
      <c r="L1120">
        <v>1052.8</v>
      </c>
    </row>
    <row r="1121" spans="1:12" x14ac:dyDescent="0.25">
      <c r="A1121" t="str">
        <f t="shared" si="219"/>
        <v>89301000</v>
      </c>
      <c r="B1121" t="str">
        <f t="shared" si="226"/>
        <v>93201000</v>
      </c>
      <c r="C1121" t="str">
        <f t="shared" si="227"/>
        <v>93201350</v>
      </c>
      <c r="D1121" t="str">
        <f t="shared" si="224"/>
        <v>809</v>
      </c>
      <c r="E1121" t="str">
        <f t="shared" si="228"/>
        <v>89301212</v>
      </c>
      <c r="F1121" t="str">
        <f>"6561210733"</f>
        <v>6561210733</v>
      </c>
      <c r="G1121" s="1">
        <v>44600</v>
      </c>
      <c r="H1121" t="str">
        <f>"89180"</f>
        <v>89180</v>
      </c>
      <c r="I1121">
        <v>2</v>
      </c>
      <c r="J1121">
        <v>752</v>
      </c>
      <c r="K1121">
        <v>0</v>
      </c>
      <c r="L1121">
        <v>1052.8</v>
      </c>
    </row>
    <row r="1122" spans="1:12" x14ac:dyDescent="0.25">
      <c r="A1122" t="str">
        <f t="shared" si="219"/>
        <v>89301000</v>
      </c>
      <c r="B1122" t="str">
        <f t="shared" si="226"/>
        <v>93201000</v>
      </c>
      <c r="C1122" t="str">
        <f t="shared" si="227"/>
        <v>93201350</v>
      </c>
      <c r="D1122" t="str">
        <f t="shared" si="224"/>
        <v>809</v>
      </c>
      <c r="E1122" t="str">
        <f t="shared" si="228"/>
        <v>89301212</v>
      </c>
      <c r="F1122" t="str">
        <f>"6561210733"</f>
        <v>6561210733</v>
      </c>
      <c r="G1122" s="1">
        <v>44600</v>
      </c>
      <c r="H1122" t="str">
        <f>"89512"</f>
        <v>89512</v>
      </c>
      <c r="I1122">
        <v>1</v>
      </c>
      <c r="J1122">
        <v>277</v>
      </c>
      <c r="K1122">
        <v>0</v>
      </c>
      <c r="L1122">
        <v>387.8</v>
      </c>
    </row>
    <row r="1123" spans="1:12" x14ac:dyDescent="0.25">
      <c r="A1123" t="str">
        <f t="shared" si="219"/>
        <v>89301000</v>
      </c>
      <c r="B1123" t="str">
        <f t="shared" si="226"/>
        <v>93201000</v>
      </c>
      <c r="C1123" t="str">
        <f t="shared" si="227"/>
        <v>93201350</v>
      </c>
      <c r="D1123" t="str">
        <f t="shared" si="224"/>
        <v>809</v>
      </c>
      <c r="E1123" t="str">
        <f t="shared" si="228"/>
        <v>89301212</v>
      </c>
      <c r="F1123" t="str">
        <f>"5953090660"</f>
        <v>5953090660</v>
      </c>
      <c r="G1123" s="1">
        <v>44601</v>
      </c>
      <c r="H1123" t="str">
        <f>"89180"</f>
        <v>89180</v>
      </c>
      <c r="I1123">
        <v>2</v>
      </c>
      <c r="J1123">
        <v>752</v>
      </c>
      <c r="K1123">
        <v>0</v>
      </c>
      <c r="L1123">
        <v>1052.8</v>
      </c>
    </row>
    <row r="1124" spans="1:12" x14ac:dyDescent="0.25">
      <c r="A1124" t="str">
        <f t="shared" si="219"/>
        <v>89301000</v>
      </c>
      <c r="B1124" t="str">
        <f t="shared" si="226"/>
        <v>93201000</v>
      </c>
      <c r="C1124" t="str">
        <f t="shared" si="227"/>
        <v>93201350</v>
      </c>
      <c r="D1124" t="str">
        <f t="shared" si="224"/>
        <v>809</v>
      </c>
      <c r="E1124" t="str">
        <f t="shared" si="228"/>
        <v>89301212</v>
      </c>
      <c r="F1124" t="str">
        <f>"5953090660"</f>
        <v>5953090660</v>
      </c>
      <c r="G1124" s="1">
        <v>44601</v>
      </c>
      <c r="H1124" t="str">
        <f>"89512"</f>
        <v>89512</v>
      </c>
      <c r="I1124">
        <v>1</v>
      </c>
      <c r="J1124">
        <v>277</v>
      </c>
      <c r="K1124">
        <v>0</v>
      </c>
      <c r="L1124">
        <v>387.8</v>
      </c>
    </row>
    <row r="1125" spans="1:12" x14ac:dyDescent="0.25">
      <c r="A1125" t="str">
        <f t="shared" si="219"/>
        <v>89301000</v>
      </c>
      <c r="B1125" t="str">
        <f t="shared" si="226"/>
        <v>93201000</v>
      </c>
      <c r="C1125" t="str">
        <f>"93201355"</f>
        <v>93201355</v>
      </c>
      <c r="D1125" t="str">
        <f>"810"</f>
        <v>810</v>
      </c>
      <c r="E1125" t="str">
        <f>"89301062"</f>
        <v>89301062</v>
      </c>
      <c r="F1125" t="str">
        <f>"6360140875"</f>
        <v>6360140875</v>
      </c>
      <c r="G1125" s="1">
        <v>44601</v>
      </c>
      <c r="H1125" t="str">
        <f>"89713"</f>
        <v>89713</v>
      </c>
      <c r="I1125">
        <v>1</v>
      </c>
      <c r="J1125">
        <v>5362</v>
      </c>
      <c r="K1125">
        <v>0</v>
      </c>
      <c r="L1125">
        <v>3217.2</v>
      </c>
    </row>
    <row r="1126" spans="1:12" x14ac:dyDescent="0.25">
      <c r="A1126" t="str">
        <f t="shared" si="219"/>
        <v>89301000</v>
      </c>
      <c r="B1126" t="str">
        <f t="shared" ref="B1126:B1135" si="229">"85600000"</f>
        <v>85600000</v>
      </c>
      <c r="C1126" t="str">
        <f t="shared" ref="C1126:C1135" si="230">"85600421"</f>
        <v>85600421</v>
      </c>
      <c r="D1126" t="str">
        <f t="shared" ref="D1126:D1135" si="231">"809"</f>
        <v>809</v>
      </c>
      <c r="E1126" t="str">
        <f t="shared" ref="E1126:E1135" si="232">"89301212"</f>
        <v>89301212</v>
      </c>
      <c r="F1126" t="str">
        <f>"7455264850"</f>
        <v>7455264850</v>
      </c>
      <c r="G1126" s="1">
        <v>44613</v>
      </c>
      <c r="H1126" t="str">
        <f>"89180"</f>
        <v>89180</v>
      </c>
      <c r="I1126">
        <v>1</v>
      </c>
      <c r="J1126">
        <v>376</v>
      </c>
      <c r="K1126">
        <v>0</v>
      </c>
      <c r="L1126">
        <v>526.4</v>
      </c>
    </row>
    <row r="1127" spans="1:12" x14ac:dyDescent="0.25">
      <c r="A1127" t="str">
        <f t="shared" si="219"/>
        <v>89301000</v>
      </c>
      <c r="B1127" t="str">
        <f t="shared" si="229"/>
        <v>85600000</v>
      </c>
      <c r="C1127" t="str">
        <f t="shared" si="230"/>
        <v>85600421</v>
      </c>
      <c r="D1127" t="str">
        <f t="shared" si="231"/>
        <v>809</v>
      </c>
      <c r="E1127" t="str">
        <f t="shared" si="232"/>
        <v>89301212</v>
      </c>
      <c r="F1127" t="str">
        <f>"7455264850"</f>
        <v>7455264850</v>
      </c>
      <c r="G1127" s="1">
        <v>44613</v>
      </c>
      <c r="H1127" t="str">
        <f>"89180"</f>
        <v>89180</v>
      </c>
      <c r="I1127">
        <v>1</v>
      </c>
      <c r="J1127">
        <v>376</v>
      </c>
      <c r="K1127">
        <v>0</v>
      </c>
      <c r="L1127">
        <v>526.4</v>
      </c>
    </row>
    <row r="1128" spans="1:12" x14ac:dyDescent="0.25">
      <c r="A1128" t="str">
        <f t="shared" si="219"/>
        <v>89301000</v>
      </c>
      <c r="B1128" t="str">
        <f t="shared" si="229"/>
        <v>85600000</v>
      </c>
      <c r="C1128" t="str">
        <f t="shared" si="230"/>
        <v>85600421</v>
      </c>
      <c r="D1128" t="str">
        <f t="shared" si="231"/>
        <v>809</v>
      </c>
      <c r="E1128" t="str">
        <f t="shared" si="232"/>
        <v>89301212</v>
      </c>
      <c r="F1128" t="str">
        <f>"7455264850"</f>
        <v>7455264850</v>
      </c>
      <c r="G1128" s="1">
        <v>44613</v>
      </c>
      <c r="H1128" t="str">
        <f>"89512"</f>
        <v>89512</v>
      </c>
      <c r="I1128">
        <v>1</v>
      </c>
      <c r="J1128">
        <v>277</v>
      </c>
      <c r="K1128">
        <v>0</v>
      </c>
      <c r="L1128">
        <v>387.8</v>
      </c>
    </row>
    <row r="1129" spans="1:12" x14ac:dyDescent="0.25">
      <c r="A1129" t="str">
        <f t="shared" si="219"/>
        <v>89301000</v>
      </c>
      <c r="B1129" t="str">
        <f t="shared" si="229"/>
        <v>85600000</v>
      </c>
      <c r="C1129" t="str">
        <f t="shared" si="230"/>
        <v>85600421</v>
      </c>
      <c r="D1129" t="str">
        <f t="shared" si="231"/>
        <v>809</v>
      </c>
      <c r="E1129" t="str">
        <f t="shared" si="232"/>
        <v>89301212</v>
      </c>
      <c r="F1129" t="str">
        <f>"7755215446"</f>
        <v>7755215446</v>
      </c>
      <c r="G1129" s="1">
        <v>44594</v>
      </c>
      <c r="H1129" t="str">
        <f>"89611"</f>
        <v>89611</v>
      </c>
      <c r="I1129">
        <v>1</v>
      </c>
      <c r="J1129">
        <v>2241</v>
      </c>
      <c r="K1129">
        <v>0</v>
      </c>
      <c r="L1129">
        <v>1344.6</v>
      </c>
    </row>
    <row r="1130" spans="1:12" x14ac:dyDescent="0.25">
      <c r="A1130" t="str">
        <f t="shared" si="219"/>
        <v>89301000</v>
      </c>
      <c r="B1130" t="str">
        <f t="shared" si="229"/>
        <v>85600000</v>
      </c>
      <c r="C1130" t="str">
        <f t="shared" si="230"/>
        <v>85600421</v>
      </c>
      <c r="D1130" t="str">
        <f t="shared" si="231"/>
        <v>809</v>
      </c>
      <c r="E1130" t="str">
        <f t="shared" si="232"/>
        <v>89301212</v>
      </c>
      <c r="F1130" t="str">
        <f>"7755215446"</f>
        <v>7755215446</v>
      </c>
      <c r="G1130" s="1">
        <v>44594</v>
      </c>
      <c r="H1130" t="str">
        <f>"89611"</f>
        <v>89611</v>
      </c>
      <c r="I1130">
        <v>1</v>
      </c>
      <c r="J1130">
        <v>2241</v>
      </c>
      <c r="K1130">
        <v>0</v>
      </c>
      <c r="L1130">
        <v>1344.6</v>
      </c>
    </row>
    <row r="1131" spans="1:12" x14ac:dyDescent="0.25">
      <c r="A1131" t="str">
        <f t="shared" si="219"/>
        <v>89301000</v>
      </c>
      <c r="B1131" t="str">
        <f t="shared" si="229"/>
        <v>85600000</v>
      </c>
      <c r="C1131" t="str">
        <f t="shared" si="230"/>
        <v>85600421</v>
      </c>
      <c r="D1131" t="str">
        <f t="shared" si="231"/>
        <v>809</v>
      </c>
      <c r="E1131" t="str">
        <f t="shared" si="232"/>
        <v>89301212</v>
      </c>
      <c r="F1131" t="str">
        <f>"7755215446"</f>
        <v>7755215446</v>
      </c>
      <c r="G1131" s="1">
        <v>44594</v>
      </c>
      <c r="H1131" t="str">
        <f>"0137480"</f>
        <v>0137480</v>
      </c>
      <c r="I1131">
        <v>0.1</v>
      </c>
      <c r="K1131">
        <v>495.42</v>
      </c>
      <c r="L1131">
        <v>495.42</v>
      </c>
    </row>
    <row r="1132" spans="1:12" x14ac:dyDescent="0.25">
      <c r="A1132" t="str">
        <f t="shared" si="219"/>
        <v>89301000</v>
      </c>
      <c r="B1132" t="str">
        <f t="shared" si="229"/>
        <v>85600000</v>
      </c>
      <c r="C1132" t="str">
        <f t="shared" si="230"/>
        <v>85600421</v>
      </c>
      <c r="D1132" t="str">
        <f t="shared" si="231"/>
        <v>809</v>
      </c>
      <c r="E1132" t="str">
        <f t="shared" si="232"/>
        <v>89301212</v>
      </c>
      <c r="F1132" t="str">
        <f>"7755215446"</f>
        <v>7755215446</v>
      </c>
      <c r="G1132" s="1">
        <v>44594</v>
      </c>
      <c r="H1132" t="str">
        <f>"0137480"</f>
        <v>0137480</v>
      </c>
      <c r="I1132">
        <v>0.1</v>
      </c>
      <c r="K1132">
        <v>495.42</v>
      </c>
      <c r="L1132">
        <v>495.42</v>
      </c>
    </row>
    <row r="1133" spans="1:12" x14ac:dyDescent="0.25">
      <c r="A1133" t="str">
        <f t="shared" si="219"/>
        <v>89301000</v>
      </c>
      <c r="B1133" t="str">
        <f t="shared" si="229"/>
        <v>85600000</v>
      </c>
      <c r="C1133" t="str">
        <f t="shared" si="230"/>
        <v>85600421</v>
      </c>
      <c r="D1133" t="str">
        <f t="shared" si="231"/>
        <v>809</v>
      </c>
      <c r="E1133" t="str">
        <f t="shared" si="232"/>
        <v>89301212</v>
      </c>
      <c r="F1133" t="str">
        <f>"7455264850"</f>
        <v>7455264850</v>
      </c>
      <c r="G1133" s="1">
        <v>44613</v>
      </c>
      <c r="H1133" t="str">
        <f>"89514"</f>
        <v>89514</v>
      </c>
      <c r="I1133">
        <v>1</v>
      </c>
      <c r="J1133">
        <v>371</v>
      </c>
      <c r="K1133">
        <v>0</v>
      </c>
      <c r="L1133">
        <v>519.4</v>
      </c>
    </row>
    <row r="1134" spans="1:12" x14ac:dyDescent="0.25">
      <c r="A1134" t="str">
        <f t="shared" si="219"/>
        <v>89301000</v>
      </c>
      <c r="B1134" t="str">
        <f t="shared" si="229"/>
        <v>85600000</v>
      </c>
      <c r="C1134" t="str">
        <f t="shared" si="230"/>
        <v>85600421</v>
      </c>
      <c r="D1134" t="str">
        <f t="shared" si="231"/>
        <v>809</v>
      </c>
      <c r="E1134" t="str">
        <f t="shared" si="232"/>
        <v>89301212</v>
      </c>
      <c r="F1134" t="str">
        <f>"7455264850"</f>
        <v>7455264850</v>
      </c>
      <c r="G1134" s="1">
        <v>44613</v>
      </c>
      <c r="H1134" t="str">
        <f>"89513"</f>
        <v>89513</v>
      </c>
      <c r="I1134">
        <v>1</v>
      </c>
      <c r="J1134">
        <v>371</v>
      </c>
      <c r="K1134">
        <v>0</v>
      </c>
      <c r="L1134">
        <v>519.4</v>
      </c>
    </row>
    <row r="1135" spans="1:12" x14ac:dyDescent="0.25">
      <c r="A1135" t="str">
        <f t="shared" si="219"/>
        <v>89301000</v>
      </c>
      <c r="B1135" t="str">
        <f t="shared" si="229"/>
        <v>85600000</v>
      </c>
      <c r="C1135" t="str">
        <f t="shared" si="230"/>
        <v>85600421</v>
      </c>
      <c r="D1135" t="str">
        <f t="shared" si="231"/>
        <v>809</v>
      </c>
      <c r="E1135" t="str">
        <f t="shared" si="232"/>
        <v>89301212</v>
      </c>
      <c r="F1135" t="str">
        <f>"7455264850"</f>
        <v>7455264850</v>
      </c>
      <c r="G1135" s="1">
        <v>44613</v>
      </c>
      <c r="H1135" t="str">
        <f>"89517"</f>
        <v>89517</v>
      </c>
      <c r="I1135">
        <v>1</v>
      </c>
      <c r="J1135">
        <v>970</v>
      </c>
      <c r="K1135">
        <v>0</v>
      </c>
      <c r="L1135">
        <v>1358</v>
      </c>
    </row>
    <row r="1136" spans="1:12" x14ac:dyDescent="0.25">
      <c r="A1136" t="str">
        <f t="shared" si="219"/>
        <v>89301000</v>
      </c>
      <c r="B1136" t="str">
        <f t="shared" ref="B1136:B1168" si="233">"88805000"</f>
        <v>88805000</v>
      </c>
      <c r="C1136" t="str">
        <f t="shared" ref="C1136:C1147" si="234">"88805014"</f>
        <v>88805014</v>
      </c>
      <c r="D1136" t="str">
        <f t="shared" ref="D1136:D1147" si="235">"816"</f>
        <v>816</v>
      </c>
      <c r="E1136" t="str">
        <f t="shared" ref="E1136:E1147" si="236">"89301282"</f>
        <v>89301282</v>
      </c>
      <c r="F1136" t="str">
        <f>"7407165315"</f>
        <v>7407165315</v>
      </c>
      <c r="G1136" s="1">
        <v>44592</v>
      </c>
      <c r="H1136" t="str">
        <f>"94221"</f>
        <v>94221</v>
      </c>
      <c r="I1136">
        <v>1</v>
      </c>
      <c r="J1136">
        <v>2453</v>
      </c>
      <c r="K1136">
        <v>0</v>
      </c>
      <c r="L1136">
        <v>2085.0500000000002</v>
      </c>
    </row>
    <row r="1137" spans="1:12" x14ac:dyDescent="0.25">
      <c r="A1137" t="str">
        <f t="shared" si="219"/>
        <v>89301000</v>
      </c>
      <c r="B1137" t="str">
        <f t="shared" si="233"/>
        <v>88805000</v>
      </c>
      <c r="C1137" t="str">
        <f t="shared" si="234"/>
        <v>88805014</v>
      </c>
      <c r="D1137" t="str">
        <f t="shared" si="235"/>
        <v>816</v>
      </c>
      <c r="E1137" t="str">
        <f t="shared" si="236"/>
        <v>89301282</v>
      </c>
      <c r="F1137" t="str">
        <f>"7407165315"</f>
        <v>7407165315</v>
      </c>
      <c r="G1137" s="1">
        <v>44592</v>
      </c>
      <c r="H1137" t="str">
        <f>"94948"</f>
        <v>94948</v>
      </c>
      <c r="I1137">
        <v>1</v>
      </c>
      <c r="J1137">
        <v>0</v>
      </c>
      <c r="K1137">
        <v>0</v>
      </c>
      <c r="L1137">
        <v>0</v>
      </c>
    </row>
    <row r="1138" spans="1:12" x14ac:dyDescent="0.25">
      <c r="A1138" t="str">
        <f t="shared" si="219"/>
        <v>89301000</v>
      </c>
      <c r="B1138" t="str">
        <f t="shared" si="233"/>
        <v>88805000</v>
      </c>
      <c r="C1138" t="str">
        <f t="shared" si="234"/>
        <v>88805014</v>
      </c>
      <c r="D1138" t="str">
        <f t="shared" si="235"/>
        <v>816</v>
      </c>
      <c r="E1138" t="str">
        <f t="shared" si="236"/>
        <v>89301282</v>
      </c>
      <c r="F1138" t="str">
        <f>"0959156077"</f>
        <v>0959156077</v>
      </c>
      <c r="G1138" s="1">
        <v>44591</v>
      </c>
      <c r="H1138" t="str">
        <f>"94345"</f>
        <v>94345</v>
      </c>
      <c r="I1138">
        <v>1</v>
      </c>
      <c r="J1138">
        <v>4625</v>
      </c>
      <c r="K1138">
        <v>0</v>
      </c>
      <c r="L1138">
        <v>3931.25</v>
      </c>
    </row>
    <row r="1139" spans="1:12" x14ac:dyDescent="0.25">
      <c r="A1139" t="str">
        <f t="shared" si="219"/>
        <v>89301000</v>
      </c>
      <c r="B1139" t="str">
        <f t="shared" si="233"/>
        <v>88805000</v>
      </c>
      <c r="C1139" t="str">
        <f t="shared" si="234"/>
        <v>88805014</v>
      </c>
      <c r="D1139" t="str">
        <f t="shared" si="235"/>
        <v>816</v>
      </c>
      <c r="E1139" t="str">
        <f t="shared" si="236"/>
        <v>89301282</v>
      </c>
      <c r="F1139" t="str">
        <f>"0959156077"</f>
        <v>0959156077</v>
      </c>
      <c r="G1139" s="1">
        <v>44591</v>
      </c>
      <c r="H1139" t="str">
        <f>"94948"</f>
        <v>94948</v>
      </c>
      <c r="I1139">
        <v>1</v>
      </c>
      <c r="J1139">
        <v>0</v>
      </c>
      <c r="K1139">
        <v>0</v>
      </c>
      <c r="L1139">
        <v>0</v>
      </c>
    </row>
    <row r="1140" spans="1:12" x14ac:dyDescent="0.25">
      <c r="A1140" t="str">
        <f t="shared" si="219"/>
        <v>89301000</v>
      </c>
      <c r="B1140" t="str">
        <f t="shared" si="233"/>
        <v>88805000</v>
      </c>
      <c r="C1140" t="str">
        <f t="shared" si="234"/>
        <v>88805014</v>
      </c>
      <c r="D1140" t="str">
        <f t="shared" si="235"/>
        <v>816</v>
      </c>
      <c r="E1140" t="str">
        <f t="shared" si="236"/>
        <v>89301282</v>
      </c>
      <c r="F1140" t="str">
        <f>"9356306146"</f>
        <v>9356306146</v>
      </c>
      <c r="G1140" s="1">
        <v>44600</v>
      </c>
      <c r="H1140" t="str">
        <f>"94982"</f>
        <v>94982</v>
      </c>
      <c r="I1140">
        <v>1</v>
      </c>
      <c r="J1140">
        <v>0</v>
      </c>
      <c r="K1140">
        <v>27500</v>
      </c>
      <c r="L1140">
        <v>27500</v>
      </c>
    </row>
    <row r="1141" spans="1:12" x14ac:dyDescent="0.25">
      <c r="A1141" t="str">
        <f t="shared" si="219"/>
        <v>89301000</v>
      </c>
      <c r="B1141" t="str">
        <f t="shared" si="233"/>
        <v>88805000</v>
      </c>
      <c r="C1141" t="str">
        <f t="shared" si="234"/>
        <v>88805014</v>
      </c>
      <c r="D1141" t="str">
        <f t="shared" si="235"/>
        <v>816</v>
      </c>
      <c r="E1141" t="str">
        <f t="shared" si="236"/>
        <v>89301282</v>
      </c>
      <c r="F1141" t="str">
        <f>"9356306146"</f>
        <v>9356306146</v>
      </c>
      <c r="G1141" s="1">
        <v>44600</v>
      </c>
      <c r="H1141" t="str">
        <f>"94996"</f>
        <v>94996</v>
      </c>
      <c r="I1141">
        <v>1</v>
      </c>
      <c r="J1141">
        <v>0</v>
      </c>
      <c r="K1141">
        <v>0</v>
      </c>
      <c r="L1141">
        <v>0</v>
      </c>
    </row>
    <row r="1142" spans="1:12" x14ac:dyDescent="0.25">
      <c r="A1142" t="str">
        <f t="shared" si="219"/>
        <v>89301000</v>
      </c>
      <c r="B1142" t="str">
        <f t="shared" si="233"/>
        <v>88805000</v>
      </c>
      <c r="C1142" t="str">
        <f t="shared" si="234"/>
        <v>88805014</v>
      </c>
      <c r="D1142" t="str">
        <f t="shared" si="235"/>
        <v>816</v>
      </c>
      <c r="E1142" t="str">
        <f t="shared" si="236"/>
        <v>89301282</v>
      </c>
      <c r="F1142" t="str">
        <f>"0312295709"</f>
        <v>0312295709</v>
      </c>
      <c r="G1142" s="1">
        <v>44615</v>
      </c>
      <c r="H1142" t="str">
        <f>"94982"</f>
        <v>94982</v>
      </c>
      <c r="I1142">
        <v>1</v>
      </c>
      <c r="J1142">
        <v>0</v>
      </c>
      <c r="K1142">
        <v>27500</v>
      </c>
      <c r="L1142">
        <v>27500</v>
      </c>
    </row>
    <row r="1143" spans="1:12" x14ac:dyDescent="0.25">
      <c r="A1143" t="str">
        <f t="shared" si="219"/>
        <v>89301000</v>
      </c>
      <c r="B1143" t="str">
        <f t="shared" si="233"/>
        <v>88805000</v>
      </c>
      <c r="C1143" t="str">
        <f t="shared" si="234"/>
        <v>88805014</v>
      </c>
      <c r="D1143" t="str">
        <f t="shared" si="235"/>
        <v>816</v>
      </c>
      <c r="E1143" t="str">
        <f t="shared" si="236"/>
        <v>89301282</v>
      </c>
      <c r="F1143" t="str">
        <f>"0312295709"</f>
        <v>0312295709</v>
      </c>
      <c r="G1143" s="1">
        <v>44615</v>
      </c>
      <c r="H1143" t="str">
        <f>"94996"</f>
        <v>94996</v>
      </c>
      <c r="I1143">
        <v>1</v>
      </c>
      <c r="J1143">
        <v>0</v>
      </c>
      <c r="K1143">
        <v>0</v>
      </c>
      <c r="L1143">
        <v>0</v>
      </c>
    </row>
    <row r="1144" spans="1:12" x14ac:dyDescent="0.25">
      <c r="A1144" t="str">
        <f t="shared" si="219"/>
        <v>89301000</v>
      </c>
      <c r="B1144" t="str">
        <f t="shared" si="233"/>
        <v>88805000</v>
      </c>
      <c r="C1144" t="str">
        <f t="shared" si="234"/>
        <v>88805014</v>
      </c>
      <c r="D1144" t="str">
        <f t="shared" si="235"/>
        <v>816</v>
      </c>
      <c r="E1144" t="str">
        <f t="shared" si="236"/>
        <v>89301282</v>
      </c>
      <c r="F1144" t="str">
        <f>"7102234249"</f>
        <v>7102234249</v>
      </c>
      <c r="G1144" s="1">
        <v>44614</v>
      </c>
      <c r="H1144" t="str">
        <f>"94983"</f>
        <v>94983</v>
      </c>
      <c r="I1144">
        <v>1</v>
      </c>
      <c r="J1144">
        <v>0</v>
      </c>
      <c r="K1144">
        <v>39600</v>
      </c>
      <c r="L1144">
        <v>39600</v>
      </c>
    </row>
    <row r="1145" spans="1:12" x14ac:dyDescent="0.25">
      <c r="A1145" t="str">
        <f t="shared" si="219"/>
        <v>89301000</v>
      </c>
      <c r="B1145" t="str">
        <f t="shared" si="233"/>
        <v>88805000</v>
      </c>
      <c r="C1145" t="str">
        <f t="shared" si="234"/>
        <v>88805014</v>
      </c>
      <c r="D1145" t="str">
        <f t="shared" si="235"/>
        <v>816</v>
      </c>
      <c r="E1145" t="str">
        <f t="shared" si="236"/>
        <v>89301282</v>
      </c>
      <c r="F1145" t="str">
        <f>"7102234249"</f>
        <v>7102234249</v>
      </c>
      <c r="G1145" s="1">
        <v>44614</v>
      </c>
      <c r="H1145" t="str">
        <f>"94996"</f>
        <v>94996</v>
      </c>
      <c r="I1145">
        <v>1</v>
      </c>
      <c r="J1145">
        <v>0</v>
      </c>
      <c r="K1145">
        <v>0</v>
      </c>
      <c r="L1145">
        <v>0</v>
      </c>
    </row>
    <row r="1146" spans="1:12" x14ac:dyDescent="0.25">
      <c r="A1146" t="str">
        <f t="shared" si="219"/>
        <v>89301000</v>
      </c>
      <c r="B1146" t="str">
        <f t="shared" si="233"/>
        <v>88805000</v>
      </c>
      <c r="C1146" t="str">
        <f t="shared" si="234"/>
        <v>88805014</v>
      </c>
      <c r="D1146" t="str">
        <f t="shared" si="235"/>
        <v>816</v>
      </c>
      <c r="E1146" t="str">
        <f t="shared" si="236"/>
        <v>89301282</v>
      </c>
      <c r="F1146" t="str">
        <f>"6852080114"</f>
        <v>6852080114</v>
      </c>
      <c r="G1146" s="1">
        <v>44614</v>
      </c>
      <c r="H1146" t="str">
        <f>"94983"</f>
        <v>94983</v>
      </c>
      <c r="I1146">
        <v>1</v>
      </c>
      <c r="J1146">
        <v>0</v>
      </c>
      <c r="K1146">
        <v>39600</v>
      </c>
      <c r="L1146">
        <v>39600</v>
      </c>
    </row>
    <row r="1147" spans="1:12" x14ac:dyDescent="0.25">
      <c r="A1147" t="str">
        <f t="shared" si="219"/>
        <v>89301000</v>
      </c>
      <c r="B1147" t="str">
        <f t="shared" si="233"/>
        <v>88805000</v>
      </c>
      <c r="C1147" t="str">
        <f t="shared" si="234"/>
        <v>88805014</v>
      </c>
      <c r="D1147" t="str">
        <f t="shared" si="235"/>
        <v>816</v>
      </c>
      <c r="E1147" t="str">
        <f t="shared" si="236"/>
        <v>89301282</v>
      </c>
      <c r="F1147" t="str">
        <f>"6852080114"</f>
        <v>6852080114</v>
      </c>
      <c r="G1147" s="1">
        <v>44614</v>
      </c>
      <c r="H1147" t="str">
        <f>"94996"</f>
        <v>94996</v>
      </c>
      <c r="I1147">
        <v>1</v>
      </c>
      <c r="J1147">
        <v>0</v>
      </c>
      <c r="K1147">
        <v>0</v>
      </c>
      <c r="L1147">
        <v>0</v>
      </c>
    </row>
    <row r="1148" spans="1:12" x14ac:dyDescent="0.25">
      <c r="A1148" t="str">
        <f t="shared" si="219"/>
        <v>89301000</v>
      </c>
      <c r="B1148" t="str">
        <f t="shared" si="233"/>
        <v>88805000</v>
      </c>
      <c r="C1148" t="str">
        <f t="shared" ref="C1148:C1168" si="237">"88805001"</f>
        <v>88805001</v>
      </c>
      <c r="D1148" t="str">
        <f t="shared" ref="D1148:D1168" si="238">"801"</f>
        <v>801</v>
      </c>
      <c r="E1148" t="str">
        <f t="shared" ref="E1148:E1157" si="239">"89301082"</f>
        <v>89301082</v>
      </c>
      <c r="F1148" t="str">
        <f>"8252224948"</f>
        <v>8252224948</v>
      </c>
      <c r="G1148" s="1">
        <v>44613</v>
      </c>
      <c r="H1148" t="str">
        <f>"93129"</f>
        <v>93129</v>
      </c>
      <c r="I1148">
        <v>1</v>
      </c>
      <c r="J1148">
        <v>168</v>
      </c>
      <c r="K1148">
        <v>0</v>
      </c>
      <c r="L1148">
        <v>131.04</v>
      </c>
    </row>
    <row r="1149" spans="1:12" x14ac:dyDescent="0.25">
      <c r="A1149" t="str">
        <f t="shared" si="219"/>
        <v>89301000</v>
      </c>
      <c r="B1149" t="str">
        <f t="shared" si="233"/>
        <v>88805000</v>
      </c>
      <c r="C1149" t="str">
        <f t="shared" si="237"/>
        <v>88805001</v>
      </c>
      <c r="D1149" t="str">
        <f t="shared" si="238"/>
        <v>801</v>
      </c>
      <c r="E1149" t="str">
        <f t="shared" si="239"/>
        <v>89301082</v>
      </c>
      <c r="F1149" t="str">
        <f>"8252224948"</f>
        <v>8252224948</v>
      </c>
      <c r="G1149" s="1">
        <v>44613</v>
      </c>
      <c r="H1149" t="str">
        <f>"93133"</f>
        <v>93133</v>
      </c>
      <c r="I1149">
        <v>1</v>
      </c>
      <c r="J1149">
        <v>168</v>
      </c>
      <c r="K1149">
        <v>0</v>
      </c>
      <c r="L1149">
        <v>131.04</v>
      </c>
    </row>
    <row r="1150" spans="1:12" x14ac:dyDescent="0.25">
      <c r="A1150" t="str">
        <f t="shared" si="219"/>
        <v>89301000</v>
      </c>
      <c r="B1150" t="str">
        <f t="shared" si="233"/>
        <v>88805000</v>
      </c>
      <c r="C1150" t="str">
        <f t="shared" si="237"/>
        <v>88805001</v>
      </c>
      <c r="D1150" t="str">
        <f t="shared" si="238"/>
        <v>801</v>
      </c>
      <c r="E1150" t="str">
        <f t="shared" si="239"/>
        <v>89301082</v>
      </c>
      <c r="F1150" t="str">
        <f>"8252224948"</f>
        <v>8252224948</v>
      </c>
      <c r="G1150" s="1">
        <v>44613</v>
      </c>
      <c r="H1150" t="str">
        <f>"93149"</f>
        <v>93149</v>
      </c>
      <c r="I1150">
        <v>1</v>
      </c>
      <c r="J1150">
        <v>204</v>
      </c>
      <c r="K1150">
        <v>0</v>
      </c>
      <c r="L1150">
        <v>159.12</v>
      </c>
    </row>
    <row r="1151" spans="1:12" x14ac:dyDescent="0.25">
      <c r="A1151" t="str">
        <f t="shared" si="219"/>
        <v>89301000</v>
      </c>
      <c r="B1151" t="str">
        <f t="shared" si="233"/>
        <v>88805000</v>
      </c>
      <c r="C1151" t="str">
        <f t="shared" si="237"/>
        <v>88805001</v>
      </c>
      <c r="D1151" t="str">
        <f t="shared" si="238"/>
        <v>801</v>
      </c>
      <c r="E1151" t="str">
        <f t="shared" si="239"/>
        <v>89301082</v>
      </c>
      <c r="F1151" t="str">
        <f>"8252224948"</f>
        <v>8252224948</v>
      </c>
      <c r="G1151" s="1">
        <v>44613</v>
      </c>
      <c r="H1151" t="str">
        <f>"97111"</f>
        <v>97111</v>
      </c>
      <c r="I1151">
        <v>1</v>
      </c>
      <c r="J1151">
        <v>18</v>
      </c>
      <c r="K1151">
        <v>0</v>
      </c>
      <c r="L1151">
        <v>14.04</v>
      </c>
    </row>
    <row r="1152" spans="1:12" x14ac:dyDescent="0.25">
      <c r="A1152" t="str">
        <f t="shared" si="219"/>
        <v>89301000</v>
      </c>
      <c r="B1152" t="str">
        <f t="shared" si="233"/>
        <v>88805000</v>
      </c>
      <c r="C1152" t="str">
        <f t="shared" si="237"/>
        <v>88805001</v>
      </c>
      <c r="D1152" t="str">
        <f t="shared" si="238"/>
        <v>801</v>
      </c>
      <c r="E1152" t="str">
        <f t="shared" si="239"/>
        <v>89301082</v>
      </c>
      <c r="F1152" t="str">
        <f>"9360255410"</f>
        <v>9360255410</v>
      </c>
      <c r="G1152" s="1">
        <v>44610</v>
      </c>
      <c r="H1152" t="str">
        <f>"93129"</f>
        <v>93129</v>
      </c>
      <c r="I1152">
        <v>1</v>
      </c>
      <c r="J1152">
        <v>168</v>
      </c>
      <c r="K1152">
        <v>0</v>
      </c>
      <c r="L1152">
        <v>131.04</v>
      </c>
    </row>
    <row r="1153" spans="1:12" x14ac:dyDescent="0.25">
      <c r="A1153" t="str">
        <f t="shared" si="219"/>
        <v>89301000</v>
      </c>
      <c r="B1153" t="str">
        <f t="shared" si="233"/>
        <v>88805000</v>
      </c>
      <c r="C1153" t="str">
        <f t="shared" si="237"/>
        <v>88805001</v>
      </c>
      <c r="D1153" t="str">
        <f t="shared" si="238"/>
        <v>801</v>
      </c>
      <c r="E1153" t="str">
        <f t="shared" si="239"/>
        <v>89301082</v>
      </c>
      <c r="F1153" t="str">
        <f>"9360255410"</f>
        <v>9360255410</v>
      </c>
      <c r="G1153" s="1">
        <v>44610</v>
      </c>
      <c r="H1153" t="str">
        <f>"93133"</f>
        <v>93133</v>
      </c>
      <c r="I1153">
        <v>1</v>
      </c>
      <c r="J1153">
        <v>168</v>
      </c>
      <c r="K1153">
        <v>0</v>
      </c>
      <c r="L1153">
        <v>131.04</v>
      </c>
    </row>
    <row r="1154" spans="1:12" x14ac:dyDescent="0.25">
      <c r="A1154" t="str">
        <f t="shared" ref="A1154:A1217" si="240">"89301000"</f>
        <v>89301000</v>
      </c>
      <c r="B1154" t="str">
        <f t="shared" si="233"/>
        <v>88805000</v>
      </c>
      <c r="C1154" t="str">
        <f t="shared" si="237"/>
        <v>88805001</v>
      </c>
      <c r="D1154" t="str">
        <f t="shared" si="238"/>
        <v>801</v>
      </c>
      <c r="E1154" t="str">
        <f t="shared" si="239"/>
        <v>89301082</v>
      </c>
      <c r="F1154" t="str">
        <f>"9360255410"</f>
        <v>9360255410</v>
      </c>
      <c r="G1154" s="1">
        <v>44610</v>
      </c>
      <c r="H1154" t="str">
        <f>"93149"</f>
        <v>93149</v>
      </c>
      <c r="I1154">
        <v>1</v>
      </c>
      <c r="J1154">
        <v>204</v>
      </c>
      <c r="K1154">
        <v>0</v>
      </c>
      <c r="L1154">
        <v>159.12</v>
      </c>
    </row>
    <row r="1155" spans="1:12" x14ac:dyDescent="0.25">
      <c r="A1155" t="str">
        <f t="shared" si="240"/>
        <v>89301000</v>
      </c>
      <c r="B1155" t="str">
        <f t="shared" si="233"/>
        <v>88805000</v>
      </c>
      <c r="C1155" t="str">
        <f t="shared" si="237"/>
        <v>88805001</v>
      </c>
      <c r="D1155" t="str">
        <f t="shared" si="238"/>
        <v>801</v>
      </c>
      <c r="E1155" t="str">
        <f t="shared" si="239"/>
        <v>89301082</v>
      </c>
      <c r="F1155" t="str">
        <f>"9360255410"</f>
        <v>9360255410</v>
      </c>
      <c r="G1155" s="1">
        <v>44610</v>
      </c>
      <c r="H1155" t="str">
        <f>"97111"</f>
        <v>97111</v>
      </c>
      <c r="I1155">
        <v>1</v>
      </c>
      <c r="J1155">
        <v>18</v>
      </c>
      <c r="K1155">
        <v>0</v>
      </c>
      <c r="L1155">
        <v>14.04</v>
      </c>
    </row>
    <row r="1156" spans="1:12" x14ac:dyDescent="0.25">
      <c r="A1156" t="str">
        <f t="shared" si="240"/>
        <v>89301000</v>
      </c>
      <c r="B1156" t="str">
        <f t="shared" si="233"/>
        <v>88805000</v>
      </c>
      <c r="C1156" t="str">
        <f t="shared" si="237"/>
        <v>88805001</v>
      </c>
      <c r="D1156" t="str">
        <f t="shared" si="238"/>
        <v>801</v>
      </c>
      <c r="E1156" t="str">
        <f t="shared" si="239"/>
        <v>89301082</v>
      </c>
      <c r="F1156" t="str">
        <f>"8252085424"</f>
        <v>8252085424</v>
      </c>
      <c r="G1156" s="1">
        <v>44615</v>
      </c>
      <c r="H1156" t="str">
        <f>"93159"</f>
        <v>93159</v>
      </c>
      <c r="I1156">
        <v>1</v>
      </c>
      <c r="J1156">
        <v>195</v>
      </c>
      <c r="K1156">
        <v>0</v>
      </c>
      <c r="L1156">
        <v>152.1</v>
      </c>
    </row>
    <row r="1157" spans="1:12" x14ac:dyDescent="0.25">
      <c r="A1157" t="str">
        <f t="shared" si="240"/>
        <v>89301000</v>
      </c>
      <c r="B1157" t="str">
        <f t="shared" si="233"/>
        <v>88805000</v>
      </c>
      <c r="C1157" t="str">
        <f t="shared" si="237"/>
        <v>88805001</v>
      </c>
      <c r="D1157" t="str">
        <f t="shared" si="238"/>
        <v>801</v>
      </c>
      <c r="E1157" t="str">
        <f t="shared" si="239"/>
        <v>89301082</v>
      </c>
      <c r="F1157" t="str">
        <f>"8252085424"</f>
        <v>8252085424</v>
      </c>
      <c r="G1157" s="1">
        <v>44615</v>
      </c>
      <c r="H1157" t="str">
        <f>"97111"</f>
        <v>97111</v>
      </c>
      <c r="I1157">
        <v>1</v>
      </c>
      <c r="J1157">
        <v>18</v>
      </c>
      <c r="K1157">
        <v>0</v>
      </c>
      <c r="L1157">
        <v>14.04</v>
      </c>
    </row>
    <row r="1158" spans="1:12" x14ac:dyDescent="0.25">
      <c r="A1158" t="str">
        <f t="shared" si="240"/>
        <v>89301000</v>
      </c>
      <c r="B1158" t="str">
        <f t="shared" si="233"/>
        <v>88805000</v>
      </c>
      <c r="C1158" t="str">
        <f t="shared" si="237"/>
        <v>88805001</v>
      </c>
      <c r="D1158" t="str">
        <f t="shared" si="238"/>
        <v>801</v>
      </c>
      <c r="E1158" t="str">
        <f>"89301108"</f>
        <v>89301108</v>
      </c>
      <c r="F1158" t="str">
        <f>"1859160336"</f>
        <v>1859160336</v>
      </c>
      <c r="G1158" s="1">
        <v>44615</v>
      </c>
      <c r="H1158" t="str">
        <f>"97111"</f>
        <v>97111</v>
      </c>
      <c r="I1158">
        <v>1</v>
      </c>
      <c r="J1158">
        <v>18</v>
      </c>
      <c r="K1158">
        <v>0</v>
      </c>
      <c r="L1158">
        <v>14.04</v>
      </c>
    </row>
    <row r="1159" spans="1:12" x14ac:dyDescent="0.25">
      <c r="A1159" t="str">
        <f t="shared" si="240"/>
        <v>89301000</v>
      </c>
      <c r="B1159" t="str">
        <f t="shared" si="233"/>
        <v>88805000</v>
      </c>
      <c r="C1159" t="str">
        <f t="shared" si="237"/>
        <v>88805001</v>
      </c>
      <c r="D1159" t="str">
        <f t="shared" si="238"/>
        <v>801</v>
      </c>
      <c r="E1159" t="str">
        <f>"89301702"</f>
        <v>89301702</v>
      </c>
      <c r="F1159" t="str">
        <f>"0404035269"</f>
        <v>0404035269</v>
      </c>
      <c r="G1159" s="1">
        <v>44600</v>
      </c>
      <c r="H1159" t="str">
        <f>"97111"</f>
        <v>97111</v>
      </c>
      <c r="I1159">
        <v>1</v>
      </c>
      <c r="J1159">
        <v>18</v>
      </c>
      <c r="K1159">
        <v>0</v>
      </c>
      <c r="L1159">
        <v>14.04</v>
      </c>
    </row>
    <row r="1160" spans="1:12" x14ac:dyDescent="0.25">
      <c r="A1160" t="str">
        <f t="shared" si="240"/>
        <v>89301000</v>
      </c>
      <c r="B1160" t="str">
        <f t="shared" si="233"/>
        <v>88805000</v>
      </c>
      <c r="C1160" t="str">
        <f t="shared" si="237"/>
        <v>88805001</v>
      </c>
      <c r="D1160" t="str">
        <f t="shared" si="238"/>
        <v>801</v>
      </c>
      <c r="E1160" t="str">
        <f>"89301108"</f>
        <v>89301108</v>
      </c>
      <c r="F1160" t="str">
        <f>"2157180135"</f>
        <v>2157180135</v>
      </c>
      <c r="G1160" s="1">
        <v>44615</v>
      </c>
      <c r="H1160" t="str">
        <f>"97111"</f>
        <v>97111</v>
      </c>
      <c r="I1160">
        <v>1</v>
      </c>
      <c r="J1160">
        <v>18</v>
      </c>
      <c r="K1160">
        <v>0</v>
      </c>
      <c r="L1160">
        <v>14.04</v>
      </c>
    </row>
    <row r="1161" spans="1:12" x14ac:dyDescent="0.25">
      <c r="A1161" t="str">
        <f t="shared" si="240"/>
        <v>89301000</v>
      </c>
      <c r="B1161" t="str">
        <f t="shared" si="233"/>
        <v>88805000</v>
      </c>
      <c r="C1161" t="str">
        <f t="shared" si="237"/>
        <v>88805001</v>
      </c>
      <c r="D1161" t="str">
        <f t="shared" si="238"/>
        <v>801</v>
      </c>
      <c r="E1161" t="str">
        <f>"89301108"</f>
        <v>89301108</v>
      </c>
      <c r="F1161" t="str">
        <f>"0455243547"</f>
        <v>0455243547</v>
      </c>
      <c r="G1161" s="1">
        <v>44600</v>
      </c>
      <c r="H1161" t="str">
        <f>"81631"</f>
        <v>81631</v>
      </c>
      <c r="I1161">
        <v>1</v>
      </c>
      <c r="J1161">
        <v>294</v>
      </c>
      <c r="K1161">
        <v>0</v>
      </c>
      <c r="L1161">
        <v>229.32</v>
      </c>
    </row>
    <row r="1162" spans="1:12" x14ac:dyDescent="0.25">
      <c r="A1162" t="str">
        <f t="shared" si="240"/>
        <v>89301000</v>
      </c>
      <c r="B1162" t="str">
        <f t="shared" si="233"/>
        <v>88805000</v>
      </c>
      <c r="C1162" t="str">
        <f t="shared" si="237"/>
        <v>88805001</v>
      </c>
      <c r="D1162" t="str">
        <f t="shared" si="238"/>
        <v>801</v>
      </c>
      <c r="E1162" t="str">
        <f>"89301108"</f>
        <v>89301108</v>
      </c>
      <c r="F1162" t="str">
        <f>"0455243547"</f>
        <v>0455243547</v>
      </c>
      <c r="G1162" s="1">
        <v>44600</v>
      </c>
      <c r="H1162" t="str">
        <f>"92143"</f>
        <v>92143</v>
      </c>
      <c r="I1162">
        <v>1</v>
      </c>
      <c r="J1162">
        <v>1748</v>
      </c>
      <c r="K1162">
        <v>0</v>
      </c>
      <c r="L1162">
        <v>1363.44</v>
      </c>
    </row>
    <row r="1163" spans="1:12" x14ac:dyDescent="0.25">
      <c r="A1163" t="str">
        <f t="shared" si="240"/>
        <v>89301000</v>
      </c>
      <c r="B1163" t="str">
        <f t="shared" si="233"/>
        <v>88805000</v>
      </c>
      <c r="C1163" t="str">
        <f t="shared" si="237"/>
        <v>88805001</v>
      </c>
      <c r="D1163" t="str">
        <f t="shared" si="238"/>
        <v>801</v>
      </c>
      <c r="E1163" t="str">
        <f>"89301108"</f>
        <v>89301108</v>
      </c>
      <c r="F1163" t="str">
        <f>"1859160336"</f>
        <v>1859160336</v>
      </c>
      <c r="G1163" s="1">
        <v>44615</v>
      </c>
      <c r="H1163" t="str">
        <f>"81631"</f>
        <v>81631</v>
      </c>
      <c r="I1163">
        <v>1</v>
      </c>
      <c r="J1163">
        <v>294</v>
      </c>
      <c r="K1163">
        <v>0</v>
      </c>
      <c r="L1163">
        <v>229.32</v>
      </c>
    </row>
    <row r="1164" spans="1:12" x14ac:dyDescent="0.25">
      <c r="A1164" t="str">
        <f t="shared" si="240"/>
        <v>89301000</v>
      </c>
      <c r="B1164" t="str">
        <f t="shared" si="233"/>
        <v>88805000</v>
      </c>
      <c r="C1164" t="str">
        <f t="shared" si="237"/>
        <v>88805001</v>
      </c>
      <c r="D1164" t="str">
        <f t="shared" si="238"/>
        <v>801</v>
      </c>
      <c r="E1164" t="str">
        <f>"89301108"</f>
        <v>89301108</v>
      </c>
      <c r="F1164" t="str">
        <f>"1859160336"</f>
        <v>1859160336</v>
      </c>
      <c r="G1164" s="1">
        <v>44615</v>
      </c>
      <c r="H1164" t="str">
        <f>"92143"</f>
        <v>92143</v>
      </c>
      <c r="I1164">
        <v>1</v>
      </c>
      <c r="J1164">
        <v>1748</v>
      </c>
      <c r="K1164">
        <v>0</v>
      </c>
      <c r="L1164">
        <v>1363.44</v>
      </c>
    </row>
    <row r="1165" spans="1:12" x14ac:dyDescent="0.25">
      <c r="A1165" t="str">
        <f t="shared" si="240"/>
        <v>89301000</v>
      </c>
      <c r="B1165" t="str">
        <f t="shared" si="233"/>
        <v>88805000</v>
      </c>
      <c r="C1165" t="str">
        <f t="shared" si="237"/>
        <v>88805001</v>
      </c>
      <c r="D1165" t="str">
        <f t="shared" si="238"/>
        <v>801</v>
      </c>
      <c r="E1165" t="str">
        <f>"89301702"</f>
        <v>89301702</v>
      </c>
      <c r="F1165" t="str">
        <f>"0404035269"</f>
        <v>0404035269</v>
      </c>
      <c r="G1165" s="1">
        <v>44600</v>
      </c>
      <c r="H1165" t="str">
        <f>"81631"</f>
        <v>81631</v>
      </c>
      <c r="I1165">
        <v>1</v>
      </c>
      <c r="J1165">
        <v>294</v>
      </c>
      <c r="K1165">
        <v>0</v>
      </c>
      <c r="L1165">
        <v>229.32</v>
      </c>
    </row>
    <row r="1166" spans="1:12" x14ac:dyDescent="0.25">
      <c r="A1166" t="str">
        <f t="shared" si="240"/>
        <v>89301000</v>
      </c>
      <c r="B1166" t="str">
        <f t="shared" si="233"/>
        <v>88805000</v>
      </c>
      <c r="C1166" t="str">
        <f t="shared" si="237"/>
        <v>88805001</v>
      </c>
      <c r="D1166" t="str">
        <f t="shared" si="238"/>
        <v>801</v>
      </c>
      <c r="E1166" t="str">
        <f>"89301702"</f>
        <v>89301702</v>
      </c>
      <c r="F1166" t="str">
        <f>"0404035269"</f>
        <v>0404035269</v>
      </c>
      <c r="G1166" s="1">
        <v>44600</v>
      </c>
      <c r="H1166" t="str">
        <f>"92143"</f>
        <v>92143</v>
      </c>
      <c r="I1166">
        <v>1</v>
      </c>
      <c r="J1166">
        <v>1748</v>
      </c>
      <c r="K1166">
        <v>0</v>
      </c>
      <c r="L1166">
        <v>1363.44</v>
      </c>
    </row>
    <row r="1167" spans="1:12" x14ac:dyDescent="0.25">
      <c r="A1167" t="str">
        <f t="shared" si="240"/>
        <v>89301000</v>
      </c>
      <c r="B1167" t="str">
        <f t="shared" si="233"/>
        <v>88805000</v>
      </c>
      <c r="C1167" t="str">
        <f t="shared" si="237"/>
        <v>88805001</v>
      </c>
      <c r="D1167" t="str">
        <f t="shared" si="238"/>
        <v>801</v>
      </c>
      <c r="E1167" t="str">
        <f>"89301108"</f>
        <v>89301108</v>
      </c>
      <c r="F1167" t="str">
        <f>"2157180135"</f>
        <v>2157180135</v>
      </c>
      <c r="G1167" s="1">
        <v>44615</v>
      </c>
      <c r="H1167" t="str">
        <f>"81631"</f>
        <v>81631</v>
      </c>
      <c r="I1167">
        <v>1</v>
      </c>
      <c r="J1167">
        <v>294</v>
      </c>
      <c r="K1167">
        <v>0</v>
      </c>
      <c r="L1167">
        <v>229.32</v>
      </c>
    </row>
    <row r="1168" spans="1:12" x14ac:dyDescent="0.25">
      <c r="A1168" t="str">
        <f t="shared" si="240"/>
        <v>89301000</v>
      </c>
      <c r="B1168" t="str">
        <f t="shared" si="233"/>
        <v>88805000</v>
      </c>
      <c r="C1168" t="str">
        <f t="shared" si="237"/>
        <v>88805001</v>
      </c>
      <c r="D1168" t="str">
        <f t="shared" si="238"/>
        <v>801</v>
      </c>
      <c r="E1168" t="str">
        <f>"89301108"</f>
        <v>89301108</v>
      </c>
      <c r="F1168" t="str">
        <f>"2157180135"</f>
        <v>2157180135</v>
      </c>
      <c r="G1168" s="1">
        <v>44615</v>
      </c>
      <c r="H1168" t="str">
        <f>"92143"</f>
        <v>92143</v>
      </c>
      <c r="I1168">
        <v>1</v>
      </c>
      <c r="J1168">
        <v>1748</v>
      </c>
      <c r="K1168">
        <v>0</v>
      </c>
      <c r="L1168">
        <v>1363.44</v>
      </c>
    </row>
    <row r="1169" spans="1:12" x14ac:dyDescent="0.25">
      <c r="A1169" t="str">
        <f t="shared" si="240"/>
        <v>89301000</v>
      </c>
      <c r="B1169" t="str">
        <f>"01436000"</f>
        <v>01436000</v>
      </c>
      <c r="C1169" t="str">
        <f>"01436001"</f>
        <v>01436001</v>
      </c>
      <c r="D1169" t="str">
        <f>"816"</f>
        <v>816</v>
      </c>
      <c r="E1169" t="str">
        <f>"89301282"</f>
        <v>89301282</v>
      </c>
      <c r="F1169" t="str">
        <f>"8009225334"</f>
        <v>8009225334</v>
      </c>
      <c r="G1169" s="1">
        <v>44603</v>
      </c>
      <c r="H1169" t="str">
        <f>"94984"</f>
        <v>94984</v>
      </c>
      <c r="I1169">
        <v>1</v>
      </c>
      <c r="J1169">
        <v>0</v>
      </c>
      <c r="K1169">
        <v>57200</v>
      </c>
      <c r="L1169">
        <v>57200</v>
      </c>
    </row>
    <row r="1170" spans="1:12" x14ac:dyDescent="0.25">
      <c r="A1170" t="str">
        <f t="shared" si="240"/>
        <v>89301000</v>
      </c>
      <c r="B1170" t="str">
        <f>"01436000"</f>
        <v>01436000</v>
      </c>
      <c r="C1170" t="str">
        <f>"01436001"</f>
        <v>01436001</v>
      </c>
      <c r="D1170" t="str">
        <f>"816"</f>
        <v>816</v>
      </c>
      <c r="E1170" t="str">
        <f>"89301282"</f>
        <v>89301282</v>
      </c>
      <c r="F1170" t="str">
        <f>"8009225334"</f>
        <v>8009225334</v>
      </c>
      <c r="G1170" s="1">
        <v>44603</v>
      </c>
      <c r="H1170" t="str">
        <f>"94996"</f>
        <v>94996</v>
      </c>
      <c r="I1170">
        <v>1</v>
      </c>
      <c r="J1170">
        <v>0</v>
      </c>
      <c r="K1170">
        <v>0</v>
      </c>
      <c r="L1170">
        <v>0</v>
      </c>
    </row>
    <row r="1171" spans="1:12" x14ac:dyDescent="0.25">
      <c r="A1171" t="str">
        <f t="shared" si="240"/>
        <v>89301000</v>
      </c>
      <c r="B1171" t="str">
        <f t="shared" ref="B1171:B1176" si="241">"86102000"</f>
        <v>86102000</v>
      </c>
      <c r="C1171" t="str">
        <f t="shared" ref="C1171:C1176" si="242">"86102476"</f>
        <v>86102476</v>
      </c>
      <c r="D1171" t="str">
        <f t="shared" ref="D1171:D1176" si="243">"801"</f>
        <v>801</v>
      </c>
      <c r="E1171" t="str">
        <f t="shared" ref="E1171:E1176" si="244">"89301082"</f>
        <v>89301082</v>
      </c>
      <c r="F1171" t="str">
        <f>"8252224948"</f>
        <v>8252224948</v>
      </c>
      <c r="G1171" s="1">
        <v>44613</v>
      </c>
      <c r="H1171" t="str">
        <f>"09119"</f>
        <v>09119</v>
      </c>
      <c r="I1171">
        <v>1</v>
      </c>
      <c r="J1171">
        <v>42</v>
      </c>
      <c r="K1171">
        <v>0</v>
      </c>
      <c r="L1171">
        <v>32.76</v>
      </c>
    </row>
    <row r="1172" spans="1:12" x14ac:dyDescent="0.25">
      <c r="A1172" t="str">
        <f t="shared" si="240"/>
        <v>89301000</v>
      </c>
      <c r="B1172" t="str">
        <f t="shared" si="241"/>
        <v>86102000</v>
      </c>
      <c r="C1172" t="str">
        <f t="shared" si="242"/>
        <v>86102476</v>
      </c>
      <c r="D1172" t="str">
        <f t="shared" si="243"/>
        <v>801</v>
      </c>
      <c r="E1172" t="str">
        <f t="shared" si="244"/>
        <v>89301082</v>
      </c>
      <c r="F1172" t="str">
        <f>"8252224948"</f>
        <v>8252224948</v>
      </c>
      <c r="G1172" s="1">
        <v>44613</v>
      </c>
      <c r="H1172" t="str">
        <f>"93177"</f>
        <v>93177</v>
      </c>
      <c r="I1172">
        <v>1</v>
      </c>
      <c r="J1172">
        <v>178</v>
      </c>
      <c r="K1172">
        <v>0</v>
      </c>
      <c r="L1172">
        <v>138.84</v>
      </c>
    </row>
    <row r="1173" spans="1:12" x14ac:dyDescent="0.25">
      <c r="A1173" t="str">
        <f t="shared" si="240"/>
        <v>89301000</v>
      </c>
      <c r="B1173" t="str">
        <f t="shared" si="241"/>
        <v>86102000</v>
      </c>
      <c r="C1173" t="str">
        <f t="shared" si="242"/>
        <v>86102476</v>
      </c>
      <c r="D1173" t="str">
        <f t="shared" si="243"/>
        <v>801</v>
      </c>
      <c r="E1173" t="str">
        <f t="shared" si="244"/>
        <v>89301082</v>
      </c>
      <c r="F1173" t="str">
        <f>"8252224948"</f>
        <v>8252224948</v>
      </c>
      <c r="G1173" s="1">
        <v>44613</v>
      </c>
      <c r="H1173" t="str">
        <f>"97111"</f>
        <v>97111</v>
      </c>
      <c r="I1173">
        <v>2</v>
      </c>
      <c r="J1173">
        <v>36</v>
      </c>
      <c r="K1173">
        <v>0</v>
      </c>
      <c r="L1173">
        <v>28.08</v>
      </c>
    </row>
    <row r="1174" spans="1:12" x14ac:dyDescent="0.25">
      <c r="A1174" t="str">
        <f t="shared" si="240"/>
        <v>89301000</v>
      </c>
      <c r="B1174" t="str">
        <f t="shared" si="241"/>
        <v>86102000</v>
      </c>
      <c r="C1174" t="str">
        <f t="shared" si="242"/>
        <v>86102476</v>
      </c>
      <c r="D1174" t="str">
        <f t="shared" si="243"/>
        <v>801</v>
      </c>
      <c r="E1174" t="str">
        <f t="shared" si="244"/>
        <v>89301082</v>
      </c>
      <c r="F1174" t="str">
        <f>"9360255410"</f>
        <v>9360255410</v>
      </c>
      <c r="G1174" s="1">
        <v>44610</v>
      </c>
      <c r="H1174" t="str">
        <f>"09119"</f>
        <v>09119</v>
      </c>
      <c r="I1174">
        <v>1</v>
      </c>
      <c r="J1174">
        <v>42</v>
      </c>
      <c r="K1174">
        <v>0</v>
      </c>
      <c r="L1174">
        <v>32.76</v>
      </c>
    </row>
    <row r="1175" spans="1:12" x14ac:dyDescent="0.25">
      <c r="A1175" t="str">
        <f t="shared" si="240"/>
        <v>89301000</v>
      </c>
      <c r="B1175" t="str">
        <f t="shared" si="241"/>
        <v>86102000</v>
      </c>
      <c r="C1175" t="str">
        <f t="shared" si="242"/>
        <v>86102476</v>
      </c>
      <c r="D1175" t="str">
        <f t="shared" si="243"/>
        <v>801</v>
      </c>
      <c r="E1175" t="str">
        <f t="shared" si="244"/>
        <v>89301082</v>
      </c>
      <c r="F1175" t="str">
        <f>"9360255410"</f>
        <v>9360255410</v>
      </c>
      <c r="G1175" s="1">
        <v>44610</v>
      </c>
      <c r="H1175" t="str">
        <f>"93177"</f>
        <v>93177</v>
      </c>
      <c r="I1175">
        <v>1</v>
      </c>
      <c r="J1175">
        <v>178</v>
      </c>
      <c r="K1175">
        <v>0</v>
      </c>
      <c r="L1175">
        <v>138.84</v>
      </c>
    </row>
    <row r="1176" spans="1:12" x14ac:dyDescent="0.25">
      <c r="A1176" t="str">
        <f t="shared" si="240"/>
        <v>89301000</v>
      </c>
      <c r="B1176" t="str">
        <f t="shared" si="241"/>
        <v>86102000</v>
      </c>
      <c r="C1176" t="str">
        <f t="shared" si="242"/>
        <v>86102476</v>
      </c>
      <c r="D1176" t="str">
        <f t="shared" si="243"/>
        <v>801</v>
      </c>
      <c r="E1176" t="str">
        <f t="shared" si="244"/>
        <v>89301082</v>
      </c>
      <c r="F1176" t="str">
        <f>"9360255410"</f>
        <v>9360255410</v>
      </c>
      <c r="G1176" s="1">
        <v>44610</v>
      </c>
      <c r="H1176" t="str">
        <f>"97111"</f>
        <v>97111</v>
      </c>
      <c r="I1176">
        <v>1</v>
      </c>
      <c r="J1176">
        <v>18</v>
      </c>
      <c r="K1176">
        <v>0</v>
      </c>
      <c r="L1176">
        <v>14.04</v>
      </c>
    </row>
    <row r="1177" spans="1:12" x14ac:dyDescent="0.25">
      <c r="A1177" t="str">
        <f t="shared" si="240"/>
        <v>89301000</v>
      </c>
      <c r="B1177" t="str">
        <f t="shared" ref="B1177:B1208" si="245">"10510000"</f>
        <v>10510000</v>
      </c>
      <c r="C1177" t="str">
        <f t="shared" ref="C1177:C1208" si="246">"10510001"</f>
        <v>10510001</v>
      </c>
      <c r="D1177" t="str">
        <f t="shared" ref="D1177:D1208" si="247">"802"</f>
        <v>802</v>
      </c>
      <c r="E1177" t="str">
        <f t="shared" ref="E1177:E1183" si="248">"89301202"</f>
        <v>89301202</v>
      </c>
      <c r="F1177" t="str">
        <f t="shared" ref="F1177:F1183" si="249">"9310275700"</f>
        <v>9310275700</v>
      </c>
      <c r="G1177" s="1">
        <v>44568</v>
      </c>
      <c r="H1177" t="str">
        <f>"82145"</f>
        <v>82145</v>
      </c>
      <c r="I1177">
        <v>9</v>
      </c>
      <c r="J1177">
        <v>513</v>
      </c>
      <c r="K1177">
        <v>0</v>
      </c>
      <c r="L1177">
        <v>466.83</v>
      </c>
    </row>
    <row r="1178" spans="1:12" x14ac:dyDescent="0.25">
      <c r="A1178" t="str">
        <f t="shared" si="240"/>
        <v>89301000</v>
      </c>
      <c r="B1178" t="str">
        <f t="shared" si="245"/>
        <v>10510000</v>
      </c>
      <c r="C1178" t="str">
        <f t="shared" si="246"/>
        <v>10510001</v>
      </c>
      <c r="D1178" t="str">
        <f t="shared" si="247"/>
        <v>802</v>
      </c>
      <c r="E1178" t="str">
        <f t="shared" si="248"/>
        <v>89301202</v>
      </c>
      <c r="F1178" t="str">
        <f t="shared" si="249"/>
        <v>9310275700</v>
      </c>
      <c r="G1178" s="1">
        <v>44568</v>
      </c>
      <c r="H1178" t="str">
        <f>"82111"</f>
        <v>82111</v>
      </c>
      <c r="I1178">
        <v>1</v>
      </c>
      <c r="J1178">
        <v>36</v>
      </c>
      <c r="K1178">
        <v>0</v>
      </c>
      <c r="L1178">
        <v>32.76</v>
      </c>
    </row>
    <row r="1179" spans="1:12" x14ac:dyDescent="0.25">
      <c r="A1179" t="str">
        <f t="shared" si="240"/>
        <v>89301000</v>
      </c>
      <c r="B1179" t="str">
        <f t="shared" si="245"/>
        <v>10510000</v>
      </c>
      <c r="C1179" t="str">
        <f t="shared" si="246"/>
        <v>10510001</v>
      </c>
      <c r="D1179" t="str">
        <f t="shared" si="247"/>
        <v>802</v>
      </c>
      <c r="E1179" t="str">
        <f t="shared" si="248"/>
        <v>89301202</v>
      </c>
      <c r="F1179" t="str">
        <f t="shared" si="249"/>
        <v>9310275700</v>
      </c>
      <c r="G1179" s="1">
        <v>44568</v>
      </c>
      <c r="H1179" t="str">
        <f>"82079"</f>
        <v>82079</v>
      </c>
      <c r="I1179">
        <v>1</v>
      </c>
      <c r="J1179">
        <v>332</v>
      </c>
      <c r="K1179">
        <v>0</v>
      </c>
      <c r="L1179">
        <v>302.12</v>
      </c>
    </row>
    <row r="1180" spans="1:12" x14ac:dyDescent="0.25">
      <c r="A1180" t="str">
        <f t="shared" si="240"/>
        <v>89301000</v>
      </c>
      <c r="B1180" t="str">
        <f t="shared" si="245"/>
        <v>10510000</v>
      </c>
      <c r="C1180" t="str">
        <f t="shared" si="246"/>
        <v>10510001</v>
      </c>
      <c r="D1180" t="str">
        <f t="shared" si="247"/>
        <v>802</v>
      </c>
      <c r="E1180" t="str">
        <f t="shared" si="248"/>
        <v>89301202</v>
      </c>
      <c r="F1180" t="str">
        <f t="shared" si="249"/>
        <v>9310275700</v>
      </c>
      <c r="G1180" s="1">
        <v>44567</v>
      </c>
      <c r="H1180" t="str">
        <f>"82111"</f>
        <v>82111</v>
      </c>
      <c r="I1180">
        <v>1</v>
      </c>
      <c r="J1180">
        <v>36</v>
      </c>
      <c r="K1180">
        <v>0</v>
      </c>
      <c r="L1180">
        <v>32.76</v>
      </c>
    </row>
    <row r="1181" spans="1:12" x14ac:dyDescent="0.25">
      <c r="A1181" t="str">
        <f t="shared" si="240"/>
        <v>89301000</v>
      </c>
      <c r="B1181" t="str">
        <f t="shared" si="245"/>
        <v>10510000</v>
      </c>
      <c r="C1181" t="str">
        <f t="shared" si="246"/>
        <v>10510001</v>
      </c>
      <c r="D1181" t="str">
        <f t="shared" si="247"/>
        <v>802</v>
      </c>
      <c r="E1181" t="str">
        <f t="shared" si="248"/>
        <v>89301202</v>
      </c>
      <c r="F1181" t="str">
        <f t="shared" si="249"/>
        <v>9310275700</v>
      </c>
      <c r="G1181" s="1">
        <v>44568</v>
      </c>
      <c r="H1181" t="str">
        <f>"82113"</f>
        <v>82113</v>
      </c>
      <c r="I1181">
        <v>1</v>
      </c>
      <c r="J1181">
        <v>362</v>
      </c>
      <c r="K1181">
        <v>0</v>
      </c>
      <c r="L1181">
        <v>329.42</v>
      </c>
    </row>
    <row r="1182" spans="1:12" x14ac:dyDescent="0.25">
      <c r="A1182" t="str">
        <f t="shared" si="240"/>
        <v>89301000</v>
      </c>
      <c r="B1182" t="str">
        <f t="shared" si="245"/>
        <v>10510000</v>
      </c>
      <c r="C1182" t="str">
        <f t="shared" si="246"/>
        <v>10510001</v>
      </c>
      <c r="D1182" t="str">
        <f t="shared" si="247"/>
        <v>802</v>
      </c>
      <c r="E1182" t="str">
        <f t="shared" si="248"/>
        <v>89301202</v>
      </c>
      <c r="F1182" t="str">
        <f t="shared" si="249"/>
        <v>9310275700</v>
      </c>
      <c r="G1182" s="1">
        <v>44568</v>
      </c>
      <c r="H1182" t="str">
        <f>"82113"</f>
        <v>82113</v>
      </c>
      <c r="I1182">
        <v>1</v>
      </c>
      <c r="J1182">
        <v>362</v>
      </c>
      <c r="K1182">
        <v>0</v>
      </c>
      <c r="L1182">
        <v>329.42</v>
      </c>
    </row>
    <row r="1183" spans="1:12" x14ac:dyDescent="0.25">
      <c r="A1183" t="str">
        <f t="shared" si="240"/>
        <v>89301000</v>
      </c>
      <c r="B1183" t="str">
        <f t="shared" si="245"/>
        <v>10510000</v>
      </c>
      <c r="C1183" t="str">
        <f t="shared" si="246"/>
        <v>10510001</v>
      </c>
      <c r="D1183" t="str">
        <f t="shared" si="247"/>
        <v>802</v>
      </c>
      <c r="E1183" t="str">
        <f t="shared" si="248"/>
        <v>89301202</v>
      </c>
      <c r="F1183" t="str">
        <f t="shared" si="249"/>
        <v>9310275700</v>
      </c>
      <c r="G1183" s="1">
        <v>44567</v>
      </c>
      <c r="H1183" t="str">
        <f>"97111"</f>
        <v>97111</v>
      </c>
      <c r="I1183">
        <v>1</v>
      </c>
      <c r="J1183">
        <v>18</v>
      </c>
      <c r="K1183">
        <v>0</v>
      </c>
      <c r="L1183">
        <v>16.38</v>
      </c>
    </row>
    <row r="1184" spans="1:12" x14ac:dyDescent="0.25">
      <c r="A1184" t="str">
        <f t="shared" si="240"/>
        <v>89301000</v>
      </c>
      <c r="B1184" t="str">
        <f t="shared" si="245"/>
        <v>10510000</v>
      </c>
      <c r="C1184" t="str">
        <f t="shared" si="246"/>
        <v>10510001</v>
      </c>
      <c r="D1184" t="str">
        <f t="shared" si="247"/>
        <v>802</v>
      </c>
      <c r="E1184" t="str">
        <f t="shared" ref="E1184:E1189" si="250">"89301171"</f>
        <v>89301171</v>
      </c>
      <c r="F1184" t="str">
        <f>"7953224455"</f>
        <v>7953224455</v>
      </c>
      <c r="G1184" s="1">
        <v>44600</v>
      </c>
      <c r="H1184" t="str">
        <f>"82034"</f>
        <v>82034</v>
      </c>
      <c r="I1184">
        <v>1</v>
      </c>
      <c r="J1184">
        <v>348</v>
      </c>
      <c r="K1184">
        <v>0</v>
      </c>
      <c r="L1184">
        <v>316.68</v>
      </c>
    </row>
    <row r="1185" spans="1:12" x14ac:dyDescent="0.25">
      <c r="A1185" t="str">
        <f t="shared" si="240"/>
        <v>89301000</v>
      </c>
      <c r="B1185" t="str">
        <f t="shared" si="245"/>
        <v>10510000</v>
      </c>
      <c r="C1185" t="str">
        <f t="shared" si="246"/>
        <v>10510001</v>
      </c>
      <c r="D1185" t="str">
        <f t="shared" si="247"/>
        <v>802</v>
      </c>
      <c r="E1185" t="str">
        <f t="shared" si="250"/>
        <v>89301171</v>
      </c>
      <c r="F1185" t="str">
        <f>"7953224455"</f>
        <v>7953224455</v>
      </c>
      <c r="G1185" s="1">
        <v>44600</v>
      </c>
      <c r="H1185" t="str">
        <f>"82041"</f>
        <v>82041</v>
      </c>
      <c r="I1185">
        <v>1</v>
      </c>
      <c r="J1185">
        <v>1090</v>
      </c>
      <c r="K1185">
        <v>0</v>
      </c>
      <c r="L1185">
        <v>991.9</v>
      </c>
    </row>
    <row r="1186" spans="1:12" x14ac:dyDescent="0.25">
      <c r="A1186" t="str">
        <f t="shared" si="240"/>
        <v>89301000</v>
      </c>
      <c r="B1186" t="str">
        <f t="shared" si="245"/>
        <v>10510000</v>
      </c>
      <c r="C1186" t="str">
        <f t="shared" si="246"/>
        <v>10510001</v>
      </c>
      <c r="D1186" t="str">
        <f t="shared" si="247"/>
        <v>802</v>
      </c>
      <c r="E1186" t="str">
        <f t="shared" si="250"/>
        <v>89301171</v>
      </c>
      <c r="F1186" t="str">
        <f>"7953224455"</f>
        <v>7953224455</v>
      </c>
      <c r="G1186" s="1">
        <v>44600</v>
      </c>
      <c r="H1186" t="str">
        <f>"82041"</f>
        <v>82041</v>
      </c>
      <c r="I1186">
        <v>1</v>
      </c>
      <c r="J1186">
        <v>1090</v>
      </c>
      <c r="K1186">
        <v>0</v>
      </c>
      <c r="L1186">
        <v>991.9</v>
      </c>
    </row>
    <row r="1187" spans="1:12" x14ac:dyDescent="0.25">
      <c r="A1187" t="str">
        <f t="shared" si="240"/>
        <v>89301000</v>
      </c>
      <c r="B1187" t="str">
        <f t="shared" si="245"/>
        <v>10510000</v>
      </c>
      <c r="C1187" t="str">
        <f t="shared" si="246"/>
        <v>10510001</v>
      </c>
      <c r="D1187" t="str">
        <f t="shared" si="247"/>
        <v>802</v>
      </c>
      <c r="E1187" t="str">
        <f t="shared" si="250"/>
        <v>89301171</v>
      </c>
      <c r="F1187" t="str">
        <f>"7307055305"</f>
        <v>7307055305</v>
      </c>
      <c r="G1187" s="1">
        <v>44600</v>
      </c>
      <c r="H1187" t="str">
        <f>"82041"</f>
        <v>82041</v>
      </c>
      <c r="I1187">
        <v>1</v>
      </c>
      <c r="J1187">
        <v>1090</v>
      </c>
      <c r="K1187">
        <v>0</v>
      </c>
      <c r="L1187">
        <v>991.9</v>
      </c>
    </row>
    <row r="1188" spans="1:12" x14ac:dyDescent="0.25">
      <c r="A1188" t="str">
        <f t="shared" si="240"/>
        <v>89301000</v>
      </c>
      <c r="B1188" t="str">
        <f t="shared" si="245"/>
        <v>10510000</v>
      </c>
      <c r="C1188" t="str">
        <f t="shared" si="246"/>
        <v>10510001</v>
      </c>
      <c r="D1188" t="str">
        <f t="shared" si="247"/>
        <v>802</v>
      </c>
      <c r="E1188" t="str">
        <f t="shared" si="250"/>
        <v>89301171</v>
      </c>
      <c r="F1188" t="str">
        <f>"7307055305"</f>
        <v>7307055305</v>
      </c>
      <c r="G1188" s="1">
        <v>44600</v>
      </c>
      <c r="H1188" t="str">
        <f>"82041"</f>
        <v>82041</v>
      </c>
      <c r="I1188">
        <v>1</v>
      </c>
      <c r="J1188">
        <v>1090</v>
      </c>
      <c r="K1188">
        <v>0</v>
      </c>
      <c r="L1188">
        <v>991.9</v>
      </c>
    </row>
    <row r="1189" spans="1:12" x14ac:dyDescent="0.25">
      <c r="A1189" t="str">
        <f t="shared" si="240"/>
        <v>89301000</v>
      </c>
      <c r="B1189" t="str">
        <f t="shared" si="245"/>
        <v>10510000</v>
      </c>
      <c r="C1189" t="str">
        <f t="shared" si="246"/>
        <v>10510001</v>
      </c>
      <c r="D1189" t="str">
        <f t="shared" si="247"/>
        <v>802</v>
      </c>
      <c r="E1189" t="str">
        <f t="shared" si="250"/>
        <v>89301171</v>
      </c>
      <c r="F1189" t="str">
        <f>"7307055305"</f>
        <v>7307055305</v>
      </c>
      <c r="G1189" s="1">
        <v>44600</v>
      </c>
      <c r="H1189" t="str">
        <f>"82034"</f>
        <v>82034</v>
      </c>
      <c r="I1189">
        <v>1</v>
      </c>
      <c r="J1189">
        <v>348</v>
      </c>
      <c r="K1189">
        <v>0</v>
      </c>
      <c r="L1189">
        <v>316.68</v>
      </c>
    </row>
    <row r="1190" spans="1:12" x14ac:dyDescent="0.25">
      <c r="A1190" t="str">
        <f t="shared" si="240"/>
        <v>89301000</v>
      </c>
      <c r="B1190" t="str">
        <f t="shared" si="245"/>
        <v>10510000</v>
      </c>
      <c r="C1190" t="str">
        <f t="shared" si="246"/>
        <v>10510001</v>
      </c>
      <c r="D1190" t="str">
        <f t="shared" si="247"/>
        <v>802</v>
      </c>
      <c r="E1190" t="str">
        <f>"89301161"</f>
        <v>89301161</v>
      </c>
      <c r="F1190" t="str">
        <f>"8853156026"</f>
        <v>8853156026</v>
      </c>
      <c r="G1190" s="1">
        <v>44600</v>
      </c>
      <c r="H1190" t="str">
        <f>"82034"</f>
        <v>82034</v>
      </c>
      <c r="I1190">
        <v>1</v>
      </c>
      <c r="J1190">
        <v>348</v>
      </c>
      <c r="K1190">
        <v>0</v>
      </c>
      <c r="L1190">
        <v>316.68</v>
      </c>
    </row>
    <row r="1191" spans="1:12" x14ac:dyDescent="0.25">
      <c r="A1191" t="str">
        <f t="shared" si="240"/>
        <v>89301000</v>
      </c>
      <c r="B1191" t="str">
        <f t="shared" si="245"/>
        <v>10510000</v>
      </c>
      <c r="C1191" t="str">
        <f t="shared" si="246"/>
        <v>10510001</v>
      </c>
      <c r="D1191" t="str">
        <f t="shared" si="247"/>
        <v>802</v>
      </c>
      <c r="E1191" t="str">
        <f>"89301161"</f>
        <v>89301161</v>
      </c>
      <c r="F1191" t="str">
        <f>"8853156026"</f>
        <v>8853156026</v>
      </c>
      <c r="G1191" s="1">
        <v>44600</v>
      </c>
      <c r="H1191" t="str">
        <f>"82041"</f>
        <v>82041</v>
      </c>
      <c r="I1191">
        <v>1</v>
      </c>
      <c r="J1191">
        <v>1090</v>
      </c>
      <c r="K1191">
        <v>0</v>
      </c>
      <c r="L1191">
        <v>991.9</v>
      </c>
    </row>
    <row r="1192" spans="1:12" x14ac:dyDescent="0.25">
      <c r="A1192" t="str">
        <f t="shared" si="240"/>
        <v>89301000</v>
      </c>
      <c r="B1192" t="str">
        <f t="shared" si="245"/>
        <v>10510000</v>
      </c>
      <c r="C1192" t="str">
        <f t="shared" si="246"/>
        <v>10510001</v>
      </c>
      <c r="D1192" t="str">
        <f t="shared" si="247"/>
        <v>802</v>
      </c>
      <c r="E1192" t="str">
        <f>"89301161"</f>
        <v>89301161</v>
      </c>
      <c r="F1192" t="str">
        <f>"8853156026"</f>
        <v>8853156026</v>
      </c>
      <c r="G1192" s="1">
        <v>44600</v>
      </c>
      <c r="H1192" t="str">
        <f>"82041"</f>
        <v>82041</v>
      </c>
      <c r="I1192">
        <v>1</v>
      </c>
      <c r="J1192">
        <v>1090</v>
      </c>
      <c r="K1192">
        <v>0</v>
      </c>
      <c r="L1192">
        <v>991.9</v>
      </c>
    </row>
    <row r="1193" spans="1:12" x14ac:dyDescent="0.25">
      <c r="A1193" t="str">
        <f t="shared" si="240"/>
        <v>89301000</v>
      </c>
      <c r="B1193" t="str">
        <f t="shared" si="245"/>
        <v>10510000</v>
      </c>
      <c r="C1193" t="str">
        <f t="shared" si="246"/>
        <v>10510001</v>
      </c>
      <c r="D1193" t="str">
        <f t="shared" si="247"/>
        <v>802</v>
      </c>
      <c r="E1193" t="str">
        <f>"89301172"</f>
        <v>89301172</v>
      </c>
      <c r="F1193" t="str">
        <f>"7702025309"</f>
        <v>7702025309</v>
      </c>
      <c r="G1193" s="1">
        <v>44600</v>
      </c>
      <c r="H1193" t="str">
        <f>"82034"</f>
        <v>82034</v>
      </c>
      <c r="I1193">
        <v>1</v>
      </c>
      <c r="J1193">
        <v>348</v>
      </c>
      <c r="K1193">
        <v>0</v>
      </c>
      <c r="L1193">
        <v>316.68</v>
      </c>
    </row>
    <row r="1194" spans="1:12" x14ac:dyDescent="0.25">
      <c r="A1194" t="str">
        <f t="shared" si="240"/>
        <v>89301000</v>
      </c>
      <c r="B1194" t="str">
        <f t="shared" si="245"/>
        <v>10510000</v>
      </c>
      <c r="C1194" t="str">
        <f t="shared" si="246"/>
        <v>10510001</v>
      </c>
      <c r="D1194" t="str">
        <f t="shared" si="247"/>
        <v>802</v>
      </c>
      <c r="E1194" t="str">
        <f>"89301172"</f>
        <v>89301172</v>
      </c>
      <c r="F1194" t="str">
        <f>"7702025309"</f>
        <v>7702025309</v>
      </c>
      <c r="G1194" s="1">
        <v>44600</v>
      </c>
      <c r="H1194" t="str">
        <f>"82041"</f>
        <v>82041</v>
      </c>
      <c r="I1194">
        <v>1</v>
      </c>
      <c r="J1194">
        <v>1090</v>
      </c>
      <c r="K1194">
        <v>0</v>
      </c>
      <c r="L1194">
        <v>991.9</v>
      </c>
    </row>
    <row r="1195" spans="1:12" x14ac:dyDescent="0.25">
      <c r="A1195" t="str">
        <f t="shared" si="240"/>
        <v>89301000</v>
      </c>
      <c r="B1195" t="str">
        <f t="shared" si="245"/>
        <v>10510000</v>
      </c>
      <c r="C1195" t="str">
        <f t="shared" si="246"/>
        <v>10510001</v>
      </c>
      <c r="D1195" t="str">
        <f t="shared" si="247"/>
        <v>802</v>
      </c>
      <c r="E1195" t="str">
        <f>"89301172"</f>
        <v>89301172</v>
      </c>
      <c r="F1195" t="str">
        <f>"7702025309"</f>
        <v>7702025309</v>
      </c>
      <c r="G1195" s="1">
        <v>44600</v>
      </c>
      <c r="H1195" t="str">
        <f>"82041"</f>
        <v>82041</v>
      </c>
      <c r="I1195">
        <v>1</v>
      </c>
      <c r="J1195">
        <v>1090</v>
      </c>
      <c r="K1195">
        <v>0</v>
      </c>
      <c r="L1195">
        <v>991.9</v>
      </c>
    </row>
    <row r="1196" spans="1:12" x14ac:dyDescent="0.25">
      <c r="A1196" t="str">
        <f t="shared" si="240"/>
        <v>89301000</v>
      </c>
      <c r="B1196" t="str">
        <f t="shared" si="245"/>
        <v>10510000</v>
      </c>
      <c r="C1196" t="str">
        <f t="shared" si="246"/>
        <v>10510001</v>
      </c>
      <c r="D1196" t="str">
        <f t="shared" si="247"/>
        <v>802</v>
      </c>
      <c r="E1196" t="str">
        <f>"89301171"</f>
        <v>89301171</v>
      </c>
      <c r="F1196" t="str">
        <f>"8604166219"</f>
        <v>8604166219</v>
      </c>
      <c r="G1196" s="1">
        <v>44609</v>
      </c>
      <c r="H1196" t="str">
        <f>"82034"</f>
        <v>82034</v>
      </c>
      <c r="I1196">
        <v>1</v>
      </c>
      <c r="J1196">
        <v>348</v>
      </c>
      <c r="K1196">
        <v>0</v>
      </c>
      <c r="L1196">
        <v>316.68</v>
      </c>
    </row>
    <row r="1197" spans="1:12" x14ac:dyDescent="0.25">
      <c r="A1197" t="str">
        <f t="shared" si="240"/>
        <v>89301000</v>
      </c>
      <c r="B1197" t="str">
        <f t="shared" si="245"/>
        <v>10510000</v>
      </c>
      <c r="C1197" t="str">
        <f t="shared" si="246"/>
        <v>10510001</v>
      </c>
      <c r="D1197" t="str">
        <f t="shared" si="247"/>
        <v>802</v>
      </c>
      <c r="E1197" t="str">
        <f>"89301171"</f>
        <v>89301171</v>
      </c>
      <c r="F1197" t="str">
        <f>"8604166219"</f>
        <v>8604166219</v>
      </c>
      <c r="G1197" s="1">
        <v>44609</v>
      </c>
      <c r="H1197" t="str">
        <f>"82041"</f>
        <v>82041</v>
      </c>
      <c r="I1197">
        <v>1</v>
      </c>
      <c r="J1197">
        <v>1090</v>
      </c>
      <c r="K1197">
        <v>0</v>
      </c>
      <c r="L1197">
        <v>991.9</v>
      </c>
    </row>
    <row r="1198" spans="1:12" x14ac:dyDescent="0.25">
      <c r="A1198" t="str">
        <f t="shared" si="240"/>
        <v>89301000</v>
      </c>
      <c r="B1198" t="str">
        <f t="shared" si="245"/>
        <v>10510000</v>
      </c>
      <c r="C1198" t="str">
        <f t="shared" si="246"/>
        <v>10510001</v>
      </c>
      <c r="D1198" t="str">
        <f t="shared" si="247"/>
        <v>802</v>
      </c>
      <c r="E1198" t="str">
        <f>"89301171"</f>
        <v>89301171</v>
      </c>
      <c r="F1198" t="str">
        <f>"8604166219"</f>
        <v>8604166219</v>
      </c>
      <c r="G1198" s="1">
        <v>44609</v>
      </c>
      <c r="H1198" t="str">
        <f>"82041"</f>
        <v>82041</v>
      </c>
      <c r="I1198">
        <v>1</v>
      </c>
      <c r="J1198">
        <v>1090</v>
      </c>
      <c r="K1198">
        <v>0</v>
      </c>
      <c r="L1198">
        <v>991.9</v>
      </c>
    </row>
    <row r="1199" spans="1:12" x14ac:dyDescent="0.25">
      <c r="A1199" t="str">
        <f t="shared" si="240"/>
        <v>89301000</v>
      </c>
      <c r="B1199" t="str">
        <f t="shared" si="245"/>
        <v>10510000</v>
      </c>
      <c r="C1199" t="str">
        <f t="shared" si="246"/>
        <v>10510001</v>
      </c>
      <c r="D1199" t="str">
        <f t="shared" si="247"/>
        <v>802</v>
      </c>
      <c r="E1199" t="str">
        <f t="shared" ref="E1199:E1204" si="251">"89301172"</f>
        <v>89301172</v>
      </c>
      <c r="F1199" t="str">
        <f>"7161225302"</f>
        <v>7161225302</v>
      </c>
      <c r="G1199" s="1">
        <v>44609</v>
      </c>
      <c r="H1199" t="str">
        <f>"82041"</f>
        <v>82041</v>
      </c>
      <c r="I1199">
        <v>1</v>
      </c>
      <c r="J1199">
        <v>1090</v>
      </c>
      <c r="K1199">
        <v>0</v>
      </c>
      <c r="L1199">
        <v>991.9</v>
      </c>
    </row>
    <row r="1200" spans="1:12" x14ac:dyDescent="0.25">
      <c r="A1200" t="str">
        <f t="shared" si="240"/>
        <v>89301000</v>
      </c>
      <c r="B1200" t="str">
        <f t="shared" si="245"/>
        <v>10510000</v>
      </c>
      <c r="C1200" t="str">
        <f t="shared" si="246"/>
        <v>10510001</v>
      </c>
      <c r="D1200" t="str">
        <f t="shared" si="247"/>
        <v>802</v>
      </c>
      <c r="E1200" t="str">
        <f t="shared" si="251"/>
        <v>89301172</v>
      </c>
      <c r="F1200" t="str">
        <f>"7161225302"</f>
        <v>7161225302</v>
      </c>
      <c r="G1200" s="1">
        <v>44609</v>
      </c>
      <c r="H1200" t="str">
        <f>"82041"</f>
        <v>82041</v>
      </c>
      <c r="I1200">
        <v>1</v>
      </c>
      <c r="J1200">
        <v>1090</v>
      </c>
      <c r="K1200">
        <v>0</v>
      </c>
      <c r="L1200">
        <v>991.9</v>
      </c>
    </row>
    <row r="1201" spans="1:12" x14ac:dyDescent="0.25">
      <c r="A1201" t="str">
        <f t="shared" si="240"/>
        <v>89301000</v>
      </c>
      <c r="B1201" t="str">
        <f t="shared" si="245"/>
        <v>10510000</v>
      </c>
      <c r="C1201" t="str">
        <f t="shared" si="246"/>
        <v>10510001</v>
      </c>
      <c r="D1201" t="str">
        <f t="shared" si="247"/>
        <v>802</v>
      </c>
      <c r="E1201" t="str">
        <f t="shared" si="251"/>
        <v>89301172</v>
      </c>
      <c r="F1201" t="str">
        <f>"7161225302"</f>
        <v>7161225302</v>
      </c>
      <c r="G1201" s="1">
        <v>44609</v>
      </c>
      <c r="H1201" t="str">
        <f>"82034"</f>
        <v>82034</v>
      </c>
      <c r="I1201">
        <v>1</v>
      </c>
      <c r="J1201">
        <v>348</v>
      </c>
      <c r="K1201">
        <v>0</v>
      </c>
      <c r="L1201">
        <v>316.68</v>
      </c>
    </row>
    <row r="1202" spans="1:12" x14ac:dyDescent="0.25">
      <c r="A1202" t="str">
        <f t="shared" si="240"/>
        <v>89301000</v>
      </c>
      <c r="B1202" t="str">
        <f t="shared" si="245"/>
        <v>10510000</v>
      </c>
      <c r="C1202" t="str">
        <f t="shared" si="246"/>
        <v>10510001</v>
      </c>
      <c r="D1202" t="str">
        <f t="shared" si="247"/>
        <v>802</v>
      </c>
      <c r="E1202" t="str">
        <f t="shared" si="251"/>
        <v>89301172</v>
      </c>
      <c r="F1202" t="str">
        <f>"8310035316"</f>
        <v>8310035316</v>
      </c>
      <c r="G1202" s="1">
        <v>44613</v>
      </c>
      <c r="H1202" t="str">
        <f>"82034"</f>
        <v>82034</v>
      </c>
      <c r="I1202">
        <v>1</v>
      </c>
      <c r="J1202">
        <v>348</v>
      </c>
      <c r="K1202">
        <v>0</v>
      </c>
      <c r="L1202">
        <v>316.68</v>
      </c>
    </row>
    <row r="1203" spans="1:12" x14ac:dyDescent="0.25">
      <c r="A1203" t="str">
        <f t="shared" si="240"/>
        <v>89301000</v>
      </c>
      <c r="B1203" t="str">
        <f t="shared" si="245"/>
        <v>10510000</v>
      </c>
      <c r="C1203" t="str">
        <f t="shared" si="246"/>
        <v>10510001</v>
      </c>
      <c r="D1203" t="str">
        <f t="shared" si="247"/>
        <v>802</v>
      </c>
      <c r="E1203" t="str">
        <f t="shared" si="251"/>
        <v>89301172</v>
      </c>
      <c r="F1203" t="str">
        <f>"8310035316"</f>
        <v>8310035316</v>
      </c>
      <c r="G1203" s="1">
        <v>44613</v>
      </c>
      <c r="H1203" t="str">
        <f>"82041"</f>
        <v>82041</v>
      </c>
      <c r="I1203">
        <v>1</v>
      </c>
      <c r="J1203">
        <v>1090</v>
      </c>
      <c r="K1203">
        <v>0</v>
      </c>
      <c r="L1203">
        <v>991.9</v>
      </c>
    </row>
    <row r="1204" spans="1:12" x14ac:dyDescent="0.25">
      <c r="A1204" t="str">
        <f t="shared" si="240"/>
        <v>89301000</v>
      </c>
      <c r="B1204" t="str">
        <f t="shared" si="245"/>
        <v>10510000</v>
      </c>
      <c r="C1204" t="str">
        <f t="shared" si="246"/>
        <v>10510001</v>
      </c>
      <c r="D1204" t="str">
        <f t="shared" si="247"/>
        <v>802</v>
      </c>
      <c r="E1204" t="str">
        <f t="shared" si="251"/>
        <v>89301172</v>
      </c>
      <c r="F1204" t="str">
        <f>"8310035316"</f>
        <v>8310035316</v>
      </c>
      <c r="G1204" s="1">
        <v>44613</v>
      </c>
      <c r="H1204" t="str">
        <f>"82041"</f>
        <v>82041</v>
      </c>
      <c r="I1204">
        <v>1</v>
      </c>
      <c r="J1204">
        <v>1090</v>
      </c>
      <c r="K1204">
        <v>0</v>
      </c>
      <c r="L1204">
        <v>991.9</v>
      </c>
    </row>
    <row r="1205" spans="1:12" x14ac:dyDescent="0.25">
      <c r="A1205" t="str">
        <f t="shared" si="240"/>
        <v>89301000</v>
      </c>
      <c r="B1205" t="str">
        <f t="shared" si="245"/>
        <v>10510000</v>
      </c>
      <c r="C1205" t="str">
        <f t="shared" si="246"/>
        <v>10510001</v>
      </c>
      <c r="D1205" t="str">
        <f t="shared" si="247"/>
        <v>802</v>
      </c>
      <c r="E1205" t="str">
        <f t="shared" ref="E1205:E1213" si="252">"89301171"</f>
        <v>89301171</v>
      </c>
      <c r="F1205" t="str">
        <f>"9754275003"</f>
        <v>9754275003</v>
      </c>
      <c r="G1205" s="1">
        <v>44613</v>
      </c>
      <c r="H1205" t="str">
        <f>"82041"</f>
        <v>82041</v>
      </c>
      <c r="I1205">
        <v>1</v>
      </c>
      <c r="J1205">
        <v>1090</v>
      </c>
      <c r="K1205">
        <v>0</v>
      </c>
      <c r="L1205">
        <v>991.9</v>
      </c>
    </row>
    <row r="1206" spans="1:12" x14ac:dyDescent="0.25">
      <c r="A1206" t="str">
        <f t="shared" si="240"/>
        <v>89301000</v>
      </c>
      <c r="B1206" t="str">
        <f t="shared" si="245"/>
        <v>10510000</v>
      </c>
      <c r="C1206" t="str">
        <f t="shared" si="246"/>
        <v>10510001</v>
      </c>
      <c r="D1206" t="str">
        <f t="shared" si="247"/>
        <v>802</v>
      </c>
      <c r="E1206" t="str">
        <f t="shared" si="252"/>
        <v>89301171</v>
      </c>
      <c r="F1206" t="str">
        <f>"9754275003"</f>
        <v>9754275003</v>
      </c>
      <c r="G1206" s="1">
        <v>44613</v>
      </c>
      <c r="H1206" t="str">
        <f>"82041"</f>
        <v>82041</v>
      </c>
      <c r="I1206">
        <v>1</v>
      </c>
      <c r="J1206">
        <v>1090</v>
      </c>
      <c r="K1206">
        <v>0</v>
      </c>
      <c r="L1206">
        <v>991.9</v>
      </c>
    </row>
    <row r="1207" spans="1:12" x14ac:dyDescent="0.25">
      <c r="A1207" t="str">
        <f t="shared" si="240"/>
        <v>89301000</v>
      </c>
      <c r="B1207" t="str">
        <f t="shared" si="245"/>
        <v>10510000</v>
      </c>
      <c r="C1207" t="str">
        <f t="shared" si="246"/>
        <v>10510001</v>
      </c>
      <c r="D1207" t="str">
        <f t="shared" si="247"/>
        <v>802</v>
      </c>
      <c r="E1207" t="str">
        <f t="shared" si="252"/>
        <v>89301171</v>
      </c>
      <c r="F1207" t="str">
        <f>"9754275003"</f>
        <v>9754275003</v>
      </c>
      <c r="G1207" s="1">
        <v>44613</v>
      </c>
      <c r="H1207" t="str">
        <f>"82034"</f>
        <v>82034</v>
      </c>
      <c r="I1207">
        <v>1</v>
      </c>
      <c r="J1207">
        <v>348</v>
      </c>
      <c r="K1207">
        <v>0</v>
      </c>
      <c r="L1207">
        <v>316.68</v>
      </c>
    </row>
    <row r="1208" spans="1:12" x14ac:dyDescent="0.25">
      <c r="A1208" t="str">
        <f t="shared" si="240"/>
        <v>89301000</v>
      </c>
      <c r="B1208" t="str">
        <f t="shared" si="245"/>
        <v>10510000</v>
      </c>
      <c r="C1208" t="str">
        <f t="shared" si="246"/>
        <v>10510001</v>
      </c>
      <c r="D1208" t="str">
        <f t="shared" si="247"/>
        <v>802</v>
      </c>
      <c r="E1208" t="str">
        <f t="shared" si="252"/>
        <v>89301171</v>
      </c>
      <c r="F1208" t="str">
        <f>"0157036154"</f>
        <v>0157036154</v>
      </c>
      <c r="G1208" s="1">
        <v>44613</v>
      </c>
      <c r="H1208" t="str">
        <f>"82034"</f>
        <v>82034</v>
      </c>
      <c r="I1208">
        <v>1</v>
      </c>
      <c r="J1208">
        <v>348</v>
      </c>
      <c r="K1208">
        <v>0</v>
      </c>
      <c r="L1208">
        <v>316.68</v>
      </c>
    </row>
    <row r="1209" spans="1:12" x14ac:dyDescent="0.25">
      <c r="A1209" t="str">
        <f t="shared" si="240"/>
        <v>89301000</v>
      </c>
      <c r="B1209" t="str">
        <f t="shared" ref="B1209:B1225" si="253">"10510000"</f>
        <v>10510000</v>
      </c>
      <c r="C1209" t="str">
        <f t="shared" ref="C1209:C1225" si="254">"10510001"</f>
        <v>10510001</v>
      </c>
      <c r="D1209" t="str">
        <f t="shared" ref="D1209:D1225" si="255">"802"</f>
        <v>802</v>
      </c>
      <c r="E1209" t="str">
        <f t="shared" si="252"/>
        <v>89301171</v>
      </c>
      <c r="F1209" t="str">
        <f>"0157036154"</f>
        <v>0157036154</v>
      </c>
      <c r="G1209" s="1">
        <v>44613</v>
      </c>
      <c r="H1209" t="str">
        <f>"82041"</f>
        <v>82041</v>
      </c>
      <c r="I1209">
        <v>1</v>
      </c>
      <c r="J1209">
        <v>1090</v>
      </c>
      <c r="K1209">
        <v>0</v>
      </c>
      <c r="L1209">
        <v>991.9</v>
      </c>
    </row>
    <row r="1210" spans="1:12" x14ac:dyDescent="0.25">
      <c r="A1210" t="str">
        <f t="shared" si="240"/>
        <v>89301000</v>
      </c>
      <c r="B1210" t="str">
        <f t="shared" si="253"/>
        <v>10510000</v>
      </c>
      <c r="C1210" t="str">
        <f t="shared" si="254"/>
        <v>10510001</v>
      </c>
      <c r="D1210" t="str">
        <f t="shared" si="255"/>
        <v>802</v>
      </c>
      <c r="E1210" t="str">
        <f t="shared" si="252"/>
        <v>89301171</v>
      </c>
      <c r="F1210" t="str">
        <f>"0157036154"</f>
        <v>0157036154</v>
      </c>
      <c r="G1210" s="1">
        <v>44613</v>
      </c>
      <c r="H1210" t="str">
        <f>"82041"</f>
        <v>82041</v>
      </c>
      <c r="I1210">
        <v>1</v>
      </c>
      <c r="J1210">
        <v>1090</v>
      </c>
      <c r="K1210">
        <v>0</v>
      </c>
      <c r="L1210">
        <v>991.9</v>
      </c>
    </row>
    <row r="1211" spans="1:12" x14ac:dyDescent="0.25">
      <c r="A1211" t="str">
        <f t="shared" si="240"/>
        <v>89301000</v>
      </c>
      <c r="B1211" t="str">
        <f t="shared" si="253"/>
        <v>10510000</v>
      </c>
      <c r="C1211" t="str">
        <f t="shared" si="254"/>
        <v>10510001</v>
      </c>
      <c r="D1211" t="str">
        <f t="shared" si="255"/>
        <v>802</v>
      </c>
      <c r="E1211" t="str">
        <f t="shared" si="252"/>
        <v>89301171</v>
      </c>
      <c r="F1211" t="str">
        <f>"7912285315"</f>
        <v>7912285315</v>
      </c>
      <c r="G1211" s="1">
        <v>44613</v>
      </c>
      <c r="H1211" t="str">
        <f>"82041"</f>
        <v>82041</v>
      </c>
      <c r="I1211">
        <v>1</v>
      </c>
      <c r="J1211">
        <v>1090</v>
      </c>
      <c r="K1211">
        <v>0</v>
      </c>
      <c r="L1211">
        <v>991.9</v>
      </c>
    </row>
    <row r="1212" spans="1:12" x14ac:dyDescent="0.25">
      <c r="A1212" t="str">
        <f t="shared" si="240"/>
        <v>89301000</v>
      </c>
      <c r="B1212" t="str">
        <f t="shared" si="253"/>
        <v>10510000</v>
      </c>
      <c r="C1212" t="str">
        <f t="shared" si="254"/>
        <v>10510001</v>
      </c>
      <c r="D1212" t="str">
        <f t="shared" si="255"/>
        <v>802</v>
      </c>
      <c r="E1212" t="str">
        <f t="shared" si="252"/>
        <v>89301171</v>
      </c>
      <c r="F1212" t="str">
        <f>"7912285315"</f>
        <v>7912285315</v>
      </c>
      <c r="G1212" s="1">
        <v>44613</v>
      </c>
      <c r="H1212" t="str">
        <f>"82041"</f>
        <v>82041</v>
      </c>
      <c r="I1212">
        <v>1</v>
      </c>
      <c r="J1212">
        <v>1090</v>
      </c>
      <c r="K1212">
        <v>0</v>
      </c>
      <c r="L1212">
        <v>991.9</v>
      </c>
    </row>
    <row r="1213" spans="1:12" x14ac:dyDescent="0.25">
      <c r="A1213" t="str">
        <f t="shared" si="240"/>
        <v>89301000</v>
      </c>
      <c r="B1213" t="str">
        <f t="shared" si="253"/>
        <v>10510000</v>
      </c>
      <c r="C1213" t="str">
        <f t="shared" si="254"/>
        <v>10510001</v>
      </c>
      <c r="D1213" t="str">
        <f t="shared" si="255"/>
        <v>802</v>
      </c>
      <c r="E1213" t="str">
        <f t="shared" si="252"/>
        <v>89301171</v>
      </c>
      <c r="F1213" t="str">
        <f>"7912285315"</f>
        <v>7912285315</v>
      </c>
      <c r="G1213" s="1">
        <v>44613</v>
      </c>
      <c r="H1213" t="str">
        <f>"82034"</f>
        <v>82034</v>
      </c>
      <c r="I1213">
        <v>1</v>
      </c>
      <c r="J1213">
        <v>348</v>
      </c>
      <c r="K1213">
        <v>0</v>
      </c>
      <c r="L1213">
        <v>316.68</v>
      </c>
    </row>
    <row r="1214" spans="1:12" x14ac:dyDescent="0.25">
      <c r="A1214" t="str">
        <f t="shared" si="240"/>
        <v>89301000</v>
      </c>
      <c r="B1214" t="str">
        <f t="shared" si="253"/>
        <v>10510000</v>
      </c>
      <c r="C1214" t="str">
        <f t="shared" si="254"/>
        <v>10510001</v>
      </c>
      <c r="D1214" t="str">
        <f t="shared" si="255"/>
        <v>802</v>
      </c>
      <c r="E1214" t="str">
        <f>"89301172"</f>
        <v>89301172</v>
      </c>
      <c r="F1214" t="str">
        <f>"7959274477"</f>
        <v>7959274477</v>
      </c>
      <c r="G1214" s="1">
        <v>44613</v>
      </c>
      <c r="H1214" t="str">
        <f>"82034"</f>
        <v>82034</v>
      </c>
      <c r="I1214">
        <v>1</v>
      </c>
      <c r="J1214">
        <v>348</v>
      </c>
      <c r="K1214">
        <v>0</v>
      </c>
      <c r="L1214">
        <v>316.68</v>
      </c>
    </row>
    <row r="1215" spans="1:12" x14ac:dyDescent="0.25">
      <c r="A1215" t="str">
        <f t="shared" si="240"/>
        <v>89301000</v>
      </c>
      <c r="B1215" t="str">
        <f t="shared" si="253"/>
        <v>10510000</v>
      </c>
      <c r="C1215" t="str">
        <f t="shared" si="254"/>
        <v>10510001</v>
      </c>
      <c r="D1215" t="str">
        <f t="shared" si="255"/>
        <v>802</v>
      </c>
      <c r="E1215" t="str">
        <f>"89301172"</f>
        <v>89301172</v>
      </c>
      <c r="F1215" t="str">
        <f>"7959274477"</f>
        <v>7959274477</v>
      </c>
      <c r="G1215" s="1">
        <v>44613</v>
      </c>
      <c r="H1215" t="str">
        <f>"82041"</f>
        <v>82041</v>
      </c>
      <c r="I1215">
        <v>1</v>
      </c>
      <c r="J1215">
        <v>1090</v>
      </c>
      <c r="K1215">
        <v>0</v>
      </c>
      <c r="L1215">
        <v>991.9</v>
      </c>
    </row>
    <row r="1216" spans="1:12" x14ac:dyDescent="0.25">
      <c r="A1216" t="str">
        <f t="shared" si="240"/>
        <v>89301000</v>
      </c>
      <c r="B1216" t="str">
        <f t="shared" si="253"/>
        <v>10510000</v>
      </c>
      <c r="C1216" t="str">
        <f t="shared" si="254"/>
        <v>10510001</v>
      </c>
      <c r="D1216" t="str">
        <f t="shared" si="255"/>
        <v>802</v>
      </c>
      <c r="E1216" t="str">
        <f>"89301172"</f>
        <v>89301172</v>
      </c>
      <c r="F1216" t="str">
        <f>"7959274477"</f>
        <v>7959274477</v>
      </c>
      <c r="G1216" s="1">
        <v>44613</v>
      </c>
      <c r="H1216" t="str">
        <f>"82041"</f>
        <v>82041</v>
      </c>
      <c r="I1216">
        <v>1</v>
      </c>
      <c r="J1216">
        <v>1090</v>
      </c>
      <c r="K1216">
        <v>0</v>
      </c>
      <c r="L1216">
        <v>991.9</v>
      </c>
    </row>
    <row r="1217" spans="1:12" x14ac:dyDescent="0.25">
      <c r="A1217" t="str">
        <f t="shared" si="240"/>
        <v>89301000</v>
      </c>
      <c r="B1217" t="str">
        <f t="shared" si="253"/>
        <v>10510000</v>
      </c>
      <c r="C1217" t="str">
        <f t="shared" si="254"/>
        <v>10510001</v>
      </c>
      <c r="D1217" t="str">
        <f t="shared" si="255"/>
        <v>802</v>
      </c>
      <c r="E1217" t="str">
        <f t="shared" ref="E1217:E1225" si="256">"89301171"</f>
        <v>89301171</v>
      </c>
      <c r="F1217" t="str">
        <f>"9761205751"</f>
        <v>9761205751</v>
      </c>
      <c r="G1217" s="1">
        <v>44615</v>
      </c>
      <c r="H1217" t="str">
        <f>"82034"</f>
        <v>82034</v>
      </c>
      <c r="I1217">
        <v>1</v>
      </c>
      <c r="J1217">
        <v>348</v>
      </c>
      <c r="K1217">
        <v>0</v>
      </c>
      <c r="L1217">
        <v>316.68</v>
      </c>
    </row>
    <row r="1218" spans="1:12" x14ac:dyDescent="0.25">
      <c r="A1218" t="str">
        <f t="shared" ref="A1218:A1281" si="257">"89301000"</f>
        <v>89301000</v>
      </c>
      <c r="B1218" t="str">
        <f t="shared" si="253"/>
        <v>10510000</v>
      </c>
      <c r="C1218" t="str">
        <f t="shared" si="254"/>
        <v>10510001</v>
      </c>
      <c r="D1218" t="str">
        <f t="shared" si="255"/>
        <v>802</v>
      </c>
      <c r="E1218" t="str">
        <f t="shared" si="256"/>
        <v>89301171</v>
      </c>
      <c r="F1218" t="str">
        <f>"9761205751"</f>
        <v>9761205751</v>
      </c>
      <c r="G1218" s="1">
        <v>44615</v>
      </c>
      <c r="H1218" t="str">
        <f>"82041"</f>
        <v>82041</v>
      </c>
      <c r="I1218">
        <v>1</v>
      </c>
      <c r="J1218">
        <v>1090</v>
      </c>
      <c r="K1218">
        <v>0</v>
      </c>
      <c r="L1218">
        <v>991.9</v>
      </c>
    </row>
    <row r="1219" spans="1:12" x14ac:dyDescent="0.25">
      <c r="A1219" t="str">
        <f t="shared" si="257"/>
        <v>89301000</v>
      </c>
      <c r="B1219" t="str">
        <f t="shared" si="253"/>
        <v>10510000</v>
      </c>
      <c r="C1219" t="str">
        <f t="shared" si="254"/>
        <v>10510001</v>
      </c>
      <c r="D1219" t="str">
        <f t="shared" si="255"/>
        <v>802</v>
      </c>
      <c r="E1219" t="str">
        <f t="shared" si="256"/>
        <v>89301171</v>
      </c>
      <c r="F1219" t="str">
        <f>"9761205751"</f>
        <v>9761205751</v>
      </c>
      <c r="G1219" s="1">
        <v>44615</v>
      </c>
      <c r="H1219" t="str">
        <f>"82041"</f>
        <v>82041</v>
      </c>
      <c r="I1219">
        <v>1</v>
      </c>
      <c r="J1219">
        <v>1090</v>
      </c>
      <c r="K1219">
        <v>0</v>
      </c>
      <c r="L1219">
        <v>991.9</v>
      </c>
    </row>
    <row r="1220" spans="1:12" x14ac:dyDescent="0.25">
      <c r="A1220" t="str">
        <f t="shared" si="257"/>
        <v>89301000</v>
      </c>
      <c r="B1220" t="str">
        <f t="shared" si="253"/>
        <v>10510000</v>
      </c>
      <c r="C1220" t="str">
        <f t="shared" si="254"/>
        <v>10510001</v>
      </c>
      <c r="D1220" t="str">
        <f t="shared" si="255"/>
        <v>802</v>
      </c>
      <c r="E1220" t="str">
        <f t="shared" si="256"/>
        <v>89301171</v>
      </c>
      <c r="F1220" t="str">
        <f>"8160065342"</f>
        <v>8160065342</v>
      </c>
      <c r="G1220" s="1">
        <v>44620</v>
      </c>
      <c r="H1220" t="str">
        <f>"82041"</f>
        <v>82041</v>
      </c>
      <c r="I1220">
        <v>1</v>
      </c>
      <c r="J1220">
        <v>1090</v>
      </c>
      <c r="K1220">
        <v>0</v>
      </c>
      <c r="L1220">
        <v>991.9</v>
      </c>
    </row>
    <row r="1221" spans="1:12" x14ac:dyDescent="0.25">
      <c r="A1221" t="str">
        <f t="shared" si="257"/>
        <v>89301000</v>
      </c>
      <c r="B1221" t="str">
        <f t="shared" si="253"/>
        <v>10510000</v>
      </c>
      <c r="C1221" t="str">
        <f t="shared" si="254"/>
        <v>10510001</v>
      </c>
      <c r="D1221" t="str">
        <f t="shared" si="255"/>
        <v>802</v>
      </c>
      <c r="E1221" t="str">
        <f t="shared" si="256"/>
        <v>89301171</v>
      </c>
      <c r="F1221" t="str">
        <f>"8160065342"</f>
        <v>8160065342</v>
      </c>
      <c r="G1221" s="1">
        <v>44620</v>
      </c>
      <c r="H1221" t="str">
        <f>"82041"</f>
        <v>82041</v>
      </c>
      <c r="I1221">
        <v>1</v>
      </c>
      <c r="J1221">
        <v>1090</v>
      </c>
      <c r="K1221">
        <v>0</v>
      </c>
      <c r="L1221">
        <v>991.9</v>
      </c>
    </row>
    <row r="1222" spans="1:12" x14ac:dyDescent="0.25">
      <c r="A1222" t="str">
        <f t="shared" si="257"/>
        <v>89301000</v>
      </c>
      <c r="B1222" t="str">
        <f t="shared" si="253"/>
        <v>10510000</v>
      </c>
      <c r="C1222" t="str">
        <f t="shared" si="254"/>
        <v>10510001</v>
      </c>
      <c r="D1222" t="str">
        <f t="shared" si="255"/>
        <v>802</v>
      </c>
      <c r="E1222" t="str">
        <f t="shared" si="256"/>
        <v>89301171</v>
      </c>
      <c r="F1222" t="str">
        <f>"8160065342"</f>
        <v>8160065342</v>
      </c>
      <c r="G1222" s="1">
        <v>44620</v>
      </c>
      <c r="H1222" t="str">
        <f>"82034"</f>
        <v>82034</v>
      </c>
      <c r="I1222">
        <v>1</v>
      </c>
      <c r="J1222">
        <v>348</v>
      </c>
      <c r="K1222">
        <v>0</v>
      </c>
      <c r="L1222">
        <v>316.68</v>
      </c>
    </row>
    <row r="1223" spans="1:12" x14ac:dyDescent="0.25">
      <c r="A1223" t="str">
        <f t="shared" si="257"/>
        <v>89301000</v>
      </c>
      <c r="B1223" t="str">
        <f t="shared" si="253"/>
        <v>10510000</v>
      </c>
      <c r="C1223" t="str">
        <f t="shared" si="254"/>
        <v>10510001</v>
      </c>
      <c r="D1223" t="str">
        <f t="shared" si="255"/>
        <v>802</v>
      </c>
      <c r="E1223" t="str">
        <f t="shared" si="256"/>
        <v>89301171</v>
      </c>
      <c r="F1223" t="str">
        <f>"7353225682"</f>
        <v>7353225682</v>
      </c>
      <c r="G1223" s="1">
        <v>44620</v>
      </c>
      <c r="H1223" t="str">
        <f>"82034"</f>
        <v>82034</v>
      </c>
      <c r="I1223">
        <v>1</v>
      </c>
      <c r="J1223">
        <v>348</v>
      </c>
      <c r="K1223">
        <v>0</v>
      </c>
      <c r="L1223">
        <v>316.68</v>
      </c>
    </row>
    <row r="1224" spans="1:12" x14ac:dyDescent="0.25">
      <c r="A1224" t="str">
        <f t="shared" si="257"/>
        <v>89301000</v>
      </c>
      <c r="B1224" t="str">
        <f t="shared" si="253"/>
        <v>10510000</v>
      </c>
      <c r="C1224" t="str">
        <f t="shared" si="254"/>
        <v>10510001</v>
      </c>
      <c r="D1224" t="str">
        <f t="shared" si="255"/>
        <v>802</v>
      </c>
      <c r="E1224" t="str">
        <f t="shared" si="256"/>
        <v>89301171</v>
      </c>
      <c r="F1224" t="str">
        <f>"7353225682"</f>
        <v>7353225682</v>
      </c>
      <c r="G1224" s="1">
        <v>44620</v>
      </c>
      <c r="H1224" t="str">
        <f>"82041"</f>
        <v>82041</v>
      </c>
      <c r="I1224">
        <v>1</v>
      </c>
      <c r="J1224">
        <v>1090</v>
      </c>
      <c r="K1224">
        <v>0</v>
      </c>
      <c r="L1224">
        <v>991.9</v>
      </c>
    </row>
    <row r="1225" spans="1:12" x14ac:dyDescent="0.25">
      <c r="A1225" t="str">
        <f t="shared" si="257"/>
        <v>89301000</v>
      </c>
      <c r="B1225" t="str">
        <f t="shared" si="253"/>
        <v>10510000</v>
      </c>
      <c r="C1225" t="str">
        <f t="shared" si="254"/>
        <v>10510001</v>
      </c>
      <c r="D1225" t="str">
        <f t="shared" si="255"/>
        <v>802</v>
      </c>
      <c r="E1225" t="str">
        <f t="shared" si="256"/>
        <v>89301171</v>
      </c>
      <c r="F1225" t="str">
        <f>"7353225682"</f>
        <v>7353225682</v>
      </c>
      <c r="G1225" s="1">
        <v>44620</v>
      </c>
      <c r="H1225" t="str">
        <f>"82041"</f>
        <v>82041</v>
      </c>
      <c r="I1225">
        <v>1</v>
      </c>
      <c r="J1225">
        <v>1090</v>
      </c>
      <c r="K1225">
        <v>0</v>
      </c>
      <c r="L1225">
        <v>991.9</v>
      </c>
    </row>
    <row r="1226" spans="1:12" x14ac:dyDescent="0.25">
      <c r="A1226" t="str">
        <f t="shared" si="257"/>
        <v>89301000</v>
      </c>
      <c r="B1226" t="str">
        <f t="shared" ref="B1226:B1289" si="258">"06539000"</f>
        <v>06539000</v>
      </c>
      <c r="C1226" t="str">
        <f>"06539001"</f>
        <v>06539001</v>
      </c>
      <c r="D1226" t="str">
        <f>"801"</f>
        <v>801</v>
      </c>
      <c r="E1226" t="str">
        <f t="shared" ref="E1226:E1249" si="259">"89301101"</f>
        <v>89301101</v>
      </c>
      <c r="F1226" t="str">
        <f t="shared" ref="F1226:F1249" si="260">"0559165266"</f>
        <v>0559165266</v>
      </c>
      <c r="G1226" s="1">
        <v>44582</v>
      </c>
      <c r="H1226" t="str">
        <f>"81705"</f>
        <v>81705</v>
      </c>
      <c r="I1226">
        <v>1</v>
      </c>
      <c r="J1226">
        <v>346</v>
      </c>
      <c r="K1226">
        <v>0</v>
      </c>
      <c r="L1226">
        <v>269.88</v>
      </c>
    </row>
    <row r="1227" spans="1:12" x14ac:dyDescent="0.25">
      <c r="A1227" t="str">
        <f t="shared" si="257"/>
        <v>89301000</v>
      </c>
      <c r="B1227" t="str">
        <f t="shared" si="258"/>
        <v>06539000</v>
      </c>
      <c r="C1227" t="str">
        <f>"06539001"</f>
        <v>06539001</v>
      </c>
      <c r="D1227" t="str">
        <f>"801"</f>
        <v>801</v>
      </c>
      <c r="E1227" t="str">
        <f t="shared" si="259"/>
        <v>89301101</v>
      </c>
      <c r="F1227" t="str">
        <f t="shared" si="260"/>
        <v>0559165266</v>
      </c>
      <c r="G1227" s="1">
        <v>44592</v>
      </c>
      <c r="H1227" t="str">
        <f>"81705"</f>
        <v>81705</v>
      </c>
      <c r="I1227">
        <v>1</v>
      </c>
      <c r="J1227">
        <v>346</v>
      </c>
      <c r="K1227">
        <v>0</v>
      </c>
      <c r="L1227">
        <v>269.88</v>
      </c>
    </row>
    <row r="1228" spans="1:12" x14ac:dyDescent="0.25">
      <c r="A1228" t="str">
        <f t="shared" si="257"/>
        <v>89301000</v>
      </c>
      <c r="B1228" t="str">
        <f t="shared" si="258"/>
        <v>06539000</v>
      </c>
      <c r="C1228" t="str">
        <f t="shared" ref="C1228:C1249" si="261">"06539003"</f>
        <v>06539003</v>
      </c>
      <c r="D1228" t="str">
        <f t="shared" ref="D1228:D1249" si="262">"813"</f>
        <v>813</v>
      </c>
      <c r="E1228" t="str">
        <f t="shared" si="259"/>
        <v>89301101</v>
      </c>
      <c r="F1228" t="str">
        <f t="shared" si="260"/>
        <v>0559165266</v>
      </c>
      <c r="G1228" s="1">
        <v>44580</v>
      </c>
      <c r="H1228" t="str">
        <f>"91329"</f>
        <v>91329</v>
      </c>
      <c r="I1228">
        <v>2</v>
      </c>
      <c r="J1228">
        <v>428</v>
      </c>
      <c r="K1228">
        <v>0</v>
      </c>
      <c r="L1228">
        <v>333.84</v>
      </c>
    </row>
    <row r="1229" spans="1:12" x14ac:dyDescent="0.25">
      <c r="A1229" t="str">
        <f t="shared" si="257"/>
        <v>89301000</v>
      </c>
      <c r="B1229" t="str">
        <f t="shared" si="258"/>
        <v>06539000</v>
      </c>
      <c r="C1229" t="str">
        <f t="shared" si="261"/>
        <v>06539003</v>
      </c>
      <c r="D1229" t="str">
        <f t="shared" si="262"/>
        <v>813</v>
      </c>
      <c r="E1229" t="str">
        <f t="shared" si="259"/>
        <v>89301101</v>
      </c>
      <c r="F1229" t="str">
        <f t="shared" si="260"/>
        <v>0559165266</v>
      </c>
      <c r="G1229" s="1">
        <v>44580</v>
      </c>
      <c r="H1229" t="str">
        <f>"91329"</f>
        <v>91329</v>
      </c>
      <c r="I1229">
        <v>2</v>
      </c>
      <c r="J1229">
        <v>428</v>
      </c>
      <c r="K1229">
        <v>0</v>
      </c>
      <c r="L1229">
        <v>333.84</v>
      </c>
    </row>
    <row r="1230" spans="1:12" x14ac:dyDescent="0.25">
      <c r="A1230" t="str">
        <f t="shared" si="257"/>
        <v>89301000</v>
      </c>
      <c r="B1230" t="str">
        <f t="shared" si="258"/>
        <v>06539000</v>
      </c>
      <c r="C1230" t="str">
        <f t="shared" si="261"/>
        <v>06539003</v>
      </c>
      <c r="D1230" t="str">
        <f t="shared" si="262"/>
        <v>813</v>
      </c>
      <c r="E1230" t="str">
        <f t="shared" si="259"/>
        <v>89301101</v>
      </c>
      <c r="F1230" t="str">
        <f t="shared" si="260"/>
        <v>0559165266</v>
      </c>
      <c r="G1230" s="1">
        <v>44580</v>
      </c>
      <c r="H1230" t="str">
        <f>"91329"</f>
        <v>91329</v>
      </c>
      <c r="I1230">
        <v>2</v>
      </c>
      <c r="J1230">
        <v>428</v>
      </c>
      <c r="K1230">
        <v>0</v>
      </c>
      <c r="L1230">
        <v>333.84</v>
      </c>
    </row>
    <row r="1231" spans="1:12" x14ac:dyDescent="0.25">
      <c r="A1231" t="str">
        <f t="shared" si="257"/>
        <v>89301000</v>
      </c>
      <c r="B1231" t="str">
        <f t="shared" si="258"/>
        <v>06539000</v>
      </c>
      <c r="C1231" t="str">
        <f t="shared" si="261"/>
        <v>06539003</v>
      </c>
      <c r="D1231" t="str">
        <f t="shared" si="262"/>
        <v>813</v>
      </c>
      <c r="E1231" t="str">
        <f t="shared" si="259"/>
        <v>89301101</v>
      </c>
      <c r="F1231" t="str">
        <f t="shared" si="260"/>
        <v>0559165266</v>
      </c>
      <c r="G1231" s="1">
        <v>44580</v>
      </c>
      <c r="H1231" t="str">
        <f>"91329"</f>
        <v>91329</v>
      </c>
      <c r="I1231">
        <v>2</v>
      </c>
      <c r="J1231">
        <v>428</v>
      </c>
      <c r="K1231">
        <v>0</v>
      </c>
      <c r="L1231">
        <v>333.84</v>
      </c>
    </row>
    <row r="1232" spans="1:12" x14ac:dyDescent="0.25">
      <c r="A1232" t="str">
        <f t="shared" si="257"/>
        <v>89301000</v>
      </c>
      <c r="B1232" t="str">
        <f t="shared" si="258"/>
        <v>06539000</v>
      </c>
      <c r="C1232" t="str">
        <f t="shared" si="261"/>
        <v>06539003</v>
      </c>
      <c r="D1232" t="str">
        <f t="shared" si="262"/>
        <v>813</v>
      </c>
      <c r="E1232" t="str">
        <f t="shared" si="259"/>
        <v>89301101</v>
      </c>
      <c r="F1232" t="str">
        <f t="shared" si="260"/>
        <v>0559165266</v>
      </c>
      <c r="G1232" s="1">
        <v>44588</v>
      </c>
      <c r="H1232" t="str">
        <f>"91411"</f>
        <v>91411</v>
      </c>
      <c r="I1232">
        <v>9</v>
      </c>
      <c r="J1232">
        <v>14400</v>
      </c>
      <c r="K1232">
        <v>0</v>
      </c>
      <c r="L1232">
        <v>11232</v>
      </c>
    </row>
    <row r="1233" spans="1:12" x14ac:dyDescent="0.25">
      <c r="A1233" t="str">
        <f t="shared" si="257"/>
        <v>89301000</v>
      </c>
      <c r="B1233" t="str">
        <f t="shared" si="258"/>
        <v>06539000</v>
      </c>
      <c r="C1233" t="str">
        <f t="shared" si="261"/>
        <v>06539003</v>
      </c>
      <c r="D1233" t="str">
        <f t="shared" si="262"/>
        <v>813</v>
      </c>
      <c r="E1233" t="str">
        <f t="shared" si="259"/>
        <v>89301101</v>
      </c>
      <c r="F1233" t="str">
        <f t="shared" si="260"/>
        <v>0559165266</v>
      </c>
      <c r="G1233" s="1">
        <v>44581</v>
      </c>
      <c r="H1233" t="str">
        <f>"91411"</f>
        <v>91411</v>
      </c>
      <c r="I1233">
        <v>7</v>
      </c>
      <c r="J1233">
        <v>11200</v>
      </c>
      <c r="K1233">
        <v>0</v>
      </c>
      <c r="L1233">
        <v>8736</v>
      </c>
    </row>
    <row r="1234" spans="1:12" x14ac:dyDescent="0.25">
      <c r="A1234" t="str">
        <f t="shared" si="257"/>
        <v>89301000</v>
      </c>
      <c r="B1234" t="str">
        <f t="shared" si="258"/>
        <v>06539000</v>
      </c>
      <c r="C1234" t="str">
        <f t="shared" si="261"/>
        <v>06539003</v>
      </c>
      <c r="D1234" t="str">
        <f t="shared" si="262"/>
        <v>813</v>
      </c>
      <c r="E1234" t="str">
        <f t="shared" si="259"/>
        <v>89301101</v>
      </c>
      <c r="F1234" t="str">
        <f t="shared" si="260"/>
        <v>0559165266</v>
      </c>
      <c r="G1234" s="1">
        <v>44579</v>
      </c>
      <c r="H1234" t="str">
        <f t="shared" ref="H1234:H1248" si="263">"91329"</f>
        <v>91329</v>
      </c>
      <c r="I1234">
        <v>2</v>
      </c>
      <c r="J1234">
        <v>428</v>
      </c>
      <c r="K1234">
        <v>0</v>
      </c>
      <c r="L1234">
        <v>333.84</v>
      </c>
    </row>
    <row r="1235" spans="1:12" x14ac:dyDescent="0.25">
      <c r="A1235" t="str">
        <f t="shared" si="257"/>
        <v>89301000</v>
      </c>
      <c r="B1235" t="str">
        <f t="shared" si="258"/>
        <v>06539000</v>
      </c>
      <c r="C1235" t="str">
        <f t="shared" si="261"/>
        <v>06539003</v>
      </c>
      <c r="D1235" t="str">
        <f t="shared" si="262"/>
        <v>813</v>
      </c>
      <c r="E1235" t="str">
        <f t="shared" si="259"/>
        <v>89301101</v>
      </c>
      <c r="F1235" t="str">
        <f t="shared" si="260"/>
        <v>0559165266</v>
      </c>
      <c r="G1235" s="1">
        <v>44579</v>
      </c>
      <c r="H1235" t="str">
        <f t="shared" si="263"/>
        <v>91329</v>
      </c>
      <c r="I1235">
        <v>2</v>
      </c>
      <c r="J1235">
        <v>428</v>
      </c>
      <c r="K1235">
        <v>0</v>
      </c>
      <c r="L1235">
        <v>333.84</v>
      </c>
    </row>
    <row r="1236" spans="1:12" x14ac:dyDescent="0.25">
      <c r="A1236" t="str">
        <f t="shared" si="257"/>
        <v>89301000</v>
      </c>
      <c r="B1236" t="str">
        <f t="shared" si="258"/>
        <v>06539000</v>
      </c>
      <c r="C1236" t="str">
        <f t="shared" si="261"/>
        <v>06539003</v>
      </c>
      <c r="D1236" t="str">
        <f t="shared" si="262"/>
        <v>813</v>
      </c>
      <c r="E1236" t="str">
        <f t="shared" si="259"/>
        <v>89301101</v>
      </c>
      <c r="F1236" t="str">
        <f t="shared" si="260"/>
        <v>0559165266</v>
      </c>
      <c r="G1236" s="1">
        <v>44579</v>
      </c>
      <c r="H1236" t="str">
        <f t="shared" si="263"/>
        <v>91329</v>
      </c>
      <c r="I1236">
        <v>2</v>
      </c>
      <c r="J1236">
        <v>428</v>
      </c>
      <c r="K1236">
        <v>0</v>
      </c>
      <c r="L1236">
        <v>333.84</v>
      </c>
    </row>
    <row r="1237" spans="1:12" x14ac:dyDescent="0.25">
      <c r="A1237" t="str">
        <f t="shared" si="257"/>
        <v>89301000</v>
      </c>
      <c r="B1237" t="str">
        <f t="shared" si="258"/>
        <v>06539000</v>
      </c>
      <c r="C1237" t="str">
        <f t="shared" si="261"/>
        <v>06539003</v>
      </c>
      <c r="D1237" t="str">
        <f t="shared" si="262"/>
        <v>813</v>
      </c>
      <c r="E1237" t="str">
        <f t="shared" si="259"/>
        <v>89301101</v>
      </c>
      <c r="F1237" t="str">
        <f t="shared" si="260"/>
        <v>0559165266</v>
      </c>
      <c r="G1237" s="1">
        <v>44579</v>
      </c>
      <c r="H1237" t="str">
        <f t="shared" si="263"/>
        <v>91329</v>
      </c>
      <c r="I1237">
        <v>2</v>
      </c>
      <c r="J1237">
        <v>428</v>
      </c>
      <c r="K1237">
        <v>0</v>
      </c>
      <c r="L1237">
        <v>333.84</v>
      </c>
    </row>
    <row r="1238" spans="1:12" x14ac:dyDescent="0.25">
      <c r="A1238" t="str">
        <f t="shared" si="257"/>
        <v>89301000</v>
      </c>
      <c r="B1238" t="str">
        <f t="shared" si="258"/>
        <v>06539000</v>
      </c>
      <c r="C1238" t="str">
        <f t="shared" si="261"/>
        <v>06539003</v>
      </c>
      <c r="D1238" t="str">
        <f t="shared" si="262"/>
        <v>813</v>
      </c>
      <c r="E1238" t="str">
        <f t="shared" si="259"/>
        <v>89301101</v>
      </c>
      <c r="F1238" t="str">
        <f t="shared" si="260"/>
        <v>0559165266</v>
      </c>
      <c r="G1238" s="1">
        <v>44579</v>
      </c>
      <c r="H1238" t="str">
        <f t="shared" si="263"/>
        <v>91329</v>
      </c>
      <c r="I1238">
        <v>2</v>
      </c>
      <c r="J1238">
        <v>428</v>
      </c>
      <c r="K1238">
        <v>0</v>
      </c>
      <c r="L1238">
        <v>333.84</v>
      </c>
    </row>
    <row r="1239" spans="1:12" x14ac:dyDescent="0.25">
      <c r="A1239" t="str">
        <f t="shared" si="257"/>
        <v>89301000</v>
      </c>
      <c r="B1239" t="str">
        <f t="shared" si="258"/>
        <v>06539000</v>
      </c>
      <c r="C1239" t="str">
        <f t="shared" si="261"/>
        <v>06539003</v>
      </c>
      <c r="D1239" t="str">
        <f t="shared" si="262"/>
        <v>813</v>
      </c>
      <c r="E1239" t="str">
        <f t="shared" si="259"/>
        <v>89301101</v>
      </c>
      <c r="F1239" t="str">
        <f t="shared" si="260"/>
        <v>0559165266</v>
      </c>
      <c r="G1239" s="1">
        <v>44579</v>
      </c>
      <c r="H1239" t="str">
        <f t="shared" si="263"/>
        <v>91329</v>
      </c>
      <c r="I1239">
        <v>2</v>
      </c>
      <c r="J1239">
        <v>428</v>
      </c>
      <c r="K1239">
        <v>0</v>
      </c>
      <c r="L1239">
        <v>333.84</v>
      </c>
    </row>
    <row r="1240" spans="1:12" x14ac:dyDescent="0.25">
      <c r="A1240" t="str">
        <f t="shared" si="257"/>
        <v>89301000</v>
      </c>
      <c r="B1240" t="str">
        <f t="shared" si="258"/>
        <v>06539000</v>
      </c>
      <c r="C1240" t="str">
        <f t="shared" si="261"/>
        <v>06539003</v>
      </c>
      <c r="D1240" t="str">
        <f t="shared" si="262"/>
        <v>813</v>
      </c>
      <c r="E1240" t="str">
        <f t="shared" si="259"/>
        <v>89301101</v>
      </c>
      <c r="F1240" t="str">
        <f t="shared" si="260"/>
        <v>0559165266</v>
      </c>
      <c r="G1240" s="1">
        <v>44579</v>
      </c>
      <c r="H1240" t="str">
        <f t="shared" si="263"/>
        <v>91329</v>
      </c>
      <c r="I1240">
        <v>2</v>
      </c>
      <c r="J1240">
        <v>428</v>
      </c>
      <c r="K1240">
        <v>0</v>
      </c>
      <c r="L1240">
        <v>333.84</v>
      </c>
    </row>
    <row r="1241" spans="1:12" x14ac:dyDescent="0.25">
      <c r="A1241" t="str">
        <f t="shared" si="257"/>
        <v>89301000</v>
      </c>
      <c r="B1241" t="str">
        <f t="shared" si="258"/>
        <v>06539000</v>
      </c>
      <c r="C1241" t="str">
        <f t="shared" si="261"/>
        <v>06539003</v>
      </c>
      <c r="D1241" t="str">
        <f t="shared" si="262"/>
        <v>813</v>
      </c>
      <c r="E1241" t="str">
        <f t="shared" si="259"/>
        <v>89301101</v>
      </c>
      <c r="F1241" t="str">
        <f t="shared" si="260"/>
        <v>0559165266</v>
      </c>
      <c r="G1241" s="1">
        <v>44579</v>
      </c>
      <c r="H1241" t="str">
        <f t="shared" si="263"/>
        <v>91329</v>
      </c>
      <c r="I1241">
        <v>2</v>
      </c>
      <c r="J1241">
        <v>428</v>
      </c>
      <c r="K1241">
        <v>0</v>
      </c>
      <c r="L1241">
        <v>333.84</v>
      </c>
    </row>
    <row r="1242" spans="1:12" x14ac:dyDescent="0.25">
      <c r="A1242" t="str">
        <f t="shared" si="257"/>
        <v>89301000</v>
      </c>
      <c r="B1242" t="str">
        <f t="shared" si="258"/>
        <v>06539000</v>
      </c>
      <c r="C1242" t="str">
        <f t="shared" si="261"/>
        <v>06539003</v>
      </c>
      <c r="D1242" t="str">
        <f t="shared" si="262"/>
        <v>813</v>
      </c>
      <c r="E1242" t="str">
        <f t="shared" si="259"/>
        <v>89301101</v>
      </c>
      <c r="F1242" t="str">
        <f t="shared" si="260"/>
        <v>0559165266</v>
      </c>
      <c r="G1242" s="1">
        <v>44579</v>
      </c>
      <c r="H1242" t="str">
        <f t="shared" si="263"/>
        <v>91329</v>
      </c>
      <c r="I1242">
        <v>2</v>
      </c>
      <c r="J1242">
        <v>428</v>
      </c>
      <c r="K1242">
        <v>0</v>
      </c>
      <c r="L1242">
        <v>333.84</v>
      </c>
    </row>
    <row r="1243" spans="1:12" x14ac:dyDescent="0.25">
      <c r="A1243" t="str">
        <f t="shared" si="257"/>
        <v>89301000</v>
      </c>
      <c r="B1243" t="str">
        <f t="shared" si="258"/>
        <v>06539000</v>
      </c>
      <c r="C1243" t="str">
        <f t="shared" si="261"/>
        <v>06539003</v>
      </c>
      <c r="D1243" t="str">
        <f t="shared" si="262"/>
        <v>813</v>
      </c>
      <c r="E1243" t="str">
        <f t="shared" si="259"/>
        <v>89301101</v>
      </c>
      <c r="F1243" t="str">
        <f t="shared" si="260"/>
        <v>0559165266</v>
      </c>
      <c r="G1243" s="1">
        <v>44579</v>
      </c>
      <c r="H1243" t="str">
        <f t="shared" si="263"/>
        <v>91329</v>
      </c>
      <c r="I1243">
        <v>2</v>
      </c>
      <c r="J1243">
        <v>428</v>
      </c>
      <c r="K1243">
        <v>0</v>
      </c>
      <c r="L1243">
        <v>333.84</v>
      </c>
    </row>
    <row r="1244" spans="1:12" x14ac:dyDescent="0.25">
      <c r="A1244" t="str">
        <f t="shared" si="257"/>
        <v>89301000</v>
      </c>
      <c r="B1244" t="str">
        <f t="shared" si="258"/>
        <v>06539000</v>
      </c>
      <c r="C1244" t="str">
        <f t="shared" si="261"/>
        <v>06539003</v>
      </c>
      <c r="D1244" t="str">
        <f t="shared" si="262"/>
        <v>813</v>
      </c>
      <c r="E1244" t="str">
        <f t="shared" si="259"/>
        <v>89301101</v>
      </c>
      <c r="F1244" t="str">
        <f t="shared" si="260"/>
        <v>0559165266</v>
      </c>
      <c r="G1244" s="1">
        <v>44579</v>
      </c>
      <c r="H1244" t="str">
        <f t="shared" si="263"/>
        <v>91329</v>
      </c>
      <c r="I1244">
        <v>2</v>
      </c>
      <c r="J1244">
        <v>428</v>
      </c>
      <c r="K1244">
        <v>0</v>
      </c>
      <c r="L1244">
        <v>333.84</v>
      </c>
    </row>
    <row r="1245" spans="1:12" x14ac:dyDescent="0.25">
      <c r="A1245" t="str">
        <f t="shared" si="257"/>
        <v>89301000</v>
      </c>
      <c r="B1245" t="str">
        <f t="shared" si="258"/>
        <v>06539000</v>
      </c>
      <c r="C1245" t="str">
        <f t="shared" si="261"/>
        <v>06539003</v>
      </c>
      <c r="D1245" t="str">
        <f t="shared" si="262"/>
        <v>813</v>
      </c>
      <c r="E1245" t="str">
        <f t="shared" si="259"/>
        <v>89301101</v>
      </c>
      <c r="F1245" t="str">
        <f t="shared" si="260"/>
        <v>0559165266</v>
      </c>
      <c r="G1245" s="1">
        <v>44579</v>
      </c>
      <c r="H1245" t="str">
        <f t="shared" si="263"/>
        <v>91329</v>
      </c>
      <c r="I1245">
        <v>2</v>
      </c>
      <c r="J1245">
        <v>428</v>
      </c>
      <c r="K1245">
        <v>0</v>
      </c>
      <c r="L1245">
        <v>333.84</v>
      </c>
    </row>
    <row r="1246" spans="1:12" x14ac:dyDescent="0.25">
      <c r="A1246" t="str">
        <f t="shared" si="257"/>
        <v>89301000</v>
      </c>
      <c r="B1246" t="str">
        <f t="shared" si="258"/>
        <v>06539000</v>
      </c>
      <c r="C1246" t="str">
        <f t="shared" si="261"/>
        <v>06539003</v>
      </c>
      <c r="D1246" t="str">
        <f t="shared" si="262"/>
        <v>813</v>
      </c>
      <c r="E1246" t="str">
        <f t="shared" si="259"/>
        <v>89301101</v>
      </c>
      <c r="F1246" t="str">
        <f t="shared" si="260"/>
        <v>0559165266</v>
      </c>
      <c r="G1246" s="1">
        <v>44592</v>
      </c>
      <c r="H1246" t="str">
        <f t="shared" si="263"/>
        <v>91329</v>
      </c>
      <c r="I1246">
        <v>2</v>
      </c>
      <c r="J1246">
        <v>428</v>
      </c>
      <c r="K1246">
        <v>0</v>
      </c>
      <c r="L1246">
        <v>333.84</v>
      </c>
    </row>
    <row r="1247" spans="1:12" x14ac:dyDescent="0.25">
      <c r="A1247" t="str">
        <f t="shared" si="257"/>
        <v>89301000</v>
      </c>
      <c r="B1247" t="str">
        <f t="shared" si="258"/>
        <v>06539000</v>
      </c>
      <c r="C1247" t="str">
        <f t="shared" si="261"/>
        <v>06539003</v>
      </c>
      <c r="D1247" t="str">
        <f t="shared" si="262"/>
        <v>813</v>
      </c>
      <c r="E1247" t="str">
        <f t="shared" si="259"/>
        <v>89301101</v>
      </c>
      <c r="F1247" t="str">
        <f t="shared" si="260"/>
        <v>0559165266</v>
      </c>
      <c r="G1247" s="1">
        <v>44592</v>
      </c>
      <c r="H1247" t="str">
        <f t="shared" si="263"/>
        <v>91329</v>
      </c>
      <c r="I1247">
        <v>2</v>
      </c>
      <c r="J1247">
        <v>428</v>
      </c>
      <c r="K1247">
        <v>0</v>
      </c>
      <c r="L1247">
        <v>333.84</v>
      </c>
    </row>
    <row r="1248" spans="1:12" x14ac:dyDescent="0.25">
      <c r="A1248" t="str">
        <f t="shared" si="257"/>
        <v>89301000</v>
      </c>
      <c r="B1248" t="str">
        <f t="shared" si="258"/>
        <v>06539000</v>
      </c>
      <c r="C1248" t="str">
        <f t="shared" si="261"/>
        <v>06539003</v>
      </c>
      <c r="D1248" t="str">
        <f t="shared" si="262"/>
        <v>813</v>
      </c>
      <c r="E1248" t="str">
        <f t="shared" si="259"/>
        <v>89301101</v>
      </c>
      <c r="F1248" t="str">
        <f t="shared" si="260"/>
        <v>0559165266</v>
      </c>
      <c r="G1248" s="1">
        <v>44592</v>
      </c>
      <c r="H1248" t="str">
        <f t="shared" si="263"/>
        <v>91329</v>
      </c>
      <c r="I1248">
        <v>2</v>
      </c>
      <c r="J1248">
        <v>428</v>
      </c>
      <c r="K1248">
        <v>0</v>
      </c>
      <c r="L1248">
        <v>333.84</v>
      </c>
    </row>
    <row r="1249" spans="1:12" x14ac:dyDescent="0.25">
      <c r="A1249" t="str">
        <f t="shared" si="257"/>
        <v>89301000</v>
      </c>
      <c r="B1249" t="str">
        <f t="shared" si="258"/>
        <v>06539000</v>
      </c>
      <c r="C1249" t="str">
        <f t="shared" si="261"/>
        <v>06539003</v>
      </c>
      <c r="D1249" t="str">
        <f t="shared" si="262"/>
        <v>813</v>
      </c>
      <c r="E1249" t="str">
        <f t="shared" si="259"/>
        <v>89301101</v>
      </c>
      <c r="F1249" t="str">
        <f t="shared" si="260"/>
        <v>0559165266</v>
      </c>
      <c r="G1249" s="1">
        <v>44592</v>
      </c>
      <c r="H1249" t="str">
        <f>"91475"</f>
        <v>91475</v>
      </c>
      <c r="I1249">
        <v>1</v>
      </c>
      <c r="J1249">
        <v>206</v>
      </c>
      <c r="K1249">
        <v>0</v>
      </c>
      <c r="L1249">
        <v>160.68</v>
      </c>
    </row>
    <row r="1250" spans="1:12" x14ac:dyDescent="0.25">
      <c r="A1250" t="str">
        <f t="shared" si="257"/>
        <v>89301000</v>
      </c>
      <c r="B1250" t="str">
        <f t="shared" si="258"/>
        <v>06539000</v>
      </c>
      <c r="C1250" t="str">
        <f>"06539001"</f>
        <v>06539001</v>
      </c>
      <c r="D1250" t="str">
        <f>"801"</f>
        <v>801</v>
      </c>
      <c r="E1250" t="str">
        <f t="shared" ref="E1250:E1296" si="264">"89301171"</f>
        <v>89301171</v>
      </c>
      <c r="F1250" t="str">
        <f t="shared" ref="F1250:F1296" si="265">"6454032002"</f>
        <v>6454032002</v>
      </c>
      <c r="G1250" s="1">
        <v>44582</v>
      </c>
      <c r="H1250" t="str">
        <f>"81329"</f>
        <v>81329</v>
      </c>
      <c r="I1250">
        <v>1</v>
      </c>
      <c r="J1250">
        <v>16</v>
      </c>
      <c r="K1250">
        <v>0</v>
      </c>
      <c r="L1250">
        <v>12.48</v>
      </c>
    </row>
    <row r="1251" spans="1:12" x14ac:dyDescent="0.25">
      <c r="A1251" t="str">
        <f t="shared" si="257"/>
        <v>89301000</v>
      </c>
      <c r="B1251" t="str">
        <f t="shared" si="258"/>
        <v>06539000</v>
      </c>
      <c r="C1251" t="str">
        <f>"06539001"</f>
        <v>06539001</v>
      </c>
      <c r="D1251" t="str">
        <f>"801"</f>
        <v>801</v>
      </c>
      <c r="E1251" t="str">
        <f t="shared" si="264"/>
        <v>89301171</v>
      </c>
      <c r="F1251" t="str">
        <f t="shared" si="265"/>
        <v>6454032002</v>
      </c>
      <c r="G1251" s="1">
        <v>44585</v>
      </c>
      <c r="H1251" t="str">
        <f>"81331"</f>
        <v>81331</v>
      </c>
      <c r="I1251">
        <v>1</v>
      </c>
      <c r="J1251">
        <v>193</v>
      </c>
      <c r="K1251">
        <v>0</v>
      </c>
      <c r="L1251">
        <v>150.54</v>
      </c>
    </row>
    <row r="1252" spans="1:12" x14ac:dyDescent="0.25">
      <c r="A1252" t="str">
        <f t="shared" si="257"/>
        <v>89301000</v>
      </c>
      <c r="B1252" t="str">
        <f t="shared" si="258"/>
        <v>06539000</v>
      </c>
      <c r="C1252" t="str">
        <f t="shared" ref="C1252:C1259" si="266">"06539002"</f>
        <v>06539002</v>
      </c>
      <c r="D1252" t="str">
        <f t="shared" ref="D1252:D1259" si="267">"802"</f>
        <v>802</v>
      </c>
      <c r="E1252" t="str">
        <f t="shared" si="264"/>
        <v>89301171</v>
      </c>
      <c r="F1252" t="str">
        <f t="shared" si="265"/>
        <v>6454032002</v>
      </c>
      <c r="G1252" s="1">
        <v>44585</v>
      </c>
      <c r="H1252" t="str">
        <f t="shared" ref="H1252:H1259" si="268">"82097"</f>
        <v>82097</v>
      </c>
      <c r="I1252">
        <v>1</v>
      </c>
      <c r="J1252">
        <v>380</v>
      </c>
      <c r="K1252">
        <v>0</v>
      </c>
      <c r="L1252">
        <v>345.8</v>
      </c>
    </row>
    <row r="1253" spans="1:12" x14ac:dyDescent="0.25">
      <c r="A1253" t="str">
        <f t="shared" si="257"/>
        <v>89301000</v>
      </c>
      <c r="B1253" t="str">
        <f t="shared" si="258"/>
        <v>06539000</v>
      </c>
      <c r="C1253" t="str">
        <f t="shared" si="266"/>
        <v>06539002</v>
      </c>
      <c r="D1253" t="str">
        <f t="shared" si="267"/>
        <v>802</v>
      </c>
      <c r="E1253" t="str">
        <f t="shared" si="264"/>
        <v>89301171</v>
      </c>
      <c r="F1253" t="str">
        <f t="shared" si="265"/>
        <v>6454032002</v>
      </c>
      <c r="G1253" s="1">
        <v>44585</v>
      </c>
      <c r="H1253" t="str">
        <f t="shared" si="268"/>
        <v>82097</v>
      </c>
      <c r="I1253">
        <v>1</v>
      </c>
      <c r="J1253">
        <v>380</v>
      </c>
      <c r="K1253">
        <v>0</v>
      </c>
      <c r="L1253">
        <v>345.8</v>
      </c>
    </row>
    <row r="1254" spans="1:12" x14ac:dyDescent="0.25">
      <c r="A1254" t="str">
        <f t="shared" si="257"/>
        <v>89301000</v>
      </c>
      <c r="B1254" t="str">
        <f t="shared" si="258"/>
        <v>06539000</v>
      </c>
      <c r="C1254" t="str">
        <f t="shared" si="266"/>
        <v>06539002</v>
      </c>
      <c r="D1254" t="str">
        <f t="shared" si="267"/>
        <v>802</v>
      </c>
      <c r="E1254" t="str">
        <f t="shared" si="264"/>
        <v>89301171</v>
      </c>
      <c r="F1254" t="str">
        <f t="shared" si="265"/>
        <v>6454032002</v>
      </c>
      <c r="G1254" s="1">
        <v>44585</v>
      </c>
      <c r="H1254" t="str">
        <f t="shared" si="268"/>
        <v>82097</v>
      </c>
      <c r="I1254">
        <v>1</v>
      </c>
      <c r="J1254">
        <v>380</v>
      </c>
      <c r="K1254">
        <v>0</v>
      </c>
      <c r="L1254">
        <v>345.8</v>
      </c>
    </row>
    <row r="1255" spans="1:12" x14ac:dyDescent="0.25">
      <c r="A1255" t="str">
        <f t="shared" si="257"/>
        <v>89301000</v>
      </c>
      <c r="B1255" t="str">
        <f t="shared" si="258"/>
        <v>06539000</v>
      </c>
      <c r="C1255" t="str">
        <f t="shared" si="266"/>
        <v>06539002</v>
      </c>
      <c r="D1255" t="str">
        <f t="shared" si="267"/>
        <v>802</v>
      </c>
      <c r="E1255" t="str">
        <f t="shared" si="264"/>
        <v>89301171</v>
      </c>
      <c r="F1255" t="str">
        <f t="shared" si="265"/>
        <v>6454032002</v>
      </c>
      <c r="G1255" s="1">
        <v>44585</v>
      </c>
      <c r="H1255" t="str">
        <f t="shared" si="268"/>
        <v>82097</v>
      </c>
      <c r="I1255">
        <v>1</v>
      </c>
      <c r="J1255">
        <v>380</v>
      </c>
      <c r="K1255">
        <v>0</v>
      </c>
      <c r="L1255">
        <v>345.8</v>
      </c>
    </row>
    <row r="1256" spans="1:12" x14ac:dyDescent="0.25">
      <c r="A1256" t="str">
        <f t="shared" si="257"/>
        <v>89301000</v>
      </c>
      <c r="B1256" t="str">
        <f t="shared" si="258"/>
        <v>06539000</v>
      </c>
      <c r="C1256" t="str">
        <f t="shared" si="266"/>
        <v>06539002</v>
      </c>
      <c r="D1256" t="str">
        <f t="shared" si="267"/>
        <v>802</v>
      </c>
      <c r="E1256" t="str">
        <f t="shared" si="264"/>
        <v>89301171</v>
      </c>
      <c r="F1256" t="str">
        <f t="shared" si="265"/>
        <v>6454032002</v>
      </c>
      <c r="G1256" s="1">
        <v>44586</v>
      </c>
      <c r="H1256" t="str">
        <f t="shared" si="268"/>
        <v>82097</v>
      </c>
      <c r="I1256">
        <v>1</v>
      </c>
      <c r="J1256">
        <v>380</v>
      </c>
      <c r="K1256">
        <v>0</v>
      </c>
      <c r="L1256">
        <v>345.8</v>
      </c>
    </row>
    <row r="1257" spans="1:12" x14ac:dyDescent="0.25">
      <c r="A1257" t="str">
        <f t="shared" si="257"/>
        <v>89301000</v>
      </c>
      <c r="B1257" t="str">
        <f t="shared" si="258"/>
        <v>06539000</v>
      </c>
      <c r="C1257" t="str">
        <f t="shared" si="266"/>
        <v>06539002</v>
      </c>
      <c r="D1257" t="str">
        <f t="shared" si="267"/>
        <v>802</v>
      </c>
      <c r="E1257" t="str">
        <f t="shared" si="264"/>
        <v>89301171</v>
      </c>
      <c r="F1257" t="str">
        <f t="shared" si="265"/>
        <v>6454032002</v>
      </c>
      <c r="G1257" s="1">
        <v>44586</v>
      </c>
      <c r="H1257" t="str">
        <f t="shared" si="268"/>
        <v>82097</v>
      </c>
      <c r="I1257">
        <v>1</v>
      </c>
      <c r="J1257">
        <v>380</v>
      </c>
      <c r="K1257">
        <v>0</v>
      </c>
      <c r="L1257">
        <v>345.8</v>
      </c>
    </row>
    <row r="1258" spans="1:12" x14ac:dyDescent="0.25">
      <c r="A1258" t="str">
        <f t="shared" si="257"/>
        <v>89301000</v>
      </c>
      <c r="B1258" t="str">
        <f t="shared" si="258"/>
        <v>06539000</v>
      </c>
      <c r="C1258" t="str">
        <f t="shared" si="266"/>
        <v>06539002</v>
      </c>
      <c r="D1258" t="str">
        <f t="shared" si="267"/>
        <v>802</v>
      </c>
      <c r="E1258" t="str">
        <f t="shared" si="264"/>
        <v>89301171</v>
      </c>
      <c r="F1258" t="str">
        <f t="shared" si="265"/>
        <v>6454032002</v>
      </c>
      <c r="G1258" s="1">
        <v>44586</v>
      </c>
      <c r="H1258" t="str">
        <f t="shared" si="268"/>
        <v>82097</v>
      </c>
      <c r="I1258">
        <v>1</v>
      </c>
      <c r="J1258">
        <v>380</v>
      </c>
      <c r="K1258">
        <v>0</v>
      </c>
      <c r="L1258">
        <v>345.8</v>
      </c>
    </row>
    <row r="1259" spans="1:12" x14ac:dyDescent="0.25">
      <c r="A1259" t="str">
        <f t="shared" si="257"/>
        <v>89301000</v>
      </c>
      <c r="B1259" t="str">
        <f t="shared" si="258"/>
        <v>06539000</v>
      </c>
      <c r="C1259" t="str">
        <f t="shared" si="266"/>
        <v>06539002</v>
      </c>
      <c r="D1259" t="str">
        <f t="shared" si="267"/>
        <v>802</v>
      </c>
      <c r="E1259" t="str">
        <f t="shared" si="264"/>
        <v>89301171</v>
      </c>
      <c r="F1259" t="str">
        <f t="shared" si="265"/>
        <v>6454032002</v>
      </c>
      <c r="G1259" s="1">
        <v>44586</v>
      </c>
      <c r="H1259" t="str">
        <f t="shared" si="268"/>
        <v>82097</v>
      </c>
      <c r="I1259">
        <v>1</v>
      </c>
      <c r="J1259">
        <v>380</v>
      </c>
      <c r="K1259">
        <v>0</v>
      </c>
      <c r="L1259">
        <v>345.8</v>
      </c>
    </row>
    <row r="1260" spans="1:12" x14ac:dyDescent="0.25">
      <c r="A1260" t="str">
        <f t="shared" si="257"/>
        <v>89301000</v>
      </c>
      <c r="B1260" t="str">
        <f t="shared" si="258"/>
        <v>06539000</v>
      </c>
      <c r="C1260" t="str">
        <f t="shared" ref="C1260:C1296" si="269">"06539003"</f>
        <v>06539003</v>
      </c>
      <c r="D1260" t="str">
        <f t="shared" ref="D1260:D1296" si="270">"813"</f>
        <v>813</v>
      </c>
      <c r="E1260" t="str">
        <f t="shared" si="264"/>
        <v>89301171</v>
      </c>
      <c r="F1260" t="str">
        <f t="shared" si="265"/>
        <v>6454032002</v>
      </c>
      <c r="G1260" s="1">
        <v>44582</v>
      </c>
      <c r="H1260" t="str">
        <f>"91439"</f>
        <v>91439</v>
      </c>
      <c r="I1260">
        <v>1</v>
      </c>
      <c r="J1260">
        <v>356</v>
      </c>
      <c r="K1260">
        <v>0</v>
      </c>
      <c r="L1260">
        <v>277.68</v>
      </c>
    </row>
    <row r="1261" spans="1:12" x14ac:dyDescent="0.25">
      <c r="A1261" t="str">
        <f t="shared" si="257"/>
        <v>89301000</v>
      </c>
      <c r="B1261" t="str">
        <f t="shared" si="258"/>
        <v>06539000</v>
      </c>
      <c r="C1261" t="str">
        <f t="shared" si="269"/>
        <v>06539003</v>
      </c>
      <c r="D1261" t="str">
        <f t="shared" si="270"/>
        <v>813</v>
      </c>
      <c r="E1261" t="str">
        <f t="shared" si="264"/>
        <v>89301171</v>
      </c>
      <c r="F1261" t="str">
        <f t="shared" si="265"/>
        <v>6454032002</v>
      </c>
      <c r="G1261" s="1">
        <v>44582</v>
      </c>
      <c r="H1261" t="str">
        <f>"91439"</f>
        <v>91439</v>
      </c>
      <c r="I1261">
        <v>1</v>
      </c>
      <c r="J1261">
        <v>356</v>
      </c>
      <c r="K1261">
        <v>0</v>
      </c>
      <c r="L1261">
        <v>277.68</v>
      </c>
    </row>
    <row r="1262" spans="1:12" x14ac:dyDescent="0.25">
      <c r="A1262" t="str">
        <f t="shared" si="257"/>
        <v>89301000</v>
      </c>
      <c r="B1262" t="str">
        <f t="shared" si="258"/>
        <v>06539000</v>
      </c>
      <c r="C1262" t="str">
        <f t="shared" si="269"/>
        <v>06539003</v>
      </c>
      <c r="D1262" t="str">
        <f t="shared" si="270"/>
        <v>813</v>
      </c>
      <c r="E1262" t="str">
        <f t="shared" si="264"/>
        <v>89301171</v>
      </c>
      <c r="F1262" t="str">
        <f t="shared" si="265"/>
        <v>6454032002</v>
      </c>
      <c r="G1262" s="1">
        <v>44582</v>
      </c>
      <c r="H1262" t="str">
        <f>"91439"</f>
        <v>91439</v>
      </c>
      <c r="I1262">
        <v>1</v>
      </c>
      <c r="J1262">
        <v>356</v>
      </c>
      <c r="K1262">
        <v>0</v>
      </c>
      <c r="L1262">
        <v>277.68</v>
      </c>
    </row>
    <row r="1263" spans="1:12" x14ac:dyDescent="0.25">
      <c r="A1263" t="str">
        <f t="shared" si="257"/>
        <v>89301000</v>
      </c>
      <c r="B1263" t="str">
        <f t="shared" si="258"/>
        <v>06539000</v>
      </c>
      <c r="C1263" t="str">
        <f t="shared" si="269"/>
        <v>06539003</v>
      </c>
      <c r="D1263" t="str">
        <f t="shared" si="270"/>
        <v>813</v>
      </c>
      <c r="E1263" t="str">
        <f t="shared" si="264"/>
        <v>89301171</v>
      </c>
      <c r="F1263" t="str">
        <f t="shared" si="265"/>
        <v>6454032002</v>
      </c>
      <c r="G1263" s="1">
        <v>44582</v>
      </c>
      <c r="H1263" t="str">
        <f>"91439"</f>
        <v>91439</v>
      </c>
      <c r="I1263">
        <v>1</v>
      </c>
      <c r="J1263">
        <v>356</v>
      </c>
      <c r="K1263">
        <v>0</v>
      </c>
      <c r="L1263">
        <v>277.68</v>
      </c>
    </row>
    <row r="1264" spans="1:12" x14ac:dyDescent="0.25">
      <c r="A1264" t="str">
        <f t="shared" si="257"/>
        <v>89301000</v>
      </c>
      <c r="B1264" t="str">
        <f t="shared" si="258"/>
        <v>06539000</v>
      </c>
      <c r="C1264" t="str">
        <f t="shared" si="269"/>
        <v>06539003</v>
      </c>
      <c r="D1264" t="str">
        <f t="shared" si="270"/>
        <v>813</v>
      </c>
      <c r="E1264" t="str">
        <f t="shared" si="264"/>
        <v>89301171</v>
      </c>
      <c r="F1264" t="str">
        <f t="shared" si="265"/>
        <v>6454032002</v>
      </c>
      <c r="G1264" s="1">
        <v>44582</v>
      </c>
      <c r="H1264" t="str">
        <f>"91439"</f>
        <v>91439</v>
      </c>
      <c r="I1264">
        <v>2</v>
      </c>
      <c r="J1264">
        <v>712</v>
      </c>
      <c r="K1264">
        <v>0</v>
      </c>
      <c r="L1264">
        <v>555.36</v>
      </c>
    </row>
    <row r="1265" spans="1:12" x14ac:dyDescent="0.25">
      <c r="A1265" t="str">
        <f t="shared" si="257"/>
        <v>89301000</v>
      </c>
      <c r="B1265" t="str">
        <f t="shared" si="258"/>
        <v>06539000</v>
      </c>
      <c r="C1265" t="str">
        <f t="shared" si="269"/>
        <v>06539003</v>
      </c>
      <c r="D1265" t="str">
        <f t="shared" si="270"/>
        <v>813</v>
      </c>
      <c r="E1265" t="str">
        <f t="shared" si="264"/>
        <v>89301171</v>
      </c>
      <c r="F1265" t="str">
        <f t="shared" si="265"/>
        <v>6454032002</v>
      </c>
      <c r="G1265" s="1">
        <v>44587</v>
      </c>
      <c r="H1265" t="str">
        <f t="shared" ref="H1265:H1274" si="271">"91413"</f>
        <v>91413</v>
      </c>
      <c r="I1265">
        <v>1</v>
      </c>
      <c r="J1265">
        <v>853</v>
      </c>
      <c r="K1265">
        <v>0</v>
      </c>
      <c r="L1265">
        <v>665.34</v>
      </c>
    </row>
    <row r="1266" spans="1:12" x14ac:dyDescent="0.25">
      <c r="A1266" t="str">
        <f t="shared" si="257"/>
        <v>89301000</v>
      </c>
      <c r="B1266" t="str">
        <f t="shared" si="258"/>
        <v>06539000</v>
      </c>
      <c r="C1266" t="str">
        <f t="shared" si="269"/>
        <v>06539003</v>
      </c>
      <c r="D1266" t="str">
        <f t="shared" si="270"/>
        <v>813</v>
      </c>
      <c r="E1266" t="str">
        <f t="shared" si="264"/>
        <v>89301171</v>
      </c>
      <c r="F1266" t="str">
        <f t="shared" si="265"/>
        <v>6454032002</v>
      </c>
      <c r="G1266" s="1">
        <v>44587</v>
      </c>
      <c r="H1266" t="str">
        <f t="shared" si="271"/>
        <v>91413</v>
      </c>
      <c r="I1266">
        <v>1</v>
      </c>
      <c r="J1266">
        <v>853</v>
      </c>
      <c r="K1266">
        <v>0</v>
      </c>
      <c r="L1266">
        <v>665.34</v>
      </c>
    </row>
    <row r="1267" spans="1:12" x14ac:dyDescent="0.25">
      <c r="A1267" t="str">
        <f t="shared" si="257"/>
        <v>89301000</v>
      </c>
      <c r="B1267" t="str">
        <f t="shared" si="258"/>
        <v>06539000</v>
      </c>
      <c r="C1267" t="str">
        <f t="shared" si="269"/>
        <v>06539003</v>
      </c>
      <c r="D1267" t="str">
        <f t="shared" si="270"/>
        <v>813</v>
      </c>
      <c r="E1267" t="str">
        <f t="shared" si="264"/>
        <v>89301171</v>
      </c>
      <c r="F1267" t="str">
        <f t="shared" si="265"/>
        <v>6454032002</v>
      </c>
      <c r="G1267" s="1">
        <v>44595</v>
      </c>
      <c r="H1267" t="str">
        <f t="shared" si="271"/>
        <v>91413</v>
      </c>
      <c r="I1267">
        <v>1</v>
      </c>
      <c r="J1267">
        <v>853</v>
      </c>
      <c r="K1267">
        <v>0</v>
      </c>
      <c r="L1267">
        <v>665.34</v>
      </c>
    </row>
    <row r="1268" spans="1:12" x14ac:dyDescent="0.25">
      <c r="A1268" t="str">
        <f t="shared" si="257"/>
        <v>89301000</v>
      </c>
      <c r="B1268" t="str">
        <f t="shared" si="258"/>
        <v>06539000</v>
      </c>
      <c r="C1268" t="str">
        <f t="shared" si="269"/>
        <v>06539003</v>
      </c>
      <c r="D1268" t="str">
        <f t="shared" si="270"/>
        <v>813</v>
      </c>
      <c r="E1268" t="str">
        <f t="shared" si="264"/>
        <v>89301171</v>
      </c>
      <c r="F1268" t="str">
        <f t="shared" si="265"/>
        <v>6454032002</v>
      </c>
      <c r="G1268" s="1">
        <v>44595</v>
      </c>
      <c r="H1268" t="str">
        <f t="shared" si="271"/>
        <v>91413</v>
      </c>
      <c r="I1268">
        <v>1</v>
      </c>
      <c r="J1268">
        <v>853</v>
      </c>
      <c r="K1268">
        <v>0</v>
      </c>
      <c r="L1268">
        <v>665.34</v>
      </c>
    </row>
    <row r="1269" spans="1:12" x14ac:dyDescent="0.25">
      <c r="A1269" t="str">
        <f t="shared" si="257"/>
        <v>89301000</v>
      </c>
      <c r="B1269" t="str">
        <f t="shared" si="258"/>
        <v>06539000</v>
      </c>
      <c r="C1269" t="str">
        <f t="shared" si="269"/>
        <v>06539003</v>
      </c>
      <c r="D1269" t="str">
        <f t="shared" si="270"/>
        <v>813</v>
      </c>
      <c r="E1269" t="str">
        <f t="shared" si="264"/>
        <v>89301171</v>
      </c>
      <c r="F1269" t="str">
        <f t="shared" si="265"/>
        <v>6454032002</v>
      </c>
      <c r="G1269" s="1">
        <v>44595</v>
      </c>
      <c r="H1269" t="str">
        <f t="shared" si="271"/>
        <v>91413</v>
      </c>
      <c r="I1269">
        <v>1</v>
      </c>
      <c r="J1269">
        <v>853</v>
      </c>
      <c r="K1269">
        <v>0</v>
      </c>
      <c r="L1269">
        <v>665.34</v>
      </c>
    </row>
    <row r="1270" spans="1:12" x14ac:dyDescent="0.25">
      <c r="A1270" t="str">
        <f t="shared" si="257"/>
        <v>89301000</v>
      </c>
      <c r="B1270" t="str">
        <f t="shared" si="258"/>
        <v>06539000</v>
      </c>
      <c r="C1270" t="str">
        <f t="shared" si="269"/>
        <v>06539003</v>
      </c>
      <c r="D1270" t="str">
        <f t="shared" si="270"/>
        <v>813</v>
      </c>
      <c r="E1270" t="str">
        <f t="shared" si="264"/>
        <v>89301171</v>
      </c>
      <c r="F1270" t="str">
        <f t="shared" si="265"/>
        <v>6454032002</v>
      </c>
      <c r="G1270" s="1">
        <v>44595</v>
      </c>
      <c r="H1270" t="str">
        <f t="shared" si="271"/>
        <v>91413</v>
      </c>
      <c r="I1270">
        <v>1</v>
      </c>
      <c r="J1270">
        <v>853</v>
      </c>
      <c r="K1270">
        <v>0</v>
      </c>
      <c r="L1270">
        <v>665.34</v>
      </c>
    </row>
    <row r="1271" spans="1:12" x14ac:dyDescent="0.25">
      <c r="A1271" t="str">
        <f t="shared" si="257"/>
        <v>89301000</v>
      </c>
      <c r="B1271" t="str">
        <f t="shared" si="258"/>
        <v>06539000</v>
      </c>
      <c r="C1271" t="str">
        <f t="shared" si="269"/>
        <v>06539003</v>
      </c>
      <c r="D1271" t="str">
        <f t="shared" si="270"/>
        <v>813</v>
      </c>
      <c r="E1271" t="str">
        <f t="shared" si="264"/>
        <v>89301171</v>
      </c>
      <c r="F1271" t="str">
        <f t="shared" si="265"/>
        <v>6454032002</v>
      </c>
      <c r="G1271" s="1">
        <v>44595</v>
      </c>
      <c r="H1271" t="str">
        <f t="shared" si="271"/>
        <v>91413</v>
      </c>
      <c r="I1271">
        <v>1</v>
      </c>
      <c r="J1271">
        <v>853</v>
      </c>
      <c r="K1271">
        <v>0</v>
      </c>
      <c r="L1271">
        <v>665.34</v>
      </c>
    </row>
    <row r="1272" spans="1:12" x14ac:dyDescent="0.25">
      <c r="A1272" t="str">
        <f t="shared" si="257"/>
        <v>89301000</v>
      </c>
      <c r="B1272" t="str">
        <f t="shared" si="258"/>
        <v>06539000</v>
      </c>
      <c r="C1272" t="str">
        <f t="shared" si="269"/>
        <v>06539003</v>
      </c>
      <c r="D1272" t="str">
        <f t="shared" si="270"/>
        <v>813</v>
      </c>
      <c r="E1272" t="str">
        <f t="shared" si="264"/>
        <v>89301171</v>
      </c>
      <c r="F1272" t="str">
        <f t="shared" si="265"/>
        <v>6454032002</v>
      </c>
      <c r="G1272" s="1">
        <v>44595</v>
      </c>
      <c r="H1272" t="str">
        <f t="shared" si="271"/>
        <v>91413</v>
      </c>
      <c r="I1272">
        <v>1</v>
      </c>
      <c r="J1272">
        <v>853</v>
      </c>
      <c r="K1272">
        <v>0</v>
      </c>
      <c r="L1272">
        <v>665.34</v>
      </c>
    </row>
    <row r="1273" spans="1:12" x14ac:dyDescent="0.25">
      <c r="A1273" t="str">
        <f t="shared" si="257"/>
        <v>89301000</v>
      </c>
      <c r="B1273" t="str">
        <f t="shared" si="258"/>
        <v>06539000</v>
      </c>
      <c r="C1273" t="str">
        <f t="shared" si="269"/>
        <v>06539003</v>
      </c>
      <c r="D1273" t="str">
        <f t="shared" si="270"/>
        <v>813</v>
      </c>
      <c r="E1273" t="str">
        <f t="shared" si="264"/>
        <v>89301171</v>
      </c>
      <c r="F1273" t="str">
        <f t="shared" si="265"/>
        <v>6454032002</v>
      </c>
      <c r="G1273" s="1">
        <v>44595</v>
      </c>
      <c r="H1273" t="str">
        <f t="shared" si="271"/>
        <v>91413</v>
      </c>
      <c r="I1273">
        <v>1</v>
      </c>
      <c r="J1273">
        <v>853</v>
      </c>
      <c r="K1273">
        <v>0</v>
      </c>
      <c r="L1273">
        <v>665.34</v>
      </c>
    </row>
    <row r="1274" spans="1:12" x14ac:dyDescent="0.25">
      <c r="A1274" t="str">
        <f t="shared" si="257"/>
        <v>89301000</v>
      </c>
      <c r="B1274" t="str">
        <f t="shared" si="258"/>
        <v>06539000</v>
      </c>
      <c r="C1274" t="str">
        <f t="shared" si="269"/>
        <v>06539003</v>
      </c>
      <c r="D1274" t="str">
        <f t="shared" si="270"/>
        <v>813</v>
      </c>
      <c r="E1274" t="str">
        <f t="shared" si="264"/>
        <v>89301171</v>
      </c>
      <c r="F1274" t="str">
        <f t="shared" si="265"/>
        <v>6454032002</v>
      </c>
      <c r="G1274" s="1">
        <v>44595</v>
      </c>
      <c r="H1274" t="str">
        <f t="shared" si="271"/>
        <v>91413</v>
      </c>
      <c r="I1274">
        <v>1</v>
      </c>
      <c r="J1274">
        <v>853</v>
      </c>
      <c r="K1274">
        <v>0</v>
      </c>
      <c r="L1274">
        <v>665.34</v>
      </c>
    </row>
    <row r="1275" spans="1:12" x14ac:dyDescent="0.25">
      <c r="A1275" t="str">
        <f t="shared" si="257"/>
        <v>89301000</v>
      </c>
      <c r="B1275" t="str">
        <f t="shared" si="258"/>
        <v>06539000</v>
      </c>
      <c r="C1275" t="str">
        <f t="shared" si="269"/>
        <v>06539003</v>
      </c>
      <c r="D1275" t="str">
        <f t="shared" si="270"/>
        <v>813</v>
      </c>
      <c r="E1275" t="str">
        <f t="shared" si="264"/>
        <v>89301171</v>
      </c>
      <c r="F1275" t="str">
        <f t="shared" si="265"/>
        <v>6454032002</v>
      </c>
      <c r="G1275" s="1">
        <v>44586</v>
      </c>
      <c r="H1275" t="str">
        <f t="shared" ref="H1275:H1281" si="272">"91197"</f>
        <v>91197</v>
      </c>
      <c r="I1275">
        <v>1</v>
      </c>
      <c r="J1275">
        <v>1046</v>
      </c>
      <c r="K1275">
        <v>0</v>
      </c>
      <c r="L1275">
        <v>815.88</v>
      </c>
    </row>
    <row r="1276" spans="1:12" x14ac:dyDescent="0.25">
      <c r="A1276" t="str">
        <f t="shared" si="257"/>
        <v>89301000</v>
      </c>
      <c r="B1276" t="str">
        <f t="shared" si="258"/>
        <v>06539000</v>
      </c>
      <c r="C1276" t="str">
        <f t="shared" si="269"/>
        <v>06539003</v>
      </c>
      <c r="D1276" t="str">
        <f t="shared" si="270"/>
        <v>813</v>
      </c>
      <c r="E1276" t="str">
        <f t="shared" si="264"/>
        <v>89301171</v>
      </c>
      <c r="F1276" t="str">
        <f t="shared" si="265"/>
        <v>6454032002</v>
      </c>
      <c r="G1276" s="1">
        <v>44585</v>
      </c>
      <c r="H1276" t="str">
        <f t="shared" si="272"/>
        <v>91197</v>
      </c>
      <c r="I1276">
        <v>1</v>
      </c>
      <c r="J1276">
        <v>1046</v>
      </c>
      <c r="K1276">
        <v>0</v>
      </c>
      <c r="L1276">
        <v>815.88</v>
      </c>
    </row>
    <row r="1277" spans="1:12" x14ac:dyDescent="0.25">
      <c r="A1277" t="str">
        <f t="shared" si="257"/>
        <v>89301000</v>
      </c>
      <c r="B1277" t="str">
        <f t="shared" si="258"/>
        <v>06539000</v>
      </c>
      <c r="C1277" t="str">
        <f t="shared" si="269"/>
        <v>06539003</v>
      </c>
      <c r="D1277" t="str">
        <f t="shared" si="270"/>
        <v>813</v>
      </c>
      <c r="E1277" t="str">
        <f t="shared" si="264"/>
        <v>89301171</v>
      </c>
      <c r="F1277" t="str">
        <f t="shared" si="265"/>
        <v>6454032002</v>
      </c>
      <c r="G1277" s="1">
        <v>44585</v>
      </c>
      <c r="H1277" t="str">
        <f t="shared" si="272"/>
        <v>91197</v>
      </c>
      <c r="I1277">
        <v>1</v>
      </c>
      <c r="J1277">
        <v>1046</v>
      </c>
      <c r="K1277">
        <v>0</v>
      </c>
      <c r="L1277">
        <v>815.88</v>
      </c>
    </row>
    <row r="1278" spans="1:12" x14ac:dyDescent="0.25">
      <c r="A1278" t="str">
        <f t="shared" si="257"/>
        <v>89301000</v>
      </c>
      <c r="B1278" t="str">
        <f t="shared" si="258"/>
        <v>06539000</v>
      </c>
      <c r="C1278" t="str">
        <f t="shared" si="269"/>
        <v>06539003</v>
      </c>
      <c r="D1278" t="str">
        <f t="shared" si="270"/>
        <v>813</v>
      </c>
      <c r="E1278" t="str">
        <f t="shared" si="264"/>
        <v>89301171</v>
      </c>
      <c r="F1278" t="str">
        <f t="shared" si="265"/>
        <v>6454032002</v>
      </c>
      <c r="G1278" s="1">
        <v>44584</v>
      </c>
      <c r="H1278" t="str">
        <f t="shared" si="272"/>
        <v>91197</v>
      </c>
      <c r="I1278">
        <v>1</v>
      </c>
      <c r="J1278">
        <v>1046</v>
      </c>
      <c r="K1278">
        <v>0</v>
      </c>
      <c r="L1278">
        <v>815.88</v>
      </c>
    </row>
    <row r="1279" spans="1:12" x14ac:dyDescent="0.25">
      <c r="A1279" t="str">
        <f t="shared" si="257"/>
        <v>89301000</v>
      </c>
      <c r="B1279" t="str">
        <f t="shared" si="258"/>
        <v>06539000</v>
      </c>
      <c r="C1279" t="str">
        <f t="shared" si="269"/>
        <v>06539003</v>
      </c>
      <c r="D1279" t="str">
        <f t="shared" si="270"/>
        <v>813</v>
      </c>
      <c r="E1279" t="str">
        <f t="shared" si="264"/>
        <v>89301171</v>
      </c>
      <c r="F1279" t="str">
        <f t="shared" si="265"/>
        <v>6454032002</v>
      </c>
      <c r="G1279" s="1">
        <v>44584</v>
      </c>
      <c r="H1279" t="str">
        <f t="shared" si="272"/>
        <v>91197</v>
      </c>
      <c r="I1279">
        <v>1</v>
      </c>
      <c r="J1279">
        <v>1046</v>
      </c>
      <c r="K1279">
        <v>0</v>
      </c>
      <c r="L1279">
        <v>815.88</v>
      </c>
    </row>
    <row r="1280" spans="1:12" x14ac:dyDescent="0.25">
      <c r="A1280" t="str">
        <f t="shared" si="257"/>
        <v>89301000</v>
      </c>
      <c r="B1280" t="str">
        <f t="shared" si="258"/>
        <v>06539000</v>
      </c>
      <c r="C1280" t="str">
        <f t="shared" si="269"/>
        <v>06539003</v>
      </c>
      <c r="D1280" t="str">
        <f t="shared" si="270"/>
        <v>813</v>
      </c>
      <c r="E1280" t="str">
        <f t="shared" si="264"/>
        <v>89301171</v>
      </c>
      <c r="F1280" t="str">
        <f t="shared" si="265"/>
        <v>6454032002</v>
      </c>
      <c r="G1280" s="1">
        <v>44583</v>
      </c>
      <c r="H1280" t="str">
        <f t="shared" si="272"/>
        <v>91197</v>
      </c>
      <c r="I1280">
        <v>1</v>
      </c>
      <c r="J1280">
        <v>1046</v>
      </c>
      <c r="K1280">
        <v>0</v>
      </c>
      <c r="L1280">
        <v>815.88</v>
      </c>
    </row>
    <row r="1281" spans="1:12" x14ac:dyDescent="0.25">
      <c r="A1281" t="str">
        <f t="shared" si="257"/>
        <v>89301000</v>
      </c>
      <c r="B1281" t="str">
        <f t="shared" si="258"/>
        <v>06539000</v>
      </c>
      <c r="C1281" t="str">
        <f t="shared" si="269"/>
        <v>06539003</v>
      </c>
      <c r="D1281" t="str">
        <f t="shared" si="270"/>
        <v>813</v>
      </c>
      <c r="E1281" t="str">
        <f t="shared" si="264"/>
        <v>89301171</v>
      </c>
      <c r="F1281" t="str">
        <f t="shared" si="265"/>
        <v>6454032002</v>
      </c>
      <c r="G1281" s="1">
        <v>44583</v>
      </c>
      <c r="H1281" t="str">
        <f t="shared" si="272"/>
        <v>91197</v>
      </c>
      <c r="I1281">
        <v>1</v>
      </c>
      <c r="J1281">
        <v>1046</v>
      </c>
      <c r="K1281">
        <v>0</v>
      </c>
      <c r="L1281">
        <v>815.88</v>
      </c>
    </row>
    <row r="1282" spans="1:12" x14ac:dyDescent="0.25">
      <c r="A1282" t="str">
        <f t="shared" ref="A1282:A1345" si="273">"89301000"</f>
        <v>89301000</v>
      </c>
      <c r="B1282" t="str">
        <f t="shared" si="258"/>
        <v>06539000</v>
      </c>
      <c r="C1282" t="str">
        <f t="shared" si="269"/>
        <v>06539003</v>
      </c>
      <c r="D1282" t="str">
        <f t="shared" si="270"/>
        <v>813</v>
      </c>
      <c r="E1282" t="str">
        <f t="shared" si="264"/>
        <v>89301171</v>
      </c>
      <c r="F1282" t="str">
        <f t="shared" si="265"/>
        <v>6454032002</v>
      </c>
      <c r="G1282" s="1">
        <v>44593</v>
      </c>
      <c r="H1282" t="str">
        <f>"91329"</f>
        <v>91329</v>
      </c>
      <c r="I1282">
        <v>2</v>
      </c>
      <c r="J1282">
        <v>428</v>
      </c>
      <c r="K1282">
        <v>0</v>
      </c>
      <c r="L1282">
        <v>333.84</v>
      </c>
    </row>
    <row r="1283" spans="1:12" x14ac:dyDescent="0.25">
      <c r="A1283" t="str">
        <f t="shared" si="273"/>
        <v>89301000</v>
      </c>
      <c r="B1283" t="str">
        <f t="shared" si="258"/>
        <v>06539000</v>
      </c>
      <c r="C1283" t="str">
        <f t="shared" si="269"/>
        <v>06539003</v>
      </c>
      <c r="D1283" t="str">
        <f t="shared" si="270"/>
        <v>813</v>
      </c>
      <c r="E1283" t="str">
        <f t="shared" si="264"/>
        <v>89301171</v>
      </c>
      <c r="F1283" t="str">
        <f t="shared" si="265"/>
        <v>6454032002</v>
      </c>
      <c r="G1283" s="1">
        <v>44593</v>
      </c>
      <c r="H1283" t="str">
        <f>"91329"</f>
        <v>91329</v>
      </c>
      <c r="I1283">
        <v>2</v>
      </c>
      <c r="J1283">
        <v>428</v>
      </c>
      <c r="K1283">
        <v>0</v>
      </c>
      <c r="L1283">
        <v>333.84</v>
      </c>
    </row>
    <row r="1284" spans="1:12" x14ac:dyDescent="0.25">
      <c r="A1284" t="str">
        <f t="shared" si="273"/>
        <v>89301000</v>
      </c>
      <c r="B1284" t="str">
        <f t="shared" si="258"/>
        <v>06539000</v>
      </c>
      <c r="C1284" t="str">
        <f t="shared" si="269"/>
        <v>06539003</v>
      </c>
      <c r="D1284" t="str">
        <f t="shared" si="270"/>
        <v>813</v>
      </c>
      <c r="E1284" t="str">
        <f t="shared" si="264"/>
        <v>89301171</v>
      </c>
      <c r="F1284" t="str">
        <f t="shared" si="265"/>
        <v>6454032002</v>
      </c>
      <c r="G1284" s="1">
        <v>44593</v>
      </c>
      <c r="H1284" t="str">
        <f>"91329"</f>
        <v>91329</v>
      </c>
      <c r="I1284">
        <v>2</v>
      </c>
      <c r="J1284">
        <v>428</v>
      </c>
      <c r="K1284">
        <v>0</v>
      </c>
      <c r="L1284">
        <v>333.84</v>
      </c>
    </row>
    <row r="1285" spans="1:12" x14ac:dyDescent="0.25">
      <c r="A1285" t="str">
        <f t="shared" si="273"/>
        <v>89301000</v>
      </c>
      <c r="B1285" t="str">
        <f t="shared" si="258"/>
        <v>06539000</v>
      </c>
      <c r="C1285" t="str">
        <f t="shared" si="269"/>
        <v>06539003</v>
      </c>
      <c r="D1285" t="str">
        <f t="shared" si="270"/>
        <v>813</v>
      </c>
      <c r="E1285" t="str">
        <f t="shared" si="264"/>
        <v>89301171</v>
      </c>
      <c r="F1285" t="str">
        <f t="shared" si="265"/>
        <v>6454032002</v>
      </c>
      <c r="G1285" s="1">
        <v>44593</v>
      </c>
      <c r="H1285" t="str">
        <f>"91329"</f>
        <v>91329</v>
      </c>
      <c r="I1285">
        <v>2</v>
      </c>
      <c r="J1285">
        <v>428</v>
      </c>
      <c r="K1285">
        <v>0</v>
      </c>
      <c r="L1285">
        <v>333.84</v>
      </c>
    </row>
    <row r="1286" spans="1:12" x14ac:dyDescent="0.25">
      <c r="A1286" t="str">
        <f t="shared" si="273"/>
        <v>89301000</v>
      </c>
      <c r="B1286" t="str">
        <f t="shared" si="258"/>
        <v>06539000</v>
      </c>
      <c r="C1286" t="str">
        <f t="shared" si="269"/>
        <v>06539003</v>
      </c>
      <c r="D1286" t="str">
        <f t="shared" si="270"/>
        <v>813</v>
      </c>
      <c r="E1286" t="str">
        <f t="shared" si="264"/>
        <v>89301171</v>
      </c>
      <c r="F1286" t="str">
        <f t="shared" si="265"/>
        <v>6454032002</v>
      </c>
      <c r="G1286" s="1">
        <v>44585</v>
      </c>
      <c r="H1286" t="str">
        <f>"91129"</f>
        <v>91129</v>
      </c>
      <c r="I1286">
        <v>1</v>
      </c>
      <c r="J1286">
        <v>174</v>
      </c>
      <c r="K1286">
        <v>0</v>
      </c>
      <c r="L1286">
        <v>135.72</v>
      </c>
    </row>
    <row r="1287" spans="1:12" x14ac:dyDescent="0.25">
      <c r="A1287" t="str">
        <f t="shared" si="273"/>
        <v>89301000</v>
      </c>
      <c r="B1287" t="str">
        <f t="shared" si="258"/>
        <v>06539000</v>
      </c>
      <c r="C1287" t="str">
        <f t="shared" si="269"/>
        <v>06539003</v>
      </c>
      <c r="D1287" t="str">
        <f t="shared" si="270"/>
        <v>813</v>
      </c>
      <c r="E1287" t="str">
        <f t="shared" si="264"/>
        <v>89301171</v>
      </c>
      <c r="F1287" t="str">
        <f t="shared" si="265"/>
        <v>6454032002</v>
      </c>
      <c r="G1287" s="1">
        <v>44585</v>
      </c>
      <c r="H1287" t="str">
        <f>"91131"</f>
        <v>91131</v>
      </c>
      <c r="I1287">
        <v>1</v>
      </c>
      <c r="J1287">
        <v>171</v>
      </c>
      <c r="K1287">
        <v>0</v>
      </c>
      <c r="L1287">
        <v>133.38</v>
      </c>
    </row>
    <row r="1288" spans="1:12" x14ac:dyDescent="0.25">
      <c r="A1288" t="str">
        <f t="shared" si="273"/>
        <v>89301000</v>
      </c>
      <c r="B1288" t="str">
        <f t="shared" si="258"/>
        <v>06539000</v>
      </c>
      <c r="C1288" t="str">
        <f t="shared" si="269"/>
        <v>06539003</v>
      </c>
      <c r="D1288" t="str">
        <f t="shared" si="270"/>
        <v>813</v>
      </c>
      <c r="E1288" t="str">
        <f t="shared" si="264"/>
        <v>89301171</v>
      </c>
      <c r="F1288" t="str">
        <f t="shared" si="265"/>
        <v>6454032002</v>
      </c>
      <c r="G1288" s="1">
        <v>44585</v>
      </c>
      <c r="H1288" t="str">
        <f>"91133"</f>
        <v>91133</v>
      </c>
      <c r="I1288">
        <v>1</v>
      </c>
      <c r="J1288">
        <v>176</v>
      </c>
      <c r="K1288">
        <v>0</v>
      </c>
      <c r="L1288">
        <v>137.28</v>
      </c>
    </row>
    <row r="1289" spans="1:12" x14ac:dyDescent="0.25">
      <c r="A1289" t="str">
        <f t="shared" si="273"/>
        <v>89301000</v>
      </c>
      <c r="B1289" t="str">
        <f t="shared" si="258"/>
        <v>06539000</v>
      </c>
      <c r="C1289" t="str">
        <f t="shared" si="269"/>
        <v>06539003</v>
      </c>
      <c r="D1289" t="str">
        <f t="shared" si="270"/>
        <v>813</v>
      </c>
      <c r="E1289" t="str">
        <f t="shared" si="264"/>
        <v>89301171</v>
      </c>
      <c r="F1289" t="str">
        <f t="shared" si="265"/>
        <v>6454032002</v>
      </c>
      <c r="G1289" s="1">
        <v>44585</v>
      </c>
      <c r="H1289" t="str">
        <f>"91171"</f>
        <v>91171</v>
      </c>
      <c r="I1289">
        <v>1</v>
      </c>
      <c r="J1289">
        <v>360</v>
      </c>
      <c r="K1289">
        <v>0</v>
      </c>
      <c r="L1289">
        <v>280.8</v>
      </c>
    </row>
    <row r="1290" spans="1:12" x14ac:dyDescent="0.25">
      <c r="A1290" t="str">
        <f t="shared" si="273"/>
        <v>89301000</v>
      </c>
      <c r="B1290" t="str">
        <f t="shared" ref="B1290:B1353" si="274">"06539000"</f>
        <v>06539000</v>
      </c>
      <c r="C1290" t="str">
        <f t="shared" si="269"/>
        <v>06539003</v>
      </c>
      <c r="D1290" t="str">
        <f t="shared" si="270"/>
        <v>813</v>
      </c>
      <c r="E1290" t="str">
        <f t="shared" si="264"/>
        <v>89301171</v>
      </c>
      <c r="F1290" t="str">
        <f t="shared" si="265"/>
        <v>6454032002</v>
      </c>
      <c r="G1290" s="1">
        <v>44585</v>
      </c>
      <c r="H1290" t="str">
        <f>"91173"</f>
        <v>91173</v>
      </c>
      <c r="I1290">
        <v>1</v>
      </c>
      <c r="J1290">
        <v>335</v>
      </c>
      <c r="K1290">
        <v>0</v>
      </c>
      <c r="L1290">
        <v>261.3</v>
      </c>
    </row>
    <row r="1291" spans="1:12" x14ac:dyDescent="0.25">
      <c r="A1291" t="str">
        <f t="shared" si="273"/>
        <v>89301000</v>
      </c>
      <c r="B1291" t="str">
        <f t="shared" si="274"/>
        <v>06539000</v>
      </c>
      <c r="C1291" t="str">
        <f t="shared" si="269"/>
        <v>06539003</v>
      </c>
      <c r="D1291" t="str">
        <f t="shared" si="270"/>
        <v>813</v>
      </c>
      <c r="E1291" t="str">
        <f t="shared" si="264"/>
        <v>89301171</v>
      </c>
      <c r="F1291" t="str">
        <f t="shared" si="265"/>
        <v>6454032002</v>
      </c>
      <c r="G1291" s="1">
        <v>44585</v>
      </c>
      <c r="H1291" t="str">
        <f>"91175"</f>
        <v>91175</v>
      </c>
      <c r="I1291">
        <v>1</v>
      </c>
      <c r="J1291">
        <v>360</v>
      </c>
      <c r="K1291">
        <v>0</v>
      </c>
      <c r="L1291">
        <v>280.8</v>
      </c>
    </row>
    <row r="1292" spans="1:12" x14ac:dyDescent="0.25">
      <c r="A1292" t="str">
        <f t="shared" si="273"/>
        <v>89301000</v>
      </c>
      <c r="B1292" t="str">
        <f t="shared" si="274"/>
        <v>06539000</v>
      </c>
      <c r="C1292" t="str">
        <f t="shared" si="269"/>
        <v>06539003</v>
      </c>
      <c r="D1292" t="str">
        <f t="shared" si="270"/>
        <v>813</v>
      </c>
      <c r="E1292" t="str">
        <f t="shared" si="264"/>
        <v>89301171</v>
      </c>
      <c r="F1292" t="str">
        <f t="shared" si="265"/>
        <v>6454032002</v>
      </c>
      <c r="G1292" s="1">
        <v>44583</v>
      </c>
      <c r="H1292" t="str">
        <f>"91167"</f>
        <v>91167</v>
      </c>
      <c r="I1292">
        <v>1</v>
      </c>
      <c r="J1292">
        <v>425</v>
      </c>
      <c r="K1292">
        <v>0</v>
      </c>
      <c r="L1292">
        <v>331.5</v>
      </c>
    </row>
    <row r="1293" spans="1:12" x14ac:dyDescent="0.25">
      <c r="A1293" t="str">
        <f t="shared" si="273"/>
        <v>89301000</v>
      </c>
      <c r="B1293" t="str">
        <f t="shared" si="274"/>
        <v>06539000</v>
      </c>
      <c r="C1293" t="str">
        <f t="shared" si="269"/>
        <v>06539003</v>
      </c>
      <c r="D1293" t="str">
        <f t="shared" si="270"/>
        <v>813</v>
      </c>
      <c r="E1293" t="str">
        <f t="shared" si="264"/>
        <v>89301171</v>
      </c>
      <c r="F1293" t="str">
        <f t="shared" si="265"/>
        <v>6454032002</v>
      </c>
      <c r="G1293" s="1">
        <v>44583</v>
      </c>
      <c r="H1293" t="str">
        <f>"91169"</f>
        <v>91169</v>
      </c>
      <c r="I1293">
        <v>1</v>
      </c>
      <c r="J1293">
        <v>425</v>
      </c>
      <c r="K1293">
        <v>0</v>
      </c>
      <c r="L1293">
        <v>331.5</v>
      </c>
    </row>
    <row r="1294" spans="1:12" x14ac:dyDescent="0.25">
      <c r="A1294" t="str">
        <f t="shared" si="273"/>
        <v>89301000</v>
      </c>
      <c r="B1294" t="str">
        <f t="shared" si="274"/>
        <v>06539000</v>
      </c>
      <c r="C1294" t="str">
        <f t="shared" si="269"/>
        <v>06539003</v>
      </c>
      <c r="D1294" t="str">
        <f t="shared" si="270"/>
        <v>813</v>
      </c>
      <c r="E1294" t="str">
        <f t="shared" si="264"/>
        <v>89301171</v>
      </c>
      <c r="F1294" t="str">
        <f t="shared" si="265"/>
        <v>6454032002</v>
      </c>
      <c r="G1294" s="1">
        <v>44582</v>
      </c>
      <c r="H1294" t="str">
        <f>"91167"</f>
        <v>91167</v>
      </c>
      <c r="I1294">
        <v>1</v>
      </c>
      <c r="J1294">
        <v>425</v>
      </c>
      <c r="K1294">
        <v>0</v>
      </c>
      <c r="L1294">
        <v>331.5</v>
      </c>
    </row>
    <row r="1295" spans="1:12" x14ac:dyDescent="0.25">
      <c r="A1295" t="str">
        <f t="shared" si="273"/>
        <v>89301000</v>
      </c>
      <c r="B1295" t="str">
        <f t="shared" si="274"/>
        <v>06539000</v>
      </c>
      <c r="C1295" t="str">
        <f t="shared" si="269"/>
        <v>06539003</v>
      </c>
      <c r="D1295" t="str">
        <f t="shared" si="270"/>
        <v>813</v>
      </c>
      <c r="E1295" t="str">
        <f t="shared" si="264"/>
        <v>89301171</v>
      </c>
      <c r="F1295" t="str">
        <f t="shared" si="265"/>
        <v>6454032002</v>
      </c>
      <c r="G1295" s="1">
        <v>44582</v>
      </c>
      <c r="H1295" t="str">
        <f>"91169"</f>
        <v>91169</v>
      </c>
      <c r="I1295">
        <v>1</v>
      </c>
      <c r="J1295">
        <v>425</v>
      </c>
      <c r="K1295">
        <v>0</v>
      </c>
      <c r="L1295">
        <v>331.5</v>
      </c>
    </row>
    <row r="1296" spans="1:12" x14ac:dyDescent="0.25">
      <c r="A1296" t="str">
        <f t="shared" si="273"/>
        <v>89301000</v>
      </c>
      <c r="B1296" t="str">
        <f t="shared" si="274"/>
        <v>06539000</v>
      </c>
      <c r="C1296" t="str">
        <f t="shared" si="269"/>
        <v>06539003</v>
      </c>
      <c r="D1296" t="str">
        <f t="shared" si="270"/>
        <v>813</v>
      </c>
      <c r="E1296" t="str">
        <f t="shared" si="264"/>
        <v>89301171</v>
      </c>
      <c r="F1296" t="str">
        <f t="shared" si="265"/>
        <v>6454032002</v>
      </c>
      <c r="G1296" s="1">
        <v>44585</v>
      </c>
      <c r="H1296" t="str">
        <f>"91475"</f>
        <v>91475</v>
      </c>
      <c r="I1296">
        <v>1</v>
      </c>
      <c r="J1296">
        <v>206</v>
      </c>
      <c r="K1296">
        <v>0</v>
      </c>
      <c r="L1296">
        <v>160.68</v>
      </c>
    </row>
    <row r="1297" spans="1:12" x14ac:dyDescent="0.25">
      <c r="A1297" t="str">
        <f t="shared" si="273"/>
        <v>89301000</v>
      </c>
      <c r="B1297" t="str">
        <f t="shared" si="274"/>
        <v>06539000</v>
      </c>
      <c r="C1297" t="str">
        <f>"06539001"</f>
        <v>06539001</v>
      </c>
      <c r="D1297" t="str">
        <f>"801"</f>
        <v>801</v>
      </c>
      <c r="E1297" t="str">
        <f t="shared" ref="E1297:E1328" si="275">"89301172"</f>
        <v>89301172</v>
      </c>
      <c r="F1297" t="str">
        <f t="shared" ref="F1297:F1343" si="276">"5652011299"</f>
        <v>5652011299</v>
      </c>
      <c r="G1297" s="1">
        <v>44589</v>
      </c>
      <c r="H1297" t="str">
        <f>"81329"</f>
        <v>81329</v>
      </c>
      <c r="I1297">
        <v>1</v>
      </c>
      <c r="J1297">
        <v>16</v>
      </c>
      <c r="K1297">
        <v>0</v>
      </c>
      <c r="L1297">
        <v>12.48</v>
      </c>
    </row>
    <row r="1298" spans="1:12" x14ac:dyDescent="0.25">
      <c r="A1298" t="str">
        <f t="shared" si="273"/>
        <v>89301000</v>
      </c>
      <c r="B1298" t="str">
        <f t="shared" si="274"/>
        <v>06539000</v>
      </c>
      <c r="C1298" t="str">
        <f>"06539001"</f>
        <v>06539001</v>
      </c>
      <c r="D1298" t="str">
        <f>"801"</f>
        <v>801</v>
      </c>
      <c r="E1298" t="str">
        <f t="shared" si="275"/>
        <v>89301172</v>
      </c>
      <c r="F1298" t="str">
        <f t="shared" si="276"/>
        <v>5652011299</v>
      </c>
      <c r="G1298" s="1">
        <v>44589</v>
      </c>
      <c r="H1298" t="str">
        <f>"81331"</f>
        <v>81331</v>
      </c>
      <c r="I1298">
        <v>1</v>
      </c>
      <c r="J1298">
        <v>193</v>
      </c>
      <c r="K1298">
        <v>0</v>
      </c>
      <c r="L1298">
        <v>150.54</v>
      </c>
    </row>
    <row r="1299" spans="1:12" x14ac:dyDescent="0.25">
      <c r="A1299" t="str">
        <f t="shared" si="273"/>
        <v>89301000</v>
      </c>
      <c r="B1299" t="str">
        <f t="shared" si="274"/>
        <v>06539000</v>
      </c>
      <c r="C1299" t="str">
        <f t="shared" ref="C1299:C1306" si="277">"06539002"</f>
        <v>06539002</v>
      </c>
      <c r="D1299" t="str">
        <f t="shared" ref="D1299:D1306" si="278">"802"</f>
        <v>802</v>
      </c>
      <c r="E1299" t="str">
        <f t="shared" si="275"/>
        <v>89301172</v>
      </c>
      <c r="F1299" t="str">
        <f t="shared" si="276"/>
        <v>5652011299</v>
      </c>
      <c r="G1299" s="1">
        <v>44593</v>
      </c>
      <c r="H1299" t="str">
        <f t="shared" ref="H1299:H1306" si="279">"82097"</f>
        <v>82097</v>
      </c>
      <c r="I1299">
        <v>1</v>
      </c>
      <c r="J1299">
        <v>380</v>
      </c>
      <c r="K1299">
        <v>0</v>
      </c>
      <c r="L1299">
        <v>345.8</v>
      </c>
    </row>
    <row r="1300" spans="1:12" x14ac:dyDescent="0.25">
      <c r="A1300" t="str">
        <f t="shared" si="273"/>
        <v>89301000</v>
      </c>
      <c r="B1300" t="str">
        <f t="shared" si="274"/>
        <v>06539000</v>
      </c>
      <c r="C1300" t="str">
        <f t="shared" si="277"/>
        <v>06539002</v>
      </c>
      <c r="D1300" t="str">
        <f t="shared" si="278"/>
        <v>802</v>
      </c>
      <c r="E1300" t="str">
        <f t="shared" si="275"/>
        <v>89301172</v>
      </c>
      <c r="F1300" t="str">
        <f t="shared" si="276"/>
        <v>5652011299</v>
      </c>
      <c r="G1300" s="1">
        <v>44593</v>
      </c>
      <c r="H1300" t="str">
        <f t="shared" si="279"/>
        <v>82097</v>
      </c>
      <c r="I1300">
        <v>1</v>
      </c>
      <c r="J1300">
        <v>380</v>
      </c>
      <c r="K1300">
        <v>0</v>
      </c>
      <c r="L1300">
        <v>345.8</v>
      </c>
    </row>
    <row r="1301" spans="1:12" x14ac:dyDescent="0.25">
      <c r="A1301" t="str">
        <f t="shared" si="273"/>
        <v>89301000</v>
      </c>
      <c r="B1301" t="str">
        <f t="shared" si="274"/>
        <v>06539000</v>
      </c>
      <c r="C1301" t="str">
        <f t="shared" si="277"/>
        <v>06539002</v>
      </c>
      <c r="D1301" t="str">
        <f t="shared" si="278"/>
        <v>802</v>
      </c>
      <c r="E1301" t="str">
        <f t="shared" si="275"/>
        <v>89301172</v>
      </c>
      <c r="F1301" t="str">
        <f t="shared" si="276"/>
        <v>5652011299</v>
      </c>
      <c r="G1301" s="1">
        <v>44593</v>
      </c>
      <c r="H1301" t="str">
        <f t="shared" si="279"/>
        <v>82097</v>
      </c>
      <c r="I1301">
        <v>1</v>
      </c>
      <c r="J1301">
        <v>380</v>
      </c>
      <c r="K1301">
        <v>0</v>
      </c>
      <c r="L1301">
        <v>345.8</v>
      </c>
    </row>
    <row r="1302" spans="1:12" x14ac:dyDescent="0.25">
      <c r="A1302" t="str">
        <f t="shared" si="273"/>
        <v>89301000</v>
      </c>
      <c r="B1302" t="str">
        <f t="shared" si="274"/>
        <v>06539000</v>
      </c>
      <c r="C1302" t="str">
        <f t="shared" si="277"/>
        <v>06539002</v>
      </c>
      <c r="D1302" t="str">
        <f t="shared" si="278"/>
        <v>802</v>
      </c>
      <c r="E1302" t="str">
        <f t="shared" si="275"/>
        <v>89301172</v>
      </c>
      <c r="F1302" t="str">
        <f t="shared" si="276"/>
        <v>5652011299</v>
      </c>
      <c r="G1302" s="1">
        <v>44593</v>
      </c>
      <c r="H1302" t="str">
        <f t="shared" si="279"/>
        <v>82097</v>
      </c>
      <c r="I1302">
        <v>1</v>
      </c>
      <c r="J1302">
        <v>380</v>
      </c>
      <c r="K1302">
        <v>0</v>
      </c>
      <c r="L1302">
        <v>345.8</v>
      </c>
    </row>
    <row r="1303" spans="1:12" x14ac:dyDescent="0.25">
      <c r="A1303" t="str">
        <f t="shared" si="273"/>
        <v>89301000</v>
      </c>
      <c r="B1303" t="str">
        <f t="shared" si="274"/>
        <v>06539000</v>
      </c>
      <c r="C1303" t="str">
        <f t="shared" si="277"/>
        <v>06539002</v>
      </c>
      <c r="D1303" t="str">
        <f t="shared" si="278"/>
        <v>802</v>
      </c>
      <c r="E1303" t="str">
        <f t="shared" si="275"/>
        <v>89301172</v>
      </c>
      <c r="F1303" t="str">
        <f t="shared" si="276"/>
        <v>5652011299</v>
      </c>
      <c r="G1303" s="1">
        <v>44592</v>
      </c>
      <c r="H1303" t="str">
        <f t="shared" si="279"/>
        <v>82097</v>
      </c>
      <c r="I1303">
        <v>1</v>
      </c>
      <c r="J1303">
        <v>380</v>
      </c>
      <c r="K1303">
        <v>0</v>
      </c>
      <c r="L1303">
        <v>345.8</v>
      </c>
    </row>
    <row r="1304" spans="1:12" x14ac:dyDescent="0.25">
      <c r="A1304" t="str">
        <f t="shared" si="273"/>
        <v>89301000</v>
      </c>
      <c r="B1304" t="str">
        <f t="shared" si="274"/>
        <v>06539000</v>
      </c>
      <c r="C1304" t="str">
        <f t="shared" si="277"/>
        <v>06539002</v>
      </c>
      <c r="D1304" t="str">
        <f t="shared" si="278"/>
        <v>802</v>
      </c>
      <c r="E1304" t="str">
        <f t="shared" si="275"/>
        <v>89301172</v>
      </c>
      <c r="F1304" t="str">
        <f t="shared" si="276"/>
        <v>5652011299</v>
      </c>
      <c r="G1304" s="1">
        <v>44592</v>
      </c>
      <c r="H1304" t="str">
        <f t="shared" si="279"/>
        <v>82097</v>
      </c>
      <c r="I1304">
        <v>1</v>
      </c>
      <c r="J1304">
        <v>380</v>
      </c>
      <c r="K1304">
        <v>0</v>
      </c>
      <c r="L1304">
        <v>345.8</v>
      </c>
    </row>
    <row r="1305" spans="1:12" x14ac:dyDescent="0.25">
      <c r="A1305" t="str">
        <f t="shared" si="273"/>
        <v>89301000</v>
      </c>
      <c r="B1305" t="str">
        <f t="shared" si="274"/>
        <v>06539000</v>
      </c>
      <c r="C1305" t="str">
        <f t="shared" si="277"/>
        <v>06539002</v>
      </c>
      <c r="D1305" t="str">
        <f t="shared" si="278"/>
        <v>802</v>
      </c>
      <c r="E1305" t="str">
        <f t="shared" si="275"/>
        <v>89301172</v>
      </c>
      <c r="F1305" t="str">
        <f t="shared" si="276"/>
        <v>5652011299</v>
      </c>
      <c r="G1305" s="1">
        <v>44592</v>
      </c>
      <c r="H1305" t="str">
        <f t="shared" si="279"/>
        <v>82097</v>
      </c>
      <c r="I1305">
        <v>1</v>
      </c>
      <c r="J1305">
        <v>380</v>
      </c>
      <c r="K1305">
        <v>0</v>
      </c>
      <c r="L1305">
        <v>345.8</v>
      </c>
    </row>
    <row r="1306" spans="1:12" x14ac:dyDescent="0.25">
      <c r="A1306" t="str">
        <f t="shared" si="273"/>
        <v>89301000</v>
      </c>
      <c r="B1306" t="str">
        <f t="shared" si="274"/>
        <v>06539000</v>
      </c>
      <c r="C1306" t="str">
        <f t="shared" si="277"/>
        <v>06539002</v>
      </c>
      <c r="D1306" t="str">
        <f t="shared" si="278"/>
        <v>802</v>
      </c>
      <c r="E1306" t="str">
        <f t="shared" si="275"/>
        <v>89301172</v>
      </c>
      <c r="F1306" t="str">
        <f t="shared" si="276"/>
        <v>5652011299</v>
      </c>
      <c r="G1306" s="1">
        <v>44592</v>
      </c>
      <c r="H1306" t="str">
        <f t="shared" si="279"/>
        <v>82097</v>
      </c>
      <c r="I1306">
        <v>1</v>
      </c>
      <c r="J1306">
        <v>380</v>
      </c>
      <c r="K1306">
        <v>0</v>
      </c>
      <c r="L1306">
        <v>345.8</v>
      </c>
    </row>
    <row r="1307" spans="1:12" x14ac:dyDescent="0.25">
      <c r="A1307" t="str">
        <f t="shared" si="273"/>
        <v>89301000</v>
      </c>
      <c r="B1307" t="str">
        <f t="shared" si="274"/>
        <v>06539000</v>
      </c>
      <c r="C1307" t="str">
        <f t="shared" ref="C1307:C1348" si="280">"06539003"</f>
        <v>06539003</v>
      </c>
      <c r="D1307" t="str">
        <f t="shared" ref="D1307:D1348" si="281">"813"</f>
        <v>813</v>
      </c>
      <c r="E1307" t="str">
        <f t="shared" si="275"/>
        <v>89301172</v>
      </c>
      <c r="F1307" t="str">
        <f t="shared" si="276"/>
        <v>5652011299</v>
      </c>
      <c r="G1307" s="1">
        <v>44593</v>
      </c>
      <c r="H1307" t="str">
        <f>"91439"</f>
        <v>91439</v>
      </c>
      <c r="I1307">
        <v>1</v>
      </c>
      <c r="J1307">
        <v>356</v>
      </c>
      <c r="K1307">
        <v>0</v>
      </c>
      <c r="L1307">
        <v>277.68</v>
      </c>
    </row>
    <row r="1308" spans="1:12" x14ac:dyDescent="0.25">
      <c r="A1308" t="str">
        <f t="shared" si="273"/>
        <v>89301000</v>
      </c>
      <c r="B1308" t="str">
        <f t="shared" si="274"/>
        <v>06539000</v>
      </c>
      <c r="C1308" t="str">
        <f t="shared" si="280"/>
        <v>06539003</v>
      </c>
      <c r="D1308" t="str">
        <f t="shared" si="281"/>
        <v>813</v>
      </c>
      <c r="E1308" t="str">
        <f t="shared" si="275"/>
        <v>89301172</v>
      </c>
      <c r="F1308" t="str">
        <f t="shared" si="276"/>
        <v>5652011299</v>
      </c>
      <c r="G1308" s="1">
        <v>44593</v>
      </c>
      <c r="H1308" t="str">
        <f>"91439"</f>
        <v>91439</v>
      </c>
      <c r="I1308">
        <v>1</v>
      </c>
      <c r="J1308">
        <v>356</v>
      </c>
      <c r="K1308">
        <v>0</v>
      </c>
      <c r="L1308">
        <v>277.68</v>
      </c>
    </row>
    <row r="1309" spans="1:12" x14ac:dyDescent="0.25">
      <c r="A1309" t="str">
        <f t="shared" si="273"/>
        <v>89301000</v>
      </c>
      <c r="B1309" t="str">
        <f t="shared" si="274"/>
        <v>06539000</v>
      </c>
      <c r="C1309" t="str">
        <f t="shared" si="280"/>
        <v>06539003</v>
      </c>
      <c r="D1309" t="str">
        <f t="shared" si="281"/>
        <v>813</v>
      </c>
      <c r="E1309" t="str">
        <f t="shared" si="275"/>
        <v>89301172</v>
      </c>
      <c r="F1309" t="str">
        <f t="shared" si="276"/>
        <v>5652011299</v>
      </c>
      <c r="G1309" s="1">
        <v>44593</v>
      </c>
      <c r="H1309" t="str">
        <f>"91439"</f>
        <v>91439</v>
      </c>
      <c r="I1309">
        <v>1</v>
      </c>
      <c r="J1309">
        <v>356</v>
      </c>
      <c r="K1309">
        <v>0</v>
      </c>
      <c r="L1309">
        <v>277.68</v>
      </c>
    </row>
    <row r="1310" spans="1:12" x14ac:dyDescent="0.25">
      <c r="A1310" t="str">
        <f t="shared" si="273"/>
        <v>89301000</v>
      </c>
      <c r="B1310" t="str">
        <f t="shared" si="274"/>
        <v>06539000</v>
      </c>
      <c r="C1310" t="str">
        <f t="shared" si="280"/>
        <v>06539003</v>
      </c>
      <c r="D1310" t="str">
        <f t="shared" si="281"/>
        <v>813</v>
      </c>
      <c r="E1310" t="str">
        <f t="shared" si="275"/>
        <v>89301172</v>
      </c>
      <c r="F1310" t="str">
        <f t="shared" si="276"/>
        <v>5652011299</v>
      </c>
      <c r="G1310" s="1">
        <v>44593</v>
      </c>
      <c r="H1310" t="str">
        <f>"91439"</f>
        <v>91439</v>
      </c>
      <c r="I1310">
        <v>1</v>
      </c>
      <c r="J1310">
        <v>356</v>
      </c>
      <c r="K1310">
        <v>0</v>
      </c>
      <c r="L1310">
        <v>277.68</v>
      </c>
    </row>
    <row r="1311" spans="1:12" x14ac:dyDescent="0.25">
      <c r="A1311" t="str">
        <f t="shared" si="273"/>
        <v>89301000</v>
      </c>
      <c r="B1311" t="str">
        <f t="shared" si="274"/>
        <v>06539000</v>
      </c>
      <c r="C1311" t="str">
        <f t="shared" si="280"/>
        <v>06539003</v>
      </c>
      <c r="D1311" t="str">
        <f t="shared" si="281"/>
        <v>813</v>
      </c>
      <c r="E1311" t="str">
        <f t="shared" si="275"/>
        <v>89301172</v>
      </c>
      <c r="F1311" t="str">
        <f t="shared" si="276"/>
        <v>5652011299</v>
      </c>
      <c r="G1311" s="1">
        <v>44593</v>
      </c>
      <c r="H1311" t="str">
        <f>"91439"</f>
        <v>91439</v>
      </c>
      <c r="I1311">
        <v>2</v>
      </c>
      <c r="J1311">
        <v>712</v>
      </c>
      <c r="K1311">
        <v>0</v>
      </c>
      <c r="L1311">
        <v>555.36</v>
      </c>
    </row>
    <row r="1312" spans="1:12" x14ac:dyDescent="0.25">
      <c r="A1312" t="str">
        <f t="shared" si="273"/>
        <v>89301000</v>
      </c>
      <c r="B1312" t="str">
        <f t="shared" si="274"/>
        <v>06539000</v>
      </c>
      <c r="C1312" t="str">
        <f t="shared" si="280"/>
        <v>06539003</v>
      </c>
      <c r="D1312" t="str">
        <f t="shared" si="281"/>
        <v>813</v>
      </c>
      <c r="E1312" t="str">
        <f t="shared" si="275"/>
        <v>89301172</v>
      </c>
      <c r="F1312" t="str">
        <f t="shared" si="276"/>
        <v>5652011299</v>
      </c>
      <c r="G1312" s="1">
        <v>44594</v>
      </c>
      <c r="H1312" t="str">
        <f t="shared" ref="H1312:H1321" si="282">"91413"</f>
        <v>91413</v>
      </c>
      <c r="I1312">
        <v>1</v>
      </c>
      <c r="J1312">
        <v>853</v>
      </c>
      <c r="K1312">
        <v>0</v>
      </c>
      <c r="L1312">
        <v>665.34</v>
      </c>
    </row>
    <row r="1313" spans="1:12" x14ac:dyDescent="0.25">
      <c r="A1313" t="str">
        <f t="shared" si="273"/>
        <v>89301000</v>
      </c>
      <c r="B1313" t="str">
        <f t="shared" si="274"/>
        <v>06539000</v>
      </c>
      <c r="C1313" t="str">
        <f t="shared" si="280"/>
        <v>06539003</v>
      </c>
      <c r="D1313" t="str">
        <f t="shared" si="281"/>
        <v>813</v>
      </c>
      <c r="E1313" t="str">
        <f t="shared" si="275"/>
        <v>89301172</v>
      </c>
      <c r="F1313" t="str">
        <f t="shared" si="276"/>
        <v>5652011299</v>
      </c>
      <c r="G1313" s="1">
        <v>44594</v>
      </c>
      <c r="H1313" t="str">
        <f t="shared" si="282"/>
        <v>91413</v>
      </c>
      <c r="I1313">
        <v>1</v>
      </c>
      <c r="J1313">
        <v>853</v>
      </c>
      <c r="K1313">
        <v>0</v>
      </c>
      <c r="L1313">
        <v>665.34</v>
      </c>
    </row>
    <row r="1314" spans="1:12" x14ac:dyDescent="0.25">
      <c r="A1314" t="str">
        <f t="shared" si="273"/>
        <v>89301000</v>
      </c>
      <c r="B1314" t="str">
        <f t="shared" si="274"/>
        <v>06539000</v>
      </c>
      <c r="C1314" t="str">
        <f t="shared" si="280"/>
        <v>06539003</v>
      </c>
      <c r="D1314" t="str">
        <f t="shared" si="281"/>
        <v>813</v>
      </c>
      <c r="E1314" t="str">
        <f t="shared" si="275"/>
        <v>89301172</v>
      </c>
      <c r="F1314" t="str">
        <f t="shared" si="276"/>
        <v>5652011299</v>
      </c>
      <c r="G1314" s="1">
        <v>44602</v>
      </c>
      <c r="H1314" t="str">
        <f t="shared" si="282"/>
        <v>91413</v>
      </c>
      <c r="I1314">
        <v>1</v>
      </c>
      <c r="J1314">
        <v>853</v>
      </c>
      <c r="K1314">
        <v>0</v>
      </c>
      <c r="L1314">
        <v>665.34</v>
      </c>
    </row>
    <row r="1315" spans="1:12" x14ac:dyDescent="0.25">
      <c r="A1315" t="str">
        <f t="shared" si="273"/>
        <v>89301000</v>
      </c>
      <c r="B1315" t="str">
        <f t="shared" si="274"/>
        <v>06539000</v>
      </c>
      <c r="C1315" t="str">
        <f t="shared" si="280"/>
        <v>06539003</v>
      </c>
      <c r="D1315" t="str">
        <f t="shared" si="281"/>
        <v>813</v>
      </c>
      <c r="E1315" t="str">
        <f t="shared" si="275"/>
        <v>89301172</v>
      </c>
      <c r="F1315" t="str">
        <f t="shared" si="276"/>
        <v>5652011299</v>
      </c>
      <c r="G1315" s="1">
        <v>44602</v>
      </c>
      <c r="H1315" t="str">
        <f t="shared" si="282"/>
        <v>91413</v>
      </c>
      <c r="I1315">
        <v>1</v>
      </c>
      <c r="J1315">
        <v>853</v>
      </c>
      <c r="K1315">
        <v>0</v>
      </c>
      <c r="L1315">
        <v>665.34</v>
      </c>
    </row>
    <row r="1316" spans="1:12" x14ac:dyDescent="0.25">
      <c r="A1316" t="str">
        <f t="shared" si="273"/>
        <v>89301000</v>
      </c>
      <c r="B1316" t="str">
        <f t="shared" si="274"/>
        <v>06539000</v>
      </c>
      <c r="C1316" t="str">
        <f t="shared" si="280"/>
        <v>06539003</v>
      </c>
      <c r="D1316" t="str">
        <f t="shared" si="281"/>
        <v>813</v>
      </c>
      <c r="E1316" t="str">
        <f t="shared" si="275"/>
        <v>89301172</v>
      </c>
      <c r="F1316" t="str">
        <f t="shared" si="276"/>
        <v>5652011299</v>
      </c>
      <c r="G1316" s="1">
        <v>44602</v>
      </c>
      <c r="H1316" t="str">
        <f t="shared" si="282"/>
        <v>91413</v>
      </c>
      <c r="I1316">
        <v>1</v>
      </c>
      <c r="J1316">
        <v>853</v>
      </c>
      <c r="K1316">
        <v>0</v>
      </c>
      <c r="L1316">
        <v>665.34</v>
      </c>
    </row>
    <row r="1317" spans="1:12" x14ac:dyDescent="0.25">
      <c r="A1317" t="str">
        <f t="shared" si="273"/>
        <v>89301000</v>
      </c>
      <c r="B1317" t="str">
        <f t="shared" si="274"/>
        <v>06539000</v>
      </c>
      <c r="C1317" t="str">
        <f t="shared" si="280"/>
        <v>06539003</v>
      </c>
      <c r="D1317" t="str">
        <f t="shared" si="281"/>
        <v>813</v>
      </c>
      <c r="E1317" t="str">
        <f t="shared" si="275"/>
        <v>89301172</v>
      </c>
      <c r="F1317" t="str">
        <f t="shared" si="276"/>
        <v>5652011299</v>
      </c>
      <c r="G1317" s="1">
        <v>44602</v>
      </c>
      <c r="H1317" t="str">
        <f t="shared" si="282"/>
        <v>91413</v>
      </c>
      <c r="I1317">
        <v>1</v>
      </c>
      <c r="J1317">
        <v>853</v>
      </c>
      <c r="K1317">
        <v>0</v>
      </c>
      <c r="L1317">
        <v>665.34</v>
      </c>
    </row>
    <row r="1318" spans="1:12" x14ac:dyDescent="0.25">
      <c r="A1318" t="str">
        <f t="shared" si="273"/>
        <v>89301000</v>
      </c>
      <c r="B1318" t="str">
        <f t="shared" si="274"/>
        <v>06539000</v>
      </c>
      <c r="C1318" t="str">
        <f t="shared" si="280"/>
        <v>06539003</v>
      </c>
      <c r="D1318" t="str">
        <f t="shared" si="281"/>
        <v>813</v>
      </c>
      <c r="E1318" t="str">
        <f t="shared" si="275"/>
        <v>89301172</v>
      </c>
      <c r="F1318" t="str">
        <f t="shared" si="276"/>
        <v>5652011299</v>
      </c>
      <c r="G1318" s="1">
        <v>44602</v>
      </c>
      <c r="H1318" t="str">
        <f t="shared" si="282"/>
        <v>91413</v>
      </c>
      <c r="I1318">
        <v>1</v>
      </c>
      <c r="J1318">
        <v>853</v>
      </c>
      <c r="K1318">
        <v>0</v>
      </c>
      <c r="L1318">
        <v>665.34</v>
      </c>
    </row>
    <row r="1319" spans="1:12" x14ac:dyDescent="0.25">
      <c r="A1319" t="str">
        <f t="shared" si="273"/>
        <v>89301000</v>
      </c>
      <c r="B1319" t="str">
        <f t="shared" si="274"/>
        <v>06539000</v>
      </c>
      <c r="C1319" t="str">
        <f t="shared" si="280"/>
        <v>06539003</v>
      </c>
      <c r="D1319" t="str">
        <f t="shared" si="281"/>
        <v>813</v>
      </c>
      <c r="E1319" t="str">
        <f t="shared" si="275"/>
        <v>89301172</v>
      </c>
      <c r="F1319" t="str">
        <f t="shared" si="276"/>
        <v>5652011299</v>
      </c>
      <c r="G1319" s="1">
        <v>44602</v>
      </c>
      <c r="H1319" t="str">
        <f t="shared" si="282"/>
        <v>91413</v>
      </c>
      <c r="I1319">
        <v>1</v>
      </c>
      <c r="J1319">
        <v>853</v>
      </c>
      <c r="K1319">
        <v>0</v>
      </c>
      <c r="L1319">
        <v>665.34</v>
      </c>
    </row>
    <row r="1320" spans="1:12" x14ac:dyDescent="0.25">
      <c r="A1320" t="str">
        <f t="shared" si="273"/>
        <v>89301000</v>
      </c>
      <c r="B1320" t="str">
        <f t="shared" si="274"/>
        <v>06539000</v>
      </c>
      <c r="C1320" t="str">
        <f t="shared" si="280"/>
        <v>06539003</v>
      </c>
      <c r="D1320" t="str">
        <f t="shared" si="281"/>
        <v>813</v>
      </c>
      <c r="E1320" t="str">
        <f t="shared" si="275"/>
        <v>89301172</v>
      </c>
      <c r="F1320" t="str">
        <f t="shared" si="276"/>
        <v>5652011299</v>
      </c>
      <c r="G1320" s="1">
        <v>44602</v>
      </c>
      <c r="H1320" t="str">
        <f t="shared" si="282"/>
        <v>91413</v>
      </c>
      <c r="I1320">
        <v>1</v>
      </c>
      <c r="J1320">
        <v>853</v>
      </c>
      <c r="K1320">
        <v>0</v>
      </c>
      <c r="L1320">
        <v>665.34</v>
      </c>
    </row>
    <row r="1321" spans="1:12" x14ac:dyDescent="0.25">
      <c r="A1321" t="str">
        <f t="shared" si="273"/>
        <v>89301000</v>
      </c>
      <c r="B1321" t="str">
        <f t="shared" si="274"/>
        <v>06539000</v>
      </c>
      <c r="C1321" t="str">
        <f t="shared" si="280"/>
        <v>06539003</v>
      </c>
      <c r="D1321" t="str">
        <f t="shared" si="281"/>
        <v>813</v>
      </c>
      <c r="E1321" t="str">
        <f t="shared" si="275"/>
        <v>89301172</v>
      </c>
      <c r="F1321" t="str">
        <f t="shared" si="276"/>
        <v>5652011299</v>
      </c>
      <c r="G1321" s="1">
        <v>44602</v>
      </c>
      <c r="H1321" t="str">
        <f t="shared" si="282"/>
        <v>91413</v>
      </c>
      <c r="I1321">
        <v>1</v>
      </c>
      <c r="J1321">
        <v>853</v>
      </c>
      <c r="K1321">
        <v>0</v>
      </c>
      <c r="L1321">
        <v>665.34</v>
      </c>
    </row>
    <row r="1322" spans="1:12" x14ac:dyDescent="0.25">
      <c r="A1322" t="str">
        <f t="shared" si="273"/>
        <v>89301000</v>
      </c>
      <c r="B1322" t="str">
        <f t="shared" si="274"/>
        <v>06539000</v>
      </c>
      <c r="C1322" t="str">
        <f t="shared" si="280"/>
        <v>06539003</v>
      </c>
      <c r="D1322" t="str">
        <f t="shared" si="281"/>
        <v>813</v>
      </c>
      <c r="E1322" t="str">
        <f t="shared" si="275"/>
        <v>89301172</v>
      </c>
      <c r="F1322" t="str">
        <f t="shared" si="276"/>
        <v>5652011299</v>
      </c>
      <c r="G1322" s="1">
        <v>44593</v>
      </c>
      <c r="H1322" t="str">
        <f t="shared" ref="H1322:H1328" si="283">"91197"</f>
        <v>91197</v>
      </c>
      <c r="I1322">
        <v>1</v>
      </c>
      <c r="J1322">
        <v>1046</v>
      </c>
      <c r="K1322">
        <v>0</v>
      </c>
      <c r="L1322">
        <v>815.88</v>
      </c>
    </row>
    <row r="1323" spans="1:12" x14ac:dyDescent="0.25">
      <c r="A1323" t="str">
        <f t="shared" si="273"/>
        <v>89301000</v>
      </c>
      <c r="B1323" t="str">
        <f t="shared" si="274"/>
        <v>06539000</v>
      </c>
      <c r="C1323" t="str">
        <f t="shared" si="280"/>
        <v>06539003</v>
      </c>
      <c r="D1323" t="str">
        <f t="shared" si="281"/>
        <v>813</v>
      </c>
      <c r="E1323" t="str">
        <f t="shared" si="275"/>
        <v>89301172</v>
      </c>
      <c r="F1323" t="str">
        <f t="shared" si="276"/>
        <v>5652011299</v>
      </c>
      <c r="G1323" s="1">
        <v>44592</v>
      </c>
      <c r="H1323" t="str">
        <f t="shared" si="283"/>
        <v>91197</v>
      </c>
      <c r="I1323">
        <v>1</v>
      </c>
      <c r="J1323">
        <v>1046</v>
      </c>
      <c r="K1323">
        <v>0</v>
      </c>
      <c r="L1323">
        <v>815.88</v>
      </c>
    </row>
    <row r="1324" spans="1:12" x14ac:dyDescent="0.25">
      <c r="A1324" t="str">
        <f t="shared" si="273"/>
        <v>89301000</v>
      </c>
      <c r="B1324" t="str">
        <f t="shared" si="274"/>
        <v>06539000</v>
      </c>
      <c r="C1324" t="str">
        <f t="shared" si="280"/>
        <v>06539003</v>
      </c>
      <c r="D1324" t="str">
        <f t="shared" si="281"/>
        <v>813</v>
      </c>
      <c r="E1324" t="str">
        <f t="shared" si="275"/>
        <v>89301172</v>
      </c>
      <c r="F1324" t="str">
        <f t="shared" si="276"/>
        <v>5652011299</v>
      </c>
      <c r="G1324" s="1">
        <v>44592</v>
      </c>
      <c r="H1324" t="str">
        <f t="shared" si="283"/>
        <v>91197</v>
      </c>
      <c r="I1324">
        <v>1</v>
      </c>
      <c r="J1324">
        <v>1046</v>
      </c>
      <c r="K1324">
        <v>0</v>
      </c>
      <c r="L1324">
        <v>815.88</v>
      </c>
    </row>
    <row r="1325" spans="1:12" x14ac:dyDescent="0.25">
      <c r="A1325" t="str">
        <f t="shared" si="273"/>
        <v>89301000</v>
      </c>
      <c r="B1325" t="str">
        <f t="shared" si="274"/>
        <v>06539000</v>
      </c>
      <c r="C1325" t="str">
        <f t="shared" si="280"/>
        <v>06539003</v>
      </c>
      <c r="D1325" t="str">
        <f t="shared" si="281"/>
        <v>813</v>
      </c>
      <c r="E1325" t="str">
        <f t="shared" si="275"/>
        <v>89301172</v>
      </c>
      <c r="F1325" t="str">
        <f t="shared" si="276"/>
        <v>5652011299</v>
      </c>
      <c r="G1325" s="1">
        <v>44591</v>
      </c>
      <c r="H1325" t="str">
        <f t="shared" si="283"/>
        <v>91197</v>
      </c>
      <c r="I1325">
        <v>1</v>
      </c>
      <c r="J1325">
        <v>1046</v>
      </c>
      <c r="K1325">
        <v>0</v>
      </c>
      <c r="L1325">
        <v>815.88</v>
      </c>
    </row>
    <row r="1326" spans="1:12" x14ac:dyDescent="0.25">
      <c r="A1326" t="str">
        <f t="shared" si="273"/>
        <v>89301000</v>
      </c>
      <c r="B1326" t="str">
        <f t="shared" si="274"/>
        <v>06539000</v>
      </c>
      <c r="C1326" t="str">
        <f t="shared" si="280"/>
        <v>06539003</v>
      </c>
      <c r="D1326" t="str">
        <f t="shared" si="281"/>
        <v>813</v>
      </c>
      <c r="E1326" t="str">
        <f t="shared" si="275"/>
        <v>89301172</v>
      </c>
      <c r="F1326" t="str">
        <f t="shared" si="276"/>
        <v>5652011299</v>
      </c>
      <c r="G1326" s="1">
        <v>44591</v>
      </c>
      <c r="H1326" t="str">
        <f t="shared" si="283"/>
        <v>91197</v>
      </c>
      <c r="I1326">
        <v>1</v>
      </c>
      <c r="J1326">
        <v>1046</v>
      </c>
      <c r="K1326">
        <v>0</v>
      </c>
      <c r="L1326">
        <v>815.88</v>
      </c>
    </row>
    <row r="1327" spans="1:12" x14ac:dyDescent="0.25">
      <c r="A1327" t="str">
        <f t="shared" si="273"/>
        <v>89301000</v>
      </c>
      <c r="B1327" t="str">
        <f t="shared" si="274"/>
        <v>06539000</v>
      </c>
      <c r="C1327" t="str">
        <f t="shared" si="280"/>
        <v>06539003</v>
      </c>
      <c r="D1327" t="str">
        <f t="shared" si="281"/>
        <v>813</v>
      </c>
      <c r="E1327" t="str">
        <f t="shared" si="275"/>
        <v>89301172</v>
      </c>
      <c r="F1327" t="str">
        <f t="shared" si="276"/>
        <v>5652011299</v>
      </c>
      <c r="G1327" s="1">
        <v>44590</v>
      </c>
      <c r="H1327" t="str">
        <f t="shared" si="283"/>
        <v>91197</v>
      </c>
      <c r="I1327">
        <v>1</v>
      </c>
      <c r="J1327">
        <v>1046</v>
      </c>
      <c r="K1327">
        <v>0</v>
      </c>
      <c r="L1327">
        <v>815.88</v>
      </c>
    </row>
    <row r="1328" spans="1:12" x14ac:dyDescent="0.25">
      <c r="A1328" t="str">
        <f t="shared" si="273"/>
        <v>89301000</v>
      </c>
      <c r="B1328" t="str">
        <f t="shared" si="274"/>
        <v>06539000</v>
      </c>
      <c r="C1328" t="str">
        <f t="shared" si="280"/>
        <v>06539003</v>
      </c>
      <c r="D1328" t="str">
        <f t="shared" si="281"/>
        <v>813</v>
      </c>
      <c r="E1328" t="str">
        <f t="shared" si="275"/>
        <v>89301172</v>
      </c>
      <c r="F1328" t="str">
        <f t="shared" si="276"/>
        <v>5652011299</v>
      </c>
      <c r="G1328" s="1">
        <v>44590</v>
      </c>
      <c r="H1328" t="str">
        <f t="shared" si="283"/>
        <v>91197</v>
      </c>
      <c r="I1328">
        <v>1</v>
      </c>
      <c r="J1328">
        <v>1046</v>
      </c>
      <c r="K1328">
        <v>0</v>
      </c>
      <c r="L1328">
        <v>815.88</v>
      </c>
    </row>
    <row r="1329" spans="1:12" x14ac:dyDescent="0.25">
      <c r="A1329" t="str">
        <f t="shared" si="273"/>
        <v>89301000</v>
      </c>
      <c r="B1329" t="str">
        <f t="shared" si="274"/>
        <v>06539000</v>
      </c>
      <c r="C1329" t="str">
        <f t="shared" si="280"/>
        <v>06539003</v>
      </c>
      <c r="D1329" t="str">
        <f t="shared" si="281"/>
        <v>813</v>
      </c>
      <c r="E1329" t="str">
        <f t="shared" ref="E1329:E1348" si="284">"89301172"</f>
        <v>89301172</v>
      </c>
      <c r="F1329" t="str">
        <f t="shared" si="276"/>
        <v>5652011299</v>
      </c>
      <c r="G1329" s="1">
        <v>44593</v>
      </c>
      <c r="H1329" t="str">
        <f>"91329"</f>
        <v>91329</v>
      </c>
      <c r="I1329">
        <v>2</v>
      </c>
      <c r="J1329">
        <v>428</v>
      </c>
      <c r="K1329">
        <v>0</v>
      </c>
      <c r="L1329">
        <v>333.84</v>
      </c>
    </row>
    <row r="1330" spans="1:12" x14ac:dyDescent="0.25">
      <c r="A1330" t="str">
        <f t="shared" si="273"/>
        <v>89301000</v>
      </c>
      <c r="B1330" t="str">
        <f t="shared" si="274"/>
        <v>06539000</v>
      </c>
      <c r="C1330" t="str">
        <f t="shared" si="280"/>
        <v>06539003</v>
      </c>
      <c r="D1330" t="str">
        <f t="shared" si="281"/>
        <v>813</v>
      </c>
      <c r="E1330" t="str">
        <f t="shared" si="284"/>
        <v>89301172</v>
      </c>
      <c r="F1330" t="str">
        <f t="shared" si="276"/>
        <v>5652011299</v>
      </c>
      <c r="G1330" s="1">
        <v>44593</v>
      </c>
      <c r="H1330" t="str">
        <f>"91329"</f>
        <v>91329</v>
      </c>
      <c r="I1330">
        <v>2</v>
      </c>
      <c r="J1330">
        <v>428</v>
      </c>
      <c r="K1330">
        <v>0</v>
      </c>
      <c r="L1330">
        <v>333.84</v>
      </c>
    </row>
    <row r="1331" spans="1:12" x14ac:dyDescent="0.25">
      <c r="A1331" t="str">
        <f t="shared" si="273"/>
        <v>89301000</v>
      </c>
      <c r="B1331" t="str">
        <f t="shared" si="274"/>
        <v>06539000</v>
      </c>
      <c r="C1331" t="str">
        <f t="shared" si="280"/>
        <v>06539003</v>
      </c>
      <c r="D1331" t="str">
        <f t="shared" si="281"/>
        <v>813</v>
      </c>
      <c r="E1331" t="str">
        <f t="shared" si="284"/>
        <v>89301172</v>
      </c>
      <c r="F1331" t="str">
        <f t="shared" si="276"/>
        <v>5652011299</v>
      </c>
      <c r="G1331" s="1">
        <v>44601</v>
      </c>
      <c r="H1331" t="str">
        <f>"91329"</f>
        <v>91329</v>
      </c>
      <c r="I1331">
        <v>2</v>
      </c>
      <c r="J1331">
        <v>428</v>
      </c>
      <c r="K1331">
        <v>0</v>
      </c>
      <c r="L1331">
        <v>333.84</v>
      </c>
    </row>
    <row r="1332" spans="1:12" x14ac:dyDescent="0.25">
      <c r="A1332" t="str">
        <f t="shared" si="273"/>
        <v>89301000</v>
      </c>
      <c r="B1332" t="str">
        <f t="shared" si="274"/>
        <v>06539000</v>
      </c>
      <c r="C1332" t="str">
        <f t="shared" si="280"/>
        <v>06539003</v>
      </c>
      <c r="D1332" t="str">
        <f t="shared" si="281"/>
        <v>813</v>
      </c>
      <c r="E1332" t="str">
        <f t="shared" si="284"/>
        <v>89301172</v>
      </c>
      <c r="F1332" t="str">
        <f t="shared" si="276"/>
        <v>5652011299</v>
      </c>
      <c r="G1332" s="1">
        <v>44601</v>
      </c>
      <c r="H1332" t="str">
        <f>"91329"</f>
        <v>91329</v>
      </c>
      <c r="I1332">
        <v>2</v>
      </c>
      <c r="J1332">
        <v>428</v>
      </c>
      <c r="K1332">
        <v>0</v>
      </c>
      <c r="L1332">
        <v>333.84</v>
      </c>
    </row>
    <row r="1333" spans="1:12" x14ac:dyDescent="0.25">
      <c r="A1333" t="str">
        <f t="shared" si="273"/>
        <v>89301000</v>
      </c>
      <c r="B1333" t="str">
        <f t="shared" si="274"/>
        <v>06539000</v>
      </c>
      <c r="C1333" t="str">
        <f t="shared" si="280"/>
        <v>06539003</v>
      </c>
      <c r="D1333" t="str">
        <f t="shared" si="281"/>
        <v>813</v>
      </c>
      <c r="E1333" t="str">
        <f t="shared" si="284"/>
        <v>89301172</v>
      </c>
      <c r="F1333" t="str">
        <f t="shared" si="276"/>
        <v>5652011299</v>
      </c>
      <c r="G1333" s="1">
        <v>44589</v>
      </c>
      <c r="H1333" t="str">
        <f>"91129"</f>
        <v>91129</v>
      </c>
      <c r="I1333">
        <v>1</v>
      </c>
      <c r="J1333">
        <v>174</v>
      </c>
      <c r="K1333">
        <v>0</v>
      </c>
      <c r="L1333">
        <v>135.72</v>
      </c>
    </row>
    <row r="1334" spans="1:12" x14ac:dyDescent="0.25">
      <c r="A1334" t="str">
        <f t="shared" si="273"/>
        <v>89301000</v>
      </c>
      <c r="B1334" t="str">
        <f t="shared" si="274"/>
        <v>06539000</v>
      </c>
      <c r="C1334" t="str">
        <f t="shared" si="280"/>
        <v>06539003</v>
      </c>
      <c r="D1334" t="str">
        <f t="shared" si="281"/>
        <v>813</v>
      </c>
      <c r="E1334" t="str">
        <f t="shared" si="284"/>
        <v>89301172</v>
      </c>
      <c r="F1334" t="str">
        <f t="shared" si="276"/>
        <v>5652011299</v>
      </c>
      <c r="G1334" s="1">
        <v>44589</v>
      </c>
      <c r="H1334" t="str">
        <f>"91131"</f>
        <v>91131</v>
      </c>
      <c r="I1334">
        <v>1</v>
      </c>
      <c r="J1334">
        <v>171</v>
      </c>
      <c r="K1334">
        <v>0</v>
      </c>
      <c r="L1334">
        <v>133.38</v>
      </c>
    </row>
    <row r="1335" spans="1:12" x14ac:dyDescent="0.25">
      <c r="A1335" t="str">
        <f t="shared" si="273"/>
        <v>89301000</v>
      </c>
      <c r="B1335" t="str">
        <f t="shared" si="274"/>
        <v>06539000</v>
      </c>
      <c r="C1335" t="str">
        <f t="shared" si="280"/>
        <v>06539003</v>
      </c>
      <c r="D1335" t="str">
        <f t="shared" si="281"/>
        <v>813</v>
      </c>
      <c r="E1335" t="str">
        <f t="shared" si="284"/>
        <v>89301172</v>
      </c>
      <c r="F1335" t="str">
        <f t="shared" si="276"/>
        <v>5652011299</v>
      </c>
      <c r="G1335" s="1">
        <v>44589</v>
      </c>
      <c r="H1335" t="str">
        <f>"91133"</f>
        <v>91133</v>
      </c>
      <c r="I1335">
        <v>1</v>
      </c>
      <c r="J1335">
        <v>176</v>
      </c>
      <c r="K1335">
        <v>0</v>
      </c>
      <c r="L1335">
        <v>137.28</v>
      </c>
    </row>
    <row r="1336" spans="1:12" x14ac:dyDescent="0.25">
      <c r="A1336" t="str">
        <f t="shared" si="273"/>
        <v>89301000</v>
      </c>
      <c r="B1336" t="str">
        <f t="shared" si="274"/>
        <v>06539000</v>
      </c>
      <c r="C1336" t="str">
        <f t="shared" si="280"/>
        <v>06539003</v>
      </c>
      <c r="D1336" t="str">
        <f t="shared" si="281"/>
        <v>813</v>
      </c>
      <c r="E1336" t="str">
        <f t="shared" si="284"/>
        <v>89301172</v>
      </c>
      <c r="F1336" t="str">
        <f t="shared" si="276"/>
        <v>5652011299</v>
      </c>
      <c r="G1336" s="1">
        <v>44589</v>
      </c>
      <c r="H1336" t="str">
        <f>"91171"</f>
        <v>91171</v>
      </c>
      <c r="I1336">
        <v>1</v>
      </c>
      <c r="J1336">
        <v>360</v>
      </c>
      <c r="K1336">
        <v>0</v>
      </c>
      <c r="L1336">
        <v>280.8</v>
      </c>
    </row>
    <row r="1337" spans="1:12" x14ac:dyDescent="0.25">
      <c r="A1337" t="str">
        <f t="shared" si="273"/>
        <v>89301000</v>
      </c>
      <c r="B1337" t="str">
        <f t="shared" si="274"/>
        <v>06539000</v>
      </c>
      <c r="C1337" t="str">
        <f t="shared" si="280"/>
        <v>06539003</v>
      </c>
      <c r="D1337" t="str">
        <f t="shared" si="281"/>
        <v>813</v>
      </c>
      <c r="E1337" t="str">
        <f t="shared" si="284"/>
        <v>89301172</v>
      </c>
      <c r="F1337" t="str">
        <f t="shared" si="276"/>
        <v>5652011299</v>
      </c>
      <c r="G1337" s="1">
        <v>44589</v>
      </c>
      <c r="H1337" t="str">
        <f>"91173"</f>
        <v>91173</v>
      </c>
      <c r="I1337">
        <v>1</v>
      </c>
      <c r="J1337">
        <v>335</v>
      </c>
      <c r="K1337">
        <v>0</v>
      </c>
      <c r="L1337">
        <v>261.3</v>
      </c>
    </row>
    <row r="1338" spans="1:12" x14ac:dyDescent="0.25">
      <c r="A1338" t="str">
        <f t="shared" si="273"/>
        <v>89301000</v>
      </c>
      <c r="B1338" t="str">
        <f t="shared" si="274"/>
        <v>06539000</v>
      </c>
      <c r="C1338" t="str">
        <f t="shared" si="280"/>
        <v>06539003</v>
      </c>
      <c r="D1338" t="str">
        <f t="shared" si="281"/>
        <v>813</v>
      </c>
      <c r="E1338" t="str">
        <f t="shared" si="284"/>
        <v>89301172</v>
      </c>
      <c r="F1338" t="str">
        <f t="shared" si="276"/>
        <v>5652011299</v>
      </c>
      <c r="G1338" s="1">
        <v>44589</v>
      </c>
      <c r="H1338" t="str">
        <f>"91175"</f>
        <v>91175</v>
      </c>
      <c r="I1338">
        <v>1</v>
      </c>
      <c r="J1338">
        <v>360</v>
      </c>
      <c r="K1338">
        <v>0</v>
      </c>
      <c r="L1338">
        <v>280.8</v>
      </c>
    </row>
    <row r="1339" spans="1:12" x14ac:dyDescent="0.25">
      <c r="A1339" t="str">
        <f t="shared" si="273"/>
        <v>89301000</v>
      </c>
      <c r="B1339" t="str">
        <f t="shared" si="274"/>
        <v>06539000</v>
      </c>
      <c r="C1339" t="str">
        <f t="shared" si="280"/>
        <v>06539003</v>
      </c>
      <c r="D1339" t="str">
        <f t="shared" si="281"/>
        <v>813</v>
      </c>
      <c r="E1339" t="str">
        <f t="shared" si="284"/>
        <v>89301172</v>
      </c>
      <c r="F1339" t="str">
        <f t="shared" si="276"/>
        <v>5652011299</v>
      </c>
      <c r="G1339" s="1">
        <v>44590</v>
      </c>
      <c r="H1339" t="str">
        <f>"91167"</f>
        <v>91167</v>
      </c>
      <c r="I1339">
        <v>1</v>
      </c>
      <c r="J1339">
        <v>425</v>
      </c>
      <c r="K1339">
        <v>0</v>
      </c>
      <c r="L1339">
        <v>331.5</v>
      </c>
    </row>
    <row r="1340" spans="1:12" x14ac:dyDescent="0.25">
      <c r="A1340" t="str">
        <f t="shared" si="273"/>
        <v>89301000</v>
      </c>
      <c r="B1340" t="str">
        <f t="shared" si="274"/>
        <v>06539000</v>
      </c>
      <c r="C1340" t="str">
        <f t="shared" si="280"/>
        <v>06539003</v>
      </c>
      <c r="D1340" t="str">
        <f t="shared" si="281"/>
        <v>813</v>
      </c>
      <c r="E1340" t="str">
        <f t="shared" si="284"/>
        <v>89301172</v>
      </c>
      <c r="F1340" t="str">
        <f t="shared" si="276"/>
        <v>5652011299</v>
      </c>
      <c r="G1340" s="1">
        <v>44590</v>
      </c>
      <c r="H1340" t="str">
        <f>"91169"</f>
        <v>91169</v>
      </c>
      <c r="I1340">
        <v>1</v>
      </c>
      <c r="J1340">
        <v>425</v>
      </c>
      <c r="K1340">
        <v>0</v>
      </c>
      <c r="L1340">
        <v>331.5</v>
      </c>
    </row>
    <row r="1341" spans="1:12" x14ac:dyDescent="0.25">
      <c r="A1341" t="str">
        <f t="shared" si="273"/>
        <v>89301000</v>
      </c>
      <c r="B1341" t="str">
        <f t="shared" si="274"/>
        <v>06539000</v>
      </c>
      <c r="C1341" t="str">
        <f t="shared" si="280"/>
        <v>06539003</v>
      </c>
      <c r="D1341" t="str">
        <f t="shared" si="281"/>
        <v>813</v>
      </c>
      <c r="E1341" t="str">
        <f t="shared" si="284"/>
        <v>89301172</v>
      </c>
      <c r="F1341" t="str">
        <f t="shared" si="276"/>
        <v>5652011299</v>
      </c>
      <c r="G1341" s="1">
        <v>44589</v>
      </c>
      <c r="H1341" t="str">
        <f>"91167"</f>
        <v>91167</v>
      </c>
      <c r="I1341">
        <v>1</v>
      </c>
      <c r="J1341">
        <v>425</v>
      </c>
      <c r="K1341">
        <v>0</v>
      </c>
      <c r="L1341">
        <v>331.5</v>
      </c>
    </row>
    <row r="1342" spans="1:12" x14ac:dyDescent="0.25">
      <c r="A1342" t="str">
        <f t="shared" si="273"/>
        <v>89301000</v>
      </c>
      <c r="B1342" t="str">
        <f t="shared" si="274"/>
        <v>06539000</v>
      </c>
      <c r="C1342" t="str">
        <f t="shared" si="280"/>
        <v>06539003</v>
      </c>
      <c r="D1342" t="str">
        <f t="shared" si="281"/>
        <v>813</v>
      </c>
      <c r="E1342" t="str">
        <f t="shared" si="284"/>
        <v>89301172</v>
      </c>
      <c r="F1342" t="str">
        <f t="shared" si="276"/>
        <v>5652011299</v>
      </c>
      <c r="G1342" s="1">
        <v>44589</v>
      </c>
      <c r="H1342" t="str">
        <f>"91169"</f>
        <v>91169</v>
      </c>
      <c r="I1342">
        <v>1</v>
      </c>
      <c r="J1342">
        <v>425</v>
      </c>
      <c r="K1342">
        <v>0</v>
      </c>
      <c r="L1342">
        <v>331.5</v>
      </c>
    </row>
    <row r="1343" spans="1:12" x14ac:dyDescent="0.25">
      <c r="A1343" t="str">
        <f t="shared" si="273"/>
        <v>89301000</v>
      </c>
      <c r="B1343" t="str">
        <f t="shared" si="274"/>
        <v>06539000</v>
      </c>
      <c r="C1343" t="str">
        <f t="shared" si="280"/>
        <v>06539003</v>
      </c>
      <c r="D1343" t="str">
        <f t="shared" si="281"/>
        <v>813</v>
      </c>
      <c r="E1343" t="str">
        <f t="shared" si="284"/>
        <v>89301172</v>
      </c>
      <c r="F1343" t="str">
        <f t="shared" si="276"/>
        <v>5652011299</v>
      </c>
      <c r="G1343" s="1">
        <v>44589</v>
      </c>
      <c r="H1343" t="str">
        <f>"91475"</f>
        <v>91475</v>
      </c>
      <c r="I1343">
        <v>1</v>
      </c>
      <c r="J1343">
        <v>206</v>
      </c>
      <c r="K1343">
        <v>0</v>
      </c>
      <c r="L1343">
        <v>160.68</v>
      </c>
    </row>
    <row r="1344" spans="1:12" x14ac:dyDescent="0.25">
      <c r="A1344" t="str">
        <f t="shared" si="273"/>
        <v>89301000</v>
      </c>
      <c r="B1344" t="str">
        <f t="shared" si="274"/>
        <v>06539000</v>
      </c>
      <c r="C1344" t="str">
        <f t="shared" si="280"/>
        <v>06539003</v>
      </c>
      <c r="D1344" t="str">
        <f t="shared" si="281"/>
        <v>813</v>
      </c>
      <c r="E1344" t="str">
        <f t="shared" si="284"/>
        <v>89301172</v>
      </c>
      <c r="F1344" t="str">
        <f>"9058174851"</f>
        <v>9058174851</v>
      </c>
      <c r="G1344" s="1">
        <v>44601</v>
      </c>
      <c r="H1344" t="str">
        <f>"91329"</f>
        <v>91329</v>
      </c>
      <c r="I1344">
        <v>2</v>
      </c>
      <c r="J1344">
        <v>428</v>
      </c>
      <c r="K1344">
        <v>0</v>
      </c>
      <c r="L1344">
        <v>333.84</v>
      </c>
    </row>
    <row r="1345" spans="1:12" x14ac:dyDescent="0.25">
      <c r="A1345" t="str">
        <f t="shared" si="273"/>
        <v>89301000</v>
      </c>
      <c r="B1345" t="str">
        <f t="shared" si="274"/>
        <v>06539000</v>
      </c>
      <c r="C1345" t="str">
        <f t="shared" si="280"/>
        <v>06539003</v>
      </c>
      <c r="D1345" t="str">
        <f t="shared" si="281"/>
        <v>813</v>
      </c>
      <c r="E1345" t="str">
        <f t="shared" si="284"/>
        <v>89301172</v>
      </c>
      <c r="F1345" t="str">
        <f>"9058174851"</f>
        <v>9058174851</v>
      </c>
      <c r="G1345" s="1">
        <v>44601</v>
      </c>
      <c r="H1345" t="str">
        <f>"91329"</f>
        <v>91329</v>
      </c>
      <c r="I1345">
        <v>2</v>
      </c>
      <c r="J1345">
        <v>428</v>
      </c>
      <c r="K1345">
        <v>0</v>
      </c>
      <c r="L1345">
        <v>333.84</v>
      </c>
    </row>
    <row r="1346" spans="1:12" x14ac:dyDescent="0.25">
      <c r="A1346" t="str">
        <f t="shared" ref="A1346:A1409" si="285">"89301000"</f>
        <v>89301000</v>
      </c>
      <c r="B1346" t="str">
        <f t="shared" si="274"/>
        <v>06539000</v>
      </c>
      <c r="C1346" t="str">
        <f t="shared" si="280"/>
        <v>06539003</v>
      </c>
      <c r="D1346" t="str">
        <f t="shared" si="281"/>
        <v>813</v>
      </c>
      <c r="E1346" t="str">
        <f t="shared" si="284"/>
        <v>89301172</v>
      </c>
      <c r="F1346" t="str">
        <f>"9058174851"</f>
        <v>9058174851</v>
      </c>
      <c r="G1346" s="1">
        <v>44593</v>
      </c>
      <c r="H1346" t="str">
        <f>"91329"</f>
        <v>91329</v>
      </c>
      <c r="I1346">
        <v>2</v>
      </c>
      <c r="J1346">
        <v>428</v>
      </c>
      <c r="K1346">
        <v>0</v>
      </c>
      <c r="L1346">
        <v>333.84</v>
      </c>
    </row>
    <row r="1347" spans="1:12" x14ac:dyDescent="0.25">
      <c r="A1347" t="str">
        <f t="shared" si="285"/>
        <v>89301000</v>
      </c>
      <c r="B1347" t="str">
        <f t="shared" si="274"/>
        <v>06539000</v>
      </c>
      <c r="C1347" t="str">
        <f t="shared" si="280"/>
        <v>06539003</v>
      </c>
      <c r="D1347" t="str">
        <f t="shared" si="281"/>
        <v>813</v>
      </c>
      <c r="E1347" t="str">
        <f t="shared" si="284"/>
        <v>89301172</v>
      </c>
      <c r="F1347" t="str">
        <f>"9058174851"</f>
        <v>9058174851</v>
      </c>
      <c r="G1347" s="1">
        <v>44593</v>
      </c>
      <c r="H1347" t="str">
        <f>"91329"</f>
        <v>91329</v>
      </c>
      <c r="I1347">
        <v>2</v>
      </c>
      <c r="J1347">
        <v>428</v>
      </c>
      <c r="K1347">
        <v>0</v>
      </c>
      <c r="L1347">
        <v>333.84</v>
      </c>
    </row>
    <row r="1348" spans="1:12" x14ac:dyDescent="0.25">
      <c r="A1348" t="str">
        <f t="shared" si="285"/>
        <v>89301000</v>
      </c>
      <c r="B1348" t="str">
        <f t="shared" si="274"/>
        <v>06539000</v>
      </c>
      <c r="C1348" t="str">
        <f t="shared" si="280"/>
        <v>06539003</v>
      </c>
      <c r="D1348" t="str">
        <f t="shared" si="281"/>
        <v>813</v>
      </c>
      <c r="E1348" t="str">
        <f t="shared" si="284"/>
        <v>89301172</v>
      </c>
      <c r="F1348" t="str">
        <f>"9058174851"</f>
        <v>9058174851</v>
      </c>
      <c r="G1348" s="1">
        <v>44593</v>
      </c>
      <c r="H1348" t="str">
        <f>"91475"</f>
        <v>91475</v>
      </c>
      <c r="I1348">
        <v>1</v>
      </c>
      <c r="J1348">
        <v>206</v>
      </c>
      <c r="K1348">
        <v>0</v>
      </c>
      <c r="L1348">
        <v>160.68</v>
      </c>
    </row>
    <row r="1349" spans="1:12" x14ac:dyDescent="0.25">
      <c r="A1349" t="str">
        <f t="shared" si="285"/>
        <v>89301000</v>
      </c>
      <c r="B1349" t="str">
        <f t="shared" si="274"/>
        <v>06539000</v>
      </c>
      <c r="C1349" t="str">
        <f>"06539002"</f>
        <v>06539002</v>
      </c>
      <c r="D1349" t="str">
        <f>"802"</f>
        <v>802</v>
      </c>
      <c r="E1349" t="str">
        <f t="shared" ref="E1349:E1366" si="286">"89301171"</f>
        <v>89301171</v>
      </c>
      <c r="F1349" t="str">
        <f t="shared" ref="F1349:F1366" si="287">"7607175312"</f>
        <v>7607175312</v>
      </c>
      <c r="G1349" s="1">
        <v>44602</v>
      </c>
      <c r="H1349" t="str">
        <f>"82097"</f>
        <v>82097</v>
      </c>
      <c r="I1349">
        <v>1</v>
      </c>
      <c r="J1349">
        <v>380</v>
      </c>
      <c r="K1349">
        <v>0</v>
      </c>
      <c r="L1349">
        <v>345.8</v>
      </c>
    </row>
    <row r="1350" spans="1:12" x14ac:dyDescent="0.25">
      <c r="A1350" t="str">
        <f t="shared" si="285"/>
        <v>89301000</v>
      </c>
      <c r="B1350" t="str">
        <f t="shared" si="274"/>
        <v>06539000</v>
      </c>
      <c r="C1350" t="str">
        <f>"06539002"</f>
        <v>06539002</v>
      </c>
      <c r="D1350" t="str">
        <f>"802"</f>
        <v>802</v>
      </c>
      <c r="E1350" t="str">
        <f t="shared" si="286"/>
        <v>89301171</v>
      </c>
      <c r="F1350" t="str">
        <f t="shared" si="287"/>
        <v>7607175312</v>
      </c>
      <c r="G1350" s="1">
        <v>44602</v>
      </c>
      <c r="H1350" t="str">
        <f>"82097"</f>
        <v>82097</v>
      </c>
      <c r="I1350">
        <v>1</v>
      </c>
      <c r="J1350">
        <v>380</v>
      </c>
      <c r="K1350">
        <v>0</v>
      </c>
      <c r="L1350">
        <v>345.8</v>
      </c>
    </row>
    <row r="1351" spans="1:12" x14ac:dyDescent="0.25">
      <c r="A1351" t="str">
        <f t="shared" si="285"/>
        <v>89301000</v>
      </c>
      <c r="B1351" t="str">
        <f t="shared" si="274"/>
        <v>06539000</v>
      </c>
      <c r="C1351" t="str">
        <f>"06539002"</f>
        <v>06539002</v>
      </c>
      <c r="D1351" t="str">
        <f>"802"</f>
        <v>802</v>
      </c>
      <c r="E1351" t="str">
        <f t="shared" si="286"/>
        <v>89301171</v>
      </c>
      <c r="F1351" t="str">
        <f t="shared" si="287"/>
        <v>7607175312</v>
      </c>
      <c r="G1351" s="1">
        <v>44602</v>
      </c>
      <c r="H1351" t="str">
        <f>"82097"</f>
        <v>82097</v>
      </c>
      <c r="I1351">
        <v>1</v>
      </c>
      <c r="J1351">
        <v>380</v>
      </c>
      <c r="K1351">
        <v>0</v>
      </c>
      <c r="L1351">
        <v>345.8</v>
      </c>
    </row>
    <row r="1352" spans="1:12" x14ac:dyDescent="0.25">
      <c r="A1352" t="str">
        <f t="shared" si="285"/>
        <v>89301000</v>
      </c>
      <c r="B1352" t="str">
        <f t="shared" si="274"/>
        <v>06539000</v>
      </c>
      <c r="C1352" t="str">
        <f>"06539002"</f>
        <v>06539002</v>
      </c>
      <c r="D1352" t="str">
        <f>"802"</f>
        <v>802</v>
      </c>
      <c r="E1352" t="str">
        <f t="shared" si="286"/>
        <v>89301171</v>
      </c>
      <c r="F1352" t="str">
        <f t="shared" si="287"/>
        <v>7607175312</v>
      </c>
      <c r="G1352" s="1">
        <v>44602</v>
      </c>
      <c r="H1352" t="str">
        <f>"82097"</f>
        <v>82097</v>
      </c>
      <c r="I1352">
        <v>1</v>
      </c>
      <c r="J1352">
        <v>380</v>
      </c>
      <c r="K1352">
        <v>0</v>
      </c>
      <c r="L1352">
        <v>345.8</v>
      </c>
    </row>
    <row r="1353" spans="1:12" x14ac:dyDescent="0.25">
      <c r="A1353" t="str">
        <f t="shared" si="285"/>
        <v>89301000</v>
      </c>
      <c r="B1353" t="str">
        <f t="shared" si="274"/>
        <v>06539000</v>
      </c>
      <c r="C1353" t="str">
        <f t="shared" ref="C1353:C1374" si="288">"06539003"</f>
        <v>06539003</v>
      </c>
      <c r="D1353" t="str">
        <f t="shared" ref="D1353:D1374" si="289">"813"</f>
        <v>813</v>
      </c>
      <c r="E1353" t="str">
        <f t="shared" si="286"/>
        <v>89301171</v>
      </c>
      <c r="F1353" t="str">
        <f t="shared" si="287"/>
        <v>7607175312</v>
      </c>
      <c r="G1353" s="1">
        <v>44601</v>
      </c>
      <c r="H1353" t="str">
        <f t="shared" ref="H1353:H1362" si="290">"91413"</f>
        <v>91413</v>
      </c>
      <c r="I1353">
        <v>1</v>
      </c>
      <c r="J1353">
        <v>853</v>
      </c>
      <c r="K1353">
        <v>0</v>
      </c>
      <c r="L1353">
        <v>665.34</v>
      </c>
    </row>
    <row r="1354" spans="1:12" x14ac:dyDescent="0.25">
      <c r="A1354" t="str">
        <f t="shared" si="285"/>
        <v>89301000</v>
      </c>
      <c r="B1354" t="str">
        <f t="shared" ref="B1354:B1417" si="291">"06539000"</f>
        <v>06539000</v>
      </c>
      <c r="C1354" t="str">
        <f t="shared" si="288"/>
        <v>06539003</v>
      </c>
      <c r="D1354" t="str">
        <f t="shared" si="289"/>
        <v>813</v>
      </c>
      <c r="E1354" t="str">
        <f t="shared" si="286"/>
        <v>89301171</v>
      </c>
      <c r="F1354" t="str">
        <f t="shared" si="287"/>
        <v>7607175312</v>
      </c>
      <c r="G1354" s="1">
        <v>44601</v>
      </c>
      <c r="H1354" t="str">
        <f t="shared" si="290"/>
        <v>91413</v>
      </c>
      <c r="I1354">
        <v>1</v>
      </c>
      <c r="J1354">
        <v>853</v>
      </c>
      <c r="K1354">
        <v>0</v>
      </c>
      <c r="L1354">
        <v>665.34</v>
      </c>
    </row>
    <row r="1355" spans="1:12" x14ac:dyDescent="0.25">
      <c r="A1355" t="str">
        <f t="shared" si="285"/>
        <v>89301000</v>
      </c>
      <c r="B1355" t="str">
        <f t="shared" si="291"/>
        <v>06539000</v>
      </c>
      <c r="C1355" t="str">
        <f t="shared" si="288"/>
        <v>06539003</v>
      </c>
      <c r="D1355" t="str">
        <f t="shared" si="289"/>
        <v>813</v>
      </c>
      <c r="E1355" t="str">
        <f t="shared" si="286"/>
        <v>89301171</v>
      </c>
      <c r="F1355" t="str">
        <f t="shared" si="287"/>
        <v>7607175312</v>
      </c>
      <c r="G1355" s="1">
        <v>44610</v>
      </c>
      <c r="H1355" t="str">
        <f t="shared" si="290"/>
        <v>91413</v>
      </c>
      <c r="I1355">
        <v>1</v>
      </c>
      <c r="J1355">
        <v>853</v>
      </c>
      <c r="K1355">
        <v>0</v>
      </c>
      <c r="L1355">
        <v>665.34</v>
      </c>
    </row>
    <row r="1356" spans="1:12" x14ac:dyDescent="0.25">
      <c r="A1356" t="str">
        <f t="shared" si="285"/>
        <v>89301000</v>
      </c>
      <c r="B1356" t="str">
        <f t="shared" si="291"/>
        <v>06539000</v>
      </c>
      <c r="C1356" t="str">
        <f t="shared" si="288"/>
        <v>06539003</v>
      </c>
      <c r="D1356" t="str">
        <f t="shared" si="289"/>
        <v>813</v>
      </c>
      <c r="E1356" t="str">
        <f t="shared" si="286"/>
        <v>89301171</v>
      </c>
      <c r="F1356" t="str">
        <f t="shared" si="287"/>
        <v>7607175312</v>
      </c>
      <c r="G1356" s="1">
        <v>44610</v>
      </c>
      <c r="H1356" t="str">
        <f t="shared" si="290"/>
        <v>91413</v>
      </c>
      <c r="I1356">
        <v>1</v>
      </c>
      <c r="J1356">
        <v>853</v>
      </c>
      <c r="K1356">
        <v>0</v>
      </c>
      <c r="L1356">
        <v>665.34</v>
      </c>
    </row>
    <row r="1357" spans="1:12" x14ac:dyDescent="0.25">
      <c r="A1357" t="str">
        <f t="shared" si="285"/>
        <v>89301000</v>
      </c>
      <c r="B1357" t="str">
        <f t="shared" si="291"/>
        <v>06539000</v>
      </c>
      <c r="C1357" t="str">
        <f t="shared" si="288"/>
        <v>06539003</v>
      </c>
      <c r="D1357" t="str">
        <f t="shared" si="289"/>
        <v>813</v>
      </c>
      <c r="E1357" t="str">
        <f t="shared" si="286"/>
        <v>89301171</v>
      </c>
      <c r="F1357" t="str">
        <f t="shared" si="287"/>
        <v>7607175312</v>
      </c>
      <c r="G1357" s="1">
        <v>44610</v>
      </c>
      <c r="H1357" t="str">
        <f t="shared" si="290"/>
        <v>91413</v>
      </c>
      <c r="I1357">
        <v>1</v>
      </c>
      <c r="J1357">
        <v>853</v>
      </c>
      <c r="K1357">
        <v>0</v>
      </c>
      <c r="L1357">
        <v>665.34</v>
      </c>
    </row>
    <row r="1358" spans="1:12" x14ac:dyDescent="0.25">
      <c r="A1358" t="str">
        <f t="shared" si="285"/>
        <v>89301000</v>
      </c>
      <c r="B1358" t="str">
        <f t="shared" si="291"/>
        <v>06539000</v>
      </c>
      <c r="C1358" t="str">
        <f t="shared" si="288"/>
        <v>06539003</v>
      </c>
      <c r="D1358" t="str">
        <f t="shared" si="289"/>
        <v>813</v>
      </c>
      <c r="E1358" t="str">
        <f t="shared" si="286"/>
        <v>89301171</v>
      </c>
      <c r="F1358" t="str">
        <f t="shared" si="287"/>
        <v>7607175312</v>
      </c>
      <c r="G1358" s="1">
        <v>44610</v>
      </c>
      <c r="H1358" t="str">
        <f t="shared" si="290"/>
        <v>91413</v>
      </c>
      <c r="I1358">
        <v>1</v>
      </c>
      <c r="J1358">
        <v>853</v>
      </c>
      <c r="K1358">
        <v>0</v>
      </c>
      <c r="L1358">
        <v>665.34</v>
      </c>
    </row>
    <row r="1359" spans="1:12" x14ac:dyDescent="0.25">
      <c r="A1359" t="str">
        <f t="shared" si="285"/>
        <v>89301000</v>
      </c>
      <c r="B1359" t="str">
        <f t="shared" si="291"/>
        <v>06539000</v>
      </c>
      <c r="C1359" t="str">
        <f t="shared" si="288"/>
        <v>06539003</v>
      </c>
      <c r="D1359" t="str">
        <f t="shared" si="289"/>
        <v>813</v>
      </c>
      <c r="E1359" t="str">
        <f t="shared" si="286"/>
        <v>89301171</v>
      </c>
      <c r="F1359" t="str">
        <f t="shared" si="287"/>
        <v>7607175312</v>
      </c>
      <c r="G1359" s="1">
        <v>44610</v>
      </c>
      <c r="H1359" t="str">
        <f t="shared" si="290"/>
        <v>91413</v>
      </c>
      <c r="I1359">
        <v>1</v>
      </c>
      <c r="J1359">
        <v>853</v>
      </c>
      <c r="K1359">
        <v>0</v>
      </c>
      <c r="L1359">
        <v>665.34</v>
      </c>
    </row>
    <row r="1360" spans="1:12" x14ac:dyDescent="0.25">
      <c r="A1360" t="str">
        <f t="shared" si="285"/>
        <v>89301000</v>
      </c>
      <c r="B1360" t="str">
        <f t="shared" si="291"/>
        <v>06539000</v>
      </c>
      <c r="C1360" t="str">
        <f t="shared" si="288"/>
        <v>06539003</v>
      </c>
      <c r="D1360" t="str">
        <f t="shared" si="289"/>
        <v>813</v>
      </c>
      <c r="E1360" t="str">
        <f t="shared" si="286"/>
        <v>89301171</v>
      </c>
      <c r="F1360" t="str">
        <f t="shared" si="287"/>
        <v>7607175312</v>
      </c>
      <c r="G1360" s="1">
        <v>44610</v>
      </c>
      <c r="H1360" t="str">
        <f t="shared" si="290"/>
        <v>91413</v>
      </c>
      <c r="I1360">
        <v>1</v>
      </c>
      <c r="J1360">
        <v>853</v>
      </c>
      <c r="K1360">
        <v>0</v>
      </c>
      <c r="L1360">
        <v>665.34</v>
      </c>
    </row>
    <row r="1361" spans="1:12" x14ac:dyDescent="0.25">
      <c r="A1361" t="str">
        <f t="shared" si="285"/>
        <v>89301000</v>
      </c>
      <c r="B1361" t="str">
        <f t="shared" si="291"/>
        <v>06539000</v>
      </c>
      <c r="C1361" t="str">
        <f t="shared" si="288"/>
        <v>06539003</v>
      </c>
      <c r="D1361" t="str">
        <f t="shared" si="289"/>
        <v>813</v>
      </c>
      <c r="E1361" t="str">
        <f t="shared" si="286"/>
        <v>89301171</v>
      </c>
      <c r="F1361" t="str">
        <f t="shared" si="287"/>
        <v>7607175312</v>
      </c>
      <c r="G1361" s="1">
        <v>44610</v>
      </c>
      <c r="H1361" t="str">
        <f t="shared" si="290"/>
        <v>91413</v>
      </c>
      <c r="I1361">
        <v>1</v>
      </c>
      <c r="J1361">
        <v>853</v>
      </c>
      <c r="K1361">
        <v>0</v>
      </c>
      <c r="L1361">
        <v>665.34</v>
      </c>
    </row>
    <row r="1362" spans="1:12" x14ac:dyDescent="0.25">
      <c r="A1362" t="str">
        <f t="shared" si="285"/>
        <v>89301000</v>
      </c>
      <c r="B1362" t="str">
        <f t="shared" si="291"/>
        <v>06539000</v>
      </c>
      <c r="C1362" t="str">
        <f t="shared" si="288"/>
        <v>06539003</v>
      </c>
      <c r="D1362" t="str">
        <f t="shared" si="289"/>
        <v>813</v>
      </c>
      <c r="E1362" t="str">
        <f t="shared" si="286"/>
        <v>89301171</v>
      </c>
      <c r="F1362" t="str">
        <f t="shared" si="287"/>
        <v>7607175312</v>
      </c>
      <c r="G1362" s="1">
        <v>44610</v>
      </c>
      <c r="H1362" t="str">
        <f t="shared" si="290"/>
        <v>91413</v>
      </c>
      <c r="I1362">
        <v>1</v>
      </c>
      <c r="J1362">
        <v>853</v>
      </c>
      <c r="K1362">
        <v>0</v>
      </c>
      <c r="L1362">
        <v>665.34</v>
      </c>
    </row>
    <row r="1363" spans="1:12" x14ac:dyDescent="0.25">
      <c r="A1363" t="str">
        <f t="shared" si="285"/>
        <v>89301000</v>
      </c>
      <c r="B1363" t="str">
        <f t="shared" si="291"/>
        <v>06539000</v>
      </c>
      <c r="C1363" t="str">
        <f t="shared" si="288"/>
        <v>06539003</v>
      </c>
      <c r="D1363" t="str">
        <f t="shared" si="289"/>
        <v>813</v>
      </c>
      <c r="E1363" t="str">
        <f t="shared" si="286"/>
        <v>89301171</v>
      </c>
      <c r="F1363" t="str">
        <f t="shared" si="287"/>
        <v>7607175312</v>
      </c>
      <c r="G1363" s="1">
        <v>44601</v>
      </c>
      <c r="H1363" t="str">
        <f>"91329"</f>
        <v>91329</v>
      </c>
      <c r="I1363">
        <v>2</v>
      </c>
      <c r="J1363">
        <v>428</v>
      </c>
      <c r="K1363">
        <v>0</v>
      </c>
      <c r="L1363">
        <v>333.84</v>
      </c>
    </row>
    <row r="1364" spans="1:12" x14ac:dyDescent="0.25">
      <c r="A1364" t="str">
        <f t="shared" si="285"/>
        <v>89301000</v>
      </c>
      <c r="B1364" t="str">
        <f t="shared" si="291"/>
        <v>06539000</v>
      </c>
      <c r="C1364" t="str">
        <f t="shared" si="288"/>
        <v>06539003</v>
      </c>
      <c r="D1364" t="str">
        <f t="shared" si="289"/>
        <v>813</v>
      </c>
      <c r="E1364" t="str">
        <f t="shared" si="286"/>
        <v>89301171</v>
      </c>
      <c r="F1364" t="str">
        <f t="shared" si="287"/>
        <v>7607175312</v>
      </c>
      <c r="G1364" s="1">
        <v>44601</v>
      </c>
      <c r="H1364" t="str">
        <f>"91329"</f>
        <v>91329</v>
      </c>
      <c r="I1364">
        <v>2</v>
      </c>
      <c r="J1364">
        <v>428</v>
      </c>
      <c r="K1364">
        <v>0</v>
      </c>
      <c r="L1364">
        <v>333.84</v>
      </c>
    </row>
    <row r="1365" spans="1:12" x14ac:dyDescent="0.25">
      <c r="A1365" t="str">
        <f t="shared" si="285"/>
        <v>89301000</v>
      </c>
      <c r="B1365" t="str">
        <f t="shared" si="291"/>
        <v>06539000</v>
      </c>
      <c r="C1365" t="str">
        <f t="shared" si="288"/>
        <v>06539003</v>
      </c>
      <c r="D1365" t="str">
        <f t="shared" si="289"/>
        <v>813</v>
      </c>
      <c r="E1365" t="str">
        <f t="shared" si="286"/>
        <v>89301171</v>
      </c>
      <c r="F1365" t="str">
        <f t="shared" si="287"/>
        <v>7607175312</v>
      </c>
      <c r="G1365" s="1">
        <v>44601</v>
      </c>
      <c r="H1365" t="str">
        <f>"91329"</f>
        <v>91329</v>
      </c>
      <c r="I1365">
        <v>2</v>
      </c>
      <c r="J1365">
        <v>428</v>
      </c>
      <c r="K1365">
        <v>0</v>
      </c>
      <c r="L1365">
        <v>333.84</v>
      </c>
    </row>
    <row r="1366" spans="1:12" x14ac:dyDescent="0.25">
      <c r="A1366" t="str">
        <f t="shared" si="285"/>
        <v>89301000</v>
      </c>
      <c r="B1366" t="str">
        <f t="shared" si="291"/>
        <v>06539000</v>
      </c>
      <c r="C1366" t="str">
        <f t="shared" si="288"/>
        <v>06539003</v>
      </c>
      <c r="D1366" t="str">
        <f t="shared" si="289"/>
        <v>813</v>
      </c>
      <c r="E1366" t="str">
        <f t="shared" si="286"/>
        <v>89301171</v>
      </c>
      <c r="F1366" t="str">
        <f t="shared" si="287"/>
        <v>7607175312</v>
      </c>
      <c r="G1366" s="1">
        <v>44601</v>
      </c>
      <c r="H1366" t="str">
        <f>"91329"</f>
        <v>91329</v>
      </c>
      <c r="I1366">
        <v>2</v>
      </c>
      <c r="J1366">
        <v>428</v>
      </c>
      <c r="K1366">
        <v>0</v>
      </c>
      <c r="L1366">
        <v>333.84</v>
      </c>
    </row>
    <row r="1367" spans="1:12" x14ac:dyDescent="0.25">
      <c r="A1367" t="str">
        <f t="shared" si="285"/>
        <v>89301000</v>
      </c>
      <c r="B1367" t="str">
        <f t="shared" si="291"/>
        <v>06539000</v>
      </c>
      <c r="C1367" t="str">
        <f t="shared" si="288"/>
        <v>06539003</v>
      </c>
      <c r="D1367" t="str">
        <f t="shared" si="289"/>
        <v>813</v>
      </c>
      <c r="E1367" t="str">
        <f t="shared" ref="E1367:E1430" si="292">"89301172"</f>
        <v>89301172</v>
      </c>
      <c r="F1367" t="str">
        <f t="shared" ref="F1367:F1374" si="293">"6256150252"</f>
        <v>6256150252</v>
      </c>
      <c r="G1367" s="1">
        <v>44610</v>
      </c>
      <c r="H1367" t="str">
        <f t="shared" ref="H1367:H1374" si="294">"91413"</f>
        <v>91413</v>
      </c>
      <c r="I1367">
        <v>1</v>
      </c>
      <c r="J1367">
        <v>853</v>
      </c>
      <c r="K1367">
        <v>0</v>
      </c>
      <c r="L1367">
        <v>665.34</v>
      </c>
    </row>
    <row r="1368" spans="1:12" x14ac:dyDescent="0.25">
      <c r="A1368" t="str">
        <f t="shared" si="285"/>
        <v>89301000</v>
      </c>
      <c r="B1368" t="str">
        <f t="shared" si="291"/>
        <v>06539000</v>
      </c>
      <c r="C1368" t="str">
        <f t="shared" si="288"/>
        <v>06539003</v>
      </c>
      <c r="D1368" t="str">
        <f t="shared" si="289"/>
        <v>813</v>
      </c>
      <c r="E1368" t="str">
        <f t="shared" si="292"/>
        <v>89301172</v>
      </c>
      <c r="F1368" t="str">
        <f t="shared" si="293"/>
        <v>6256150252</v>
      </c>
      <c r="G1368" s="1">
        <v>44610</v>
      </c>
      <c r="H1368" t="str">
        <f t="shared" si="294"/>
        <v>91413</v>
      </c>
      <c r="I1368">
        <v>1</v>
      </c>
      <c r="J1368">
        <v>853</v>
      </c>
      <c r="K1368">
        <v>0</v>
      </c>
      <c r="L1368">
        <v>665.34</v>
      </c>
    </row>
    <row r="1369" spans="1:12" x14ac:dyDescent="0.25">
      <c r="A1369" t="str">
        <f t="shared" si="285"/>
        <v>89301000</v>
      </c>
      <c r="B1369" t="str">
        <f t="shared" si="291"/>
        <v>06539000</v>
      </c>
      <c r="C1369" t="str">
        <f t="shared" si="288"/>
        <v>06539003</v>
      </c>
      <c r="D1369" t="str">
        <f t="shared" si="289"/>
        <v>813</v>
      </c>
      <c r="E1369" t="str">
        <f t="shared" si="292"/>
        <v>89301172</v>
      </c>
      <c r="F1369" t="str">
        <f t="shared" si="293"/>
        <v>6256150252</v>
      </c>
      <c r="G1369" s="1">
        <v>44610</v>
      </c>
      <c r="H1369" t="str">
        <f t="shared" si="294"/>
        <v>91413</v>
      </c>
      <c r="I1369">
        <v>1</v>
      </c>
      <c r="J1369">
        <v>853</v>
      </c>
      <c r="K1369">
        <v>0</v>
      </c>
      <c r="L1369">
        <v>665.34</v>
      </c>
    </row>
    <row r="1370" spans="1:12" x14ac:dyDescent="0.25">
      <c r="A1370" t="str">
        <f t="shared" si="285"/>
        <v>89301000</v>
      </c>
      <c r="B1370" t="str">
        <f t="shared" si="291"/>
        <v>06539000</v>
      </c>
      <c r="C1370" t="str">
        <f t="shared" si="288"/>
        <v>06539003</v>
      </c>
      <c r="D1370" t="str">
        <f t="shared" si="289"/>
        <v>813</v>
      </c>
      <c r="E1370" t="str">
        <f t="shared" si="292"/>
        <v>89301172</v>
      </c>
      <c r="F1370" t="str">
        <f t="shared" si="293"/>
        <v>6256150252</v>
      </c>
      <c r="G1370" s="1">
        <v>44610</v>
      </c>
      <c r="H1370" t="str">
        <f t="shared" si="294"/>
        <v>91413</v>
      </c>
      <c r="I1370">
        <v>1</v>
      </c>
      <c r="J1370">
        <v>853</v>
      </c>
      <c r="K1370">
        <v>0</v>
      </c>
      <c r="L1370">
        <v>665.34</v>
      </c>
    </row>
    <row r="1371" spans="1:12" x14ac:dyDescent="0.25">
      <c r="A1371" t="str">
        <f t="shared" si="285"/>
        <v>89301000</v>
      </c>
      <c r="B1371" t="str">
        <f t="shared" si="291"/>
        <v>06539000</v>
      </c>
      <c r="C1371" t="str">
        <f t="shared" si="288"/>
        <v>06539003</v>
      </c>
      <c r="D1371" t="str">
        <f t="shared" si="289"/>
        <v>813</v>
      </c>
      <c r="E1371" t="str">
        <f t="shared" si="292"/>
        <v>89301172</v>
      </c>
      <c r="F1371" t="str">
        <f t="shared" si="293"/>
        <v>6256150252</v>
      </c>
      <c r="G1371" s="1">
        <v>44610</v>
      </c>
      <c r="H1371" t="str">
        <f t="shared" si="294"/>
        <v>91413</v>
      </c>
      <c r="I1371">
        <v>1</v>
      </c>
      <c r="J1371">
        <v>853</v>
      </c>
      <c r="K1371">
        <v>0</v>
      </c>
      <c r="L1371">
        <v>665.34</v>
      </c>
    </row>
    <row r="1372" spans="1:12" x14ac:dyDescent="0.25">
      <c r="A1372" t="str">
        <f t="shared" si="285"/>
        <v>89301000</v>
      </c>
      <c r="B1372" t="str">
        <f t="shared" si="291"/>
        <v>06539000</v>
      </c>
      <c r="C1372" t="str">
        <f t="shared" si="288"/>
        <v>06539003</v>
      </c>
      <c r="D1372" t="str">
        <f t="shared" si="289"/>
        <v>813</v>
      </c>
      <c r="E1372" t="str">
        <f t="shared" si="292"/>
        <v>89301172</v>
      </c>
      <c r="F1372" t="str">
        <f t="shared" si="293"/>
        <v>6256150252</v>
      </c>
      <c r="G1372" s="1">
        <v>44610</v>
      </c>
      <c r="H1372" t="str">
        <f t="shared" si="294"/>
        <v>91413</v>
      </c>
      <c r="I1372">
        <v>1</v>
      </c>
      <c r="J1372">
        <v>853</v>
      </c>
      <c r="K1372">
        <v>0</v>
      </c>
      <c r="L1372">
        <v>665.34</v>
      </c>
    </row>
    <row r="1373" spans="1:12" x14ac:dyDescent="0.25">
      <c r="A1373" t="str">
        <f t="shared" si="285"/>
        <v>89301000</v>
      </c>
      <c r="B1373" t="str">
        <f t="shared" si="291"/>
        <v>06539000</v>
      </c>
      <c r="C1373" t="str">
        <f t="shared" si="288"/>
        <v>06539003</v>
      </c>
      <c r="D1373" t="str">
        <f t="shared" si="289"/>
        <v>813</v>
      </c>
      <c r="E1373" t="str">
        <f t="shared" si="292"/>
        <v>89301172</v>
      </c>
      <c r="F1373" t="str">
        <f t="shared" si="293"/>
        <v>6256150252</v>
      </c>
      <c r="G1373" s="1">
        <v>44610</v>
      </c>
      <c r="H1373" t="str">
        <f t="shared" si="294"/>
        <v>91413</v>
      </c>
      <c r="I1373">
        <v>1</v>
      </c>
      <c r="J1373">
        <v>853</v>
      </c>
      <c r="K1373">
        <v>0</v>
      </c>
      <c r="L1373">
        <v>665.34</v>
      </c>
    </row>
    <row r="1374" spans="1:12" x14ac:dyDescent="0.25">
      <c r="A1374" t="str">
        <f t="shared" si="285"/>
        <v>89301000</v>
      </c>
      <c r="B1374" t="str">
        <f t="shared" si="291"/>
        <v>06539000</v>
      </c>
      <c r="C1374" t="str">
        <f t="shared" si="288"/>
        <v>06539003</v>
      </c>
      <c r="D1374" t="str">
        <f t="shared" si="289"/>
        <v>813</v>
      </c>
      <c r="E1374" t="str">
        <f t="shared" si="292"/>
        <v>89301172</v>
      </c>
      <c r="F1374" t="str">
        <f t="shared" si="293"/>
        <v>6256150252</v>
      </c>
      <c r="G1374" s="1">
        <v>44610</v>
      </c>
      <c r="H1374" t="str">
        <f t="shared" si="294"/>
        <v>91413</v>
      </c>
      <c r="I1374">
        <v>1</v>
      </c>
      <c r="J1374">
        <v>853</v>
      </c>
      <c r="K1374">
        <v>0</v>
      </c>
      <c r="L1374">
        <v>665.34</v>
      </c>
    </row>
    <row r="1375" spans="1:12" x14ac:dyDescent="0.25">
      <c r="A1375" t="str">
        <f t="shared" si="285"/>
        <v>89301000</v>
      </c>
      <c r="B1375" t="str">
        <f t="shared" si="291"/>
        <v>06539000</v>
      </c>
      <c r="C1375" t="str">
        <f>"06539001"</f>
        <v>06539001</v>
      </c>
      <c r="D1375" t="str">
        <f>"801"</f>
        <v>801</v>
      </c>
      <c r="E1375" t="str">
        <f t="shared" si="292"/>
        <v>89301172</v>
      </c>
      <c r="F1375" t="str">
        <f t="shared" ref="F1375:F1421" si="295">"7307055305"</f>
        <v>7307055305</v>
      </c>
      <c r="G1375" s="1">
        <v>44596</v>
      </c>
      <c r="H1375" t="str">
        <f>"81329"</f>
        <v>81329</v>
      </c>
      <c r="I1375">
        <v>1</v>
      </c>
      <c r="J1375">
        <v>16</v>
      </c>
      <c r="K1375">
        <v>0</v>
      </c>
      <c r="L1375">
        <v>12.48</v>
      </c>
    </row>
    <row r="1376" spans="1:12" x14ac:dyDescent="0.25">
      <c r="A1376" t="str">
        <f t="shared" si="285"/>
        <v>89301000</v>
      </c>
      <c r="B1376" t="str">
        <f t="shared" si="291"/>
        <v>06539000</v>
      </c>
      <c r="C1376" t="str">
        <f>"06539001"</f>
        <v>06539001</v>
      </c>
      <c r="D1376" t="str">
        <f>"801"</f>
        <v>801</v>
      </c>
      <c r="E1376" t="str">
        <f t="shared" si="292"/>
        <v>89301172</v>
      </c>
      <c r="F1376" t="str">
        <f t="shared" si="295"/>
        <v>7307055305</v>
      </c>
      <c r="G1376" s="1">
        <v>44596</v>
      </c>
      <c r="H1376" t="str">
        <f>"81331"</f>
        <v>81331</v>
      </c>
      <c r="I1376">
        <v>1</v>
      </c>
      <c r="J1376">
        <v>193</v>
      </c>
      <c r="K1376">
        <v>0</v>
      </c>
      <c r="L1376">
        <v>150.54</v>
      </c>
    </row>
    <row r="1377" spans="1:12" x14ac:dyDescent="0.25">
      <c r="A1377" t="str">
        <f t="shared" si="285"/>
        <v>89301000</v>
      </c>
      <c r="B1377" t="str">
        <f t="shared" si="291"/>
        <v>06539000</v>
      </c>
      <c r="C1377" t="str">
        <f t="shared" ref="C1377:C1384" si="296">"06539002"</f>
        <v>06539002</v>
      </c>
      <c r="D1377" t="str">
        <f t="shared" ref="D1377:D1384" si="297">"802"</f>
        <v>802</v>
      </c>
      <c r="E1377" t="str">
        <f t="shared" si="292"/>
        <v>89301172</v>
      </c>
      <c r="F1377" t="str">
        <f t="shared" si="295"/>
        <v>7307055305</v>
      </c>
      <c r="G1377" s="1">
        <v>44602</v>
      </c>
      <c r="H1377" t="str">
        <f t="shared" ref="H1377:H1384" si="298">"82097"</f>
        <v>82097</v>
      </c>
      <c r="I1377">
        <v>1</v>
      </c>
      <c r="J1377">
        <v>380</v>
      </c>
      <c r="K1377">
        <v>0</v>
      </c>
      <c r="L1377">
        <v>345.8</v>
      </c>
    </row>
    <row r="1378" spans="1:12" x14ac:dyDescent="0.25">
      <c r="A1378" t="str">
        <f t="shared" si="285"/>
        <v>89301000</v>
      </c>
      <c r="B1378" t="str">
        <f t="shared" si="291"/>
        <v>06539000</v>
      </c>
      <c r="C1378" t="str">
        <f t="shared" si="296"/>
        <v>06539002</v>
      </c>
      <c r="D1378" t="str">
        <f t="shared" si="297"/>
        <v>802</v>
      </c>
      <c r="E1378" t="str">
        <f t="shared" si="292"/>
        <v>89301172</v>
      </c>
      <c r="F1378" t="str">
        <f t="shared" si="295"/>
        <v>7307055305</v>
      </c>
      <c r="G1378" s="1">
        <v>44602</v>
      </c>
      <c r="H1378" t="str">
        <f t="shared" si="298"/>
        <v>82097</v>
      </c>
      <c r="I1378">
        <v>1</v>
      </c>
      <c r="J1378">
        <v>380</v>
      </c>
      <c r="K1378">
        <v>0</v>
      </c>
      <c r="L1378">
        <v>345.8</v>
      </c>
    </row>
    <row r="1379" spans="1:12" x14ac:dyDescent="0.25">
      <c r="A1379" t="str">
        <f t="shared" si="285"/>
        <v>89301000</v>
      </c>
      <c r="B1379" t="str">
        <f t="shared" si="291"/>
        <v>06539000</v>
      </c>
      <c r="C1379" t="str">
        <f t="shared" si="296"/>
        <v>06539002</v>
      </c>
      <c r="D1379" t="str">
        <f t="shared" si="297"/>
        <v>802</v>
      </c>
      <c r="E1379" t="str">
        <f t="shared" si="292"/>
        <v>89301172</v>
      </c>
      <c r="F1379" t="str">
        <f t="shared" si="295"/>
        <v>7307055305</v>
      </c>
      <c r="G1379" s="1">
        <v>44602</v>
      </c>
      <c r="H1379" t="str">
        <f t="shared" si="298"/>
        <v>82097</v>
      </c>
      <c r="I1379">
        <v>1</v>
      </c>
      <c r="J1379">
        <v>380</v>
      </c>
      <c r="K1379">
        <v>0</v>
      </c>
      <c r="L1379">
        <v>345.8</v>
      </c>
    </row>
    <row r="1380" spans="1:12" x14ac:dyDescent="0.25">
      <c r="A1380" t="str">
        <f t="shared" si="285"/>
        <v>89301000</v>
      </c>
      <c r="B1380" t="str">
        <f t="shared" si="291"/>
        <v>06539000</v>
      </c>
      <c r="C1380" t="str">
        <f t="shared" si="296"/>
        <v>06539002</v>
      </c>
      <c r="D1380" t="str">
        <f t="shared" si="297"/>
        <v>802</v>
      </c>
      <c r="E1380" t="str">
        <f t="shared" si="292"/>
        <v>89301172</v>
      </c>
      <c r="F1380" t="str">
        <f t="shared" si="295"/>
        <v>7307055305</v>
      </c>
      <c r="G1380" s="1">
        <v>44602</v>
      </c>
      <c r="H1380" t="str">
        <f t="shared" si="298"/>
        <v>82097</v>
      </c>
      <c r="I1380">
        <v>1</v>
      </c>
      <c r="J1380">
        <v>380</v>
      </c>
      <c r="K1380">
        <v>0</v>
      </c>
      <c r="L1380">
        <v>345.8</v>
      </c>
    </row>
    <row r="1381" spans="1:12" x14ac:dyDescent="0.25">
      <c r="A1381" t="str">
        <f t="shared" si="285"/>
        <v>89301000</v>
      </c>
      <c r="B1381" t="str">
        <f t="shared" si="291"/>
        <v>06539000</v>
      </c>
      <c r="C1381" t="str">
        <f t="shared" si="296"/>
        <v>06539002</v>
      </c>
      <c r="D1381" t="str">
        <f t="shared" si="297"/>
        <v>802</v>
      </c>
      <c r="E1381" t="str">
        <f t="shared" si="292"/>
        <v>89301172</v>
      </c>
      <c r="F1381" t="str">
        <f t="shared" si="295"/>
        <v>7307055305</v>
      </c>
      <c r="G1381" s="1">
        <v>44600</v>
      </c>
      <c r="H1381" t="str">
        <f t="shared" si="298"/>
        <v>82097</v>
      </c>
      <c r="I1381">
        <v>1</v>
      </c>
      <c r="J1381">
        <v>380</v>
      </c>
      <c r="K1381">
        <v>0</v>
      </c>
      <c r="L1381">
        <v>345.8</v>
      </c>
    </row>
    <row r="1382" spans="1:12" x14ac:dyDescent="0.25">
      <c r="A1382" t="str">
        <f t="shared" si="285"/>
        <v>89301000</v>
      </c>
      <c r="B1382" t="str">
        <f t="shared" si="291"/>
        <v>06539000</v>
      </c>
      <c r="C1382" t="str">
        <f t="shared" si="296"/>
        <v>06539002</v>
      </c>
      <c r="D1382" t="str">
        <f t="shared" si="297"/>
        <v>802</v>
      </c>
      <c r="E1382" t="str">
        <f t="shared" si="292"/>
        <v>89301172</v>
      </c>
      <c r="F1382" t="str">
        <f t="shared" si="295"/>
        <v>7307055305</v>
      </c>
      <c r="G1382" s="1">
        <v>44600</v>
      </c>
      <c r="H1382" t="str">
        <f t="shared" si="298"/>
        <v>82097</v>
      </c>
      <c r="I1382">
        <v>1</v>
      </c>
      <c r="J1382">
        <v>380</v>
      </c>
      <c r="K1382">
        <v>0</v>
      </c>
      <c r="L1382">
        <v>345.8</v>
      </c>
    </row>
    <row r="1383" spans="1:12" x14ac:dyDescent="0.25">
      <c r="A1383" t="str">
        <f t="shared" si="285"/>
        <v>89301000</v>
      </c>
      <c r="B1383" t="str">
        <f t="shared" si="291"/>
        <v>06539000</v>
      </c>
      <c r="C1383" t="str">
        <f t="shared" si="296"/>
        <v>06539002</v>
      </c>
      <c r="D1383" t="str">
        <f t="shared" si="297"/>
        <v>802</v>
      </c>
      <c r="E1383" t="str">
        <f t="shared" si="292"/>
        <v>89301172</v>
      </c>
      <c r="F1383" t="str">
        <f t="shared" si="295"/>
        <v>7307055305</v>
      </c>
      <c r="G1383" s="1">
        <v>44600</v>
      </c>
      <c r="H1383" t="str">
        <f t="shared" si="298"/>
        <v>82097</v>
      </c>
      <c r="I1383">
        <v>1</v>
      </c>
      <c r="J1383">
        <v>380</v>
      </c>
      <c r="K1383">
        <v>0</v>
      </c>
      <c r="L1383">
        <v>345.8</v>
      </c>
    </row>
    <row r="1384" spans="1:12" x14ac:dyDescent="0.25">
      <c r="A1384" t="str">
        <f t="shared" si="285"/>
        <v>89301000</v>
      </c>
      <c r="B1384" t="str">
        <f t="shared" si="291"/>
        <v>06539000</v>
      </c>
      <c r="C1384" t="str">
        <f t="shared" si="296"/>
        <v>06539002</v>
      </c>
      <c r="D1384" t="str">
        <f t="shared" si="297"/>
        <v>802</v>
      </c>
      <c r="E1384" t="str">
        <f t="shared" si="292"/>
        <v>89301172</v>
      </c>
      <c r="F1384" t="str">
        <f t="shared" si="295"/>
        <v>7307055305</v>
      </c>
      <c r="G1384" s="1">
        <v>44600</v>
      </c>
      <c r="H1384" t="str">
        <f t="shared" si="298"/>
        <v>82097</v>
      </c>
      <c r="I1384">
        <v>1</v>
      </c>
      <c r="J1384">
        <v>380</v>
      </c>
      <c r="K1384">
        <v>0</v>
      </c>
      <c r="L1384">
        <v>345.8</v>
      </c>
    </row>
    <row r="1385" spans="1:12" x14ac:dyDescent="0.25">
      <c r="A1385" t="str">
        <f t="shared" si="285"/>
        <v>89301000</v>
      </c>
      <c r="B1385" t="str">
        <f t="shared" si="291"/>
        <v>06539000</v>
      </c>
      <c r="C1385" t="str">
        <f t="shared" ref="C1385:C1426" si="299">"06539003"</f>
        <v>06539003</v>
      </c>
      <c r="D1385" t="str">
        <f t="shared" ref="D1385:D1426" si="300">"813"</f>
        <v>813</v>
      </c>
      <c r="E1385" t="str">
        <f t="shared" si="292"/>
        <v>89301172</v>
      </c>
      <c r="F1385" t="str">
        <f t="shared" si="295"/>
        <v>7307055305</v>
      </c>
      <c r="G1385" s="1">
        <v>44599</v>
      </c>
      <c r="H1385" t="str">
        <f>"91439"</f>
        <v>91439</v>
      </c>
      <c r="I1385">
        <v>2</v>
      </c>
      <c r="J1385">
        <v>712</v>
      </c>
      <c r="K1385">
        <v>0</v>
      </c>
      <c r="L1385">
        <v>555.36</v>
      </c>
    </row>
    <row r="1386" spans="1:12" x14ac:dyDescent="0.25">
      <c r="A1386" t="str">
        <f t="shared" si="285"/>
        <v>89301000</v>
      </c>
      <c r="B1386" t="str">
        <f t="shared" si="291"/>
        <v>06539000</v>
      </c>
      <c r="C1386" t="str">
        <f t="shared" si="299"/>
        <v>06539003</v>
      </c>
      <c r="D1386" t="str">
        <f t="shared" si="300"/>
        <v>813</v>
      </c>
      <c r="E1386" t="str">
        <f t="shared" si="292"/>
        <v>89301172</v>
      </c>
      <c r="F1386" t="str">
        <f t="shared" si="295"/>
        <v>7307055305</v>
      </c>
      <c r="G1386" s="1">
        <v>44599</v>
      </c>
      <c r="H1386" t="str">
        <f>"91439"</f>
        <v>91439</v>
      </c>
      <c r="I1386">
        <v>1</v>
      </c>
      <c r="J1386">
        <v>356</v>
      </c>
      <c r="K1386">
        <v>0</v>
      </c>
      <c r="L1386">
        <v>277.68</v>
      </c>
    </row>
    <row r="1387" spans="1:12" x14ac:dyDescent="0.25">
      <c r="A1387" t="str">
        <f t="shared" si="285"/>
        <v>89301000</v>
      </c>
      <c r="B1387" t="str">
        <f t="shared" si="291"/>
        <v>06539000</v>
      </c>
      <c r="C1387" t="str">
        <f t="shared" si="299"/>
        <v>06539003</v>
      </c>
      <c r="D1387" t="str">
        <f t="shared" si="300"/>
        <v>813</v>
      </c>
      <c r="E1387" t="str">
        <f t="shared" si="292"/>
        <v>89301172</v>
      </c>
      <c r="F1387" t="str">
        <f t="shared" si="295"/>
        <v>7307055305</v>
      </c>
      <c r="G1387" s="1">
        <v>44599</v>
      </c>
      <c r="H1387" t="str">
        <f>"91439"</f>
        <v>91439</v>
      </c>
      <c r="I1387">
        <v>1</v>
      </c>
      <c r="J1387">
        <v>356</v>
      </c>
      <c r="K1387">
        <v>0</v>
      </c>
      <c r="L1387">
        <v>277.68</v>
      </c>
    </row>
    <row r="1388" spans="1:12" x14ac:dyDescent="0.25">
      <c r="A1388" t="str">
        <f t="shared" si="285"/>
        <v>89301000</v>
      </c>
      <c r="B1388" t="str">
        <f t="shared" si="291"/>
        <v>06539000</v>
      </c>
      <c r="C1388" t="str">
        <f t="shared" si="299"/>
        <v>06539003</v>
      </c>
      <c r="D1388" t="str">
        <f t="shared" si="300"/>
        <v>813</v>
      </c>
      <c r="E1388" t="str">
        <f t="shared" si="292"/>
        <v>89301172</v>
      </c>
      <c r="F1388" t="str">
        <f t="shared" si="295"/>
        <v>7307055305</v>
      </c>
      <c r="G1388" s="1">
        <v>44599</v>
      </c>
      <c r="H1388" t="str">
        <f>"91439"</f>
        <v>91439</v>
      </c>
      <c r="I1388">
        <v>1</v>
      </c>
      <c r="J1388">
        <v>356</v>
      </c>
      <c r="K1388">
        <v>0</v>
      </c>
      <c r="L1388">
        <v>277.68</v>
      </c>
    </row>
    <row r="1389" spans="1:12" x14ac:dyDescent="0.25">
      <c r="A1389" t="str">
        <f t="shared" si="285"/>
        <v>89301000</v>
      </c>
      <c r="B1389" t="str">
        <f t="shared" si="291"/>
        <v>06539000</v>
      </c>
      <c r="C1389" t="str">
        <f t="shared" si="299"/>
        <v>06539003</v>
      </c>
      <c r="D1389" t="str">
        <f t="shared" si="300"/>
        <v>813</v>
      </c>
      <c r="E1389" t="str">
        <f t="shared" si="292"/>
        <v>89301172</v>
      </c>
      <c r="F1389" t="str">
        <f t="shared" si="295"/>
        <v>7307055305</v>
      </c>
      <c r="G1389" s="1">
        <v>44599</v>
      </c>
      <c r="H1389" t="str">
        <f>"91439"</f>
        <v>91439</v>
      </c>
      <c r="I1389">
        <v>1</v>
      </c>
      <c r="J1389">
        <v>356</v>
      </c>
      <c r="K1389">
        <v>0</v>
      </c>
      <c r="L1389">
        <v>277.68</v>
      </c>
    </row>
    <row r="1390" spans="1:12" x14ac:dyDescent="0.25">
      <c r="A1390" t="str">
        <f t="shared" si="285"/>
        <v>89301000</v>
      </c>
      <c r="B1390" t="str">
        <f t="shared" si="291"/>
        <v>06539000</v>
      </c>
      <c r="C1390" t="str">
        <f t="shared" si="299"/>
        <v>06539003</v>
      </c>
      <c r="D1390" t="str">
        <f t="shared" si="300"/>
        <v>813</v>
      </c>
      <c r="E1390" t="str">
        <f t="shared" si="292"/>
        <v>89301172</v>
      </c>
      <c r="F1390" t="str">
        <f t="shared" si="295"/>
        <v>7307055305</v>
      </c>
      <c r="G1390" s="1">
        <v>44601</v>
      </c>
      <c r="H1390" t="str">
        <f t="shared" ref="H1390:H1399" si="301">"91413"</f>
        <v>91413</v>
      </c>
      <c r="I1390">
        <v>1</v>
      </c>
      <c r="J1390">
        <v>853</v>
      </c>
      <c r="K1390">
        <v>0</v>
      </c>
      <c r="L1390">
        <v>665.34</v>
      </c>
    </row>
    <row r="1391" spans="1:12" x14ac:dyDescent="0.25">
      <c r="A1391" t="str">
        <f t="shared" si="285"/>
        <v>89301000</v>
      </c>
      <c r="B1391" t="str">
        <f t="shared" si="291"/>
        <v>06539000</v>
      </c>
      <c r="C1391" t="str">
        <f t="shared" si="299"/>
        <v>06539003</v>
      </c>
      <c r="D1391" t="str">
        <f t="shared" si="300"/>
        <v>813</v>
      </c>
      <c r="E1391" t="str">
        <f t="shared" si="292"/>
        <v>89301172</v>
      </c>
      <c r="F1391" t="str">
        <f t="shared" si="295"/>
        <v>7307055305</v>
      </c>
      <c r="G1391" s="1">
        <v>44601</v>
      </c>
      <c r="H1391" t="str">
        <f t="shared" si="301"/>
        <v>91413</v>
      </c>
      <c r="I1391">
        <v>1</v>
      </c>
      <c r="J1391">
        <v>853</v>
      </c>
      <c r="K1391">
        <v>0</v>
      </c>
      <c r="L1391">
        <v>665.34</v>
      </c>
    </row>
    <row r="1392" spans="1:12" x14ac:dyDescent="0.25">
      <c r="A1392" t="str">
        <f t="shared" si="285"/>
        <v>89301000</v>
      </c>
      <c r="B1392" t="str">
        <f t="shared" si="291"/>
        <v>06539000</v>
      </c>
      <c r="C1392" t="str">
        <f t="shared" si="299"/>
        <v>06539003</v>
      </c>
      <c r="D1392" t="str">
        <f t="shared" si="300"/>
        <v>813</v>
      </c>
      <c r="E1392" t="str">
        <f t="shared" si="292"/>
        <v>89301172</v>
      </c>
      <c r="F1392" t="str">
        <f t="shared" si="295"/>
        <v>7307055305</v>
      </c>
      <c r="G1392" s="1">
        <v>44610</v>
      </c>
      <c r="H1392" t="str">
        <f t="shared" si="301"/>
        <v>91413</v>
      </c>
      <c r="I1392">
        <v>1</v>
      </c>
      <c r="J1392">
        <v>853</v>
      </c>
      <c r="K1392">
        <v>0</v>
      </c>
      <c r="L1392">
        <v>665.34</v>
      </c>
    </row>
    <row r="1393" spans="1:12" x14ac:dyDescent="0.25">
      <c r="A1393" t="str">
        <f t="shared" si="285"/>
        <v>89301000</v>
      </c>
      <c r="B1393" t="str">
        <f t="shared" si="291"/>
        <v>06539000</v>
      </c>
      <c r="C1393" t="str">
        <f t="shared" si="299"/>
        <v>06539003</v>
      </c>
      <c r="D1393" t="str">
        <f t="shared" si="300"/>
        <v>813</v>
      </c>
      <c r="E1393" t="str">
        <f t="shared" si="292"/>
        <v>89301172</v>
      </c>
      <c r="F1393" t="str">
        <f t="shared" si="295"/>
        <v>7307055305</v>
      </c>
      <c r="G1393" s="1">
        <v>44610</v>
      </c>
      <c r="H1393" t="str">
        <f t="shared" si="301"/>
        <v>91413</v>
      </c>
      <c r="I1393">
        <v>1</v>
      </c>
      <c r="J1393">
        <v>853</v>
      </c>
      <c r="K1393">
        <v>0</v>
      </c>
      <c r="L1393">
        <v>665.34</v>
      </c>
    </row>
    <row r="1394" spans="1:12" x14ac:dyDescent="0.25">
      <c r="A1394" t="str">
        <f t="shared" si="285"/>
        <v>89301000</v>
      </c>
      <c r="B1394" t="str">
        <f t="shared" si="291"/>
        <v>06539000</v>
      </c>
      <c r="C1394" t="str">
        <f t="shared" si="299"/>
        <v>06539003</v>
      </c>
      <c r="D1394" t="str">
        <f t="shared" si="300"/>
        <v>813</v>
      </c>
      <c r="E1394" t="str">
        <f t="shared" si="292"/>
        <v>89301172</v>
      </c>
      <c r="F1394" t="str">
        <f t="shared" si="295"/>
        <v>7307055305</v>
      </c>
      <c r="G1394" s="1">
        <v>44610</v>
      </c>
      <c r="H1394" t="str">
        <f t="shared" si="301"/>
        <v>91413</v>
      </c>
      <c r="I1394">
        <v>1</v>
      </c>
      <c r="J1394">
        <v>853</v>
      </c>
      <c r="K1394">
        <v>0</v>
      </c>
      <c r="L1394">
        <v>665.34</v>
      </c>
    </row>
    <row r="1395" spans="1:12" x14ac:dyDescent="0.25">
      <c r="A1395" t="str">
        <f t="shared" si="285"/>
        <v>89301000</v>
      </c>
      <c r="B1395" t="str">
        <f t="shared" si="291"/>
        <v>06539000</v>
      </c>
      <c r="C1395" t="str">
        <f t="shared" si="299"/>
        <v>06539003</v>
      </c>
      <c r="D1395" t="str">
        <f t="shared" si="300"/>
        <v>813</v>
      </c>
      <c r="E1395" t="str">
        <f t="shared" si="292"/>
        <v>89301172</v>
      </c>
      <c r="F1395" t="str">
        <f t="shared" si="295"/>
        <v>7307055305</v>
      </c>
      <c r="G1395" s="1">
        <v>44610</v>
      </c>
      <c r="H1395" t="str">
        <f t="shared" si="301"/>
        <v>91413</v>
      </c>
      <c r="I1395">
        <v>1</v>
      </c>
      <c r="J1395">
        <v>853</v>
      </c>
      <c r="K1395">
        <v>0</v>
      </c>
      <c r="L1395">
        <v>665.34</v>
      </c>
    </row>
    <row r="1396" spans="1:12" x14ac:dyDescent="0.25">
      <c r="A1396" t="str">
        <f t="shared" si="285"/>
        <v>89301000</v>
      </c>
      <c r="B1396" t="str">
        <f t="shared" si="291"/>
        <v>06539000</v>
      </c>
      <c r="C1396" t="str">
        <f t="shared" si="299"/>
        <v>06539003</v>
      </c>
      <c r="D1396" t="str">
        <f t="shared" si="300"/>
        <v>813</v>
      </c>
      <c r="E1396" t="str">
        <f t="shared" si="292"/>
        <v>89301172</v>
      </c>
      <c r="F1396" t="str">
        <f t="shared" si="295"/>
        <v>7307055305</v>
      </c>
      <c r="G1396" s="1">
        <v>44610</v>
      </c>
      <c r="H1396" t="str">
        <f t="shared" si="301"/>
        <v>91413</v>
      </c>
      <c r="I1396">
        <v>1</v>
      </c>
      <c r="J1396">
        <v>853</v>
      </c>
      <c r="K1396">
        <v>0</v>
      </c>
      <c r="L1396">
        <v>665.34</v>
      </c>
    </row>
    <row r="1397" spans="1:12" x14ac:dyDescent="0.25">
      <c r="A1397" t="str">
        <f t="shared" si="285"/>
        <v>89301000</v>
      </c>
      <c r="B1397" t="str">
        <f t="shared" si="291"/>
        <v>06539000</v>
      </c>
      <c r="C1397" t="str">
        <f t="shared" si="299"/>
        <v>06539003</v>
      </c>
      <c r="D1397" t="str">
        <f t="shared" si="300"/>
        <v>813</v>
      </c>
      <c r="E1397" t="str">
        <f t="shared" si="292"/>
        <v>89301172</v>
      </c>
      <c r="F1397" t="str">
        <f t="shared" si="295"/>
        <v>7307055305</v>
      </c>
      <c r="G1397" s="1">
        <v>44610</v>
      </c>
      <c r="H1397" t="str">
        <f t="shared" si="301"/>
        <v>91413</v>
      </c>
      <c r="I1397">
        <v>1</v>
      </c>
      <c r="J1397">
        <v>853</v>
      </c>
      <c r="K1397">
        <v>0</v>
      </c>
      <c r="L1397">
        <v>665.34</v>
      </c>
    </row>
    <row r="1398" spans="1:12" x14ac:dyDescent="0.25">
      <c r="A1398" t="str">
        <f t="shared" si="285"/>
        <v>89301000</v>
      </c>
      <c r="B1398" t="str">
        <f t="shared" si="291"/>
        <v>06539000</v>
      </c>
      <c r="C1398" t="str">
        <f t="shared" si="299"/>
        <v>06539003</v>
      </c>
      <c r="D1398" t="str">
        <f t="shared" si="300"/>
        <v>813</v>
      </c>
      <c r="E1398" t="str">
        <f t="shared" si="292"/>
        <v>89301172</v>
      </c>
      <c r="F1398" t="str">
        <f t="shared" si="295"/>
        <v>7307055305</v>
      </c>
      <c r="G1398" s="1">
        <v>44610</v>
      </c>
      <c r="H1398" t="str">
        <f t="shared" si="301"/>
        <v>91413</v>
      </c>
      <c r="I1398">
        <v>1</v>
      </c>
      <c r="J1398">
        <v>853</v>
      </c>
      <c r="K1398">
        <v>0</v>
      </c>
      <c r="L1398">
        <v>665.34</v>
      </c>
    </row>
    <row r="1399" spans="1:12" x14ac:dyDescent="0.25">
      <c r="A1399" t="str">
        <f t="shared" si="285"/>
        <v>89301000</v>
      </c>
      <c r="B1399" t="str">
        <f t="shared" si="291"/>
        <v>06539000</v>
      </c>
      <c r="C1399" t="str">
        <f t="shared" si="299"/>
        <v>06539003</v>
      </c>
      <c r="D1399" t="str">
        <f t="shared" si="300"/>
        <v>813</v>
      </c>
      <c r="E1399" t="str">
        <f t="shared" si="292"/>
        <v>89301172</v>
      </c>
      <c r="F1399" t="str">
        <f t="shared" si="295"/>
        <v>7307055305</v>
      </c>
      <c r="G1399" s="1">
        <v>44610</v>
      </c>
      <c r="H1399" t="str">
        <f t="shared" si="301"/>
        <v>91413</v>
      </c>
      <c r="I1399">
        <v>1</v>
      </c>
      <c r="J1399">
        <v>853</v>
      </c>
      <c r="K1399">
        <v>0</v>
      </c>
      <c r="L1399">
        <v>665.34</v>
      </c>
    </row>
    <row r="1400" spans="1:12" x14ac:dyDescent="0.25">
      <c r="A1400" t="str">
        <f t="shared" si="285"/>
        <v>89301000</v>
      </c>
      <c r="B1400" t="str">
        <f t="shared" si="291"/>
        <v>06539000</v>
      </c>
      <c r="C1400" t="str">
        <f t="shared" si="299"/>
        <v>06539003</v>
      </c>
      <c r="D1400" t="str">
        <f t="shared" si="300"/>
        <v>813</v>
      </c>
      <c r="E1400" t="str">
        <f t="shared" si="292"/>
        <v>89301172</v>
      </c>
      <c r="F1400" t="str">
        <f t="shared" si="295"/>
        <v>7307055305</v>
      </c>
      <c r="G1400" s="1">
        <v>44600</v>
      </c>
      <c r="H1400" t="str">
        <f t="shared" ref="H1400:H1406" si="302">"91197"</f>
        <v>91197</v>
      </c>
      <c r="I1400">
        <v>1</v>
      </c>
      <c r="J1400">
        <v>1046</v>
      </c>
      <c r="K1400">
        <v>0</v>
      </c>
      <c r="L1400">
        <v>815.88</v>
      </c>
    </row>
    <row r="1401" spans="1:12" x14ac:dyDescent="0.25">
      <c r="A1401" t="str">
        <f t="shared" si="285"/>
        <v>89301000</v>
      </c>
      <c r="B1401" t="str">
        <f t="shared" si="291"/>
        <v>06539000</v>
      </c>
      <c r="C1401" t="str">
        <f t="shared" si="299"/>
        <v>06539003</v>
      </c>
      <c r="D1401" t="str">
        <f t="shared" si="300"/>
        <v>813</v>
      </c>
      <c r="E1401" t="str">
        <f t="shared" si="292"/>
        <v>89301172</v>
      </c>
      <c r="F1401" t="str">
        <f t="shared" si="295"/>
        <v>7307055305</v>
      </c>
      <c r="G1401" s="1">
        <v>44599</v>
      </c>
      <c r="H1401" t="str">
        <f t="shared" si="302"/>
        <v>91197</v>
      </c>
      <c r="I1401">
        <v>1</v>
      </c>
      <c r="J1401">
        <v>1046</v>
      </c>
      <c r="K1401">
        <v>0</v>
      </c>
      <c r="L1401">
        <v>815.88</v>
      </c>
    </row>
    <row r="1402" spans="1:12" x14ac:dyDescent="0.25">
      <c r="A1402" t="str">
        <f t="shared" si="285"/>
        <v>89301000</v>
      </c>
      <c r="B1402" t="str">
        <f t="shared" si="291"/>
        <v>06539000</v>
      </c>
      <c r="C1402" t="str">
        <f t="shared" si="299"/>
        <v>06539003</v>
      </c>
      <c r="D1402" t="str">
        <f t="shared" si="300"/>
        <v>813</v>
      </c>
      <c r="E1402" t="str">
        <f t="shared" si="292"/>
        <v>89301172</v>
      </c>
      <c r="F1402" t="str">
        <f t="shared" si="295"/>
        <v>7307055305</v>
      </c>
      <c r="G1402" s="1">
        <v>44599</v>
      </c>
      <c r="H1402" t="str">
        <f t="shared" si="302"/>
        <v>91197</v>
      </c>
      <c r="I1402">
        <v>1</v>
      </c>
      <c r="J1402">
        <v>1046</v>
      </c>
      <c r="K1402">
        <v>0</v>
      </c>
      <c r="L1402">
        <v>815.88</v>
      </c>
    </row>
    <row r="1403" spans="1:12" x14ac:dyDescent="0.25">
      <c r="A1403" t="str">
        <f t="shared" si="285"/>
        <v>89301000</v>
      </c>
      <c r="B1403" t="str">
        <f t="shared" si="291"/>
        <v>06539000</v>
      </c>
      <c r="C1403" t="str">
        <f t="shared" si="299"/>
        <v>06539003</v>
      </c>
      <c r="D1403" t="str">
        <f t="shared" si="300"/>
        <v>813</v>
      </c>
      <c r="E1403" t="str">
        <f t="shared" si="292"/>
        <v>89301172</v>
      </c>
      <c r="F1403" t="str">
        <f t="shared" si="295"/>
        <v>7307055305</v>
      </c>
      <c r="G1403" s="1">
        <v>44598</v>
      </c>
      <c r="H1403" t="str">
        <f t="shared" si="302"/>
        <v>91197</v>
      </c>
      <c r="I1403">
        <v>1</v>
      </c>
      <c r="J1403">
        <v>1046</v>
      </c>
      <c r="K1403">
        <v>0</v>
      </c>
      <c r="L1403">
        <v>815.88</v>
      </c>
    </row>
    <row r="1404" spans="1:12" x14ac:dyDescent="0.25">
      <c r="A1404" t="str">
        <f t="shared" si="285"/>
        <v>89301000</v>
      </c>
      <c r="B1404" t="str">
        <f t="shared" si="291"/>
        <v>06539000</v>
      </c>
      <c r="C1404" t="str">
        <f t="shared" si="299"/>
        <v>06539003</v>
      </c>
      <c r="D1404" t="str">
        <f t="shared" si="300"/>
        <v>813</v>
      </c>
      <c r="E1404" t="str">
        <f t="shared" si="292"/>
        <v>89301172</v>
      </c>
      <c r="F1404" t="str">
        <f t="shared" si="295"/>
        <v>7307055305</v>
      </c>
      <c r="G1404" s="1">
        <v>44598</v>
      </c>
      <c r="H1404" t="str">
        <f t="shared" si="302"/>
        <v>91197</v>
      </c>
      <c r="I1404">
        <v>1</v>
      </c>
      <c r="J1404">
        <v>1046</v>
      </c>
      <c r="K1404">
        <v>0</v>
      </c>
      <c r="L1404">
        <v>815.88</v>
      </c>
    </row>
    <row r="1405" spans="1:12" x14ac:dyDescent="0.25">
      <c r="A1405" t="str">
        <f t="shared" si="285"/>
        <v>89301000</v>
      </c>
      <c r="B1405" t="str">
        <f t="shared" si="291"/>
        <v>06539000</v>
      </c>
      <c r="C1405" t="str">
        <f t="shared" si="299"/>
        <v>06539003</v>
      </c>
      <c r="D1405" t="str">
        <f t="shared" si="300"/>
        <v>813</v>
      </c>
      <c r="E1405" t="str">
        <f t="shared" si="292"/>
        <v>89301172</v>
      </c>
      <c r="F1405" t="str">
        <f t="shared" si="295"/>
        <v>7307055305</v>
      </c>
      <c r="G1405" s="1">
        <v>44597</v>
      </c>
      <c r="H1405" t="str">
        <f t="shared" si="302"/>
        <v>91197</v>
      </c>
      <c r="I1405">
        <v>1</v>
      </c>
      <c r="J1405">
        <v>1046</v>
      </c>
      <c r="K1405">
        <v>0</v>
      </c>
      <c r="L1405">
        <v>815.88</v>
      </c>
    </row>
    <row r="1406" spans="1:12" x14ac:dyDescent="0.25">
      <c r="A1406" t="str">
        <f t="shared" si="285"/>
        <v>89301000</v>
      </c>
      <c r="B1406" t="str">
        <f t="shared" si="291"/>
        <v>06539000</v>
      </c>
      <c r="C1406" t="str">
        <f t="shared" si="299"/>
        <v>06539003</v>
      </c>
      <c r="D1406" t="str">
        <f t="shared" si="300"/>
        <v>813</v>
      </c>
      <c r="E1406" t="str">
        <f t="shared" si="292"/>
        <v>89301172</v>
      </c>
      <c r="F1406" t="str">
        <f t="shared" si="295"/>
        <v>7307055305</v>
      </c>
      <c r="G1406" s="1">
        <v>44597</v>
      </c>
      <c r="H1406" t="str">
        <f t="shared" si="302"/>
        <v>91197</v>
      </c>
      <c r="I1406">
        <v>1</v>
      </c>
      <c r="J1406">
        <v>1046</v>
      </c>
      <c r="K1406">
        <v>0</v>
      </c>
      <c r="L1406">
        <v>815.88</v>
      </c>
    </row>
    <row r="1407" spans="1:12" x14ac:dyDescent="0.25">
      <c r="A1407" t="str">
        <f t="shared" si="285"/>
        <v>89301000</v>
      </c>
      <c r="B1407" t="str">
        <f t="shared" si="291"/>
        <v>06539000</v>
      </c>
      <c r="C1407" t="str">
        <f t="shared" si="299"/>
        <v>06539003</v>
      </c>
      <c r="D1407" t="str">
        <f t="shared" si="300"/>
        <v>813</v>
      </c>
      <c r="E1407" t="str">
        <f t="shared" si="292"/>
        <v>89301172</v>
      </c>
      <c r="F1407" t="str">
        <f t="shared" si="295"/>
        <v>7307055305</v>
      </c>
      <c r="G1407" s="1">
        <v>44601</v>
      </c>
      <c r="H1407" t="str">
        <f>"91329"</f>
        <v>91329</v>
      </c>
      <c r="I1407">
        <v>2</v>
      </c>
      <c r="J1407">
        <v>428</v>
      </c>
      <c r="K1407">
        <v>0</v>
      </c>
      <c r="L1407">
        <v>333.84</v>
      </c>
    </row>
    <row r="1408" spans="1:12" x14ac:dyDescent="0.25">
      <c r="A1408" t="str">
        <f t="shared" si="285"/>
        <v>89301000</v>
      </c>
      <c r="B1408" t="str">
        <f t="shared" si="291"/>
        <v>06539000</v>
      </c>
      <c r="C1408" t="str">
        <f t="shared" si="299"/>
        <v>06539003</v>
      </c>
      <c r="D1408" t="str">
        <f t="shared" si="300"/>
        <v>813</v>
      </c>
      <c r="E1408" t="str">
        <f t="shared" si="292"/>
        <v>89301172</v>
      </c>
      <c r="F1408" t="str">
        <f t="shared" si="295"/>
        <v>7307055305</v>
      </c>
      <c r="G1408" s="1">
        <v>44601</v>
      </c>
      <c r="H1408" t="str">
        <f>"91329"</f>
        <v>91329</v>
      </c>
      <c r="I1408">
        <v>2</v>
      </c>
      <c r="J1408">
        <v>428</v>
      </c>
      <c r="K1408">
        <v>0</v>
      </c>
      <c r="L1408">
        <v>333.84</v>
      </c>
    </row>
    <row r="1409" spans="1:12" x14ac:dyDescent="0.25">
      <c r="A1409" t="str">
        <f t="shared" si="285"/>
        <v>89301000</v>
      </c>
      <c r="B1409" t="str">
        <f t="shared" si="291"/>
        <v>06539000</v>
      </c>
      <c r="C1409" t="str">
        <f t="shared" si="299"/>
        <v>06539003</v>
      </c>
      <c r="D1409" t="str">
        <f t="shared" si="300"/>
        <v>813</v>
      </c>
      <c r="E1409" t="str">
        <f t="shared" si="292"/>
        <v>89301172</v>
      </c>
      <c r="F1409" t="str">
        <f t="shared" si="295"/>
        <v>7307055305</v>
      </c>
      <c r="G1409" s="1">
        <v>44606</v>
      </c>
      <c r="H1409" t="str">
        <f>"91329"</f>
        <v>91329</v>
      </c>
      <c r="I1409">
        <v>2</v>
      </c>
      <c r="J1409">
        <v>428</v>
      </c>
      <c r="K1409">
        <v>0</v>
      </c>
      <c r="L1409">
        <v>333.84</v>
      </c>
    </row>
    <row r="1410" spans="1:12" x14ac:dyDescent="0.25">
      <c r="A1410" t="str">
        <f t="shared" ref="A1410:A1473" si="303">"89301000"</f>
        <v>89301000</v>
      </c>
      <c r="B1410" t="str">
        <f t="shared" si="291"/>
        <v>06539000</v>
      </c>
      <c r="C1410" t="str">
        <f t="shared" si="299"/>
        <v>06539003</v>
      </c>
      <c r="D1410" t="str">
        <f t="shared" si="300"/>
        <v>813</v>
      </c>
      <c r="E1410" t="str">
        <f t="shared" si="292"/>
        <v>89301172</v>
      </c>
      <c r="F1410" t="str">
        <f t="shared" si="295"/>
        <v>7307055305</v>
      </c>
      <c r="G1410" s="1">
        <v>44606</v>
      </c>
      <c r="H1410" t="str">
        <f>"91329"</f>
        <v>91329</v>
      </c>
      <c r="I1410">
        <v>2</v>
      </c>
      <c r="J1410">
        <v>428</v>
      </c>
      <c r="K1410">
        <v>0</v>
      </c>
      <c r="L1410">
        <v>333.84</v>
      </c>
    </row>
    <row r="1411" spans="1:12" x14ac:dyDescent="0.25">
      <c r="A1411" t="str">
        <f t="shared" si="303"/>
        <v>89301000</v>
      </c>
      <c r="B1411" t="str">
        <f t="shared" si="291"/>
        <v>06539000</v>
      </c>
      <c r="C1411" t="str">
        <f t="shared" si="299"/>
        <v>06539003</v>
      </c>
      <c r="D1411" t="str">
        <f t="shared" si="300"/>
        <v>813</v>
      </c>
      <c r="E1411" t="str">
        <f t="shared" si="292"/>
        <v>89301172</v>
      </c>
      <c r="F1411" t="str">
        <f t="shared" si="295"/>
        <v>7307055305</v>
      </c>
      <c r="G1411" s="1">
        <v>44596</v>
      </c>
      <c r="H1411" t="str">
        <f>"91129"</f>
        <v>91129</v>
      </c>
      <c r="I1411">
        <v>1</v>
      </c>
      <c r="J1411">
        <v>174</v>
      </c>
      <c r="K1411">
        <v>0</v>
      </c>
      <c r="L1411">
        <v>135.72</v>
      </c>
    </row>
    <row r="1412" spans="1:12" x14ac:dyDescent="0.25">
      <c r="A1412" t="str">
        <f t="shared" si="303"/>
        <v>89301000</v>
      </c>
      <c r="B1412" t="str">
        <f t="shared" si="291"/>
        <v>06539000</v>
      </c>
      <c r="C1412" t="str">
        <f t="shared" si="299"/>
        <v>06539003</v>
      </c>
      <c r="D1412" t="str">
        <f t="shared" si="300"/>
        <v>813</v>
      </c>
      <c r="E1412" t="str">
        <f t="shared" si="292"/>
        <v>89301172</v>
      </c>
      <c r="F1412" t="str">
        <f t="shared" si="295"/>
        <v>7307055305</v>
      </c>
      <c r="G1412" s="1">
        <v>44596</v>
      </c>
      <c r="H1412" t="str">
        <f>"91131"</f>
        <v>91131</v>
      </c>
      <c r="I1412">
        <v>1</v>
      </c>
      <c r="J1412">
        <v>171</v>
      </c>
      <c r="K1412">
        <v>0</v>
      </c>
      <c r="L1412">
        <v>133.38</v>
      </c>
    </row>
    <row r="1413" spans="1:12" x14ac:dyDescent="0.25">
      <c r="A1413" t="str">
        <f t="shared" si="303"/>
        <v>89301000</v>
      </c>
      <c r="B1413" t="str">
        <f t="shared" si="291"/>
        <v>06539000</v>
      </c>
      <c r="C1413" t="str">
        <f t="shared" si="299"/>
        <v>06539003</v>
      </c>
      <c r="D1413" t="str">
        <f t="shared" si="300"/>
        <v>813</v>
      </c>
      <c r="E1413" t="str">
        <f t="shared" si="292"/>
        <v>89301172</v>
      </c>
      <c r="F1413" t="str">
        <f t="shared" si="295"/>
        <v>7307055305</v>
      </c>
      <c r="G1413" s="1">
        <v>44596</v>
      </c>
      <c r="H1413" t="str">
        <f>"91133"</f>
        <v>91133</v>
      </c>
      <c r="I1413">
        <v>1</v>
      </c>
      <c r="J1413">
        <v>176</v>
      </c>
      <c r="K1413">
        <v>0</v>
      </c>
      <c r="L1413">
        <v>137.28</v>
      </c>
    </row>
    <row r="1414" spans="1:12" x14ac:dyDescent="0.25">
      <c r="A1414" t="str">
        <f t="shared" si="303"/>
        <v>89301000</v>
      </c>
      <c r="B1414" t="str">
        <f t="shared" si="291"/>
        <v>06539000</v>
      </c>
      <c r="C1414" t="str">
        <f t="shared" si="299"/>
        <v>06539003</v>
      </c>
      <c r="D1414" t="str">
        <f t="shared" si="300"/>
        <v>813</v>
      </c>
      <c r="E1414" t="str">
        <f t="shared" si="292"/>
        <v>89301172</v>
      </c>
      <c r="F1414" t="str">
        <f t="shared" si="295"/>
        <v>7307055305</v>
      </c>
      <c r="G1414" s="1">
        <v>44596</v>
      </c>
      <c r="H1414" t="str">
        <f>"91171"</f>
        <v>91171</v>
      </c>
      <c r="I1414">
        <v>1</v>
      </c>
      <c r="J1414">
        <v>360</v>
      </c>
      <c r="K1414">
        <v>0</v>
      </c>
      <c r="L1414">
        <v>280.8</v>
      </c>
    </row>
    <row r="1415" spans="1:12" x14ac:dyDescent="0.25">
      <c r="A1415" t="str">
        <f t="shared" si="303"/>
        <v>89301000</v>
      </c>
      <c r="B1415" t="str">
        <f t="shared" si="291"/>
        <v>06539000</v>
      </c>
      <c r="C1415" t="str">
        <f t="shared" si="299"/>
        <v>06539003</v>
      </c>
      <c r="D1415" t="str">
        <f t="shared" si="300"/>
        <v>813</v>
      </c>
      <c r="E1415" t="str">
        <f t="shared" si="292"/>
        <v>89301172</v>
      </c>
      <c r="F1415" t="str">
        <f t="shared" si="295"/>
        <v>7307055305</v>
      </c>
      <c r="G1415" s="1">
        <v>44596</v>
      </c>
      <c r="H1415" t="str">
        <f>"91173"</f>
        <v>91173</v>
      </c>
      <c r="I1415">
        <v>1</v>
      </c>
      <c r="J1415">
        <v>335</v>
      </c>
      <c r="K1415">
        <v>0</v>
      </c>
      <c r="L1415">
        <v>261.3</v>
      </c>
    </row>
    <row r="1416" spans="1:12" x14ac:dyDescent="0.25">
      <c r="A1416" t="str">
        <f t="shared" si="303"/>
        <v>89301000</v>
      </c>
      <c r="B1416" t="str">
        <f t="shared" si="291"/>
        <v>06539000</v>
      </c>
      <c r="C1416" t="str">
        <f t="shared" si="299"/>
        <v>06539003</v>
      </c>
      <c r="D1416" t="str">
        <f t="shared" si="300"/>
        <v>813</v>
      </c>
      <c r="E1416" t="str">
        <f t="shared" si="292"/>
        <v>89301172</v>
      </c>
      <c r="F1416" t="str">
        <f t="shared" si="295"/>
        <v>7307055305</v>
      </c>
      <c r="G1416" s="1">
        <v>44596</v>
      </c>
      <c r="H1416" t="str">
        <f>"91175"</f>
        <v>91175</v>
      </c>
      <c r="I1416">
        <v>1</v>
      </c>
      <c r="J1416">
        <v>360</v>
      </c>
      <c r="K1416">
        <v>0</v>
      </c>
      <c r="L1416">
        <v>280.8</v>
      </c>
    </row>
    <row r="1417" spans="1:12" x14ac:dyDescent="0.25">
      <c r="A1417" t="str">
        <f t="shared" si="303"/>
        <v>89301000</v>
      </c>
      <c r="B1417" t="str">
        <f t="shared" si="291"/>
        <v>06539000</v>
      </c>
      <c r="C1417" t="str">
        <f t="shared" si="299"/>
        <v>06539003</v>
      </c>
      <c r="D1417" t="str">
        <f t="shared" si="300"/>
        <v>813</v>
      </c>
      <c r="E1417" t="str">
        <f t="shared" si="292"/>
        <v>89301172</v>
      </c>
      <c r="F1417" t="str">
        <f t="shared" si="295"/>
        <v>7307055305</v>
      </c>
      <c r="G1417" s="1">
        <v>44597</v>
      </c>
      <c r="H1417" t="str">
        <f>"91167"</f>
        <v>91167</v>
      </c>
      <c r="I1417">
        <v>1</v>
      </c>
      <c r="J1417">
        <v>425</v>
      </c>
      <c r="K1417">
        <v>0</v>
      </c>
      <c r="L1417">
        <v>331.5</v>
      </c>
    </row>
    <row r="1418" spans="1:12" x14ac:dyDescent="0.25">
      <c r="A1418" t="str">
        <f t="shared" si="303"/>
        <v>89301000</v>
      </c>
      <c r="B1418" t="str">
        <f t="shared" ref="B1418:B1481" si="304">"06539000"</f>
        <v>06539000</v>
      </c>
      <c r="C1418" t="str">
        <f t="shared" si="299"/>
        <v>06539003</v>
      </c>
      <c r="D1418" t="str">
        <f t="shared" si="300"/>
        <v>813</v>
      </c>
      <c r="E1418" t="str">
        <f t="shared" si="292"/>
        <v>89301172</v>
      </c>
      <c r="F1418" t="str">
        <f t="shared" si="295"/>
        <v>7307055305</v>
      </c>
      <c r="G1418" s="1">
        <v>44597</v>
      </c>
      <c r="H1418" t="str">
        <f>"91169"</f>
        <v>91169</v>
      </c>
      <c r="I1418">
        <v>1</v>
      </c>
      <c r="J1418">
        <v>425</v>
      </c>
      <c r="K1418">
        <v>0</v>
      </c>
      <c r="L1418">
        <v>331.5</v>
      </c>
    </row>
    <row r="1419" spans="1:12" x14ac:dyDescent="0.25">
      <c r="A1419" t="str">
        <f t="shared" si="303"/>
        <v>89301000</v>
      </c>
      <c r="B1419" t="str">
        <f t="shared" si="304"/>
        <v>06539000</v>
      </c>
      <c r="C1419" t="str">
        <f t="shared" si="299"/>
        <v>06539003</v>
      </c>
      <c r="D1419" t="str">
        <f t="shared" si="300"/>
        <v>813</v>
      </c>
      <c r="E1419" t="str">
        <f t="shared" si="292"/>
        <v>89301172</v>
      </c>
      <c r="F1419" t="str">
        <f t="shared" si="295"/>
        <v>7307055305</v>
      </c>
      <c r="G1419" s="1">
        <v>44596</v>
      </c>
      <c r="H1419" t="str">
        <f>"91167"</f>
        <v>91167</v>
      </c>
      <c r="I1419">
        <v>1</v>
      </c>
      <c r="J1419">
        <v>425</v>
      </c>
      <c r="K1419">
        <v>0</v>
      </c>
      <c r="L1419">
        <v>331.5</v>
      </c>
    </row>
    <row r="1420" spans="1:12" x14ac:dyDescent="0.25">
      <c r="A1420" t="str">
        <f t="shared" si="303"/>
        <v>89301000</v>
      </c>
      <c r="B1420" t="str">
        <f t="shared" si="304"/>
        <v>06539000</v>
      </c>
      <c r="C1420" t="str">
        <f t="shared" si="299"/>
        <v>06539003</v>
      </c>
      <c r="D1420" t="str">
        <f t="shared" si="300"/>
        <v>813</v>
      </c>
      <c r="E1420" t="str">
        <f t="shared" si="292"/>
        <v>89301172</v>
      </c>
      <c r="F1420" t="str">
        <f t="shared" si="295"/>
        <v>7307055305</v>
      </c>
      <c r="G1420" s="1">
        <v>44596</v>
      </c>
      <c r="H1420" t="str">
        <f>"91169"</f>
        <v>91169</v>
      </c>
      <c r="I1420">
        <v>1</v>
      </c>
      <c r="J1420">
        <v>425</v>
      </c>
      <c r="K1420">
        <v>0</v>
      </c>
      <c r="L1420">
        <v>331.5</v>
      </c>
    </row>
    <row r="1421" spans="1:12" x14ac:dyDescent="0.25">
      <c r="A1421" t="str">
        <f t="shared" si="303"/>
        <v>89301000</v>
      </c>
      <c r="B1421" t="str">
        <f t="shared" si="304"/>
        <v>06539000</v>
      </c>
      <c r="C1421" t="str">
        <f t="shared" si="299"/>
        <v>06539003</v>
      </c>
      <c r="D1421" t="str">
        <f t="shared" si="300"/>
        <v>813</v>
      </c>
      <c r="E1421" t="str">
        <f t="shared" si="292"/>
        <v>89301172</v>
      </c>
      <c r="F1421" t="str">
        <f t="shared" si="295"/>
        <v>7307055305</v>
      </c>
      <c r="G1421" s="1">
        <v>44596</v>
      </c>
      <c r="H1421" t="str">
        <f>"91475"</f>
        <v>91475</v>
      </c>
      <c r="I1421">
        <v>1</v>
      </c>
      <c r="J1421">
        <v>206</v>
      </c>
      <c r="K1421">
        <v>0</v>
      </c>
      <c r="L1421">
        <v>160.68</v>
      </c>
    </row>
    <row r="1422" spans="1:12" x14ac:dyDescent="0.25">
      <c r="A1422" t="str">
        <f t="shared" si="303"/>
        <v>89301000</v>
      </c>
      <c r="B1422" t="str">
        <f t="shared" si="304"/>
        <v>06539000</v>
      </c>
      <c r="C1422" t="str">
        <f t="shared" si="299"/>
        <v>06539003</v>
      </c>
      <c r="D1422" t="str">
        <f t="shared" si="300"/>
        <v>813</v>
      </c>
      <c r="E1422" t="str">
        <f t="shared" si="292"/>
        <v>89301172</v>
      </c>
      <c r="F1422" t="str">
        <f>"8860150783"</f>
        <v>8860150783</v>
      </c>
      <c r="G1422" s="1">
        <v>44607</v>
      </c>
      <c r="H1422" t="str">
        <f>"91329"</f>
        <v>91329</v>
      </c>
      <c r="I1422">
        <v>2</v>
      </c>
      <c r="J1422">
        <v>428</v>
      </c>
      <c r="K1422">
        <v>0</v>
      </c>
      <c r="L1422">
        <v>333.84</v>
      </c>
    </row>
    <row r="1423" spans="1:12" x14ac:dyDescent="0.25">
      <c r="A1423" t="str">
        <f t="shared" si="303"/>
        <v>89301000</v>
      </c>
      <c r="B1423" t="str">
        <f t="shared" si="304"/>
        <v>06539000</v>
      </c>
      <c r="C1423" t="str">
        <f t="shared" si="299"/>
        <v>06539003</v>
      </c>
      <c r="D1423" t="str">
        <f t="shared" si="300"/>
        <v>813</v>
      </c>
      <c r="E1423" t="str">
        <f t="shared" si="292"/>
        <v>89301172</v>
      </c>
      <c r="F1423" t="str">
        <f>"8860150783"</f>
        <v>8860150783</v>
      </c>
      <c r="G1423" s="1">
        <v>44607</v>
      </c>
      <c r="H1423" t="str">
        <f>"91329"</f>
        <v>91329</v>
      </c>
      <c r="I1423">
        <v>2</v>
      </c>
      <c r="J1423">
        <v>428</v>
      </c>
      <c r="K1423">
        <v>0</v>
      </c>
      <c r="L1423">
        <v>333.84</v>
      </c>
    </row>
    <row r="1424" spans="1:12" x14ac:dyDescent="0.25">
      <c r="A1424" t="str">
        <f t="shared" si="303"/>
        <v>89301000</v>
      </c>
      <c r="B1424" t="str">
        <f t="shared" si="304"/>
        <v>06539000</v>
      </c>
      <c r="C1424" t="str">
        <f t="shared" si="299"/>
        <v>06539003</v>
      </c>
      <c r="D1424" t="str">
        <f t="shared" si="300"/>
        <v>813</v>
      </c>
      <c r="E1424" t="str">
        <f t="shared" si="292"/>
        <v>89301172</v>
      </c>
      <c r="F1424" t="str">
        <f>"8860150783"</f>
        <v>8860150783</v>
      </c>
      <c r="G1424" s="1">
        <v>44607</v>
      </c>
      <c r="H1424" t="str">
        <f>"91329"</f>
        <v>91329</v>
      </c>
      <c r="I1424">
        <v>2</v>
      </c>
      <c r="J1424">
        <v>428</v>
      </c>
      <c r="K1424">
        <v>0</v>
      </c>
      <c r="L1424">
        <v>333.84</v>
      </c>
    </row>
    <row r="1425" spans="1:12" x14ac:dyDescent="0.25">
      <c r="A1425" t="str">
        <f t="shared" si="303"/>
        <v>89301000</v>
      </c>
      <c r="B1425" t="str">
        <f t="shared" si="304"/>
        <v>06539000</v>
      </c>
      <c r="C1425" t="str">
        <f t="shared" si="299"/>
        <v>06539003</v>
      </c>
      <c r="D1425" t="str">
        <f t="shared" si="300"/>
        <v>813</v>
      </c>
      <c r="E1425" t="str">
        <f t="shared" si="292"/>
        <v>89301172</v>
      </c>
      <c r="F1425" t="str">
        <f>"8860150783"</f>
        <v>8860150783</v>
      </c>
      <c r="G1425" s="1">
        <v>44607</v>
      </c>
      <c r="H1425" t="str">
        <f>"91329"</f>
        <v>91329</v>
      </c>
      <c r="I1425">
        <v>2</v>
      </c>
      <c r="J1425">
        <v>428</v>
      </c>
      <c r="K1425">
        <v>0</v>
      </c>
      <c r="L1425">
        <v>333.84</v>
      </c>
    </row>
    <row r="1426" spans="1:12" x14ac:dyDescent="0.25">
      <c r="A1426" t="str">
        <f t="shared" si="303"/>
        <v>89301000</v>
      </c>
      <c r="B1426" t="str">
        <f t="shared" si="304"/>
        <v>06539000</v>
      </c>
      <c r="C1426" t="str">
        <f t="shared" si="299"/>
        <v>06539003</v>
      </c>
      <c r="D1426" t="str">
        <f t="shared" si="300"/>
        <v>813</v>
      </c>
      <c r="E1426" t="str">
        <f t="shared" si="292"/>
        <v>89301172</v>
      </c>
      <c r="F1426" t="str">
        <f>"8860150783"</f>
        <v>8860150783</v>
      </c>
      <c r="G1426" s="1">
        <v>44607</v>
      </c>
      <c r="H1426" t="str">
        <f>"91475"</f>
        <v>91475</v>
      </c>
      <c r="I1426">
        <v>1</v>
      </c>
      <c r="J1426">
        <v>206</v>
      </c>
      <c r="K1426">
        <v>0</v>
      </c>
      <c r="L1426">
        <v>160.68</v>
      </c>
    </row>
    <row r="1427" spans="1:12" x14ac:dyDescent="0.25">
      <c r="A1427" t="str">
        <f t="shared" si="303"/>
        <v>89301000</v>
      </c>
      <c r="B1427" t="str">
        <f t="shared" si="304"/>
        <v>06539000</v>
      </c>
      <c r="C1427" t="str">
        <f>"06539001"</f>
        <v>06539001</v>
      </c>
      <c r="D1427" t="str">
        <f>"801"</f>
        <v>801</v>
      </c>
      <c r="E1427" t="str">
        <f t="shared" si="292"/>
        <v>89301172</v>
      </c>
      <c r="F1427" t="str">
        <f t="shared" ref="F1427:F1458" si="305">"7702025309"</f>
        <v>7702025309</v>
      </c>
      <c r="G1427" s="1">
        <v>44596</v>
      </c>
      <c r="H1427" t="str">
        <f>"81329"</f>
        <v>81329</v>
      </c>
      <c r="I1427">
        <v>1</v>
      </c>
      <c r="J1427">
        <v>16</v>
      </c>
      <c r="K1427">
        <v>0</v>
      </c>
      <c r="L1427">
        <v>12.48</v>
      </c>
    </row>
    <row r="1428" spans="1:12" x14ac:dyDescent="0.25">
      <c r="A1428" t="str">
        <f t="shared" si="303"/>
        <v>89301000</v>
      </c>
      <c r="B1428" t="str">
        <f t="shared" si="304"/>
        <v>06539000</v>
      </c>
      <c r="C1428" t="str">
        <f>"06539001"</f>
        <v>06539001</v>
      </c>
      <c r="D1428" t="str">
        <f>"801"</f>
        <v>801</v>
      </c>
      <c r="E1428" t="str">
        <f t="shared" si="292"/>
        <v>89301172</v>
      </c>
      <c r="F1428" t="str">
        <f t="shared" si="305"/>
        <v>7702025309</v>
      </c>
      <c r="G1428" s="1">
        <v>44596</v>
      </c>
      <c r="H1428" t="str">
        <f>"81331"</f>
        <v>81331</v>
      </c>
      <c r="I1428">
        <v>1</v>
      </c>
      <c r="J1428">
        <v>193</v>
      </c>
      <c r="K1428">
        <v>0</v>
      </c>
      <c r="L1428">
        <v>150.54</v>
      </c>
    </row>
    <row r="1429" spans="1:12" x14ac:dyDescent="0.25">
      <c r="A1429" t="str">
        <f t="shared" si="303"/>
        <v>89301000</v>
      </c>
      <c r="B1429" t="str">
        <f t="shared" si="304"/>
        <v>06539000</v>
      </c>
      <c r="C1429" t="str">
        <f t="shared" ref="C1429:C1457" si="306">"06539002"</f>
        <v>06539002</v>
      </c>
      <c r="D1429" t="str">
        <f t="shared" ref="D1429:D1457" si="307">"802"</f>
        <v>802</v>
      </c>
      <c r="E1429" t="str">
        <f t="shared" si="292"/>
        <v>89301172</v>
      </c>
      <c r="F1429" t="str">
        <f t="shared" si="305"/>
        <v>7702025309</v>
      </c>
      <c r="G1429" s="1">
        <v>44602</v>
      </c>
      <c r="H1429" t="str">
        <f t="shared" ref="H1429:H1448" si="308">"82097"</f>
        <v>82097</v>
      </c>
      <c r="I1429">
        <v>1</v>
      </c>
      <c r="J1429">
        <v>380</v>
      </c>
      <c r="K1429">
        <v>0</v>
      </c>
      <c r="L1429">
        <v>345.8</v>
      </c>
    </row>
    <row r="1430" spans="1:12" x14ac:dyDescent="0.25">
      <c r="A1430" t="str">
        <f t="shared" si="303"/>
        <v>89301000</v>
      </c>
      <c r="B1430" t="str">
        <f t="shared" si="304"/>
        <v>06539000</v>
      </c>
      <c r="C1430" t="str">
        <f t="shared" si="306"/>
        <v>06539002</v>
      </c>
      <c r="D1430" t="str">
        <f t="shared" si="307"/>
        <v>802</v>
      </c>
      <c r="E1430" t="str">
        <f t="shared" si="292"/>
        <v>89301172</v>
      </c>
      <c r="F1430" t="str">
        <f t="shared" si="305"/>
        <v>7702025309</v>
      </c>
      <c r="G1430" s="1">
        <v>44602</v>
      </c>
      <c r="H1430" t="str">
        <f t="shared" si="308"/>
        <v>82097</v>
      </c>
      <c r="I1430">
        <v>1</v>
      </c>
      <c r="J1430">
        <v>380</v>
      </c>
      <c r="K1430">
        <v>0</v>
      </c>
      <c r="L1430">
        <v>345.8</v>
      </c>
    </row>
    <row r="1431" spans="1:12" x14ac:dyDescent="0.25">
      <c r="A1431" t="str">
        <f t="shared" si="303"/>
        <v>89301000</v>
      </c>
      <c r="B1431" t="str">
        <f t="shared" si="304"/>
        <v>06539000</v>
      </c>
      <c r="C1431" t="str">
        <f t="shared" si="306"/>
        <v>06539002</v>
      </c>
      <c r="D1431" t="str">
        <f t="shared" si="307"/>
        <v>802</v>
      </c>
      <c r="E1431" t="str">
        <f t="shared" ref="E1431:E1494" si="309">"89301172"</f>
        <v>89301172</v>
      </c>
      <c r="F1431" t="str">
        <f t="shared" si="305"/>
        <v>7702025309</v>
      </c>
      <c r="G1431" s="1">
        <v>44602</v>
      </c>
      <c r="H1431" t="str">
        <f t="shared" si="308"/>
        <v>82097</v>
      </c>
      <c r="I1431">
        <v>1</v>
      </c>
      <c r="J1431">
        <v>380</v>
      </c>
      <c r="K1431">
        <v>0</v>
      </c>
      <c r="L1431">
        <v>345.8</v>
      </c>
    </row>
    <row r="1432" spans="1:12" x14ac:dyDescent="0.25">
      <c r="A1432" t="str">
        <f t="shared" si="303"/>
        <v>89301000</v>
      </c>
      <c r="B1432" t="str">
        <f t="shared" si="304"/>
        <v>06539000</v>
      </c>
      <c r="C1432" t="str">
        <f t="shared" si="306"/>
        <v>06539002</v>
      </c>
      <c r="D1432" t="str">
        <f t="shared" si="307"/>
        <v>802</v>
      </c>
      <c r="E1432" t="str">
        <f t="shared" si="309"/>
        <v>89301172</v>
      </c>
      <c r="F1432" t="str">
        <f t="shared" si="305"/>
        <v>7702025309</v>
      </c>
      <c r="G1432" s="1">
        <v>44602</v>
      </c>
      <c r="H1432" t="str">
        <f t="shared" si="308"/>
        <v>82097</v>
      </c>
      <c r="I1432">
        <v>1</v>
      </c>
      <c r="J1432">
        <v>380</v>
      </c>
      <c r="K1432">
        <v>0</v>
      </c>
      <c r="L1432">
        <v>345.8</v>
      </c>
    </row>
    <row r="1433" spans="1:12" x14ac:dyDescent="0.25">
      <c r="A1433" t="str">
        <f t="shared" si="303"/>
        <v>89301000</v>
      </c>
      <c r="B1433" t="str">
        <f t="shared" si="304"/>
        <v>06539000</v>
      </c>
      <c r="C1433" t="str">
        <f t="shared" si="306"/>
        <v>06539002</v>
      </c>
      <c r="D1433" t="str">
        <f t="shared" si="307"/>
        <v>802</v>
      </c>
      <c r="E1433" t="str">
        <f t="shared" si="309"/>
        <v>89301172</v>
      </c>
      <c r="F1433" t="str">
        <f t="shared" si="305"/>
        <v>7702025309</v>
      </c>
      <c r="G1433" s="1">
        <v>44602</v>
      </c>
      <c r="H1433" t="str">
        <f t="shared" si="308"/>
        <v>82097</v>
      </c>
      <c r="I1433">
        <v>1</v>
      </c>
      <c r="J1433">
        <v>380</v>
      </c>
      <c r="K1433">
        <v>0</v>
      </c>
      <c r="L1433">
        <v>345.8</v>
      </c>
    </row>
    <row r="1434" spans="1:12" x14ac:dyDescent="0.25">
      <c r="A1434" t="str">
        <f t="shared" si="303"/>
        <v>89301000</v>
      </c>
      <c r="B1434" t="str">
        <f t="shared" si="304"/>
        <v>06539000</v>
      </c>
      <c r="C1434" t="str">
        <f t="shared" si="306"/>
        <v>06539002</v>
      </c>
      <c r="D1434" t="str">
        <f t="shared" si="307"/>
        <v>802</v>
      </c>
      <c r="E1434" t="str">
        <f t="shared" si="309"/>
        <v>89301172</v>
      </c>
      <c r="F1434" t="str">
        <f t="shared" si="305"/>
        <v>7702025309</v>
      </c>
      <c r="G1434" s="1">
        <v>44602</v>
      </c>
      <c r="H1434" t="str">
        <f t="shared" si="308"/>
        <v>82097</v>
      </c>
      <c r="I1434">
        <v>1</v>
      </c>
      <c r="J1434">
        <v>380</v>
      </c>
      <c r="K1434">
        <v>0</v>
      </c>
      <c r="L1434">
        <v>345.8</v>
      </c>
    </row>
    <row r="1435" spans="1:12" x14ac:dyDescent="0.25">
      <c r="A1435" t="str">
        <f t="shared" si="303"/>
        <v>89301000</v>
      </c>
      <c r="B1435" t="str">
        <f t="shared" si="304"/>
        <v>06539000</v>
      </c>
      <c r="C1435" t="str">
        <f t="shared" si="306"/>
        <v>06539002</v>
      </c>
      <c r="D1435" t="str">
        <f t="shared" si="307"/>
        <v>802</v>
      </c>
      <c r="E1435" t="str">
        <f t="shared" si="309"/>
        <v>89301172</v>
      </c>
      <c r="F1435" t="str">
        <f t="shared" si="305"/>
        <v>7702025309</v>
      </c>
      <c r="G1435" s="1">
        <v>44602</v>
      </c>
      <c r="H1435" t="str">
        <f t="shared" si="308"/>
        <v>82097</v>
      </c>
      <c r="I1435">
        <v>1</v>
      </c>
      <c r="J1435">
        <v>380</v>
      </c>
      <c r="K1435">
        <v>0</v>
      </c>
      <c r="L1435">
        <v>345.8</v>
      </c>
    </row>
    <row r="1436" spans="1:12" x14ac:dyDescent="0.25">
      <c r="A1436" t="str">
        <f t="shared" si="303"/>
        <v>89301000</v>
      </c>
      <c r="B1436" t="str">
        <f t="shared" si="304"/>
        <v>06539000</v>
      </c>
      <c r="C1436" t="str">
        <f t="shared" si="306"/>
        <v>06539002</v>
      </c>
      <c r="D1436" t="str">
        <f t="shared" si="307"/>
        <v>802</v>
      </c>
      <c r="E1436" t="str">
        <f t="shared" si="309"/>
        <v>89301172</v>
      </c>
      <c r="F1436" t="str">
        <f t="shared" si="305"/>
        <v>7702025309</v>
      </c>
      <c r="G1436" s="1">
        <v>44602</v>
      </c>
      <c r="H1436" t="str">
        <f t="shared" si="308"/>
        <v>82097</v>
      </c>
      <c r="I1436">
        <v>1</v>
      </c>
      <c r="J1436">
        <v>380</v>
      </c>
      <c r="K1436">
        <v>0</v>
      </c>
      <c r="L1436">
        <v>345.8</v>
      </c>
    </row>
    <row r="1437" spans="1:12" x14ac:dyDescent="0.25">
      <c r="A1437" t="str">
        <f t="shared" si="303"/>
        <v>89301000</v>
      </c>
      <c r="B1437" t="str">
        <f t="shared" si="304"/>
        <v>06539000</v>
      </c>
      <c r="C1437" t="str">
        <f t="shared" si="306"/>
        <v>06539002</v>
      </c>
      <c r="D1437" t="str">
        <f t="shared" si="307"/>
        <v>802</v>
      </c>
      <c r="E1437" t="str">
        <f t="shared" si="309"/>
        <v>89301172</v>
      </c>
      <c r="F1437" t="str">
        <f t="shared" si="305"/>
        <v>7702025309</v>
      </c>
      <c r="G1437" s="1">
        <v>44602</v>
      </c>
      <c r="H1437" t="str">
        <f t="shared" si="308"/>
        <v>82097</v>
      </c>
      <c r="I1437">
        <v>1</v>
      </c>
      <c r="J1437">
        <v>380</v>
      </c>
      <c r="K1437">
        <v>0</v>
      </c>
      <c r="L1437">
        <v>345.8</v>
      </c>
    </row>
    <row r="1438" spans="1:12" x14ac:dyDescent="0.25">
      <c r="A1438" t="str">
        <f t="shared" si="303"/>
        <v>89301000</v>
      </c>
      <c r="B1438" t="str">
        <f t="shared" si="304"/>
        <v>06539000</v>
      </c>
      <c r="C1438" t="str">
        <f t="shared" si="306"/>
        <v>06539002</v>
      </c>
      <c r="D1438" t="str">
        <f t="shared" si="307"/>
        <v>802</v>
      </c>
      <c r="E1438" t="str">
        <f t="shared" si="309"/>
        <v>89301172</v>
      </c>
      <c r="F1438" t="str">
        <f t="shared" si="305"/>
        <v>7702025309</v>
      </c>
      <c r="G1438" s="1">
        <v>44602</v>
      </c>
      <c r="H1438" t="str">
        <f t="shared" si="308"/>
        <v>82097</v>
      </c>
      <c r="I1438">
        <v>1</v>
      </c>
      <c r="J1438">
        <v>380</v>
      </c>
      <c r="K1438">
        <v>0</v>
      </c>
      <c r="L1438">
        <v>345.8</v>
      </c>
    </row>
    <row r="1439" spans="1:12" x14ac:dyDescent="0.25">
      <c r="A1439" t="str">
        <f t="shared" si="303"/>
        <v>89301000</v>
      </c>
      <c r="B1439" t="str">
        <f t="shared" si="304"/>
        <v>06539000</v>
      </c>
      <c r="C1439" t="str">
        <f t="shared" si="306"/>
        <v>06539002</v>
      </c>
      <c r="D1439" t="str">
        <f t="shared" si="307"/>
        <v>802</v>
      </c>
      <c r="E1439" t="str">
        <f t="shared" si="309"/>
        <v>89301172</v>
      </c>
      <c r="F1439" t="str">
        <f t="shared" si="305"/>
        <v>7702025309</v>
      </c>
      <c r="G1439" s="1">
        <v>44602</v>
      </c>
      <c r="H1439" t="str">
        <f t="shared" si="308"/>
        <v>82097</v>
      </c>
      <c r="I1439">
        <v>1</v>
      </c>
      <c r="J1439">
        <v>380</v>
      </c>
      <c r="K1439">
        <v>0</v>
      </c>
      <c r="L1439">
        <v>345.8</v>
      </c>
    </row>
    <row r="1440" spans="1:12" x14ac:dyDescent="0.25">
      <c r="A1440" t="str">
        <f t="shared" si="303"/>
        <v>89301000</v>
      </c>
      <c r="B1440" t="str">
        <f t="shared" si="304"/>
        <v>06539000</v>
      </c>
      <c r="C1440" t="str">
        <f t="shared" si="306"/>
        <v>06539002</v>
      </c>
      <c r="D1440" t="str">
        <f t="shared" si="307"/>
        <v>802</v>
      </c>
      <c r="E1440" t="str">
        <f t="shared" si="309"/>
        <v>89301172</v>
      </c>
      <c r="F1440" t="str">
        <f t="shared" si="305"/>
        <v>7702025309</v>
      </c>
      <c r="G1440" s="1">
        <v>44602</v>
      </c>
      <c r="H1440" t="str">
        <f t="shared" si="308"/>
        <v>82097</v>
      </c>
      <c r="I1440">
        <v>1</v>
      </c>
      <c r="J1440">
        <v>380</v>
      </c>
      <c r="K1440">
        <v>0</v>
      </c>
      <c r="L1440">
        <v>345.8</v>
      </c>
    </row>
    <row r="1441" spans="1:12" x14ac:dyDescent="0.25">
      <c r="A1441" t="str">
        <f t="shared" si="303"/>
        <v>89301000</v>
      </c>
      <c r="B1441" t="str">
        <f t="shared" si="304"/>
        <v>06539000</v>
      </c>
      <c r="C1441" t="str">
        <f t="shared" si="306"/>
        <v>06539002</v>
      </c>
      <c r="D1441" t="str">
        <f t="shared" si="307"/>
        <v>802</v>
      </c>
      <c r="E1441" t="str">
        <f t="shared" si="309"/>
        <v>89301172</v>
      </c>
      <c r="F1441" t="str">
        <f t="shared" si="305"/>
        <v>7702025309</v>
      </c>
      <c r="G1441" s="1">
        <v>44602</v>
      </c>
      <c r="H1441" t="str">
        <f t="shared" si="308"/>
        <v>82097</v>
      </c>
      <c r="I1441">
        <v>1</v>
      </c>
      <c r="J1441">
        <v>380</v>
      </c>
      <c r="K1441">
        <v>0</v>
      </c>
      <c r="L1441">
        <v>345.8</v>
      </c>
    </row>
    <row r="1442" spans="1:12" x14ac:dyDescent="0.25">
      <c r="A1442" t="str">
        <f t="shared" si="303"/>
        <v>89301000</v>
      </c>
      <c r="B1442" t="str">
        <f t="shared" si="304"/>
        <v>06539000</v>
      </c>
      <c r="C1442" t="str">
        <f t="shared" si="306"/>
        <v>06539002</v>
      </c>
      <c r="D1442" t="str">
        <f t="shared" si="307"/>
        <v>802</v>
      </c>
      <c r="E1442" t="str">
        <f t="shared" si="309"/>
        <v>89301172</v>
      </c>
      <c r="F1442" t="str">
        <f t="shared" si="305"/>
        <v>7702025309</v>
      </c>
      <c r="G1442" s="1">
        <v>44602</v>
      </c>
      <c r="H1442" t="str">
        <f t="shared" si="308"/>
        <v>82097</v>
      </c>
      <c r="I1442">
        <v>1</v>
      </c>
      <c r="J1442">
        <v>380</v>
      </c>
      <c r="K1442">
        <v>0</v>
      </c>
      <c r="L1442">
        <v>345.8</v>
      </c>
    </row>
    <row r="1443" spans="1:12" x14ac:dyDescent="0.25">
      <c r="A1443" t="str">
        <f t="shared" si="303"/>
        <v>89301000</v>
      </c>
      <c r="B1443" t="str">
        <f t="shared" si="304"/>
        <v>06539000</v>
      </c>
      <c r="C1443" t="str">
        <f t="shared" si="306"/>
        <v>06539002</v>
      </c>
      <c r="D1443" t="str">
        <f t="shared" si="307"/>
        <v>802</v>
      </c>
      <c r="E1443" t="str">
        <f t="shared" si="309"/>
        <v>89301172</v>
      </c>
      <c r="F1443" t="str">
        <f t="shared" si="305"/>
        <v>7702025309</v>
      </c>
      <c r="G1443" s="1">
        <v>44602</v>
      </c>
      <c r="H1443" t="str">
        <f t="shared" si="308"/>
        <v>82097</v>
      </c>
      <c r="I1443">
        <v>1</v>
      </c>
      <c r="J1443">
        <v>380</v>
      </c>
      <c r="K1443">
        <v>0</v>
      </c>
      <c r="L1443">
        <v>345.8</v>
      </c>
    </row>
    <row r="1444" spans="1:12" x14ac:dyDescent="0.25">
      <c r="A1444" t="str">
        <f t="shared" si="303"/>
        <v>89301000</v>
      </c>
      <c r="B1444" t="str">
        <f t="shared" si="304"/>
        <v>06539000</v>
      </c>
      <c r="C1444" t="str">
        <f t="shared" si="306"/>
        <v>06539002</v>
      </c>
      <c r="D1444" t="str">
        <f t="shared" si="307"/>
        <v>802</v>
      </c>
      <c r="E1444" t="str">
        <f t="shared" si="309"/>
        <v>89301172</v>
      </c>
      <c r="F1444" t="str">
        <f t="shared" si="305"/>
        <v>7702025309</v>
      </c>
      <c r="G1444" s="1">
        <v>44602</v>
      </c>
      <c r="H1444" t="str">
        <f t="shared" si="308"/>
        <v>82097</v>
      </c>
      <c r="I1444">
        <v>1</v>
      </c>
      <c r="J1444">
        <v>380</v>
      </c>
      <c r="K1444">
        <v>0</v>
      </c>
      <c r="L1444">
        <v>345.8</v>
      </c>
    </row>
    <row r="1445" spans="1:12" x14ac:dyDescent="0.25">
      <c r="A1445" t="str">
        <f t="shared" si="303"/>
        <v>89301000</v>
      </c>
      <c r="B1445" t="str">
        <f t="shared" si="304"/>
        <v>06539000</v>
      </c>
      <c r="C1445" t="str">
        <f t="shared" si="306"/>
        <v>06539002</v>
      </c>
      <c r="D1445" t="str">
        <f t="shared" si="307"/>
        <v>802</v>
      </c>
      <c r="E1445" t="str">
        <f t="shared" si="309"/>
        <v>89301172</v>
      </c>
      <c r="F1445" t="str">
        <f t="shared" si="305"/>
        <v>7702025309</v>
      </c>
      <c r="G1445" s="1">
        <v>44602</v>
      </c>
      <c r="H1445" t="str">
        <f t="shared" si="308"/>
        <v>82097</v>
      </c>
      <c r="I1445">
        <v>1</v>
      </c>
      <c r="J1445">
        <v>380</v>
      </c>
      <c r="K1445">
        <v>0</v>
      </c>
      <c r="L1445">
        <v>345.8</v>
      </c>
    </row>
    <row r="1446" spans="1:12" x14ac:dyDescent="0.25">
      <c r="A1446" t="str">
        <f t="shared" si="303"/>
        <v>89301000</v>
      </c>
      <c r="B1446" t="str">
        <f t="shared" si="304"/>
        <v>06539000</v>
      </c>
      <c r="C1446" t="str">
        <f t="shared" si="306"/>
        <v>06539002</v>
      </c>
      <c r="D1446" t="str">
        <f t="shared" si="307"/>
        <v>802</v>
      </c>
      <c r="E1446" t="str">
        <f t="shared" si="309"/>
        <v>89301172</v>
      </c>
      <c r="F1446" t="str">
        <f t="shared" si="305"/>
        <v>7702025309</v>
      </c>
      <c r="G1446" s="1">
        <v>44602</v>
      </c>
      <c r="H1446" t="str">
        <f t="shared" si="308"/>
        <v>82097</v>
      </c>
      <c r="I1446">
        <v>1</v>
      </c>
      <c r="J1446">
        <v>380</v>
      </c>
      <c r="K1446">
        <v>0</v>
      </c>
      <c r="L1446">
        <v>345.8</v>
      </c>
    </row>
    <row r="1447" spans="1:12" x14ac:dyDescent="0.25">
      <c r="A1447" t="str">
        <f t="shared" si="303"/>
        <v>89301000</v>
      </c>
      <c r="B1447" t="str">
        <f t="shared" si="304"/>
        <v>06539000</v>
      </c>
      <c r="C1447" t="str">
        <f t="shared" si="306"/>
        <v>06539002</v>
      </c>
      <c r="D1447" t="str">
        <f t="shared" si="307"/>
        <v>802</v>
      </c>
      <c r="E1447" t="str">
        <f t="shared" si="309"/>
        <v>89301172</v>
      </c>
      <c r="F1447" t="str">
        <f t="shared" si="305"/>
        <v>7702025309</v>
      </c>
      <c r="G1447" s="1">
        <v>44602</v>
      </c>
      <c r="H1447" t="str">
        <f t="shared" si="308"/>
        <v>82097</v>
      </c>
      <c r="I1447">
        <v>1</v>
      </c>
      <c r="J1447">
        <v>380</v>
      </c>
      <c r="K1447">
        <v>0</v>
      </c>
      <c r="L1447">
        <v>345.8</v>
      </c>
    </row>
    <row r="1448" spans="1:12" x14ac:dyDescent="0.25">
      <c r="A1448" t="str">
        <f t="shared" si="303"/>
        <v>89301000</v>
      </c>
      <c r="B1448" t="str">
        <f t="shared" si="304"/>
        <v>06539000</v>
      </c>
      <c r="C1448" t="str">
        <f t="shared" si="306"/>
        <v>06539002</v>
      </c>
      <c r="D1448" t="str">
        <f t="shared" si="307"/>
        <v>802</v>
      </c>
      <c r="E1448" t="str">
        <f t="shared" si="309"/>
        <v>89301172</v>
      </c>
      <c r="F1448" t="str">
        <f t="shared" si="305"/>
        <v>7702025309</v>
      </c>
      <c r="G1448" s="1">
        <v>44597</v>
      </c>
      <c r="H1448" t="str">
        <f t="shared" si="308"/>
        <v>82097</v>
      </c>
      <c r="I1448">
        <v>1</v>
      </c>
      <c r="J1448">
        <v>380</v>
      </c>
      <c r="K1448">
        <v>0</v>
      </c>
      <c r="L1448">
        <v>345.8</v>
      </c>
    </row>
    <row r="1449" spans="1:12" x14ac:dyDescent="0.25">
      <c r="A1449" t="str">
        <f t="shared" si="303"/>
        <v>89301000</v>
      </c>
      <c r="B1449" t="str">
        <f t="shared" si="304"/>
        <v>06539000</v>
      </c>
      <c r="C1449" t="str">
        <f t="shared" si="306"/>
        <v>06539002</v>
      </c>
      <c r="D1449" t="str">
        <f t="shared" si="307"/>
        <v>802</v>
      </c>
      <c r="E1449" t="str">
        <f t="shared" si="309"/>
        <v>89301172</v>
      </c>
      <c r="F1449" t="str">
        <f t="shared" si="305"/>
        <v>7702025309</v>
      </c>
      <c r="G1449" s="1">
        <v>44596</v>
      </c>
      <c r="H1449" t="str">
        <f>"82077"</f>
        <v>82077</v>
      </c>
      <c r="I1449">
        <v>1</v>
      </c>
      <c r="J1449">
        <v>350</v>
      </c>
      <c r="K1449">
        <v>0</v>
      </c>
      <c r="L1449">
        <v>318.5</v>
      </c>
    </row>
    <row r="1450" spans="1:12" x14ac:dyDescent="0.25">
      <c r="A1450" t="str">
        <f t="shared" si="303"/>
        <v>89301000</v>
      </c>
      <c r="B1450" t="str">
        <f t="shared" si="304"/>
        <v>06539000</v>
      </c>
      <c r="C1450" t="str">
        <f t="shared" si="306"/>
        <v>06539002</v>
      </c>
      <c r="D1450" t="str">
        <f t="shared" si="307"/>
        <v>802</v>
      </c>
      <c r="E1450" t="str">
        <f t="shared" si="309"/>
        <v>89301172</v>
      </c>
      <c r="F1450" t="str">
        <f t="shared" si="305"/>
        <v>7702025309</v>
      </c>
      <c r="G1450" s="1">
        <v>44597</v>
      </c>
      <c r="H1450" t="str">
        <f t="shared" ref="H1450:H1457" si="310">"82097"</f>
        <v>82097</v>
      </c>
      <c r="I1450">
        <v>1</v>
      </c>
      <c r="J1450">
        <v>380</v>
      </c>
      <c r="K1450">
        <v>0</v>
      </c>
      <c r="L1450">
        <v>345.8</v>
      </c>
    </row>
    <row r="1451" spans="1:12" x14ac:dyDescent="0.25">
      <c r="A1451" t="str">
        <f t="shared" si="303"/>
        <v>89301000</v>
      </c>
      <c r="B1451" t="str">
        <f t="shared" si="304"/>
        <v>06539000</v>
      </c>
      <c r="C1451" t="str">
        <f t="shared" si="306"/>
        <v>06539002</v>
      </c>
      <c r="D1451" t="str">
        <f t="shared" si="307"/>
        <v>802</v>
      </c>
      <c r="E1451" t="str">
        <f t="shared" si="309"/>
        <v>89301172</v>
      </c>
      <c r="F1451" t="str">
        <f t="shared" si="305"/>
        <v>7702025309</v>
      </c>
      <c r="G1451" s="1">
        <v>44597</v>
      </c>
      <c r="H1451" t="str">
        <f t="shared" si="310"/>
        <v>82097</v>
      </c>
      <c r="I1451">
        <v>1</v>
      </c>
      <c r="J1451">
        <v>380</v>
      </c>
      <c r="K1451">
        <v>0</v>
      </c>
      <c r="L1451">
        <v>345.8</v>
      </c>
    </row>
    <row r="1452" spans="1:12" x14ac:dyDescent="0.25">
      <c r="A1452" t="str">
        <f t="shared" si="303"/>
        <v>89301000</v>
      </c>
      <c r="B1452" t="str">
        <f t="shared" si="304"/>
        <v>06539000</v>
      </c>
      <c r="C1452" t="str">
        <f t="shared" si="306"/>
        <v>06539002</v>
      </c>
      <c r="D1452" t="str">
        <f t="shared" si="307"/>
        <v>802</v>
      </c>
      <c r="E1452" t="str">
        <f t="shared" si="309"/>
        <v>89301172</v>
      </c>
      <c r="F1452" t="str">
        <f t="shared" si="305"/>
        <v>7702025309</v>
      </c>
      <c r="G1452" s="1">
        <v>44597</v>
      </c>
      <c r="H1452" t="str">
        <f t="shared" si="310"/>
        <v>82097</v>
      </c>
      <c r="I1452">
        <v>1</v>
      </c>
      <c r="J1452">
        <v>380</v>
      </c>
      <c r="K1452">
        <v>0</v>
      </c>
      <c r="L1452">
        <v>345.8</v>
      </c>
    </row>
    <row r="1453" spans="1:12" x14ac:dyDescent="0.25">
      <c r="A1453" t="str">
        <f t="shared" si="303"/>
        <v>89301000</v>
      </c>
      <c r="B1453" t="str">
        <f t="shared" si="304"/>
        <v>06539000</v>
      </c>
      <c r="C1453" t="str">
        <f t="shared" si="306"/>
        <v>06539002</v>
      </c>
      <c r="D1453" t="str">
        <f t="shared" si="307"/>
        <v>802</v>
      </c>
      <c r="E1453" t="str">
        <f t="shared" si="309"/>
        <v>89301172</v>
      </c>
      <c r="F1453" t="str">
        <f t="shared" si="305"/>
        <v>7702025309</v>
      </c>
      <c r="G1453" s="1">
        <v>44597</v>
      </c>
      <c r="H1453" t="str">
        <f t="shared" si="310"/>
        <v>82097</v>
      </c>
      <c r="I1453">
        <v>1</v>
      </c>
      <c r="J1453">
        <v>380</v>
      </c>
      <c r="K1453">
        <v>0</v>
      </c>
      <c r="L1453">
        <v>345.8</v>
      </c>
    </row>
    <row r="1454" spans="1:12" x14ac:dyDescent="0.25">
      <c r="A1454" t="str">
        <f t="shared" si="303"/>
        <v>89301000</v>
      </c>
      <c r="B1454" t="str">
        <f t="shared" si="304"/>
        <v>06539000</v>
      </c>
      <c r="C1454" t="str">
        <f t="shared" si="306"/>
        <v>06539002</v>
      </c>
      <c r="D1454" t="str">
        <f t="shared" si="307"/>
        <v>802</v>
      </c>
      <c r="E1454" t="str">
        <f t="shared" si="309"/>
        <v>89301172</v>
      </c>
      <c r="F1454" t="str">
        <f t="shared" si="305"/>
        <v>7702025309</v>
      </c>
      <c r="G1454" s="1">
        <v>44597</v>
      </c>
      <c r="H1454" t="str">
        <f t="shared" si="310"/>
        <v>82097</v>
      </c>
      <c r="I1454">
        <v>1</v>
      </c>
      <c r="J1454">
        <v>380</v>
      </c>
      <c r="K1454">
        <v>0</v>
      </c>
      <c r="L1454">
        <v>345.8</v>
      </c>
    </row>
    <row r="1455" spans="1:12" x14ac:dyDescent="0.25">
      <c r="A1455" t="str">
        <f t="shared" si="303"/>
        <v>89301000</v>
      </c>
      <c r="B1455" t="str">
        <f t="shared" si="304"/>
        <v>06539000</v>
      </c>
      <c r="C1455" t="str">
        <f t="shared" si="306"/>
        <v>06539002</v>
      </c>
      <c r="D1455" t="str">
        <f t="shared" si="307"/>
        <v>802</v>
      </c>
      <c r="E1455" t="str">
        <f t="shared" si="309"/>
        <v>89301172</v>
      </c>
      <c r="F1455" t="str">
        <f t="shared" si="305"/>
        <v>7702025309</v>
      </c>
      <c r="G1455" s="1">
        <v>44597</v>
      </c>
      <c r="H1455" t="str">
        <f t="shared" si="310"/>
        <v>82097</v>
      </c>
      <c r="I1455">
        <v>1</v>
      </c>
      <c r="J1455">
        <v>380</v>
      </c>
      <c r="K1455">
        <v>0</v>
      </c>
      <c r="L1455">
        <v>345.8</v>
      </c>
    </row>
    <row r="1456" spans="1:12" x14ac:dyDescent="0.25">
      <c r="A1456" t="str">
        <f t="shared" si="303"/>
        <v>89301000</v>
      </c>
      <c r="B1456" t="str">
        <f t="shared" si="304"/>
        <v>06539000</v>
      </c>
      <c r="C1456" t="str">
        <f t="shared" si="306"/>
        <v>06539002</v>
      </c>
      <c r="D1456" t="str">
        <f t="shared" si="307"/>
        <v>802</v>
      </c>
      <c r="E1456" t="str">
        <f t="shared" si="309"/>
        <v>89301172</v>
      </c>
      <c r="F1456" t="str">
        <f t="shared" si="305"/>
        <v>7702025309</v>
      </c>
      <c r="G1456" s="1">
        <v>44597</v>
      </c>
      <c r="H1456" t="str">
        <f t="shared" si="310"/>
        <v>82097</v>
      </c>
      <c r="I1456">
        <v>1</v>
      </c>
      <c r="J1456">
        <v>380</v>
      </c>
      <c r="K1456">
        <v>0</v>
      </c>
      <c r="L1456">
        <v>345.8</v>
      </c>
    </row>
    <row r="1457" spans="1:12" x14ac:dyDescent="0.25">
      <c r="A1457" t="str">
        <f t="shared" si="303"/>
        <v>89301000</v>
      </c>
      <c r="B1457" t="str">
        <f t="shared" si="304"/>
        <v>06539000</v>
      </c>
      <c r="C1457" t="str">
        <f t="shared" si="306"/>
        <v>06539002</v>
      </c>
      <c r="D1457" t="str">
        <f t="shared" si="307"/>
        <v>802</v>
      </c>
      <c r="E1457" t="str">
        <f t="shared" si="309"/>
        <v>89301172</v>
      </c>
      <c r="F1457" t="str">
        <f t="shared" si="305"/>
        <v>7702025309</v>
      </c>
      <c r="G1457" s="1">
        <v>44597</v>
      </c>
      <c r="H1457" t="str">
        <f t="shared" si="310"/>
        <v>82097</v>
      </c>
      <c r="I1457">
        <v>1</v>
      </c>
      <c r="J1457">
        <v>380</v>
      </c>
      <c r="K1457">
        <v>0</v>
      </c>
      <c r="L1457">
        <v>345.8</v>
      </c>
    </row>
    <row r="1458" spans="1:12" x14ac:dyDescent="0.25">
      <c r="A1458" t="str">
        <f t="shared" si="303"/>
        <v>89301000</v>
      </c>
      <c r="B1458" t="str">
        <f t="shared" si="304"/>
        <v>06539000</v>
      </c>
      <c r="C1458" t="str">
        <f t="shared" ref="C1458:C1489" si="311">"06539003"</f>
        <v>06539003</v>
      </c>
      <c r="D1458" t="str">
        <f t="shared" ref="D1458:D1489" si="312">"813"</f>
        <v>813</v>
      </c>
      <c r="E1458" t="str">
        <f t="shared" si="309"/>
        <v>89301172</v>
      </c>
      <c r="F1458" t="str">
        <f t="shared" si="305"/>
        <v>7702025309</v>
      </c>
      <c r="G1458" s="1">
        <v>44599</v>
      </c>
      <c r="H1458" t="str">
        <f>"91439"</f>
        <v>91439</v>
      </c>
      <c r="I1458">
        <v>1</v>
      </c>
      <c r="J1458">
        <v>356</v>
      </c>
      <c r="K1458">
        <v>0</v>
      </c>
      <c r="L1458">
        <v>277.68</v>
      </c>
    </row>
    <row r="1459" spans="1:12" x14ac:dyDescent="0.25">
      <c r="A1459" t="str">
        <f t="shared" si="303"/>
        <v>89301000</v>
      </c>
      <c r="B1459" t="str">
        <f t="shared" si="304"/>
        <v>06539000</v>
      </c>
      <c r="C1459" t="str">
        <f t="shared" si="311"/>
        <v>06539003</v>
      </c>
      <c r="D1459" t="str">
        <f t="shared" si="312"/>
        <v>813</v>
      </c>
      <c r="E1459" t="str">
        <f t="shared" si="309"/>
        <v>89301172</v>
      </c>
      <c r="F1459" t="str">
        <f t="shared" ref="F1459:F1490" si="313">"7702025309"</f>
        <v>7702025309</v>
      </c>
      <c r="G1459" s="1">
        <v>44599</v>
      </c>
      <c r="H1459" t="str">
        <f>"91439"</f>
        <v>91439</v>
      </c>
      <c r="I1459">
        <v>1</v>
      </c>
      <c r="J1459">
        <v>356</v>
      </c>
      <c r="K1459">
        <v>0</v>
      </c>
      <c r="L1459">
        <v>277.68</v>
      </c>
    </row>
    <row r="1460" spans="1:12" x14ac:dyDescent="0.25">
      <c r="A1460" t="str">
        <f t="shared" si="303"/>
        <v>89301000</v>
      </c>
      <c r="B1460" t="str">
        <f t="shared" si="304"/>
        <v>06539000</v>
      </c>
      <c r="C1460" t="str">
        <f t="shared" si="311"/>
        <v>06539003</v>
      </c>
      <c r="D1460" t="str">
        <f t="shared" si="312"/>
        <v>813</v>
      </c>
      <c r="E1460" t="str">
        <f t="shared" si="309"/>
        <v>89301172</v>
      </c>
      <c r="F1460" t="str">
        <f t="shared" si="313"/>
        <v>7702025309</v>
      </c>
      <c r="G1460" s="1">
        <v>44599</v>
      </c>
      <c r="H1460" t="str">
        <f>"91439"</f>
        <v>91439</v>
      </c>
      <c r="I1460">
        <v>1</v>
      </c>
      <c r="J1460">
        <v>356</v>
      </c>
      <c r="K1460">
        <v>0</v>
      </c>
      <c r="L1460">
        <v>277.68</v>
      </c>
    </row>
    <row r="1461" spans="1:12" x14ac:dyDescent="0.25">
      <c r="A1461" t="str">
        <f t="shared" si="303"/>
        <v>89301000</v>
      </c>
      <c r="B1461" t="str">
        <f t="shared" si="304"/>
        <v>06539000</v>
      </c>
      <c r="C1461" t="str">
        <f t="shared" si="311"/>
        <v>06539003</v>
      </c>
      <c r="D1461" t="str">
        <f t="shared" si="312"/>
        <v>813</v>
      </c>
      <c r="E1461" t="str">
        <f t="shared" si="309"/>
        <v>89301172</v>
      </c>
      <c r="F1461" t="str">
        <f t="shared" si="313"/>
        <v>7702025309</v>
      </c>
      <c r="G1461" s="1">
        <v>44599</v>
      </c>
      <c r="H1461" t="str">
        <f>"91439"</f>
        <v>91439</v>
      </c>
      <c r="I1461">
        <v>1</v>
      </c>
      <c r="J1461">
        <v>356</v>
      </c>
      <c r="K1461">
        <v>0</v>
      </c>
      <c r="L1461">
        <v>277.68</v>
      </c>
    </row>
    <row r="1462" spans="1:12" x14ac:dyDescent="0.25">
      <c r="A1462" t="str">
        <f t="shared" si="303"/>
        <v>89301000</v>
      </c>
      <c r="B1462" t="str">
        <f t="shared" si="304"/>
        <v>06539000</v>
      </c>
      <c r="C1462" t="str">
        <f t="shared" si="311"/>
        <v>06539003</v>
      </c>
      <c r="D1462" t="str">
        <f t="shared" si="312"/>
        <v>813</v>
      </c>
      <c r="E1462" t="str">
        <f t="shared" si="309"/>
        <v>89301172</v>
      </c>
      <c r="F1462" t="str">
        <f t="shared" si="313"/>
        <v>7702025309</v>
      </c>
      <c r="G1462" s="1">
        <v>44599</v>
      </c>
      <c r="H1462" t="str">
        <f>"91439"</f>
        <v>91439</v>
      </c>
      <c r="I1462">
        <v>2</v>
      </c>
      <c r="J1462">
        <v>712</v>
      </c>
      <c r="K1462">
        <v>0</v>
      </c>
      <c r="L1462">
        <v>555.36</v>
      </c>
    </row>
    <row r="1463" spans="1:12" x14ac:dyDescent="0.25">
      <c r="A1463" t="str">
        <f t="shared" si="303"/>
        <v>89301000</v>
      </c>
      <c r="B1463" t="str">
        <f t="shared" si="304"/>
        <v>06539000</v>
      </c>
      <c r="C1463" t="str">
        <f t="shared" si="311"/>
        <v>06539003</v>
      </c>
      <c r="D1463" t="str">
        <f t="shared" si="312"/>
        <v>813</v>
      </c>
      <c r="E1463" t="str">
        <f t="shared" si="309"/>
        <v>89301172</v>
      </c>
      <c r="F1463" t="str">
        <f t="shared" si="313"/>
        <v>7702025309</v>
      </c>
      <c r="G1463" s="1">
        <v>44601</v>
      </c>
      <c r="H1463" t="str">
        <f t="shared" ref="H1463:H1472" si="314">"91413"</f>
        <v>91413</v>
      </c>
      <c r="I1463">
        <v>1</v>
      </c>
      <c r="J1463">
        <v>853</v>
      </c>
      <c r="K1463">
        <v>0</v>
      </c>
      <c r="L1463">
        <v>665.34</v>
      </c>
    </row>
    <row r="1464" spans="1:12" x14ac:dyDescent="0.25">
      <c r="A1464" t="str">
        <f t="shared" si="303"/>
        <v>89301000</v>
      </c>
      <c r="B1464" t="str">
        <f t="shared" si="304"/>
        <v>06539000</v>
      </c>
      <c r="C1464" t="str">
        <f t="shared" si="311"/>
        <v>06539003</v>
      </c>
      <c r="D1464" t="str">
        <f t="shared" si="312"/>
        <v>813</v>
      </c>
      <c r="E1464" t="str">
        <f t="shared" si="309"/>
        <v>89301172</v>
      </c>
      <c r="F1464" t="str">
        <f t="shared" si="313"/>
        <v>7702025309</v>
      </c>
      <c r="G1464" s="1">
        <v>44601</v>
      </c>
      <c r="H1464" t="str">
        <f t="shared" si="314"/>
        <v>91413</v>
      </c>
      <c r="I1464">
        <v>1</v>
      </c>
      <c r="J1464">
        <v>853</v>
      </c>
      <c r="K1464">
        <v>0</v>
      </c>
      <c r="L1464">
        <v>665.34</v>
      </c>
    </row>
    <row r="1465" spans="1:12" x14ac:dyDescent="0.25">
      <c r="A1465" t="str">
        <f t="shared" si="303"/>
        <v>89301000</v>
      </c>
      <c r="B1465" t="str">
        <f t="shared" si="304"/>
        <v>06539000</v>
      </c>
      <c r="C1465" t="str">
        <f t="shared" si="311"/>
        <v>06539003</v>
      </c>
      <c r="D1465" t="str">
        <f t="shared" si="312"/>
        <v>813</v>
      </c>
      <c r="E1465" t="str">
        <f t="shared" si="309"/>
        <v>89301172</v>
      </c>
      <c r="F1465" t="str">
        <f t="shared" si="313"/>
        <v>7702025309</v>
      </c>
      <c r="G1465" s="1">
        <v>44610</v>
      </c>
      <c r="H1465" t="str">
        <f t="shared" si="314"/>
        <v>91413</v>
      </c>
      <c r="I1465">
        <v>1</v>
      </c>
      <c r="J1465">
        <v>853</v>
      </c>
      <c r="K1465">
        <v>0</v>
      </c>
      <c r="L1465">
        <v>665.34</v>
      </c>
    </row>
    <row r="1466" spans="1:12" x14ac:dyDescent="0.25">
      <c r="A1466" t="str">
        <f t="shared" si="303"/>
        <v>89301000</v>
      </c>
      <c r="B1466" t="str">
        <f t="shared" si="304"/>
        <v>06539000</v>
      </c>
      <c r="C1466" t="str">
        <f t="shared" si="311"/>
        <v>06539003</v>
      </c>
      <c r="D1466" t="str">
        <f t="shared" si="312"/>
        <v>813</v>
      </c>
      <c r="E1466" t="str">
        <f t="shared" si="309"/>
        <v>89301172</v>
      </c>
      <c r="F1466" t="str">
        <f t="shared" si="313"/>
        <v>7702025309</v>
      </c>
      <c r="G1466" s="1">
        <v>44610</v>
      </c>
      <c r="H1466" t="str">
        <f t="shared" si="314"/>
        <v>91413</v>
      </c>
      <c r="I1466">
        <v>1</v>
      </c>
      <c r="J1466">
        <v>853</v>
      </c>
      <c r="K1466">
        <v>0</v>
      </c>
      <c r="L1466">
        <v>665.34</v>
      </c>
    </row>
    <row r="1467" spans="1:12" x14ac:dyDescent="0.25">
      <c r="A1467" t="str">
        <f t="shared" si="303"/>
        <v>89301000</v>
      </c>
      <c r="B1467" t="str">
        <f t="shared" si="304"/>
        <v>06539000</v>
      </c>
      <c r="C1467" t="str">
        <f t="shared" si="311"/>
        <v>06539003</v>
      </c>
      <c r="D1467" t="str">
        <f t="shared" si="312"/>
        <v>813</v>
      </c>
      <c r="E1467" t="str">
        <f t="shared" si="309"/>
        <v>89301172</v>
      </c>
      <c r="F1467" t="str">
        <f t="shared" si="313"/>
        <v>7702025309</v>
      </c>
      <c r="G1467" s="1">
        <v>44610</v>
      </c>
      <c r="H1467" t="str">
        <f t="shared" si="314"/>
        <v>91413</v>
      </c>
      <c r="I1467">
        <v>1</v>
      </c>
      <c r="J1467">
        <v>853</v>
      </c>
      <c r="K1467">
        <v>0</v>
      </c>
      <c r="L1467">
        <v>665.34</v>
      </c>
    </row>
    <row r="1468" spans="1:12" x14ac:dyDescent="0.25">
      <c r="A1468" t="str">
        <f t="shared" si="303"/>
        <v>89301000</v>
      </c>
      <c r="B1468" t="str">
        <f t="shared" si="304"/>
        <v>06539000</v>
      </c>
      <c r="C1468" t="str">
        <f t="shared" si="311"/>
        <v>06539003</v>
      </c>
      <c r="D1468" t="str">
        <f t="shared" si="312"/>
        <v>813</v>
      </c>
      <c r="E1468" t="str">
        <f t="shared" si="309"/>
        <v>89301172</v>
      </c>
      <c r="F1468" t="str">
        <f t="shared" si="313"/>
        <v>7702025309</v>
      </c>
      <c r="G1468" s="1">
        <v>44610</v>
      </c>
      <c r="H1468" t="str">
        <f t="shared" si="314"/>
        <v>91413</v>
      </c>
      <c r="I1468">
        <v>1</v>
      </c>
      <c r="J1468">
        <v>853</v>
      </c>
      <c r="K1468">
        <v>0</v>
      </c>
      <c r="L1468">
        <v>665.34</v>
      </c>
    </row>
    <row r="1469" spans="1:12" x14ac:dyDescent="0.25">
      <c r="A1469" t="str">
        <f t="shared" si="303"/>
        <v>89301000</v>
      </c>
      <c r="B1469" t="str">
        <f t="shared" si="304"/>
        <v>06539000</v>
      </c>
      <c r="C1469" t="str">
        <f t="shared" si="311"/>
        <v>06539003</v>
      </c>
      <c r="D1469" t="str">
        <f t="shared" si="312"/>
        <v>813</v>
      </c>
      <c r="E1469" t="str">
        <f t="shared" si="309"/>
        <v>89301172</v>
      </c>
      <c r="F1469" t="str">
        <f t="shared" si="313"/>
        <v>7702025309</v>
      </c>
      <c r="G1469" s="1">
        <v>44610</v>
      </c>
      <c r="H1469" t="str">
        <f t="shared" si="314"/>
        <v>91413</v>
      </c>
      <c r="I1469">
        <v>1</v>
      </c>
      <c r="J1469">
        <v>853</v>
      </c>
      <c r="K1469">
        <v>0</v>
      </c>
      <c r="L1469">
        <v>665.34</v>
      </c>
    </row>
    <row r="1470" spans="1:12" x14ac:dyDescent="0.25">
      <c r="A1470" t="str">
        <f t="shared" si="303"/>
        <v>89301000</v>
      </c>
      <c r="B1470" t="str">
        <f t="shared" si="304"/>
        <v>06539000</v>
      </c>
      <c r="C1470" t="str">
        <f t="shared" si="311"/>
        <v>06539003</v>
      </c>
      <c r="D1470" t="str">
        <f t="shared" si="312"/>
        <v>813</v>
      </c>
      <c r="E1470" t="str">
        <f t="shared" si="309"/>
        <v>89301172</v>
      </c>
      <c r="F1470" t="str">
        <f t="shared" si="313"/>
        <v>7702025309</v>
      </c>
      <c r="G1470" s="1">
        <v>44610</v>
      </c>
      <c r="H1470" t="str">
        <f t="shared" si="314"/>
        <v>91413</v>
      </c>
      <c r="I1470">
        <v>1</v>
      </c>
      <c r="J1470">
        <v>853</v>
      </c>
      <c r="K1470">
        <v>0</v>
      </c>
      <c r="L1470">
        <v>665.34</v>
      </c>
    </row>
    <row r="1471" spans="1:12" x14ac:dyDescent="0.25">
      <c r="A1471" t="str">
        <f t="shared" si="303"/>
        <v>89301000</v>
      </c>
      <c r="B1471" t="str">
        <f t="shared" si="304"/>
        <v>06539000</v>
      </c>
      <c r="C1471" t="str">
        <f t="shared" si="311"/>
        <v>06539003</v>
      </c>
      <c r="D1471" t="str">
        <f t="shared" si="312"/>
        <v>813</v>
      </c>
      <c r="E1471" t="str">
        <f t="shared" si="309"/>
        <v>89301172</v>
      </c>
      <c r="F1471" t="str">
        <f t="shared" si="313"/>
        <v>7702025309</v>
      </c>
      <c r="G1471" s="1">
        <v>44610</v>
      </c>
      <c r="H1471" t="str">
        <f t="shared" si="314"/>
        <v>91413</v>
      </c>
      <c r="I1471">
        <v>1</v>
      </c>
      <c r="J1471">
        <v>853</v>
      </c>
      <c r="K1471">
        <v>0</v>
      </c>
      <c r="L1471">
        <v>665.34</v>
      </c>
    </row>
    <row r="1472" spans="1:12" x14ac:dyDescent="0.25">
      <c r="A1472" t="str">
        <f t="shared" si="303"/>
        <v>89301000</v>
      </c>
      <c r="B1472" t="str">
        <f t="shared" si="304"/>
        <v>06539000</v>
      </c>
      <c r="C1472" t="str">
        <f t="shared" si="311"/>
        <v>06539003</v>
      </c>
      <c r="D1472" t="str">
        <f t="shared" si="312"/>
        <v>813</v>
      </c>
      <c r="E1472" t="str">
        <f t="shared" si="309"/>
        <v>89301172</v>
      </c>
      <c r="F1472" t="str">
        <f t="shared" si="313"/>
        <v>7702025309</v>
      </c>
      <c r="G1472" s="1">
        <v>44610</v>
      </c>
      <c r="H1472" t="str">
        <f t="shared" si="314"/>
        <v>91413</v>
      </c>
      <c r="I1472">
        <v>1</v>
      </c>
      <c r="J1472">
        <v>853</v>
      </c>
      <c r="K1472">
        <v>0</v>
      </c>
      <c r="L1472">
        <v>665.34</v>
      </c>
    </row>
    <row r="1473" spans="1:12" x14ac:dyDescent="0.25">
      <c r="A1473" t="str">
        <f t="shared" si="303"/>
        <v>89301000</v>
      </c>
      <c r="B1473" t="str">
        <f t="shared" si="304"/>
        <v>06539000</v>
      </c>
      <c r="C1473" t="str">
        <f t="shared" si="311"/>
        <v>06539003</v>
      </c>
      <c r="D1473" t="str">
        <f t="shared" si="312"/>
        <v>813</v>
      </c>
      <c r="E1473" t="str">
        <f t="shared" si="309"/>
        <v>89301172</v>
      </c>
      <c r="F1473" t="str">
        <f t="shared" si="313"/>
        <v>7702025309</v>
      </c>
      <c r="G1473" s="1">
        <v>44600</v>
      </c>
      <c r="H1473" t="str">
        <f t="shared" ref="H1473:H1479" si="315">"91197"</f>
        <v>91197</v>
      </c>
      <c r="I1473">
        <v>1</v>
      </c>
      <c r="J1473">
        <v>1046</v>
      </c>
      <c r="K1473">
        <v>0</v>
      </c>
      <c r="L1473">
        <v>815.88</v>
      </c>
    </row>
    <row r="1474" spans="1:12" x14ac:dyDescent="0.25">
      <c r="A1474" t="str">
        <f t="shared" ref="A1474:A1537" si="316">"89301000"</f>
        <v>89301000</v>
      </c>
      <c r="B1474" t="str">
        <f t="shared" si="304"/>
        <v>06539000</v>
      </c>
      <c r="C1474" t="str">
        <f t="shared" si="311"/>
        <v>06539003</v>
      </c>
      <c r="D1474" t="str">
        <f t="shared" si="312"/>
        <v>813</v>
      </c>
      <c r="E1474" t="str">
        <f t="shared" si="309"/>
        <v>89301172</v>
      </c>
      <c r="F1474" t="str">
        <f t="shared" si="313"/>
        <v>7702025309</v>
      </c>
      <c r="G1474" s="1">
        <v>44599</v>
      </c>
      <c r="H1474" t="str">
        <f t="shared" si="315"/>
        <v>91197</v>
      </c>
      <c r="I1474">
        <v>1</v>
      </c>
      <c r="J1474">
        <v>1046</v>
      </c>
      <c r="K1474">
        <v>0</v>
      </c>
      <c r="L1474">
        <v>815.88</v>
      </c>
    </row>
    <row r="1475" spans="1:12" x14ac:dyDescent="0.25">
      <c r="A1475" t="str">
        <f t="shared" si="316"/>
        <v>89301000</v>
      </c>
      <c r="B1475" t="str">
        <f t="shared" si="304"/>
        <v>06539000</v>
      </c>
      <c r="C1475" t="str">
        <f t="shared" si="311"/>
        <v>06539003</v>
      </c>
      <c r="D1475" t="str">
        <f t="shared" si="312"/>
        <v>813</v>
      </c>
      <c r="E1475" t="str">
        <f t="shared" si="309"/>
        <v>89301172</v>
      </c>
      <c r="F1475" t="str">
        <f t="shared" si="313"/>
        <v>7702025309</v>
      </c>
      <c r="G1475" s="1">
        <v>44599</v>
      </c>
      <c r="H1475" t="str">
        <f t="shared" si="315"/>
        <v>91197</v>
      </c>
      <c r="I1475">
        <v>1</v>
      </c>
      <c r="J1475">
        <v>1046</v>
      </c>
      <c r="K1475">
        <v>0</v>
      </c>
      <c r="L1475">
        <v>815.88</v>
      </c>
    </row>
    <row r="1476" spans="1:12" x14ac:dyDescent="0.25">
      <c r="A1476" t="str">
        <f t="shared" si="316"/>
        <v>89301000</v>
      </c>
      <c r="B1476" t="str">
        <f t="shared" si="304"/>
        <v>06539000</v>
      </c>
      <c r="C1476" t="str">
        <f t="shared" si="311"/>
        <v>06539003</v>
      </c>
      <c r="D1476" t="str">
        <f t="shared" si="312"/>
        <v>813</v>
      </c>
      <c r="E1476" t="str">
        <f t="shared" si="309"/>
        <v>89301172</v>
      </c>
      <c r="F1476" t="str">
        <f t="shared" si="313"/>
        <v>7702025309</v>
      </c>
      <c r="G1476" s="1">
        <v>44598</v>
      </c>
      <c r="H1476" t="str">
        <f t="shared" si="315"/>
        <v>91197</v>
      </c>
      <c r="I1476">
        <v>1</v>
      </c>
      <c r="J1476">
        <v>1046</v>
      </c>
      <c r="K1476">
        <v>0</v>
      </c>
      <c r="L1476">
        <v>815.88</v>
      </c>
    </row>
    <row r="1477" spans="1:12" x14ac:dyDescent="0.25">
      <c r="A1477" t="str">
        <f t="shared" si="316"/>
        <v>89301000</v>
      </c>
      <c r="B1477" t="str">
        <f t="shared" si="304"/>
        <v>06539000</v>
      </c>
      <c r="C1477" t="str">
        <f t="shared" si="311"/>
        <v>06539003</v>
      </c>
      <c r="D1477" t="str">
        <f t="shared" si="312"/>
        <v>813</v>
      </c>
      <c r="E1477" t="str">
        <f t="shared" si="309"/>
        <v>89301172</v>
      </c>
      <c r="F1477" t="str">
        <f t="shared" si="313"/>
        <v>7702025309</v>
      </c>
      <c r="G1477" s="1">
        <v>44598</v>
      </c>
      <c r="H1477" t="str">
        <f t="shared" si="315"/>
        <v>91197</v>
      </c>
      <c r="I1477">
        <v>1</v>
      </c>
      <c r="J1477">
        <v>1046</v>
      </c>
      <c r="K1477">
        <v>0</v>
      </c>
      <c r="L1477">
        <v>815.88</v>
      </c>
    </row>
    <row r="1478" spans="1:12" x14ac:dyDescent="0.25">
      <c r="A1478" t="str">
        <f t="shared" si="316"/>
        <v>89301000</v>
      </c>
      <c r="B1478" t="str">
        <f t="shared" si="304"/>
        <v>06539000</v>
      </c>
      <c r="C1478" t="str">
        <f t="shared" si="311"/>
        <v>06539003</v>
      </c>
      <c r="D1478" t="str">
        <f t="shared" si="312"/>
        <v>813</v>
      </c>
      <c r="E1478" t="str">
        <f t="shared" si="309"/>
        <v>89301172</v>
      </c>
      <c r="F1478" t="str">
        <f t="shared" si="313"/>
        <v>7702025309</v>
      </c>
      <c r="G1478" s="1">
        <v>44597</v>
      </c>
      <c r="H1478" t="str">
        <f t="shared" si="315"/>
        <v>91197</v>
      </c>
      <c r="I1478">
        <v>1</v>
      </c>
      <c r="J1478">
        <v>1046</v>
      </c>
      <c r="K1478">
        <v>0</v>
      </c>
      <c r="L1478">
        <v>815.88</v>
      </c>
    </row>
    <row r="1479" spans="1:12" x14ac:dyDescent="0.25">
      <c r="A1479" t="str">
        <f t="shared" si="316"/>
        <v>89301000</v>
      </c>
      <c r="B1479" t="str">
        <f t="shared" si="304"/>
        <v>06539000</v>
      </c>
      <c r="C1479" t="str">
        <f t="shared" si="311"/>
        <v>06539003</v>
      </c>
      <c r="D1479" t="str">
        <f t="shared" si="312"/>
        <v>813</v>
      </c>
      <c r="E1479" t="str">
        <f t="shared" si="309"/>
        <v>89301172</v>
      </c>
      <c r="F1479" t="str">
        <f t="shared" si="313"/>
        <v>7702025309</v>
      </c>
      <c r="G1479" s="1">
        <v>44597</v>
      </c>
      <c r="H1479" t="str">
        <f t="shared" si="315"/>
        <v>91197</v>
      </c>
      <c r="I1479">
        <v>1</v>
      </c>
      <c r="J1479">
        <v>1046</v>
      </c>
      <c r="K1479">
        <v>0</v>
      </c>
      <c r="L1479">
        <v>815.88</v>
      </c>
    </row>
    <row r="1480" spans="1:12" x14ac:dyDescent="0.25">
      <c r="A1480" t="str">
        <f t="shared" si="316"/>
        <v>89301000</v>
      </c>
      <c r="B1480" t="str">
        <f t="shared" si="304"/>
        <v>06539000</v>
      </c>
      <c r="C1480" t="str">
        <f t="shared" si="311"/>
        <v>06539003</v>
      </c>
      <c r="D1480" t="str">
        <f t="shared" si="312"/>
        <v>813</v>
      </c>
      <c r="E1480" t="str">
        <f t="shared" si="309"/>
        <v>89301172</v>
      </c>
      <c r="F1480" t="str">
        <f t="shared" si="313"/>
        <v>7702025309</v>
      </c>
      <c r="G1480" s="1">
        <v>44599</v>
      </c>
      <c r="H1480" t="str">
        <f>"91411"</f>
        <v>91411</v>
      </c>
      <c r="I1480">
        <v>9</v>
      </c>
      <c r="J1480">
        <v>14400</v>
      </c>
      <c r="K1480">
        <v>0</v>
      </c>
      <c r="L1480">
        <v>11232</v>
      </c>
    </row>
    <row r="1481" spans="1:12" x14ac:dyDescent="0.25">
      <c r="A1481" t="str">
        <f t="shared" si="316"/>
        <v>89301000</v>
      </c>
      <c r="B1481" t="str">
        <f t="shared" si="304"/>
        <v>06539000</v>
      </c>
      <c r="C1481" t="str">
        <f t="shared" si="311"/>
        <v>06539003</v>
      </c>
      <c r="D1481" t="str">
        <f t="shared" si="312"/>
        <v>813</v>
      </c>
      <c r="E1481" t="str">
        <f t="shared" si="309"/>
        <v>89301172</v>
      </c>
      <c r="F1481" t="str">
        <f t="shared" si="313"/>
        <v>7702025309</v>
      </c>
      <c r="G1481" s="1">
        <v>44603</v>
      </c>
      <c r="H1481" t="str">
        <f>"91495"</f>
        <v>91495</v>
      </c>
      <c r="I1481">
        <v>1</v>
      </c>
      <c r="J1481">
        <v>592</v>
      </c>
      <c r="K1481">
        <v>0</v>
      </c>
      <c r="L1481">
        <v>461.76</v>
      </c>
    </row>
    <row r="1482" spans="1:12" x14ac:dyDescent="0.25">
      <c r="A1482" t="str">
        <f t="shared" si="316"/>
        <v>89301000</v>
      </c>
      <c r="B1482" t="str">
        <f t="shared" ref="B1482:B1545" si="317">"06539000"</f>
        <v>06539000</v>
      </c>
      <c r="C1482" t="str">
        <f t="shared" si="311"/>
        <v>06539003</v>
      </c>
      <c r="D1482" t="str">
        <f t="shared" si="312"/>
        <v>813</v>
      </c>
      <c r="E1482" t="str">
        <f t="shared" si="309"/>
        <v>89301172</v>
      </c>
      <c r="F1482" t="str">
        <f t="shared" si="313"/>
        <v>7702025309</v>
      </c>
      <c r="G1482" s="1">
        <v>44607</v>
      </c>
      <c r="H1482" t="str">
        <f>"91329"</f>
        <v>91329</v>
      </c>
      <c r="I1482">
        <v>2</v>
      </c>
      <c r="J1482">
        <v>428</v>
      </c>
      <c r="K1482">
        <v>0</v>
      </c>
      <c r="L1482">
        <v>333.84</v>
      </c>
    </row>
    <row r="1483" spans="1:12" x14ac:dyDescent="0.25">
      <c r="A1483" t="str">
        <f t="shared" si="316"/>
        <v>89301000</v>
      </c>
      <c r="B1483" t="str">
        <f t="shared" si="317"/>
        <v>06539000</v>
      </c>
      <c r="C1483" t="str">
        <f t="shared" si="311"/>
        <v>06539003</v>
      </c>
      <c r="D1483" t="str">
        <f t="shared" si="312"/>
        <v>813</v>
      </c>
      <c r="E1483" t="str">
        <f t="shared" si="309"/>
        <v>89301172</v>
      </c>
      <c r="F1483" t="str">
        <f t="shared" si="313"/>
        <v>7702025309</v>
      </c>
      <c r="G1483" s="1">
        <v>44607</v>
      </c>
      <c r="H1483" t="str">
        <f>"91329"</f>
        <v>91329</v>
      </c>
      <c r="I1483">
        <v>2</v>
      </c>
      <c r="J1483">
        <v>428</v>
      </c>
      <c r="K1483">
        <v>0</v>
      </c>
      <c r="L1483">
        <v>333.84</v>
      </c>
    </row>
    <row r="1484" spans="1:12" x14ac:dyDescent="0.25">
      <c r="A1484" t="str">
        <f t="shared" si="316"/>
        <v>89301000</v>
      </c>
      <c r="B1484" t="str">
        <f t="shared" si="317"/>
        <v>06539000</v>
      </c>
      <c r="C1484" t="str">
        <f t="shared" si="311"/>
        <v>06539003</v>
      </c>
      <c r="D1484" t="str">
        <f t="shared" si="312"/>
        <v>813</v>
      </c>
      <c r="E1484" t="str">
        <f t="shared" si="309"/>
        <v>89301172</v>
      </c>
      <c r="F1484" t="str">
        <f t="shared" si="313"/>
        <v>7702025309</v>
      </c>
      <c r="G1484" s="1">
        <v>44607</v>
      </c>
      <c r="H1484" t="str">
        <f>"91329"</f>
        <v>91329</v>
      </c>
      <c r="I1484">
        <v>2</v>
      </c>
      <c r="J1484">
        <v>428</v>
      </c>
      <c r="K1484">
        <v>0</v>
      </c>
      <c r="L1484">
        <v>333.84</v>
      </c>
    </row>
    <row r="1485" spans="1:12" x14ac:dyDescent="0.25">
      <c r="A1485" t="str">
        <f t="shared" si="316"/>
        <v>89301000</v>
      </c>
      <c r="B1485" t="str">
        <f t="shared" si="317"/>
        <v>06539000</v>
      </c>
      <c r="C1485" t="str">
        <f t="shared" si="311"/>
        <v>06539003</v>
      </c>
      <c r="D1485" t="str">
        <f t="shared" si="312"/>
        <v>813</v>
      </c>
      <c r="E1485" t="str">
        <f t="shared" si="309"/>
        <v>89301172</v>
      </c>
      <c r="F1485" t="str">
        <f t="shared" si="313"/>
        <v>7702025309</v>
      </c>
      <c r="G1485" s="1">
        <v>44607</v>
      </c>
      <c r="H1485" t="str">
        <f>"91329"</f>
        <v>91329</v>
      </c>
      <c r="I1485">
        <v>2</v>
      </c>
      <c r="J1485">
        <v>428</v>
      </c>
      <c r="K1485">
        <v>0</v>
      </c>
      <c r="L1485">
        <v>333.84</v>
      </c>
    </row>
    <row r="1486" spans="1:12" x14ac:dyDescent="0.25">
      <c r="A1486" t="str">
        <f t="shared" si="316"/>
        <v>89301000</v>
      </c>
      <c r="B1486" t="str">
        <f t="shared" si="317"/>
        <v>06539000</v>
      </c>
      <c r="C1486" t="str">
        <f t="shared" si="311"/>
        <v>06539003</v>
      </c>
      <c r="D1486" t="str">
        <f t="shared" si="312"/>
        <v>813</v>
      </c>
      <c r="E1486" t="str">
        <f t="shared" si="309"/>
        <v>89301172</v>
      </c>
      <c r="F1486" t="str">
        <f t="shared" si="313"/>
        <v>7702025309</v>
      </c>
      <c r="G1486" s="1">
        <v>44600</v>
      </c>
      <c r="H1486" t="str">
        <f>"91411"</f>
        <v>91411</v>
      </c>
      <c r="I1486">
        <v>7</v>
      </c>
      <c r="J1486">
        <v>11200</v>
      </c>
      <c r="K1486">
        <v>0</v>
      </c>
      <c r="L1486">
        <v>8736</v>
      </c>
    </row>
    <row r="1487" spans="1:12" x14ac:dyDescent="0.25">
      <c r="A1487" t="str">
        <f t="shared" si="316"/>
        <v>89301000</v>
      </c>
      <c r="B1487" t="str">
        <f t="shared" si="317"/>
        <v>06539000</v>
      </c>
      <c r="C1487" t="str">
        <f t="shared" si="311"/>
        <v>06539003</v>
      </c>
      <c r="D1487" t="str">
        <f t="shared" si="312"/>
        <v>813</v>
      </c>
      <c r="E1487" t="str">
        <f t="shared" si="309"/>
        <v>89301172</v>
      </c>
      <c r="F1487" t="str">
        <f t="shared" si="313"/>
        <v>7702025309</v>
      </c>
      <c r="G1487" s="1">
        <v>44597</v>
      </c>
      <c r="H1487" t="str">
        <f>"91411"</f>
        <v>91411</v>
      </c>
      <c r="I1487">
        <v>7</v>
      </c>
      <c r="J1487">
        <v>11200</v>
      </c>
      <c r="K1487">
        <v>0</v>
      </c>
      <c r="L1487">
        <v>8736</v>
      </c>
    </row>
    <row r="1488" spans="1:12" x14ac:dyDescent="0.25">
      <c r="A1488" t="str">
        <f t="shared" si="316"/>
        <v>89301000</v>
      </c>
      <c r="B1488" t="str">
        <f t="shared" si="317"/>
        <v>06539000</v>
      </c>
      <c r="C1488" t="str">
        <f t="shared" si="311"/>
        <v>06539003</v>
      </c>
      <c r="D1488" t="str">
        <f t="shared" si="312"/>
        <v>813</v>
      </c>
      <c r="E1488" t="str">
        <f t="shared" si="309"/>
        <v>89301172</v>
      </c>
      <c r="F1488" t="str">
        <f t="shared" si="313"/>
        <v>7702025309</v>
      </c>
      <c r="G1488" s="1">
        <v>44607</v>
      </c>
      <c r="H1488" t="str">
        <f t="shared" ref="H1488:H1501" si="318">"91329"</f>
        <v>91329</v>
      </c>
      <c r="I1488">
        <v>2</v>
      </c>
      <c r="J1488">
        <v>428</v>
      </c>
      <c r="K1488">
        <v>0</v>
      </c>
      <c r="L1488">
        <v>333.84</v>
      </c>
    </row>
    <row r="1489" spans="1:12" x14ac:dyDescent="0.25">
      <c r="A1489" t="str">
        <f t="shared" si="316"/>
        <v>89301000</v>
      </c>
      <c r="B1489" t="str">
        <f t="shared" si="317"/>
        <v>06539000</v>
      </c>
      <c r="C1489" t="str">
        <f t="shared" si="311"/>
        <v>06539003</v>
      </c>
      <c r="D1489" t="str">
        <f t="shared" si="312"/>
        <v>813</v>
      </c>
      <c r="E1489" t="str">
        <f t="shared" si="309"/>
        <v>89301172</v>
      </c>
      <c r="F1489" t="str">
        <f t="shared" si="313"/>
        <v>7702025309</v>
      </c>
      <c r="G1489" s="1">
        <v>44607</v>
      </c>
      <c r="H1489" t="str">
        <f t="shared" si="318"/>
        <v>91329</v>
      </c>
      <c r="I1489">
        <v>2</v>
      </c>
      <c r="J1489">
        <v>428</v>
      </c>
      <c r="K1489">
        <v>0</v>
      </c>
      <c r="L1489">
        <v>333.84</v>
      </c>
    </row>
    <row r="1490" spans="1:12" x14ac:dyDescent="0.25">
      <c r="A1490" t="str">
        <f t="shared" si="316"/>
        <v>89301000</v>
      </c>
      <c r="B1490" t="str">
        <f t="shared" si="317"/>
        <v>06539000</v>
      </c>
      <c r="C1490" t="str">
        <f t="shared" ref="C1490:C1517" si="319">"06539003"</f>
        <v>06539003</v>
      </c>
      <c r="D1490" t="str">
        <f t="shared" ref="D1490:D1517" si="320">"813"</f>
        <v>813</v>
      </c>
      <c r="E1490" t="str">
        <f t="shared" si="309"/>
        <v>89301172</v>
      </c>
      <c r="F1490" t="str">
        <f t="shared" si="313"/>
        <v>7702025309</v>
      </c>
      <c r="G1490" s="1">
        <v>44607</v>
      </c>
      <c r="H1490" t="str">
        <f t="shared" si="318"/>
        <v>91329</v>
      </c>
      <c r="I1490">
        <v>2</v>
      </c>
      <c r="J1490">
        <v>428</v>
      </c>
      <c r="K1490">
        <v>0</v>
      </c>
      <c r="L1490">
        <v>333.84</v>
      </c>
    </row>
    <row r="1491" spans="1:12" x14ac:dyDescent="0.25">
      <c r="A1491" t="str">
        <f t="shared" si="316"/>
        <v>89301000</v>
      </c>
      <c r="B1491" t="str">
        <f t="shared" si="317"/>
        <v>06539000</v>
      </c>
      <c r="C1491" t="str">
        <f t="shared" si="319"/>
        <v>06539003</v>
      </c>
      <c r="D1491" t="str">
        <f t="shared" si="320"/>
        <v>813</v>
      </c>
      <c r="E1491" t="str">
        <f t="shared" si="309"/>
        <v>89301172</v>
      </c>
      <c r="F1491" t="str">
        <f t="shared" ref="F1491:F1512" si="321">"7702025309"</f>
        <v>7702025309</v>
      </c>
      <c r="G1491" s="1">
        <v>44607</v>
      </c>
      <c r="H1491" t="str">
        <f t="shared" si="318"/>
        <v>91329</v>
      </c>
      <c r="I1491">
        <v>2</v>
      </c>
      <c r="J1491">
        <v>428</v>
      </c>
      <c r="K1491">
        <v>0</v>
      </c>
      <c r="L1491">
        <v>333.84</v>
      </c>
    </row>
    <row r="1492" spans="1:12" x14ac:dyDescent="0.25">
      <c r="A1492" t="str">
        <f t="shared" si="316"/>
        <v>89301000</v>
      </c>
      <c r="B1492" t="str">
        <f t="shared" si="317"/>
        <v>06539000</v>
      </c>
      <c r="C1492" t="str">
        <f t="shared" si="319"/>
        <v>06539003</v>
      </c>
      <c r="D1492" t="str">
        <f t="shared" si="320"/>
        <v>813</v>
      </c>
      <c r="E1492" t="str">
        <f t="shared" si="309"/>
        <v>89301172</v>
      </c>
      <c r="F1492" t="str">
        <f t="shared" si="321"/>
        <v>7702025309</v>
      </c>
      <c r="G1492" s="1">
        <v>44607</v>
      </c>
      <c r="H1492" t="str">
        <f t="shared" si="318"/>
        <v>91329</v>
      </c>
      <c r="I1492">
        <v>2</v>
      </c>
      <c r="J1492">
        <v>428</v>
      </c>
      <c r="K1492">
        <v>0</v>
      </c>
      <c r="L1492">
        <v>333.84</v>
      </c>
    </row>
    <row r="1493" spans="1:12" x14ac:dyDescent="0.25">
      <c r="A1493" t="str">
        <f t="shared" si="316"/>
        <v>89301000</v>
      </c>
      <c r="B1493" t="str">
        <f t="shared" si="317"/>
        <v>06539000</v>
      </c>
      <c r="C1493" t="str">
        <f t="shared" si="319"/>
        <v>06539003</v>
      </c>
      <c r="D1493" t="str">
        <f t="shared" si="320"/>
        <v>813</v>
      </c>
      <c r="E1493" t="str">
        <f t="shared" si="309"/>
        <v>89301172</v>
      </c>
      <c r="F1493" t="str">
        <f t="shared" si="321"/>
        <v>7702025309</v>
      </c>
      <c r="G1493" s="1">
        <v>44607</v>
      </c>
      <c r="H1493" t="str">
        <f t="shared" si="318"/>
        <v>91329</v>
      </c>
      <c r="I1493">
        <v>2</v>
      </c>
      <c r="J1493">
        <v>428</v>
      </c>
      <c r="K1493">
        <v>0</v>
      </c>
      <c r="L1493">
        <v>333.84</v>
      </c>
    </row>
    <row r="1494" spans="1:12" x14ac:dyDescent="0.25">
      <c r="A1494" t="str">
        <f t="shared" si="316"/>
        <v>89301000</v>
      </c>
      <c r="B1494" t="str">
        <f t="shared" si="317"/>
        <v>06539000</v>
      </c>
      <c r="C1494" t="str">
        <f t="shared" si="319"/>
        <v>06539003</v>
      </c>
      <c r="D1494" t="str">
        <f t="shared" si="320"/>
        <v>813</v>
      </c>
      <c r="E1494" t="str">
        <f t="shared" si="309"/>
        <v>89301172</v>
      </c>
      <c r="F1494" t="str">
        <f t="shared" si="321"/>
        <v>7702025309</v>
      </c>
      <c r="G1494" s="1">
        <v>44607</v>
      </c>
      <c r="H1494" t="str">
        <f t="shared" si="318"/>
        <v>91329</v>
      </c>
      <c r="I1494">
        <v>2</v>
      </c>
      <c r="J1494">
        <v>428</v>
      </c>
      <c r="K1494">
        <v>0</v>
      </c>
      <c r="L1494">
        <v>333.84</v>
      </c>
    </row>
    <row r="1495" spans="1:12" x14ac:dyDescent="0.25">
      <c r="A1495" t="str">
        <f t="shared" si="316"/>
        <v>89301000</v>
      </c>
      <c r="B1495" t="str">
        <f t="shared" si="317"/>
        <v>06539000</v>
      </c>
      <c r="C1495" t="str">
        <f t="shared" si="319"/>
        <v>06539003</v>
      </c>
      <c r="D1495" t="str">
        <f t="shared" si="320"/>
        <v>813</v>
      </c>
      <c r="E1495" t="str">
        <f t="shared" ref="E1495:E1558" si="322">"89301172"</f>
        <v>89301172</v>
      </c>
      <c r="F1495" t="str">
        <f t="shared" si="321"/>
        <v>7702025309</v>
      </c>
      <c r="G1495" s="1">
        <v>44607</v>
      </c>
      <c r="H1495" t="str">
        <f t="shared" si="318"/>
        <v>91329</v>
      </c>
      <c r="I1495">
        <v>2</v>
      </c>
      <c r="J1495">
        <v>428</v>
      </c>
      <c r="K1495">
        <v>0</v>
      </c>
      <c r="L1495">
        <v>333.84</v>
      </c>
    </row>
    <row r="1496" spans="1:12" x14ac:dyDescent="0.25">
      <c r="A1496" t="str">
        <f t="shared" si="316"/>
        <v>89301000</v>
      </c>
      <c r="B1496" t="str">
        <f t="shared" si="317"/>
        <v>06539000</v>
      </c>
      <c r="C1496" t="str">
        <f t="shared" si="319"/>
        <v>06539003</v>
      </c>
      <c r="D1496" t="str">
        <f t="shared" si="320"/>
        <v>813</v>
      </c>
      <c r="E1496" t="str">
        <f t="shared" si="322"/>
        <v>89301172</v>
      </c>
      <c r="F1496" t="str">
        <f t="shared" si="321"/>
        <v>7702025309</v>
      </c>
      <c r="G1496" s="1">
        <v>44607</v>
      </c>
      <c r="H1496" t="str">
        <f t="shared" si="318"/>
        <v>91329</v>
      </c>
      <c r="I1496">
        <v>2</v>
      </c>
      <c r="J1496">
        <v>428</v>
      </c>
      <c r="K1496">
        <v>0</v>
      </c>
      <c r="L1496">
        <v>333.84</v>
      </c>
    </row>
    <row r="1497" spans="1:12" x14ac:dyDescent="0.25">
      <c r="A1497" t="str">
        <f t="shared" si="316"/>
        <v>89301000</v>
      </c>
      <c r="B1497" t="str">
        <f t="shared" si="317"/>
        <v>06539000</v>
      </c>
      <c r="C1497" t="str">
        <f t="shared" si="319"/>
        <v>06539003</v>
      </c>
      <c r="D1497" t="str">
        <f t="shared" si="320"/>
        <v>813</v>
      </c>
      <c r="E1497" t="str">
        <f t="shared" si="322"/>
        <v>89301172</v>
      </c>
      <c r="F1497" t="str">
        <f t="shared" si="321"/>
        <v>7702025309</v>
      </c>
      <c r="G1497" s="1">
        <v>44607</v>
      </c>
      <c r="H1497" t="str">
        <f t="shared" si="318"/>
        <v>91329</v>
      </c>
      <c r="I1497">
        <v>2</v>
      </c>
      <c r="J1497">
        <v>428</v>
      </c>
      <c r="K1497">
        <v>0</v>
      </c>
      <c r="L1497">
        <v>333.84</v>
      </c>
    </row>
    <row r="1498" spans="1:12" x14ac:dyDescent="0.25">
      <c r="A1498" t="str">
        <f t="shared" si="316"/>
        <v>89301000</v>
      </c>
      <c r="B1498" t="str">
        <f t="shared" si="317"/>
        <v>06539000</v>
      </c>
      <c r="C1498" t="str">
        <f t="shared" si="319"/>
        <v>06539003</v>
      </c>
      <c r="D1498" t="str">
        <f t="shared" si="320"/>
        <v>813</v>
      </c>
      <c r="E1498" t="str">
        <f t="shared" si="322"/>
        <v>89301172</v>
      </c>
      <c r="F1498" t="str">
        <f t="shared" si="321"/>
        <v>7702025309</v>
      </c>
      <c r="G1498" s="1">
        <v>44607</v>
      </c>
      <c r="H1498" t="str">
        <f t="shared" si="318"/>
        <v>91329</v>
      </c>
      <c r="I1498">
        <v>2</v>
      </c>
      <c r="J1498">
        <v>428</v>
      </c>
      <c r="K1498">
        <v>0</v>
      </c>
      <c r="L1498">
        <v>333.84</v>
      </c>
    </row>
    <row r="1499" spans="1:12" x14ac:dyDescent="0.25">
      <c r="A1499" t="str">
        <f t="shared" si="316"/>
        <v>89301000</v>
      </c>
      <c r="B1499" t="str">
        <f t="shared" si="317"/>
        <v>06539000</v>
      </c>
      <c r="C1499" t="str">
        <f t="shared" si="319"/>
        <v>06539003</v>
      </c>
      <c r="D1499" t="str">
        <f t="shared" si="320"/>
        <v>813</v>
      </c>
      <c r="E1499" t="str">
        <f t="shared" si="322"/>
        <v>89301172</v>
      </c>
      <c r="F1499" t="str">
        <f t="shared" si="321"/>
        <v>7702025309</v>
      </c>
      <c r="G1499" s="1">
        <v>44607</v>
      </c>
      <c r="H1499" t="str">
        <f t="shared" si="318"/>
        <v>91329</v>
      </c>
      <c r="I1499">
        <v>2</v>
      </c>
      <c r="J1499">
        <v>428</v>
      </c>
      <c r="K1499">
        <v>0</v>
      </c>
      <c r="L1499">
        <v>333.84</v>
      </c>
    </row>
    <row r="1500" spans="1:12" x14ac:dyDescent="0.25">
      <c r="A1500" t="str">
        <f t="shared" si="316"/>
        <v>89301000</v>
      </c>
      <c r="B1500" t="str">
        <f t="shared" si="317"/>
        <v>06539000</v>
      </c>
      <c r="C1500" t="str">
        <f t="shared" si="319"/>
        <v>06539003</v>
      </c>
      <c r="D1500" t="str">
        <f t="shared" si="320"/>
        <v>813</v>
      </c>
      <c r="E1500" t="str">
        <f t="shared" si="322"/>
        <v>89301172</v>
      </c>
      <c r="F1500" t="str">
        <f t="shared" si="321"/>
        <v>7702025309</v>
      </c>
      <c r="G1500" s="1">
        <v>44607</v>
      </c>
      <c r="H1500" t="str">
        <f t="shared" si="318"/>
        <v>91329</v>
      </c>
      <c r="I1500">
        <v>2</v>
      </c>
      <c r="J1500">
        <v>428</v>
      </c>
      <c r="K1500">
        <v>0</v>
      </c>
      <c r="L1500">
        <v>333.84</v>
      </c>
    </row>
    <row r="1501" spans="1:12" x14ac:dyDescent="0.25">
      <c r="A1501" t="str">
        <f t="shared" si="316"/>
        <v>89301000</v>
      </c>
      <c r="B1501" t="str">
        <f t="shared" si="317"/>
        <v>06539000</v>
      </c>
      <c r="C1501" t="str">
        <f t="shared" si="319"/>
        <v>06539003</v>
      </c>
      <c r="D1501" t="str">
        <f t="shared" si="320"/>
        <v>813</v>
      </c>
      <c r="E1501" t="str">
        <f t="shared" si="322"/>
        <v>89301172</v>
      </c>
      <c r="F1501" t="str">
        <f t="shared" si="321"/>
        <v>7702025309</v>
      </c>
      <c r="G1501" s="1">
        <v>44613</v>
      </c>
      <c r="H1501" t="str">
        <f t="shared" si="318"/>
        <v>91329</v>
      </c>
      <c r="I1501">
        <v>2</v>
      </c>
      <c r="J1501">
        <v>428</v>
      </c>
      <c r="K1501">
        <v>0</v>
      </c>
      <c r="L1501">
        <v>333.84</v>
      </c>
    </row>
    <row r="1502" spans="1:12" x14ac:dyDescent="0.25">
      <c r="A1502" t="str">
        <f t="shared" si="316"/>
        <v>89301000</v>
      </c>
      <c r="B1502" t="str">
        <f t="shared" si="317"/>
        <v>06539000</v>
      </c>
      <c r="C1502" t="str">
        <f t="shared" si="319"/>
        <v>06539003</v>
      </c>
      <c r="D1502" t="str">
        <f t="shared" si="320"/>
        <v>813</v>
      </c>
      <c r="E1502" t="str">
        <f t="shared" si="322"/>
        <v>89301172</v>
      </c>
      <c r="F1502" t="str">
        <f t="shared" si="321"/>
        <v>7702025309</v>
      </c>
      <c r="G1502" s="1">
        <v>44596</v>
      </c>
      <c r="H1502" t="str">
        <f>"91129"</f>
        <v>91129</v>
      </c>
      <c r="I1502">
        <v>1</v>
      </c>
      <c r="J1502">
        <v>174</v>
      </c>
      <c r="K1502">
        <v>0</v>
      </c>
      <c r="L1502">
        <v>135.72</v>
      </c>
    </row>
    <row r="1503" spans="1:12" x14ac:dyDescent="0.25">
      <c r="A1503" t="str">
        <f t="shared" si="316"/>
        <v>89301000</v>
      </c>
      <c r="B1503" t="str">
        <f t="shared" si="317"/>
        <v>06539000</v>
      </c>
      <c r="C1503" t="str">
        <f t="shared" si="319"/>
        <v>06539003</v>
      </c>
      <c r="D1503" t="str">
        <f t="shared" si="320"/>
        <v>813</v>
      </c>
      <c r="E1503" t="str">
        <f t="shared" si="322"/>
        <v>89301172</v>
      </c>
      <c r="F1503" t="str">
        <f t="shared" si="321"/>
        <v>7702025309</v>
      </c>
      <c r="G1503" s="1">
        <v>44596</v>
      </c>
      <c r="H1503" t="str">
        <f>"91131"</f>
        <v>91131</v>
      </c>
      <c r="I1503">
        <v>1</v>
      </c>
      <c r="J1503">
        <v>171</v>
      </c>
      <c r="K1503">
        <v>0</v>
      </c>
      <c r="L1503">
        <v>133.38</v>
      </c>
    </row>
    <row r="1504" spans="1:12" x14ac:dyDescent="0.25">
      <c r="A1504" t="str">
        <f t="shared" si="316"/>
        <v>89301000</v>
      </c>
      <c r="B1504" t="str">
        <f t="shared" si="317"/>
        <v>06539000</v>
      </c>
      <c r="C1504" t="str">
        <f t="shared" si="319"/>
        <v>06539003</v>
      </c>
      <c r="D1504" t="str">
        <f t="shared" si="320"/>
        <v>813</v>
      </c>
      <c r="E1504" t="str">
        <f t="shared" si="322"/>
        <v>89301172</v>
      </c>
      <c r="F1504" t="str">
        <f t="shared" si="321"/>
        <v>7702025309</v>
      </c>
      <c r="G1504" s="1">
        <v>44596</v>
      </c>
      <c r="H1504" t="str">
        <f>"91133"</f>
        <v>91133</v>
      </c>
      <c r="I1504">
        <v>1</v>
      </c>
      <c r="J1504">
        <v>176</v>
      </c>
      <c r="K1504">
        <v>0</v>
      </c>
      <c r="L1504">
        <v>137.28</v>
      </c>
    </row>
    <row r="1505" spans="1:12" x14ac:dyDescent="0.25">
      <c r="A1505" t="str">
        <f t="shared" si="316"/>
        <v>89301000</v>
      </c>
      <c r="B1505" t="str">
        <f t="shared" si="317"/>
        <v>06539000</v>
      </c>
      <c r="C1505" t="str">
        <f t="shared" si="319"/>
        <v>06539003</v>
      </c>
      <c r="D1505" t="str">
        <f t="shared" si="320"/>
        <v>813</v>
      </c>
      <c r="E1505" t="str">
        <f t="shared" si="322"/>
        <v>89301172</v>
      </c>
      <c r="F1505" t="str">
        <f t="shared" si="321"/>
        <v>7702025309</v>
      </c>
      <c r="G1505" s="1">
        <v>44596</v>
      </c>
      <c r="H1505" t="str">
        <f>"91171"</f>
        <v>91171</v>
      </c>
      <c r="I1505">
        <v>1</v>
      </c>
      <c r="J1505">
        <v>360</v>
      </c>
      <c r="K1505">
        <v>0</v>
      </c>
      <c r="L1505">
        <v>280.8</v>
      </c>
    </row>
    <row r="1506" spans="1:12" x14ac:dyDescent="0.25">
      <c r="A1506" t="str">
        <f t="shared" si="316"/>
        <v>89301000</v>
      </c>
      <c r="B1506" t="str">
        <f t="shared" si="317"/>
        <v>06539000</v>
      </c>
      <c r="C1506" t="str">
        <f t="shared" si="319"/>
        <v>06539003</v>
      </c>
      <c r="D1506" t="str">
        <f t="shared" si="320"/>
        <v>813</v>
      </c>
      <c r="E1506" t="str">
        <f t="shared" si="322"/>
        <v>89301172</v>
      </c>
      <c r="F1506" t="str">
        <f t="shared" si="321"/>
        <v>7702025309</v>
      </c>
      <c r="G1506" s="1">
        <v>44596</v>
      </c>
      <c r="H1506" t="str">
        <f>"91173"</f>
        <v>91173</v>
      </c>
      <c r="I1506">
        <v>1</v>
      </c>
      <c r="J1506">
        <v>335</v>
      </c>
      <c r="K1506">
        <v>0</v>
      </c>
      <c r="L1506">
        <v>261.3</v>
      </c>
    </row>
    <row r="1507" spans="1:12" x14ac:dyDescent="0.25">
      <c r="A1507" t="str">
        <f t="shared" si="316"/>
        <v>89301000</v>
      </c>
      <c r="B1507" t="str">
        <f t="shared" si="317"/>
        <v>06539000</v>
      </c>
      <c r="C1507" t="str">
        <f t="shared" si="319"/>
        <v>06539003</v>
      </c>
      <c r="D1507" t="str">
        <f t="shared" si="320"/>
        <v>813</v>
      </c>
      <c r="E1507" t="str">
        <f t="shared" si="322"/>
        <v>89301172</v>
      </c>
      <c r="F1507" t="str">
        <f t="shared" si="321"/>
        <v>7702025309</v>
      </c>
      <c r="G1507" s="1">
        <v>44596</v>
      </c>
      <c r="H1507" t="str">
        <f>"91175"</f>
        <v>91175</v>
      </c>
      <c r="I1507">
        <v>1</v>
      </c>
      <c r="J1507">
        <v>360</v>
      </c>
      <c r="K1507">
        <v>0</v>
      </c>
      <c r="L1507">
        <v>280.8</v>
      </c>
    </row>
    <row r="1508" spans="1:12" x14ac:dyDescent="0.25">
      <c r="A1508" t="str">
        <f t="shared" si="316"/>
        <v>89301000</v>
      </c>
      <c r="B1508" t="str">
        <f t="shared" si="317"/>
        <v>06539000</v>
      </c>
      <c r="C1508" t="str">
        <f t="shared" si="319"/>
        <v>06539003</v>
      </c>
      <c r="D1508" t="str">
        <f t="shared" si="320"/>
        <v>813</v>
      </c>
      <c r="E1508" t="str">
        <f t="shared" si="322"/>
        <v>89301172</v>
      </c>
      <c r="F1508" t="str">
        <f t="shared" si="321"/>
        <v>7702025309</v>
      </c>
      <c r="G1508" s="1">
        <v>44597</v>
      </c>
      <c r="H1508" t="str">
        <f>"91167"</f>
        <v>91167</v>
      </c>
      <c r="I1508">
        <v>1</v>
      </c>
      <c r="J1508">
        <v>425</v>
      </c>
      <c r="K1508">
        <v>0</v>
      </c>
      <c r="L1508">
        <v>331.5</v>
      </c>
    </row>
    <row r="1509" spans="1:12" x14ac:dyDescent="0.25">
      <c r="A1509" t="str">
        <f t="shared" si="316"/>
        <v>89301000</v>
      </c>
      <c r="B1509" t="str">
        <f t="shared" si="317"/>
        <v>06539000</v>
      </c>
      <c r="C1509" t="str">
        <f t="shared" si="319"/>
        <v>06539003</v>
      </c>
      <c r="D1509" t="str">
        <f t="shared" si="320"/>
        <v>813</v>
      </c>
      <c r="E1509" t="str">
        <f t="shared" si="322"/>
        <v>89301172</v>
      </c>
      <c r="F1509" t="str">
        <f t="shared" si="321"/>
        <v>7702025309</v>
      </c>
      <c r="G1509" s="1">
        <v>44597</v>
      </c>
      <c r="H1509" t="str">
        <f>"91169"</f>
        <v>91169</v>
      </c>
      <c r="I1509">
        <v>1</v>
      </c>
      <c r="J1509">
        <v>425</v>
      </c>
      <c r="K1509">
        <v>0</v>
      </c>
      <c r="L1509">
        <v>331.5</v>
      </c>
    </row>
    <row r="1510" spans="1:12" x14ac:dyDescent="0.25">
      <c r="A1510" t="str">
        <f t="shared" si="316"/>
        <v>89301000</v>
      </c>
      <c r="B1510" t="str">
        <f t="shared" si="317"/>
        <v>06539000</v>
      </c>
      <c r="C1510" t="str">
        <f t="shared" si="319"/>
        <v>06539003</v>
      </c>
      <c r="D1510" t="str">
        <f t="shared" si="320"/>
        <v>813</v>
      </c>
      <c r="E1510" t="str">
        <f t="shared" si="322"/>
        <v>89301172</v>
      </c>
      <c r="F1510" t="str">
        <f t="shared" si="321"/>
        <v>7702025309</v>
      </c>
      <c r="G1510" s="1">
        <v>44596</v>
      </c>
      <c r="H1510" t="str">
        <f>"91167"</f>
        <v>91167</v>
      </c>
      <c r="I1510">
        <v>1</v>
      </c>
      <c r="J1510">
        <v>425</v>
      </c>
      <c r="K1510">
        <v>0</v>
      </c>
      <c r="L1510">
        <v>331.5</v>
      </c>
    </row>
    <row r="1511" spans="1:12" x14ac:dyDescent="0.25">
      <c r="A1511" t="str">
        <f t="shared" si="316"/>
        <v>89301000</v>
      </c>
      <c r="B1511" t="str">
        <f t="shared" si="317"/>
        <v>06539000</v>
      </c>
      <c r="C1511" t="str">
        <f t="shared" si="319"/>
        <v>06539003</v>
      </c>
      <c r="D1511" t="str">
        <f t="shared" si="320"/>
        <v>813</v>
      </c>
      <c r="E1511" t="str">
        <f t="shared" si="322"/>
        <v>89301172</v>
      </c>
      <c r="F1511" t="str">
        <f t="shared" si="321"/>
        <v>7702025309</v>
      </c>
      <c r="G1511" s="1">
        <v>44596</v>
      </c>
      <c r="H1511" t="str">
        <f>"91169"</f>
        <v>91169</v>
      </c>
      <c r="I1511">
        <v>1</v>
      </c>
      <c r="J1511">
        <v>425</v>
      </c>
      <c r="K1511">
        <v>0</v>
      </c>
      <c r="L1511">
        <v>331.5</v>
      </c>
    </row>
    <row r="1512" spans="1:12" x14ac:dyDescent="0.25">
      <c r="A1512" t="str">
        <f t="shared" si="316"/>
        <v>89301000</v>
      </c>
      <c r="B1512" t="str">
        <f t="shared" si="317"/>
        <v>06539000</v>
      </c>
      <c r="C1512" t="str">
        <f t="shared" si="319"/>
        <v>06539003</v>
      </c>
      <c r="D1512" t="str">
        <f t="shared" si="320"/>
        <v>813</v>
      </c>
      <c r="E1512" t="str">
        <f t="shared" si="322"/>
        <v>89301172</v>
      </c>
      <c r="F1512" t="str">
        <f t="shared" si="321"/>
        <v>7702025309</v>
      </c>
      <c r="G1512" s="1">
        <v>44596</v>
      </c>
      <c r="H1512" t="str">
        <f>"91475"</f>
        <v>91475</v>
      </c>
      <c r="I1512">
        <v>1</v>
      </c>
      <c r="J1512">
        <v>206</v>
      </c>
      <c r="K1512">
        <v>0</v>
      </c>
      <c r="L1512">
        <v>160.68</v>
      </c>
    </row>
    <row r="1513" spans="1:12" x14ac:dyDescent="0.25">
      <c r="A1513" t="str">
        <f t="shared" si="316"/>
        <v>89301000</v>
      </c>
      <c r="B1513" t="str">
        <f t="shared" si="317"/>
        <v>06539000</v>
      </c>
      <c r="C1513" t="str">
        <f t="shared" si="319"/>
        <v>06539003</v>
      </c>
      <c r="D1513" t="str">
        <f t="shared" si="320"/>
        <v>813</v>
      </c>
      <c r="E1513" t="str">
        <f t="shared" si="322"/>
        <v>89301172</v>
      </c>
      <c r="F1513" t="str">
        <f>"7357285309"</f>
        <v>7357285309</v>
      </c>
      <c r="G1513" s="1">
        <v>44607</v>
      </c>
      <c r="H1513" t="str">
        <f>"91329"</f>
        <v>91329</v>
      </c>
      <c r="I1513">
        <v>2</v>
      </c>
      <c r="J1513">
        <v>428</v>
      </c>
      <c r="K1513">
        <v>0</v>
      </c>
      <c r="L1513">
        <v>333.84</v>
      </c>
    </row>
    <row r="1514" spans="1:12" x14ac:dyDescent="0.25">
      <c r="A1514" t="str">
        <f t="shared" si="316"/>
        <v>89301000</v>
      </c>
      <c r="B1514" t="str">
        <f t="shared" si="317"/>
        <v>06539000</v>
      </c>
      <c r="C1514" t="str">
        <f t="shared" si="319"/>
        <v>06539003</v>
      </c>
      <c r="D1514" t="str">
        <f t="shared" si="320"/>
        <v>813</v>
      </c>
      <c r="E1514" t="str">
        <f t="shared" si="322"/>
        <v>89301172</v>
      </c>
      <c r="F1514" t="str">
        <f>"7357285309"</f>
        <v>7357285309</v>
      </c>
      <c r="G1514" s="1">
        <v>44607</v>
      </c>
      <c r="H1514" t="str">
        <f>"91329"</f>
        <v>91329</v>
      </c>
      <c r="I1514">
        <v>2</v>
      </c>
      <c r="J1514">
        <v>428</v>
      </c>
      <c r="K1514">
        <v>0</v>
      </c>
      <c r="L1514">
        <v>333.84</v>
      </c>
    </row>
    <row r="1515" spans="1:12" x14ac:dyDescent="0.25">
      <c r="A1515" t="str">
        <f t="shared" si="316"/>
        <v>89301000</v>
      </c>
      <c r="B1515" t="str">
        <f t="shared" si="317"/>
        <v>06539000</v>
      </c>
      <c r="C1515" t="str">
        <f t="shared" si="319"/>
        <v>06539003</v>
      </c>
      <c r="D1515" t="str">
        <f t="shared" si="320"/>
        <v>813</v>
      </c>
      <c r="E1515" t="str">
        <f t="shared" si="322"/>
        <v>89301172</v>
      </c>
      <c r="F1515" t="str">
        <f>"7357285309"</f>
        <v>7357285309</v>
      </c>
      <c r="G1515" s="1">
        <v>44607</v>
      </c>
      <c r="H1515" t="str">
        <f>"91329"</f>
        <v>91329</v>
      </c>
      <c r="I1515">
        <v>2</v>
      </c>
      <c r="J1515">
        <v>428</v>
      </c>
      <c r="K1515">
        <v>0</v>
      </c>
      <c r="L1515">
        <v>333.84</v>
      </c>
    </row>
    <row r="1516" spans="1:12" x14ac:dyDescent="0.25">
      <c r="A1516" t="str">
        <f t="shared" si="316"/>
        <v>89301000</v>
      </c>
      <c r="B1516" t="str">
        <f t="shared" si="317"/>
        <v>06539000</v>
      </c>
      <c r="C1516" t="str">
        <f t="shared" si="319"/>
        <v>06539003</v>
      </c>
      <c r="D1516" t="str">
        <f t="shared" si="320"/>
        <v>813</v>
      </c>
      <c r="E1516" t="str">
        <f t="shared" si="322"/>
        <v>89301172</v>
      </c>
      <c r="F1516" t="str">
        <f>"7357285309"</f>
        <v>7357285309</v>
      </c>
      <c r="G1516" s="1">
        <v>44607</v>
      </c>
      <c r="H1516" t="str">
        <f>"91329"</f>
        <v>91329</v>
      </c>
      <c r="I1516">
        <v>2</v>
      </c>
      <c r="J1516">
        <v>428</v>
      </c>
      <c r="K1516">
        <v>0</v>
      </c>
      <c r="L1516">
        <v>333.84</v>
      </c>
    </row>
    <row r="1517" spans="1:12" x14ac:dyDescent="0.25">
      <c r="A1517" t="str">
        <f t="shared" si="316"/>
        <v>89301000</v>
      </c>
      <c r="B1517" t="str">
        <f t="shared" si="317"/>
        <v>06539000</v>
      </c>
      <c r="C1517" t="str">
        <f t="shared" si="319"/>
        <v>06539003</v>
      </c>
      <c r="D1517" t="str">
        <f t="shared" si="320"/>
        <v>813</v>
      </c>
      <c r="E1517" t="str">
        <f t="shared" si="322"/>
        <v>89301172</v>
      </c>
      <c r="F1517" t="str">
        <f>"7357285309"</f>
        <v>7357285309</v>
      </c>
      <c r="G1517" s="1">
        <v>44607</v>
      </c>
      <c r="H1517" t="str">
        <f>"91475"</f>
        <v>91475</v>
      </c>
      <c r="I1517">
        <v>1</v>
      </c>
      <c r="J1517">
        <v>206</v>
      </c>
      <c r="K1517">
        <v>0</v>
      </c>
      <c r="L1517">
        <v>160.68</v>
      </c>
    </row>
    <row r="1518" spans="1:12" x14ac:dyDescent="0.25">
      <c r="A1518" t="str">
        <f t="shared" si="316"/>
        <v>89301000</v>
      </c>
      <c r="B1518" t="str">
        <f t="shared" si="317"/>
        <v>06539000</v>
      </c>
      <c r="C1518" t="str">
        <f>"06539001"</f>
        <v>06539001</v>
      </c>
      <c r="D1518" t="str">
        <f>"801"</f>
        <v>801</v>
      </c>
      <c r="E1518" t="str">
        <f t="shared" si="322"/>
        <v>89301172</v>
      </c>
      <c r="F1518" t="str">
        <f t="shared" ref="F1518:F1559" si="323">"7161225302"</f>
        <v>7161225302</v>
      </c>
      <c r="G1518" s="1">
        <v>44603</v>
      </c>
      <c r="H1518" t="str">
        <f>"81329"</f>
        <v>81329</v>
      </c>
      <c r="I1518">
        <v>1</v>
      </c>
      <c r="J1518">
        <v>16</v>
      </c>
      <c r="K1518">
        <v>0</v>
      </c>
      <c r="L1518">
        <v>12.48</v>
      </c>
    </row>
    <row r="1519" spans="1:12" x14ac:dyDescent="0.25">
      <c r="A1519" t="str">
        <f t="shared" si="316"/>
        <v>89301000</v>
      </c>
      <c r="B1519" t="str">
        <f t="shared" si="317"/>
        <v>06539000</v>
      </c>
      <c r="C1519" t="str">
        <f>"06539001"</f>
        <v>06539001</v>
      </c>
      <c r="D1519" t="str">
        <f>"801"</f>
        <v>801</v>
      </c>
      <c r="E1519" t="str">
        <f t="shared" si="322"/>
        <v>89301172</v>
      </c>
      <c r="F1519" t="str">
        <f t="shared" si="323"/>
        <v>7161225302</v>
      </c>
      <c r="G1519" s="1">
        <v>44606</v>
      </c>
      <c r="H1519" t="str">
        <f>"81331"</f>
        <v>81331</v>
      </c>
      <c r="I1519">
        <v>1</v>
      </c>
      <c r="J1519">
        <v>193</v>
      </c>
      <c r="K1519">
        <v>0</v>
      </c>
      <c r="L1519">
        <v>150.54</v>
      </c>
    </row>
    <row r="1520" spans="1:12" x14ac:dyDescent="0.25">
      <c r="A1520" t="str">
        <f t="shared" si="316"/>
        <v>89301000</v>
      </c>
      <c r="B1520" t="str">
        <f t="shared" si="317"/>
        <v>06539000</v>
      </c>
      <c r="C1520" t="str">
        <f t="shared" ref="C1520:C1527" si="324">"06539002"</f>
        <v>06539002</v>
      </c>
      <c r="D1520" t="str">
        <f t="shared" ref="D1520:D1527" si="325">"802"</f>
        <v>802</v>
      </c>
      <c r="E1520" t="str">
        <f t="shared" si="322"/>
        <v>89301172</v>
      </c>
      <c r="F1520" t="str">
        <f t="shared" si="323"/>
        <v>7161225302</v>
      </c>
      <c r="G1520" s="1">
        <v>44609</v>
      </c>
      <c r="H1520" t="str">
        <f t="shared" ref="H1520:H1527" si="326">"82097"</f>
        <v>82097</v>
      </c>
      <c r="I1520">
        <v>1</v>
      </c>
      <c r="J1520">
        <v>380</v>
      </c>
      <c r="K1520">
        <v>0</v>
      </c>
      <c r="L1520">
        <v>345.8</v>
      </c>
    </row>
    <row r="1521" spans="1:12" x14ac:dyDescent="0.25">
      <c r="A1521" t="str">
        <f t="shared" si="316"/>
        <v>89301000</v>
      </c>
      <c r="B1521" t="str">
        <f t="shared" si="317"/>
        <v>06539000</v>
      </c>
      <c r="C1521" t="str">
        <f t="shared" si="324"/>
        <v>06539002</v>
      </c>
      <c r="D1521" t="str">
        <f t="shared" si="325"/>
        <v>802</v>
      </c>
      <c r="E1521" t="str">
        <f t="shared" si="322"/>
        <v>89301172</v>
      </c>
      <c r="F1521" t="str">
        <f t="shared" si="323"/>
        <v>7161225302</v>
      </c>
      <c r="G1521" s="1">
        <v>44609</v>
      </c>
      <c r="H1521" t="str">
        <f t="shared" si="326"/>
        <v>82097</v>
      </c>
      <c r="I1521">
        <v>1</v>
      </c>
      <c r="J1521">
        <v>380</v>
      </c>
      <c r="K1521">
        <v>0</v>
      </c>
      <c r="L1521">
        <v>345.8</v>
      </c>
    </row>
    <row r="1522" spans="1:12" x14ac:dyDescent="0.25">
      <c r="A1522" t="str">
        <f t="shared" si="316"/>
        <v>89301000</v>
      </c>
      <c r="B1522" t="str">
        <f t="shared" si="317"/>
        <v>06539000</v>
      </c>
      <c r="C1522" t="str">
        <f t="shared" si="324"/>
        <v>06539002</v>
      </c>
      <c r="D1522" t="str">
        <f t="shared" si="325"/>
        <v>802</v>
      </c>
      <c r="E1522" t="str">
        <f t="shared" si="322"/>
        <v>89301172</v>
      </c>
      <c r="F1522" t="str">
        <f t="shared" si="323"/>
        <v>7161225302</v>
      </c>
      <c r="G1522" s="1">
        <v>44609</v>
      </c>
      <c r="H1522" t="str">
        <f t="shared" si="326"/>
        <v>82097</v>
      </c>
      <c r="I1522">
        <v>1</v>
      </c>
      <c r="J1522">
        <v>380</v>
      </c>
      <c r="K1522">
        <v>0</v>
      </c>
      <c r="L1522">
        <v>345.8</v>
      </c>
    </row>
    <row r="1523" spans="1:12" x14ac:dyDescent="0.25">
      <c r="A1523" t="str">
        <f t="shared" si="316"/>
        <v>89301000</v>
      </c>
      <c r="B1523" t="str">
        <f t="shared" si="317"/>
        <v>06539000</v>
      </c>
      <c r="C1523" t="str">
        <f t="shared" si="324"/>
        <v>06539002</v>
      </c>
      <c r="D1523" t="str">
        <f t="shared" si="325"/>
        <v>802</v>
      </c>
      <c r="E1523" t="str">
        <f t="shared" si="322"/>
        <v>89301172</v>
      </c>
      <c r="F1523" t="str">
        <f t="shared" si="323"/>
        <v>7161225302</v>
      </c>
      <c r="G1523" s="1">
        <v>44609</v>
      </c>
      <c r="H1523" t="str">
        <f t="shared" si="326"/>
        <v>82097</v>
      </c>
      <c r="I1523">
        <v>1</v>
      </c>
      <c r="J1523">
        <v>380</v>
      </c>
      <c r="K1523">
        <v>0</v>
      </c>
      <c r="L1523">
        <v>345.8</v>
      </c>
    </row>
    <row r="1524" spans="1:12" x14ac:dyDescent="0.25">
      <c r="A1524" t="str">
        <f t="shared" si="316"/>
        <v>89301000</v>
      </c>
      <c r="B1524" t="str">
        <f t="shared" si="317"/>
        <v>06539000</v>
      </c>
      <c r="C1524" t="str">
        <f t="shared" si="324"/>
        <v>06539002</v>
      </c>
      <c r="D1524" t="str">
        <f t="shared" si="325"/>
        <v>802</v>
      </c>
      <c r="E1524" t="str">
        <f t="shared" si="322"/>
        <v>89301172</v>
      </c>
      <c r="F1524" t="str">
        <f t="shared" si="323"/>
        <v>7161225302</v>
      </c>
      <c r="G1524" s="1">
        <v>44607</v>
      </c>
      <c r="H1524" t="str">
        <f t="shared" si="326"/>
        <v>82097</v>
      </c>
      <c r="I1524">
        <v>1</v>
      </c>
      <c r="J1524">
        <v>380</v>
      </c>
      <c r="K1524">
        <v>0</v>
      </c>
      <c r="L1524">
        <v>345.8</v>
      </c>
    </row>
    <row r="1525" spans="1:12" x14ac:dyDescent="0.25">
      <c r="A1525" t="str">
        <f t="shared" si="316"/>
        <v>89301000</v>
      </c>
      <c r="B1525" t="str">
        <f t="shared" si="317"/>
        <v>06539000</v>
      </c>
      <c r="C1525" t="str">
        <f t="shared" si="324"/>
        <v>06539002</v>
      </c>
      <c r="D1525" t="str">
        <f t="shared" si="325"/>
        <v>802</v>
      </c>
      <c r="E1525" t="str">
        <f t="shared" si="322"/>
        <v>89301172</v>
      </c>
      <c r="F1525" t="str">
        <f t="shared" si="323"/>
        <v>7161225302</v>
      </c>
      <c r="G1525" s="1">
        <v>44607</v>
      </c>
      <c r="H1525" t="str">
        <f t="shared" si="326"/>
        <v>82097</v>
      </c>
      <c r="I1525">
        <v>1</v>
      </c>
      <c r="J1525">
        <v>380</v>
      </c>
      <c r="K1525">
        <v>0</v>
      </c>
      <c r="L1525">
        <v>345.8</v>
      </c>
    </row>
    <row r="1526" spans="1:12" x14ac:dyDescent="0.25">
      <c r="A1526" t="str">
        <f t="shared" si="316"/>
        <v>89301000</v>
      </c>
      <c r="B1526" t="str">
        <f t="shared" si="317"/>
        <v>06539000</v>
      </c>
      <c r="C1526" t="str">
        <f t="shared" si="324"/>
        <v>06539002</v>
      </c>
      <c r="D1526" t="str">
        <f t="shared" si="325"/>
        <v>802</v>
      </c>
      <c r="E1526" t="str">
        <f t="shared" si="322"/>
        <v>89301172</v>
      </c>
      <c r="F1526" t="str">
        <f t="shared" si="323"/>
        <v>7161225302</v>
      </c>
      <c r="G1526" s="1">
        <v>44607</v>
      </c>
      <c r="H1526" t="str">
        <f t="shared" si="326"/>
        <v>82097</v>
      </c>
      <c r="I1526">
        <v>1</v>
      </c>
      <c r="J1526">
        <v>380</v>
      </c>
      <c r="K1526">
        <v>0</v>
      </c>
      <c r="L1526">
        <v>345.8</v>
      </c>
    </row>
    <row r="1527" spans="1:12" x14ac:dyDescent="0.25">
      <c r="A1527" t="str">
        <f t="shared" si="316"/>
        <v>89301000</v>
      </c>
      <c r="B1527" t="str">
        <f t="shared" si="317"/>
        <v>06539000</v>
      </c>
      <c r="C1527" t="str">
        <f t="shared" si="324"/>
        <v>06539002</v>
      </c>
      <c r="D1527" t="str">
        <f t="shared" si="325"/>
        <v>802</v>
      </c>
      <c r="E1527" t="str">
        <f t="shared" si="322"/>
        <v>89301172</v>
      </c>
      <c r="F1527" t="str">
        <f t="shared" si="323"/>
        <v>7161225302</v>
      </c>
      <c r="G1527" s="1">
        <v>44607</v>
      </c>
      <c r="H1527" t="str">
        <f t="shared" si="326"/>
        <v>82097</v>
      </c>
      <c r="I1527">
        <v>1</v>
      </c>
      <c r="J1527">
        <v>380</v>
      </c>
      <c r="K1527">
        <v>0</v>
      </c>
      <c r="L1527">
        <v>345.8</v>
      </c>
    </row>
    <row r="1528" spans="1:12" x14ac:dyDescent="0.25">
      <c r="A1528" t="str">
        <f t="shared" si="316"/>
        <v>89301000</v>
      </c>
      <c r="B1528" t="str">
        <f t="shared" si="317"/>
        <v>06539000</v>
      </c>
      <c r="C1528" t="str">
        <f t="shared" ref="C1528:C1569" si="327">"06539003"</f>
        <v>06539003</v>
      </c>
      <c r="D1528" t="str">
        <f t="shared" ref="D1528:D1569" si="328">"813"</f>
        <v>813</v>
      </c>
      <c r="E1528" t="str">
        <f t="shared" si="322"/>
        <v>89301172</v>
      </c>
      <c r="F1528" t="str">
        <f t="shared" si="323"/>
        <v>7161225302</v>
      </c>
      <c r="G1528" s="1">
        <v>44608</v>
      </c>
      <c r="H1528" t="str">
        <f t="shared" ref="H1528:H1537" si="329">"91413"</f>
        <v>91413</v>
      </c>
      <c r="I1528">
        <v>1</v>
      </c>
      <c r="J1528">
        <v>853</v>
      </c>
      <c r="K1528">
        <v>0</v>
      </c>
      <c r="L1528">
        <v>665.34</v>
      </c>
    </row>
    <row r="1529" spans="1:12" x14ac:dyDescent="0.25">
      <c r="A1529" t="str">
        <f t="shared" si="316"/>
        <v>89301000</v>
      </c>
      <c r="B1529" t="str">
        <f t="shared" si="317"/>
        <v>06539000</v>
      </c>
      <c r="C1529" t="str">
        <f t="shared" si="327"/>
        <v>06539003</v>
      </c>
      <c r="D1529" t="str">
        <f t="shared" si="328"/>
        <v>813</v>
      </c>
      <c r="E1529" t="str">
        <f t="shared" si="322"/>
        <v>89301172</v>
      </c>
      <c r="F1529" t="str">
        <f t="shared" si="323"/>
        <v>7161225302</v>
      </c>
      <c r="G1529" s="1">
        <v>44608</v>
      </c>
      <c r="H1529" t="str">
        <f t="shared" si="329"/>
        <v>91413</v>
      </c>
      <c r="I1529">
        <v>1</v>
      </c>
      <c r="J1529">
        <v>853</v>
      </c>
      <c r="K1529">
        <v>0</v>
      </c>
      <c r="L1529">
        <v>665.34</v>
      </c>
    </row>
    <row r="1530" spans="1:12" x14ac:dyDescent="0.25">
      <c r="A1530" t="str">
        <f t="shared" si="316"/>
        <v>89301000</v>
      </c>
      <c r="B1530" t="str">
        <f t="shared" si="317"/>
        <v>06539000</v>
      </c>
      <c r="C1530" t="str">
        <f t="shared" si="327"/>
        <v>06539003</v>
      </c>
      <c r="D1530" t="str">
        <f t="shared" si="328"/>
        <v>813</v>
      </c>
      <c r="E1530" t="str">
        <f t="shared" si="322"/>
        <v>89301172</v>
      </c>
      <c r="F1530" t="str">
        <f t="shared" si="323"/>
        <v>7161225302</v>
      </c>
      <c r="G1530" s="1">
        <v>44617</v>
      </c>
      <c r="H1530" t="str">
        <f t="shared" si="329"/>
        <v>91413</v>
      </c>
      <c r="I1530">
        <v>1</v>
      </c>
      <c r="J1530">
        <v>853</v>
      </c>
      <c r="K1530">
        <v>0</v>
      </c>
      <c r="L1530">
        <v>665.34</v>
      </c>
    </row>
    <row r="1531" spans="1:12" x14ac:dyDescent="0.25">
      <c r="A1531" t="str">
        <f t="shared" si="316"/>
        <v>89301000</v>
      </c>
      <c r="B1531" t="str">
        <f t="shared" si="317"/>
        <v>06539000</v>
      </c>
      <c r="C1531" t="str">
        <f t="shared" si="327"/>
        <v>06539003</v>
      </c>
      <c r="D1531" t="str">
        <f t="shared" si="328"/>
        <v>813</v>
      </c>
      <c r="E1531" t="str">
        <f t="shared" si="322"/>
        <v>89301172</v>
      </c>
      <c r="F1531" t="str">
        <f t="shared" si="323"/>
        <v>7161225302</v>
      </c>
      <c r="G1531" s="1">
        <v>44617</v>
      </c>
      <c r="H1531" t="str">
        <f t="shared" si="329"/>
        <v>91413</v>
      </c>
      <c r="I1531">
        <v>1</v>
      </c>
      <c r="J1531">
        <v>853</v>
      </c>
      <c r="K1531">
        <v>0</v>
      </c>
      <c r="L1531">
        <v>665.34</v>
      </c>
    </row>
    <row r="1532" spans="1:12" x14ac:dyDescent="0.25">
      <c r="A1532" t="str">
        <f t="shared" si="316"/>
        <v>89301000</v>
      </c>
      <c r="B1532" t="str">
        <f t="shared" si="317"/>
        <v>06539000</v>
      </c>
      <c r="C1532" t="str">
        <f t="shared" si="327"/>
        <v>06539003</v>
      </c>
      <c r="D1532" t="str">
        <f t="shared" si="328"/>
        <v>813</v>
      </c>
      <c r="E1532" t="str">
        <f t="shared" si="322"/>
        <v>89301172</v>
      </c>
      <c r="F1532" t="str">
        <f t="shared" si="323"/>
        <v>7161225302</v>
      </c>
      <c r="G1532" s="1">
        <v>44615</v>
      </c>
      <c r="H1532" t="str">
        <f t="shared" si="329"/>
        <v>91413</v>
      </c>
      <c r="I1532">
        <v>1</v>
      </c>
      <c r="J1532">
        <v>853</v>
      </c>
      <c r="K1532">
        <v>0</v>
      </c>
      <c r="L1532">
        <v>665.34</v>
      </c>
    </row>
    <row r="1533" spans="1:12" x14ac:dyDescent="0.25">
      <c r="A1533" t="str">
        <f t="shared" si="316"/>
        <v>89301000</v>
      </c>
      <c r="B1533" t="str">
        <f t="shared" si="317"/>
        <v>06539000</v>
      </c>
      <c r="C1533" t="str">
        <f t="shared" si="327"/>
        <v>06539003</v>
      </c>
      <c r="D1533" t="str">
        <f t="shared" si="328"/>
        <v>813</v>
      </c>
      <c r="E1533" t="str">
        <f t="shared" si="322"/>
        <v>89301172</v>
      </c>
      <c r="F1533" t="str">
        <f t="shared" si="323"/>
        <v>7161225302</v>
      </c>
      <c r="G1533" s="1">
        <v>44615</v>
      </c>
      <c r="H1533" t="str">
        <f t="shared" si="329"/>
        <v>91413</v>
      </c>
      <c r="I1533">
        <v>1</v>
      </c>
      <c r="J1533">
        <v>853</v>
      </c>
      <c r="K1533">
        <v>0</v>
      </c>
      <c r="L1533">
        <v>665.34</v>
      </c>
    </row>
    <row r="1534" spans="1:12" x14ac:dyDescent="0.25">
      <c r="A1534" t="str">
        <f t="shared" si="316"/>
        <v>89301000</v>
      </c>
      <c r="B1534" t="str">
        <f t="shared" si="317"/>
        <v>06539000</v>
      </c>
      <c r="C1534" t="str">
        <f t="shared" si="327"/>
        <v>06539003</v>
      </c>
      <c r="D1534" t="str">
        <f t="shared" si="328"/>
        <v>813</v>
      </c>
      <c r="E1534" t="str">
        <f t="shared" si="322"/>
        <v>89301172</v>
      </c>
      <c r="F1534" t="str">
        <f t="shared" si="323"/>
        <v>7161225302</v>
      </c>
      <c r="G1534" s="1">
        <v>44617</v>
      </c>
      <c r="H1534" t="str">
        <f t="shared" si="329"/>
        <v>91413</v>
      </c>
      <c r="I1534">
        <v>1</v>
      </c>
      <c r="J1534">
        <v>853</v>
      </c>
      <c r="K1534">
        <v>0</v>
      </c>
      <c r="L1534">
        <v>665.34</v>
      </c>
    </row>
    <row r="1535" spans="1:12" x14ac:dyDescent="0.25">
      <c r="A1535" t="str">
        <f t="shared" si="316"/>
        <v>89301000</v>
      </c>
      <c r="B1535" t="str">
        <f t="shared" si="317"/>
        <v>06539000</v>
      </c>
      <c r="C1535" t="str">
        <f t="shared" si="327"/>
        <v>06539003</v>
      </c>
      <c r="D1535" t="str">
        <f t="shared" si="328"/>
        <v>813</v>
      </c>
      <c r="E1535" t="str">
        <f t="shared" si="322"/>
        <v>89301172</v>
      </c>
      <c r="F1535" t="str">
        <f t="shared" si="323"/>
        <v>7161225302</v>
      </c>
      <c r="G1535" s="1">
        <v>44617</v>
      </c>
      <c r="H1535" t="str">
        <f t="shared" si="329"/>
        <v>91413</v>
      </c>
      <c r="I1535">
        <v>1</v>
      </c>
      <c r="J1535">
        <v>853</v>
      </c>
      <c r="K1535">
        <v>0</v>
      </c>
      <c r="L1535">
        <v>665.34</v>
      </c>
    </row>
    <row r="1536" spans="1:12" x14ac:dyDescent="0.25">
      <c r="A1536" t="str">
        <f t="shared" si="316"/>
        <v>89301000</v>
      </c>
      <c r="B1536" t="str">
        <f t="shared" si="317"/>
        <v>06539000</v>
      </c>
      <c r="C1536" t="str">
        <f t="shared" si="327"/>
        <v>06539003</v>
      </c>
      <c r="D1536" t="str">
        <f t="shared" si="328"/>
        <v>813</v>
      </c>
      <c r="E1536" t="str">
        <f t="shared" si="322"/>
        <v>89301172</v>
      </c>
      <c r="F1536" t="str">
        <f t="shared" si="323"/>
        <v>7161225302</v>
      </c>
      <c r="G1536" s="1">
        <v>44617</v>
      </c>
      <c r="H1536" t="str">
        <f t="shared" si="329"/>
        <v>91413</v>
      </c>
      <c r="I1536">
        <v>1</v>
      </c>
      <c r="J1536">
        <v>853</v>
      </c>
      <c r="K1536">
        <v>0</v>
      </c>
      <c r="L1536">
        <v>665.34</v>
      </c>
    </row>
    <row r="1537" spans="1:12" x14ac:dyDescent="0.25">
      <c r="A1537" t="str">
        <f t="shared" si="316"/>
        <v>89301000</v>
      </c>
      <c r="B1537" t="str">
        <f t="shared" si="317"/>
        <v>06539000</v>
      </c>
      <c r="C1537" t="str">
        <f t="shared" si="327"/>
        <v>06539003</v>
      </c>
      <c r="D1537" t="str">
        <f t="shared" si="328"/>
        <v>813</v>
      </c>
      <c r="E1537" t="str">
        <f t="shared" si="322"/>
        <v>89301172</v>
      </c>
      <c r="F1537" t="str">
        <f t="shared" si="323"/>
        <v>7161225302</v>
      </c>
      <c r="G1537" s="1">
        <v>44617</v>
      </c>
      <c r="H1537" t="str">
        <f t="shared" si="329"/>
        <v>91413</v>
      </c>
      <c r="I1537">
        <v>1</v>
      </c>
      <c r="J1537">
        <v>853</v>
      </c>
      <c r="K1537">
        <v>0</v>
      </c>
      <c r="L1537">
        <v>665.34</v>
      </c>
    </row>
    <row r="1538" spans="1:12" x14ac:dyDescent="0.25">
      <c r="A1538" t="str">
        <f t="shared" ref="A1538:A1601" si="330">"89301000"</f>
        <v>89301000</v>
      </c>
      <c r="B1538" t="str">
        <f t="shared" si="317"/>
        <v>06539000</v>
      </c>
      <c r="C1538" t="str">
        <f t="shared" si="327"/>
        <v>06539003</v>
      </c>
      <c r="D1538" t="str">
        <f t="shared" si="328"/>
        <v>813</v>
      </c>
      <c r="E1538" t="str">
        <f t="shared" si="322"/>
        <v>89301172</v>
      </c>
      <c r="F1538" t="str">
        <f t="shared" si="323"/>
        <v>7161225302</v>
      </c>
      <c r="G1538" s="1">
        <v>44603</v>
      </c>
      <c r="H1538" t="str">
        <f t="shared" ref="H1538:H1544" si="331">"91197"</f>
        <v>91197</v>
      </c>
      <c r="I1538">
        <v>1</v>
      </c>
      <c r="J1538">
        <v>1046</v>
      </c>
      <c r="K1538">
        <v>0</v>
      </c>
      <c r="L1538">
        <v>815.88</v>
      </c>
    </row>
    <row r="1539" spans="1:12" x14ac:dyDescent="0.25">
      <c r="A1539" t="str">
        <f t="shared" si="330"/>
        <v>89301000</v>
      </c>
      <c r="B1539" t="str">
        <f t="shared" si="317"/>
        <v>06539000</v>
      </c>
      <c r="C1539" t="str">
        <f t="shared" si="327"/>
        <v>06539003</v>
      </c>
      <c r="D1539" t="str">
        <f t="shared" si="328"/>
        <v>813</v>
      </c>
      <c r="E1539" t="str">
        <f t="shared" si="322"/>
        <v>89301172</v>
      </c>
      <c r="F1539" t="str">
        <f t="shared" si="323"/>
        <v>7161225302</v>
      </c>
      <c r="G1539" s="1">
        <v>44606</v>
      </c>
      <c r="H1539" t="str">
        <f t="shared" si="331"/>
        <v>91197</v>
      </c>
      <c r="I1539">
        <v>1</v>
      </c>
      <c r="J1539">
        <v>1046</v>
      </c>
      <c r="K1539">
        <v>0</v>
      </c>
      <c r="L1539">
        <v>815.88</v>
      </c>
    </row>
    <row r="1540" spans="1:12" x14ac:dyDescent="0.25">
      <c r="A1540" t="str">
        <f t="shared" si="330"/>
        <v>89301000</v>
      </c>
      <c r="B1540" t="str">
        <f t="shared" si="317"/>
        <v>06539000</v>
      </c>
      <c r="C1540" t="str">
        <f t="shared" si="327"/>
        <v>06539003</v>
      </c>
      <c r="D1540" t="str">
        <f t="shared" si="328"/>
        <v>813</v>
      </c>
      <c r="E1540" t="str">
        <f t="shared" si="322"/>
        <v>89301172</v>
      </c>
      <c r="F1540" t="str">
        <f t="shared" si="323"/>
        <v>7161225302</v>
      </c>
      <c r="G1540" s="1">
        <v>44606</v>
      </c>
      <c r="H1540" t="str">
        <f t="shared" si="331"/>
        <v>91197</v>
      </c>
      <c r="I1540">
        <v>1</v>
      </c>
      <c r="J1540">
        <v>1046</v>
      </c>
      <c r="K1540">
        <v>0</v>
      </c>
      <c r="L1540">
        <v>815.88</v>
      </c>
    </row>
    <row r="1541" spans="1:12" x14ac:dyDescent="0.25">
      <c r="A1541" t="str">
        <f t="shared" si="330"/>
        <v>89301000</v>
      </c>
      <c r="B1541" t="str">
        <f t="shared" si="317"/>
        <v>06539000</v>
      </c>
      <c r="C1541" t="str">
        <f t="shared" si="327"/>
        <v>06539003</v>
      </c>
      <c r="D1541" t="str">
        <f t="shared" si="328"/>
        <v>813</v>
      </c>
      <c r="E1541" t="str">
        <f t="shared" si="322"/>
        <v>89301172</v>
      </c>
      <c r="F1541" t="str">
        <f t="shared" si="323"/>
        <v>7161225302</v>
      </c>
      <c r="G1541" s="1">
        <v>44605</v>
      </c>
      <c r="H1541" t="str">
        <f t="shared" si="331"/>
        <v>91197</v>
      </c>
      <c r="I1541">
        <v>1</v>
      </c>
      <c r="J1541">
        <v>1046</v>
      </c>
      <c r="K1541">
        <v>0</v>
      </c>
      <c r="L1541">
        <v>815.88</v>
      </c>
    </row>
    <row r="1542" spans="1:12" x14ac:dyDescent="0.25">
      <c r="A1542" t="str">
        <f t="shared" si="330"/>
        <v>89301000</v>
      </c>
      <c r="B1542" t="str">
        <f t="shared" si="317"/>
        <v>06539000</v>
      </c>
      <c r="C1542" t="str">
        <f t="shared" si="327"/>
        <v>06539003</v>
      </c>
      <c r="D1542" t="str">
        <f t="shared" si="328"/>
        <v>813</v>
      </c>
      <c r="E1542" t="str">
        <f t="shared" si="322"/>
        <v>89301172</v>
      </c>
      <c r="F1542" t="str">
        <f t="shared" si="323"/>
        <v>7161225302</v>
      </c>
      <c r="G1542" s="1">
        <v>44605</v>
      </c>
      <c r="H1542" t="str">
        <f t="shared" si="331"/>
        <v>91197</v>
      </c>
      <c r="I1542">
        <v>1</v>
      </c>
      <c r="J1542">
        <v>1046</v>
      </c>
      <c r="K1542">
        <v>0</v>
      </c>
      <c r="L1542">
        <v>815.88</v>
      </c>
    </row>
    <row r="1543" spans="1:12" x14ac:dyDescent="0.25">
      <c r="A1543" t="str">
        <f t="shared" si="330"/>
        <v>89301000</v>
      </c>
      <c r="B1543" t="str">
        <f t="shared" si="317"/>
        <v>06539000</v>
      </c>
      <c r="C1543" t="str">
        <f t="shared" si="327"/>
        <v>06539003</v>
      </c>
      <c r="D1543" t="str">
        <f t="shared" si="328"/>
        <v>813</v>
      </c>
      <c r="E1543" t="str">
        <f t="shared" si="322"/>
        <v>89301172</v>
      </c>
      <c r="F1543" t="str">
        <f t="shared" si="323"/>
        <v>7161225302</v>
      </c>
      <c r="G1543" s="1">
        <v>44604</v>
      </c>
      <c r="H1543" t="str">
        <f t="shared" si="331"/>
        <v>91197</v>
      </c>
      <c r="I1543">
        <v>1</v>
      </c>
      <c r="J1543">
        <v>1046</v>
      </c>
      <c r="K1543">
        <v>0</v>
      </c>
      <c r="L1543">
        <v>815.88</v>
      </c>
    </row>
    <row r="1544" spans="1:12" x14ac:dyDescent="0.25">
      <c r="A1544" t="str">
        <f t="shared" si="330"/>
        <v>89301000</v>
      </c>
      <c r="B1544" t="str">
        <f t="shared" si="317"/>
        <v>06539000</v>
      </c>
      <c r="C1544" t="str">
        <f t="shared" si="327"/>
        <v>06539003</v>
      </c>
      <c r="D1544" t="str">
        <f t="shared" si="328"/>
        <v>813</v>
      </c>
      <c r="E1544" t="str">
        <f t="shared" si="322"/>
        <v>89301172</v>
      </c>
      <c r="F1544" t="str">
        <f t="shared" si="323"/>
        <v>7161225302</v>
      </c>
      <c r="G1544" s="1">
        <v>44604</v>
      </c>
      <c r="H1544" t="str">
        <f t="shared" si="331"/>
        <v>91197</v>
      </c>
      <c r="I1544">
        <v>1</v>
      </c>
      <c r="J1544">
        <v>1046</v>
      </c>
      <c r="K1544">
        <v>0</v>
      </c>
      <c r="L1544">
        <v>815.88</v>
      </c>
    </row>
    <row r="1545" spans="1:12" x14ac:dyDescent="0.25">
      <c r="A1545" t="str">
        <f t="shared" si="330"/>
        <v>89301000</v>
      </c>
      <c r="B1545" t="str">
        <f t="shared" si="317"/>
        <v>06539000</v>
      </c>
      <c r="C1545" t="str">
        <f t="shared" si="327"/>
        <v>06539003</v>
      </c>
      <c r="D1545" t="str">
        <f t="shared" si="328"/>
        <v>813</v>
      </c>
      <c r="E1545" t="str">
        <f t="shared" si="322"/>
        <v>89301172</v>
      </c>
      <c r="F1545" t="str">
        <f t="shared" si="323"/>
        <v>7161225302</v>
      </c>
      <c r="G1545" s="1">
        <v>44607</v>
      </c>
      <c r="H1545" t="str">
        <f>"91329"</f>
        <v>91329</v>
      </c>
      <c r="I1545">
        <v>2</v>
      </c>
      <c r="J1545">
        <v>428</v>
      </c>
      <c r="K1545">
        <v>0</v>
      </c>
      <c r="L1545">
        <v>333.84</v>
      </c>
    </row>
    <row r="1546" spans="1:12" x14ac:dyDescent="0.25">
      <c r="A1546" t="str">
        <f t="shared" si="330"/>
        <v>89301000</v>
      </c>
      <c r="B1546" t="str">
        <f t="shared" ref="B1546:B1569" si="332">"06539000"</f>
        <v>06539000</v>
      </c>
      <c r="C1546" t="str">
        <f t="shared" si="327"/>
        <v>06539003</v>
      </c>
      <c r="D1546" t="str">
        <f t="shared" si="328"/>
        <v>813</v>
      </c>
      <c r="E1546" t="str">
        <f t="shared" si="322"/>
        <v>89301172</v>
      </c>
      <c r="F1546" t="str">
        <f t="shared" si="323"/>
        <v>7161225302</v>
      </c>
      <c r="G1546" s="1">
        <v>44607</v>
      </c>
      <c r="H1546" t="str">
        <f>"91329"</f>
        <v>91329</v>
      </c>
      <c r="I1546">
        <v>2</v>
      </c>
      <c r="J1546">
        <v>428</v>
      </c>
      <c r="K1546">
        <v>0</v>
      </c>
      <c r="L1546">
        <v>333.84</v>
      </c>
    </row>
    <row r="1547" spans="1:12" x14ac:dyDescent="0.25">
      <c r="A1547" t="str">
        <f t="shared" si="330"/>
        <v>89301000</v>
      </c>
      <c r="B1547" t="str">
        <f t="shared" si="332"/>
        <v>06539000</v>
      </c>
      <c r="C1547" t="str">
        <f t="shared" si="327"/>
        <v>06539003</v>
      </c>
      <c r="D1547" t="str">
        <f t="shared" si="328"/>
        <v>813</v>
      </c>
      <c r="E1547" t="str">
        <f t="shared" si="322"/>
        <v>89301172</v>
      </c>
      <c r="F1547" t="str">
        <f t="shared" si="323"/>
        <v>7161225302</v>
      </c>
      <c r="G1547" s="1">
        <v>44607</v>
      </c>
      <c r="H1547" t="str">
        <f>"91329"</f>
        <v>91329</v>
      </c>
      <c r="I1547">
        <v>2</v>
      </c>
      <c r="J1547">
        <v>428</v>
      </c>
      <c r="K1547">
        <v>0</v>
      </c>
      <c r="L1547">
        <v>333.84</v>
      </c>
    </row>
    <row r="1548" spans="1:12" x14ac:dyDescent="0.25">
      <c r="A1548" t="str">
        <f t="shared" si="330"/>
        <v>89301000</v>
      </c>
      <c r="B1548" t="str">
        <f t="shared" si="332"/>
        <v>06539000</v>
      </c>
      <c r="C1548" t="str">
        <f t="shared" si="327"/>
        <v>06539003</v>
      </c>
      <c r="D1548" t="str">
        <f t="shared" si="328"/>
        <v>813</v>
      </c>
      <c r="E1548" t="str">
        <f t="shared" si="322"/>
        <v>89301172</v>
      </c>
      <c r="F1548" t="str">
        <f t="shared" si="323"/>
        <v>7161225302</v>
      </c>
      <c r="G1548" s="1">
        <v>44607</v>
      </c>
      <c r="H1548" t="str">
        <f>"91329"</f>
        <v>91329</v>
      </c>
      <c r="I1548">
        <v>2</v>
      </c>
      <c r="J1548">
        <v>428</v>
      </c>
      <c r="K1548">
        <v>0</v>
      </c>
      <c r="L1548">
        <v>333.84</v>
      </c>
    </row>
    <row r="1549" spans="1:12" x14ac:dyDescent="0.25">
      <c r="A1549" t="str">
        <f t="shared" si="330"/>
        <v>89301000</v>
      </c>
      <c r="B1549" t="str">
        <f t="shared" si="332"/>
        <v>06539000</v>
      </c>
      <c r="C1549" t="str">
        <f t="shared" si="327"/>
        <v>06539003</v>
      </c>
      <c r="D1549" t="str">
        <f t="shared" si="328"/>
        <v>813</v>
      </c>
      <c r="E1549" t="str">
        <f t="shared" si="322"/>
        <v>89301172</v>
      </c>
      <c r="F1549" t="str">
        <f t="shared" si="323"/>
        <v>7161225302</v>
      </c>
      <c r="G1549" s="1">
        <v>44606</v>
      </c>
      <c r="H1549" t="str">
        <f>"91129"</f>
        <v>91129</v>
      </c>
      <c r="I1549">
        <v>1</v>
      </c>
      <c r="J1549">
        <v>174</v>
      </c>
      <c r="K1549">
        <v>0</v>
      </c>
      <c r="L1549">
        <v>135.72</v>
      </c>
    </row>
    <row r="1550" spans="1:12" x14ac:dyDescent="0.25">
      <c r="A1550" t="str">
        <f t="shared" si="330"/>
        <v>89301000</v>
      </c>
      <c r="B1550" t="str">
        <f t="shared" si="332"/>
        <v>06539000</v>
      </c>
      <c r="C1550" t="str">
        <f t="shared" si="327"/>
        <v>06539003</v>
      </c>
      <c r="D1550" t="str">
        <f t="shared" si="328"/>
        <v>813</v>
      </c>
      <c r="E1550" t="str">
        <f t="shared" si="322"/>
        <v>89301172</v>
      </c>
      <c r="F1550" t="str">
        <f t="shared" si="323"/>
        <v>7161225302</v>
      </c>
      <c r="G1550" s="1">
        <v>44606</v>
      </c>
      <c r="H1550" t="str">
        <f>"91131"</f>
        <v>91131</v>
      </c>
      <c r="I1550">
        <v>1</v>
      </c>
      <c r="J1550">
        <v>171</v>
      </c>
      <c r="K1550">
        <v>0</v>
      </c>
      <c r="L1550">
        <v>133.38</v>
      </c>
    </row>
    <row r="1551" spans="1:12" x14ac:dyDescent="0.25">
      <c r="A1551" t="str">
        <f t="shared" si="330"/>
        <v>89301000</v>
      </c>
      <c r="B1551" t="str">
        <f t="shared" si="332"/>
        <v>06539000</v>
      </c>
      <c r="C1551" t="str">
        <f t="shared" si="327"/>
        <v>06539003</v>
      </c>
      <c r="D1551" t="str">
        <f t="shared" si="328"/>
        <v>813</v>
      </c>
      <c r="E1551" t="str">
        <f t="shared" si="322"/>
        <v>89301172</v>
      </c>
      <c r="F1551" t="str">
        <f t="shared" si="323"/>
        <v>7161225302</v>
      </c>
      <c r="G1551" s="1">
        <v>44606</v>
      </c>
      <c r="H1551" t="str">
        <f>"91133"</f>
        <v>91133</v>
      </c>
      <c r="I1551">
        <v>1</v>
      </c>
      <c r="J1551">
        <v>176</v>
      </c>
      <c r="K1551">
        <v>0</v>
      </c>
      <c r="L1551">
        <v>137.28</v>
      </c>
    </row>
    <row r="1552" spans="1:12" x14ac:dyDescent="0.25">
      <c r="A1552" t="str">
        <f t="shared" si="330"/>
        <v>89301000</v>
      </c>
      <c r="B1552" t="str">
        <f t="shared" si="332"/>
        <v>06539000</v>
      </c>
      <c r="C1552" t="str">
        <f t="shared" si="327"/>
        <v>06539003</v>
      </c>
      <c r="D1552" t="str">
        <f t="shared" si="328"/>
        <v>813</v>
      </c>
      <c r="E1552" t="str">
        <f t="shared" si="322"/>
        <v>89301172</v>
      </c>
      <c r="F1552" t="str">
        <f t="shared" si="323"/>
        <v>7161225302</v>
      </c>
      <c r="G1552" s="1">
        <v>44606</v>
      </c>
      <c r="H1552" t="str">
        <f>"91171"</f>
        <v>91171</v>
      </c>
      <c r="I1552">
        <v>1</v>
      </c>
      <c r="J1552">
        <v>360</v>
      </c>
      <c r="K1552">
        <v>0</v>
      </c>
      <c r="L1552">
        <v>280.8</v>
      </c>
    </row>
    <row r="1553" spans="1:12" x14ac:dyDescent="0.25">
      <c r="A1553" t="str">
        <f t="shared" si="330"/>
        <v>89301000</v>
      </c>
      <c r="B1553" t="str">
        <f t="shared" si="332"/>
        <v>06539000</v>
      </c>
      <c r="C1553" t="str">
        <f t="shared" si="327"/>
        <v>06539003</v>
      </c>
      <c r="D1553" t="str">
        <f t="shared" si="328"/>
        <v>813</v>
      </c>
      <c r="E1553" t="str">
        <f t="shared" si="322"/>
        <v>89301172</v>
      </c>
      <c r="F1553" t="str">
        <f t="shared" si="323"/>
        <v>7161225302</v>
      </c>
      <c r="G1553" s="1">
        <v>44606</v>
      </c>
      <c r="H1553" t="str">
        <f>"91173"</f>
        <v>91173</v>
      </c>
      <c r="I1553">
        <v>1</v>
      </c>
      <c r="J1553">
        <v>335</v>
      </c>
      <c r="K1553">
        <v>0</v>
      </c>
      <c r="L1553">
        <v>261.3</v>
      </c>
    </row>
    <row r="1554" spans="1:12" x14ac:dyDescent="0.25">
      <c r="A1554" t="str">
        <f t="shared" si="330"/>
        <v>89301000</v>
      </c>
      <c r="B1554" t="str">
        <f t="shared" si="332"/>
        <v>06539000</v>
      </c>
      <c r="C1554" t="str">
        <f t="shared" si="327"/>
        <v>06539003</v>
      </c>
      <c r="D1554" t="str">
        <f t="shared" si="328"/>
        <v>813</v>
      </c>
      <c r="E1554" t="str">
        <f t="shared" si="322"/>
        <v>89301172</v>
      </c>
      <c r="F1554" t="str">
        <f t="shared" si="323"/>
        <v>7161225302</v>
      </c>
      <c r="G1554" s="1">
        <v>44606</v>
      </c>
      <c r="H1554" t="str">
        <f>"91175"</f>
        <v>91175</v>
      </c>
      <c r="I1554">
        <v>1</v>
      </c>
      <c r="J1554">
        <v>360</v>
      </c>
      <c r="K1554">
        <v>0</v>
      </c>
      <c r="L1554">
        <v>280.8</v>
      </c>
    </row>
    <row r="1555" spans="1:12" x14ac:dyDescent="0.25">
      <c r="A1555" t="str">
        <f t="shared" si="330"/>
        <v>89301000</v>
      </c>
      <c r="B1555" t="str">
        <f t="shared" si="332"/>
        <v>06539000</v>
      </c>
      <c r="C1555" t="str">
        <f t="shared" si="327"/>
        <v>06539003</v>
      </c>
      <c r="D1555" t="str">
        <f t="shared" si="328"/>
        <v>813</v>
      </c>
      <c r="E1555" t="str">
        <f t="shared" si="322"/>
        <v>89301172</v>
      </c>
      <c r="F1555" t="str">
        <f t="shared" si="323"/>
        <v>7161225302</v>
      </c>
      <c r="G1555" s="1">
        <v>44604</v>
      </c>
      <c r="H1555" t="str">
        <f>"91167"</f>
        <v>91167</v>
      </c>
      <c r="I1555">
        <v>1</v>
      </c>
      <c r="J1555">
        <v>425</v>
      </c>
      <c r="K1555">
        <v>0</v>
      </c>
      <c r="L1555">
        <v>331.5</v>
      </c>
    </row>
    <row r="1556" spans="1:12" x14ac:dyDescent="0.25">
      <c r="A1556" t="str">
        <f t="shared" si="330"/>
        <v>89301000</v>
      </c>
      <c r="B1556" t="str">
        <f t="shared" si="332"/>
        <v>06539000</v>
      </c>
      <c r="C1556" t="str">
        <f t="shared" si="327"/>
        <v>06539003</v>
      </c>
      <c r="D1556" t="str">
        <f t="shared" si="328"/>
        <v>813</v>
      </c>
      <c r="E1556" t="str">
        <f t="shared" si="322"/>
        <v>89301172</v>
      </c>
      <c r="F1556" t="str">
        <f t="shared" si="323"/>
        <v>7161225302</v>
      </c>
      <c r="G1556" s="1">
        <v>44604</v>
      </c>
      <c r="H1556" t="str">
        <f>"91169"</f>
        <v>91169</v>
      </c>
      <c r="I1556">
        <v>1</v>
      </c>
      <c r="J1556">
        <v>425</v>
      </c>
      <c r="K1556">
        <v>0</v>
      </c>
      <c r="L1556">
        <v>331.5</v>
      </c>
    </row>
    <row r="1557" spans="1:12" x14ac:dyDescent="0.25">
      <c r="A1557" t="str">
        <f t="shared" si="330"/>
        <v>89301000</v>
      </c>
      <c r="B1557" t="str">
        <f t="shared" si="332"/>
        <v>06539000</v>
      </c>
      <c r="C1557" t="str">
        <f t="shared" si="327"/>
        <v>06539003</v>
      </c>
      <c r="D1557" t="str">
        <f t="shared" si="328"/>
        <v>813</v>
      </c>
      <c r="E1557" t="str">
        <f t="shared" si="322"/>
        <v>89301172</v>
      </c>
      <c r="F1557" t="str">
        <f t="shared" si="323"/>
        <v>7161225302</v>
      </c>
      <c r="G1557" s="1">
        <v>44603</v>
      </c>
      <c r="H1557" t="str">
        <f>"91167"</f>
        <v>91167</v>
      </c>
      <c r="I1557">
        <v>1</v>
      </c>
      <c r="J1557">
        <v>425</v>
      </c>
      <c r="K1557">
        <v>0</v>
      </c>
      <c r="L1557">
        <v>331.5</v>
      </c>
    </row>
    <row r="1558" spans="1:12" x14ac:dyDescent="0.25">
      <c r="A1558" t="str">
        <f t="shared" si="330"/>
        <v>89301000</v>
      </c>
      <c r="B1558" t="str">
        <f t="shared" si="332"/>
        <v>06539000</v>
      </c>
      <c r="C1558" t="str">
        <f t="shared" si="327"/>
        <v>06539003</v>
      </c>
      <c r="D1558" t="str">
        <f t="shared" si="328"/>
        <v>813</v>
      </c>
      <c r="E1558" t="str">
        <f t="shared" si="322"/>
        <v>89301172</v>
      </c>
      <c r="F1558" t="str">
        <f t="shared" si="323"/>
        <v>7161225302</v>
      </c>
      <c r="G1558" s="1">
        <v>44603</v>
      </c>
      <c r="H1558" t="str">
        <f>"91169"</f>
        <v>91169</v>
      </c>
      <c r="I1558">
        <v>1</v>
      </c>
      <c r="J1558">
        <v>425</v>
      </c>
      <c r="K1558">
        <v>0</v>
      </c>
      <c r="L1558">
        <v>331.5</v>
      </c>
    </row>
    <row r="1559" spans="1:12" x14ac:dyDescent="0.25">
      <c r="A1559" t="str">
        <f t="shared" si="330"/>
        <v>89301000</v>
      </c>
      <c r="B1559" t="str">
        <f t="shared" si="332"/>
        <v>06539000</v>
      </c>
      <c r="C1559" t="str">
        <f t="shared" si="327"/>
        <v>06539003</v>
      </c>
      <c r="D1559" t="str">
        <f t="shared" si="328"/>
        <v>813</v>
      </c>
      <c r="E1559" t="str">
        <f t="shared" ref="E1559:E1569" si="333">"89301172"</f>
        <v>89301172</v>
      </c>
      <c r="F1559" t="str">
        <f t="shared" si="323"/>
        <v>7161225302</v>
      </c>
      <c r="G1559" s="1">
        <v>44606</v>
      </c>
      <c r="H1559" t="str">
        <f>"91475"</f>
        <v>91475</v>
      </c>
      <c r="I1559">
        <v>1</v>
      </c>
      <c r="J1559">
        <v>206</v>
      </c>
      <c r="K1559">
        <v>0</v>
      </c>
      <c r="L1559">
        <v>160.68</v>
      </c>
    </row>
    <row r="1560" spans="1:12" x14ac:dyDescent="0.25">
      <c r="A1560" t="str">
        <f t="shared" si="330"/>
        <v>89301000</v>
      </c>
      <c r="B1560" t="str">
        <f t="shared" si="332"/>
        <v>06539000</v>
      </c>
      <c r="C1560" t="str">
        <f t="shared" si="327"/>
        <v>06539003</v>
      </c>
      <c r="D1560" t="str">
        <f t="shared" si="328"/>
        <v>813</v>
      </c>
      <c r="E1560" t="str">
        <f t="shared" si="333"/>
        <v>89301172</v>
      </c>
      <c r="F1560" t="str">
        <f>"9401216165"</f>
        <v>9401216165</v>
      </c>
      <c r="G1560" s="1">
        <v>44614</v>
      </c>
      <c r="H1560" t="str">
        <f>"91329"</f>
        <v>91329</v>
      </c>
      <c r="I1560">
        <v>2</v>
      </c>
      <c r="J1560">
        <v>428</v>
      </c>
      <c r="K1560">
        <v>0</v>
      </c>
      <c r="L1560">
        <v>333.84</v>
      </c>
    </row>
    <row r="1561" spans="1:12" x14ac:dyDescent="0.25">
      <c r="A1561" t="str">
        <f t="shared" si="330"/>
        <v>89301000</v>
      </c>
      <c r="B1561" t="str">
        <f t="shared" si="332"/>
        <v>06539000</v>
      </c>
      <c r="C1561" t="str">
        <f t="shared" si="327"/>
        <v>06539003</v>
      </c>
      <c r="D1561" t="str">
        <f t="shared" si="328"/>
        <v>813</v>
      </c>
      <c r="E1561" t="str">
        <f t="shared" si="333"/>
        <v>89301172</v>
      </c>
      <c r="F1561" t="str">
        <f>"9401216165"</f>
        <v>9401216165</v>
      </c>
      <c r="G1561" s="1">
        <v>44614</v>
      </c>
      <c r="H1561" t="str">
        <f>"91329"</f>
        <v>91329</v>
      </c>
      <c r="I1561">
        <v>2</v>
      </c>
      <c r="J1561">
        <v>428</v>
      </c>
      <c r="K1561">
        <v>0</v>
      </c>
      <c r="L1561">
        <v>333.84</v>
      </c>
    </row>
    <row r="1562" spans="1:12" x14ac:dyDescent="0.25">
      <c r="A1562" t="str">
        <f t="shared" si="330"/>
        <v>89301000</v>
      </c>
      <c r="B1562" t="str">
        <f t="shared" si="332"/>
        <v>06539000</v>
      </c>
      <c r="C1562" t="str">
        <f t="shared" si="327"/>
        <v>06539003</v>
      </c>
      <c r="D1562" t="str">
        <f t="shared" si="328"/>
        <v>813</v>
      </c>
      <c r="E1562" t="str">
        <f t="shared" si="333"/>
        <v>89301172</v>
      </c>
      <c r="F1562" t="str">
        <f>"9401216165"</f>
        <v>9401216165</v>
      </c>
      <c r="G1562" s="1">
        <v>44614</v>
      </c>
      <c r="H1562" t="str">
        <f>"91329"</f>
        <v>91329</v>
      </c>
      <c r="I1562">
        <v>2</v>
      </c>
      <c r="J1562">
        <v>428</v>
      </c>
      <c r="K1562">
        <v>0</v>
      </c>
      <c r="L1562">
        <v>333.84</v>
      </c>
    </row>
    <row r="1563" spans="1:12" x14ac:dyDescent="0.25">
      <c r="A1563" t="str">
        <f t="shared" si="330"/>
        <v>89301000</v>
      </c>
      <c r="B1563" t="str">
        <f t="shared" si="332"/>
        <v>06539000</v>
      </c>
      <c r="C1563" t="str">
        <f t="shared" si="327"/>
        <v>06539003</v>
      </c>
      <c r="D1563" t="str">
        <f t="shared" si="328"/>
        <v>813</v>
      </c>
      <c r="E1563" t="str">
        <f t="shared" si="333"/>
        <v>89301172</v>
      </c>
      <c r="F1563" t="str">
        <f>"9401216165"</f>
        <v>9401216165</v>
      </c>
      <c r="G1563" s="1">
        <v>44614</v>
      </c>
      <c r="H1563" t="str">
        <f>"91329"</f>
        <v>91329</v>
      </c>
      <c r="I1563">
        <v>2</v>
      </c>
      <c r="J1563">
        <v>428</v>
      </c>
      <c r="K1563">
        <v>0</v>
      </c>
      <c r="L1563">
        <v>333.84</v>
      </c>
    </row>
    <row r="1564" spans="1:12" x14ac:dyDescent="0.25">
      <c r="A1564" t="str">
        <f t="shared" si="330"/>
        <v>89301000</v>
      </c>
      <c r="B1564" t="str">
        <f t="shared" si="332"/>
        <v>06539000</v>
      </c>
      <c r="C1564" t="str">
        <f t="shared" si="327"/>
        <v>06539003</v>
      </c>
      <c r="D1564" t="str">
        <f t="shared" si="328"/>
        <v>813</v>
      </c>
      <c r="E1564" t="str">
        <f t="shared" si="333"/>
        <v>89301172</v>
      </c>
      <c r="F1564" t="str">
        <f>"9401216165"</f>
        <v>9401216165</v>
      </c>
      <c r="G1564" s="1">
        <v>44614</v>
      </c>
      <c r="H1564" t="str">
        <f>"91475"</f>
        <v>91475</v>
      </c>
      <c r="I1564">
        <v>1</v>
      </c>
      <c r="J1564">
        <v>206</v>
      </c>
      <c r="K1564">
        <v>0</v>
      </c>
      <c r="L1564">
        <v>160.68</v>
      </c>
    </row>
    <row r="1565" spans="1:12" x14ac:dyDescent="0.25">
      <c r="A1565" t="str">
        <f t="shared" si="330"/>
        <v>89301000</v>
      </c>
      <c r="B1565" t="str">
        <f t="shared" si="332"/>
        <v>06539000</v>
      </c>
      <c r="C1565" t="str">
        <f t="shared" si="327"/>
        <v>06539003</v>
      </c>
      <c r="D1565" t="str">
        <f t="shared" si="328"/>
        <v>813</v>
      </c>
      <c r="E1565" t="str">
        <f t="shared" si="333"/>
        <v>89301172</v>
      </c>
      <c r="F1565" t="str">
        <f>"0356266295"</f>
        <v>0356266295</v>
      </c>
      <c r="G1565" s="1">
        <v>44614</v>
      </c>
      <c r="H1565" t="str">
        <f>"91329"</f>
        <v>91329</v>
      </c>
      <c r="I1565">
        <v>2</v>
      </c>
      <c r="J1565">
        <v>428</v>
      </c>
      <c r="K1565">
        <v>0</v>
      </c>
      <c r="L1565">
        <v>333.84</v>
      </c>
    </row>
    <row r="1566" spans="1:12" x14ac:dyDescent="0.25">
      <c r="A1566" t="str">
        <f t="shared" si="330"/>
        <v>89301000</v>
      </c>
      <c r="B1566" t="str">
        <f t="shared" si="332"/>
        <v>06539000</v>
      </c>
      <c r="C1566" t="str">
        <f t="shared" si="327"/>
        <v>06539003</v>
      </c>
      <c r="D1566" t="str">
        <f t="shared" si="328"/>
        <v>813</v>
      </c>
      <c r="E1566" t="str">
        <f t="shared" si="333"/>
        <v>89301172</v>
      </c>
      <c r="F1566" t="str">
        <f>"0356266295"</f>
        <v>0356266295</v>
      </c>
      <c r="G1566" s="1">
        <v>44614</v>
      </c>
      <c r="H1566" t="str">
        <f>"91329"</f>
        <v>91329</v>
      </c>
      <c r="I1566">
        <v>2</v>
      </c>
      <c r="J1566">
        <v>428</v>
      </c>
      <c r="K1566">
        <v>0</v>
      </c>
      <c r="L1566">
        <v>333.84</v>
      </c>
    </row>
    <row r="1567" spans="1:12" x14ac:dyDescent="0.25">
      <c r="A1567" t="str">
        <f t="shared" si="330"/>
        <v>89301000</v>
      </c>
      <c r="B1567" t="str">
        <f t="shared" si="332"/>
        <v>06539000</v>
      </c>
      <c r="C1567" t="str">
        <f t="shared" si="327"/>
        <v>06539003</v>
      </c>
      <c r="D1567" t="str">
        <f t="shared" si="328"/>
        <v>813</v>
      </c>
      <c r="E1567" t="str">
        <f t="shared" si="333"/>
        <v>89301172</v>
      </c>
      <c r="F1567" t="str">
        <f>"0356266295"</f>
        <v>0356266295</v>
      </c>
      <c r="G1567" s="1">
        <v>44614</v>
      </c>
      <c r="H1567" t="str">
        <f>"91329"</f>
        <v>91329</v>
      </c>
      <c r="I1567">
        <v>2</v>
      </c>
      <c r="J1567">
        <v>428</v>
      </c>
      <c r="K1567">
        <v>0</v>
      </c>
      <c r="L1567">
        <v>333.84</v>
      </c>
    </row>
    <row r="1568" spans="1:12" x14ac:dyDescent="0.25">
      <c r="A1568" t="str">
        <f t="shared" si="330"/>
        <v>89301000</v>
      </c>
      <c r="B1568" t="str">
        <f t="shared" si="332"/>
        <v>06539000</v>
      </c>
      <c r="C1568" t="str">
        <f t="shared" si="327"/>
        <v>06539003</v>
      </c>
      <c r="D1568" t="str">
        <f t="shared" si="328"/>
        <v>813</v>
      </c>
      <c r="E1568" t="str">
        <f t="shared" si="333"/>
        <v>89301172</v>
      </c>
      <c r="F1568" t="str">
        <f>"0356266295"</f>
        <v>0356266295</v>
      </c>
      <c r="G1568" s="1">
        <v>44614</v>
      </c>
      <c r="H1568" t="str">
        <f>"91329"</f>
        <v>91329</v>
      </c>
      <c r="I1568">
        <v>2</v>
      </c>
      <c r="J1568">
        <v>428</v>
      </c>
      <c r="K1568">
        <v>0</v>
      </c>
      <c r="L1568">
        <v>333.84</v>
      </c>
    </row>
    <row r="1569" spans="1:12" x14ac:dyDescent="0.25">
      <c r="A1569" t="str">
        <f t="shared" si="330"/>
        <v>89301000</v>
      </c>
      <c r="B1569" t="str">
        <f t="shared" si="332"/>
        <v>06539000</v>
      </c>
      <c r="C1569" t="str">
        <f t="shared" si="327"/>
        <v>06539003</v>
      </c>
      <c r="D1569" t="str">
        <f t="shared" si="328"/>
        <v>813</v>
      </c>
      <c r="E1569" t="str">
        <f t="shared" si="333"/>
        <v>89301172</v>
      </c>
      <c r="F1569" t="str">
        <f>"0356266295"</f>
        <v>0356266295</v>
      </c>
      <c r="G1569" s="1">
        <v>44614</v>
      </c>
      <c r="H1569" t="str">
        <f>"91475"</f>
        <v>91475</v>
      </c>
      <c r="I1569">
        <v>1</v>
      </c>
      <c r="J1569">
        <v>206</v>
      </c>
      <c r="K1569">
        <v>0</v>
      </c>
      <c r="L1569">
        <v>160.68</v>
      </c>
    </row>
    <row r="1570" spans="1:12" x14ac:dyDescent="0.25">
      <c r="A1570" t="str">
        <f t="shared" si="330"/>
        <v>89301000</v>
      </c>
      <c r="B1570" t="str">
        <f t="shared" ref="B1570:B1576" si="334">"72001000"</f>
        <v>72001000</v>
      </c>
      <c r="C1570" t="str">
        <f t="shared" ref="C1570:C1576" si="335">"72001845"</f>
        <v>72001845</v>
      </c>
      <c r="D1570" t="str">
        <f t="shared" ref="D1570:D1576" si="336">"807"</f>
        <v>807</v>
      </c>
      <c r="E1570" t="str">
        <f>"89301041"</f>
        <v>89301041</v>
      </c>
      <c r="F1570" t="str">
        <f>"6411061129"</f>
        <v>6411061129</v>
      </c>
      <c r="G1570" s="1">
        <v>44588</v>
      </c>
      <c r="H1570" t="str">
        <f>"87223"</f>
        <v>87223</v>
      </c>
      <c r="I1570">
        <v>2</v>
      </c>
      <c r="J1570">
        <v>768</v>
      </c>
      <c r="K1570">
        <v>0</v>
      </c>
      <c r="L1570">
        <v>599.04</v>
      </c>
    </row>
    <row r="1571" spans="1:12" x14ac:dyDescent="0.25">
      <c r="A1571" t="str">
        <f t="shared" si="330"/>
        <v>89301000</v>
      </c>
      <c r="B1571" t="str">
        <f t="shared" si="334"/>
        <v>72001000</v>
      </c>
      <c r="C1571" t="str">
        <f t="shared" si="335"/>
        <v>72001845</v>
      </c>
      <c r="D1571" t="str">
        <f t="shared" si="336"/>
        <v>807</v>
      </c>
      <c r="E1571" t="str">
        <f>"89301041"</f>
        <v>89301041</v>
      </c>
      <c r="F1571" t="str">
        <f>"6411061129"</f>
        <v>6411061129</v>
      </c>
      <c r="G1571" s="1">
        <v>44588</v>
      </c>
      <c r="H1571" t="str">
        <f>"87231"</f>
        <v>87231</v>
      </c>
      <c r="I1571">
        <v>9</v>
      </c>
      <c r="J1571">
        <v>3366</v>
      </c>
      <c r="K1571">
        <v>0</v>
      </c>
      <c r="L1571">
        <v>2625.48</v>
      </c>
    </row>
    <row r="1572" spans="1:12" x14ac:dyDescent="0.25">
      <c r="A1572" t="str">
        <f t="shared" si="330"/>
        <v>89301000</v>
      </c>
      <c r="B1572" t="str">
        <f t="shared" si="334"/>
        <v>72001000</v>
      </c>
      <c r="C1572" t="str">
        <f t="shared" si="335"/>
        <v>72001845</v>
      </c>
      <c r="D1572" t="str">
        <f t="shared" si="336"/>
        <v>807</v>
      </c>
      <c r="E1572" t="str">
        <f>"89301041"</f>
        <v>89301041</v>
      </c>
      <c r="F1572" t="str">
        <f>"6411061129"</f>
        <v>6411061129</v>
      </c>
      <c r="G1572" s="1">
        <v>44588</v>
      </c>
      <c r="H1572" t="str">
        <f>"87231"</f>
        <v>87231</v>
      </c>
      <c r="I1572">
        <v>5</v>
      </c>
      <c r="J1572">
        <v>1870</v>
      </c>
      <c r="K1572">
        <v>0</v>
      </c>
      <c r="L1572">
        <v>1458.6</v>
      </c>
    </row>
    <row r="1573" spans="1:12" x14ac:dyDescent="0.25">
      <c r="A1573" t="str">
        <f t="shared" si="330"/>
        <v>89301000</v>
      </c>
      <c r="B1573" t="str">
        <f t="shared" si="334"/>
        <v>72001000</v>
      </c>
      <c r="C1573" t="str">
        <f t="shared" si="335"/>
        <v>72001845</v>
      </c>
      <c r="D1573" t="str">
        <f t="shared" si="336"/>
        <v>807</v>
      </c>
      <c r="E1573" t="str">
        <f>"89301041"</f>
        <v>89301041</v>
      </c>
      <c r="F1573" t="str">
        <f>"6411061129"</f>
        <v>6411061129</v>
      </c>
      <c r="G1573" s="1">
        <v>44588</v>
      </c>
      <c r="H1573" t="str">
        <f>"87613"</f>
        <v>87613</v>
      </c>
      <c r="I1573">
        <v>1</v>
      </c>
      <c r="J1573">
        <v>422</v>
      </c>
      <c r="K1573">
        <v>0</v>
      </c>
      <c r="L1573">
        <v>329.16</v>
      </c>
    </row>
    <row r="1574" spans="1:12" x14ac:dyDescent="0.25">
      <c r="A1574" t="str">
        <f t="shared" si="330"/>
        <v>89301000</v>
      </c>
      <c r="B1574" t="str">
        <f t="shared" si="334"/>
        <v>72001000</v>
      </c>
      <c r="C1574" t="str">
        <f t="shared" si="335"/>
        <v>72001845</v>
      </c>
      <c r="D1574" t="str">
        <f t="shared" si="336"/>
        <v>807</v>
      </c>
      <c r="E1574" t="str">
        <f>"89301041"</f>
        <v>89301041</v>
      </c>
      <c r="F1574" t="str">
        <f>"6411061129"</f>
        <v>6411061129</v>
      </c>
      <c r="G1574" s="1">
        <v>44589</v>
      </c>
      <c r="H1574" t="str">
        <f>"87225"</f>
        <v>87225</v>
      </c>
      <c r="I1574">
        <v>3</v>
      </c>
      <c r="J1574">
        <v>1560</v>
      </c>
      <c r="K1574">
        <v>0</v>
      </c>
      <c r="L1574">
        <v>1216.8</v>
      </c>
    </row>
    <row r="1575" spans="1:12" x14ac:dyDescent="0.25">
      <c r="A1575" t="str">
        <f t="shared" si="330"/>
        <v>89301000</v>
      </c>
      <c r="B1575" t="str">
        <f t="shared" si="334"/>
        <v>72001000</v>
      </c>
      <c r="C1575" t="str">
        <f t="shared" si="335"/>
        <v>72001845</v>
      </c>
      <c r="D1575" t="str">
        <f t="shared" si="336"/>
        <v>807</v>
      </c>
      <c r="E1575" t="str">
        <f>"89301212"</f>
        <v>89301212</v>
      </c>
      <c r="F1575" t="str">
        <f>"8057204474"</f>
        <v>8057204474</v>
      </c>
      <c r="G1575" s="1">
        <v>44588</v>
      </c>
      <c r="H1575" t="str">
        <f>"87695"</f>
        <v>87695</v>
      </c>
      <c r="I1575">
        <v>1</v>
      </c>
      <c r="J1575">
        <v>320</v>
      </c>
      <c r="K1575">
        <v>0</v>
      </c>
      <c r="L1575">
        <v>249.6</v>
      </c>
    </row>
    <row r="1576" spans="1:12" x14ac:dyDescent="0.25">
      <c r="A1576" t="str">
        <f t="shared" si="330"/>
        <v>89301000</v>
      </c>
      <c r="B1576" t="str">
        <f t="shared" si="334"/>
        <v>72001000</v>
      </c>
      <c r="C1576" t="str">
        <f t="shared" si="335"/>
        <v>72001845</v>
      </c>
      <c r="D1576" t="str">
        <f t="shared" si="336"/>
        <v>807</v>
      </c>
      <c r="E1576" t="str">
        <f>"89301041"</f>
        <v>89301041</v>
      </c>
      <c r="F1576" t="str">
        <f>"6411061129"</f>
        <v>6411061129</v>
      </c>
      <c r="G1576" s="1">
        <v>44599</v>
      </c>
      <c r="H1576" t="str">
        <f>"87617"</f>
        <v>87617</v>
      </c>
      <c r="I1576">
        <v>1</v>
      </c>
      <c r="J1576">
        <v>3625</v>
      </c>
      <c r="K1576">
        <v>0</v>
      </c>
      <c r="L1576">
        <v>2827.5</v>
      </c>
    </row>
    <row r="1577" spans="1:12" x14ac:dyDescent="0.25">
      <c r="A1577" t="str">
        <f t="shared" si="330"/>
        <v>89301000</v>
      </c>
      <c r="B1577" t="str">
        <f t="shared" ref="B1577:B1596" si="337">"89903000"</f>
        <v>89903000</v>
      </c>
      <c r="C1577" t="str">
        <f>"89903504"</f>
        <v>89903504</v>
      </c>
      <c r="D1577" t="str">
        <f>"810"</f>
        <v>810</v>
      </c>
      <c r="E1577" t="str">
        <f>"89301606"</f>
        <v>89301606</v>
      </c>
      <c r="F1577" t="str">
        <f>"9509275721"</f>
        <v>9509275721</v>
      </c>
      <c r="G1577" s="1">
        <v>44601</v>
      </c>
      <c r="H1577" t="str">
        <f>"89713"</f>
        <v>89713</v>
      </c>
      <c r="I1577">
        <v>1</v>
      </c>
      <c r="J1577">
        <v>5362</v>
      </c>
      <c r="K1577">
        <v>0</v>
      </c>
      <c r="L1577">
        <v>3217.2</v>
      </c>
    </row>
    <row r="1578" spans="1:12" x14ac:dyDescent="0.25">
      <c r="A1578" t="str">
        <f t="shared" si="330"/>
        <v>89301000</v>
      </c>
      <c r="B1578" t="str">
        <f t="shared" si="337"/>
        <v>89903000</v>
      </c>
      <c r="C1578" t="str">
        <f>"89903504"</f>
        <v>89903504</v>
      </c>
      <c r="D1578" t="str">
        <f>"810"</f>
        <v>810</v>
      </c>
      <c r="E1578" t="str">
        <f>"89301062"</f>
        <v>89301062</v>
      </c>
      <c r="F1578" t="str">
        <f>"5761272000"</f>
        <v>5761272000</v>
      </c>
      <c r="G1578" s="1">
        <v>44615</v>
      </c>
      <c r="H1578" t="str">
        <f>"89713"</f>
        <v>89713</v>
      </c>
      <c r="I1578">
        <v>2</v>
      </c>
      <c r="J1578">
        <v>10724</v>
      </c>
      <c r="K1578">
        <v>0</v>
      </c>
      <c r="L1578">
        <v>6434.4</v>
      </c>
    </row>
    <row r="1579" spans="1:12" x14ac:dyDescent="0.25">
      <c r="A1579" t="str">
        <f t="shared" si="330"/>
        <v>89301000</v>
      </c>
      <c r="B1579" t="str">
        <f t="shared" si="337"/>
        <v>89903000</v>
      </c>
      <c r="C1579" t="str">
        <f t="shared" ref="C1579:C1596" si="338">"89903503"</f>
        <v>89903503</v>
      </c>
      <c r="D1579" t="str">
        <f t="shared" ref="D1579:D1596" si="339">"809"</f>
        <v>809</v>
      </c>
      <c r="E1579" t="str">
        <f>"89301215"</f>
        <v>89301215</v>
      </c>
      <c r="F1579" t="str">
        <f>"520406106"</f>
        <v>520406106</v>
      </c>
      <c r="G1579" s="1">
        <v>44593</v>
      </c>
      <c r="H1579" t="str">
        <f>"89611"</f>
        <v>89611</v>
      </c>
      <c r="I1579">
        <v>2</v>
      </c>
      <c r="J1579">
        <v>4482</v>
      </c>
      <c r="K1579">
        <v>0</v>
      </c>
      <c r="L1579">
        <v>2689.2</v>
      </c>
    </row>
    <row r="1580" spans="1:12" x14ac:dyDescent="0.25">
      <c r="A1580" t="str">
        <f t="shared" si="330"/>
        <v>89301000</v>
      </c>
      <c r="B1580" t="str">
        <f t="shared" si="337"/>
        <v>89903000</v>
      </c>
      <c r="C1580" t="str">
        <f t="shared" si="338"/>
        <v>89903503</v>
      </c>
      <c r="D1580" t="str">
        <f t="shared" si="339"/>
        <v>809</v>
      </c>
      <c r="E1580" t="str">
        <f>"89301215"</f>
        <v>89301215</v>
      </c>
      <c r="F1580" t="str">
        <f>"520406106"</f>
        <v>520406106</v>
      </c>
      <c r="G1580" s="1">
        <v>44593</v>
      </c>
      <c r="H1580" t="str">
        <f>"89617"</f>
        <v>89617</v>
      </c>
      <c r="I1580">
        <v>1</v>
      </c>
      <c r="J1580">
        <v>1332</v>
      </c>
      <c r="K1580">
        <v>0</v>
      </c>
      <c r="L1580">
        <v>799.2</v>
      </c>
    </row>
    <row r="1581" spans="1:12" x14ac:dyDescent="0.25">
      <c r="A1581" t="str">
        <f t="shared" si="330"/>
        <v>89301000</v>
      </c>
      <c r="B1581" t="str">
        <f t="shared" si="337"/>
        <v>89903000</v>
      </c>
      <c r="C1581" t="str">
        <f t="shared" si="338"/>
        <v>89903503</v>
      </c>
      <c r="D1581" t="str">
        <f t="shared" si="339"/>
        <v>809</v>
      </c>
      <c r="E1581" t="str">
        <f>"89301215"</f>
        <v>89301215</v>
      </c>
      <c r="F1581" t="str">
        <f>"520406106"</f>
        <v>520406106</v>
      </c>
      <c r="G1581" s="1">
        <v>44593</v>
      </c>
      <c r="H1581" t="str">
        <f>"0022075"</f>
        <v>0022075</v>
      </c>
      <c r="I1581">
        <v>1</v>
      </c>
      <c r="K1581">
        <v>1004.83</v>
      </c>
      <c r="L1581">
        <v>1004.83</v>
      </c>
    </row>
    <row r="1582" spans="1:12" x14ac:dyDescent="0.25">
      <c r="A1582" t="str">
        <f t="shared" si="330"/>
        <v>89301000</v>
      </c>
      <c r="B1582" t="str">
        <f t="shared" si="337"/>
        <v>89903000</v>
      </c>
      <c r="C1582" t="str">
        <f t="shared" si="338"/>
        <v>89903503</v>
      </c>
      <c r="D1582" t="str">
        <f t="shared" si="339"/>
        <v>809</v>
      </c>
      <c r="E1582" t="str">
        <f>"89301215"</f>
        <v>89301215</v>
      </c>
      <c r="F1582" t="str">
        <f>"520406106"</f>
        <v>520406106</v>
      </c>
      <c r="G1582" s="1">
        <v>44593</v>
      </c>
      <c r="H1582" t="str">
        <f>"0059496"</f>
        <v>0059496</v>
      </c>
      <c r="I1582">
        <v>0.2</v>
      </c>
      <c r="K1582">
        <v>50.95</v>
      </c>
      <c r="L1582">
        <v>50.95</v>
      </c>
    </row>
    <row r="1583" spans="1:12" x14ac:dyDescent="0.25">
      <c r="A1583" t="str">
        <f t="shared" si="330"/>
        <v>89301000</v>
      </c>
      <c r="B1583" t="str">
        <f t="shared" si="337"/>
        <v>89903000</v>
      </c>
      <c r="C1583" t="str">
        <f t="shared" si="338"/>
        <v>89903503</v>
      </c>
      <c r="D1583" t="str">
        <f t="shared" si="339"/>
        <v>809</v>
      </c>
      <c r="E1583" t="str">
        <f t="shared" ref="E1583:E1596" si="340">"89301062"</f>
        <v>89301062</v>
      </c>
      <c r="F1583" t="str">
        <f t="shared" ref="F1583:F1596" si="341">"496016158"</f>
        <v>496016158</v>
      </c>
      <c r="G1583" s="1">
        <v>44594</v>
      </c>
      <c r="H1583" t="str">
        <f>"09233"</f>
        <v>09233</v>
      </c>
      <c r="I1583">
        <v>1</v>
      </c>
      <c r="J1583">
        <v>99</v>
      </c>
      <c r="K1583">
        <v>0</v>
      </c>
      <c r="L1583">
        <v>138.6</v>
      </c>
    </row>
    <row r="1584" spans="1:12" x14ac:dyDescent="0.25">
      <c r="A1584" t="str">
        <f t="shared" si="330"/>
        <v>89301000</v>
      </c>
      <c r="B1584" t="str">
        <f t="shared" si="337"/>
        <v>89903000</v>
      </c>
      <c r="C1584" t="str">
        <f t="shared" si="338"/>
        <v>89903503</v>
      </c>
      <c r="D1584" t="str">
        <f t="shared" si="339"/>
        <v>809</v>
      </c>
      <c r="E1584" t="str">
        <f t="shared" si="340"/>
        <v>89301062</v>
      </c>
      <c r="F1584" t="str">
        <f t="shared" si="341"/>
        <v>496016158</v>
      </c>
      <c r="G1584" s="1">
        <v>44594</v>
      </c>
      <c r="H1584" t="str">
        <f>"89311"</f>
        <v>89311</v>
      </c>
      <c r="I1584">
        <v>1</v>
      </c>
      <c r="J1584">
        <v>936</v>
      </c>
      <c r="K1584">
        <v>0</v>
      </c>
      <c r="L1584">
        <v>1310.4000000000001</v>
      </c>
    </row>
    <row r="1585" spans="1:12" x14ac:dyDescent="0.25">
      <c r="A1585" t="str">
        <f t="shared" si="330"/>
        <v>89301000</v>
      </c>
      <c r="B1585" t="str">
        <f t="shared" si="337"/>
        <v>89903000</v>
      </c>
      <c r="C1585" t="str">
        <f t="shared" si="338"/>
        <v>89903503</v>
      </c>
      <c r="D1585" t="str">
        <f t="shared" si="339"/>
        <v>809</v>
      </c>
      <c r="E1585" t="str">
        <f t="shared" si="340"/>
        <v>89301062</v>
      </c>
      <c r="F1585" t="str">
        <f t="shared" si="341"/>
        <v>496016158</v>
      </c>
      <c r="G1585" s="1">
        <v>44594</v>
      </c>
      <c r="H1585" t="str">
        <f>"89615"</f>
        <v>89615</v>
      </c>
      <c r="I1585">
        <v>1</v>
      </c>
      <c r="J1585">
        <v>2170</v>
      </c>
      <c r="K1585">
        <v>0</v>
      </c>
      <c r="L1585">
        <v>1302</v>
      </c>
    </row>
    <row r="1586" spans="1:12" x14ac:dyDescent="0.25">
      <c r="A1586" t="str">
        <f t="shared" si="330"/>
        <v>89301000</v>
      </c>
      <c r="B1586" t="str">
        <f t="shared" si="337"/>
        <v>89903000</v>
      </c>
      <c r="C1586" t="str">
        <f t="shared" si="338"/>
        <v>89903503</v>
      </c>
      <c r="D1586" t="str">
        <f t="shared" si="339"/>
        <v>809</v>
      </c>
      <c r="E1586" t="str">
        <f t="shared" si="340"/>
        <v>89301062</v>
      </c>
      <c r="F1586" t="str">
        <f t="shared" si="341"/>
        <v>496016158</v>
      </c>
      <c r="G1586" s="1">
        <v>44594</v>
      </c>
      <c r="H1586" t="str">
        <f>"0000502"</f>
        <v>0000502</v>
      </c>
      <c r="I1586">
        <v>0.1</v>
      </c>
      <c r="K1586">
        <v>6.97</v>
      </c>
      <c r="L1586">
        <v>6.97</v>
      </c>
    </row>
    <row r="1587" spans="1:12" x14ac:dyDescent="0.25">
      <c r="A1587" t="str">
        <f t="shared" si="330"/>
        <v>89301000</v>
      </c>
      <c r="B1587" t="str">
        <f t="shared" si="337"/>
        <v>89903000</v>
      </c>
      <c r="C1587" t="str">
        <f t="shared" si="338"/>
        <v>89903503</v>
      </c>
      <c r="D1587" t="str">
        <f t="shared" si="339"/>
        <v>809</v>
      </c>
      <c r="E1587" t="str">
        <f t="shared" si="340"/>
        <v>89301062</v>
      </c>
      <c r="F1587" t="str">
        <f t="shared" si="341"/>
        <v>496016158</v>
      </c>
      <c r="G1587" s="1">
        <v>44594</v>
      </c>
      <c r="H1587" t="str">
        <f>"0084090"</f>
        <v>0084090</v>
      </c>
      <c r="I1587">
        <v>0.1</v>
      </c>
      <c r="K1587">
        <v>8.52</v>
      </c>
      <c r="L1587">
        <v>8.52</v>
      </c>
    </row>
    <row r="1588" spans="1:12" x14ac:dyDescent="0.25">
      <c r="A1588" t="str">
        <f t="shared" si="330"/>
        <v>89301000</v>
      </c>
      <c r="B1588" t="str">
        <f t="shared" si="337"/>
        <v>89903000</v>
      </c>
      <c r="C1588" t="str">
        <f t="shared" si="338"/>
        <v>89903503</v>
      </c>
      <c r="D1588" t="str">
        <f t="shared" si="339"/>
        <v>809</v>
      </c>
      <c r="E1588" t="str">
        <f t="shared" si="340"/>
        <v>89301062</v>
      </c>
      <c r="F1588" t="str">
        <f t="shared" si="341"/>
        <v>496016158</v>
      </c>
      <c r="G1588" s="1">
        <v>44594</v>
      </c>
      <c r="H1588" t="str">
        <f>"0096251"</f>
        <v>0096251</v>
      </c>
      <c r="I1588">
        <v>8.0000000000000002E-3</v>
      </c>
      <c r="K1588">
        <v>9.36</v>
      </c>
      <c r="L1588">
        <v>9.36</v>
      </c>
    </row>
    <row r="1589" spans="1:12" x14ac:dyDescent="0.25">
      <c r="A1589" t="str">
        <f t="shared" si="330"/>
        <v>89301000</v>
      </c>
      <c r="B1589" t="str">
        <f t="shared" si="337"/>
        <v>89903000</v>
      </c>
      <c r="C1589" t="str">
        <f t="shared" si="338"/>
        <v>89903503</v>
      </c>
      <c r="D1589" t="str">
        <f t="shared" si="339"/>
        <v>809</v>
      </c>
      <c r="E1589" t="str">
        <f t="shared" si="340"/>
        <v>89301062</v>
      </c>
      <c r="F1589" t="str">
        <f t="shared" si="341"/>
        <v>496016158</v>
      </c>
      <c r="G1589" s="1">
        <v>44594</v>
      </c>
      <c r="H1589" t="str">
        <f>"0194183"</f>
        <v>0194183</v>
      </c>
      <c r="I1589">
        <v>1</v>
      </c>
      <c r="K1589">
        <v>53</v>
      </c>
      <c r="L1589">
        <v>53</v>
      </c>
    </row>
    <row r="1590" spans="1:12" x14ac:dyDescent="0.25">
      <c r="A1590" t="str">
        <f t="shared" si="330"/>
        <v>89301000</v>
      </c>
      <c r="B1590" t="str">
        <f t="shared" si="337"/>
        <v>89903000</v>
      </c>
      <c r="C1590" t="str">
        <f t="shared" si="338"/>
        <v>89903503</v>
      </c>
      <c r="D1590" t="str">
        <f t="shared" si="339"/>
        <v>809</v>
      </c>
      <c r="E1590" t="str">
        <f t="shared" si="340"/>
        <v>89301062</v>
      </c>
      <c r="F1590" t="str">
        <f t="shared" si="341"/>
        <v>496016158</v>
      </c>
      <c r="G1590" s="1">
        <v>44607</v>
      </c>
      <c r="H1590" t="str">
        <f>"09233"</f>
        <v>09233</v>
      </c>
      <c r="I1590">
        <v>1</v>
      </c>
      <c r="J1590">
        <v>99</v>
      </c>
      <c r="K1590">
        <v>0</v>
      </c>
      <c r="L1590">
        <v>138.6</v>
      </c>
    </row>
    <row r="1591" spans="1:12" x14ac:dyDescent="0.25">
      <c r="A1591" t="str">
        <f t="shared" si="330"/>
        <v>89301000</v>
      </c>
      <c r="B1591" t="str">
        <f t="shared" si="337"/>
        <v>89903000</v>
      </c>
      <c r="C1591" t="str">
        <f t="shared" si="338"/>
        <v>89903503</v>
      </c>
      <c r="D1591" t="str">
        <f t="shared" si="339"/>
        <v>809</v>
      </c>
      <c r="E1591" t="str">
        <f t="shared" si="340"/>
        <v>89301062</v>
      </c>
      <c r="F1591" t="str">
        <f t="shared" si="341"/>
        <v>496016158</v>
      </c>
      <c r="G1591" s="1">
        <v>44607</v>
      </c>
      <c r="H1591" t="str">
        <f>"89311"</f>
        <v>89311</v>
      </c>
      <c r="I1591">
        <v>1</v>
      </c>
      <c r="J1591">
        <v>936</v>
      </c>
      <c r="K1591">
        <v>0</v>
      </c>
      <c r="L1591">
        <v>1310.4000000000001</v>
      </c>
    </row>
    <row r="1592" spans="1:12" x14ac:dyDescent="0.25">
      <c r="A1592" t="str">
        <f t="shared" si="330"/>
        <v>89301000</v>
      </c>
      <c r="B1592" t="str">
        <f t="shared" si="337"/>
        <v>89903000</v>
      </c>
      <c r="C1592" t="str">
        <f t="shared" si="338"/>
        <v>89903503</v>
      </c>
      <c r="D1592" t="str">
        <f t="shared" si="339"/>
        <v>809</v>
      </c>
      <c r="E1592" t="str">
        <f t="shared" si="340"/>
        <v>89301062</v>
      </c>
      <c r="F1592" t="str">
        <f t="shared" si="341"/>
        <v>496016158</v>
      </c>
      <c r="G1592" s="1">
        <v>44607</v>
      </c>
      <c r="H1592" t="str">
        <f>"89615"</f>
        <v>89615</v>
      </c>
      <c r="I1592">
        <v>1</v>
      </c>
      <c r="J1592">
        <v>2170</v>
      </c>
      <c r="K1592">
        <v>0</v>
      </c>
      <c r="L1592">
        <v>1302</v>
      </c>
    </row>
    <row r="1593" spans="1:12" x14ac:dyDescent="0.25">
      <c r="A1593" t="str">
        <f t="shared" si="330"/>
        <v>89301000</v>
      </c>
      <c r="B1593" t="str">
        <f t="shared" si="337"/>
        <v>89903000</v>
      </c>
      <c r="C1593" t="str">
        <f t="shared" si="338"/>
        <v>89903503</v>
      </c>
      <c r="D1593" t="str">
        <f t="shared" si="339"/>
        <v>809</v>
      </c>
      <c r="E1593" t="str">
        <f t="shared" si="340"/>
        <v>89301062</v>
      </c>
      <c r="F1593" t="str">
        <f t="shared" si="341"/>
        <v>496016158</v>
      </c>
      <c r="G1593" s="1">
        <v>44607</v>
      </c>
      <c r="H1593" t="str">
        <f>"0000502"</f>
        <v>0000502</v>
      </c>
      <c r="I1593">
        <v>0.1</v>
      </c>
      <c r="K1593">
        <v>6.97</v>
      </c>
      <c r="L1593">
        <v>6.97</v>
      </c>
    </row>
    <row r="1594" spans="1:12" x14ac:dyDescent="0.25">
      <c r="A1594" t="str">
        <f t="shared" si="330"/>
        <v>89301000</v>
      </c>
      <c r="B1594" t="str">
        <f t="shared" si="337"/>
        <v>89903000</v>
      </c>
      <c r="C1594" t="str">
        <f t="shared" si="338"/>
        <v>89903503</v>
      </c>
      <c r="D1594" t="str">
        <f t="shared" si="339"/>
        <v>809</v>
      </c>
      <c r="E1594" t="str">
        <f t="shared" si="340"/>
        <v>89301062</v>
      </c>
      <c r="F1594" t="str">
        <f t="shared" si="341"/>
        <v>496016158</v>
      </c>
      <c r="G1594" s="1">
        <v>44607</v>
      </c>
      <c r="H1594" t="str">
        <f>"0084090"</f>
        <v>0084090</v>
      </c>
      <c r="I1594">
        <v>0.1</v>
      </c>
      <c r="K1594">
        <v>8.52</v>
      </c>
      <c r="L1594">
        <v>8.52</v>
      </c>
    </row>
    <row r="1595" spans="1:12" x14ac:dyDescent="0.25">
      <c r="A1595" t="str">
        <f t="shared" si="330"/>
        <v>89301000</v>
      </c>
      <c r="B1595" t="str">
        <f t="shared" si="337"/>
        <v>89903000</v>
      </c>
      <c r="C1595" t="str">
        <f t="shared" si="338"/>
        <v>89903503</v>
      </c>
      <c r="D1595" t="str">
        <f t="shared" si="339"/>
        <v>809</v>
      </c>
      <c r="E1595" t="str">
        <f t="shared" si="340"/>
        <v>89301062</v>
      </c>
      <c r="F1595" t="str">
        <f t="shared" si="341"/>
        <v>496016158</v>
      </c>
      <c r="G1595" s="1">
        <v>44607</v>
      </c>
      <c r="H1595" t="str">
        <f>"0096251"</f>
        <v>0096251</v>
      </c>
      <c r="I1595">
        <v>8.0000000000000002E-3</v>
      </c>
      <c r="K1595">
        <v>9.36</v>
      </c>
      <c r="L1595">
        <v>9.36</v>
      </c>
    </row>
    <row r="1596" spans="1:12" x14ac:dyDescent="0.25">
      <c r="A1596" t="str">
        <f t="shared" si="330"/>
        <v>89301000</v>
      </c>
      <c r="B1596" t="str">
        <f t="shared" si="337"/>
        <v>89903000</v>
      </c>
      <c r="C1596" t="str">
        <f t="shared" si="338"/>
        <v>89903503</v>
      </c>
      <c r="D1596" t="str">
        <f t="shared" si="339"/>
        <v>809</v>
      </c>
      <c r="E1596" t="str">
        <f t="shared" si="340"/>
        <v>89301062</v>
      </c>
      <c r="F1596" t="str">
        <f t="shared" si="341"/>
        <v>496016158</v>
      </c>
      <c r="G1596" s="1">
        <v>44607</v>
      </c>
      <c r="H1596" t="str">
        <f>"0194183"</f>
        <v>0194183</v>
      </c>
      <c r="I1596">
        <v>1</v>
      </c>
      <c r="K1596">
        <v>53</v>
      </c>
      <c r="L1596">
        <v>53</v>
      </c>
    </row>
    <row r="1597" spans="1:12" x14ac:dyDescent="0.25">
      <c r="A1597" t="str">
        <f t="shared" si="330"/>
        <v>89301000</v>
      </c>
      <c r="B1597" t="str">
        <f>"75002000"</f>
        <v>75002000</v>
      </c>
      <c r="C1597" t="str">
        <f>"75002526"</f>
        <v>75002526</v>
      </c>
      <c r="D1597" t="str">
        <f>"801"</f>
        <v>801</v>
      </c>
      <c r="E1597" t="str">
        <f>"89301167"</f>
        <v>89301167</v>
      </c>
      <c r="F1597" t="str">
        <f>"5957040397"</f>
        <v>5957040397</v>
      </c>
      <c r="G1597" s="1">
        <v>44601</v>
      </c>
      <c r="H1597" t="str">
        <f>"93221"</f>
        <v>93221</v>
      </c>
      <c r="I1597">
        <v>1</v>
      </c>
      <c r="J1597">
        <v>188</v>
      </c>
      <c r="K1597">
        <v>0</v>
      </c>
      <c r="L1597">
        <v>146.63999999999999</v>
      </c>
    </row>
    <row r="1598" spans="1:12" x14ac:dyDescent="0.25">
      <c r="A1598" t="str">
        <f t="shared" si="330"/>
        <v>89301000</v>
      </c>
      <c r="B1598" t="str">
        <f>"75002000"</f>
        <v>75002000</v>
      </c>
      <c r="C1598" t="str">
        <f>"75002526"</f>
        <v>75002526</v>
      </c>
      <c r="D1598" t="str">
        <f>"801"</f>
        <v>801</v>
      </c>
      <c r="E1598" t="str">
        <f>"89301167"</f>
        <v>89301167</v>
      </c>
      <c r="F1598" t="str">
        <f>"5957040397"</f>
        <v>5957040397</v>
      </c>
      <c r="G1598" s="1">
        <v>44601</v>
      </c>
      <c r="H1598" t="str">
        <f>"97111"</f>
        <v>97111</v>
      </c>
      <c r="I1598">
        <v>1</v>
      </c>
      <c r="J1598">
        <v>18</v>
      </c>
      <c r="K1598">
        <v>0</v>
      </c>
      <c r="L1598">
        <v>14.04</v>
      </c>
    </row>
    <row r="1599" spans="1:12" x14ac:dyDescent="0.25">
      <c r="A1599" t="str">
        <f t="shared" si="330"/>
        <v>89301000</v>
      </c>
      <c r="B1599" t="str">
        <f t="shared" ref="B1599:B1630" si="342">"78006000"</f>
        <v>78006000</v>
      </c>
      <c r="C1599" t="str">
        <f t="shared" ref="C1599:C1615" si="343">"78006831"</f>
        <v>78006831</v>
      </c>
      <c r="D1599" t="str">
        <f t="shared" ref="D1599:D1615" si="344">"809"</f>
        <v>809</v>
      </c>
      <c r="E1599" t="str">
        <f t="shared" ref="E1599:E1610" si="345">"89301212"</f>
        <v>89301212</v>
      </c>
      <c r="F1599" t="str">
        <f t="shared" ref="F1599:F1604" si="346">"5412223762"</f>
        <v>5412223762</v>
      </c>
      <c r="G1599" s="1">
        <v>44613</v>
      </c>
      <c r="H1599" t="str">
        <f>"89611"</f>
        <v>89611</v>
      </c>
      <c r="I1599">
        <v>1</v>
      </c>
      <c r="J1599">
        <v>2241</v>
      </c>
      <c r="K1599">
        <v>0</v>
      </c>
      <c r="L1599">
        <v>1344.6</v>
      </c>
    </row>
    <row r="1600" spans="1:12" x14ac:dyDescent="0.25">
      <c r="A1600" t="str">
        <f t="shared" si="330"/>
        <v>89301000</v>
      </c>
      <c r="B1600" t="str">
        <f t="shared" si="342"/>
        <v>78006000</v>
      </c>
      <c r="C1600" t="str">
        <f t="shared" si="343"/>
        <v>78006831</v>
      </c>
      <c r="D1600" t="str">
        <f t="shared" si="344"/>
        <v>809</v>
      </c>
      <c r="E1600" t="str">
        <f t="shared" si="345"/>
        <v>89301212</v>
      </c>
      <c r="F1600" t="str">
        <f t="shared" si="346"/>
        <v>5412223762</v>
      </c>
      <c r="G1600" s="1">
        <v>44613</v>
      </c>
      <c r="H1600" t="str">
        <f>"0137480"</f>
        <v>0137480</v>
      </c>
      <c r="I1600">
        <v>0.2</v>
      </c>
      <c r="K1600">
        <v>1004.83</v>
      </c>
      <c r="L1600">
        <v>1004.83</v>
      </c>
    </row>
    <row r="1601" spans="1:12" x14ac:dyDescent="0.25">
      <c r="A1601" t="str">
        <f t="shared" si="330"/>
        <v>89301000</v>
      </c>
      <c r="B1601" t="str">
        <f t="shared" si="342"/>
        <v>78006000</v>
      </c>
      <c r="C1601" t="str">
        <f t="shared" si="343"/>
        <v>78006831</v>
      </c>
      <c r="D1601" t="str">
        <f t="shared" si="344"/>
        <v>809</v>
      </c>
      <c r="E1601" t="str">
        <f t="shared" si="345"/>
        <v>89301212</v>
      </c>
      <c r="F1601" t="str">
        <f t="shared" si="346"/>
        <v>5412223762</v>
      </c>
      <c r="G1601" s="1">
        <v>44620</v>
      </c>
      <c r="H1601" t="str">
        <f>"89611"</f>
        <v>89611</v>
      </c>
      <c r="I1601">
        <v>1</v>
      </c>
      <c r="J1601">
        <v>2241</v>
      </c>
      <c r="K1601">
        <v>0</v>
      </c>
      <c r="L1601">
        <v>1344.6</v>
      </c>
    </row>
    <row r="1602" spans="1:12" x14ac:dyDescent="0.25">
      <c r="A1602" t="str">
        <f t="shared" ref="A1602:A1665" si="347">"89301000"</f>
        <v>89301000</v>
      </c>
      <c r="B1602" t="str">
        <f t="shared" si="342"/>
        <v>78006000</v>
      </c>
      <c r="C1602" t="str">
        <f t="shared" si="343"/>
        <v>78006831</v>
      </c>
      <c r="D1602" t="str">
        <f t="shared" si="344"/>
        <v>809</v>
      </c>
      <c r="E1602" t="str">
        <f t="shared" si="345"/>
        <v>89301212</v>
      </c>
      <c r="F1602" t="str">
        <f t="shared" si="346"/>
        <v>5412223762</v>
      </c>
      <c r="G1602" s="1">
        <v>44620</v>
      </c>
      <c r="H1602" t="str">
        <f>"89619"</f>
        <v>89619</v>
      </c>
      <c r="I1602">
        <v>1</v>
      </c>
      <c r="J1602">
        <v>1210</v>
      </c>
      <c r="K1602">
        <v>0</v>
      </c>
      <c r="L1602">
        <v>726</v>
      </c>
    </row>
    <row r="1603" spans="1:12" x14ac:dyDescent="0.25">
      <c r="A1603" t="str">
        <f t="shared" si="347"/>
        <v>89301000</v>
      </c>
      <c r="B1603" t="str">
        <f t="shared" si="342"/>
        <v>78006000</v>
      </c>
      <c r="C1603" t="str">
        <f t="shared" si="343"/>
        <v>78006831</v>
      </c>
      <c r="D1603" t="str">
        <f t="shared" si="344"/>
        <v>809</v>
      </c>
      <c r="E1603" t="str">
        <f t="shared" si="345"/>
        <v>89301212</v>
      </c>
      <c r="F1603" t="str">
        <f t="shared" si="346"/>
        <v>5412223762</v>
      </c>
      <c r="G1603" s="1">
        <v>44620</v>
      </c>
      <c r="H1603" t="str">
        <f>"0137480"</f>
        <v>0137480</v>
      </c>
      <c r="I1603">
        <v>0.2</v>
      </c>
      <c r="K1603">
        <v>1004.83</v>
      </c>
      <c r="L1603">
        <v>1004.83</v>
      </c>
    </row>
    <row r="1604" spans="1:12" x14ac:dyDescent="0.25">
      <c r="A1604" t="str">
        <f t="shared" si="347"/>
        <v>89301000</v>
      </c>
      <c r="B1604" t="str">
        <f t="shared" si="342"/>
        <v>78006000</v>
      </c>
      <c r="C1604" t="str">
        <f t="shared" si="343"/>
        <v>78006831</v>
      </c>
      <c r="D1604" t="str">
        <f t="shared" si="344"/>
        <v>809</v>
      </c>
      <c r="E1604" t="str">
        <f t="shared" si="345"/>
        <v>89301212</v>
      </c>
      <c r="F1604" t="str">
        <f t="shared" si="346"/>
        <v>5412223762</v>
      </c>
      <c r="G1604" s="1">
        <v>44620</v>
      </c>
      <c r="H1604" t="str">
        <f>"0059496"</f>
        <v>0059496</v>
      </c>
      <c r="I1604">
        <v>0.15</v>
      </c>
      <c r="K1604">
        <v>37.799999999999997</v>
      </c>
      <c r="L1604">
        <v>37.799999999999997</v>
      </c>
    </row>
    <row r="1605" spans="1:12" x14ac:dyDescent="0.25">
      <c r="A1605" t="str">
        <f t="shared" si="347"/>
        <v>89301000</v>
      </c>
      <c r="B1605" t="str">
        <f t="shared" si="342"/>
        <v>78006000</v>
      </c>
      <c r="C1605" t="str">
        <f t="shared" si="343"/>
        <v>78006831</v>
      </c>
      <c r="D1605" t="str">
        <f t="shared" si="344"/>
        <v>809</v>
      </c>
      <c r="E1605" t="str">
        <f t="shared" si="345"/>
        <v>89301212</v>
      </c>
      <c r="F1605" t="str">
        <f>"505310298"</f>
        <v>505310298</v>
      </c>
      <c r="G1605" s="1">
        <v>44594</v>
      </c>
      <c r="H1605" t="str">
        <f>"89131"</f>
        <v>89131</v>
      </c>
      <c r="I1605">
        <v>1</v>
      </c>
      <c r="J1605">
        <v>187</v>
      </c>
      <c r="K1605">
        <v>0</v>
      </c>
      <c r="L1605">
        <v>261.8</v>
      </c>
    </row>
    <row r="1606" spans="1:12" x14ac:dyDescent="0.25">
      <c r="A1606" t="str">
        <f t="shared" si="347"/>
        <v>89301000</v>
      </c>
      <c r="B1606" t="str">
        <f t="shared" si="342"/>
        <v>78006000</v>
      </c>
      <c r="C1606" t="str">
        <f t="shared" si="343"/>
        <v>78006831</v>
      </c>
      <c r="D1606" t="str">
        <f t="shared" si="344"/>
        <v>809</v>
      </c>
      <c r="E1606" t="str">
        <f t="shared" si="345"/>
        <v>89301212</v>
      </c>
      <c r="F1606" t="str">
        <f>"515917178"</f>
        <v>515917178</v>
      </c>
      <c r="G1606" s="1">
        <v>44595</v>
      </c>
      <c r="H1606" t="str">
        <f>"89131"</f>
        <v>89131</v>
      </c>
      <c r="I1606">
        <v>1</v>
      </c>
      <c r="J1606">
        <v>187</v>
      </c>
      <c r="K1606">
        <v>0</v>
      </c>
      <c r="L1606">
        <v>261.8</v>
      </c>
    </row>
    <row r="1607" spans="1:12" x14ac:dyDescent="0.25">
      <c r="A1607" t="str">
        <f t="shared" si="347"/>
        <v>89301000</v>
      </c>
      <c r="B1607" t="str">
        <f t="shared" si="342"/>
        <v>78006000</v>
      </c>
      <c r="C1607" t="str">
        <f t="shared" si="343"/>
        <v>78006831</v>
      </c>
      <c r="D1607" t="str">
        <f t="shared" si="344"/>
        <v>809</v>
      </c>
      <c r="E1607" t="str">
        <f t="shared" si="345"/>
        <v>89301212</v>
      </c>
      <c r="F1607" t="str">
        <f>"505310298"</f>
        <v>505310298</v>
      </c>
      <c r="G1607" s="1">
        <v>44594</v>
      </c>
      <c r="H1607" t="str">
        <f>"89513"</f>
        <v>89513</v>
      </c>
      <c r="I1607">
        <v>1</v>
      </c>
      <c r="J1607">
        <v>371</v>
      </c>
      <c r="K1607">
        <v>0</v>
      </c>
      <c r="L1607">
        <v>519.4</v>
      </c>
    </row>
    <row r="1608" spans="1:12" x14ac:dyDescent="0.25">
      <c r="A1608" t="str">
        <f t="shared" si="347"/>
        <v>89301000</v>
      </c>
      <c r="B1608" t="str">
        <f t="shared" si="342"/>
        <v>78006000</v>
      </c>
      <c r="C1608" t="str">
        <f t="shared" si="343"/>
        <v>78006831</v>
      </c>
      <c r="D1608" t="str">
        <f t="shared" si="344"/>
        <v>809</v>
      </c>
      <c r="E1608" t="str">
        <f t="shared" si="345"/>
        <v>89301212</v>
      </c>
      <c r="F1608" t="str">
        <f>"505310298"</f>
        <v>505310298</v>
      </c>
      <c r="G1608" s="1">
        <v>44594</v>
      </c>
      <c r="H1608" t="str">
        <f>"89514"</f>
        <v>89514</v>
      </c>
      <c r="I1608">
        <v>1</v>
      </c>
      <c r="J1608">
        <v>371</v>
      </c>
      <c r="K1608">
        <v>0</v>
      </c>
      <c r="L1608">
        <v>519.4</v>
      </c>
    </row>
    <row r="1609" spans="1:12" x14ac:dyDescent="0.25">
      <c r="A1609" t="str">
        <f t="shared" si="347"/>
        <v>89301000</v>
      </c>
      <c r="B1609" t="str">
        <f t="shared" si="342"/>
        <v>78006000</v>
      </c>
      <c r="C1609" t="str">
        <f t="shared" si="343"/>
        <v>78006831</v>
      </c>
      <c r="D1609" t="str">
        <f t="shared" si="344"/>
        <v>809</v>
      </c>
      <c r="E1609" t="str">
        <f t="shared" si="345"/>
        <v>89301212</v>
      </c>
      <c r="F1609" t="str">
        <f>"515917178"</f>
        <v>515917178</v>
      </c>
      <c r="G1609" s="1">
        <v>44595</v>
      </c>
      <c r="H1609" t="str">
        <f>"89513"</f>
        <v>89513</v>
      </c>
      <c r="I1609">
        <v>1</v>
      </c>
      <c r="J1609">
        <v>371</v>
      </c>
      <c r="K1609">
        <v>0</v>
      </c>
      <c r="L1609">
        <v>519.4</v>
      </c>
    </row>
    <row r="1610" spans="1:12" x14ac:dyDescent="0.25">
      <c r="A1610" t="str">
        <f t="shared" si="347"/>
        <v>89301000</v>
      </c>
      <c r="B1610" t="str">
        <f t="shared" si="342"/>
        <v>78006000</v>
      </c>
      <c r="C1610" t="str">
        <f t="shared" si="343"/>
        <v>78006831</v>
      </c>
      <c r="D1610" t="str">
        <f t="shared" si="344"/>
        <v>809</v>
      </c>
      <c r="E1610" t="str">
        <f t="shared" si="345"/>
        <v>89301212</v>
      </c>
      <c r="F1610" t="str">
        <f>"515917178"</f>
        <v>515917178</v>
      </c>
      <c r="G1610" s="1">
        <v>44595</v>
      </c>
      <c r="H1610" t="str">
        <f>"89514"</f>
        <v>89514</v>
      </c>
      <c r="I1610">
        <v>1</v>
      </c>
      <c r="J1610">
        <v>371</v>
      </c>
      <c r="K1610">
        <v>0</v>
      </c>
      <c r="L1610">
        <v>519.4</v>
      </c>
    </row>
    <row r="1611" spans="1:12" x14ac:dyDescent="0.25">
      <c r="A1611" t="str">
        <f t="shared" si="347"/>
        <v>89301000</v>
      </c>
      <c r="B1611" t="str">
        <f t="shared" si="342"/>
        <v>78006000</v>
      </c>
      <c r="C1611" t="str">
        <f t="shared" si="343"/>
        <v>78006831</v>
      </c>
      <c r="D1611" t="str">
        <f t="shared" si="344"/>
        <v>809</v>
      </c>
      <c r="E1611" t="str">
        <f>"89301032"</f>
        <v>89301032</v>
      </c>
      <c r="F1611" t="str">
        <f>"7156255337"</f>
        <v>7156255337</v>
      </c>
      <c r="G1611" s="1">
        <v>44610</v>
      </c>
      <c r="H1611" t="str">
        <f>"89513"</f>
        <v>89513</v>
      </c>
      <c r="I1611">
        <v>1</v>
      </c>
      <c r="J1611">
        <v>371</v>
      </c>
      <c r="K1611">
        <v>0</v>
      </c>
      <c r="L1611">
        <v>519.4</v>
      </c>
    </row>
    <row r="1612" spans="1:12" x14ac:dyDescent="0.25">
      <c r="A1612" t="str">
        <f t="shared" si="347"/>
        <v>89301000</v>
      </c>
      <c r="B1612" t="str">
        <f t="shared" si="342"/>
        <v>78006000</v>
      </c>
      <c r="C1612" t="str">
        <f t="shared" si="343"/>
        <v>78006831</v>
      </c>
      <c r="D1612" t="str">
        <f t="shared" si="344"/>
        <v>809</v>
      </c>
      <c r="E1612" t="str">
        <f>"89301032"</f>
        <v>89301032</v>
      </c>
      <c r="F1612" t="str">
        <f>"7156255337"</f>
        <v>7156255337</v>
      </c>
      <c r="G1612" s="1">
        <v>44610</v>
      </c>
      <c r="H1612" t="str">
        <f>"89514"</f>
        <v>89514</v>
      </c>
      <c r="I1612">
        <v>1</v>
      </c>
      <c r="J1612">
        <v>371</v>
      </c>
      <c r="K1612">
        <v>0</v>
      </c>
      <c r="L1612">
        <v>519.4</v>
      </c>
    </row>
    <row r="1613" spans="1:12" x14ac:dyDescent="0.25">
      <c r="A1613" t="str">
        <f t="shared" si="347"/>
        <v>89301000</v>
      </c>
      <c r="B1613" t="str">
        <f t="shared" si="342"/>
        <v>78006000</v>
      </c>
      <c r="C1613" t="str">
        <f t="shared" si="343"/>
        <v>78006831</v>
      </c>
      <c r="D1613" t="str">
        <f t="shared" si="344"/>
        <v>809</v>
      </c>
      <c r="E1613" t="str">
        <f>"89301036"</f>
        <v>89301036</v>
      </c>
      <c r="F1613" t="str">
        <f>"6703182156"</f>
        <v>6703182156</v>
      </c>
      <c r="G1613" s="1">
        <v>44620</v>
      </c>
      <c r="H1613" t="str">
        <f>"89513"</f>
        <v>89513</v>
      </c>
      <c r="I1613">
        <v>1</v>
      </c>
      <c r="J1613">
        <v>371</v>
      </c>
      <c r="K1613">
        <v>0</v>
      </c>
      <c r="L1613">
        <v>519.4</v>
      </c>
    </row>
    <row r="1614" spans="1:12" x14ac:dyDescent="0.25">
      <c r="A1614" t="str">
        <f t="shared" si="347"/>
        <v>89301000</v>
      </c>
      <c r="B1614" t="str">
        <f t="shared" si="342"/>
        <v>78006000</v>
      </c>
      <c r="C1614" t="str">
        <f t="shared" si="343"/>
        <v>78006831</v>
      </c>
      <c r="D1614" t="str">
        <f t="shared" si="344"/>
        <v>809</v>
      </c>
      <c r="E1614" t="str">
        <f>"89301036"</f>
        <v>89301036</v>
      </c>
      <c r="F1614" t="str">
        <f>"6703182156"</f>
        <v>6703182156</v>
      </c>
      <c r="G1614" s="1">
        <v>44620</v>
      </c>
      <c r="H1614" t="str">
        <f>"89514"</f>
        <v>89514</v>
      </c>
      <c r="I1614">
        <v>1</v>
      </c>
      <c r="J1614">
        <v>371</v>
      </c>
      <c r="K1614">
        <v>0</v>
      </c>
      <c r="L1614">
        <v>519.4</v>
      </c>
    </row>
    <row r="1615" spans="1:12" x14ac:dyDescent="0.25">
      <c r="A1615" t="str">
        <f t="shared" si="347"/>
        <v>89301000</v>
      </c>
      <c r="B1615" t="str">
        <f t="shared" si="342"/>
        <v>78006000</v>
      </c>
      <c r="C1615" t="str">
        <f t="shared" si="343"/>
        <v>78006831</v>
      </c>
      <c r="D1615" t="str">
        <f t="shared" si="344"/>
        <v>809</v>
      </c>
      <c r="E1615" t="str">
        <f>"89301036"</f>
        <v>89301036</v>
      </c>
      <c r="F1615" t="str">
        <f>"6703182156"</f>
        <v>6703182156</v>
      </c>
      <c r="G1615" s="1">
        <v>44620</v>
      </c>
      <c r="H1615" t="str">
        <f>"09135"</f>
        <v>09135</v>
      </c>
      <c r="I1615">
        <v>1</v>
      </c>
      <c r="J1615">
        <v>174</v>
      </c>
      <c r="K1615">
        <v>0</v>
      </c>
      <c r="L1615">
        <v>243.6</v>
      </c>
    </row>
    <row r="1616" spans="1:12" x14ac:dyDescent="0.25">
      <c r="A1616" t="str">
        <f t="shared" si="347"/>
        <v>89301000</v>
      </c>
      <c r="B1616" t="str">
        <f t="shared" si="342"/>
        <v>78006000</v>
      </c>
      <c r="C1616" t="str">
        <f>"78006233"</f>
        <v>78006233</v>
      </c>
      <c r="D1616" t="str">
        <f>"810"</f>
        <v>810</v>
      </c>
      <c r="E1616" t="str">
        <f>"89301062"</f>
        <v>89301062</v>
      </c>
      <c r="F1616" t="str">
        <f>"8002285324"</f>
        <v>8002285324</v>
      </c>
      <c r="G1616" s="1">
        <v>44593</v>
      </c>
      <c r="H1616" t="str">
        <f>"89713"</f>
        <v>89713</v>
      </c>
      <c r="I1616">
        <v>1</v>
      </c>
      <c r="J1616">
        <v>5362</v>
      </c>
      <c r="K1616">
        <v>0</v>
      </c>
      <c r="L1616">
        <v>3217.2</v>
      </c>
    </row>
    <row r="1617" spans="1:12" x14ac:dyDescent="0.25">
      <c r="A1617" t="str">
        <f t="shared" si="347"/>
        <v>89301000</v>
      </c>
      <c r="B1617" t="str">
        <f t="shared" si="342"/>
        <v>78006000</v>
      </c>
      <c r="C1617" t="str">
        <f>"78006233"</f>
        <v>78006233</v>
      </c>
      <c r="D1617" t="str">
        <f>"810"</f>
        <v>810</v>
      </c>
      <c r="E1617" t="str">
        <f>"89301062"</f>
        <v>89301062</v>
      </c>
      <c r="F1617" t="str">
        <f>"8002285324"</f>
        <v>8002285324</v>
      </c>
      <c r="G1617" s="1">
        <v>44593</v>
      </c>
      <c r="H1617" t="str">
        <f>"89713"</f>
        <v>89713</v>
      </c>
      <c r="I1617">
        <v>1</v>
      </c>
      <c r="J1617">
        <v>5362</v>
      </c>
      <c r="K1617">
        <v>0</v>
      </c>
      <c r="L1617">
        <v>3217.2</v>
      </c>
    </row>
    <row r="1618" spans="1:12" x14ac:dyDescent="0.25">
      <c r="A1618" t="str">
        <f t="shared" si="347"/>
        <v>89301000</v>
      </c>
      <c r="B1618" t="str">
        <f t="shared" si="342"/>
        <v>78006000</v>
      </c>
      <c r="C1618" t="str">
        <f>"78006233"</f>
        <v>78006233</v>
      </c>
      <c r="D1618" t="str">
        <f>"810"</f>
        <v>810</v>
      </c>
      <c r="E1618" t="str">
        <f>"89301062"</f>
        <v>89301062</v>
      </c>
      <c r="F1618" t="str">
        <f>"8002285324"</f>
        <v>8002285324</v>
      </c>
      <c r="G1618" s="1">
        <v>44593</v>
      </c>
      <c r="H1618" t="str">
        <f>"89725"</f>
        <v>89725</v>
      </c>
      <c r="I1618">
        <v>1</v>
      </c>
      <c r="J1618">
        <v>2839</v>
      </c>
      <c r="K1618">
        <v>0</v>
      </c>
      <c r="L1618">
        <v>1703.4</v>
      </c>
    </row>
    <row r="1619" spans="1:12" x14ac:dyDescent="0.25">
      <c r="A1619" t="str">
        <f t="shared" si="347"/>
        <v>89301000</v>
      </c>
      <c r="B1619" t="str">
        <f t="shared" si="342"/>
        <v>78006000</v>
      </c>
      <c r="C1619" t="str">
        <f>"78006233"</f>
        <v>78006233</v>
      </c>
      <c r="D1619" t="str">
        <f>"810"</f>
        <v>810</v>
      </c>
      <c r="E1619" t="str">
        <f>"89301063"</f>
        <v>89301063</v>
      </c>
      <c r="F1619" t="str">
        <f>"5711230943"</f>
        <v>5711230943</v>
      </c>
      <c r="G1619" s="1">
        <v>44613</v>
      </c>
      <c r="H1619" t="str">
        <f>"89713"</f>
        <v>89713</v>
      </c>
      <c r="I1619">
        <v>1</v>
      </c>
      <c r="J1619">
        <v>5362</v>
      </c>
      <c r="K1619">
        <v>0</v>
      </c>
      <c r="L1619">
        <v>3217.2</v>
      </c>
    </row>
    <row r="1620" spans="1:12" x14ac:dyDescent="0.25">
      <c r="A1620" t="str">
        <f t="shared" si="347"/>
        <v>89301000</v>
      </c>
      <c r="B1620" t="str">
        <f t="shared" si="342"/>
        <v>78006000</v>
      </c>
      <c r="C1620" t="str">
        <f>"78006233"</f>
        <v>78006233</v>
      </c>
      <c r="D1620" t="str">
        <f>"810"</f>
        <v>810</v>
      </c>
      <c r="E1620" t="str">
        <f>"89301063"</f>
        <v>89301063</v>
      </c>
      <c r="F1620" t="str">
        <f>"5711230943"</f>
        <v>5711230943</v>
      </c>
      <c r="G1620" s="1">
        <v>44613</v>
      </c>
      <c r="H1620" t="str">
        <f>"89725"</f>
        <v>89725</v>
      </c>
      <c r="I1620">
        <v>1</v>
      </c>
      <c r="J1620">
        <v>2839</v>
      </c>
      <c r="K1620">
        <v>0</v>
      </c>
      <c r="L1620">
        <v>1703.4</v>
      </c>
    </row>
    <row r="1621" spans="1:12" x14ac:dyDescent="0.25">
      <c r="A1621" t="str">
        <f t="shared" si="347"/>
        <v>89301000</v>
      </c>
      <c r="B1621" t="str">
        <f t="shared" si="342"/>
        <v>78006000</v>
      </c>
      <c r="C1621" t="str">
        <f t="shared" ref="C1621:C1637" si="348">"78006231"</f>
        <v>78006231</v>
      </c>
      <c r="D1621" t="str">
        <f t="shared" ref="D1621:D1637" si="349">"809"</f>
        <v>809</v>
      </c>
      <c r="E1621" t="str">
        <f>"89301062"</f>
        <v>89301062</v>
      </c>
      <c r="F1621" t="str">
        <f>"5607022014"</f>
        <v>5607022014</v>
      </c>
      <c r="G1621" s="1">
        <v>44615</v>
      </c>
      <c r="H1621" t="str">
        <f>"89615"</f>
        <v>89615</v>
      </c>
      <c r="I1621">
        <v>1</v>
      </c>
      <c r="J1621">
        <v>2170</v>
      </c>
      <c r="K1621">
        <v>0</v>
      </c>
      <c r="L1621">
        <v>1302</v>
      </c>
    </row>
    <row r="1622" spans="1:12" x14ac:dyDescent="0.25">
      <c r="A1622" t="str">
        <f t="shared" si="347"/>
        <v>89301000</v>
      </c>
      <c r="B1622" t="str">
        <f t="shared" si="342"/>
        <v>78006000</v>
      </c>
      <c r="C1622" t="str">
        <f t="shared" si="348"/>
        <v>78006231</v>
      </c>
      <c r="D1622" t="str">
        <f t="shared" si="349"/>
        <v>809</v>
      </c>
      <c r="E1622" t="str">
        <f>"89301212"</f>
        <v>89301212</v>
      </c>
      <c r="F1622" t="str">
        <f>"7355274487"</f>
        <v>7355274487</v>
      </c>
      <c r="G1622" s="1">
        <v>44603</v>
      </c>
      <c r="H1622" t="str">
        <f>"89180"</f>
        <v>89180</v>
      </c>
      <c r="I1622">
        <v>2</v>
      </c>
      <c r="J1622">
        <v>752</v>
      </c>
      <c r="K1622">
        <v>0</v>
      </c>
      <c r="L1622">
        <v>1052.8</v>
      </c>
    </row>
    <row r="1623" spans="1:12" x14ac:dyDescent="0.25">
      <c r="A1623" t="str">
        <f t="shared" si="347"/>
        <v>89301000</v>
      </c>
      <c r="B1623" t="str">
        <f t="shared" si="342"/>
        <v>78006000</v>
      </c>
      <c r="C1623" t="str">
        <f t="shared" si="348"/>
        <v>78006231</v>
      </c>
      <c r="D1623" t="str">
        <f t="shared" si="349"/>
        <v>809</v>
      </c>
      <c r="E1623" t="str">
        <f>"89301212"</f>
        <v>89301212</v>
      </c>
      <c r="F1623" t="str">
        <f>"7355274487"</f>
        <v>7355274487</v>
      </c>
      <c r="G1623" s="1">
        <v>44603</v>
      </c>
      <c r="H1623" t="str">
        <f>"89512"</f>
        <v>89512</v>
      </c>
      <c r="I1623">
        <v>1</v>
      </c>
      <c r="J1623">
        <v>277</v>
      </c>
      <c r="K1623">
        <v>0</v>
      </c>
      <c r="L1623">
        <v>387.8</v>
      </c>
    </row>
    <row r="1624" spans="1:12" x14ac:dyDescent="0.25">
      <c r="A1624" t="str">
        <f t="shared" si="347"/>
        <v>89301000</v>
      </c>
      <c r="B1624" t="str">
        <f t="shared" si="342"/>
        <v>78006000</v>
      </c>
      <c r="C1624" t="str">
        <f t="shared" si="348"/>
        <v>78006231</v>
      </c>
      <c r="D1624" t="str">
        <f t="shared" si="349"/>
        <v>809</v>
      </c>
      <c r="E1624" t="str">
        <f>"89301212"</f>
        <v>89301212</v>
      </c>
      <c r="F1624" t="str">
        <f>"486008133"</f>
        <v>486008133</v>
      </c>
      <c r="G1624" s="1">
        <v>44608</v>
      </c>
      <c r="H1624" t="str">
        <f>"89180"</f>
        <v>89180</v>
      </c>
      <c r="I1624">
        <v>1</v>
      </c>
      <c r="J1624">
        <v>376</v>
      </c>
      <c r="K1624">
        <v>0</v>
      </c>
      <c r="L1624">
        <v>526.4</v>
      </c>
    </row>
    <row r="1625" spans="1:12" x14ac:dyDescent="0.25">
      <c r="A1625" t="str">
        <f t="shared" si="347"/>
        <v>89301000</v>
      </c>
      <c r="B1625" t="str">
        <f t="shared" si="342"/>
        <v>78006000</v>
      </c>
      <c r="C1625" t="str">
        <f t="shared" si="348"/>
        <v>78006231</v>
      </c>
      <c r="D1625" t="str">
        <f t="shared" si="349"/>
        <v>809</v>
      </c>
      <c r="E1625" t="str">
        <f>"89301202"</f>
        <v>89301202</v>
      </c>
      <c r="F1625" t="str">
        <f>"525502120"</f>
        <v>525502120</v>
      </c>
      <c r="G1625" s="1">
        <v>44614</v>
      </c>
      <c r="H1625" t="str">
        <f>"89180"</f>
        <v>89180</v>
      </c>
      <c r="I1625">
        <v>1</v>
      </c>
      <c r="J1625">
        <v>376</v>
      </c>
      <c r="K1625">
        <v>0</v>
      </c>
      <c r="L1625">
        <v>526.4</v>
      </c>
    </row>
    <row r="1626" spans="1:12" x14ac:dyDescent="0.25">
      <c r="A1626" t="str">
        <f t="shared" si="347"/>
        <v>89301000</v>
      </c>
      <c r="B1626" t="str">
        <f t="shared" si="342"/>
        <v>78006000</v>
      </c>
      <c r="C1626" t="str">
        <f t="shared" si="348"/>
        <v>78006231</v>
      </c>
      <c r="D1626" t="str">
        <f t="shared" si="349"/>
        <v>809</v>
      </c>
      <c r="E1626" t="str">
        <f>"89301212"</f>
        <v>89301212</v>
      </c>
      <c r="F1626" t="str">
        <f>"8556184934"</f>
        <v>8556184934</v>
      </c>
      <c r="G1626" s="1">
        <v>44596</v>
      </c>
      <c r="H1626" t="str">
        <f>"89513"</f>
        <v>89513</v>
      </c>
      <c r="I1626">
        <v>1</v>
      </c>
      <c r="J1626">
        <v>371</v>
      </c>
      <c r="K1626">
        <v>0</v>
      </c>
      <c r="L1626">
        <v>519.4</v>
      </c>
    </row>
    <row r="1627" spans="1:12" x14ac:dyDescent="0.25">
      <c r="A1627" t="str">
        <f t="shared" si="347"/>
        <v>89301000</v>
      </c>
      <c r="B1627" t="str">
        <f t="shared" si="342"/>
        <v>78006000</v>
      </c>
      <c r="C1627" t="str">
        <f t="shared" si="348"/>
        <v>78006231</v>
      </c>
      <c r="D1627" t="str">
        <f t="shared" si="349"/>
        <v>809</v>
      </c>
      <c r="E1627" t="str">
        <f>"89301212"</f>
        <v>89301212</v>
      </c>
      <c r="F1627" t="str">
        <f>"8556184934"</f>
        <v>8556184934</v>
      </c>
      <c r="G1627" s="1">
        <v>44596</v>
      </c>
      <c r="H1627" t="str">
        <f>"89514"</f>
        <v>89514</v>
      </c>
      <c r="I1627">
        <v>1</v>
      </c>
      <c r="J1627">
        <v>371</v>
      </c>
      <c r="K1627">
        <v>0</v>
      </c>
      <c r="L1627">
        <v>519.4</v>
      </c>
    </row>
    <row r="1628" spans="1:12" x14ac:dyDescent="0.25">
      <c r="A1628" t="str">
        <f t="shared" si="347"/>
        <v>89301000</v>
      </c>
      <c r="B1628" t="str">
        <f t="shared" si="342"/>
        <v>78006000</v>
      </c>
      <c r="C1628" t="str">
        <f t="shared" si="348"/>
        <v>78006231</v>
      </c>
      <c r="D1628" t="str">
        <f t="shared" si="349"/>
        <v>809</v>
      </c>
      <c r="E1628" t="str">
        <f>"89301212"</f>
        <v>89301212</v>
      </c>
      <c r="F1628" t="str">
        <f>"535801119"</f>
        <v>535801119</v>
      </c>
      <c r="G1628" s="1">
        <v>44609</v>
      </c>
      <c r="H1628" t="str">
        <f>"89131"</f>
        <v>89131</v>
      </c>
      <c r="I1628">
        <v>1</v>
      </c>
      <c r="J1628">
        <v>187</v>
      </c>
      <c r="K1628">
        <v>0</v>
      </c>
      <c r="L1628">
        <v>261.8</v>
      </c>
    </row>
    <row r="1629" spans="1:12" x14ac:dyDescent="0.25">
      <c r="A1629" t="str">
        <f t="shared" si="347"/>
        <v>89301000</v>
      </c>
      <c r="B1629" t="str">
        <f t="shared" si="342"/>
        <v>78006000</v>
      </c>
      <c r="C1629" t="str">
        <f t="shared" si="348"/>
        <v>78006231</v>
      </c>
      <c r="D1629" t="str">
        <f t="shared" si="349"/>
        <v>809</v>
      </c>
      <c r="E1629" t="str">
        <f>"89301062"</f>
        <v>89301062</v>
      </c>
      <c r="F1629" t="str">
        <f>"7808074461"</f>
        <v>7808074461</v>
      </c>
      <c r="G1629" s="1">
        <v>44610</v>
      </c>
      <c r="H1629" t="str">
        <f>"89119"</f>
        <v>89119</v>
      </c>
      <c r="I1629">
        <v>1</v>
      </c>
      <c r="J1629">
        <v>200</v>
      </c>
      <c r="K1629">
        <v>0</v>
      </c>
      <c r="L1629">
        <v>280</v>
      </c>
    </row>
    <row r="1630" spans="1:12" x14ac:dyDescent="0.25">
      <c r="A1630" t="str">
        <f t="shared" si="347"/>
        <v>89301000</v>
      </c>
      <c r="B1630" t="str">
        <f t="shared" si="342"/>
        <v>78006000</v>
      </c>
      <c r="C1630" t="str">
        <f t="shared" si="348"/>
        <v>78006231</v>
      </c>
      <c r="D1630" t="str">
        <f t="shared" si="349"/>
        <v>809</v>
      </c>
      <c r="E1630" t="str">
        <f>"89301062"</f>
        <v>89301062</v>
      </c>
      <c r="F1630" t="str">
        <f>"7808074461"</f>
        <v>7808074461</v>
      </c>
      <c r="G1630" s="1">
        <v>44610</v>
      </c>
      <c r="H1630" t="str">
        <f>"89119"</f>
        <v>89119</v>
      </c>
      <c r="I1630">
        <v>1</v>
      </c>
      <c r="J1630">
        <v>200</v>
      </c>
      <c r="K1630">
        <v>0</v>
      </c>
      <c r="L1630">
        <v>280</v>
      </c>
    </row>
    <row r="1631" spans="1:12" x14ac:dyDescent="0.25">
      <c r="A1631" t="str">
        <f t="shared" si="347"/>
        <v>89301000</v>
      </c>
      <c r="B1631" t="str">
        <f t="shared" ref="B1631:B1666" si="350">"78006000"</f>
        <v>78006000</v>
      </c>
      <c r="C1631" t="str">
        <f t="shared" si="348"/>
        <v>78006231</v>
      </c>
      <c r="D1631" t="str">
        <f t="shared" si="349"/>
        <v>809</v>
      </c>
      <c r="E1631" t="str">
        <f t="shared" ref="E1631:E1637" si="351">"89301212"</f>
        <v>89301212</v>
      </c>
      <c r="F1631" t="str">
        <f>"5662181877"</f>
        <v>5662181877</v>
      </c>
      <c r="G1631" s="1">
        <v>44594</v>
      </c>
      <c r="H1631" t="str">
        <f>"89513"</f>
        <v>89513</v>
      </c>
      <c r="I1631">
        <v>1</v>
      </c>
      <c r="J1631">
        <v>371</v>
      </c>
      <c r="K1631">
        <v>0</v>
      </c>
      <c r="L1631">
        <v>519.4</v>
      </c>
    </row>
    <row r="1632" spans="1:12" x14ac:dyDescent="0.25">
      <c r="A1632" t="str">
        <f t="shared" si="347"/>
        <v>89301000</v>
      </c>
      <c r="B1632" t="str">
        <f t="shared" si="350"/>
        <v>78006000</v>
      </c>
      <c r="C1632" t="str">
        <f t="shared" si="348"/>
        <v>78006231</v>
      </c>
      <c r="D1632" t="str">
        <f t="shared" si="349"/>
        <v>809</v>
      </c>
      <c r="E1632" t="str">
        <f t="shared" si="351"/>
        <v>89301212</v>
      </c>
      <c r="F1632" t="str">
        <f>"5662181877"</f>
        <v>5662181877</v>
      </c>
      <c r="G1632" s="1">
        <v>44594</v>
      </c>
      <c r="H1632" t="str">
        <f>"89514"</f>
        <v>89514</v>
      </c>
      <c r="I1632">
        <v>1</v>
      </c>
      <c r="J1632">
        <v>371</v>
      </c>
      <c r="K1632">
        <v>0</v>
      </c>
      <c r="L1632">
        <v>519.4</v>
      </c>
    </row>
    <row r="1633" spans="1:12" x14ac:dyDescent="0.25">
      <c r="A1633" t="str">
        <f t="shared" si="347"/>
        <v>89301000</v>
      </c>
      <c r="B1633" t="str">
        <f t="shared" si="350"/>
        <v>78006000</v>
      </c>
      <c r="C1633" t="str">
        <f t="shared" si="348"/>
        <v>78006231</v>
      </c>
      <c r="D1633" t="str">
        <f t="shared" si="349"/>
        <v>809</v>
      </c>
      <c r="E1633" t="str">
        <f t="shared" si="351"/>
        <v>89301212</v>
      </c>
      <c r="F1633" t="str">
        <f>"6509211181"</f>
        <v>6509211181</v>
      </c>
      <c r="G1633" s="1">
        <v>44599</v>
      </c>
      <c r="H1633" t="str">
        <f>"89513"</f>
        <v>89513</v>
      </c>
      <c r="I1633">
        <v>1</v>
      </c>
      <c r="J1633">
        <v>371</v>
      </c>
      <c r="K1633">
        <v>0</v>
      </c>
      <c r="L1633">
        <v>519.4</v>
      </c>
    </row>
    <row r="1634" spans="1:12" x14ac:dyDescent="0.25">
      <c r="A1634" t="str">
        <f t="shared" si="347"/>
        <v>89301000</v>
      </c>
      <c r="B1634" t="str">
        <f t="shared" si="350"/>
        <v>78006000</v>
      </c>
      <c r="C1634" t="str">
        <f t="shared" si="348"/>
        <v>78006231</v>
      </c>
      <c r="D1634" t="str">
        <f t="shared" si="349"/>
        <v>809</v>
      </c>
      <c r="E1634" t="str">
        <f t="shared" si="351"/>
        <v>89301212</v>
      </c>
      <c r="F1634" t="str">
        <f>"6509211181"</f>
        <v>6509211181</v>
      </c>
      <c r="G1634" s="1">
        <v>44599</v>
      </c>
      <c r="H1634" t="str">
        <f>"89514"</f>
        <v>89514</v>
      </c>
      <c r="I1634">
        <v>1</v>
      </c>
      <c r="J1634">
        <v>371</v>
      </c>
      <c r="K1634">
        <v>0</v>
      </c>
      <c r="L1634">
        <v>519.4</v>
      </c>
    </row>
    <row r="1635" spans="1:12" x14ac:dyDescent="0.25">
      <c r="A1635" t="str">
        <f t="shared" si="347"/>
        <v>89301000</v>
      </c>
      <c r="B1635" t="str">
        <f t="shared" si="350"/>
        <v>78006000</v>
      </c>
      <c r="C1635" t="str">
        <f t="shared" si="348"/>
        <v>78006231</v>
      </c>
      <c r="D1635" t="str">
        <f t="shared" si="349"/>
        <v>809</v>
      </c>
      <c r="E1635" t="str">
        <f t="shared" si="351"/>
        <v>89301212</v>
      </c>
      <c r="F1635" t="str">
        <f>"7962044475"</f>
        <v>7962044475</v>
      </c>
      <c r="G1635" s="1">
        <v>44600</v>
      </c>
      <c r="H1635" t="str">
        <f>"89512"</f>
        <v>89512</v>
      </c>
      <c r="I1635">
        <v>1</v>
      </c>
      <c r="J1635">
        <v>277</v>
      </c>
      <c r="K1635">
        <v>0</v>
      </c>
      <c r="L1635">
        <v>387.8</v>
      </c>
    </row>
    <row r="1636" spans="1:12" x14ac:dyDescent="0.25">
      <c r="A1636" t="str">
        <f t="shared" si="347"/>
        <v>89301000</v>
      </c>
      <c r="B1636" t="str">
        <f t="shared" si="350"/>
        <v>78006000</v>
      </c>
      <c r="C1636" t="str">
        <f t="shared" si="348"/>
        <v>78006231</v>
      </c>
      <c r="D1636" t="str">
        <f t="shared" si="349"/>
        <v>809</v>
      </c>
      <c r="E1636" t="str">
        <f t="shared" si="351"/>
        <v>89301212</v>
      </c>
      <c r="F1636" t="str">
        <f>"535801119"</f>
        <v>535801119</v>
      </c>
      <c r="G1636" s="1">
        <v>44620</v>
      </c>
      <c r="H1636" t="str">
        <f>"89513"</f>
        <v>89513</v>
      </c>
      <c r="I1636">
        <v>1</v>
      </c>
      <c r="J1636">
        <v>371</v>
      </c>
      <c r="K1636">
        <v>0</v>
      </c>
      <c r="L1636">
        <v>519.4</v>
      </c>
    </row>
    <row r="1637" spans="1:12" x14ac:dyDescent="0.25">
      <c r="A1637" t="str">
        <f t="shared" si="347"/>
        <v>89301000</v>
      </c>
      <c r="B1637" t="str">
        <f t="shared" si="350"/>
        <v>78006000</v>
      </c>
      <c r="C1637" t="str">
        <f t="shared" si="348"/>
        <v>78006231</v>
      </c>
      <c r="D1637" t="str">
        <f t="shared" si="349"/>
        <v>809</v>
      </c>
      <c r="E1637" t="str">
        <f t="shared" si="351"/>
        <v>89301212</v>
      </c>
      <c r="F1637" t="str">
        <f>"535801119"</f>
        <v>535801119</v>
      </c>
      <c r="G1637" s="1">
        <v>44620</v>
      </c>
      <c r="H1637" t="str">
        <f>"89514"</f>
        <v>89514</v>
      </c>
      <c r="I1637">
        <v>1</v>
      </c>
      <c r="J1637">
        <v>371</v>
      </c>
      <c r="K1637">
        <v>0</v>
      </c>
      <c r="L1637">
        <v>519.4</v>
      </c>
    </row>
    <row r="1638" spans="1:12" x14ac:dyDescent="0.25">
      <c r="A1638" t="str">
        <f t="shared" si="347"/>
        <v>89301000</v>
      </c>
      <c r="B1638" t="str">
        <f t="shared" si="350"/>
        <v>78006000</v>
      </c>
      <c r="C1638" t="str">
        <f>"78006532"</f>
        <v>78006532</v>
      </c>
      <c r="D1638" t="str">
        <f>"810"</f>
        <v>810</v>
      </c>
      <c r="E1638" t="str">
        <f>"89301172"</f>
        <v>89301172</v>
      </c>
      <c r="F1638" t="str">
        <f>"8654176135"</f>
        <v>8654176135</v>
      </c>
      <c r="G1638" s="1">
        <v>44596</v>
      </c>
      <c r="H1638" t="str">
        <f>"89713"</f>
        <v>89713</v>
      </c>
      <c r="I1638">
        <v>2</v>
      </c>
      <c r="J1638">
        <v>10724</v>
      </c>
      <c r="K1638">
        <v>0</v>
      </c>
      <c r="L1638">
        <v>6434.4</v>
      </c>
    </row>
    <row r="1639" spans="1:12" x14ac:dyDescent="0.25">
      <c r="A1639" t="str">
        <f t="shared" si="347"/>
        <v>89301000</v>
      </c>
      <c r="B1639" t="str">
        <f t="shared" si="350"/>
        <v>78006000</v>
      </c>
      <c r="C1639" t="str">
        <f>"78006532"</f>
        <v>78006532</v>
      </c>
      <c r="D1639" t="str">
        <f>"810"</f>
        <v>810</v>
      </c>
      <c r="E1639" t="str">
        <f>"89301172"</f>
        <v>89301172</v>
      </c>
      <c r="F1639" t="str">
        <f>"8654176135"</f>
        <v>8654176135</v>
      </c>
      <c r="G1639" s="1">
        <v>44596</v>
      </c>
      <c r="H1639" t="str">
        <f>"89725"</f>
        <v>89725</v>
      </c>
      <c r="I1639">
        <v>1</v>
      </c>
      <c r="J1639">
        <v>2839</v>
      </c>
      <c r="K1639">
        <v>0</v>
      </c>
      <c r="L1639">
        <v>1703.4</v>
      </c>
    </row>
    <row r="1640" spans="1:12" x14ac:dyDescent="0.25">
      <c r="A1640" t="str">
        <f t="shared" si="347"/>
        <v>89301000</v>
      </c>
      <c r="B1640" t="str">
        <f t="shared" si="350"/>
        <v>78006000</v>
      </c>
      <c r="C1640" t="str">
        <f>"78006532"</f>
        <v>78006532</v>
      </c>
      <c r="D1640" t="str">
        <f>"810"</f>
        <v>810</v>
      </c>
      <c r="E1640" t="str">
        <f>"89301172"</f>
        <v>89301172</v>
      </c>
      <c r="F1640" t="str">
        <f>"8654176135"</f>
        <v>8654176135</v>
      </c>
      <c r="G1640" s="1">
        <v>44596</v>
      </c>
      <c r="H1640" t="str">
        <f>"0207745"</f>
        <v>0207745</v>
      </c>
      <c r="I1640">
        <v>0.2</v>
      </c>
      <c r="K1640">
        <v>1295.26</v>
      </c>
      <c r="L1640">
        <v>1295.26</v>
      </c>
    </row>
    <row r="1641" spans="1:12" x14ac:dyDescent="0.25">
      <c r="A1641" t="str">
        <f t="shared" si="347"/>
        <v>89301000</v>
      </c>
      <c r="B1641" t="str">
        <f t="shared" si="350"/>
        <v>78006000</v>
      </c>
      <c r="C1641" t="str">
        <f t="shared" ref="C1641:C1647" si="352">"78006207"</f>
        <v>78006207</v>
      </c>
      <c r="D1641" t="str">
        <f t="shared" ref="D1641:D1647" si="353">"813"</f>
        <v>813</v>
      </c>
      <c r="E1641" t="str">
        <f t="shared" ref="E1641:E1652" si="354">"89301171"</f>
        <v>89301171</v>
      </c>
      <c r="F1641" t="str">
        <f>"5652011299"</f>
        <v>5652011299</v>
      </c>
      <c r="G1641" s="1">
        <v>44602</v>
      </c>
      <c r="H1641" t="str">
        <f t="shared" ref="H1641:H1647" si="355">"91197"</f>
        <v>91197</v>
      </c>
      <c r="I1641">
        <v>6</v>
      </c>
      <c r="J1641">
        <v>6276</v>
      </c>
      <c r="K1641">
        <v>0</v>
      </c>
      <c r="L1641">
        <v>4895.28</v>
      </c>
    </row>
    <row r="1642" spans="1:12" x14ac:dyDescent="0.25">
      <c r="A1642" t="str">
        <f t="shared" si="347"/>
        <v>89301000</v>
      </c>
      <c r="B1642" t="str">
        <f t="shared" si="350"/>
        <v>78006000</v>
      </c>
      <c r="C1642" t="str">
        <f t="shared" si="352"/>
        <v>78006207</v>
      </c>
      <c r="D1642" t="str">
        <f t="shared" si="353"/>
        <v>813</v>
      </c>
      <c r="E1642" t="str">
        <f t="shared" si="354"/>
        <v>89301171</v>
      </c>
      <c r="F1642" t="str">
        <f>"480705128"</f>
        <v>480705128</v>
      </c>
      <c r="G1642" s="1">
        <v>44607</v>
      </c>
      <c r="H1642" t="str">
        <f t="shared" si="355"/>
        <v>91197</v>
      </c>
      <c r="I1642">
        <v>6</v>
      </c>
      <c r="J1642">
        <v>6276</v>
      </c>
      <c r="K1642">
        <v>0</v>
      </c>
      <c r="L1642">
        <v>4895.28</v>
      </c>
    </row>
    <row r="1643" spans="1:12" x14ac:dyDescent="0.25">
      <c r="A1643" t="str">
        <f t="shared" si="347"/>
        <v>89301000</v>
      </c>
      <c r="B1643" t="str">
        <f t="shared" si="350"/>
        <v>78006000</v>
      </c>
      <c r="C1643" t="str">
        <f t="shared" si="352"/>
        <v>78006207</v>
      </c>
      <c r="D1643" t="str">
        <f t="shared" si="353"/>
        <v>813</v>
      </c>
      <c r="E1643" t="str">
        <f t="shared" si="354"/>
        <v>89301171</v>
      </c>
      <c r="F1643" t="str">
        <f>"6454032002"</f>
        <v>6454032002</v>
      </c>
      <c r="G1643" s="1">
        <v>44600</v>
      </c>
      <c r="H1643" t="str">
        <f t="shared" si="355"/>
        <v>91197</v>
      </c>
      <c r="I1643">
        <v>6</v>
      </c>
      <c r="J1643">
        <v>6276</v>
      </c>
      <c r="K1643">
        <v>0</v>
      </c>
      <c r="L1643">
        <v>4895.28</v>
      </c>
    </row>
    <row r="1644" spans="1:12" x14ac:dyDescent="0.25">
      <c r="A1644" t="str">
        <f t="shared" si="347"/>
        <v>89301000</v>
      </c>
      <c r="B1644" t="str">
        <f t="shared" si="350"/>
        <v>78006000</v>
      </c>
      <c r="C1644" t="str">
        <f t="shared" si="352"/>
        <v>78006207</v>
      </c>
      <c r="D1644" t="str">
        <f t="shared" si="353"/>
        <v>813</v>
      </c>
      <c r="E1644" t="str">
        <f t="shared" si="354"/>
        <v>89301171</v>
      </c>
      <c r="F1644" t="str">
        <f>"7307055305"</f>
        <v>7307055305</v>
      </c>
      <c r="G1644" s="1">
        <v>44607</v>
      </c>
      <c r="H1644" t="str">
        <f t="shared" si="355"/>
        <v>91197</v>
      </c>
      <c r="I1644">
        <v>6</v>
      </c>
      <c r="J1644">
        <v>6276</v>
      </c>
      <c r="K1644">
        <v>0</v>
      </c>
      <c r="L1644">
        <v>4895.28</v>
      </c>
    </row>
    <row r="1645" spans="1:12" x14ac:dyDescent="0.25">
      <c r="A1645" t="str">
        <f t="shared" si="347"/>
        <v>89301000</v>
      </c>
      <c r="B1645" t="str">
        <f t="shared" si="350"/>
        <v>78006000</v>
      </c>
      <c r="C1645" t="str">
        <f t="shared" si="352"/>
        <v>78006207</v>
      </c>
      <c r="D1645" t="str">
        <f t="shared" si="353"/>
        <v>813</v>
      </c>
      <c r="E1645" t="str">
        <f t="shared" si="354"/>
        <v>89301171</v>
      </c>
      <c r="F1645" t="str">
        <f>"7702025309"</f>
        <v>7702025309</v>
      </c>
      <c r="G1645" s="1">
        <v>44607</v>
      </c>
      <c r="H1645" t="str">
        <f t="shared" si="355"/>
        <v>91197</v>
      </c>
      <c r="I1645">
        <v>6</v>
      </c>
      <c r="J1645">
        <v>6276</v>
      </c>
      <c r="K1645">
        <v>0</v>
      </c>
      <c r="L1645">
        <v>4895.28</v>
      </c>
    </row>
    <row r="1646" spans="1:12" x14ac:dyDescent="0.25">
      <c r="A1646" t="str">
        <f t="shared" si="347"/>
        <v>89301000</v>
      </c>
      <c r="B1646" t="str">
        <f t="shared" si="350"/>
        <v>78006000</v>
      </c>
      <c r="C1646" t="str">
        <f t="shared" si="352"/>
        <v>78006207</v>
      </c>
      <c r="D1646" t="str">
        <f t="shared" si="353"/>
        <v>813</v>
      </c>
      <c r="E1646" t="str">
        <f t="shared" si="354"/>
        <v>89301171</v>
      </c>
      <c r="F1646" t="str">
        <f>"7953224455"</f>
        <v>7953224455</v>
      </c>
      <c r="G1646" s="1">
        <v>44607</v>
      </c>
      <c r="H1646" t="str">
        <f t="shared" si="355"/>
        <v>91197</v>
      </c>
      <c r="I1646">
        <v>6</v>
      </c>
      <c r="J1646">
        <v>6276</v>
      </c>
      <c r="K1646">
        <v>0</v>
      </c>
      <c r="L1646">
        <v>4895.28</v>
      </c>
    </row>
    <row r="1647" spans="1:12" x14ac:dyDescent="0.25">
      <c r="A1647" t="str">
        <f t="shared" si="347"/>
        <v>89301000</v>
      </c>
      <c r="B1647" t="str">
        <f t="shared" si="350"/>
        <v>78006000</v>
      </c>
      <c r="C1647" t="str">
        <f t="shared" si="352"/>
        <v>78006207</v>
      </c>
      <c r="D1647" t="str">
        <f t="shared" si="353"/>
        <v>813</v>
      </c>
      <c r="E1647" t="str">
        <f t="shared" si="354"/>
        <v>89301171</v>
      </c>
      <c r="F1647" t="str">
        <f>"7607175312"</f>
        <v>7607175312</v>
      </c>
      <c r="G1647" s="1">
        <v>44607</v>
      </c>
      <c r="H1647" t="str">
        <f t="shared" si="355"/>
        <v>91197</v>
      </c>
      <c r="I1647">
        <v>6</v>
      </c>
      <c r="J1647">
        <v>6276</v>
      </c>
      <c r="K1647">
        <v>0</v>
      </c>
      <c r="L1647">
        <v>4895.28</v>
      </c>
    </row>
    <row r="1648" spans="1:12" x14ac:dyDescent="0.25">
      <c r="A1648" t="str">
        <f t="shared" si="347"/>
        <v>89301000</v>
      </c>
      <c r="B1648" t="str">
        <f t="shared" si="350"/>
        <v>78006000</v>
      </c>
      <c r="C1648" t="str">
        <f t="shared" ref="C1648:C1662" si="356">"78006201"</f>
        <v>78006201</v>
      </c>
      <c r="D1648" t="str">
        <f t="shared" ref="D1648:D1662" si="357">"801"</f>
        <v>801</v>
      </c>
      <c r="E1648" t="str">
        <f t="shared" si="354"/>
        <v>89301171</v>
      </c>
      <c r="F1648" t="str">
        <f>"7161225302"</f>
        <v>7161225302</v>
      </c>
      <c r="G1648" s="1">
        <v>44602</v>
      </c>
      <c r="H1648" t="str">
        <f>"81703"</f>
        <v>81703</v>
      </c>
      <c r="I1648">
        <v>2</v>
      </c>
      <c r="J1648">
        <v>556</v>
      </c>
      <c r="K1648">
        <v>0</v>
      </c>
      <c r="L1648">
        <v>433.68</v>
      </c>
    </row>
    <row r="1649" spans="1:12" x14ac:dyDescent="0.25">
      <c r="A1649" t="str">
        <f t="shared" si="347"/>
        <v>89301000</v>
      </c>
      <c r="B1649" t="str">
        <f t="shared" si="350"/>
        <v>78006000</v>
      </c>
      <c r="C1649" t="str">
        <f t="shared" si="356"/>
        <v>78006201</v>
      </c>
      <c r="D1649" t="str">
        <f t="shared" si="357"/>
        <v>801</v>
      </c>
      <c r="E1649" t="str">
        <f t="shared" si="354"/>
        <v>89301171</v>
      </c>
      <c r="F1649" t="str">
        <f>"7702025309"</f>
        <v>7702025309</v>
      </c>
      <c r="G1649" s="1">
        <v>44595</v>
      </c>
      <c r="H1649" t="str">
        <f>"81703"</f>
        <v>81703</v>
      </c>
      <c r="I1649">
        <v>2</v>
      </c>
      <c r="J1649">
        <v>556</v>
      </c>
      <c r="K1649">
        <v>0</v>
      </c>
      <c r="L1649">
        <v>433.68</v>
      </c>
    </row>
    <row r="1650" spans="1:12" x14ac:dyDescent="0.25">
      <c r="A1650" t="str">
        <f t="shared" si="347"/>
        <v>89301000</v>
      </c>
      <c r="B1650" t="str">
        <f t="shared" si="350"/>
        <v>78006000</v>
      </c>
      <c r="C1650" t="str">
        <f t="shared" si="356"/>
        <v>78006201</v>
      </c>
      <c r="D1650" t="str">
        <f t="shared" si="357"/>
        <v>801</v>
      </c>
      <c r="E1650" t="str">
        <f t="shared" si="354"/>
        <v>89301171</v>
      </c>
      <c r="F1650" t="str">
        <f>"6356150493"</f>
        <v>6356150493</v>
      </c>
      <c r="G1650" s="1">
        <v>44609</v>
      </c>
      <c r="H1650" t="str">
        <f>"81703"</f>
        <v>81703</v>
      </c>
      <c r="I1650">
        <v>2</v>
      </c>
      <c r="J1650">
        <v>556</v>
      </c>
      <c r="K1650">
        <v>0</v>
      </c>
      <c r="L1650">
        <v>433.68</v>
      </c>
    </row>
    <row r="1651" spans="1:12" x14ac:dyDescent="0.25">
      <c r="A1651" t="str">
        <f t="shared" si="347"/>
        <v>89301000</v>
      </c>
      <c r="B1651" t="str">
        <f t="shared" si="350"/>
        <v>78006000</v>
      </c>
      <c r="C1651" t="str">
        <f t="shared" si="356"/>
        <v>78006201</v>
      </c>
      <c r="D1651" t="str">
        <f t="shared" si="357"/>
        <v>801</v>
      </c>
      <c r="E1651" t="str">
        <f t="shared" si="354"/>
        <v>89301171</v>
      </c>
      <c r="F1651" t="str">
        <f>"7912285315"</f>
        <v>7912285315</v>
      </c>
      <c r="G1651" s="1">
        <v>44606</v>
      </c>
      <c r="H1651" t="str">
        <f>"81703"</f>
        <v>81703</v>
      </c>
      <c r="I1651">
        <v>2</v>
      </c>
      <c r="J1651">
        <v>556</v>
      </c>
      <c r="K1651">
        <v>0</v>
      </c>
      <c r="L1651">
        <v>433.68</v>
      </c>
    </row>
    <row r="1652" spans="1:12" x14ac:dyDescent="0.25">
      <c r="A1652" t="str">
        <f t="shared" si="347"/>
        <v>89301000</v>
      </c>
      <c r="B1652" t="str">
        <f t="shared" si="350"/>
        <v>78006000</v>
      </c>
      <c r="C1652" t="str">
        <f t="shared" si="356"/>
        <v>78006201</v>
      </c>
      <c r="D1652" t="str">
        <f t="shared" si="357"/>
        <v>801</v>
      </c>
      <c r="E1652" t="str">
        <f t="shared" si="354"/>
        <v>89301171</v>
      </c>
      <c r="F1652" t="str">
        <f>"0157036154"</f>
        <v>0157036154</v>
      </c>
      <c r="G1652" s="1">
        <v>44606</v>
      </c>
      <c r="H1652" t="str">
        <f>"81703"</f>
        <v>81703</v>
      </c>
      <c r="I1652">
        <v>2</v>
      </c>
      <c r="J1652">
        <v>556</v>
      </c>
      <c r="K1652">
        <v>0</v>
      </c>
      <c r="L1652">
        <v>433.68</v>
      </c>
    </row>
    <row r="1653" spans="1:12" x14ac:dyDescent="0.25">
      <c r="A1653" t="str">
        <f t="shared" si="347"/>
        <v>89301000</v>
      </c>
      <c r="B1653" t="str">
        <f t="shared" si="350"/>
        <v>78006000</v>
      </c>
      <c r="C1653" t="str">
        <f t="shared" si="356"/>
        <v>78006201</v>
      </c>
      <c r="D1653" t="str">
        <f t="shared" si="357"/>
        <v>801</v>
      </c>
      <c r="E1653" t="str">
        <f>"89301202"</f>
        <v>89301202</v>
      </c>
      <c r="F1653" t="str">
        <f>"6952074844"</f>
        <v>6952074844</v>
      </c>
      <c r="G1653" s="1">
        <v>44609</v>
      </c>
      <c r="H1653" t="str">
        <f>"92169"</f>
        <v>92169</v>
      </c>
      <c r="I1653">
        <v>1</v>
      </c>
      <c r="J1653">
        <v>944</v>
      </c>
      <c r="K1653">
        <v>0</v>
      </c>
      <c r="L1653">
        <v>736.32</v>
      </c>
    </row>
    <row r="1654" spans="1:12" x14ac:dyDescent="0.25">
      <c r="A1654" t="str">
        <f t="shared" si="347"/>
        <v>89301000</v>
      </c>
      <c r="B1654" t="str">
        <f t="shared" si="350"/>
        <v>78006000</v>
      </c>
      <c r="C1654" t="str">
        <f t="shared" si="356"/>
        <v>78006201</v>
      </c>
      <c r="D1654" t="str">
        <f t="shared" si="357"/>
        <v>801</v>
      </c>
      <c r="E1654" t="str">
        <f>"89301202"</f>
        <v>89301202</v>
      </c>
      <c r="F1654" t="str">
        <f>"8003075333"</f>
        <v>8003075333</v>
      </c>
      <c r="G1654" s="1">
        <v>44613</v>
      </c>
      <c r="H1654" t="str">
        <f>"92169"</f>
        <v>92169</v>
      </c>
      <c r="I1654">
        <v>1</v>
      </c>
      <c r="J1654">
        <v>944</v>
      </c>
      <c r="K1654">
        <v>0</v>
      </c>
      <c r="L1654">
        <v>736.32</v>
      </c>
    </row>
    <row r="1655" spans="1:12" x14ac:dyDescent="0.25">
      <c r="A1655" t="str">
        <f t="shared" si="347"/>
        <v>89301000</v>
      </c>
      <c r="B1655" t="str">
        <f t="shared" si="350"/>
        <v>78006000</v>
      </c>
      <c r="C1655" t="str">
        <f t="shared" si="356"/>
        <v>78006201</v>
      </c>
      <c r="D1655" t="str">
        <f t="shared" si="357"/>
        <v>801</v>
      </c>
      <c r="E1655" t="str">
        <f>"89301202"</f>
        <v>89301202</v>
      </c>
      <c r="F1655" t="str">
        <f>"8003075333"</f>
        <v>8003075333</v>
      </c>
      <c r="G1655" s="1">
        <v>44613</v>
      </c>
      <c r="H1655" t="str">
        <f>"97111"</f>
        <v>97111</v>
      </c>
      <c r="I1655">
        <v>1</v>
      </c>
      <c r="J1655">
        <v>18</v>
      </c>
      <c r="K1655">
        <v>0</v>
      </c>
      <c r="L1655">
        <v>14.04</v>
      </c>
    </row>
    <row r="1656" spans="1:12" x14ac:dyDescent="0.25">
      <c r="A1656" t="str">
        <f t="shared" si="347"/>
        <v>89301000</v>
      </c>
      <c r="B1656" t="str">
        <f t="shared" si="350"/>
        <v>78006000</v>
      </c>
      <c r="C1656" t="str">
        <f t="shared" si="356"/>
        <v>78006201</v>
      </c>
      <c r="D1656" t="str">
        <f t="shared" si="357"/>
        <v>801</v>
      </c>
      <c r="E1656" t="str">
        <f t="shared" ref="E1656:E1661" si="358">"89301167"</f>
        <v>89301167</v>
      </c>
      <c r="F1656" t="str">
        <f t="shared" ref="F1656:F1661" si="359">"6459211253"</f>
        <v>6459211253</v>
      </c>
      <c r="G1656" s="1">
        <v>44608</v>
      </c>
      <c r="H1656" t="str">
        <f>"81329"</f>
        <v>81329</v>
      </c>
      <c r="I1656">
        <v>1</v>
      </c>
      <c r="J1656">
        <v>16</v>
      </c>
      <c r="K1656">
        <v>0</v>
      </c>
      <c r="L1656">
        <v>12.48</v>
      </c>
    </row>
    <row r="1657" spans="1:12" x14ac:dyDescent="0.25">
      <c r="A1657" t="str">
        <f t="shared" si="347"/>
        <v>89301000</v>
      </c>
      <c r="B1657" t="str">
        <f t="shared" si="350"/>
        <v>78006000</v>
      </c>
      <c r="C1657" t="str">
        <f t="shared" si="356"/>
        <v>78006201</v>
      </c>
      <c r="D1657" t="str">
        <f t="shared" si="357"/>
        <v>801</v>
      </c>
      <c r="E1657" t="str">
        <f t="shared" si="358"/>
        <v>89301167</v>
      </c>
      <c r="F1657" t="str">
        <f t="shared" si="359"/>
        <v>6459211253</v>
      </c>
      <c r="G1657" s="1">
        <v>44608</v>
      </c>
      <c r="H1657" t="str">
        <f>"81383"</f>
        <v>81383</v>
      </c>
      <c r="I1657">
        <v>1</v>
      </c>
      <c r="J1657">
        <v>23</v>
      </c>
      <c r="K1657">
        <v>0</v>
      </c>
      <c r="L1657">
        <v>17.940000000000001</v>
      </c>
    </row>
    <row r="1658" spans="1:12" x14ac:dyDescent="0.25">
      <c r="A1658" t="str">
        <f t="shared" si="347"/>
        <v>89301000</v>
      </c>
      <c r="B1658" t="str">
        <f t="shared" si="350"/>
        <v>78006000</v>
      </c>
      <c r="C1658" t="str">
        <f t="shared" si="356"/>
        <v>78006201</v>
      </c>
      <c r="D1658" t="str">
        <f t="shared" si="357"/>
        <v>801</v>
      </c>
      <c r="E1658" t="str">
        <f t="shared" si="358"/>
        <v>89301167</v>
      </c>
      <c r="F1658" t="str">
        <f t="shared" si="359"/>
        <v>6459211253</v>
      </c>
      <c r="G1658" s="1">
        <v>44608</v>
      </c>
      <c r="H1658" t="str">
        <f>"81625"</f>
        <v>81625</v>
      </c>
      <c r="I1658">
        <v>1</v>
      </c>
      <c r="J1658">
        <v>20</v>
      </c>
      <c r="K1658">
        <v>0</v>
      </c>
      <c r="L1658">
        <v>15.6</v>
      </c>
    </row>
    <row r="1659" spans="1:12" x14ac:dyDescent="0.25">
      <c r="A1659" t="str">
        <f t="shared" si="347"/>
        <v>89301000</v>
      </c>
      <c r="B1659" t="str">
        <f t="shared" si="350"/>
        <v>78006000</v>
      </c>
      <c r="C1659" t="str">
        <f t="shared" si="356"/>
        <v>78006201</v>
      </c>
      <c r="D1659" t="str">
        <f t="shared" si="357"/>
        <v>801</v>
      </c>
      <c r="E1659" t="str">
        <f t="shared" si="358"/>
        <v>89301167</v>
      </c>
      <c r="F1659" t="str">
        <f t="shared" si="359"/>
        <v>6459211253</v>
      </c>
      <c r="G1659" s="1">
        <v>44608</v>
      </c>
      <c r="H1659" t="str">
        <f>"93189"</f>
        <v>93189</v>
      </c>
      <c r="I1659">
        <v>1</v>
      </c>
      <c r="J1659">
        <v>189</v>
      </c>
      <c r="K1659">
        <v>0</v>
      </c>
      <c r="L1659">
        <v>147.41999999999999</v>
      </c>
    </row>
    <row r="1660" spans="1:12" x14ac:dyDescent="0.25">
      <c r="A1660" t="str">
        <f t="shared" si="347"/>
        <v>89301000</v>
      </c>
      <c r="B1660" t="str">
        <f t="shared" si="350"/>
        <v>78006000</v>
      </c>
      <c r="C1660" t="str">
        <f t="shared" si="356"/>
        <v>78006201</v>
      </c>
      <c r="D1660" t="str">
        <f t="shared" si="357"/>
        <v>801</v>
      </c>
      <c r="E1660" t="str">
        <f t="shared" si="358"/>
        <v>89301167</v>
      </c>
      <c r="F1660" t="str">
        <f t="shared" si="359"/>
        <v>6459211253</v>
      </c>
      <c r="G1660" s="1">
        <v>44608</v>
      </c>
      <c r="H1660" t="str">
        <f>"93195"</f>
        <v>93195</v>
      </c>
      <c r="I1660">
        <v>1</v>
      </c>
      <c r="J1660">
        <v>181</v>
      </c>
      <c r="K1660">
        <v>0</v>
      </c>
      <c r="L1660">
        <v>141.18</v>
      </c>
    </row>
    <row r="1661" spans="1:12" x14ac:dyDescent="0.25">
      <c r="A1661" t="str">
        <f t="shared" si="347"/>
        <v>89301000</v>
      </c>
      <c r="B1661" t="str">
        <f t="shared" si="350"/>
        <v>78006000</v>
      </c>
      <c r="C1661" t="str">
        <f t="shared" si="356"/>
        <v>78006201</v>
      </c>
      <c r="D1661" t="str">
        <f t="shared" si="357"/>
        <v>801</v>
      </c>
      <c r="E1661" t="str">
        <f t="shared" si="358"/>
        <v>89301167</v>
      </c>
      <c r="F1661" t="str">
        <f t="shared" si="359"/>
        <v>6459211253</v>
      </c>
      <c r="G1661" s="1">
        <v>44608</v>
      </c>
      <c r="H1661" t="str">
        <f>"97111"</f>
        <v>97111</v>
      </c>
      <c r="I1661">
        <v>1</v>
      </c>
      <c r="J1661">
        <v>18</v>
      </c>
      <c r="K1661">
        <v>0</v>
      </c>
      <c r="L1661">
        <v>14.04</v>
      </c>
    </row>
    <row r="1662" spans="1:12" x14ac:dyDescent="0.25">
      <c r="A1662" t="str">
        <f t="shared" si="347"/>
        <v>89301000</v>
      </c>
      <c r="B1662" t="str">
        <f t="shared" si="350"/>
        <v>78006000</v>
      </c>
      <c r="C1662" t="str">
        <f t="shared" si="356"/>
        <v>78006201</v>
      </c>
      <c r="D1662" t="str">
        <f t="shared" si="357"/>
        <v>801</v>
      </c>
      <c r="E1662" t="str">
        <f>"89301082"</f>
        <v>89301082</v>
      </c>
      <c r="F1662" t="str">
        <f>"8757314148"</f>
        <v>8757314148</v>
      </c>
      <c r="G1662" s="1">
        <v>44613</v>
      </c>
      <c r="H1662" t="str">
        <f>"81707"</f>
        <v>81707</v>
      </c>
      <c r="I1662">
        <v>1</v>
      </c>
      <c r="J1662">
        <v>394</v>
      </c>
      <c r="K1662">
        <v>0</v>
      </c>
      <c r="L1662">
        <v>307.32</v>
      </c>
    </row>
    <row r="1663" spans="1:12" x14ac:dyDescent="0.25">
      <c r="A1663" t="str">
        <f t="shared" si="347"/>
        <v>89301000</v>
      </c>
      <c r="B1663" t="str">
        <f t="shared" si="350"/>
        <v>78006000</v>
      </c>
      <c r="C1663" t="str">
        <f>"78006207"</f>
        <v>78006207</v>
      </c>
      <c r="D1663" t="str">
        <f>"813"</f>
        <v>813</v>
      </c>
      <c r="E1663" t="str">
        <f>"89301167"</f>
        <v>89301167</v>
      </c>
      <c r="F1663" t="str">
        <f>"6459211253"</f>
        <v>6459211253</v>
      </c>
      <c r="G1663" s="1">
        <v>44608</v>
      </c>
      <c r="H1663" t="str">
        <f>"91153"</f>
        <v>91153</v>
      </c>
      <c r="I1663">
        <v>1</v>
      </c>
      <c r="J1663">
        <v>152</v>
      </c>
      <c r="K1663">
        <v>0</v>
      </c>
      <c r="L1663">
        <v>118.56</v>
      </c>
    </row>
    <row r="1664" spans="1:12" x14ac:dyDescent="0.25">
      <c r="A1664" t="str">
        <f t="shared" si="347"/>
        <v>89301000</v>
      </c>
      <c r="B1664" t="str">
        <f t="shared" si="350"/>
        <v>78006000</v>
      </c>
      <c r="C1664" t="str">
        <f>"78006205"</f>
        <v>78006205</v>
      </c>
      <c r="D1664" t="str">
        <f>"818"</f>
        <v>818</v>
      </c>
      <c r="E1664" t="str">
        <f>"89301167"</f>
        <v>89301167</v>
      </c>
      <c r="F1664" t="str">
        <f>"6459211253"</f>
        <v>6459211253</v>
      </c>
      <c r="G1664" s="1">
        <v>44608</v>
      </c>
      <c r="H1664" t="str">
        <f>"96167"</f>
        <v>96167</v>
      </c>
      <c r="I1664">
        <v>1</v>
      </c>
      <c r="J1664">
        <v>67</v>
      </c>
      <c r="K1664">
        <v>0</v>
      </c>
      <c r="L1664">
        <v>60.97</v>
      </c>
    </row>
    <row r="1665" spans="1:12" x14ac:dyDescent="0.25">
      <c r="A1665" t="str">
        <f t="shared" si="347"/>
        <v>89301000</v>
      </c>
      <c r="B1665" t="str">
        <f t="shared" si="350"/>
        <v>78006000</v>
      </c>
      <c r="C1665" t="str">
        <f>"78006205"</f>
        <v>78006205</v>
      </c>
      <c r="D1665" t="str">
        <f>"818"</f>
        <v>818</v>
      </c>
      <c r="E1665" t="str">
        <f>"89301167"</f>
        <v>89301167</v>
      </c>
      <c r="F1665" t="str">
        <f>"6459211253"</f>
        <v>6459211253</v>
      </c>
      <c r="G1665" s="1">
        <v>44608</v>
      </c>
      <c r="H1665" t="str">
        <f>"96315"</f>
        <v>96315</v>
      </c>
      <c r="I1665">
        <v>1</v>
      </c>
      <c r="J1665">
        <v>29</v>
      </c>
      <c r="K1665">
        <v>0</v>
      </c>
      <c r="L1665">
        <v>26.39</v>
      </c>
    </row>
    <row r="1666" spans="1:12" x14ac:dyDescent="0.25">
      <c r="A1666" t="str">
        <f t="shared" ref="A1666:A1729" si="360">"89301000"</f>
        <v>89301000</v>
      </c>
      <c r="B1666" t="str">
        <f t="shared" si="350"/>
        <v>78006000</v>
      </c>
      <c r="C1666" t="str">
        <f>"78006205"</f>
        <v>78006205</v>
      </c>
      <c r="D1666" t="str">
        <f>"818"</f>
        <v>818</v>
      </c>
      <c r="E1666" t="str">
        <f>"89301167"</f>
        <v>89301167</v>
      </c>
      <c r="F1666" t="str">
        <f>"6459211253"</f>
        <v>6459211253</v>
      </c>
      <c r="G1666" s="1">
        <v>44608</v>
      </c>
      <c r="H1666" t="str">
        <f>"96711"</f>
        <v>96711</v>
      </c>
      <c r="I1666">
        <v>1</v>
      </c>
      <c r="J1666">
        <v>27</v>
      </c>
      <c r="K1666">
        <v>0</v>
      </c>
      <c r="L1666">
        <v>24.57</v>
      </c>
    </row>
    <row r="1667" spans="1:12" x14ac:dyDescent="0.25">
      <c r="A1667" t="str">
        <f t="shared" si="360"/>
        <v>89301000</v>
      </c>
      <c r="B1667" t="str">
        <f t="shared" ref="B1667:B1675" si="361">"02004000"</f>
        <v>02004000</v>
      </c>
      <c r="C1667" t="str">
        <f>"02004545"</f>
        <v>02004545</v>
      </c>
      <c r="D1667" t="str">
        <f>"816"</f>
        <v>816</v>
      </c>
      <c r="E1667" t="str">
        <f>"89301282"</f>
        <v>89301282</v>
      </c>
      <c r="F1667" t="str">
        <f>"0002176218"</f>
        <v>0002176218</v>
      </c>
      <c r="G1667" s="1">
        <v>44609</v>
      </c>
      <c r="H1667" t="str">
        <f>"94351"</f>
        <v>94351</v>
      </c>
      <c r="I1667">
        <v>6</v>
      </c>
      <c r="J1667">
        <v>10254</v>
      </c>
      <c r="K1667">
        <v>0</v>
      </c>
      <c r="L1667">
        <v>8715.9</v>
      </c>
    </row>
    <row r="1668" spans="1:12" x14ac:dyDescent="0.25">
      <c r="A1668" t="str">
        <f t="shared" si="360"/>
        <v>89301000</v>
      </c>
      <c r="B1668" t="str">
        <f t="shared" si="361"/>
        <v>02004000</v>
      </c>
      <c r="C1668" t="str">
        <f t="shared" ref="C1668:C1675" si="362">"02004556"</f>
        <v>02004556</v>
      </c>
      <c r="D1668" t="str">
        <f t="shared" ref="D1668:D1675" si="363">"813"</f>
        <v>813</v>
      </c>
      <c r="E1668" t="str">
        <f>"89301102"</f>
        <v>89301102</v>
      </c>
      <c r="F1668" t="str">
        <f>"1754070054"</f>
        <v>1754070054</v>
      </c>
      <c r="G1668" s="1">
        <v>44596</v>
      </c>
      <c r="H1668" t="str">
        <f>"91249"</f>
        <v>91249</v>
      </c>
      <c r="I1668">
        <v>1</v>
      </c>
      <c r="J1668">
        <v>1489</v>
      </c>
      <c r="K1668">
        <v>0</v>
      </c>
      <c r="L1668">
        <v>1161.42</v>
      </c>
    </row>
    <row r="1669" spans="1:12" x14ac:dyDescent="0.25">
      <c r="A1669" t="str">
        <f t="shared" si="360"/>
        <v>89301000</v>
      </c>
      <c r="B1669" t="str">
        <f t="shared" si="361"/>
        <v>02004000</v>
      </c>
      <c r="C1669" t="str">
        <f t="shared" si="362"/>
        <v>02004556</v>
      </c>
      <c r="D1669" t="str">
        <f t="shared" si="363"/>
        <v>813</v>
      </c>
      <c r="E1669" t="str">
        <f>"89301102"</f>
        <v>89301102</v>
      </c>
      <c r="F1669" t="str">
        <f>"1754070054"</f>
        <v>1754070054</v>
      </c>
      <c r="G1669" s="1">
        <v>44596</v>
      </c>
      <c r="H1669" t="str">
        <f>"91251"</f>
        <v>91251</v>
      </c>
      <c r="I1669">
        <v>1</v>
      </c>
      <c r="J1669">
        <v>1489</v>
      </c>
      <c r="K1669">
        <v>0</v>
      </c>
      <c r="L1669">
        <v>1161.42</v>
      </c>
    </row>
    <row r="1670" spans="1:12" x14ac:dyDescent="0.25">
      <c r="A1670" t="str">
        <f t="shared" si="360"/>
        <v>89301000</v>
      </c>
      <c r="B1670" t="str">
        <f t="shared" si="361"/>
        <v>02004000</v>
      </c>
      <c r="C1670" t="str">
        <f t="shared" si="362"/>
        <v>02004556</v>
      </c>
      <c r="D1670" t="str">
        <f t="shared" si="363"/>
        <v>813</v>
      </c>
      <c r="E1670" t="str">
        <f>"89301102"</f>
        <v>89301102</v>
      </c>
      <c r="F1670" t="str">
        <f>"0309275703"</f>
        <v>0309275703</v>
      </c>
      <c r="G1670" s="1">
        <v>44588</v>
      </c>
      <c r="H1670" t="str">
        <f>"91249"</f>
        <v>91249</v>
      </c>
      <c r="I1670">
        <v>1</v>
      </c>
      <c r="J1670">
        <v>1489</v>
      </c>
      <c r="K1670">
        <v>0</v>
      </c>
      <c r="L1670">
        <v>1161.42</v>
      </c>
    </row>
    <row r="1671" spans="1:12" x14ac:dyDescent="0.25">
      <c r="A1671" t="str">
        <f t="shared" si="360"/>
        <v>89301000</v>
      </c>
      <c r="B1671" t="str">
        <f t="shared" si="361"/>
        <v>02004000</v>
      </c>
      <c r="C1671" t="str">
        <f t="shared" si="362"/>
        <v>02004556</v>
      </c>
      <c r="D1671" t="str">
        <f t="shared" si="363"/>
        <v>813</v>
      </c>
      <c r="E1671" t="str">
        <f>"89301102"</f>
        <v>89301102</v>
      </c>
      <c r="F1671" t="str">
        <f>"0309275703"</f>
        <v>0309275703</v>
      </c>
      <c r="G1671" s="1">
        <v>44588</v>
      </c>
      <c r="H1671" t="str">
        <f>"91251"</f>
        <v>91251</v>
      </c>
      <c r="I1671">
        <v>1</v>
      </c>
      <c r="J1671">
        <v>1489</v>
      </c>
      <c r="K1671">
        <v>0</v>
      </c>
      <c r="L1671">
        <v>1161.42</v>
      </c>
    </row>
    <row r="1672" spans="1:12" x14ac:dyDescent="0.25">
      <c r="A1672" t="str">
        <f t="shared" si="360"/>
        <v>89301000</v>
      </c>
      <c r="B1672" t="str">
        <f t="shared" si="361"/>
        <v>02004000</v>
      </c>
      <c r="C1672" t="str">
        <f t="shared" si="362"/>
        <v>02004556</v>
      </c>
      <c r="D1672" t="str">
        <f t="shared" si="363"/>
        <v>813</v>
      </c>
      <c r="E1672" t="str">
        <f>"89301028"</f>
        <v>89301028</v>
      </c>
      <c r="F1672" t="str">
        <f>"7908275727"</f>
        <v>7908275727</v>
      </c>
      <c r="G1672" s="1">
        <v>44580</v>
      </c>
      <c r="H1672" t="str">
        <f>"91249"</f>
        <v>91249</v>
      </c>
      <c r="I1672">
        <v>1</v>
      </c>
      <c r="J1672">
        <v>1489</v>
      </c>
      <c r="K1672">
        <v>0</v>
      </c>
      <c r="L1672">
        <v>1161.42</v>
      </c>
    </row>
    <row r="1673" spans="1:12" x14ac:dyDescent="0.25">
      <c r="A1673" t="str">
        <f t="shared" si="360"/>
        <v>89301000</v>
      </c>
      <c r="B1673" t="str">
        <f t="shared" si="361"/>
        <v>02004000</v>
      </c>
      <c r="C1673" t="str">
        <f t="shared" si="362"/>
        <v>02004556</v>
      </c>
      <c r="D1673" t="str">
        <f t="shared" si="363"/>
        <v>813</v>
      </c>
      <c r="E1673" t="str">
        <f>"89301028"</f>
        <v>89301028</v>
      </c>
      <c r="F1673" t="str">
        <f>"7908275727"</f>
        <v>7908275727</v>
      </c>
      <c r="G1673" s="1">
        <v>44580</v>
      </c>
      <c r="H1673" t="str">
        <f>"91251"</f>
        <v>91251</v>
      </c>
      <c r="I1673">
        <v>1</v>
      </c>
      <c r="J1673">
        <v>1489</v>
      </c>
      <c r="K1673">
        <v>0</v>
      </c>
      <c r="L1673">
        <v>1161.42</v>
      </c>
    </row>
    <row r="1674" spans="1:12" x14ac:dyDescent="0.25">
      <c r="A1674" t="str">
        <f t="shared" si="360"/>
        <v>89301000</v>
      </c>
      <c r="B1674" t="str">
        <f t="shared" si="361"/>
        <v>02004000</v>
      </c>
      <c r="C1674" t="str">
        <f t="shared" si="362"/>
        <v>02004556</v>
      </c>
      <c r="D1674" t="str">
        <f t="shared" si="363"/>
        <v>813</v>
      </c>
      <c r="E1674" t="str">
        <f>"89301102"</f>
        <v>89301102</v>
      </c>
      <c r="F1674" t="str">
        <f>"0707116157"</f>
        <v>0707116157</v>
      </c>
      <c r="G1674" s="1">
        <v>44592</v>
      </c>
      <c r="H1674" t="str">
        <f>"91249"</f>
        <v>91249</v>
      </c>
      <c r="I1674">
        <v>1</v>
      </c>
      <c r="J1674">
        <v>1489</v>
      </c>
      <c r="K1674">
        <v>0</v>
      </c>
      <c r="L1674">
        <v>1161.42</v>
      </c>
    </row>
    <row r="1675" spans="1:12" x14ac:dyDescent="0.25">
      <c r="A1675" t="str">
        <f t="shared" si="360"/>
        <v>89301000</v>
      </c>
      <c r="B1675" t="str">
        <f t="shared" si="361"/>
        <v>02004000</v>
      </c>
      <c r="C1675" t="str">
        <f t="shared" si="362"/>
        <v>02004556</v>
      </c>
      <c r="D1675" t="str">
        <f t="shared" si="363"/>
        <v>813</v>
      </c>
      <c r="E1675" t="str">
        <f>"89301102"</f>
        <v>89301102</v>
      </c>
      <c r="F1675" t="str">
        <f>"0707116157"</f>
        <v>0707116157</v>
      </c>
      <c r="G1675" s="1">
        <v>44592</v>
      </c>
      <c r="H1675" t="str">
        <f>"91251"</f>
        <v>91251</v>
      </c>
      <c r="I1675">
        <v>1</v>
      </c>
      <c r="J1675">
        <v>1489</v>
      </c>
      <c r="K1675">
        <v>0</v>
      </c>
      <c r="L1675">
        <v>1161.42</v>
      </c>
    </row>
    <row r="1676" spans="1:12" x14ac:dyDescent="0.25">
      <c r="A1676" t="str">
        <f t="shared" si="360"/>
        <v>89301000</v>
      </c>
      <c r="B1676" t="str">
        <f>"95126000"</f>
        <v>95126000</v>
      </c>
      <c r="C1676" t="str">
        <f>"95126001"</f>
        <v>95126001</v>
      </c>
      <c r="D1676" t="str">
        <f t="shared" ref="D1676:D1684" si="364">"801"</f>
        <v>801</v>
      </c>
      <c r="E1676" t="str">
        <f>"89301082"</f>
        <v>89301082</v>
      </c>
      <c r="F1676" t="str">
        <f>"9560196162"</f>
        <v>9560196162</v>
      </c>
      <c r="G1676" s="1">
        <v>44615</v>
      </c>
      <c r="H1676" t="str">
        <f>"97111"</f>
        <v>97111</v>
      </c>
      <c r="I1676">
        <v>1</v>
      </c>
      <c r="J1676">
        <v>18</v>
      </c>
      <c r="K1676">
        <v>0</v>
      </c>
      <c r="L1676">
        <v>14.04</v>
      </c>
    </row>
    <row r="1677" spans="1:12" x14ac:dyDescent="0.25">
      <c r="A1677" t="str">
        <f t="shared" si="360"/>
        <v>89301000</v>
      </c>
      <c r="B1677" t="str">
        <f t="shared" ref="B1677:B1684" si="365">"06223000"</f>
        <v>06223000</v>
      </c>
      <c r="C1677" t="str">
        <f t="shared" ref="C1677:C1684" si="366">"06223043"</f>
        <v>06223043</v>
      </c>
      <c r="D1677" t="str">
        <f t="shared" si="364"/>
        <v>801</v>
      </c>
      <c r="E1677" t="str">
        <f t="shared" ref="E1677:E1684" si="367">"89301122"</f>
        <v>89301122</v>
      </c>
      <c r="F1677" t="str">
        <f>"6908054472"</f>
        <v>6908054472</v>
      </c>
      <c r="G1677" s="1">
        <v>44616</v>
      </c>
      <c r="H1677" t="str">
        <f>"81485"</f>
        <v>81485</v>
      </c>
      <c r="I1677">
        <v>1</v>
      </c>
      <c r="J1677">
        <v>453</v>
      </c>
      <c r="K1677">
        <v>0</v>
      </c>
      <c r="L1677">
        <v>353.34</v>
      </c>
    </row>
    <row r="1678" spans="1:12" x14ac:dyDescent="0.25">
      <c r="A1678" t="str">
        <f t="shared" si="360"/>
        <v>89301000</v>
      </c>
      <c r="B1678" t="str">
        <f t="shared" si="365"/>
        <v>06223000</v>
      </c>
      <c r="C1678" t="str">
        <f t="shared" si="366"/>
        <v>06223043</v>
      </c>
      <c r="D1678" t="str">
        <f t="shared" si="364"/>
        <v>801</v>
      </c>
      <c r="E1678" t="str">
        <f t="shared" si="367"/>
        <v>89301122</v>
      </c>
      <c r="F1678" t="str">
        <f>"7461115321"</f>
        <v>7461115321</v>
      </c>
      <c r="G1678" s="1">
        <v>44609</v>
      </c>
      <c r="H1678" t="str">
        <f>"92165"</f>
        <v>92165</v>
      </c>
      <c r="I1678">
        <v>1</v>
      </c>
      <c r="J1678">
        <v>2113</v>
      </c>
      <c r="K1678">
        <v>0</v>
      </c>
      <c r="L1678">
        <v>1648.14</v>
      </c>
    </row>
    <row r="1679" spans="1:12" x14ac:dyDescent="0.25">
      <c r="A1679" t="str">
        <f t="shared" si="360"/>
        <v>89301000</v>
      </c>
      <c r="B1679" t="str">
        <f t="shared" si="365"/>
        <v>06223000</v>
      </c>
      <c r="C1679" t="str">
        <f t="shared" si="366"/>
        <v>06223043</v>
      </c>
      <c r="D1679" t="str">
        <f t="shared" si="364"/>
        <v>801</v>
      </c>
      <c r="E1679" t="str">
        <f t="shared" si="367"/>
        <v>89301122</v>
      </c>
      <c r="F1679" t="str">
        <f>"9053055715"</f>
        <v>9053055715</v>
      </c>
      <c r="G1679" s="1">
        <v>44608</v>
      </c>
      <c r="H1679" t="str">
        <f>"81485"</f>
        <v>81485</v>
      </c>
      <c r="I1679">
        <v>1</v>
      </c>
      <c r="J1679">
        <v>453</v>
      </c>
      <c r="K1679">
        <v>0</v>
      </c>
      <c r="L1679">
        <v>353.34</v>
      </c>
    </row>
    <row r="1680" spans="1:12" x14ac:dyDescent="0.25">
      <c r="A1680" t="str">
        <f t="shared" si="360"/>
        <v>89301000</v>
      </c>
      <c r="B1680" t="str">
        <f t="shared" si="365"/>
        <v>06223000</v>
      </c>
      <c r="C1680" t="str">
        <f t="shared" si="366"/>
        <v>06223043</v>
      </c>
      <c r="D1680" t="str">
        <f t="shared" si="364"/>
        <v>801</v>
      </c>
      <c r="E1680" t="str">
        <f t="shared" si="367"/>
        <v>89301122</v>
      </c>
      <c r="F1680" t="str">
        <f>"5755211154"</f>
        <v>5755211154</v>
      </c>
      <c r="G1680" s="1">
        <v>44608</v>
      </c>
      <c r="H1680" t="str">
        <f>"81485"</f>
        <v>81485</v>
      </c>
      <c r="I1680">
        <v>1</v>
      </c>
      <c r="J1680">
        <v>453</v>
      </c>
      <c r="K1680">
        <v>0</v>
      </c>
      <c r="L1680">
        <v>353.34</v>
      </c>
    </row>
    <row r="1681" spans="1:12" x14ac:dyDescent="0.25">
      <c r="A1681" t="str">
        <f t="shared" si="360"/>
        <v>89301000</v>
      </c>
      <c r="B1681" t="str">
        <f t="shared" si="365"/>
        <v>06223000</v>
      </c>
      <c r="C1681" t="str">
        <f t="shared" si="366"/>
        <v>06223043</v>
      </c>
      <c r="D1681" t="str">
        <f t="shared" si="364"/>
        <v>801</v>
      </c>
      <c r="E1681" t="str">
        <f t="shared" si="367"/>
        <v>89301122</v>
      </c>
      <c r="F1681" t="str">
        <f>"466222436"</f>
        <v>466222436</v>
      </c>
      <c r="G1681" s="1">
        <v>44616</v>
      </c>
      <c r="H1681" t="str">
        <f>"81485"</f>
        <v>81485</v>
      </c>
      <c r="I1681">
        <v>1</v>
      </c>
      <c r="J1681">
        <v>453</v>
      </c>
      <c r="K1681">
        <v>0</v>
      </c>
      <c r="L1681">
        <v>353.34</v>
      </c>
    </row>
    <row r="1682" spans="1:12" x14ac:dyDescent="0.25">
      <c r="A1682" t="str">
        <f t="shared" si="360"/>
        <v>89301000</v>
      </c>
      <c r="B1682" t="str">
        <f t="shared" si="365"/>
        <v>06223000</v>
      </c>
      <c r="C1682" t="str">
        <f t="shared" si="366"/>
        <v>06223043</v>
      </c>
      <c r="D1682" t="str">
        <f t="shared" si="364"/>
        <v>801</v>
      </c>
      <c r="E1682" t="str">
        <f t="shared" si="367"/>
        <v>89301122</v>
      </c>
      <c r="F1682" t="str">
        <f>"535416140"</f>
        <v>535416140</v>
      </c>
      <c r="G1682" s="1">
        <v>44617</v>
      </c>
      <c r="H1682" t="str">
        <f>"92165"</f>
        <v>92165</v>
      </c>
      <c r="I1682">
        <v>1</v>
      </c>
      <c r="J1682">
        <v>2113</v>
      </c>
      <c r="K1682">
        <v>0</v>
      </c>
      <c r="L1682">
        <v>1648.14</v>
      </c>
    </row>
    <row r="1683" spans="1:12" x14ac:dyDescent="0.25">
      <c r="A1683" t="str">
        <f t="shared" si="360"/>
        <v>89301000</v>
      </c>
      <c r="B1683" t="str">
        <f t="shared" si="365"/>
        <v>06223000</v>
      </c>
      <c r="C1683" t="str">
        <f t="shared" si="366"/>
        <v>06223043</v>
      </c>
      <c r="D1683" t="str">
        <f t="shared" si="364"/>
        <v>801</v>
      </c>
      <c r="E1683" t="str">
        <f t="shared" si="367"/>
        <v>89301122</v>
      </c>
      <c r="F1683" t="str">
        <f>"7202254466"</f>
        <v>7202254466</v>
      </c>
      <c r="G1683" s="1">
        <v>44608</v>
      </c>
      <c r="H1683" t="str">
        <f>"81485"</f>
        <v>81485</v>
      </c>
      <c r="I1683">
        <v>1</v>
      </c>
      <c r="J1683">
        <v>453</v>
      </c>
      <c r="K1683">
        <v>0</v>
      </c>
      <c r="L1683">
        <v>353.34</v>
      </c>
    </row>
    <row r="1684" spans="1:12" x14ac:dyDescent="0.25">
      <c r="A1684" t="str">
        <f t="shared" si="360"/>
        <v>89301000</v>
      </c>
      <c r="B1684" t="str">
        <f t="shared" si="365"/>
        <v>06223000</v>
      </c>
      <c r="C1684" t="str">
        <f t="shared" si="366"/>
        <v>06223043</v>
      </c>
      <c r="D1684" t="str">
        <f t="shared" si="364"/>
        <v>801</v>
      </c>
      <c r="E1684" t="str">
        <f t="shared" si="367"/>
        <v>89301122</v>
      </c>
      <c r="F1684" t="str">
        <f>"8808205780"</f>
        <v>8808205780</v>
      </c>
      <c r="G1684" s="1">
        <v>44599</v>
      </c>
      <c r="H1684" t="str">
        <f>"81485"</f>
        <v>81485</v>
      </c>
      <c r="I1684">
        <v>1</v>
      </c>
      <c r="J1684">
        <v>453</v>
      </c>
      <c r="K1684">
        <v>0</v>
      </c>
      <c r="L1684">
        <v>353.34</v>
      </c>
    </row>
    <row r="1685" spans="1:12" x14ac:dyDescent="0.25">
      <c r="A1685" t="str">
        <f t="shared" si="360"/>
        <v>89301000</v>
      </c>
      <c r="B1685" t="str">
        <f t="shared" ref="B1685:B1701" si="368">"91009000"</f>
        <v>91009000</v>
      </c>
      <c r="C1685" t="str">
        <f>"91009132"</f>
        <v>91009132</v>
      </c>
      <c r="D1685" t="str">
        <f>"812"</f>
        <v>812</v>
      </c>
      <c r="E1685" t="str">
        <f>"89301212"</f>
        <v>89301212</v>
      </c>
      <c r="F1685" t="str">
        <f>"8556125776"</f>
        <v>8556125776</v>
      </c>
      <c r="G1685" s="1">
        <v>44607</v>
      </c>
      <c r="H1685" t="str">
        <f>"92157"</f>
        <v>92157</v>
      </c>
      <c r="I1685">
        <v>1</v>
      </c>
      <c r="J1685">
        <v>1754</v>
      </c>
      <c r="K1685">
        <v>0</v>
      </c>
      <c r="L1685">
        <v>1368.12</v>
      </c>
    </row>
    <row r="1686" spans="1:12" x14ac:dyDescent="0.25">
      <c r="A1686" t="str">
        <f t="shared" si="360"/>
        <v>89301000</v>
      </c>
      <c r="B1686" t="str">
        <f t="shared" si="368"/>
        <v>91009000</v>
      </c>
      <c r="C1686" t="str">
        <f>"91009132"</f>
        <v>91009132</v>
      </c>
      <c r="D1686" t="str">
        <f>"812"</f>
        <v>812</v>
      </c>
      <c r="E1686" t="str">
        <f>"89301212"</f>
        <v>89301212</v>
      </c>
      <c r="F1686" t="str">
        <f>"8556125776"</f>
        <v>8556125776</v>
      </c>
      <c r="G1686" s="1">
        <v>44607</v>
      </c>
      <c r="H1686" t="str">
        <f>"97111"</f>
        <v>97111</v>
      </c>
      <c r="I1686">
        <v>1</v>
      </c>
      <c r="J1686">
        <v>18</v>
      </c>
      <c r="K1686">
        <v>0</v>
      </c>
      <c r="L1686">
        <v>14.04</v>
      </c>
    </row>
    <row r="1687" spans="1:12" x14ac:dyDescent="0.25">
      <c r="A1687" t="str">
        <f t="shared" si="360"/>
        <v>89301000</v>
      </c>
      <c r="B1687" t="str">
        <f t="shared" si="368"/>
        <v>91009000</v>
      </c>
      <c r="C1687" t="str">
        <f>"91009132"</f>
        <v>91009132</v>
      </c>
      <c r="D1687" t="str">
        <f>"812"</f>
        <v>812</v>
      </c>
      <c r="E1687" t="str">
        <f>"89301212"</f>
        <v>89301212</v>
      </c>
      <c r="F1687" t="str">
        <f>"8556125776"</f>
        <v>8556125776</v>
      </c>
      <c r="G1687" s="1">
        <v>44607</v>
      </c>
      <c r="H1687" t="str">
        <f>"99111"</f>
        <v>99111</v>
      </c>
      <c r="I1687">
        <v>1</v>
      </c>
      <c r="J1687">
        <v>206</v>
      </c>
      <c r="K1687">
        <v>0</v>
      </c>
      <c r="L1687">
        <v>160.68</v>
      </c>
    </row>
    <row r="1688" spans="1:12" x14ac:dyDescent="0.25">
      <c r="A1688" t="str">
        <f t="shared" si="360"/>
        <v>89301000</v>
      </c>
      <c r="B1688" t="str">
        <f t="shared" si="368"/>
        <v>91009000</v>
      </c>
      <c r="C1688" t="str">
        <f>"91009605"</f>
        <v>91009605</v>
      </c>
      <c r="D1688" t="str">
        <f>"818"</f>
        <v>818</v>
      </c>
      <c r="E1688" t="str">
        <f>"89301109"</f>
        <v>89301109</v>
      </c>
      <c r="F1688" t="str">
        <f>"1205190041"</f>
        <v>1205190041</v>
      </c>
      <c r="G1688" s="1">
        <v>44614</v>
      </c>
      <c r="H1688" t="str">
        <f>"91431"</f>
        <v>91431</v>
      </c>
      <c r="I1688">
        <v>1</v>
      </c>
      <c r="J1688">
        <v>535</v>
      </c>
      <c r="K1688">
        <v>0</v>
      </c>
      <c r="L1688">
        <v>486.85</v>
      </c>
    </row>
    <row r="1689" spans="1:12" x14ac:dyDescent="0.25">
      <c r="A1689" t="str">
        <f t="shared" si="360"/>
        <v>89301000</v>
      </c>
      <c r="B1689" t="str">
        <f t="shared" si="368"/>
        <v>91009000</v>
      </c>
      <c r="C1689" t="str">
        <f>"91009605"</f>
        <v>91009605</v>
      </c>
      <c r="D1689" t="str">
        <f>"818"</f>
        <v>818</v>
      </c>
      <c r="E1689" t="str">
        <f>"89301109"</f>
        <v>89301109</v>
      </c>
      <c r="F1689" t="str">
        <f>"1205190041"</f>
        <v>1205190041</v>
      </c>
      <c r="G1689" s="1">
        <v>44616</v>
      </c>
      <c r="H1689" t="str">
        <f>"22122"</f>
        <v>22122</v>
      </c>
      <c r="I1689">
        <v>1</v>
      </c>
      <c r="J1689">
        <v>573</v>
      </c>
      <c r="K1689">
        <v>0</v>
      </c>
      <c r="L1689">
        <v>521.42999999999995</v>
      </c>
    </row>
    <row r="1690" spans="1:12" x14ac:dyDescent="0.25">
      <c r="A1690" t="str">
        <f t="shared" si="360"/>
        <v>89301000</v>
      </c>
      <c r="B1690" t="str">
        <f t="shared" si="368"/>
        <v>91009000</v>
      </c>
      <c r="C1690" t="str">
        <f>"91009605"</f>
        <v>91009605</v>
      </c>
      <c r="D1690" t="str">
        <f>"818"</f>
        <v>818</v>
      </c>
      <c r="E1690" t="str">
        <f>"89301109"</f>
        <v>89301109</v>
      </c>
      <c r="F1690" t="str">
        <f>"1205190041"</f>
        <v>1205190041</v>
      </c>
      <c r="G1690" s="1">
        <v>44616</v>
      </c>
      <c r="H1690" t="str">
        <f>"22123"</f>
        <v>22123</v>
      </c>
      <c r="I1690">
        <v>1</v>
      </c>
      <c r="J1690">
        <v>322</v>
      </c>
      <c r="K1690">
        <v>0</v>
      </c>
      <c r="L1690">
        <v>293.02</v>
      </c>
    </row>
    <row r="1691" spans="1:12" x14ac:dyDescent="0.25">
      <c r="A1691" t="str">
        <f t="shared" si="360"/>
        <v>89301000</v>
      </c>
      <c r="B1691" t="str">
        <f t="shared" si="368"/>
        <v>91009000</v>
      </c>
      <c r="C1691" t="str">
        <f t="shared" ref="C1691:C1701" si="369">"91009522"</f>
        <v>91009522</v>
      </c>
      <c r="D1691" t="str">
        <f t="shared" ref="D1691:D1701" si="370">"816"</f>
        <v>816</v>
      </c>
      <c r="E1691" t="str">
        <f t="shared" ref="E1691:E1701" si="371">"89301282"</f>
        <v>89301282</v>
      </c>
      <c r="F1691" t="str">
        <f>"8360275781"</f>
        <v>8360275781</v>
      </c>
      <c r="G1691" s="1">
        <v>44602</v>
      </c>
      <c r="H1691" t="str">
        <f>"94345"</f>
        <v>94345</v>
      </c>
      <c r="I1691">
        <v>2</v>
      </c>
      <c r="J1691">
        <v>9250</v>
      </c>
      <c r="K1691">
        <v>0</v>
      </c>
      <c r="L1691">
        <v>7862.5</v>
      </c>
    </row>
    <row r="1692" spans="1:12" x14ac:dyDescent="0.25">
      <c r="A1692" t="str">
        <f t="shared" si="360"/>
        <v>89301000</v>
      </c>
      <c r="B1692" t="str">
        <f t="shared" si="368"/>
        <v>91009000</v>
      </c>
      <c r="C1692" t="str">
        <f t="shared" si="369"/>
        <v>91009522</v>
      </c>
      <c r="D1692" t="str">
        <f t="shared" si="370"/>
        <v>816</v>
      </c>
      <c r="E1692" t="str">
        <f t="shared" si="371"/>
        <v>89301282</v>
      </c>
      <c r="F1692" t="str">
        <f>"8360275792"</f>
        <v>8360275792</v>
      </c>
      <c r="G1692" s="1">
        <v>44602</v>
      </c>
      <c r="H1692" t="str">
        <f>"94345"</f>
        <v>94345</v>
      </c>
      <c r="I1692">
        <v>2</v>
      </c>
      <c r="J1692">
        <v>9250</v>
      </c>
      <c r="K1692">
        <v>0</v>
      </c>
      <c r="L1692">
        <v>7862.5</v>
      </c>
    </row>
    <row r="1693" spans="1:12" x14ac:dyDescent="0.25">
      <c r="A1693" t="str">
        <f t="shared" si="360"/>
        <v>89301000</v>
      </c>
      <c r="B1693" t="str">
        <f t="shared" si="368"/>
        <v>91009000</v>
      </c>
      <c r="C1693" t="str">
        <f t="shared" si="369"/>
        <v>91009522</v>
      </c>
      <c r="D1693" t="str">
        <f t="shared" si="370"/>
        <v>816</v>
      </c>
      <c r="E1693" t="str">
        <f t="shared" si="371"/>
        <v>89301282</v>
      </c>
      <c r="F1693" t="str">
        <f>"530114063"</f>
        <v>530114063</v>
      </c>
      <c r="G1693" s="1">
        <v>44597</v>
      </c>
      <c r="H1693" t="str">
        <f>"94345"</f>
        <v>94345</v>
      </c>
      <c r="I1693">
        <v>1</v>
      </c>
      <c r="J1693">
        <v>4625</v>
      </c>
      <c r="K1693">
        <v>0</v>
      </c>
      <c r="L1693">
        <v>3931.25</v>
      </c>
    </row>
    <row r="1694" spans="1:12" x14ac:dyDescent="0.25">
      <c r="A1694" t="str">
        <f t="shared" si="360"/>
        <v>89301000</v>
      </c>
      <c r="B1694" t="str">
        <f t="shared" si="368"/>
        <v>91009000</v>
      </c>
      <c r="C1694" t="str">
        <f t="shared" si="369"/>
        <v>91009522</v>
      </c>
      <c r="D1694" t="str">
        <f t="shared" si="370"/>
        <v>816</v>
      </c>
      <c r="E1694" t="str">
        <f t="shared" si="371"/>
        <v>89301282</v>
      </c>
      <c r="F1694" t="str">
        <f>"7653305814"</f>
        <v>7653305814</v>
      </c>
      <c r="G1694" s="1">
        <v>44602</v>
      </c>
      <c r="H1694" t="str">
        <f>"94345"</f>
        <v>94345</v>
      </c>
      <c r="I1694">
        <v>2</v>
      </c>
      <c r="J1694">
        <v>9250</v>
      </c>
      <c r="K1694">
        <v>0</v>
      </c>
      <c r="L1694">
        <v>7862.5</v>
      </c>
    </row>
    <row r="1695" spans="1:12" x14ac:dyDescent="0.25">
      <c r="A1695" t="str">
        <f t="shared" si="360"/>
        <v>89301000</v>
      </c>
      <c r="B1695" t="str">
        <f t="shared" si="368"/>
        <v>91009000</v>
      </c>
      <c r="C1695" t="str">
        <f t="shared" si="369"/>
        <v>91009522</v>
      </c>
      <c r="D1695" t="str">
        <f t="shared" si="370"/>
        <v>816</v>
      </c>
      <c r="E1695" t="str">
        <f t="shared" si="371"/>
        <v>89301282</v>
      </c>
      <c r="F1695" t="str">
        <f>"1458070383"</f>
        <v>1458070383</v>
      </c>
      <c r="G1695" s="1">
        <v>44616</v>
      </c>
      <c r="H1695" t="str">
        <f>"94948"</f>
        <v>94948</v>
      </c>
      <c r="I1695">
        <v>1</v>
      </c>
      <c r="J1695">
        <v>0</v>
      </c>
      <c r="K1695">
        <v>0</v>
      </c>
      <c r="L1695">
        <v>0</v>
      </c>
    </row>
    <row r="1696" spans="1:12" x14ac:dyDescent="0.25">
      <c r="A1696" t="str">
        <f t="shared" si="360"/>
        <v>89301000</v>
      </c>
      <c r="B1696" t="str">
        <f t="shared" si="368"/>
        <v>91009000</v>
      </c>
      <c r="C1696" t="str">
        <f t="shared" si="369"/>
        <v>91009522</v>
      </c>
      <c r="D1696" t="str">
        <f t="shared" si="370"/>
        <v>816</v>
      </c>
      <c r="E1696" t="str">
        <f t="shared" si="371"/>
        <v>89301282</v>
      </c>
      <c r="F1696" t="str">
        <f>"1458070383"</f>
        <v>1458070383</v>
      </c>
      <c r="G1696" s="1">
        <v>44616</v>
      </c>
      <c r="H1696" t="str">
        <f>"94983"</f>
        <v>94983</v>
      </c>
      <c r="I1696">
        <v>1</v>
      </c>
      <c r="J1696">
        <v>0</v>
      </c>
      <c r="K1696">
        <v>39600</v>
      </c>
      <c r="L1696">
        <v>39600</v>
      </c>
    </row>
    <row r="1697" spans="1:12" x14ac:dyDescent="0.25">
      <c r="A1697" t="str">
        <f t="shared" si="360"/>
        <v>89301000</v>
      </c>
      <c r="B1697" t="str">
        <f t="shared" si="368"/>
        <v>91009000</v>
      </c>
      <c r="C1697" t="str">
        <f t="shared" si="369"/>
        <v>91009522</v>
      </c>
      <c r="D1697" t="str">
        <f t="shared" si="370"/>
        <v>816</v>
      </c>
      <c r="E1697" t="str">
        <f t="shared" si="371"/>
        <v>89301282</v>
      </c>
      <c r="F1697" t="str">
        <f>"1458070383"</f>
        <v>1458070383</v>
      </c>
      <c r="G1697" s="1">
        <v>44616</v>
      </c>
      <c r="H1697" t="str">
        <f>"94996"</f>
        <v>94996</v>
      </c>
      <c r="I1697">
        <v>1</v>
      </c>
      <c r="J1697">
        <v>0</v>
      </c>
      <c r="K1697">
        <v>0</v>
      </c>
      <c r="L1697">
        <v>0</v>
      </c>
    </row>
    <row r="1698" spans="1:12" x14ac:dyDescent="0.25">
      <c r="A1698" t="str">
        <f t="shared" si="360"/>
        <v>89301000</v>
      </c>
      <c r="B1698" t="str">
        <f t="shared" si="368"/>
        <v>91009000</v>
      </c>
      <c r="C1698" t="str">
        <f t="shared" si="369"/>
        <v>91009522</v>
      </c>
      <c r="D1698" t="str">
        <f t="shared" si="370"/>
        <v>816</v>
      </c>
      <c r="E1698" t="str">
        <f t="shared" si="371"/>
        <v>89301282</v>
      </c>
      <c r="F1698" t="str">
        <f>"0251176167"</f>
        <v>0251176167</v>
      </c>
      <c r="G1698" s="1">
        <v>44596</v>
      </c>
      <c r="H1698" t="str">
        <f>"94982"</f>
        <v>94982</v>
      </c>
      <c r="I1698">
        <v>1</v>
      </c>
      <c r="J1698">
        <v>0</v>
      </c>
      <c r="K1698">
        <v>27500</v>
      </c>
      <c r="L1698">
        <v>27500</v>
      </c>
    </row>
    <row r="1699" spans="1:12" x14ac:dyDescent="0.25">
      <c r="A1699" t="str">
        <f t="shared" si="360"/>
        <v>89301000</v>
      </c>
      <c r="B1699" t="str">
        <f t="shared" si="368"/>
        <v>91009000</v>
      </c>
      <c r="C1699" t="str">
        <f t="shared" si="369"/>
        <v>91009522</v>
      </c>
      <c r="D1699" t="str">
        <f t="shared" si="370"/>
        <v>816</v>
      </c>
      <c r="E1699" t="str">
        <f t="shared" si="371"/>
        <v>89301282</v>
      </c>
      <c r="F1699" t="str">
        <f>"0251176167"</f>
        <v>0251176167</v>
      </c>
      <c r="G1699" s="1">
        <v>44596</v>
      </c>
      <c r="H1699" t="str">
        <f>"94996"</f>
        <v>94996</v>
      </c>
      <c r="I1699">
        <v>1</v>
      </c>
      <c r="J1699">
        <v>0</v>
      </c>
      <c r="K1699">
        <v>0</v>
      </c>
      <c r="L1699">
        <v>0</v>
      </c>
    </row>
    <row r="1700" spans="1:12" x14ac:dyDescent="0.25">
      <c r="A1700" t="str">
        <f t="shared" si="360"/>
        <v>89301000</v>
      </c>
      <c r="B1700" t="str">
        <f t="shared" si="368"/>
        <v>91009000</v>
      </c>
      <c r="C1700" t="str">
        <f t="shared" si="369"/>
        <v>91009522</v>
      </c>
      <c r="D1700" t="str">
        <f t="shared" si="370"/>
        <v>816</v>
      </c>
      <c r="E1700" t="str">
        <f t="shared" si="371"/>
        <v>89301282</v>
      </c>
      <c r="F1700" t="str">
        <f>"470108456"</f>
        <v>470108456</v>
      </c>
      <c r="G1700" s="1">
        <v>44610</v>
      </c>
      <c r="H1700" t="str">
        <f>"94982"</f>
        <v>94982</v>
      </c>
      <c r="I1700">
        <v>1</v>
      </c>
      <c r="J1700">
        <v>0</v>
      </c>
      <c r="K1700">
        <v>27500</v>
      </c>
      <c r="L1700">
        <v>27500</v>
      </c>
    </row>
    <row r="1701" spans="1:12" x14ac:dyDescent="0.25">
      <c r="A1701" t="str">
        <f t="shared" si="360"/>
        <v>89301000</v>
      </c>
      <c r="B1701" t="str">
        <f t="shared" si="368"/>
        <v>91009000</v>
      </c>
      <c r="C1701" t="str">
        <f t="shared" si="369"/>
        <v>91009522</v>
      </c>
      <c r="D1701" t="str">
        <f t="shared" si="370"/>
        <v>816</v>
      </c>
      <c r="E1701" t="str">
        <f t="shared" si="371"/>
        <v>89301282</v>
      </c>
      <c r="F1701" t="str">
        <f>"470108456"</f>
        <v>470108456</v>
      </c>
      <c r="G1701" s="1">
        <v>44610</v>
      </c>
      <c r="H1701" t="str">
        <f>"94996"</f>
        <v>94996</v>
      </c>
      <c r="I1701">
        <v>1</v>
      </c>
      <c r="J1701">
        <v>0</v>
      </c>
      <c r="K1701">
        <v>0</v>
      </c>
      <c r="L1701">
        <v>0</v>
      </c>
    </row>
    <row r="1702" spans="1:12" x14ac:dyDescent="0.25">
      <c r="A1702" t="str">
        <f t="shared" si="360"/>
        <v>89301000</v>
      </c>
      <c r="B1702" t="str">
        <f>"92002000"</f>
        <v>92002000</v>
      </c>
      <c r="C1702" t="str">
        <f>"92002175"</f>
        <v>92002175</v>
      </c>
      <c r="D1702" t="str">
        <f>"809"</f>
        <v>809</v>
      </c>
      <c r="E1702" t="str">
        <f>"89301212"</f>
        <v>89301212</v>
      </c>
      <c r="F1702" t="str">
        <f>"7557185680"</f>
        <v>7557185680</v>
      </c>
      <c r="G1702" s="1">
        <v>44613</v>
      </c>
      <c r="H1702" t="str">
        <f>"89180"</f>
        <v>89180</v>
      </c>
      <c r="I1702">
        <v>2</v>
      </c>
      <c r="J1702">
        <v>752</v>
      </c>
      <c r="K1702">
        <v>0</v>
      </c>
      <c r="L1702">
        <v>1052.8</v>
      </c>
    </row>
    <row r="1703" spans="1:12" x14ac:dyDescent="0.25">
      <c r="A1703" t="str">
        <f t="shared" si="360"/>
        <v>89301000</v>
      </c>
      <c r="B1703" t="str">
        <f>"06589000"</f>
        <v>06589000</v>
      </c>
      <c r="C1703" t="str">
        <f>"06589801"</f>
        <v>06589801</v>
      </c>
      <c r="D1703" t="str">
        <f>"801"</f>
        <v>801</v>
      </c>
      <c r="E1703" t="str">
        <f>"89301082"</f>
        <v>89301082</v>
      </c>
      <c r="F1703" t="str">
        <f>"9560196162"</f>
        <v>9560196162</v>
      </c>
      <c r="G1703" s="1">
        <v>44615</v>
      </c>
      <c r="H1703" t="str">
        <f>"93159"</f>
        <v>93159</v>
      </c>
      <c r="I1703">
        <v>1</v>
      </c>
      <c r="J1703">
        <v>195</v>
      </c>
      <c r="K1703">
        <v>0</v>
      </c>
      <c r="L1703">
        <v>152.1</v>
      </c>
    </row>
    <row r="1704" spans="1:12" x14ac:dyDescent="0.25">
      <c r="A1704" t="str">
        <f t="shared" si="360"/>
        <v>89301000</v>
      </c>
      <c r="B1704" t="str">
        <f>"90001000"</f>
        <v>90001000</v>
      </c>
      <c r="C1704" t="str">
        <f>"90001525"</f>
        <v>90001525</v>
      </c>
      <c r="D1704" t="str">
        <f>"809"</f>
        <v>809</v>
      </c>
      <c r="E1704" t="str">
        <f>"89301112"</f>
        <v>89301112</v>
      </c>
      <c r="F1704" t="str">
        <f>"8660235881"</f>
        <v>8660235881</v>
      </c>
      <c r="G1704" s="1">
        <v>44595</v>
      </c>
      <c r="H1704" t="str">
        <f>"89713"</f>
        <v>89713</v>
      </c>
      <c r="I1704">
        <v>1</v>
      </c>
      <c r="J1704">
        <v>5362</v>
      </c>
      <c r="K1704">
        <v>0</v>
      </c>
      <c r="L1704">
        <v>3217.2</v>
      </c>
    </row>
    <row r="1705" spans="1:12" x14ac:dyDescent="0.25">
      <c r="A1705" t="str">
        <f t="shared" si="360"/>
        <v>89301000</v>
      </c>
      <c r="B1705" t="str">
        <f t="shared" ref="B1705:B1710" si="372">"05002000"</f>
        <v>05002000</v>
      </c>
      <c r="C1705" t="str">
        <f>"05002397"</f>
        <v>05002397</v>
      </c>
      <c r="D1705" t="str">
        <f>"818"</f>
        <v>818</v>
      </c>
      <c r="E1705" t="str">
        <f>"89301109"</f>
        <v>89301109</v>
      </c>
      <c r="F1705" t="str">
        <f>"1906140005"</f>
        <v>1906140005</v>
      </c>
      <c r="G1705" s="1">
        <v>44594</v>
      </c>
      <c r="H1705" t="str">
        <f>"91439"</f>
        <v>91439</v>
      </c>
      <c r="I1705">
        <v>9</v>
      </c>
      <c r="J1705">
        <v>3204</v>
      </c>
      <c r="K1705">
        <v>0</v>
      </c>
      <c r="L1705">
        <v>2915.64</v>
      </c>
    </row>
    <row r="1706" spans="1:12" x14ac:dyDescent="0.25">
      <c r="A1706" t="str">
        <f t="shared" si="360"/>
        <v>89301000</v>
      </c>
      <c r="B1706" t="str">
        <f t="shared" si="372"/>
        <v>05002000</v>
      </c>
      <c r="C1706" t="str">
        <f>"05002397"</f>
        <v>05002397</v>
      </c>
      <c r="D1706" t="str">
        <f>"818"</f>
        <v>818</v>
      </c>
      <c r="E1706" t="str">
        <f>"89301109"</f>
        <v>89301109</v>
      </c>
      <c r="F1706" t="str">
        <f>"1906140005"</f>
        <v>1906140005</v>
      </c>
      <c r="G1706" s="1">
        <v>44594</v>
      </c>
      <c r="H1706" t="str">
        <f>"91439"</f>
        <v>91439</v>
      </c>
      <c r="I1706">
        <v>3</v>
      </c>
      <c r="J1706">
        <v>1068</v>
      </c>
      <c r="K1706">
        <v>0</v>
      </c>
      <c r="L1706">
        <v>971.88</v>
      </c>
    </row>
    <row r="1707" spans="1:12" x14ac:dyDescent="0.25">
      <c r="A1707" t="str">
        <f t="shared" si="360"/>
        <v>89301000</v>
      </c>
      <c r="B1707" t="str">
        <f t="shared" si="372"/>
        <v>05002000</v>
      </c>
      <c r="C1707" t="str">
        <f>"05002174"</f>
        <v>05002174</v>
      </c>
      <c r="D1707" t="str">
        <f>"802"</f>
        <v>802</v>
      </c>
      <c r="E1707" t="str">
        <f>"89301172"</f>
        <v>89301172</v>
      </c>
      <c r="F1707" t="str">
        <f>"8453225891"</f>
        <v>8453225891</v>
      </c>
      <c r="G1707" s="1">
        <v>44600</v>
      </c>
      <c r="H1707" t="str">
        <f>"85115"</f>
        <v>85115</v>
      </c>
      <c r="I1707">
        <v>1</v>
      </c>
      <c r="J1707">
        <v>2423</v>
      </c>
      <c r="K1707">
        <v>0</v>
      </c>
      <c r="L1707">
        <v>2204.9299999999998</v>
      </c>
    </row>
    <row r="1708" spans="1:12" x14ac:dyDescent="0.25">
      <c r="A1708" t="str">
        <f t="shared" si="360"/>
        <v>89301000</v>
      </c>
      <c r="B1708" t="str">
        <f t="shared" si="372"/>
        <v>05002000</v>
      </c>
      <c r="C1708" t="str">
        <f>"05002174"</f>
        <v>05002174</v>
      </c>
      <c r="D1708" t="str">
        <f>"802"</f>
        <v>802</v>
      </c>
      <c r="E1708" t="str">
        <f>"89301172"</f>
        <v>89301172</v>
      </c>
      <c r="F1708" t="str">
        <f>"8462042325"</f>
        <v>8462042325</v>
      </c>
      <c r="G1708" s="1">
        <v>44600</v>
      </c>
      <c r="H1708" t="str">
        <f>"85115"</f>
        <v>85115</v>
      </c>
      <c r="I1708">
        <v>1</v>
      </c>
      <c r="J1708">
        <v>2423</v>
      </c>
      <c r="K1708">
        <v>0</v>
      </c>
      <c r="L1708">
        <v>2204.9299999999998</v>
      </c>
    </row>
    <row r="1709" spans="1:12" x14ac:dyDescent="0.25">
      <c r="A1709" t="str">
        <f t="shared" si="360"/>
        <v>89301000</v>
      </c>
      <c r="B1709" t="str">
        <f t="shared" si="372"/>
        <v>05002000</v>
      </c>
      <c r="C1709" t="str">
        <f>"05002141"</f>
        <v>05002141</v>
      </c>
      <c r="D1709" t="str">
        <f>"816"</f>
        <v>816</v>
      </c>
      <c r="E1709" t="str">
        <f>"89301282"</f>
        <v>89301282</v>
      </c>
      <c r="F1709" t="str">
        <f>"8560285822"</f>
        <v>8560285822</v>
      </c>
      <c r="G1709" s="1">
        <v>44603</v>
      </c>
      <c r="H1709" t="str">
        <f>"94345"</f>
        <v>94345</v>
      </c>
      <c r="I1709">
        <v>2</v>
      </c>
      <c r="J1709">
        <v>9250</v>
      </c>
      <c r="K1709">
        <v>0</v>
      </c>
      <c r="L1709">
        <v>7862.5</v>
      </c>
    </row>
    <row r="1710" spans="1:12" x14ac:dyDescent="0.25">
      <c r="A1710" t="str">
        <f t="shared" si="360"/>
        <v>89301000</v>
      </c>
      <c r="B1710" t="str">
        <f t="shared" si="372"/>
        <v>05002000</v>
      </c>
      <c r="C1710" t="str">
        <f>"05002141"</f>
        <v>05002141</v>
      </c>
      <c r="D1710" t="str">
        <f>"816"</f>
        <v>816</v>
      </c>
      <c r="E1710" t="str">
        <f>"89301282"</f>
        <v>89301282</v>
      </c>
      <c r="F1710" t="str">
        <f>"8560285822"</f>
        <v>8560285822</v>
      </c>
      <c r="G1710" s="1">
        <v>44603</v>
      </c>
      <c r="H1710" t="str">
        <f>"94948"</f>
        <v>94948</v>
      </c>
      <c r="I1710">
        <v>1</v>
      </c>
      <c r="J1710">
        <v>0</v>
      </c>
      <c r="K1710">
        <v>0</v>
      </c>
      <c r="L1710">
        <v>0</v>
      </c>
    </row>
    <row r="1711" spans="1:12" x14ac:dyDescent="0.25">
      <c r="A1711" t="str">
        <f t="shared" si="360"/>
        <v>89301000</v>
      </c>
      <c r="B1711" t="str">
        <f t="shared" ref="B1711:B1742" si="373">"89383000"</f>
        <v>89383000</v>
      </c>
      <c r="C1711" t="str">
        <f t="shared" ref="C1711:C1742" si="374">"89383002"</f>
        <v>89383002</v>
      </c>
      <c r="D1711" t="str">
        <f t="shared" ref="D1711:D1742" si="375">"809"</f>
        <v>809</v>
      </c>
      <c r="E1711" t="str">
        <f>"89301045"</f>
        <v>89301045</v>
      </c>
      <c r="F1711" t="str">
        <f>"7556115754"</f>
        <v>7556115754</v>
      </c>
      <c r="G1711" s="1">
        <v>44593</v>
      </c>
      <c r="H1711" t="str">
        <f>"89512"</f>
        <v>89512</v>
      </c>
      <c r="I1711">
        <v>1</v>
      </c>
      <c r="J1711">
        <v>277</v>
      </c>
      <c r="K1711">
        <v>0</v>
      </c>
      <c r="L1711">
        <v>387.8</v>
      </c>
    </row>
    <row r="1712" spans="1:12" x14ac:dyDescent="0.25">
      <c r="A1712" t="str">
        <f t="shared" si="360"/>
        <v>89301000</v>
      </c>
      <c r="B1712" t="str">
        <f t="shared" si="373"/>
        <v>89383000</v>
      </c>
      <c r="C1712" t="str">
        <f t="shared" si="374"/>
        <v>89383002</v>
      </c>
      <c r="D1712" t="str">
        <f t="shared" si="375"/>
        <v>809</v>
      </c>
      <c r="E1712" t="str">
        <f>"89301045"</f>
        <v>89301045</v>
      </c>
      <c r="F1712" t="str">
        <f>"7556115754"</f>
        <v>7556115754</v>
      </c>
      <c r="G1712" s="1">
        <v>44593</v>
      </c>
      <c r="H1712" t="str">
        <f>"89180"</f>
        <v>89180</v>
      </c>
      <c r="I1712">
        <v>1</v>
      </c>
      <c r="J1712">
        <v>376</v>
      </c>
      <c r="K1712">
        <v>0</v>
      </c>
      <c r="L1712">
        <v>526.4</v>
      </c>
    </row>
    <row r="1713" spans="1:12" x14ac:dyDescent="0.25">
      <c r="A1713" t="str">
        <f t="shared" si="360"/>
        <v>89301000</v>
      </c>
      <c r="B1713" t="str">
        <f t="shared" si="373"/>
        <v>89383000</v>
      </c>
      <c r="C1713" t="str">
        <f t="shared" si="374"/>
        <v>89383002</v>
      </c>
      <c r="D1713" t="str">
        <f t="shared" si="375"/>
        <v>809</v>
      </c>
      <c r="E1713" t="str">
        <f>"89301212"</f>
        <v>89301212</v>
      </c>
      <c r="F1713" t="str">
        <f>"6456250317"</f>
        <v>6456250317</v>
      </c>
      <c r="G1713" s="1">
        <v>44594</v>
      </c>
      <c r="H1713" t="str">
        <f>"89513"</f>
        <v>89513</v>
      </c>
      <c r="I1713">
        <v>1</v>
      </c>
      <c r="J1713">
        <v>371</v>
      </c>
      <c r="K1713">
        <v>0</v>
      </c>
      <c r="L1713">
        <v>519.4</v>
      </c>
    </row>
    <row r="1714" spans="1:12" x14ac:dyDescent="0.25">
      <c r="A1714" t="str">
        <f t="shared" si="360"/>
        <v>89301000</v>
      </c>
      <c r="B1714" t="str">
        <f t="shared" si="373"/>
        <v>89383000</v>
      </c>
      <c r="C1714" t="str">
        <f t="shared" si="374"/>
        <v>89383002</v>
      </c>
      <c r="D1714" t="str">
        <f t="shared" si="375"/>
        <v>809</v>
      </c>
      <c r="E1714" t="str">
        <f>"89301212"</f>
        <v>89301212</v>
      </c>
      <c r="F1714" t="str">
        <f>"6456250317"</f>
        <v>6456250317</v>
      </c>
      <c r="G1714" s="1">
        <v>44594</v>
      </c>
      <c r="H1714" t="str">
        <f>"89514"</f>
        <v>89514</v>
      </c>
      <c r="I1714">
        <v>1</v>
      </c>
      <c r="J1714">
        <v>371</v>
      </c>
      <c r="K1714">
        <v>0</v>
      </c>
      <c r="L1714">
        <v>519.4</v>
      </c>
    </row>
    <row r="1715" spans="1:12" x14ac:dyDescent="0.25">
      <c r="A1715" t="str">
        <f t="shared" si="360"/>
        <v>89301000</v>
      </c>
      <c r="B1715" t="str">
        <f t="shared" si="373"/>
        <v>89383000</v>
      </c>
      <c r="C1715" t="str">
        <f t="shared" si="374"/>
        <v>89383002</v>
      </c>
      <c r="D1715" t="str">
        <f t="shared" si="375"/>
        <v>809</v>
      </c>
      <c r="E1715" t="str">
        <f>"89301212"</f>
        <v>89301212</v>
      </c>
      <c r="F1715" t="str">
        <f>"6759250179"</f>
        <v>6759250179</v>
      </c>
      <c r="G1715" s="1">
        <v>44594</v>
      </c>
      <c r="H1715" t="str">
        <f>"89513"</f>
        <v>89513</v>
      </c>
      <c r="I1715">
        <v>1</v>
      </c>
      <c r="J1715">
        <v>371</v>
      </c>
      <c r="K1715">
        <v>0</v>
      </c>
      <c r="L1715">
        <v>519.4</v>
      </c>
    </row>
    <row r="1716" spans="1:12" x14ac:dyDescent="0.25">
      <c r="A1716" t="str">
        <f t="shared" si="360"/>
        <v>89301000</v>
      </c>
      <c r="B1716" t="str">
        <f t="shared" si="373"/>
        <v>89383000</v>
      </c>
      <c r="C1716" t="str">
        <f t="shared" si="374"/>
        <v>89383002</v>
      </c>
      <c r="D1716" t="str">
        <f t="shared" si="375"/>
        <v>809</v>
      </c>
      <c r="E1716" t="str">
        <f>"89301212"</f>
        <v>89301212</v>
      </c>
      <c r="F1716" t="str">
        <f>"6759250179"</f>
        <v>6759250179</v>
      </c>
      <c r="G1716" s="1">
        <v>44594</v>
      </c>
      <c r="H1716" t="str">
        <f>"89514"</f>
        <v>89514</v>
      </c>
      <c r="I1716">
        <v>1</v>
      </c>
      <c r="J1716">
        <v>371</v>
      </c>
      <c r="K1716">
        <v>0</v>
      </c>
      <c r="L1716">
        <v>519.4</v>
      </c>
    </row>
    <row r="1717" spans="1:12" x14ac:dyDescent="0.25">
      <c r="A1717" t="str">
        <f t="shared" si="360"/>
        <v>89301000</v>
      </c>
      <c r="B1717" t="str">
        <f t="shared" si="373"/>
        <v>89383000</v>
      </c>
      <c r="C1717" t="str">
        <f t="shared" si="374"/>
        <v>89383002</v>
      </c>
      <c r="D1717" t="str">
        <f t="shared" si="375"/>
        <v>809</v>
      </c>
      <c r="E1717" t="str">
        <f>"89301212"</f>
        <v>89301212</v>
      </c>
      <c r="F1717" t="str">
        <f>"7961115305"</f>
        <v>7961115305</v>
      </c>
      <c r="G1717" s="1">
        <v>44594</v>
      </c>
      <c r="H1717" t="str">
        <f>"89512"</f>
        <v>89512</v>
      </c>
      <c r="I1717">
        <v>1</v>
      </c>
      <c r="J1717">
        <v>277</v>
      </c>
      <c r="K1717">
        <v>0</v>
      </c>
      <c r="L1717">
        <v>387.8</v>
      </c>
    </row>
    <row r="1718" spans="1:12" x14ac:dyDescent="0.25">
      <c r="A1718" t="str">
        <f t="shared" si="360"/>
        <v>89301000</v>
      </c>
      <c r="B1718" t="str">
        <f t="shared" si="373"/>
        <v>89383000</v>
      </c>
      <c r="C1718" t="str">
        <f t="shared" si="374"/>
        <v>89383002</v>
      </c>
      <c r="D1718" t="str">
        <f t="shared" si="375"/>
        <v>809</v>
      </c>
      <c r="E1718" t="str">
        <f>"89301042"</f>
        <v>89301042</v>
      </c>
      <c r="F1718" t="str">
        <f>"5853191289"</f>
        <v>5853191289</v>
      </c>
      <c r="G1718" s="1">
        <v>44594</v>
      </c>
      <c r="H1718" t="str">
        <f>"89313"</f>
        <v>89313</v>
      </c>
      <c r="I1718">
        <v>1</v>
      </c>
      <c r="J1718">
        <v>406</v>
      </c>
      <c r="K1718">
        <v>0</v>
      </c>
      <c r="L1718">
        <v>568.4</v>
      </c>
    </row>
    <row r="1719" spans="1:12" x14ac:dyDescent="0.25">
      <c r="A1719" t="str">
        <f t="shared" si="360"/>
        <v>89301000</v>
      </c>
      <c r="B1719" t="str">
        <f t="shared" si="373"/>
        <v>89383000</v>
      </c>
      <c r="C1719" t="str">
        <f t="shared" si="374"/>
        <v>89383002</v>
      </c>
      <c r="D1719" t="str">
        <f t="shared" si="375"/>
        <v>809</v>
      </c>
      <c r="E1719" t="str">
        <f>"89301042"</f>
        <v>89301042</v>
      </c>
      <c r="F1719" t="str">
        <f>"5853191289"</f>
        <v>5853191289</v>
      </c>
      <c r="G1719" s="1">
        <v>44594</v>
      </c>
      <c r="H1719" t="str">
        <f>"09233"</f>
        <v>09233</v>
      </c>
      <c r="I1719">
        <v>1</v>
      </c>
      <c r="J1719">
        <v>99</v>
      </c>
      <c r="K1719">
        <v>0</v>
      </c>
      <c r="L1719">
        <v>138.6</v>
      </c>
    </row>
    <row r="1720" spans="1:12" x14ac:dyDescent="0.25">
      <c r="A1720" t="str">
        <f t="shared" si="360"/>
        <v>89301000</v>
      </c>
      <c r="B1720" t="str">
        <f t="shared" si="373"/>
        <v>89383000</v>
      </c>
      <c r="C1720" t="str">
        <f t="shared" si="374"/>
        <v>89383002</v>
      </c>
      <c r="D1720" t="str">
        <f t="shared" si="375"/>
        <v>809</v>
      </c>
      <c r="E1720" t="str">
        <f>"89301042"</f>
        <v>89301042</v>
      </c>
      <c r="F1720" t="str">
        <f>"5853191289"</f>
        <v>5853191289</v>
      </c>
      <c r="G1720" s="1">
        <v>44594</v>
      </c>
      <c r="H1720" t="str">
        <f>"89512"</f>
        <v>89512</v>
      </c>
      <c r="I1720">
        <v>1</v>
      </c>
      <c r="J1720">
        <v>277</v>
      </c>
      <c r="K1720">
        <v>0</v>
      </c>
      <c r="L1720">
        <v>387.8</v>
      </c>
    </row>
    <row r="1721" spans="1:12" x14ac:dyDescent="0.25">
      <c r="A1721" t="str">
        <f t="shared" si="360"/>
        <v>89301000</v>
      </c>
      <c r="B1721" t="str">
        <f t="shared" si="373"/>
        <v>89383000</v>
      </c>
      <c r="C1721" t="str">
        <f t="shared" si="374"/>
        <v>89383002</v>
      </c>
      <c r="D1721" t="str">
        <f t="shared" si="375"/>
        <v>809</v>
      </c>
      <c r="E1721" t="str">
        <f>"89301042"</f>
        <v>89301042</v>
      </c>
      <c r="F1721" t="str">
        <f>"5853191289"</f>
        <v>5853191289</v>
      </c>
      <c r="G1721" s="1">
        <v>44594</v>
      </c>
      <c r="H1721" t="str">
        <f>"89180"</f>
        <v>89180</v>
      </c>
      <c r="I1721">
        <v>1</v>
      </c>
      <c r="J1721">
        <v>376</v>
      </c>
      <c r="K1721">
        <v>0</v>
      </c>
      <c r="L1721">
        <v>526.4</v>
      </c>
    </row>
    <row r="1722" spans="1:12" x14ac:dyDescent="0.25">
      <c r="A1722" t="str">
        <f t="shared" si="360"/>
        <v>89301000</v>
      </c>
      <c r="B1722" t="str">
        <f t="shared" si="373"/>
        <v>89383000</v>
      </c>
      <c r="C1722" t="str">
        <f t="shared" si="374"/>
        <v>89383002</v>
      </c>
      <c r="D1722" t="str">
        <f t="shared" si="375"/>
        <v>809</v>
      </c>
      <c r="E1722" t="str">
        <f>"89301042"</f>
        <v>89301042</v>
      </c>
      <c r="F1722" t="str">
        <f>"5853191289"</f>
        <v>5853191289</v>
      </c>
      <c r="G1722" s="1">
        <v>44594</v>
      </c>
      <c r="H1722" t="str">
        <f>"0142906"</f>
        <v>0142906</v>
      </c>
      <c r="I1722">
        <v>1</v>
      </c>
      <c r="K1722">
        <v>6990</v>
      </c>
      <c r="L1722">
        <v>6990</v>
      </c>
    </row>
    <row r="1723" spans="1:12" x14ac:dyDescent="0.25">
      <c r="A1723" t="str">
        <f t="shared" si="360"/>
        <v>89301000</v>
      </c>
      <c r="B1723" t="str">
        <f t="shared" si="373"/>
        <v>89383000</v>
      </c>
      <c r="C1723" t="str">
        <f t="shared" si="374"/>
        <v>89383002</v>
      </c>
      <c r="D1723" t="str">
        <f t="shared" si="375"/>
        <v>809</v>
      </c>
      <c r="E1723" t="str">
        <f t="shared" ref="E1723:E1745" si="376">"89301212"</f>
        <v>89301212</v>
      </c>
      <c r="F1723" t="str">
        <f>"505303128"</f>
        <v>505303128</v>
      </c>
      <c r="G1723" s="1">
        <v>44595</v>
      </c>
      <c r="H1723" t="str">
        <f>"89512"</f>
        <v>89512</v>
      </c>
      <c r="I1723">
        <v>1</v>
      </c>
      <c r="J1723">
        <v>277</v>
      </c>
      <c r="K1723">
        <v>0</v>
      </c>
      <c r="L1723">
        <v>387.8</v>
      </c>
    </row>
    <row r="1724" spans="1:12" x14ac:dyDescent="0.25">
      <c r="A1724" t="str">
        <f t="shared" si="360"/>
        <v>89301000</v>
      </c>
      <c r="B1724" t="str">
        <f t="shared" si="373"/>
        <v>89383000</v>
      </c>
      <c r="C1724" t="str">
        <f t="shared" si="374"/>
        <v>89383002</v>
      </c>
      <c r="D1724" t="str">
        <f t="shared" si="375"/>
        <v>809</v>
      </c>
      <c r="E1724" t="str">
        <f t="shared" si="376"/>
        <v>89301212</v>
      </c>
      <c r="F1724" t="str">
        <f>"8059245348"</f>
        <v>8059245348</v>
      </c>
      <c r="G1724" s="1">
        <v>44595</v>
      </c>
      <c r="H1724" t="str">
        <f>"89512"</f>
        <v>89512</v>
      </c>
      <c r="I1724">
        <v>1</v>
      </c>
      <c r="J1724">
        <v>277</v>
      </c>
      <c r="K1724">
        <v>0</v>
      </c>
      <c r="L1724">
        <v>387.8</v>
      </c>
    </row>
    <row r="1725" spans="1:12" x14ac:dyDescent="0.25">
      <c r="A1725" t="str">
        <f t="shared" si="360"/>
        <v>89301000</v>
      </c>
      <c r="B1725" t="str">
        <f t="shared" si="373"/>
        <v>89383000</v>
      </c>
      <c r="C1725" t="str">
        <f t="shared" si="374"/>
        <v>89383002</v>
      </c>
      <c r="D1725" t="str">
        <f t="shared" si="375"/>
        <v>809</v>
      </c>
      <c r="E1725" t="str">
        <f t="shared" si="376"/>
        <v>89301212</v>
      </c>
      <c r="F1725" t="str">
        <f>"7251185348"</f>
        <v>7251185348</v>
      </c>
      <c r="G1725" s="1">
        <v>44599</v>
      </c>
      <c r="H1725" t="str">
        <f>"89180"</f>
        <v>89180</v>
      </c>
      <c r="I1725">
        <v>2</v>
      </c>
      <c r="J1725">
        <v>752</v>
      </c>
      <c r="K1725">
        <v>0</v>
      </c>
      <c r="L1725">
        <v>1052.8</v>
      </c>
    </row>
    <row r="1726" spans="1:12" x14ac:dyDescent="0.25">
      <c r="A1726" t="str">
        <f t="shared" si="360"/>
        <v>89301000</v>
      </c>
      <c r="B1726" t="str">
        <f t="shared" si="373"/>
        <v>89383000</v>
      </c>
      <c r="C1726" t="str">
        <f t="shared" si="374"/>
        <v>89383002</v>
      </c>
      <c r="D1726" t="str">
        <f t="shared" si="375"/>
        <v>809</v>
      </c>
      <c r="E1726" t="str">
        <f t="shared" si="376"/>
        <v>89301212</v>
      </c>
      <c r="F1726" t="str">
        <f>"7251185348"</f>
        <v>7251185348</v>
      </c>
      <c r="G1726" s="1">
        <v>44599</v>
      </c>
      <c r="H1726" t="str">
        <f>"89512"</f>
        <v>89512</v>
      </c>
      <c r="I1726">
        <v>1</v>
      </c>
      <c r="J1726">
        <v>277</v>
      </c>
      <c r="K1726">
        <v>0</v>
      </c>
      <c r="L1726">
        <v>387.8</v>
      </c>
    </row>
    <row r="1727" spans="1:12" x14ac:dyDescent="0.25">
      <c r="A1727" t="str">
        <f t="shared" si="360"/>
        <v>89301000</v>
      </c>
      <c r="B1727" t="str">
        <f t="shared" si="373"/>
        <v>89383000</v>
      </c>
      <c r="C1727" t="str">
        <f t="shared" si="374"/>
        <v>89383002</v>
      </c>
      <c r="D1727" t="str">
        <f t="shared" si="375"/>
        <v>809</v>
      </c>
      <c r="E1727" t="str">
        <f t="shared" si="376"/>
        <v>89301212</v>
      </c>
      <c r="F1727" t="str">
        <f>"7251185348"</f>
        <v>7251185348</v>
      </c>
      <c r="G1727" s="1">
        <v>44599</v>
      </c>
      <c r="H1727" t="str">
        <f>"89513"</f>
        <v>89513</v>
      </c>
      <c r="I1727">
        <v>1</v>
      </c>
      <c r="J1727">
        <v>371</v>
      </c>
      <c r="K1727">
        <v>0</v>
      </c>
      <c r="L1727">
        <v>519.4</v>
      </c>
    </row>
    <row r="1728" spans="1:12" x14ac:dyDescent="0.25">
      <c r="A1728" t="str">
        <f t="shared" si="360"/>
        <v>89301000</v>
      </c>
      <c r="B1728" t="str">
        <f t="shared" si="373"/>
        <v>89383000</v>
      </c>
      <c r="C1728" t="str">
        <f t="shared" si="374"/>
        <v>89383002</v>
      </c>
      <c r="D1728" t="str">
        <f t="shared" si="375"/>
        <v>809</v>
      </c>
      <c r="E1728" t="str">
        <f t="shared" si="376"/>
        <v>89301212</v>
      </c>
      <c r="F1728" t="str">
        <f>"7251185348"</f>
        <v>7251185348</v>
      </c>
      <c r="G1728" s="1">
        <v>44599</v>
      </c>
      <c r="H1728" t="str">
        <f>"89514"</f>
        <v>89514</v>
      </c>
      <c r="I1728">
        <v>1</v>
      </c>
      <c r="J1728">
        <v>371</v>
      </c>
      <c r="K1728">
        <v>0</v>
      </c>
      <c r="L1728">
        <v>519.4</v>
      </c>
    </row>
    <row r="1729" spans="1:12" x14ac:dyDescent="0.25">
      <c r="A1729" t="str">
        <f t="shared" si="360"/>
        <v>89301000</v>
      </c>
      <c r="B1729" t="str">
        <f t="shared" si="373"/>
        <v>89383000</v>
      </c>
      <c r="C1729" t="str">
        <f t="shared" si="374"/>
        <v>89383002</v>
      </c>
      <c r="D1729" t="str">
        <f t="shared" si="375"/>
        <v>809</v>
      </c>
      <c r="E1729" t="str">
        <f t="shared" si="376"/>
        <v>89301212</v>
      </c>
      <c r="F1729" t="str">
        <f>"6754060115"</f>
        <v>6754060115</v>
      </c>
      <c r="G1729" s="1">
        <v>44601</v>
      </c>
      <c r="H1729" t="str">
        <f>"89513"</f>
        <v>89513</v>
      </c>
      <c r="I1729">
        <v>1</v>
      </c>
      <c r="J1729">
        <v>371</v>
      </c>
      <c r="K1729">
        <v>0</v>
      </c>
      <c r="L1729">
        <v>519.4</v>
      </c>
    </row>
    <row r="1730" spans="1:12" x14ac:dyDescent="0.25">
      <c r="A1730" t="str">
        <f t="shared" ref="A1730:A1793" si="377">"89301000"</f>
        <v>89301000</v>
      </c>
      <c r="B1730" t="str">
        <f t="shared" si="373"/>
        <v>89383000</v>
      </c>
      <c r="C1730" t="str">
        <f t="shared" si="374"/>
        <v>89383002</v>
      </c>
      <c r="D1730" t="str">
        <f t="shared" si="375"/>
        <v>809</v>
      </c>
      <c r="E1730" t="str">
        <f t="shared" si="376"/>
        <v>89301212</v>
      </c>
      <c r="F1730" t="str">
        <f>"6754060115"</f>
        <v>6754060115</v>
      </c>
      <c r="G1730" s="1">
        <v>44601</v>
      </c>
      <c r="H1730" t="str">
        <f>"89514"</f>
        <v>89514</v>
      </c>
      <c r="I1730">
        <v>1</v>
      </c>
      <c r="J1730">
        <v>371</v>
      </c>
      <c r="K1730">
        <v>0</v>
      </c>
      <c r="L1730">
        <v>519.4</v>
      </c>
    </row>
    <row r="1731" spans="1:12" x14ac:dyDescent="0.25">
      <c r="A1731" t="str">
        <f t="shared" si="377"/>
        <v>89301000</v>
      </c>
      <c r="B1731" t="str">
        <f t="shared" si="373"/>
        <v>89383000</v>
      </c>
      <c r="C1731" t="str">
        <f t="shared" si="374"/>
        <v>89383002</v>
      </c>
      <c r="D1731" t="str">
        <f t="shared" si="375"/>
        <v>809</v>
      </c>
      <c r="E1731" t="str">
        <f t="shared" si="376"/>
        <v>89301212</v>
      </c>
      <c r="F1731" t="str">
        <f>"6756080639"</f>
        <v>6756080639</v>
      </c>
      <c r="G1731" s="1">
        <v>44601</v>
      </c>
      <c r="H1731" t="str">
        <f>"89512"</f>
        <v>89512</v>
      </c>
      <c r="I1731">
        <v>1</v>
      </c>
      <c r="J1731">
        <v>277</v>
      </c>
      <c r="K1731">
        <v>0</v>
      </c>
      <c r="L1731">
        <v>387.8</v>
      </c>
    </row>
    <row r="1732" spans="1:12" x14ac:dyDescent="0.25">
      <c r="A1732" t="str">
        <f t="shared" si="377"/>
        <v>89301000</v>
      </c>
      <c r="B1732" t="str">
        <f t="shared" si="373"/>
        <v>89383000</v>
      </c>
      <c r="C1732" t="str">
        <f t="shared" si="374"/>
        <v>89383002</v>
      </c>
      <c r="D1732" t="str">
        <f t="shared" si="375"/>
        <v>809</v>
      </c>
      <c r="E1732" t="str">
        <f t="shared" si="376"/>
        <v>89301212</v>
      </c>
      <c r="F1732" t="str">
        <f>"6458101298"</f>
        <v>6458101298</v>
      </c>
      <c r="G1732" s="1">
        <v>44601</v>
      </c>
      <c r="H1732" t="str">
        <f>"89180"</f>
        <v>89180</v>
      </c>
      <c r="I1732">
        <v>1</v>
      </c>
      <c r="J1732">
        <v>376</v>
      </c>
      <c r="K1732">
        <v>0</v>
      </c>
      <c r="L1732">
        <v>526.4</v>
      </c>
    </row>
    <row r="1733" spans="1:12" x14ac:dyDescent="0.25">
      <c r="A1733" t="str">
        <f t="shared" si="377"/>
        <v>89301000</v>
      </c>
      <c r="B1733" t="str">
        <f t="shared" si="373"/>
        <v>89383000</v>
      </c>
      <c r="C1733" t="str">
        <f t="shared" si="374"/>
        <v>89383002</v>
      </c>
      <c r="D1733" t="str">
        <f t="shared" si="375"/>
        <v>809</v>
      </c>
      <c r="E1733" t="str">
        <f t="shared" si="376"/>
        <v>89301212</v>
      </c>
      <c r="F1733" t="str">
        <f>"6458101298"</f>
        <v>6458101298</v>
      </c>
      <c r="G1733" s="1">
        <v>44601</v>
      </c>
      <c r="H1733" t="str">
        <f>"89512"</f>
        <v>89512</v>
      </c>
      <c r="I1733">
        <v>1</v>
      </c>
      <c r="J1733">
        <v>277</v>
      </c>
      <c r="K1733">
        <v>0</v>
      </c>
      <c r="L1733">
        <v>387.8</v>
      </c>
    </row>
    <row r="1734" spans="1:12" x14ac:dyDescent="0.25">
      <c r="A1734" t="str">
        <f t="shared" si="377"/>
        <v>89301000</v>
      </c>
      <c r="B1734" t="str">
        <f t="shared" si="373"/>
        <v>89383000</v>
      </c>
      <c r="C1734" t="str">
        <f t="shared" si="374"/>
        <v>89383002</v>
      </c>
      <c r="D1734" t="str">
        <f t="shared" si="375"/>
        <v>809</v>
      </c>
      <c r="E1734" t="str">
        <f t="shared" si="376"/>
        <v>89301212</v>
      </c>
      <c r="F1734" t="str">
        <f>"7855023616"</f>
        <v>7855023616</v>
      </c>
      <c r="G1734" s="1">
        <v>44601</v>
      </c>
      <c r="H1734" t="str">
        <f>"89513"</f>
        <v>89513</v>
      </c>
      <c r="I1734">
        <v>1</v>
      </c>
      <c r="J1734">
        <v>371</v>
      </c>
      <c r="K1734">
        <v>0</v>
      </c>
      <c r="L1734">
        <v>519.4</v>
      </c>
    </row>
    <row r="1735" spans="1:12" x14ac:dyDescent="0.25">
      <c r="A1735" t="str">
        <f t="shared" si="377"/>
        <v>89301000</v>
      </c>
      <c r="B1735" t="str">
        <f t="shared" si="373"/>
        <v>89383000</v>
      </c>
      <c r="C1735" t="str">
        <f t="shared" si="374"/>
        <v>89383002</v>
      </c>
      <c r="D1735" t="str">
        <f t="shared" si="375"/>
        <v>809</v>
      </c>
      <c r="E1735" t="str">
        <f t="shared" si="376"/>
        <v>89301212</v>
      </c>
      <c r="F1735" t="str">
        <f>"7855023616"</f>
        <v>7855023616</v>
      </c>
      <c r="G1735" s="1">
        <v>44601</v>
      </c>
      <c r="H1735" t="str">
        <f>"89514"</f>
        <v>89514</v>
      </c>
      <c r="I1735">
        <v>1</v>
      </c>
      <c r="J1735">
        <v>371</v>
      </c>
      <c r="K1735">
        <v>0</v>
      </c>
      <c r="L1735">
        <v>519.4</v>
      </c>
    </row>
    <row r="1736" spans="1:12" x14ac:dyDescent="0.25">
      <c r="A1736" t="str">
        <f t="shared" si="377"/>
        <v>89301000</v>
      </c>
      <c r="B1736" t="str">
        <f t="shared" si="373"/>
        <v>89383000</v>
      </c>
      <c r="C1736" t="str">
        <f t="shared" si="374"/>
        <v>89383002</v>
      </c>
      <c r="D1736" t="str">
        <f t="shared" si="375"/>
        <v>809</v>
      </c>
      <c r="E1736" t="str">
        <f t="shared" si="376"/>
        <v>89301212</v>
      </c>
      <c r="F1736" t="str">
        <f>"7752055729"</f>
        <v>7752055729</v>
      </c>
      <c r="G1736" s="1">
        <v>44603</v>
      </c>
      <c r="H1736" t="str">
        <f>"89180"</f>
        <v>89180</v>
      </c>
      <c r="I1736">
        <v>2</v>
      </c>
      <c r="J1736">
        <v>752</v>
      </c>
      <c r="K1736">
        <v>0</v>
      </c>
      <c r="L1736">
        <v>1052.8</v>
      </c>
    </row>
    <row r="1737" spans="1:12" x14ac:dyDescent="0.25">
      <c r="A1737" t="str">
        <f t="shared" si="377"/>
        <v>89301000</v>
      </c>
      <c r="B1737" t="str">
        <f t="shared" si="373"/>
        <v>89383000</v>
      </c>
      <c r="C1737" t="str">
        <f t="shared" si="374"/>
        <v>89383002</v>
      </c>
      <c r="D1737" t="str">
        <f t="shared" si="375"/>
        <v>809</v>
      </c>
      <c r="E1737" t="str">
        <f t="shared" si="376"/>
        <v>89301212</v>
      </c>
      <c r="F1737" t="str">
        <f>"7752055729"</f>
        <v>7752055729</v>
      </c>
      <c r="G1737" s="1">
        <v>44603</v>
      </c>
      <c r="H1737" t="str">
        <f>"89512"</f>
        <v>89512</v>
      </c>
      <c r="I1737">
        <v>1</v>
      </c>
      <c r="J1737">
        <v>277</v>
      </c>
      <c r="K1737">
        <v>0</v>
      </c>
      <c r="L1737">
        <v>387.8</v>
      </c>
    </row>
    <row r="1738" spans="1:12" x14ac:dyDescent="0.25">
      <c r="A1738" t="str">
        <f t="shared" si="377"/>
        <v>89301000</v>
      </c>
      <c r="B1738" t="str">
        <f t="shared" si="373"/>
        <v>89383000</v>
      </c>
      <c r="C1738" t="str">
        <f t="shared" si="374"/>
        <v>89383002</v>
      </c>
      <c r="D1738" t="str">
        <f t="shared" si="375"/>
        <v>809</v>
      </c>
      <c r="E1738" t="str">
        <f t="shared" si="376"/>
        <v>89301212</v>
      </c>
      <c r="F1738" t="str">
        <f>"7752055729"</f>
        <v>7752055729</v>
      </c>
      <c r="G1738" s="1">
        <v>44603</v>
      </c>
      <c r="H1738" t="str">
        <f>"89513"</f>
        <v>89513</v>
      </c>
      <c r="I1738">
        <v>1</v>
      </c>
      <c r="J1738">
        <v>371</v>
      </c>
      <c r="K1738">
        <v>0</v>
      </c>
      <c r="L1738">
        <v>519.4</v>
      </c>
    </row>
    <row r="1739" spans="1:12" x14ac:dyDescent="0.25">
      <c r="A1739" t="str">
        <f t="shared" si="377"/>
        <v>89301000</v>
      </c>
      <c r="B1739" t="str">
        <f t="shared" si="373"/>
        <v>89383000</v>
      </c>
      <c r="C1739" t="str">
        <f t="shared" si="374"/>
        <v>89383002</v>
      </c>
      <c r="D1739" t="str">
        <f t="shared" si="375"/>
        <v>809</v>
      </c>
      <c r="E1739" t="str">
        <f t="shared" si="376"/>
        <v>89301212</v>
      </c>
      <c r="F1739" t="str">
        <f>"7752055729"</f>
        <v>7752055729</v>
      </c>
      <c r="G1739" s="1">
        <v>44603</v>
      </c>
      <c r="H1739" t="str">
        <f>"89514"</f>
        <v>89514</v>
      </c>
      <c r="I1739">
        <v>1</v>
      </c>
      <c r="J1739">
        <v>371</v>
      </c>
      <c r="K1739">
        <v>0</v>
      </c>
      <c r="L1739">
        <v>519.4</v>
      </c>
    </row>
    <row r="1740" spans="1:12" x14ac:dyDescent="0.25">
      <c r="A1740" t="str">
        <f t="shared" si="377"/>
        <v>89301000</v>
      </c>
      <c r="B1740" t="str">
        <f t="shared" si="373"/>
        <v>89383000</v>
      </c>
      <c r="C1740" t="str">
        <f t="shared" si="374"/>
        <v>89383002</v>
      </c>
      <c r="D1740" t="str">
        <f t="shared" si="375"/>
        <v>809</v>
      </c>
      <c r="E1740" t="str">
        <f t="shared" si="376"/>
        <v>89301212</v>
      </c>
      <c r="F1740" t="str">
        <f>"7660255339"</f>
        <v>7660255339</v>
      </c>
      <c r="G1740" s="1">
        <v>44606</v>
      </c>
      <c r="H1740" t="str">
        <f>"89512"</f>
        <v>89512</v>
      </c>
      <c r="I1740">
        <v>1</v>
      </c>
      <c r="J1740">
        <v>277</v>
      </c>
      <c r="K1740">
        <v>0</v>
      </c>
      <c r="L1740">
        <v>387.8</v>
      </c>
    </row>
    <row r="1741" spans="1:12" x14ac:dyDescent="0.25">
      <c r="A1741" t="str">
        <f t="shared" si="377"/>
        <v>89301000</v>
      </c>
      <c r="B1741" t="str">
        <f t="shared" si="373"/>
        <v>89383000</v>
      </c>
      <c r="C1741" t="str">
        <f t="shared" si="374"/>
        <v>89383002</v>
      </c>
      <c r="D1741" t="str">
        <f t="shared" si="375"/>
        <v>809</v>
      </c>
      <c r="E1741" t="str">
        <f t="shared" si="376"/>
        <v>89301212</v>
      </c>
      <c r="F1741" t="str">
        <f>"7355315363"</f>
        <v>7355315363</v>
      </c>
      <c r="G1741" s="1">
        <v>44607</v>
      </c>
      <c r="H1741" t="str">
        <f>"89513"</f>
        <v>89513</v>
      </c>
      <c r="I1741">
        <v>1</v>
      </c>
      <c r="J1741">
        <v>371</v>
      </c>
      <c r="K1741">
        <v>0</v>
      </c>
      <c r="L1741">
        <v>519.4</v>
      </c>
    </row>
    <row r="1742" spans="1:12" x14ac:dyDescent="0.25">
      <c r="A1742" t="str">
        <f t="shared" si="377"/>
        <v>89301000</v>
      </c>
      <c r="B1742" t="str">
        <f t="shared" si="373"/>
        <v>89383000</v>
      </c>
      <c r="C1742" t="str">
        <f t="shared" si="374"/>
        <v>89383002</v>
      </c>
      <c r="D1742" t="str">
        <f t="shared" si="375"/>
        <v>809</v>
      </c>
      <c r="E1742" t="str">
        <f t="shared" si="376"/>
        <v>89301212</v>
      </c>
      <c r="F1742" t="str">
        <f>"7355315363"</f>
        <v>7355315363</v>
      </c>
      <c r="G1742" s="1">
        <v>44607</v>
      </c>
      <c r="H1742" t="str">
        <f>"89514"</f>
        <v>89514</v>
      </c>
      <c r="I1742">
        <v>1</v>
      </c>
      <c r="J1742">
        <v>371</v>
      </c>
      <c r="K1742">
        <v>0</v>
      </c>
      <c r="L1742">
        <v>519.4</v>
      </c>
    </row>
    <row r="1743" spans="1:12" x14ac:dyDescent="0.25">
      <c r="A1743" t="str">
        <f t="shared" si="377"/>
        <v>89301000</v>
      </c>
      <c r="B1743" t="str">
        <f t="shared" ref="B1743:B1774" si="378">"89383000"</f>
        <v>89383000</v>
      </c>
      <c r="C1743" t="str">
        <f t="shared" ref="C1743:C1774" si="379">"89383002"</f>
        <v>89383002</v>
      </c>
      <c r="D1743" t="str">
        <f t="shared" ref="D1743:D1774" si="380">"809"</f>
        <v>809</v>
      </c>
      <c r="E1743" t="str">
        <f t="shared" si="376"/>
        <v>89301212</v>
      </c>
      <c r="F1743" t="str">
        <f>"7358145344"</f>
        <v>7358145344</v>
      </c>
      <c r="G1743" s="1">
        <v>44607</v>
      </c>
      <c r="H1743" t="str">
        <f>"89512"</f>
        <v>89512</v>
      </c>
      <c r="I1743">
        <v>1</v>
      </c>
      <c r="J1743">
        <v>277</v>
      </c>
      <c r="K1743">
        <v>0</v>
      </c>
      <c r="L1743">
        <v>387.8</v>
      </c>
    </row>
    <row r="1744" spans="1:12" x14ac:dyDescent="0.25">
      <c r="A1744" t="str">
        <f t="shared" si="377"/>
        <v>89301000</v>
      </c>
      <c r="B1744" t="str">
        <f t="shared" si="378"/>
        <v>89383000</v>
      </c>
      <c r="C1744" t="str">
        <f t="shared" si="379"/>
        <v>89383002</v>
      </c>
      <c r="D1744" t="str">
        <f t="shared" si="380"/>
        <v>809</v>
      </c>
      <c r="E1744" t="str">
        <f t="shared" si="376"/>
        <v>89301212</v>
      </c>
      <c r="F1744" t="str">
        <f>"6754060115"</f>
        <v>6754060115</v>
      </c>
      <c r="G1744" s="1">
        <v>44608</v>
      </c>
      <c r="H1744" t="str">
        <f>"89512"</f>
        <v>89512</v>
      </c>
      <c r="I1744">
        <v>1</v>
      </c>
      <c r="J1744">
        <v>277</v>
      </c>
      <c r="K1744">
        <v>0</v>
      </c>
      <c r="L1744">
        <v>387.8</v>
      </c>
    </row>
    <row r="1745" spans="1:12" x14ac:dyDescent="0.25">
      <c r="A1745" t="str">
        <f t="shared" si="377"/>
        <v>89301000</v>
      </c>
      <c r="B1745" t="str">
        <f t="shared" si="378"/>
        <v>89383000</v>
      </c>
      <c r="C1745" t="str">
        <f t="shared" si="379"/>
        <v>89383002</v>
      </c>
      <c r="D1745" t="str">
        <f t="shared" si="380"/>
        <v>809</v>
      </c>
      <c r="E1745" t="str">
        <f t="shared" si="376"/>
        <v>89301212</v>
      </c>
      <c r="F1745" t="str">
        <f>"6754060115"</f>
        <v>6754060115</v>
      </c>
      <c r="G1745" s="1">
        <v>44608</v>
      </c>
      <c r="H1745" t="str">
        <f>"89311"</f>
        <v>89311</v>
      </c>
      <c r="I1745">
        <v>1</v>
      </c>
      <c r="J1745">
        <v>936</v>
      </c>
      <c r="K1745">
        <v>0</v>
      </c>
      <c r="L1745">
        <v>1310.4000000000001</v>
      </c>
    </row>
    <row r="1746" spans="1:12" x14ac:dyDescent="0.25">
      <c r="A1746" t="str">
        <f t="shared" si="377"/>
        <v>89301000</v>
      </c>
      <c r="B1746" t="str">
        <f t="shared" si="378"/>
        <v>89383000</v>
      </c>
      <c r="C1746" t="str">
        <f t="shared" si="379"/>
        <v>89383002</v>
      </c>
      <c r="D1746" t="str">
        <f t="shared" si="380"/>
        <v>809</v>
      </c>
      <c r="E1746" t="str">
        <f>"89301042"</f>
        <v>89301042</v>
      </c>
      <c r="F1746" t="str">
        <f>"7352144668"</f>
        <v>7352144668</v>
      </c>
      <c r="G1746" s="1">
        <v>44609</v>
      </c>
      <c r="H1746" t="str">
        <f>"89513"</f>
        <v>89513</v>
      </c>
      <c r="I1746">
        <v>1</v>
      </c>
      <c r="J1746">
        <v>371</v>
      </c>
      <c r="K1746">
        <v>0</v>
      </c>
      <c r="L1746">
        <v>519.4</v>
      </c>
    </row>
    <row r="1747" spans="1:12" x14ac:dyDescent="0.25">
      <c r="A1747" t="str">
        <f t="shared" si="377"/>
        <v>89301000</v>
      </c>
      <c r="B1747" t="str">
        <f t="shared" si="378"/>
        <v>89383000</v>
      </c>
      <c r="C1747" t="str">
        <f t="shared" si="379"/>
        <v>89383002</v>
      </c>
      <c r="D1747" t="str">
        <f t="shared" si="380"/>
        <v>809</v>
      </c>
      <c r="E1747" t="str">
        <f>"89301042"</f>
        <v>89301042</v>
      </c>
      <c r="F1747" t="str">
        <f>"7352144668"</f>
        <v>7352144668</v>
      </c>
      <c r="G1747" s="1">
        <v>44609</v>
      </c>
      <c r="H1747" t="str">
        <f>"89514"</f>
        <v>89514</v>
      </c>
      <c r="I1747">
        <v>1</v>
      </c>
      <c r="J1747">
        <v>371</v>
      </c>
      <c r="K1747">
        <v>0</v>
      </c>
      <c r="L1747">
        <v>519.4</v>
      </c>
    </row>
    <row r="1748" spans="1:12" x14ac:dyDescent="0.25">
      <c r="A1748" t="str">
        <f t="shared" si="377"/>
        <v>89301000</v>
      </c>
      <c r="B1748" t="str">
        <f t="shared" si="378"/>
        <v>89383000</v>
      </c>
      <c r="C1748" t="str">
        <f t="shared" si="379"/>
        <v>89383002</v>
      </c>
      <c r="D1748" t="str">
        <f t="shared" si="380"/>
        <v>809</v>
      </c>
      <c r="E1748" t="str">
        <f>"89301042"</f>
        <v>89301042</v>
      </c>
      <c r="F1748" t="str">
        <f>"6260251569"</f>
        <v>6260251569</v>
      </c>
      <c r="G1748" s="1">
        <v>44609</v>
      </c>
      <c r="H1748" t="str">
        <f>"89180"</f>
        <v>89180</v>
      </c>
      <c r="I1748">
        <v>1</v>
      </c>
      <c r="J1748">
        <v>376</v>
      </c>
      <c r="K1748">
        <v>0</v>
      </c>
      <c r="L1748">
        <v>526.4</v>
      </c>
    </row>
    <row r="1749" spans="1:12" x14ac:dyDescent="0.25">
      <c r="A1749" t="str">
        <f t="shared" si="377"/>
        <v>89301000</v>
      </c>
      <c r="B1749" t="str">
        <f t="shared" si="378"/>
        <v>89383000</v>
      </c>
      <c r="C1749" t="str">
        <f t="shared" si="379"/>
        <v>89383002</v>
      </c>
      <c r="D1749" t="str">
        <f t="shared" si="380"/>
        <v>809</v>
      </c>
      <c r="E1749" t="str">
        <f>"89301042"</f>
        <v>89301042</v>
      </c>
      <c r="F1749" t="str">
        <f>"6260251569"</f>
        <v>6260251569</v>
      </c>
      <c r="G1749" s="1">
        <v>44609</v>
      </c>
      <c r="H1749" t="str">
        <f>"89513"</f>
        <v>89513</v>
      </c>
      <c r="I1749">
        <v>1</v>
      </c>
      <c r="J1749">
        <v>371</v>
      </c>
      <c r="K1749">
        <v>0</v>
      </c>
      <c r="L1749">
        <v>519.4</v>
      </c>
    </row>
    <row r="1750" spans="1:12" x14ac:dyDescent="0.25">
      <c r="A1750" t="str">
        <f t="shared" si="377"/>
        <v>89301000</v>
      </c>
      <c r="B1750" t="str">
        <f t="shared" si="378"/>
        <v>89383000</v>
      </c>
      <c r="C1750" t="str">
        <f t="shared" si="379"/>
        <v>89383002</v>
      </c>
      <c r="D1750" t="str">
        <f t="shared" si="380"/>
        <v>809</v>
      </c>
      <c r="E1750" t="str">
        <f>"89301042"</f>
        <v>89301042</v>
      </c>
      <c r="F1750" t="str">
        <f>"6260251569"</f>
        <v>6260251569</v>
      </c>
      <c r="G1750" s="1">
        <v>44609</v>
      </c>
      <c r="H1750" t="str">
        <f>"89514"</f>
        <v>89514</v>
      </c>
      <c r="I1750">
        <v>1</v>
      </c>
      <c r="J1750">
        <v>371</v>
      </c>
      <c r="K1750">
        <v>0</v>
      </c>
      <c r="L1750">
        <v>519.4</v>
      </c>
    </row>
    <row r="1751" spans="1:12" x14ac:dyDescent="0.25">
      <c r="A1751" t="str">
        <f t="shared" si="377"/>
        <v>89301000</v>
      </c>
      <c r="B1751" t="str">
        <f t="shared" si="378"/>
        <v>89383000</v>
      </c>
      <c r="C1751" t="str">
        <f t="shared" si="379"/>
        <v>89383002</v>
      </c>
      <c r="D1751" t="str">
        <f t="shared" si="380"/>
        <v>809</v>
      </c>
      <c r="E1751" t="str">
        <f>"89301215"</f>
        <v>89301215</v>
      </c>
      <c r="F1751" t="str">
        <f>"5859292120"</f>
        <v>5859292120</v>
      </c>
      <c r="G1751" s="1">
        <v>44610</v>
      </c>
      <c r="H1751" t="str">
        <f>"89513"</f>
        <v>89513</v>
      </c>
      <c r="I1751">
        <v>1</v>
      </c>
      <c r="J1751">
        <v>371</v>
      </c>
      <c r="K1751">
        <v>0</v>
      </c>
      <c r="L1751">
        <v>519.4</v>
      </c>
    </row>
    <row r="1752" spans="1:12" x14ac:dyDescent="0.25">
      <c r="A1752" t="str">
        <f t="shared" si="377"/>
        <v>89301000</v>
      </c>
      <c r="B1752" t="str">
        <f t="shared" si="378"/>
        <v>89383000</v>
      </c>
      <c r="C1752" t="str">
        <f t="shared" si="379"/>
        <v>89383002</v>
      </c>
      <c r="D1752" t="str">
        <f t="shared" si="380"/>
        <v>809</v>
      </c>
      <c r="E1752" t="str">
        <f>"89301215"</f>
        <v>89301215</v>
      </c>
      <c r="F1752" t="str">
        <f>"5859292120"</f>
        <v>5859292120</v>
      </c>
      <c r="G1752" s="1">
        <v>44610</v>
      </c>
      <c r="H1752" t="str">
        <f>"89514"</f>
        <v>89514</v>
      </c>
      <c r="I1752">
        <v>1</v>
      </c>
      <c r="J1752">
        <v>371</v>
      </c>
      <c r="K1752">
        <v>0</v>
      </c>
      <c r="L1752">
        <v>519.4</v>
      </c>
    </row>
    <row r="1753" spans="1:12" x14ac:dyDescent="0.25">
      <c r="A1753" t="str">
        <f t="shared" si="377"/>
        <v>89301000</v>
      </c>
      <c r="B1753" t="str">
        <f t="shared" si="378"/>
        <v>89383000</v>
      </c>
      <c r="C1753" t="str">
        <f t="shared" si="379"/>
        <v>89383002</v>
      </c>
      <c r="D1753" t="str">
        <f t="shared" si="380"/>
        <v>809</v>
      </c>
      <c r="E1753" t="str">
        <f t="shared" ref="E1753:E1790" si="381">"89301212"</f>
        <v>89301212</v>
      </c>
      <c r="F1753" t="str">
        <f>"6551090975"</f>
        <v>6551090975</v>
      </c>
      <c r="G1753" s="1">
        <v>44610</v>
      </c>
      <c r="H1753" t="str">
        <f>"89513"</f>
        <v>89513</v>
      </c>
      <c r="I1753">
        <v>1</v>
      </c>
      <c r="J1753">
        <v>371</v>
      </c>
      <c r="K1753">
        <v>0</v>
      </c>
      <c r="L1753">
        <v>519.4</v>
      </c>
    </row>
    <row r="1754" spans="1:12" x14ac:dyDescent="0.25">
      <c r="A1754" t="str">
        <f t="shared" si="377"/>
        <v>89301000</v>
      </c>
      <c r="B1754" t="str">
        <f t="shared" si="378"/>
        <v>89383000</v>
      </c>
      <c r="C1754" t="str">
        <f t="shared" si="379"/>
        <v>89383002</v>
      </c>
      <c r="D1754" t="str">
        <f t="shared" si="380"/>
        <v>809</v>
      </c>
      <c r="E1754" t="str">
        <f t="shared" si="381"/>
        <v>89301212</v>
      </c>
      <c r="F1754" t="str">
        <f>"6551090975"</f>
        <v>6551090975</v>
      </c>
      <c r="G1754" s="1">
        <v>44610</v>
      </c>
      <c r="H1754" t="str">
        <f>"89514"</f>
        <v>89514</v>
      </c>
      <c r="I1754">
        <v>1</v>
      </c>
      <c r="J1754">
        <v>371</v>
      </c>
      <c r="K1754">
        <v>0</v>
      </c>
      <c r="L1754">
        <v>519.4</v>
      </c>
    </row>
    <row r="1755" spans="1:12" x14ac:dyDescent="0.25">
      <c r="A1755" t="str">
        <f t="shared" si="377"/>
        <v>89301000</v>
      </c>
      <c r="B1755" t="str">
        <f t="shared" si="378"/>
        <v>89383000</v>
      </c>
      <c r="C1755" t="str">
        <f t="shared" si="379"/>
        <v>89383002</v>
      </c>
      <c r="D1755" t="str">
        <f t="shared" si="380"/>
        <v>809</v>
      </c>
      <c r="E1755" t="str">
        <f t="shared" si="381"/>
        <v>89301212</v>
      </c>
      <c r="F1755" t="str">
        <f>"6858070219"</f>
        <v>6858070219</v>
      </c>
      <c r="G1755" s="1">
        <v>44616</v>
      </c>
      <c r="H1755" t="str">
        <f>"89513"</f>
        <v>89513</v>
      </c>
      <c r="I1755">
        <v>1</v>
      </c>
      <c r="J1755">
        <v>371</v>
      </c>
      <c r="K1755">
        <v>0</v>
      </c>
      <c r="L1755">
        <v>519.4</v>
      </c>
    </row>
    <row r="1756" spans="1:12" x14ac:dyDescent="0.25">
      <c r="A1756" t="str">
        <f t="shared" si="377"/>
        <v>89301000</v>
      </c>
      <c r="B1756" t="str">
        <f t="shared" si="378"/>
        <v>89383000</v>
      </c>
      <c r="C1756" t="str">
        <f t="shared" si="379"/>
        <v>89383002</v>
      </c>
      <c r="D1756" t="str">
        <f t="shared" si="380"/>
        <v>809</v>
      </c>
      <c r="E1756" t="str">
        <f t="shared" si="381"/>
        <v>89301212</v>
      </c>
      <c r="F1756" t="str">
        <f>"6858070219"</f>
        <v>6858070219</v>
      </c>
      <c r="G1756" s="1">
        <v>44616</v>
      </c>
      <c r="H1756" t="str">
        <f>"89514"</f>
        <v>89514</v>
      </c>
      <c r="I1756">
        <v>1</v>
      </c>
      <c r="J1756">
        <v>371</v>
      </c>
      <c r="K1756">
        <v>0</v>
      </c>
      <c r="L1756">
        <v>519.4</v>
      </c>
    </row>
    <row r="1757" spans="1:12" x14ac:dyDescent="0.25">
      <c r="A1757" t="str">
        <f t="shared" si="377"/>
        <v>89301000</v>
      </c>
      <c r="B1757" t="str">
        <f t="shared" si="378"/>
        <v>89383000</v>
      </c>
      <c r="C1757" t="str">
        <f t="shared" si="379"/>
        <v>89383002</v>
      </c>
      <c r="D1757" t="str">
        <f t="shared" si="380"/>
        <v>809</v>
      </c>
      <c r="E1757" t="str">
        <f t="shared" si="381"/>
        <v>89301212</v>
      </c>
      <c r="F1757" t="str">
        <f>"7852105679"</f>
        <v>7852105679</v>
      </c>
      <c r="G1757" s="1">
        <v>44616</v>
      </c>
      <c r="H1757" t="str">
        <f>"89513"</f>
        <v>89513</v>
      </c>
      <c r="I1757">
        <v>1</v>
      </c>
      <c r="J1757">
        <v>371</v>
      </c>
      <c r="K1757">
        <v>0</v>
      </c>
      <c r="L1757">
        <v>519.4</v>
      </c>
    </row>
    <row r="1758" spans="1:12" x14ac:dyDescent="0.25">
      <c r="A1758" t="str">
        <f t="shared" si="377"/>
        <v>89301000</v>
      </c>
      <c r="B1758" t="str">
        <f t="shared" si="378"/>
        <v>89383000</v>
      </c>
      <c r="C1758" t="str">
        <f t="shared" si="379"/>
        <v>89383002</v>
      </c>
      <c r="D1758" t="str">
        <f t="shared" si="380"/>
        <v>809</v>
      </c>
      <c r="E1758" t="str">
        <f t="shared" si="381"/>
        <v>89301212</v>
      </c>
      <c r="F1758" t="str">
        <f>"7852105679"</f>
        <v>7852105679</v>
      </c>
      <c r="G1758" s="1">
        <v>44616</v>
      </c>
      <c r="H1758" t="str">
        <f>"89514"</f>
        <v>89514</v>
      </c>
      <c r="I1758">
        <v>1</v>
      </c>
      <c r="J1758">
        <v>371</v>
      </c>
      <c r="K1758">
        <v>0</v>
      </c>
      <c r="L1758">
        <v>519.4</v>
      </c>
    </row>
    <row r="1759" spans="1:12" x14ac:dyDescent="0.25">
      <c r="A1759" t="str">
        <f t="shared" si="377"/>
        <v>89301000</v>
      </c>
      <c r="B1759" t="str">
        <f t="shared" si="378"/>
        <v>89383000</v>
      </c>
      <c r="C1759" t="str">
        <f t="shared" si="379"/>
        <v>89383002</v>
      </c>
      <c r="D1759" t="str">
        <f t="shared" si="380"/>
        <v>809</v>
      </c>
      <c r="E1759" t="str">
        <f t="shared" si="381"/>
        <v>89301212</v>
      </c>
      <c r="F1759" t="str">
        <f>"8355305343"</f>
        <v>8355305343</v>
      </c>
      <c r="G1759" s="1">
        <v>44617</v>
      </c>
      <c r="H1759" t="str">
        <f>"89512"</f>
        <v>89512</v>
      </c>
      <c r="I1759">
        <v>1</v>
      </c>
      <c r="J1759">
        <v>277</v>
      </c>
      <c r="K1759">
        <v>0</v>
      </c>
      <c r="L1759">
        <v>387.8</v>
      </c>
    </row>
    <row r="1760" spans="1:12" x14ac:dyDescent="0.25">
      <c r="A1760" t="str">
        <f t="shared" si="377"/>
        <v>89301000</v>
      </c>
      <c r="B1760" t="str">
        <f t="shared" si="378"/>
        <v>89383000</v>
      </c>
      <c r="C1760" t="str">
        <f t="shared" si="379"/>
        <v>89383002</v>
      </c>
      <c r="D1760" t="str">
        <f t="shared" si="380"/>
        <v>809</v>
      </c>
      <c r="E1760" t="str">
        <f t="shared" si="381"/>
        <v>89301212</v>
      </c>
      <c r="F1760" t="str">
        <f>"8355305343"</f>
        <v>8355305343</v>
      </c>
      <c r="G1760" s="1">
        <v>44617</v>
      </c>
      <c r="H1760" t="str">
        <f>"89513"</f>
        <v>89513</v>
      </c>
      <c r="I1760">
        <v>1</v>
      </c>
      <c r="J1760">
        <v>371</v>
      </c>
      <c r="K1760">
        <v>0</v>
      </c>
      <c r="L1760">
        <v>519.4</v>
      </c>
    </row>
    <row r="1761" spans="1:12" x14ac:dyDescent="0.25">
      <c r="A1761" t="str">
        <f t="shared" si="377"/>
        <v>89301000</v>
      </c>
      <c r="B1761" t="str">
        <f t="shared" si="378"/>
        <v>89383000</v>
      </c>
      <c r="C1761" t="str">
        <f t="shared" si="379"/>
        <v>89383002</v>
      </c>
      <c r="D1761" t="str">
        <f t="shared" si="380"/>
        <v>809</v>
      </c>
      <c r="E1761" t="str">
        <f t="shared" si="381"/>
        <v>89301212</v>
      </c>
      <c r="F1761" t="str">
        <f>"8355305343"</f>
        <v>8355305343</v>
      </c>
      <c r="G1761" s="1">
        <v>44617</v>
      </c>
      <c r="H1761" t="str">
        <f>"89514"</f>
        <v>89514</v>
      </c>
      <c r="I1761">
        <v>1</v>
      </c>
      <c r="J1761">
        <v>371</v>
      </c>
      <c r="K1761">
        <v>0</v>
      </c>
      <c r="L1761">
        <v>519.4</v>
      </c>
    </row>
    <row r="1762" spans="1:12" x14ac:dyDescent="0.25">
      <c r="A1762" t="str">
        <f t="shared" si="377"/>
        <v>89301000</v>
      </c>
      <c r="B1762" t="str">
        <f t="shared" si="378"/>
        <v>89383000</v>
      </c>
      <c r="C1762" t="str">
        <f t="shared" si="379"/>
        <v>89383002</v>
      </c>
      <c r="D1762" t="str">
        <f t="shared" si="380"/>
        <v>809</v>
      </c>
      <c r="E1762" t="str">
        <f t="shared" si="381"/>
        <v>89301212</v>
      </c>
      <c r="F1762" t="str">
        <f>"7756215357"</f>
        <v>7756215357</v>
      </c>
      <c r="G1762" s="1">
        <v>44617</v>
      </c>
      <c r="H1762" t="str">
        <f>"89180"</f>
        <v>89180</v>
      </c>
      <c r="I1762">
        <v>1</v>
      </c>
      <c r="J1762">
        <v>376</v>
      </c>
      <c r="K1762">
        <v>0</v>
      </c>
      <c r="L1762">
        <v>526.4</v>
      </c>
    </row>
    <row r="1763" spans="1:12" x14ac:dyDescent="0.25">
      <c r="A1763" t="str">
        <f t="shared" si="377"/>
        <v>89301000</v>
      </c>
      <c r="B1763" t="str">
        <f t="shared" si="378"/>
        <v>89383000</v>
      </c>
      <c r="C1763" t="str">
        <f t="shared" si="379"/>
        <v>89383002</v>
      </c>
      <c r="D1763" t="str">
        <f t="shared" si="380"/>
        <v>809</v>
      </c>
      <c r="E1763" t="str">
        <f t="shared" si="381"/>
        <v>89301212</v>
      </c>
      <c r="F1763" t="str">
        <f>"7756215357"</f>
        <v>7756215357</v>
      </c>
      <c r="G1763" s="1">
        <v>44617</v>
      </c>
      <c r="H1763" t="str">
        <f>"89512"</f>
        <v>89512</v>
      </c>
      <c r="I1763">
        <v>1</v>
      </c>
      <c r="J1763">
        <v>277</v>
      </c>
      <c r="K1763">
        <v>0</v>
      </c>
      <c r="L1763">
        <v>387.8</v>
      </c>
    </row>
    <row r="1764" spans="1:12" x14ac:dyDescent="0.25">
      <c r="A1764" t="str">
        <f t="shared" si="377"/>
        <v>89301000</v>
      </c>
      <c r="B1764" t="str">
        <f t="shared" si="378"/>
        <v>89383000</v>
      </c>
      <c r="C1764" t="str">
        <f t="shared" si="379"/>
        <v>89383002</v>
      </c>
      <c r="D1764" t="str">
        <f t="shared" si="380"/>
        <v>809</v>
      </c>
      <c r="E1764" t="str">
        <f t="shared" si="381"/>
        <v>89301212</v>
      </c>
      <c r="F1764" t="str">
        <f>"5559042049"</f>
        <v>5559042049</v>
      </c>
      <c r="G1764" s="1">
        <v>44620</v>
      </c>
      <c r="H1764" t="str">
        <f>"89180"</f>
        <v>89180</v>
      </c>
      <c r="I1764">
        <v>2</v>
      </c>
      <c r="J1764">
        <v>752</v>
      </c>
      <c r="K1764">
        <v>0</v>
      </c>
      <c r="L1764">
        <v>1052.8</v>
      </c>
    </row>
    <row r="1765" spans="1:12" x14ac:dyDescent="0.25">
      <c r="A1765" t="str">
        <f t="shared" si="377"/>
        <v>89301000</v>
      </c>
      <c r="B1765" t="str">
        <f t="shared" si="378"/>
        <v>89383000</v>
      </c>
      <c r="C1765" t="str">
        <f t="shared" si="379"/>
        <v>89383002</v>
      </c>
      <c r="D1765" t="str">
        <f t="shared" si="380"/>
        <v>809</v>
      </c>
      <c r="E1765" t="str">
        <f t="shared" si="381"/>
        <v>89301212</v>
      </c>
      <c r="F1765" t="str">
        <f>"5559042049"</f>
        <v>5559042049</v>
      </c>
      <c r="G1765" s="1">
        <v>44620</v>
      </c>
      <c r="H1765" t="str">
        <f>"89512"</f>
        <v>89512</v>
      </c>
      <c r="I1765">
        <v>1</v>
      </c>
      <c r="J1765">
        <v>277</v>
      </c>
      <c r="K1765">
        <v>0</v>
      </c>
      <c r="L1765">
        <v>387.8</v>
      </c>
    </row>
    <row r="1766" spans="1:12" x14ac:dyDescent="0.25">
      <c r="A1766" t="str">
        <f t="shared" si="377"/>
        <v>89301000</v>
      </c>
      <c r="B1766" t="str">
        <f t="shared" si="378"/>
        <v>89383000</v>
      </c>
      <c r="C1766" t="str">
        <f t="shared" si="379"/>
        <v>89383002</v>
      </c>
      <c r="D1766" t="str">
        <f t="shared" si="380"/>
        <v>809</v>
      </c>
      <c r="E1766" t="str">
        <f t="shared" si="381"/>
        <v>89301212</v>
      </c>
      <c r="F1766" t="str">
        <f>"7352245318"</f>
        <v>7352245318</v>
      </c>
      <c r="G1766" s="1">
        <v>44620</v>
      </c>
      <c r="H1766" t="str">
        <f>"89180"</f>
        <v>89180</v>
      </c>
      <c r="I1766">
        <v>1</v>
      </c>
      <c r="J1766">
        <v>376</v>
      </c>
      <c r="K1766">
        <v>0</v>
      </c>
      <c r="L1766">
        <v>526.4</v>
      </c>
    </row>
    <row r="1767" spans="1:12" x14ac:dyDescent="0.25">
      <c r="A1767" t="str">
        <f t="shared" si="377"/>
        <v>89301000</v>
      </c>
      <c r="B1767" t="str">
        <f t="shared" si="378"/>
        <v>89383000</v>
      </c>
      <c r="C1767" t="str">
        <f t="shared" si="379"/>
        <v>89383002</v>
      </c>
      <c r="D1767" t="str">
        <f t="shared" si="380"/>
        <v>809</v>
      </c>
      <c r="E1767" t="str">
        <f t="shared" si="381"/>
        <v>89301212</v>
      </c>
      <c r="F1767" t="str">
        <f>"7352245318"</f>
        <v>7352245318</v>
      </c>
      <c r="G1767" s="1">
        <v>44620</v>
      </c>
      <c r="H1767" t="str">
        <f>"89512"</f>
        <v>89512</v>
      </c>
      <c r="I1767">
        <v>1</v>
      </c>
      <c r="J1767">
        <v>277</v>
      </c>
      <c r="K1767">
        <v>0</v>
      </c>
      <c r="L1767">
        <v>387.8</v>
      </c>
    </row>
    <row r="1768" spans="1:12" x14ac:dyDescent="0.25">
      <c r="A1768" t="str">
        <f t="shared" si="377"/>
        <v>89301000</v>
      </c>
      <c r="B1768" t="str">
        <f t="shared" si="378"/>
        <v>89383000</v>
      </c>
      <c r="C1768" t="str">
        <f t="shared" si="379"/>
        <v>89383002</v>
      </c>
      <c r="D1768" t="str">
        <f t="shared" si="380"/>
        <v>809</v>
      </c>
      <c r="E1768" t="str">
        <f t="shared" si="381"/>
        <v>89301212</v>
      </c>
      <c r="F1768" t="str">
        <f>"6352160177"</f>
        <v>6352160177</v>
      </c>
      <c r="G1768" s="1">
        <v>44620</v>
      </c>
      <c r="H1768" t="str">
        <f>"89180"</f>
        <v>89180</v>
      </c>
      <c r="I1768">
        <v>2</v>
      </c>
      <c r="J1768">
        <v>752</v>
      </c>
      <c r="K1768">
        <v>0</v>
      </c>
      <c r="L1768">
        <v>1052.8</v>
      </c>
    </row>
    <row r="1769" spans="1:12" x14ac:dyDescent="0.25">
      <c r="A1769" t="str">
        <f t="shared" si="377"/>
        <v>89301000</v>
      </c>
      <c r="B1769" t="str">
        <f t="shared" si="378"/>
        <v>89383000</v>
      </c>
      <c r="C1769" t="str">
        <f t="shared" si="379"/>
        <v>89383002</v>
      </c>
      <c r="D1769" t="str">
        <f t="shared" si="380"/>
        <v>809</v>
      </c>
      <c r="E1769" t="str">
        <f t="shared" si="381"/>
        <v>89301212</v>
      </c>
      <c r="F1769" t="str">
        <f>"6352160177"</f>
        <v>6352160177</v>
      </c>
      <c r="G1769" s="1">
        <v>44620</v>
      </c>
      <c r="H1769" t="str">
        <f>"89512"</f>
        <v>89512</v>
      </c>
      <c r="I1769">
        <v>1</v>
      </c>
      <c r="J1769">
        <v>277</v>
      </c>
      <c r="K1769">
        <v>0</v>
      </c>
      <c r="L1769">
        <v>387.8</v>
      </c>
    </row>
    <row r="1770" spans="1:12" x14ac:dyDescent="0.25">
      <c r="A1770" t="str">
        <f t="shared" si="377"/>
        <v>89301000</v>
      </c>
      <c r="B1770" t="str">
        <f t="shared" si="378"/>
        <v>89383000</v>
      </c>
      <c r="C1770" t="str">
        <f t="shared" si="379"/>
        <v>89383002</v>
      </c>
      <c r="D1770" t="str">
        <f t="shared" si="380"/>
        <v>809</v>
      </c>
      <c r="E1770" t="str">
        <f t="shared" si="381"/>
        <v>89301212</v>
      </c>
      <c r="F1770" t="str">
        <f>"6352160177"</f>
        <v>6352160177</v>
      </c>
      <c r="G1770" s="1">
        <v>44620</v>
      </c>
      <c r="H1770" t="str">
        <f>"89513"</f>
        <v>89513</v>
      </c>
      <c r="I1770">
        <v>1</v>
      </c>
      <c r="J1770">
        <v>371</v>
      </c>
      <c r="K1770">
        <v>0</v>
      </c>
      <c r="L1770">
        <v>519.4</v>
      </c>
    </row>
    <row r="1771" spans="1:12" x14ac:dyDescent="0.25">
      <c r="A1771" t="str">
        <f t="shared" si="377"/>
        <v>89301000</v>
      </c>
      <c r="B1771" t="str">
        <f t="shared" si="378"/>
        <v>89383000</v>
      </c>
      <c r="C1771" t="str">
        <f t="shared" si="379"/>
        <v>89383002</v>
      </c>
      <c r="D1771" t="str">
        <f t="shared" si="380"/>
        <v>809</v>
      </c>
      <c r="E1771" t="str">
        <f t="shared" si="381"/>
        <v>89301212</v>
      </c>
      <c r="F1771" t="str">
        <f>"6352160177"</f>
        <v>6352160177</v>
      </c>
      <c r="G1771" s="1">
        <v>44620</v>
      </c>
      <c r="H1771" t="str">
        <f>"89514"</f>
        <v>89514</v>
      </c>
      <c r="I1771">
        <v>1</v>
      </c>
      <c r="J1771">
        <v>371</v>
      </c>
      <c r="K1771">
        <v>0</v>
      </c>
      <c r="L1771">
        <v>519.4</v>
      </c>
    </row>
    <row r="1772" spans="1:12" x14ac:dyDescent="0.25">
      <c r="A1772" t="str">
        <f t="shared" si="377"/>
        <v>89301000</v>
      </c>
      <c r="B1772" t="str">
        <f t="shared" si="378"/>
        <v>89383000</v>
      </c>
      <c r="C1772" t="str">
        <f t="shared" si="379"/>
        <v>89383002</v>
      </c>
      <c r="D1772" t="str">
        <f t="shared" si="380"/>
        <v>809</v>
      </c>
      <c r="E1772" t="str">
        <f t="shared" si="381"/>
        <v>89301212</v>
      </c>
      <c r="F1772" t="str">
        <f>"7160155310"</f>
        <v>7160155310</v>
      </c>
      <c r="G1772" s="1">
        <v>44621</v>
      </c>
      <c r="H1772" t="str">
        <f>"89513"</f>
        <v>89513</v>
      </c>
      <c r="I1772">
        <v>1</v>
      </c>
      <c r="J1772">
        <v>371</v>
      </c>
      <c r="K1772">
        <v>0</v>
      </c>
      <c r="L1772">
        <v>519.4</v>
      </c>
    </row>
    <row r="1773" spans="1:12" x14ac:dyDescent="0.25">
      <c r="A1773" t="str">
        <f t="shared" si="377"/>
        <v>89301000</v>
      </c>
      <c r="B1773" t="str">
        <f t="shared" si="378"/>
        <v>89383000</v>
      </c>
      <c r="C1773" t="str">
        <f t="shared" si="379"/>
        <v>89383002</v>
      </c>
      <c r="D1773" t="str">
        <f t="shared" si="380"/>
        <v>809</v>
      </c>
      <c r="E1773" t="str">
        <f t="shared" si="381"/>
        <v>89301212</v>
      </c>
      <c r="F1773" t="str">
        <f>"7160155310"</f>
        <v>7160155310</v>
      </c>
      <c r="G1773" s="1">
        <v>44621</v>
      </c>
      <c r="H1773" t="str">
        <f>"89514"</f>
        <v>89514</v>
      </c>
      <c r="I1773">
        <v>1</v>
      </c>
      <c r="J1773">
        <v>371</v>
      </c>
      <c r="K1773">
        <v>0</v>
      </c>
      <c r="L1773">
        <v>519.4</v>
      </c>
    </row>
    <row r="1774" spans="1:12" x14ac:dyDescent="0.25">
      <c r="A1774" t="str">
        <f t="shared" si="377"/>
        <v>89301000</v>
      </c>
      <c r="B1774" t="str">
        <f t="shared" si="378"/>
        <v>89383000</v>
      </c>
      <c r="C1774" t="str">
        <f t="shared" si="379"/>
        <v>89383002</v>
      </c>
      <c r="D1774" t="str">
        <f t="shared" si="380"/>
        <v>809</v>
      </c>
      <c r="E1774" t="str">
        <f t="shared" si="381"/>
        <v>89301212</v>
      </c>
      <c r="F1774" t="str">
        <f>"7655015346"</f>
        <v>7655015346</v>
      </c>
      <c r="G1774" s="1">
        <v>44622</v>
      </c>
      <c r="H1774" t="str">
        <f>"89512"</f>
        <v>89512</v>
      </c>
      <c r="I1774">
        <v>1</v>
      </c>
      <c r="J1774">
        <v>277</v>
      </c>
      <c r="K1774">
        <v>0</v>
      </c>
      <c r="L1774">
        <v>387.8</v>
      </c>
    </row>
    <row r="1775" spans="1:12" x14ac:dyDescent="0.25">
      <c r="A1775" t="str">
        <f t="shared" si="377"/>
        <v>89301000</v>
      </c>
      <c r="B1775" t="str">
        <f t="shared" ref="B1775:B1801" si="382">"89383000"</f>
        <v>89383000</v>
      </c>
      <c r="C1775" t="str">
        <f t="shared" ref="C1775:C1801" si="383">"89383002"</f>
        <v>89383002</v>
      </c>
      <c r="D1775" t="str">
        <f t="shared" ref="D1775:D1801" si="384">"809"</f>
        <v>809</v>
      </c>
      <c r="E1775" t="str">
        <f t="shared" si="381"/>
        <v>89301212</v>
      </c>
      <c r="F1775" t="str">
        <f>"6851211521"</f>
        <v>6851211521</v>
      </c>
      <c r="G1775" s="1">
        <v>44623</v>
      </c>
      <c r="H1775" t="str">
        <f>"89513"</f>
        <v>89513</v>
      </c>
      <c r="I1775">
        <v>1</v>
      </c>
      <c r="J1775">
        <v>371</v>
      </c>
      <c r="K1775">
        <v>0</v>
      </c>
      <c r="L1775">
        <v>519.4</v>
      </c>
    </row>
    <row r="1776" spans="1:12" x14ac:dyDescent="0.25">
      <c r="A1776" t="str">
        <f t="shared" si="377"/>
        <v>89301000</v>
      </c>
      <c r="B1776" t="str">
        <f t="shared" si="382"/>
        <v>89383000</v>
      </c>
      <c r="C1776" t="str">
        <f t="shared" si="383"/>
        <v>89383002</v>
      </c>
      <c r="D1776" t="str">
        <f t="shared" si="384"/>
        <v>809</v>
      </c>
      <c r="E1776" t="str">
        <f t="shared" si="381"/>
        <v>89301212</v>
      </c>
      <c r="F1776" t="str">
        <f>"6851211521"</f>
        <v>6851211521</v>
      </c>
      <c r="G1776" s="1">
        <v>44623</v>
      </c>
      <c r="H1776" t="str">
        <f>"89514"</f>
        <v>89514</v>
      </c>
      <c r="I1776">
        <v>1</v>
      </c>
      <c r="J1776">
        <v>371</v>
      </c>
      <c r="K1776">
        <v>0</v>
      </c>
      <c r="L1776">
        <v>519.4</v>
      </c>
    </row>
    <row r="1777" spans="1:12" x14ac:dyDescent="0.25">
      <c r="A1777" t="str">
        <f t="shared" si="377"/>
        <v>89301000</v>
      </c>
      <c r="B1777" t="str">
        <f t="shared" si="382"/>
        <v>89383000</v>
      </c>
      <c r="C1777" t="str">
        <f t="shared" si="383"/>
        <v>89383002</v>
      </c>
      <c r="D1777" t="str">
        <f t="shared" si="384"/>
        <v>809</v>
      </c>
      <c r="E1777" t="str">
        <f t="shared" si="381"/>
        <v>89301212</v>
      </c>
      <c r="F1777" t="str">
        <f>"8962196078"</f>
        <v>8962196078</v>
      </c>
      <c r="G1777" s="1">
        <v>44624</v>
      </c>
      <c r="H1777" t="str">
        <f>"89513"</f>
        <v>89513</v>
      </c>
      <c r="I1777">
        <v>1</v>
      </c>
      <c r="J1777">
        <v>371</v>
      </c>
      <c r="K1777">
        <v>0</v>
      </c>
      <c r="L1777">
        <v>519.4</v>
      </c>
    </row>
    <row r="1778" spans="1:12" x14ac:dyDescent="0.25">
      <c r="A1778" t="str">
        <f t="shared" si="377"/>
        <v>89301000</v>
      </c>
      <c r="B1778" t="str">
        <f t="shared" si="382"/>
        <v>89383000</v>
      </c>
      <c r="C1778" t="str">
        <f t="shared" si="383"/>
        <v>89383002</v>
      </c>
      <c r="D1778" t="str">
        <f t="shared" si="384"/>
        <v>809</v>
      </c>
      <c r="E1778" t="str">
        <f t="shared" si="381"/>
        <v>89301212</v>
      </c>
      <c r="F1778" t="str">
        <f>"8962196078"</f>
        <v>8962196078</v>
      </c>
      <c r="G1778" s="1">
        <v>44624</v>
      </c>
      <c r="H1778" t="str">
        <f>"89514"</f>
        <v>89514</v>
      </c>
      <c r="I1778">
        <v>1</v>
      </c>
      <c r="J1778">
        <v>371</v>
      </c>
      <c r="K1778">
        <v>0</v>
      </c>
      <c r="L1778">
        <v>519.4</v>
      </c>
    </row>
    <row r="1779" spans="1:12" x14ac:dyDescent="0.25">
      <c r="A1779" t="str">
        <f t="shared" si="377"/>
        <v>89301000</v>
      </c>
      <c r="B1779" t="str">
        <f t="shared" si="382"/>
        <v>89383000</v>
      </c>
      <c r="C1779" t="str">
        <f t="shared" si="383"/>
        <v>89383002</v>
      </c>
      <c r="D1779" t="str">
        <f t="shared" si="384"/>
        <v>809</v>
      </c>
      <c r="E1779" t="str">
        <f t="shared" si="381"/>
        <v>89301212</v>
      </c>
      <c r="F1779" t="str">
        <f>"8054205302"</f>
        <v>8054205302</v>
      </c>
      <c r="G1779" s="1">
        <v>44627</v>
      </c>
      <c r="H1779" t="str">
        <f>"89512"</f>
        <v>89512</v>
      </c>
      <c r="I1779">
        <v>1</v>
      </c>
      <c r="J1779">
        <v>277</v>
      </c>
      <c r="K1779">
        <v>0</v>
      </c>
      <c r="L1779">
        <v>387.8</v>
      </c>
    </row>
    <row r="1780" spans="1:12" x14ac:dyDescent="0.25">
      <c r="A1780" t="str">
        <f t="shared" si="377"/>
        <v>89301000</v>
      </c>
      <c r="B1780" t="str">
        <f t="shared" si="382"/>
        <v>89383000</v>
      </c>
      <c r="C1780" t="str">
        <f t="shared" si="383"/>
        <v>89383002</v>
      </c>
      <c r="D1780" t="str">
        <f t="shared" si="384"/>
        <v>809</v>
      </c>
      <c r="E1780" t="str">
        <f t="shared" si="381"/>
        <v>89301212</v>
      </c>
      <c r="F1780" t="str">
        <f>"8054205302"</f>
        <v>8054205302</v>
      </c>
      <c r="G1780" s="1">
        <v>44627</v>
      </c>
      <c r="H1780" t="str">
        <f>"89180"</f>
        <v>89180</v>
      </c>
      <c r="I1780">
        <v>2</v>
      </c>
      <c r="J1780">
        <v>752</v>
      </c>
      <c r="K1780">
        <v>0</v>
      </c>
      <c r="L1780">
        <v>1052.8</v>
      </c>
    </row>
    <row r="1781" spans="1:12" x14ac:dyDescent="0.25">
      <c r="A1781" t="str">
        <f t="shared" si="377"/>
        <v>89301000</v>
      </c>
      <c r="B1781" t="str">
        <f t="shared" si="382"/>
        <v>89383000</v>
      </c>
      <c r="C1781" t="str">
        <f t="shared" si="383"/>
        <v>89383002</v>
      </c>
      <c r="D1781" t="str">
        <f t="shared" si="384"/>
        <v>809</v>
      </c>
      <c r="E1781" t="str">
        <f t="shared" si="381"/>
        <v>89301212</v>
      </c>
      <c r="F1781" t="str">
        <f t="shared" ref="F1781:F1788" si="385">"6754050072"</f>
        <v>6754050072</v>
      </c>
      <c r="G1781" s="1">
        <v>44629</v>
      </c>
      <c r="H1781" t="str">
        <f>"89313"</f>
        <v>89313</v>
      </c>
      <c r="I1781">
        <v>1</v>
      </c>
      <c r="J1781">
        <v>406</v>
      </c>
      <c r="K1781">
        <v>0</v>
      </c>
      <c r="L1781">
        <v>568.4</v>
      </c>
    </row>
    <row r="1782" spans="1:12" x14ac:dyDescent="0.25">
      <c r="A1782" t="str">
        <f t="shared" si="377"/>
        <v>89301000</v>
      </c>
      <c r="B1782" t="str">
        <f t="shared" si="382"/>
        <v>89383000</v>
      </c>
      <c r="C1782" t="str">
        <f t="shared" si="383"/>
        <v>89383002</v>
      </c>
      <c r="D1782" t="str">
        <f t="shared" si="384"/>
        <v>809</v>
      </c>
      <c r="E1782" t="str">
        <f t="shared" si="381"/>
        <v>89301212</v>
      </c>
      <c r="F1782" t="str">
        <f t="shared" si="385"/>
        <v>6754050072</v>
      </c>
      <c r="G1782" s="1">
        <v>44629</v>
      </c>
      <c r="H1782" t="str">
        <f>"09233"</f>
        <v>09233</v>
      </c>
      <c r="I1782">
        <v>1</v>
      </c>
      <c r="J1782">
        <v>99</v>
      </c>
      <c r="K1782">
        <v>0</v>
      </c>
      <c r="L1782">
        <v>138.6</v>
      </c>
    </row>
    <row r="1783" spans="1:12" x14ac:dyDescent="0.25">
      <c r="A1783" t="str">
        <f t="shared" si="377"/>
        <v>89301000</v>
      </c>
      <c r="B1783" t="str">
        <f t="shared" si="382"/>
        <v>89383000</v>
      </c>
      <c r="C1783" t="str">
        <f t="shared" si="383"/>
        <v>89383002</v>
      </c>
      <c r="D1783" t="str">
        <f t="shared" si="384"/>
        <v>809</v>
      </c>
      <c r="E1783" t="str">
        <f t="shared" si="381"/>
        <v>89301212</v>
      </c>
      <c r="F1783" t="str">
        <f t="shared" si="385"/>
        <v>6754050072</v>
      </c>
      <c r="G1783" s="1">
        <v>44629</v>
      </c>
      <c r="H1783" t="str">
        <f>"89515"</f>
        <v>89515</v>
      </c>
      <c r="I1783">
        <v>1</v>
      </c>
      <c r="J1783">
        <v>339</v>
      </c>
      <c r="K1783">
        <v>0</v>
      </c>
      <c r="L1783">
        <v>474.6</v>
      </c>
    </row>
    <row r="1784" spans="1:12" x14ac:dyDescent="0.25">
      <c r="A1784" t="str">
        <f t="shared" si="377"/>
        <v>89301000</v>
      </c>
      <c r="B1784" t="str">
        <f t="shared" si="382"/>
        <v>89383000</v>
      </c>
      <c r="C1784" t="str">
        <f t="shared" si="383"/>
        <v>89383002</v>
      </c>
      <c r="D1784" t="str">
        <f t="shared" si="384"/>
        <v>809</v>
      </c>
      <c r="E1784" t="str">
        <f t="shared" si="381"/>
        <v>89301212</v>
      </c>
      <c r="F1784" t="str">
        <f t="shared" si="385"/>
        <v>6754050072</v>
      </c>
      <c r="G1784" s="1">
        <v>44629</v>
      </c>
      <c r="H1784" t="str">
        <f>"89512"</f>
        <v>89512</v>
      </c>
      <c r="I1784">
        <v>1</v>
      </c>
      <c r="J1784">
        <v>277</v>
      </c>
      <c r="K1784">
        <v>0</v>
      </c>
      <c r="L1784">
        <v>387.8</v>
      </c>
    </row>
    <row r="1785" spans="1:12" x14ac:dyDescent="0.25">
      <c r="A1785" t="str">
        <f t="shared" si="377"/>
        <v>89301000</v>
      </c>
      <c r="B1785" t="str">
        <f t="shared" si="382"/>
        <v>89383000</v>
      </c>
      <c r="C1785" t="str">
        <f t="shared" si="383"/>
        <v>89383002</v>
      </c>
      <c r="D1785" t="str">
        <f t="shared" si="384"/>
        <v>809</v>
      </c>
      <c r="E1785" t="str">
        <f t="shared" si="381"/>
        <v>89301212</v>
      </c>
      <c r="F1785" t="str">
        <f t="shared" si="385"/>
        <v>6754050072</v>
      </c>
      <c r="G1785" s="1">
        <v>44629</v>
      </c>
      <c r="H1785" t="str">
        <f>"09572"</f>
        <v>09572</v>
      </c>
      <c r="I1785">
        <v>1</v>
      </c>
      <c r="J1785">
        <v>0</v>
      </c>
      <c r="K1785">
        <v>0</v>
      </c>
      <c r="L1785">
        <v>0</v>
      </c>
    </row>
    <row r="1786" spans="1:12" x14ac:dyDescent="0.25">
      <c r="A1786" t="str">
        <f t="shared" si="377"/>
        <v>89301000</v>
      </c>
      <c r="B1786" t="str">
        <f t="shared" si="382"/>
        <v>89383000</v>
      </c>
      <c r="C1786" t="str">
        <f t="shared" si="383"/>
        <v>89383002</v>
      </c>
      <c r="D1786" t="str">
        <f t="shared" si="384"/>
        <v>809</v>
      </c>
      <c r="E1786" t="str">
        <f t="shared" si="381"/>
        <v>89301212</v>
      </c>
      <c r="F1786" t="str">
        <f t="shared" si="385"/>
        <v>6754050072</v>
      </c>
      <c r="G1786" s="1">
        <v>44629</v>
      </c>
      <c r="H1786" t="str">
        <f>"0225891"</f>
        <v>0225891</v>
      </c>
      <c r="I1786">
        <v>0.1</v>
      </c>
      <c r="K1786">
        <v>36.770000000000003</v>
      </c>
      <c r="L1786">
        <v>36.770000000000003</v>
      </c>
    </row>
    <row r="1787" spans="1:12" x14ac:dyDescent="0.25">
      <c r="A1787" t="str">
        <f t="shared" si="377"/>
        <v>89301000</v>
      </c>
      <c r="B1787" t="str">
        <f t="shared" si="382"/>
        <v>89383000</v>
      </c>
      <c r="C1787" t="str">
        <f t="shared" si="383"/>
        <v>89383002</v>
      </c>
      <c r="D1787" t="str">
        <f t="shared" si="384"/>
        <v>809</v>
      </c>
      <c r="E1787" t="str">
        <f t="shared" si="381"/>
        <v>89301212</v>
      </c>
      <c r="F1787" t="str">
        <f t="shared" si="385"/>
        <v>6754050072</v>
      </c>
      <c r="G1787" s="1">
        <v>44629</v>
      </c>
      <c r="H1787" t="str">
        <f>"0142908"</f>
        <v>0142908</v>
      </c>
      <c r="I1787">
        <v>2</v>
      </c>
      <c r="K1787">
        <v>1820</v>
      </c>
      <c r="L1787">
        <v>1820</v>
      </c>
    </row>
    <row r="1788" spans="1:12" x14ac:dyDescent="0.25">
      <c r="A1788" t="str">
        <f t="shared" si="377"/>
        <v>89301000</v>
      </c>
      <c r="B1788" t="str">
        <f t="shared" si="382"/>
        <v>89383000</v>
      </c>
      <c r="C1788" t="str">
        <f t="shared" si="383"/>
        <v>89383002</v>
      </c>
      <c r="D1788" t="str">
        <f t="shared" si="384"/>
        <v>809</v>
      </c>
      <c r="E1788" t="str">
        <f t="shared" si="381"/>
        <v>89301212</v>
      </c>
      <c r="F1788" t="str">
        <f t="shared" si="385"/>
        <v>6754050072</v>
      </c>
      <c r="G1788" s="1">
        <v>44629</v>
      </c>
      <c r="H1788" t="str">
        <f>"0082502"</f>
        <v>0082502</v>
      </c>
      <c r="I1788">
        <v>1</v>
      </c>
      <c r="K1788">
        <v>2093</v>
      </c>
      <c r="L1788">
        <v>2093</v>
      </c>
    </row>
    <row r="1789" spans="1:12" x14ac:dyDescent="0.25">
      <c r="A1789" t="str">
        <f t="shared" si="377"/>
        <v>89301000</v>
      </c>
      <c r="B1789" t="str">
        <f t="shared" si="382"/>
        <v>89383000</v>
      </c>
      <c r="C1789" t="str">
        <f t="shared" si="383"/>
        <v>89383002</v>
      </c>
      <c r="D1789" t="str">
        <f t="shared" si="384"/>
        <v>809</v>
      </c>
      <c r="E1789" t="str">
        <f t="shared" si="381"/>
        <v>89301212</v>
      </c>
      <c r="F1789" t="str">
        <f>"7360265242"</f>
        <v>7360265242</v>
      </c>
      <c r="G1789" s="1">
        <v>44630</v>
      </c>
      <c r="H1789" t="str">
        <f>"89513"</f>
        <v>89513</v>
      </c>
      <c r="I1789">
        <v>1</v>
      </c>
      <c r="J1789">
        <v>371</v>
      </c>
      <c r="K1789">
        <v>0</v>
      </c>
      <c r="L1789">
        <v>519.4</v>
      </c>
    </row>
    <row r="1790" spans="1:12" x14ac:dyDescent="0.25">
      <c r="A1790" t="str">
        <f t="shared" si="377"/>
        <v>89301000</v>
      </c>
      <c r="B1790" t="str">
        <f t="shared" si="382"/>
        <v>89383000</v>
      </c>
      <c r="C1790" t="str">
        <f t="shared" si="383"/>
        <v>89383002</v>
      </c>
      <c r="D1790" t="str">
        <f t="shared" si="384"/>
        <v>809</v>
      </c>
      <c r="E1790" t="str">
        <f t="shared" si="381"/>
        <v>89301212</v>
      </c>
      <c r="F1790" t="str">
        <f>"7360265242"</f>
        <v>7360265242</v>
      </c>
      <c r="G1790" s="1">
        <v>44630</v>
      </c>
      <c r="H1790" t="str">
        <f>"89514"</f>
        <v>89514</v>
      </c>
      <c r="I1790">
        <v>1</v>
      </c>
      <c r="J1790">
        <v>371</v>
      </c>
      <c r="K1790">
        <v>0</v>
      </c>
      <c r="L1790">
        <v>519.4</v>
      </c>
    </row>
    <row r="1791" spans="1:12" x14ac:dyDescent="0.25">
      <c r="A1791" t="str">
        <f t="shared" si="377"/>
        <v>89301000</v>
      </c>
      <c r="B1791" t="str">
        <f t="shared" si="382"/>
        <v>89383000</v>
      </c>
      <c r="C1791" t="str">
        <f t="shared" si="383"/>
        <v>89383002</v>
      </c>
      <c r="D1791" t="str">
        <f t="shared" si="384"/>
        <v>809</v>
      </c>
      <c r="E1791" t="str">
        <f>"89301042"</f>
        <v>89301042</v>
      </c>
      <c r="F1791" t="str">
        <f>"7960035325"</f>
        <v>7960035325</v>
      </c>
      <c r="G1791" s="1">
        <v>44630</v>
      </c>
      <c r="H1791" t="str">
        <f>"89513"</f>
        <v>89513</v>
      </c>
      <c r="I1791">
        <v>1</v>
      </c>
      <c r="J1791">
        <v>371</v>
      </c>
      <c r="K1791">
        <v>0</v>
      </c>
      <c r="L1791">
        <v>519.4</v>
      </c>
    </row>
    <row r="1792" spans="1:12" x14ac:dyDescent="0.25">
      <c r="A1792" t="str">
        <f t="shared" si="377"/>
        <v>89301000</v>
      </c>
      <c r="B1792" t="str">
        <f t="shared" si="382"/>
        <v>89383000</v>
      </c>
      <c r="C1792" t="str">
        <f t="shared" si="383"/>
        <v>89383002</v>
      </c>
      <c r="D1792" t="str">
        <f t="shared" si="384"/>
        <v>809</v>
      </c>
      <c r="E1792" t="str">
        <f>"89301042"</f>
        <v>89301042</v>
      </c>
      <c r="F1792" t="str">
        <f>"7960035325"</f>
        <v>7960035325</v>
      </c>
      <c r="G1792" s="1">
        <v>44630</v>
      </c>
      <c r="H1792" t="str">
        <f>"89514"</f>
        <v>89514</v>
      </c>
      <c r="I1792">
        <v>1</v>
      </c>
      <c r="J1792">
        <v>371</v>
      </c>
      <c r="K1792">
        <v>0</v>
      </c>
      <c r="L1792">
        <v>519.4</v>
      </c>
    </row>
    <row r="1793" spans="1:12" x14ac:dyDescent="0.25">
      <c r="A1793" t="str">
        <f t="shared" si="377"/>
        <v>89301000</v>
      </c>
      <c r="B1793" t="str">
        <f t="shared" si="382"/>
        <v>89383000</v>
      </c>
      <c r="C1793" t="str">
        <f t="shared" si="383"/>
        <v>89383002</v>
      </c>
      <c r="D1793" t="str">
        <f t="shared" si="384"/>
        <v>809</v>
      </c>
      <c r="E1793" t="str">
        <f t="shared" ref="E1793:E1801" si="386">"89301212"</f>
        <v>89301212</v>
      </c>
      <c r="F1793" t="str">
        <f>"7953145387"</f>
        <v>7953145387</v>
      </c>
      <c r="G1793" s="1">
        <v>44631</v>
      </c>
      <c r="H1793" t="str">
        <f>"89513"</f>
        <v>89513</v>
      </c>
      <c r="I1793">
        <v>1</v>
      </c>
      <c r="J1793">
        <v>371</v>
      </c>
      <c r="K1793">
        <v>0</v>
      </c>
      <c r="L1793">
        <v>519.4</v>
      </c>
    </row>
    <row r="1794" spans="1:12" x14ac:dyDescent="0.25">
      <c r="A1794" t="str">
        <f t="shared" ref="A1794:A1857" si="387">"89301000"</f>
        <v>89301000</v>
      </c>
      <c r="B1794" t="str">
        <f t="shared" si="382"/>
        <v>89383000</v>
      </c>
      <c r="C1794" t="str">
        <f t="shared" si="383"/>
        <v>89383002</v>
      </c>
      <c r="D1794" t="str">
        <f t="shared" si="384"/>
        <v>809</v>
      </c>
      <c r="E1794" t="str">
        <f t="shared" si="386"/>
        <v>89301212</v>
      </c>
      <c r="F1794" t="str">
        <f>"7953145387"</f>
        <v>7953145387</v>
      </c>
      <c r="G1794" s="1">
        <v>44631</v>
      </c>
      <c r="H1794" t="str">
        <f>"89514"</f>
        <v>89514</v>
      </c>
      <c r="I1794">
        <v>1</v>
      </c>
      <c r="J1794">
        <v>371</v>
      </c>
      <c r="K1794">
        <v>0</v>
      </c>
      <c r="L1794">
        <v>519.4</v>
      </c>
    </row>
    <row r="1795" spans="1:12" x14ac:dyDescent="0.25">
      <c r="A1795" t="str">
        <f t="shared" si="387"/>
        <v>89301000</v>
      </c>
      <c r="B1795" t="str">
        <f t="shared" si="382"/>
        <v>89383000</v>
      </c>
      <c r="C1795" t="str">
        <f t="shared" si="383"/>
        <v>89383002</v>
      </c>
      <c r="D1795" t="str">
        <f t="shared" si="384"/>
        <v>809</v>
      </c>
      <c r="E1795" t="str">
        <f t="shared" si="386"/>
        <v>89301212</v>
      </c>
      <c r="F1795" t="str">
        <f>"6655050303"</f>
        <v>6655050303</v>
      </c>
      <c r="G1795" s="1">
        <v>44631</v>
      </c>
      <c r="H1795" t="str">
        <f>"89180"</f>
        <v>89180</v>
      </c>
      <c r="I1795">
        <v>1</v>
      </c>
      <c r="J1795">
        <v>376</v>
      </c>
      <c r="K1795">
        <v>0</v>
      </c>
      <c r="L1795">
        <v>526.4</v>
      </c>
    </row>
    <row r="1796" spans="1:12" x14ac:dyDescent="0.25">
      <c r="A1796" t="str">
        <f t="shared" si="387"/>
        <v>89301000</v>
      </c>
      <c r="B1796" t="str">
        <f t="shared" si="382"/>
        <v>89383000</v>
      </c>
      <c r="C1796" t="str">
        <f t="shared" si="383"/>
        <v>89383002</v>
      </c>
      <c r="D1796" t="str">
        <f t="shared" si="384"/>
        <v>809</v>
      </c>
      <c r="E1796" t="str">
        <f t="shared" si="386"/>
        <v>89301212</v>
      </c>
      <c r="F1796" t="str">
        <f>"6655050303"</f>
        <v>6655050303</v>
      </c>
      <c r="G1796" s="1">
        <v>44631</v>
      </c>
      <c r="H1796" t="str">
        <f>"89512"</f>
        <v>89512</v>
      </c>
      <c r="I1796">
        <v>1</v>
      </c>
      <c r="J1796">
        <v>277</v>
      </c>
      <c r="K1796">
        <v>0</v>
      </c>
      <c r="L1796">
        <v>387.8</v>
      </c>
    </row>
    <row r="1797" spans="1:12" x14ac:dyDescent="0.25">
      <c r="A1797" t="str">
        <f t="shared" si="387"/>
        <v>89301000</v>
      </c>
      <c r="B1797" t="str">
        <f t="shared" si="382"/>
        <v>89383000</v>
      </c>
      <c r="C1797" t="str">
        <f t="shared" si="383"/>
        <v>89383002</v>
      </c>
      <c r="D1797" t="str">
        <f t="shared" si="384"/>
        <v>809</v>
      </c>
      <c r="E1797" t="str">
        <f t="shared" si="386"/>
        <v>89301212</v>
      </c>
      <c r="F1797" t="str">
        <f>"7852263837"</f>
        <v>7852263837</v>
      </c>
      <c r="G1797" s="1">
        <v>44631</v>
      </c>
      <c r="H1797" t="str">
        <f>"89180"</f>
        <v>89180</v>
      </c>
      <c r="I1797">
        <v>2</v>
      </c>
      <c r="J1797">
        <v>752</v>
      </c>
      <c r="K1797">
        <v>0</v>
      </c>
      <c r="L1797">
        <v>1052.8</v>
      </c>
    </row>
    <row r="1798" spans="1:12" x14ac:dyDescent="0.25">
      <c r="A1798" t="str">
        <f t="shared" si="387"/>
        <v>89301000</v>
      </c>
      <c r="B1798" t="str">
        <f t="shared" si="382"/>
        <v>89383000</v>
      </c>
      <c r="C1798" t="str">
        <f t="shared" si="383"/>
        <v>89383002</v>
      </c>
      <c r="D1798" t="str">
        <f t="shared" si="384"/>
        <v>809</v>
      </c>
      <c r="E1798" t="str">
        <f t="shared" si="386"/>
        <v>89301212</v>
      </c>
      <c r="F1798" t="str">
        <f>"7852263837"</f>
        <v>7852263837</v>
      </c>
      <c r="G1798" s="1">
        <v>44631</v>
      </c>
      <c r="H1798" t="str">
        <f>"89512"</f>
        <v>89512</v>
      </c>
      <c r="I1798">
        <v>1</v>
      </c>
      <c r="J1798">
        <v>277</v>
      </c>
      <c r="K1798">
        <v>0</v>
      </c>
      <c r="L1798">
        <v>387.8</v>
      </c>
    </row>
    <row r="1799" spans="1:12" x14ac:dyDescent="0.25">
      <c r="A1799" t="str">
        <f t="shared" si="387"/>
        <v>89301000</v>
      </c>
      <c r="B1799" t="str">
        <f t="shared" si="382"/>
        <v>89383000</v>
      </c>
      <c r="C1799" t="str">
        <f t="shared" si="383"/>
        <v>89383002</v>
      </c>
      <c r="D1799" t="str">
        <f t="shared" si="384"/>
        <v>809</v>
      </c>
      <c r="E1799" t="str">
        <f t="shared" si="386"/>
        <v>89301212</v>
      </c>
      <c r="F1799" t="str">
        <f>"7852263837"</f>
        <v>7852263837</v>
      </c>
      <c r="G1799" s="1">
        <v>44631</v>
      </c>
      <c r="H1799" t="str">
        <f>"89513"</f>
        <v>89513</v>
      </c>
      <c r="I1799">
        <v>1</v>
      </c>
      <c r="J1799">
        <v>371</v>
      </c>
      <c r="K1799">
        <v>0</v>
      </c>
      <c r="L1799">
        <v>519.4</v>
      </c>
    </row>
    <row r="1800" spans="1:12" x14ac:dyDescent="0.25">
      <c r="A1800" t="str">
        <f t="shared" si="387"/>
        <v>89301000</v>
      </c>
      <c r="B1800" t="str">
        <f t="shared" si="382"/>
        <v>89383000</v>
      </c>
      <c r="C1800" t="str">
        <f t="shared" si="383"/>
        <v>89383002</v>
      </c>
      <c r="D1800" t="str">
        <f t="shared" si="384"/>
        <v>809</v>
      </c>
      <c r="E1800" t="str">
        <f t="shared" si="386"/>
        <v>89301212</v>
      </c>
      <c r="F1800" t="str">
        <f>"7852263837"</f>
        <v>7852263837</v>
      </c>
      <c r="G1800" s="1">
        <v>44631</v>
      </c>
      <c r="H1800" t="str">
        <f>"89514"</f>
        <v>89514</v>
      </c>
      <c r="I1800">
        <v>1</v>
      </c>
      <c r="J1800">
        <v>371</v>
      </c>
      <c r="K1800">
        <v>0</v>
      </c>
      <c r="L1800">
        <v>519.4</v>
      </c>
    </row>
    <row r="1801" spans="1:12" x14ac:dyDescent="0.25">
      <c r="A1801" t="str">
        <f t="shared" si="387"/>
        <v>89301000</v>
      </c>
      <c r="B1801" t="str">
        <f t="shared" si="382"/>
        <v>89383000</v>
      </c>
      <c r="C1801" t="str">
        <f t="shared" si="383"/>
        <v>89383002</v>
      </c>
      <c r="D1801" t="str">
        <f t="shared" si="384"/>
        <v>809</v>
      </c>
      <c r="E1801" t="str">
        <f t="shared" si="386"/>
        <v>89301212</v>
      </c>
      <c r="F1801" t="str">
        <f>"7358145344"</f>
        <v>7358145344</v>
      </c>
      <c r="G1801" s="1">
        <v>44630</v>
      </c>
      <c r="H1801" t="str">
        <f>"89512"</f>
        <v>89512</v>
      </c>
      <c r="I1801">
        <v>1</v>
      </c>
      <c r="J1801">
        <v>277</v>
      </c>
      <c r="K1801">
        <v>0</v>
      </c>
      <c r="L1801">
        <v>387.8</v>
      </c>
    </row>
    <row r="1802" spans="1:12" x14ac:dyDescent="0.25">
      <c r="A1802" t="str">
        <f t="shared" si="387"/>
        <v>89301000</v>
      </c>
      <c r="B1802" t="str">
        <f t="shared" ref="B1802:B1818" si="388">"75311000"</f>
        <v>75311000</v>
      </c>
      <c r="C1802" t="str">
        <f>"75311001"</f>
        <v>75311001</v>
      </c>
      <c r="D1802" t="str">
        <f>"818"</f>
        <v>818</v>
      </c>
      <c r="E1802" t="str">
        <f t="shared" ref="E1802:E1818" si="389">"89301167"</f>
        <v>89301167</v>
      </c>
      <c r="F1802" t="str">
        <f t="shared" ref="F1802:F1818" si="390">"5957040397"</f>
        <v>5957040397</v>
      </c>
      <c r="G1802" s="1">
        <v>44601</v>
      </c>
      <c r="H1802" t="str">
        <f>"96167"</f>
        <v>96167</v>
      </c>
      <c r="I1802">
        <v>1</v>
      </c>
      <c r="J1802">
        <v>67</v>
      </c>
      <c r="K1802">
        <v>0</v>
      </c>
      <c r="L1802">
        <v>60.97</v>
      </c>
    </row>
    <row r="1803" spans="1:12" x14ac:dyDescent="0.25">
      <c r="A1803" t="str">
        <f t="shared" si="387"/>
        <v>89301000</v>
      </c>
      <c r="B1803" t="str">
        <f t="shared" si="388"/>
        <v>75311000</v>
      </c>
      <c r="C1803" t="str">
        <f t="shared" ref="C1803:C1818" si="391">"75311715"</f>
        <v>75311715</v>
      </c>
      <c r="D1803" t="str">
        <f t="shared" ref="D1803:D1818" si="392">"801"</f>
        <v>801</v>
      </c>
      <c r="E1803" t="str">
        <f t="shared" si="389"/>
        <v>89301167</v>
      </c>
      <c r="F1803" t="str">
        <f t="shared" si="390"/>
        <v>5957040397</v>
      </c>
      <c r="G1803" s="1">
        <v>44601</v>
      </c>
      <c r="H1803" t="str">
        <f>"81621"</f>
        <v>81621</v>
      </c>
      <c r="I1803">
        <v>1</v>
      </c>
      <c r="J1803">
        <v>19</v>
      </c>
      <c r="K1803">
        <v>0</v>
      </c>
      <c r="L1803">
        <v>14.82</v>
      </c>
    </row>
    <row r="1804" spans="1:12" x14ac:dyDescent="0.25">
      <c r="A1804" t="str">
        <f t="shared" si="387"/>
        <v>89301000</v>
      </c>
      <c r="B1804" t="str">
        <f t="shared" si="388"/>
        <v>75311000</v>
      </c>
      <c r="C1804" t="str">
        <f t="shared" si="391"/>
        <v>75311715</v>
      </c>
      <c r="D1804" t="str">
        <f t="shared" si="392"/>
        <v>801</v>
      </c>
      <c r="E1804" t="str">
        <f t="shared" si="389"/>
        <v>89301167</v>
      </c>
      <c r="F1804" t="str">
        <f t="shared" si="390"/>
        <v>5957040397</v>
      </c>
      <c r="G1804" s="1">
        <v>44601</v>
      </c>
      <c r="H1804" t="str">
        <f>"81499"</f>
        <v>81499</v>
      </c>
      <c r="I1804">
        <v>1</v>
      </c>
      <c r="J1804">
        <v>18</v>
      </c>
      <c r="K1804">
        <v>0</v>
      </c>
      <c r="L1804">
        <v>14.04</v>
      </c>
    </row>
    <row r="1805" spans="1:12" x14ac:dyDescent="0.25">
      <c r="A1805" t="str">
        <f t="shared" si="387"/>
        <v>89301000</v>
      </c>
      <c r="B1805" t="str">
        <f t="shared" si="388"/>
        <v>75311000</v>
      </c>
      <c r="C1805" t="str">
        <f t="shared" si="391"/>
        <v>75311715</v>
      </c>
      <c r="D1805" t="str">
        <f t="shared" si="392"/>
        <v>801</v>
      </c>
      <c r="E1805" t="str">
        <f t="shared" si="389"/>
        <v>89301167</v>
      </c>
      <c r="F1805" t="str">
        <f t="shared" si="390"/>
        <v>5957040397</v>
      </c>
      <c r="G1805" s="1">
        <v>44601</v>
      </c>
      <c r="H1805" t="str">
        <f>"81593"</f>
        <v>81593</v>
      </c>
      <c r="I1805">
        <v>1</v>
      </c>
      <c r="J1805">
        <v>22</v>
      </c>
      <c r="K1805">
        <v>0</v>
      </c>
      <c r="L1805">
        <v>17.16</v>
      </c>
    </row>
    <row r="1806" spans="1:12" x14ac:dyDescent="0.25">
      <c r="A1806" t="str">
        <f t="shared" si="387"/>
        <v>89301000</v>
      </c>
      <c r="B1806" t="str">
        <f t="shared" si="388"/>
        <v>75311000</v>
      </c>
      <c r="C1806" t="str">
        <f t="shared" si="391"/>
        <v>75311715</v>
      </c>
      <c r="D1806" t="str">
        <f t="shared" si="392"/>
        <v>801</v>
      </c>
      <c r="E1806" t="str">
        <f t="shared" si="389"/>
        <v>89301167</v>
      </c>
      <c r="F1806" t="str">
        <f t="shared" si="390"/>
        <v>5957040397</v>
      </c>
      <c r="G1806" s="1">
        <v>44601</v>
      </c>
      <c r="H1806" t="str">
        <f>"81393"</f>
        <v>81393</v>
      </c>
      <c r="I1806">
        <v>1</v>
      </c>
      <c r="J1806">
        <v>24</v>
      </c>
      <c r="K1806">
        <v>0</v>
      </c>
      <c r="L1806">
        <v>18.72</v>
      </c>
    </row>
    <row r="1807" spans="1:12" x14ac:dyDescent="0.25">
      <c r="A1807" t="str">
        <f t="shared" si="387"/>
        <v>89301000</v>
      </c>
      <c r="B1807" t="str">
        <f t="shared" si="388"/>
        <v>75311000</v>
      </c>
      <c r="C1807" t="str">
        <f t="shared" si="391"/>
        <v>75311715</v>
      </c>
      <c r="D1807" t="str">
        <f t="shared" si="392"/>
        <v>801</v>
      </c>
      <c r="E1807" t="str">
        <f t="shared" si="389"/>
        <v>89301167</v>
      </c>
      <c r="F1807" t="str">
        <f t="shared" si="390"/>
        <v>5957040397</v>
      </c>
      <c r="G1807" s="1">
        <v>44601</v>
      </c>
      <c r="H1807" t="str">
        <f>"81469"</f>
        <v>81469</v>
      </c>
      <c r="I1807">
        <v>1</v>
      </c>
      <c r="J1807">
        <v>16</v>
      </c>
      <c r="K1807">
        <v>0</v>
      </c>
      <c r="L1807">
        <v>12.48</v>
      </c>
    </row>
    <row r="1808" spans="1:12" x14ac:dyDescent="0.25">
      <c r="A1808" t="str">
        <f t="shared" si="387"/>
        <v>89301000</v>
      </c>
      <c r="B1808" t="str">
        <f t="shared" si="388"/>
        <v>75311000</v>
      </c>
      <c r="C1808" t="str">
        <f t="shared" si="391"/>
        <v>75311715</v>
      </c>
      <c r="D1808" t="str">
        <f t="shared" si="392"/>
        <v>801</v>
      </c>
      <c r="E1808" t="str">
        <f t="shared" si="389"/>
        <v>89301167</v>
      </c>
      <c r="F1808" t="str">
        <f t="shared" si="390"/>
        <v>5957040397</v>
      </c>
      <c r="G1808" s="1">
        <v>44601</v>
      </c>
      <c r="H1808" t="str">
        <f>"81625"</f>
        <v>81625</v>
      </c>
      <c r="I1808">
        <v>1</v>
      </c>
      <c r="J1808">
        <v>20</v>
      </c>
      <c r="K1808">
        <v>0</v>
      </c>
      <c r="L1808">
        <v>15.6</v>
      </c>
    </row>
    <row r="1809" spans="1:12" x14ac:dyDescent="0.25">
      <c r="A1809" t="str">
        <f t="shared" si="387"/>
        <v>89301000</v>
      </c>
      <c r="B1809" t="str">
        <f t="shared" si="388"/>
        <v>75311000</v>
      </c>
      <c r="C1809" t="str">
        <f t="shared" si="391"/>
        <v>75311715</v>
      </c>
      <c r="D1809" t="str">
        <f t="shared" si="392"/>
        <v>801</v>
      </c>
      <c r="E1809" t="str">
        <f t="shared" si="389"/>
        <v>89301167</v>
      </c>
      <c r="F1809" t="str">
        <f t="shared" si="390"/>
        <v>5957040397</v>
      </c>
      <c r="G1809" s="1">
        <v>44601</v>
      </c>
      <c r="H1809" t="str">
        <f>"81361"</f>
        <v>81361</v>
      </c>
      <c r="I1809">
        <v>1</v>
      </c>
      <c r="J1809">
        <v>17</v>
      </c>
      <c r="K1809">
        <v>0</v>
      </c>
      <c r="L1809">
        <v>13.26</v>
      </c>
    </row>
    <row r="1810" spans="1:12" x14ac:dyDescent="0.25">
      <c r="A1810" t="str">
        <f t="shared" si="387"/>
        <v>89301000</v>
      </c>
      <c r="B1810" t="str">
        <f t="shared" si="388"/>
        <v>75311000</v>
      </c>
      <c r="C1810" t="str">
        <f t="shared" si="391"/>
        <v>75311715</v>
      </c>
      <c r="D1810" t="str">
        <f t="shared" si="392"/>
        <v>801</v>
      </c>
      <c r="E1810" t="str">
        <f t="shared" si="389"/>
        <v>89301167</v>
      </c>
      <c r="F1810" t="str">
        <f t="shared" si="390"/>
        <v>5957040397</v>
      </c>
      <c r="G1810" s="1">
        <v>44601</v>
      </c>
      <c r="H1810" t="str">
        <f>"81337"</f>
        <v>81337</v>
      </c>
      <c r="I1810">
        <v>1</v>
      </c>
      <c r="J1810">
        <v>19</v>
      </c>
      <c r="K1810">
        <v>0</v>
      </c>
      <c r="L1810">
        <v>14.82</v>
      </c>
    </row>
    <row r="1811" spans="1:12" x14ac:dyDescent="0.25">
      <c r="A1811" t="str">
        <f t="shared" si="387"/>
        <v>89301000</v>
      </c>
      <c r="B1811" t="str">
        <f t="shared" si="388"/>
        <v>75311000</v>
      </c>
      <c r="C1811" t="str">
        <f t="shared" si="391"/>
        <v>75311715</v>
      </c>
      <c r="D1811" t="str">
        <f t="shared" si="392"/>
        <v>801</v>
      </c>
      <c r="E1811" t="str">
        <f t="shared" si="389"/>
        <v>89301167</v>
      </c>
      <c r="F1811" t="str">
        <f t="shared" si="390"/>
        <v>5957040397</v>
      </c>
      <c r="G1811" s="1">
        <v>44601</v>
      </c>
      <c r="H1811" t="str">
        <f>"81357"</f>
        <v>81357</v>
      </c>
      <c r="I1811">
        <v>1</v>
      </c>
      <c r="J1811">
        <v>19</v>
      </c>
      <c r="K1811">
        <v>0</v>
      </c>
      <c r="L1811">
        <v>14.82</v>
      </c>
    </row>
    <row r="1812" spans="1:12" x14ac:dyDescent="0.25">
      <c r="A1812" t="str">
        <f t="shared" si="387"/>
        <v>89301000</v>
      </c>
      <c r="B1812" t="str">
        <f t="shared" si="388"/>
        <v>75311000</v>
      </c>
      <c r="C1812" t="str">
        <f t="shared" si="391"/>
        <v>75311715</v>
      </c>
      <c r="D1812" t="str">
        <f t="shared" si="392"/>
        <v>801</v>
      </c>
      <c r="E1812" t="str">
        <f t="shared" si="389"/>
        <v>89301167</v>
      </c>
      <c r="F1812" t="str">
        <f t="shared" si="390"/>
        <v>5957040397</v>
      </c>
      <c r="G1812" s="1">
        <v>44601</v>
      </c>
      <c r="H1812" t="str">
        <f>"81435"</f>
        <v>81435</v>
      </c>
      <c r="I1812">
        <v>1</v>
      </c>
      <c r="J1812">
        <v>22</v>
      </c>
      <c r="K1812">
        <v>0</v>
      </c>
      <c r="L1812">
        <v>17.16</v>
      </c>
    </row>
    <row r="1813" spans="1:12" x14ac:dyDescent="0.25">
      <c r="A1813" t="str">
        <f t="shared" si="387"/>
        <v>89301000</v>
      </c>
      <c r="B1813" t="str">
        <f t="shared" si="388"/>
        <v>75311000</v>
      </c>
      <c r="C1813" t="str">
        <f t="shared" si="391"/>
        <v>75311715</v>
      </c>
      <c r="D1813" t="str">
        <f t="shared" si="392"/>
        <v>801</v>
      </c>
      <c r="E1813" t="str">
        <f t="shared" si="389"/>
        <v>89301167</v>
      </c>
      <c r="F1813" t="str">
        <f t="shared" si="390"/>
        <v>5957040397</v>
      </c>
      <c r="G1813" s="1">
        <v>44601</v>
      </c>
      <c r="H1813" t="str">
        <f>"81421"</f>
        <v>81421</v>
      </c>
      <c r="I1813">
        <v>1</v>
      </c>
      <c r="J1813">
        <v>19</v>
      </c>
      <c r="K1813">
        <v>0</v>
      </c>
      <c r="L1813">
        <v>14.82</v>
      </c>
    </row>
    <row r="1814" spans="1:12" x14ac:dyDescent="0.25">
      <c r="A1814" t="str">
        <f t="shared" si="387"/>
        <v>89301000</v>
      </c>
      <c r="B1814" t="str">
        <f t="shared" si="388"/>
        <v>75311000</v>
      </c>
      <c r="C1814" t="str">
        <f t="shared" si="391"/>
        <v>75311715</v>
      </c>
      <c r="D1814" t="str">
        <f t="shared" si="392"/>
        <v>801</v>
      </c>
      <c r="E1814" t="str">
        <f t="shared" si="389"/>
        <v>89301167</v>
      </c>
      <c r="F1814" t="str">
        <f t="shared" si="390"/>
        <v>5957040397</v>
      </c>
      <c r="G1814" s="1">
        <v>44601</v>
      </c>
      <c r="H1814" t="str">
        <f>"81383"</f>
        <v>81383</v>
      </c>
      <c r="I1814">
        <v>1</v>
      </c>
      <c r="J1814">
        <v>23</v>
      </c>
      <c r="K1814">
        <v>0</v>
      </c>
      <c r="L1814">
        <v>17.940000000000001</v>
      </c>
    </row>
    <row r="1815" spans="1:12" x14ac:dyDescent="0.25">
      <c r="A1815" t="str">
        <f t="shared" si="387"/>
        <v>89301000</v>
      </c>
      <c r="B1815" t="str">
        <f t="shared" si="388"/>
        <v>75311000</v>
      </c>
      <c r="C1815" t="str">
        <f t="shared" si="391"/>
        <v>75311715</v>
      </c>
      <c r="D1815" t="str">
        <f t="shared" si="392"/>
        <v>801</v>
      </c>
      <c r="E1815" t="str">
        <f t="shared" si="389"/>
        <v>89301167</v>
      </c>
      <c r="F1815" t="str">
        <f t="shared" si="390"/>
        <v>5957040397</v>
      </c>
      <c r="G1815" s="1">
        <v>44601</v>
      </c>
      <c r="H1815" t="str">
        <f>"81439"</f>
        <v>81439</v>
      </c>
      <c r="I1815">
        <v>1</v>
      </c>
      <c r="J1815">
        <v>16</v>
      </c>
      <c r="K1815">
        <v>0</v>
      </c>
      <c r="L1815">
        <v>12.48</v>
      </c>
    </row>
    <row r="1816" spans="1:12" x14ac:dyDescent="0.25">
      <c r="A1816" t="str">
        <f t="shared" si="387"/>
        <v>89301000</v>
      </c>
      <c r="B1816" t="str">
        <f t="shared" si="388"/>
        <v>75311000</v>
      </c>
      <c r="C1816" t="str">
        <f t="shared" si="391"/>
        <v>75311715</v>
      </c>
      <c r="D1816" t="str">
        <f t="shared" si="392"/>
        <v>801</v>
      </c>
      <c r="E1816" t="str">
        <f t="shared" si="389"/>
        <v>89301167</v>
      </c>
      <c r="F1816" t="str">
        <f t="shared" si="390"/>
        <v>5957040397</v>
      </c>
      <c r="G1816" s="1">
        <v>44601</v>
      </c>
      <c r="H1816" t="str">
        <f>"91153"</f>
        <v>91153</v>
      </c>
      <c r="I1816">
        <v>1</v>
      </c>
      <c r="J1816">
        <v>152</v>
      </c>
      <c r="K1816">
        <v>0</v>
      </c>
      <c r="L1816">
        <v>118.56</v>
      </c>
    </row>
    <row r="1817" spans="1:12" x14ac:dyDescent="0.25">
      <c r="A1817" t="str">
        <f t="shared" si="387"/>
        <v>89301000</v>
      </c>
      <c r="B1817" t="str">
        <f t="shared" si="388"/>
        <v>75311000</v>
      </c>
      <c r="C1817" t="str">
        <f t="shared" si="391"/>
        <v>75311715</v>
      </c>
      <c r="D1817" t="str">
        <f t="shared" si="392"/>
        <v>801</v>
      </c>
      <c r="E1817" t="str">
        <f t="shared" si="389"/>
        <v>89301167</v>
      </c>
      <c r="F1817" t="str">
        <f t="shared" si="390"/>
        <v>5957040397</v>
      </c>
      <c r="G1817" s="1">
        <v>44601</v>
      </c>
      <c r="H1817" t="str">
        <f>"81329"</f>
        <v>81329</v>
      </c>
      <c r="I1817">
        <v>1</v>
      </c>
      <c r="J1817">
        <v>16</v>
      </c>
      <c r="K1817">
        <v>0</v>
      </c>
      <c r="L1817">
        <v>12.48</v>
      </c>
    </row>
    <row r="1818" spans="1:12" x14ac:dyDescent="0.25">
      <c r="A1818" t="str">
        <f t="shared" si="387"/>
        <v>89301000</v>
      </c>
      <c r="B1818" t="str">
        <f t="shared" si="388"/>
        <v>75311000</v>
      </c>
      <c r="C1818" t="str">
        <f t="shared" si="391"/>
        <v>75311715</v>
      </c>
      <c r="D1818" t="str">
        <f t="shared" si="392"/>
        <v>801</v>
      </c>
      <c r="E1818" t="str">
        <f t="shared" si="389"/>
        <v>89301167</v>
      </c>
      <c r="F1818" t="str">
        <f t="shared" si="390"/>
        <v>5957040397</v>
      </c>
      <c r="G1818" s="1">
        <v>44601</v>
      </c>
      <c r="H1818" t="str">
        <f>"97111"</f>
        <v>97111</v>
      </c>
      <c r="I1818">
        <v>2</v>
      </c>
      <c r="J1818">
        <v>36</v>
      </c>
      <c r="K1818">
        <v>0</v>
      </c>
      <c r="L1818">
        <v>28.08</v>
      </c>
    </row>
    <row r="1819" spans="1:12" x14ac:dyDescent="0.25">
      <c r="A1819" t="str">
        <f t="shared" si="387"/>
        <v>89301000</v>
      </c>
      <c r="B1819" t="str">
        <f>"05002000"</f>
        <v>05002000</v>
      </c>
      <c r="C1819" t="str">
        <f>"05002174"</f>
        <v>05002174</v>
      </c>
      <c r="D1819" t="str">
        <f>"802"</f>
        <v>802</v>
      </c>
      <c r="E1819" t="str">
        <f>"89301172"</f>
        <v>89301172</v>
      </c>
      <c r="F1819" t="str">
        <f>"8061145312"</f>
        <v>8061145312</v>
      </c>
      <c r="G1819" s="1">
        <v>44585</v>
      </c>
      <c r="H1819" t="str">
        <f>"85115"</f>
        <v>85115</v>
      </c>
      <c r="I1819">
        <v>1</v>
      </c>
      <c r="J1819">
        <v>2423</v>
      </c>
      <c r="K1819">
        <v>0</v>
      </c>
      <c r="L1819">
        <v>2204.9299999999998</v>
      </c>
    </row>
    <row r="1820" spans="1:12" x14ac:dyDescent="0.25">
      <c r="A1820" t="str">
        <f t="shared" si="387"/>
        <v>89301000</v>
      </c>
      <c r="B1820" t="str">
        <f>"95498000"</f>
        <v>95498000</v>
      </c>
      <c r="C1820" t="str">
        <f>"95498001"</f>
        <v>95498001</v>
      </c>
      <c r="D1820" t="str">
        <f t="shared" ref="D1820:D1851" si="393">"809"</f>
        <v>809</v>
      </c>
      <c r="E1820" t="str">
        <f>"89301212"</f>
        <v>89301212</v>
      </c>
      <c r="F1820" t="str">
        <f>"420619401"</f>
        <v>420619401</v>
      </c>
      <c r="G1820" s="1">
        <v>44628</v>
      </c>
      <c r="H1820" t="str">
        <f>"09137"</f>
        <v>09137</v>
      </c>
      <c r="I1820">
        <v>1</v>
      </c>
      <c r="J1820">
        <v>231</v>
      </c>
      <c r="K1820">
        <v>0</v>
      </c>
      <c r="L1820">
        <v>323.39999999999998</v>
      </c>
    </row>
    <row r="1821" spans="1:12" x14ac:dyDescent="0.25">
      <c r="A1821" t="str">
        <f t="shared" si="387"/>
        <v>89301000</v>
      </c>
      <c r="B1821" t="str">
        <f>"95498000"</f>
        <v>95498000</v>
      </c>
      <c r="C1821" t="str">
        <f>"95498001"</f>
        <v>95498001</v>
      </c>
      <c r="D1821" t="str">
        <f t="shared" si="393"/>
        <v>809</v>
      </c>
      <c r="E1821" t="str">
        <f>"89301212"</f>
        <v>89301212</v>
      </c>
      <c r="F1821" t="str">
        <f>"420619401"</f>
        <v>420619401</v>
      </c>
      <c r="G1821" s="1">
        <v>44628</v>
      </c>
      <c r="H1821" t="str">
        <f>"89513"</f>
        <v>89513</v>
      </c>
      <c r="I1821">
        <v>1</v>
      </c>
      <c r="J1821">
        <v>371</v>
      </c>
      <c r="K1821">
        <v>0</v>
      </c>
      <c r="L1821">
        <v>519.4</v>
      </c>
    </row>
    <row r="1822" spans="1:12" x14ac:dyDescent="0.25">
      <c r="A1822" t="str">
        <f t="shared" si="387"/>
        <v>89301000</v>
      </c>
      <c r="B1822" t="str">
        <f>"95498000"</f>
        <v>95498000</v>
      </c>
      <c r="C1822" t="str">
        <f>"95498001"</f>
        <v>95498001</v>
      </c>
      <c r="D1822" t="str">
        <f t="shared" si="393"/>
        <v>809</v>
      </c>
      <c r="E1822" t="str">
        <f>"89301212"</f>
        <v>89301212</v>
      </c>
      <c r="F1822" t="str">
        <f>"420619401"</f>
        <v>420619401</v>
      </c>
      <c r="G1822" s="1">
        <v>44628</v>
      </c>
      <c r="H1822" t="str">
        <f>"89514"</f>
        <v>89514</v>
      </c>
      <c r="I1822">
        <v>1</v>
      </c>
      <c r="J1822">
        <v>371</v>
      </c>
      <c r="K1822">
        <v>0</v>
      </c>
      <c r="L1822">
        <v>519.4</v>
      </c>
    </row>
    <row r="1823" spans="1:12" x14ac:dyDescent="0.25">
      <c r="A1823" t="str">
        <f t="shared" si="387"/>
        <v>89301000</v>
      </c>
      <c r="B1823" t="str">
        <f t="shared" ref="B1823:C1826" si="394">"92327000"</f>
        <v>92327000</v>
      </c>
      <c r="C1823" t="str">
        <f t="shared" si="394"/>
        <v>92327000</v>
      </c>
      <c r="D1823" t="str">
        <f t="shared" si="393"/>
        <v>809</v>
      </c>
      <c r="E1823" t="str">
        <f>"89301212"</f>
        <v>89301212</v>
      </c>
      <c r="F1823" t="str">
        <f>"5953221912"</f>
        <v>5953221912</v>
      </c>
      <c r="G1823" s="1">
        <v>44634</v>
      </c>
      <c r="H1823" t="str">
        <f>"89513"</f>
        <v>89513</v>
      </c>
      <c r="I1823">
        <v>1</v>
      </c>
      <c r="J1823">
        <v>371</v>
      </c>
      <c r="K1823">
        <v>0</v>
      </c>
      <c r="L1823">
        <v>519.4</v>
      </c>
    </row>
    <row r="1824" spans="1:12" x14ac:dyDescent="0.25">
      <c r="A1824" t="str">
        <f t="shared" si="387"/>
        <v>89301000</v>
      </c>
      <c r="B1824" t="str">
        <f t="shared" si="394"/>
        <v>92327000</v>
      </c>
      <c r="C1824" t="str">
        <f t="shared" si="394"/>
        <v>92327000</v>
      </c>
      <c r="D1824" t="str">
        <f t="shared" si="393"/>
        <v>809</v>
      </c>
      <c r="E1824" t="str">
        <f>"89301212"</f>
        <v>89301212</v>
      </c>
      <c r="F1824" t="str">
        <f>"5953221912"</f>
        <v>5953221912</v>
      </c>
      <c r="G1824" s="1">
        <v>44634</v>
      </c>
      <c r="H1824" t="str">
        <f>"89514"</f>
        <v>89514</v>
      </c>
      <c r="I1824">
        <v>1</v>
      </c>
      <c r="J1824">
        <v>371</v>
      </c>
      <c r="K1824">
        <v>0</v>
      </c>
      <c r="L1824">
        <v>519.4</v>
      </c>
    </row>
    <row r="1825" spans="1:12" x14ac:dyDescent="0.25">
      <c r="A1825" t="str">
        <f t="shared" si="387"/>
        <v>89301000</v>
      </c>
      <c r="B1825" t="str">
        <f t="shared" si="394"/>
        <v>92327000</v>
      </c>
      <c r="C1825" t="str">
        <f t="shared" si="394"/>
        <v>92327000</v>
      </c>
      <c r="D1825" t="str">
        <f t="shared" si="393"/>
        <v>809</v>
      </c>
      <c r="E1825" t="str">
        <f>"89301032"</f>
        <v>89301032</v>
      </c>
      <c r="F1825" t="str">
        <f>"8555095791"</f>
        <v>8555095791</v>
      </c>
      <c r="G1825" s="1">
        <v>44634</v>
      </c>
      <c r="H1825" t="str">
        <f>"89513"</f>
        <v>89513</v>
      </c>
      <c r="I1825">
        <v>1</v>
      </c>
      <c r="J1825">
        <v>371</v>
      </c>
      <c r="K1825">
        <v>0</v>
      </c>
      <c r="L1825">
        <v>519.4</v>
      </c>
    </row>
    <row r="1826" spans="1:12" x14ac:dyDescent="0.25">
      <c r="A1826" t="str">
        <f t="shared" si="387"/>
        <v>89301000</v>
      </c>
      <c r="B1826" t="str">
        <f t="shared" si="394"/>
        <v>92327000</v>
      </c>
      <c r="C1826" t="str">
        <f t="shared" si="394"/>
        <v>92327000</v>
      </c>
      <c r="D1826" t="str">
        <f t="shared" si="393"/>
        <v>809</v>
      </c>
      <c r="E1826" t="str">
        <f>"89301032"</f>
        <v>89301032</v>
      </c>
      <c r="F1826" t="str">
        <f>"8555095791"</f>
        <v>8555095791</v>
      </c>
      <c r="G1826" s="1">
        <v>44634</v>
      </c>
      <c r="H1826" t="str">
        <f>"89514"</f>
        <v>89514</v>
      </c>
      <c r="I1826">
        <v>1</v>
      </c>
      <c r="J1826">
        <v>371</v>
      </c>
      <c r="K1826">
        <v>0</v>
      </c>
      <c r="L1826">
        <v>519.4</v>
      </c>
    </row>
    <row r="1827" spans="1:12" x14ac:dyDescent="0.25">
      <c r="A1827" t="str">
        <f t="shared" si="387"/>
        <v>89301000</v>
      </c>
      <c r="B1827" t="str">
        <f t="shared" ref="B1827:B1858" si="395">"78915000"</f>
        <v>78915000</v>
      </c>
      <c r="C1827" t="str">
        <f t="shared" ref="C1827:C1858" si="396">"78915001"</f>
        <v>78915001</v>
      </c>
      <c r="D1827" t="str">
        <f t="shared" si="393"/>
        <v>809</v>
      </c>
      <c r="E1827" t="str">
        <f>"89301606"</f>
        <v>89301606</v>
      </c>
      <c r="F1827" t="str">
        <f>"0062191272"</f>
        <v>0062191272</v>
      </c>
      <c r="G1827" s="1">
        <v>44644</v>
      </c>
      <c r="H1827" t="str">
        <f>"89713"</f>
        <v>89713</v>
      </c>
      <c r="I1827">
        <v>1</v>
      </c>
      <c r="J1827">
        <v>5362</v>
      </c>
      <c r="K1827">
        <v>0</v>
      </c>
      <c r="L1827">
        <v>3217.2</v>
      </c>
    </row>
    <row r="1828" spans="1:12" x14ac:dyDescent="0.25">
      <c r="A1828" t="str">
        <f t="shared" si="387"/>
        <v>89301000</v>
      </c>
      <c r="B1828" t="str">
        <f t="shared" si="395"/>
        <v>78915000</v>
      </c>
      <c r="C1828" t="str">
        <f t="shared" si="396"/>
        <v>78915001</v>
      </c>
      <c r="D1828" t="str">
        <f t="shared" si="393"/>
        <v>809</v>
      </c>
      <c r="E1828" t="str">
        <f>"89301606"</f>
        <v>89301606</v>
      </c>
      <c r="F1828" t="str">
        <f>"0062191272"</f>
        <v>0062191272</v>
      </c>
      <c r="G1828" s="1">
        <v>44644</v>
      </c>
      <c r="H1828" t="str">
        <f>"89713"</f>
        <v>89713</v>
      </c>
      <c r="I1828">
        <v>1</v>
      </c>
      <c r="J1828">
        <v>5362</v>
      </c>
      <c r="K1828">
        <v>0</v>
      </c>
      <c r="L1828">
        <v>3217.2</v>
      </c>
    </row>
    <row r="1829" spans="1:12" x14ac:dyDescent="0.25">
      <c r="A1829" t="str">
        <f t="shared" si="387"/>
        <v>89301000</v>
      </c>
      <c r="B1829" t="str">
        <f t="shared" si="395"/>
        <v>78915000</v>
      </c>
      <c r="C1829" t="str">
        <f t="shared" si="396"/>
        <v>78915001</v>
      </c>
      <c r="D1829" t="str">
        <f t="shared" si="393"/>
        <v>809</v>
      </c>
      <c r="E1829" t="str">
        <f>"89301606"</f>
        <v>89301606</v>
      </c>
      <c r="F1829" t="str">
        <f>"0062191272"</f>
        <v>0062191272</v>
      </c>
      <c r="G1829" s="1">
        <v>44644</v>
      </c>
      <c r="H1829" t="str">
        <f>"89725"</f>
        <v>89725</v>
      </c>
      <c r="I1829">
        <v>1</v>
      </c>
      <c r="J1829">
        <v>2839</v>
      </c>
      <c r="K1829">
        <v>0</v>
      </c>
      <c r="L1829">
        <v>1703.4</v>
      </c>
    </row>
    <row r="1830" spans="1:12" x14ac:dyDescent="0.25">
      <c r="A1830" t="str">
        <f t="shared" si="387"/>
        <v>89301000</v>
      </c>
      <c r="B1830" t="str">
        <f t="shared" si="395"/>
        <v>78915000</v>
      </c>
      <c r="C1830" t="str">
        <f t="shared" si="396"/>
        <v>78915001</v>
      </c>
      <c r="D1830" t="str">
        <f t="shared" si="393"/>
        <v>809</v>
      </c>
      <c r="E1830" t="str">
        <f>"89301042"</f>
        <v>89301042</v>
      </c>
      <c r="F1830" t="str">
        <f>"0906233251"</f>
        <v>0906233251</v>
      </c>
      <c r="G1830" s="1">
        <v>44643</v>
      </c>
      <c r="H1830" t="str">
        <f>"09569"</f>
        <v>09569</v>
      </c>
      <c r="I1830">
        <v>1</v>
      </c>
      <c r="J1830">
        <v>0</v>
      </c>
      <c r="K1830">
        <v>0</v>
      </c>
      <c r="L1830">
        <v>0</v>
      </c>
    </row>
    <row r="1831" spans="1:12" x14ac:dyDescent="0.25">
      <c r="A1831" t="str">
        <f t="shared" si="387"/>
        <v>89301000</v>
      </c>
      <c r="B1831" t="str">
        <f t="shared" si="395"/>
        <v>78915000</v>
      </c>
      <c r="C1831" t="str">
        <f t="shared" si="396"/>
        <v>78915001</v>
      </c>
      <c r="D1831" t="str">
        <f t="shared" si="393"/>
        <v>809</v>
      </c>
      <c r="E1831" t="str">
        <f>"89301042"</f>
        <v>89301042</v>
      </c>
      <c r="F1831" t="str">
        <f>"0906233251"</f>
        <v>0906233251</v>
      </c>
      <c r="G1831" s="1">
        <v>44643</v>
      </c>
      <c r="H1831" t="str">
        <f>"89713"</f>
        <v>89713</v>
      </c>
      <c r="I1831">
        <v>1</v>
      </c>
      <c r="J1831">
        <v>5362</v>
      </c>
      <c r="K1831">
        <v>0</v>
      </c>
      <c r="L1831">
        <v>3217.2</v>
      </c>
    </row>
    <row r="1832" spans="1:12" x14ac:dyDescent="0.25">
      <c r="A1832" t="str">
        <f t="shared" si="387"/>
        <v>89301000</v>
      </c>
      <c r="B1832" t="str">
        <f t="shared" si="395"/>
        <v>78915000</v>
      </c>
      <c r="C1832" t="str">
        <f t="shared" si="396"/>
        <v>78915001</v>
      </c>
      <c r="D1832" t="str">
        <f t="shared" si="393"/>
        <v>809</v>
      </c>
      <c r="E1832" t="str">
        <f>"89301172"</f>
        <v>89301172</v>
      </c>
      <c r="F1832" t="str">
        <f>"356009772"</f>
        <v>356009772</v>
      </c>
      <c r="G1832" s="1">
        <v>44631</v>
      </c>
      <c r="H1832" t="str">
        <f>"89713"</f>
        <v>89713</v>
      </c>
      <c r="I1832">
        <v>1</v>
      </c>
      <c r="J1832">
        <v>5362</v>
      </c>
      <c r="K1832">
        <v>0</v>
      </c>
      <c r="L1832">
        <v>3217.2</v>
      </c>
    </row>
    <row r="1833" spans="1:12" x14ac:dyDescent="0.25">
      <c r="A1833" t="str">
        <f t="shared" si="387"/>
        <v>89301000</v>
      </c>
      <c r="B1833" t="str">
        <f t="shared" si="395"/>
        <v>78915000</v>
      </c>
      <c r="C1833" t="str">
        <f t="shared" si="396"/>
        <v>78915001</v>
      </c>
      <c r="D1833" t="str">
        <f t="shared" si="393"/>
        <v>809</v>
      </c>
      <c r="E1833" t="str">
        <f>"89301172"</f>
        <v>89301172</v>
      </c>
      <c r="F1833" t="str">
        <f>"356009772"</f>
        <v>356009772</v>
      </c>
      <c r="G1833" s="1">
        <v>44631</v>
      </c>
      <c r="H1833" t="str">
        <f>"89725"</f>
        <v>89725</v>
      </c>
      <c r="I1833">
        <v>1</v>
      </c>
      <c r="J1833">
        <v>2839</v>
      </c>
      <c r="K1833">
        <v>0</v>
      </c>
      <c r="L1833">
        <v>1703.4</v>
      </c>
    </row>
    <row r="1834" spans="1:12" x14ac:dyDescent="0.25">
      <c r="A1834" t="str">
        <f t="shared" si="387"/>
        <v>89301000</v>
      </c>
      <c r="B1834" t="str">
        <f t="shared" si="395"/>
        <v>78915000</v>
      </c>
      <c r="C1834" t="str">
        <f t="shared" si="396"/>
        <v>78915001</v>
      </c>
      <c r="D1834" t="str">
        <f t="shared" si="393"/>
        <v>809</v>
      </c>
      <c r="E1834" t="str">
        <f t="shared" ref="E1834:E1839" si="397">"89301215"</f>
        <v>89301215</v>
      </c>
      <c r="F1834" t="str">
        <f>"495412037"</f>
        <v>495412037</v>
      </c>
      <c r="G1834" s="1">
        <v>44639</v>
      </c>
      <c r="H1834" t="str">
        <f>"89715"</f>
        <v>89715</v>
      </c>
      <c r="I1834">
        <v>1</v>
      </c>
      <c r="J1834">
        <v>5474</v>
      </c>
      <c r="K1834">
        <v>0</v>
      </c>
      <c r="L1834">
        <v>3284.4</v>
      </c>
    </row>
    <row r="1835" spans="1:12" x14ac:dyDescent="0.25">
      <c r="A1835" t="str">
        <f t="shared" si="387"/>
        <v>89301000</v>
      </c>
      <c r="B1835" t="str">
        <f t="shared" si="395"/>
        <v>78915000</v>
      </c>
      <c r="C1835" t="str">
        <f t="shared" si="396"/>
        <v>78915001</v>
      </c>
      <c r="D1835" t="str">
        <f t="shared" si="393"/>
        <v>809</v>
      </c>
      <c r="E1835" t="str">
        <f t="shared" si="397"/>
        <v>89301215</v>
      </c>
      <c r="F1835" t="str">
        <f>"495412037"</f>
        <v>495412037</v>
      </c>
      <c r="G1835" s="1">
        <v>44639</v>
      </c>
      <c r="H1835" t="str">
        <f>"89725"</f>
        <v>89725</v>
      </c>
      <c r="I1835">
        <v>1</v>
      </c>
      <c r="J1835">
        <v>2839</v>
      </c>
      <c r="K1835">
        <v>0</v>
      </c>
      <c r="L1835">
        <v>1703.4</v>
      </c>
    </row>
    <row r="1836" spans="1:12" x14ac:dyDescent="0.25">
      <c r="A1836" t="str">
        <f t="shared" si="387"/>
        <v>89301000</v>
      </c>
      <c r="B1836" t="str">
        <f t="shared" si="395"/>
        <v>78915000</v>
      </c>
      <c r="C1836" t="str">
        <f t="shared" si="396"/>
        <v>78915001</v>
      </c>
      <c r="D1836" t="str">
        <f t="shared" si="393"/>
        <v>809</v>
      </c>
      <c r="E1836" t="str">
        <f t="shared" si="397"/>
        <v>89301215</v>
      </c>
      <c r="F1836" t="str">
        <f>"495412037"</f>
        <v>495412037</v>
      </c>
      <c r="G1836" s="1">
        <v>44639</v>
      </c>
      <c r="H1836" t="str">
        <f>"0207733"</f>
        <v>0207733</v>
      </c>
      <c r="I1836">
        <v>1</v>
      </c>
      <c r="K1836">
        <v>2590.5300000000002</v>
      </c>
      <c r="L1836">
        <v>2590.5300000000002</v>
      </c>
    </row>
    <row r="1837" spans="1:12" x14ac:dyDescent="0.25">
      <c r="A1837" t="str">
        <f t="shared" si="387"/>
        <v>89301000</v>
      </c>
      <c r="B1837" t="str">
        <f t="shared" si="395"/>
        <v>78915000</v>
      </c>
      <c r="C1837" t="str">
        <f t="shared" si="396"/>
        <v>78915001</v>
      </c>
      <c r="D1837" t="str">
        <f t="shared" si="393"/>
        <v>809</v>
      </c>
      <c r="E1837" t="str">
        <f t="shared" si="397"/>
        <v>89301215</v>
      </c>
      <c r="F1837" t="str">
        <f>"500527127"</f>
        <v>500527127</v>
      </c>
      <c r="G1837" s="1">
        <v>44624</v>
      </c>
      <c r="H1837" t="str">
        <f>"89715"</f>
        <v>89715</v>
      </c>
      <c r="I1837">
        <v>1</v>
      </c>
      <c r="J1837">
        <v>5474</v>
      </c>
      <c r="K1837">
        <v>0</v>
      </c>
      <c r="L1837">
        <v>3284.4</v>
      </c>
    </row>
    <row r="1838" spans="1:12" x14ac:dyDescent="0.25">
      <c r="A1838" t="str">
        <f t="shared" si="387"/>
        <v>89301000</v>
      </c>
      <c r="B1838" t="str">
        <f t="shared" si="395"/>
        <v>78915000</v>
      </c>
      <c r="C1838" t="str">
        <f t="shared" si="396"/>
        <v>78915001</v>
      </c>
      <c r="D1838" t="str">
        <f t="shared" si="393"/>
        <v>809</v>
      </c>
      <c r="E1838" t="str">
        <f t="shared" si="397"/>
        <v>89301215</v>
      </c>
      <c r="F1838" t="str">
        <f>"500527127"</f>
        <v>500527127</v>
      </c>
      <c r="G1838" s="1">
        <v>44624</v>
      </c>
      <c r="H1838" t="str">
        <f>"89725"</f>
        <v>89725</v>
      </c>
      <c r="I1838">
        <v>1</v>
      </c>
      <c r="J1838">
        <v>2839</v>
      </c>
      <c r="K1838">
        <v>0</v>
      </c>
      <c r="L1838">
        <v>1703.4</v>
      </c>
    </row>
    <row r="1839" spans="1:12" x14ac:dyDescent="0.25">
      <c r="A1839" t="str">
        <f t="shared" si="387"/>
        <v>89301000</v>
      </c>
      <c r="B1839" t="str">
        <f t="shared" si="395"/>
        <v>78915000</v>
      </c>
      <c r="C1839" t="str">
        <f t="shared" si="396"/>
        <v>78915001</v>
      </c>
      <c r="D1839" t="str">
        <f t="shared" si="393"/>
        <v>809</v>
      </c>
      <c r="E1839" t="str">
        <f t="shared" si="397"/>
        <v>89301215</v>
      </c>
      <c r="F1839" t="str">
        <f>"500527127"</f>
        <v>500527127</v>
      </c>
      <c r="G1839" s="1">
        <v>44624</v>
      </c>
      <c r="H1839" t="str">
        <f>"0207733"</f>
        <v>0207733</v>
      </c>
      <c r="I1839">
        <v>1.5</v>
      </c>
      <c r="K1839">
        <v>3885.8</v>
      </c>
      <c r="L1839">
        <v>3885.8</v>
      </c>
    </row>
    <row r="1840" spans="1:12" x14ac:dyDescent="0.25">
      <c r="A1840" t="str">
        <f t="shared" si="387"/>
        <v>89301000</v>
      </c>
      <c r="B1840" t="str">
        <f t="shared" si="395"/>
        <v>78915000</v>
      </c>
      <c r="C1840" t="str">
        <f t="shared" si="396"/>
        <v>78915001</v>
      </c>
      <c r="D1840" t="str">
        <f t="shared" si="393"/>
        <v>809</v>
      </c>
      <c r="E1840" t="str">
        <f t="shared" ref="E1840:E1845" si="398">"89301062"</f>
        <v>89301062</v>
      </c>
      <c r="F1840" t="str">
        <f>"5852071225"</f>
        <v>5852071225</v>
      </c>
      <c r="G1840" s="1">
        <v>44622</v>
      </c>
      <c r="H1840" t="str">
        <f>"89713"</f>
        <v>89713</v>
      </c>
      <c r="I1840">
        <v>1</v>
      </c>
      <c r="J1840">
        <v>5362</v>
      </c>
      <c r="K1840">
        <v>0</v>
      </c>
      <c r="L1840">
        <v>3217.2</v>
      </c>
    </row>
    <row r="1841" spans="1:12" x14ac:dyDescent="0.25">
      <c r="A1841" t="str">
        <f t="shared" si="387"/>
        <v>89301000</v>
      </c>
      <c r="B1841" t="str">
        <f t="shared" si="395"/>
        <v>78915000</v>
      </c>
      <c r="C1841" t="str">
        <f t="shared" si="396"/>
        <v>78915001</v>
      </c>
      <c r="D1841" t="str">
        <f t="shared" si="393"/>
        <v>809</v>
      </c>
      <c r="E1841" t="str">
        <f t="shared" si="398"/>
        <v>89301062</v>
      </c>
      <c r="F1841" t="str">
        <f>"5852071225"</f>
        <v>5852071225</v>
      </c>
      <c r="G1841" s="1">
        <v>44622</v>
      </c>
      <c r="H1841" t="str">
        <f>"89725"</f>
        <v>89725</v>
      </c>
      <c r="I1841">
        <v>1</v>
      </c>
      <c r="J1841">
        <v>2839</v>
      </c>
      <c r="K1841">
        <v>0</v>
      </c>
      <c r="L1841">
        <v>1703.4</v>
      </c>
    </row>
    <row r="1842" spans="1:12" x14ac:dyDescent="0.25">
      <c r="A1842" t="str">
        <f t="shared" si="387"/>
        <v>89301000</v>
      </c>
      <c r="B1842" t="str">
        <f t="shared" si="395"/>
        <v>78915000</v>
      </c>
      <c r="C1842" t="str">
        <f t="shared" si="396"/>
        <v>78915001</v>
      </c>
      <c r="D1842" t="str">
        <f t="shared" si="393"/>
        <v>809</v>
      </c>
      <c r="E1842" t="str">
        <f t="shared" si="398"/>
        <v>89301062</v>
      </c>
      <c r="F1842" t="str">
        <f>"6061140778"</f>
        <v>6061140778</v>
      </c>
      <c r="G1842" s="1">
        <v>44645</v>
      </c>
      <c r="H1842" t="str">
        <f>"89713"</f>
        <v>89713</v>
      </c>
      <c r="I1842">
        <v>1</v>
      </c>
      <c r="J1842">
        <v>5362</v>
      </c>
      <c r="K1842">
        <v>0</v>
      </c>
      <c r="L1842">
        <v>3217.2</v>
      </c>
    </row>
    <row r="1843" spans="1:12" x14ac:dyDescent="0.25">
      <c r="A1843" t="str">
        <f t="shared" si="387"/>
        <v>89301000</v>
      </c>
      <c r="B1843" t="str">
        <f t="shared" si="395"/>
        <v>78915000</v>
      </c>
      <c r="C1843" t="str">
        <f t="shared" si="396"/>
        <v>78915001</v>
      </c>
      <c r="D1843" t="str">
        <f t="shared" si="393"/>
        <v>809</v>
      </c>
      <c r="E1843" t="str">
        <f t="shared" si="398"/>
        <v>89301062</v>
      </c>
      <c r="F1843" t="str">
        <f>"6061140778"</f>
        <v>6061140778</v>
      </c>
      <c r="G1843" s="1">
        <v>44645</v>
      </c>
      <c r="H1843" t="str">
        <f>"89725"</f>
        <v>89725</v>
      </c>
      <c r="I1843">
        <v>1</v>
      </c>
      <c r="J1843">
        <v>2839</v>
      </c>
      <c r="K1843">
        <v>0</v>
      </c>
      <c r="L1843">
        <v>1703.4</v>
      </c>
    </row>
    <row r="1844" spans="1:12" x14ac:dyDescent="0.25">
      <c r="A1844" t="str">
        <f t="shared" si="387"/>
        <v>89301000</v>
      </c>
      <c r="B1844" t="str">
        <f t="shared" si="395"/>
        <v>78915000</v>
      </c>
      <c r="C1844" t="str">
        <f t="shared" si="396"/>
        <v>78915001</v>
      </c>
      <c r="D1844" t="str">
        <f t="shared" si="393"/>
        <v>809</v>
      </c>
      <c r="E1844" t="str">
        <f t="shared" si="398"/>
        <v>89301062</v>
      </c>
      <c r="F1844" t="str">
        <f>"6509121542"</f>
        <v>6509121542</v>
      </c>
      <c r="G1844" s="1">
        <v>44636</v>
      </c>
      <c r="H1844" t="str">
        <f>"89713"</f>
        <v>89713</v>
      </c>
      <c r="I1844">
        <v>1</v>
      </c>
      <c r="J1844">
        <v>5362</v>
      </c>
      <c r="K1844">
        <v>0</v>
      </c>
      <c r="L1844">
        <v>3217.2</v>
      </c>
    </row>
    <row r="1845" spans="1:12" x14ac:dyDescent="0.25">
      <c r="A1845" t="str">
        <f t="shared" si="387"/>
        <v>89301000</v>
      </c>
      <c r="B1845" t="str">
        <f t="shared" si="395"/>
        <v>78915000</v>
      </c>
      <c r="C1845" t="str">
        <f t="shared" si="396"/>
        <v>78915001</v>
      </c>
      <c r="D1845" t="str">
        <f t="shared" si="393"/>
        <v>809</v>
      </c>
      <c r="E1845" t="str">
        <f t="shared" si="398"/>
        <v>89301062</v>
      </c>
      <c r="F1845" t="str">
        <f>"6509121542"</f>
        <v>6509121542</v>
      </c>
      <c r="G1845" s="1">
        <v>44636</v>
      </c>
      <c r="H1845" t="str">
        <f>"89725"</f>
        <v>89725</v>
      </c>
      <c r="I1845">
        <v>1</v>
      </c>
      <c r="J1845">
        <v>2839</v>
      </c>
      <c r="K1845">
        <v>0</v>
      </c>
      <c r="L1845">
        <v>1703.4</v>
      </c>
    </row>
    <row r="1846" spans="1:12" x14ac:dyDescent="0.25">
      <c r="A1846" t="str">
        <f t="shared" si="387"/>
        <v>89301000</v>
      </c>
      <c r="B1846" t="str">
        <f t="shared" si="395"/>
        <v>78915000</v>
      </c>
      <c r="C1846" t="str">
        <f t="shared" si="396"/>
        <v>78915001</v>
      </c>
      <c r="D1846" t="str">
        <f t="shared" si="393"/>
        <v>809</v>
      </c>
      <c r="E1846" t="str">
        <f>"89301112"</f>
        <v>89301112</v>
      </c>
      <c r="F1846" t="str">
        <f>"6609141000"</f>
        <v>6609141000</v>
      </c>
      <c r="G1846" s="1">
        <v>44629</v>
      </c>
      <c r="H1846" t="str">
        <f>"09569"</f>
        <v>09569</v>
      </c>
      <c r="I1846">
        <v>1</v>
      </c>
      <c r="J1846">
        <v>0</v>
      </c>
      <c r="K1846">
        <v>0</v>
      </c>
      <c r="L1846">
        <v>0</v>
      </c>
    </row>
    <row r="1847" spans="1:12" x14ac:dyDescent="0.25">
      <c r="A1847" t="str">
        <f t="shared" si="387"/>
        <v>89301000</v>
      </c>
      <c r="B1847" t="str">
        <f t="shared" si="395"/>
        <v>78915000</v>
      </c>
      <c r="C1847" t="str">
        <f t="shared" si="396"/>
        <v>78915001</v>
      </c>
      <c r="D1847" t="str">
        <f t="shared" si="393"/>
        <v>809</v>
      </c>
      <c r="E1847" t="str">
        <f>"89301112"</f>
        <v>89301112</v>
      </c>
      <c r="F1847" t="str">
        <f>"6609141000"</f>
        <v>6609141000</v>
      </c>
      <c r="G1847" s="1">
        <v>44629</v>
      </c>
      <c r="H1847" t="str">
        <f>"89713"</f>
        <v>89713</v>
      </c>
      <c r="I1847">
        <v>1</v>
      </c>
      <c r="J1847">
        <v>5362</v>
      </c>
      <c r="K1847">
        <v>0</v>
      </c>
      <c r="L1847">
        <v>3217.2</v>
      </c>
    </row>
    <row r="1848" spans="1:12" x14ac:dyDescent="0.25">
      <c r="A1848" t="str">
        <f t="shared" si="387"/>
        <v>89301000</v>
      </c>
      <c r="B1848" t="str">
        <f t="shared" si="395"/>
        <v>78915000</v>
      </c>
      <c r="C1848" t="str">
        <f t="shared" si="396"/>
        <v>78915001</v>
      </c>
      <c r="D1848" t="str">
        <f t="shared" si="393"/>
        <v>809</v>
      </c>
      <c r="E1848" t="str">
        <f>"89301212"</f>
        <v>89301212</v>
      </c>
      <c r="F1848" t="str">
        <f>"6862291953"</f>
        <v>6862291953</v>
      </c>
      <c r="G1848" s="1">
        <v>44643</v>
      </c>
      <c r="H1848" t="str">
        <f>"89715"</f>
        <v>89715</v>
      </c>
      <c r="I1848">
        <v>1</v>
      </c>
      <c r="J1848">
        <v>5474</v>
      </c>
      <c r="K1848">
        <v>0</v>
      </c>
      <c r="L1848">
        <v>3284.4</v>
      </c>
    </row>
    <row r="1849" spans="1:12" x14ac:dyDescent="0.25">
      <c r="A1849" t="str">
        <f t="shared" si="387"/>
        <v>89301000</v>
      </c>
      <c r="B1849" t="str">
        <f t="shared" si="395"/>
        <v>78915000</v>
      </c>
      <c r="C1849" t="str">
        <f t="shared" si="396"/>
        <v>78915001</v>
      </c>
      <c r="D1849" t="str">
        <f t="shared" si="393"/>
        <v>809</v>
      </c>
      <c r="E1849" t="str">
        <f>"89301212"</f>
        <v>89301212</v>
      </c>
      <c r="F1849" t="str">
        <f>"6862291953"</f>
        <v>6862291953</v>
      </c>
      <c r="G1849" s="1">
        <v>44643</v>
      </c>
      <c r="H1849" t="str">
        <f>"89725"</f>
        <v>89725</v>
      </c>
      <c r="I1849">
        <v>1</v>
      </c>
      <c r="J1849">
        <v>2839</v>
      </c>
      <c r="K1849">
        <v>0</v>
      </c>
      <c r="L1849">
        <v>1703.4</v>
      </c>
    </row>
    <row r="1850" spans="1:12" x14ac:dyDescent="0.25">
      <c r="A1850" t="str">
        <f t="shared" si="387"/>
        <v>89301000</v>
      </c>
      <c r="B1850" t="str">
        <f t="shared" si="395"/>
        <v>78915000</v>
      </c>
      <c r="C1850" t="str">
        <f t="shared" si="396"/>
        <v>78915001</v>
      </c>
      <c r="D1850" t="str">
        <f t="shared" si="393"/>
        <v>809</v>
      </c>
      <c r="E1850" t="str">
        <f>"89301212"</f>
        <v>89301212</v>
      </c>
      <c r="F1850" t="str">
        <f>"6862291953"</f>
        <v>6862291953</v>
      </c>
      <c r="G1850" s="1">
        <v>44643</v>
      </c>
      <c r="H1850" t="str">
        <f>"0207733"</f>
        <v>0207733</v>
      </c>
      <c r="I1850">
        <v>1</v>
      </c>
      <c r="K1850">
        <v>2590.5300000000002</v>
      </c>
      <c r="L1850">
        <v>2590.5300000000002</v>
      </c>
    </row>
    <row r="1851" spans="1:12" x14ac:dyDescent="0.25">
      <c r="A1851" t="str">
        <f t="shared" si="387"/>
        <v>89301000</v>
      </c>
      <c r="B1851" t="str">
        <f t="shared" si="395"/>
        <v>78915000</v>
      </c>
      <c r="C1851" t="str">
        <f t="shared" si="396"/>
        <v>78915001</v>
      </c>
      <c r="D1851" t="str">
        <f t="shared" si="393"/>
        <v>809</v>
      </c>
      <c r="E1851" t="str">
        <f>"89301062"</f>
        <v>89301062</v>
      </c>
      <c r="F1851" t="str">
        <f>"7104225304"</f>
        <v>7104225304</v>
      </c>
      <c r="G1851" s="1">
        <v>44644</v>
      </c>
      <c r="H1851" t="str">
        <f>"89713"</f>
        <v>89713</v>
      </c>
      <c r="I1851">
        <v>1</v>
      </c>
      <c r="J1851">
        <v>5362</v>
      </c>
      <c r="K1851">
        <v>0</v>
      </c>
      <c r="L1851">
        <v>3217.2</v>
      </c>
    </row>
    <row r="1852" spans="1:12" x14ac:dyDescent="0.25">
      <c r="A1852" t="str">
        <f t="shared" si="387"/>
        <v>89301000</v>
      </c>
      <c r="B1852" t="str">
        <f t="shared" si="395"/>
        <v>78915000</v>
      </c>
      <c r="C1852" t="str">
        <f t="shared" si="396"/>
        <v>78915001</v>
      </c>
      <c r="D1852" t="str">
        <f t="shared" ref="D1852:D1883" si="399">"809"</f>
        <v>809</v>
      </c>
      <c r="E1852" t="str">
        <f>"89301062"</f>
        <v>89301062</v>
      </c>
      <c r="F1852" t="str">
        <f>"7104225304"</f>
        <v>7104225304</v>
      </c>
      <c r="G1852" s="1">
        <v>44644</v>
      </c>
      <c r="H1852" t="str">
        <f>"89725"</f>
        <v>89725</v>
      </c>
      <c r="I1852">
        <v>1</v>
      </c>
      <c r="J1852">
        <v>2839</v>
      </c>
      <c r="K1852">
        <v>0</v>
      </c>
      <c r="L1852">
        <v>1703.4</v>
      </c>
    </row>
    <row r="1853" spans="1:12" x14ac:dyDescent="0.25">
      <c r="A1853" t="str">
        <f t="shared" si="387"/>
        <v>89301000</v>
      </c>
      <c r="B1853" t="str">
        <f t="shared" si="395"/>
        <v>78915000</v>
      </c>
      <c r="C1853" t="str">
        <f t="shared" si="396"/>
        <v>78915001</v>
      </c>
      <c r="D1853" t="str">
        <f t="shared" si="399"/>
        <v>809</v>
      </c>
      <c r="E1853" t="str">
        <f>"89301292"</f>
        <v>89301292</v>
      </c>
      <c r="F1853" t="str">
        <f>"7157235316"</f>
        <v>7157235316</v>
      </c>
      <c r="G1853" s="1">
        <v>44650</v>
      </c>
      <c r="H1853" t="str">
        <f>"89715"</f>
        <v>89715</v>
      </c>
      <c r="I1853">
        <v>1</v>
      </c>
      <c r="J1853">
        <v>5474</v>
      </c>
      <c r="K1853">
        <v>0</v>
      </c>
      <c r="L1853">
        <v>3284.4</v>
      </c>
    </row>
    <row r="1854" spans="1:12" x14ac:dyDescent="0.25">
      <c r="A1854" t="str">
        <f t="shared" si="387"/>
        <v>89301000</v>
      </c>
      <c r="B1854" t="str">
        <f t="shared" si="395"/>
        <v>78915000</v>
      </c>
      <c r="C1854" t="str">
        <f t="shared" si="396"/>
        <v>78915001</v>
      </c>
      <c r="D1854" t="str">
        <f t="shared" si="399"/>
        <v>809</v>
      </c>
      <c r="E1854" t="str">
        <f>"89301292"</f>
        <v>89301292</v>
      </c>
      <c r="F1854" t="str">
        <f>"7157235316"</f>
        <v>7157235316</v>
      </c>
      <c r="G1854" s="1">
        <v>44650</v>
      </c>
      <c r="H1854" t="str">
        <f>"89725"</f>
        <v>89725</v>
      </c>
      <c r="I1854">
        <v>1</v>
      </c>
      <c r="J1854">
        <v>2839</v>
      </c>
      <c r="K1854">
        <v>0</v>
      </c>
      <c r="L1854">
        <v>1703.4</v>
      </c>
    </row>
    <row r="1855" spans="1:12" x14ac:dyDescent="0.25">
      <c r="A1855" t="str">
        <f t="shared" si="387"/>
        <v>89301000</v>
      </c>
      <c r="B1855" t="str">
        <f t="shared" si="395"/>
        <v>78915000</v>
      </c>
      <c r="C1855" t="str">
        <f t="shared" si="396"/>
        <v>78915001</v>
      </c>
      <c r="D1855" t="str">
        <f t="shared" si="399"/>
        <v>809</v>
      </c>
      <c r="E1855" t="str">
        <f>"89301292"</f>
        <v>89301292</v>
      </c>
      <c r="F1855" t="str">
        <f>"7157235316"</f>
        <v>7157235316</v>
      </c>
      <c r="G1855" s="1">
        <v>44650</v>
      </c>
      <c r="H1855" t="str">
        <f>"0207733"</f>
        <v>0207733</v>
      </c>
      <c r="I1855">
        <v>1</v>
      </c>
      <c r="K1855">
        <v>2590.5300000000002</v>
      </c>
      <c r="L1855">
        <v>2590.5300000000002</v>
      </c>
    </row>
    <row r="1856" spans="1:12" x14ac:dyDescent="0.25">
      <c r="A1856" t="str">
        <f t="shared" si="387"/>
        <v>89301000</v>
      </c>
      <c r="B1856" t="str">
        <f t="shared" si="395"/>
        <v>78915000</v>
      </c>
      <c r="C1856" t="str">
        <f t="shared" si="396"/>
        <v>78915001</v>
      </c>
      <c r="D1856" t="str">
        <f t="shared" si="399"/>
        <v>809</v>
      </c>
      <c r="E1856" t="str">
        <f>"89301292"</f>
        <v>89301292</v>
      </c>
      <c r="F1856" t="str">
        <f>"7408065324"</f>
        <v>7408065324</v>
      </c>
      <c r="G1856" s="1">
        <v>44641</v>
      </c>
      <c r="H1856" t="str">
        <f>"09567"</f>
        <v>09567</v>
      </c>
      <c r="I1856">
        <v>1</v>
      </c>
      <c r="J1856">
        <v>0</v>
      </c>
      <c r="K1856">
        <v>0</v>
      </c>
      <c r="L1856">
        <v>0</v>
      </c>
    </row>
    <row r="1857" spans="1:12" x14ac:dyDescent="0.25">
      <c r="A1857" t="str">
        <f t="shared" si="387"/>
        <v>89301000</v>
      </c>
      <c r="B1857" t="str">
        <f t="shared" si="395"/>
        <v>78915000</v>
      </c>
      <c r="C1857" t="str">
        <f t="shared" si="396"/>
        <v>78915001</v>
      </c>
      <c r="D1857" t="str">
        <f t="shared" si="399"/>
        <v>809</v>
      </c>
      <c r="E1857" t="str">
        <f>"89301292"</f>
        <v>89301292</v>
      </c>
      <c r="F1857" t="str">
        <f>"7408065324"</f>
        <v>7408065324</v>
      </c>
      <c r="G1857" s="1">
        <v>44641</v>
      </c>
      <c r="H1857" t="str">
        <f>"89713"</f>
        <v>89713</v>
      </c>
      <c r="I1857">
        <v>1</v>
      </c>
      <c r="J1857">
        <v>5362</v>
      </c>
      <c r="K1857">
        <v>0</v>
      </c>
      <c r="L1857">
        <v>3217.2</v>
      </c>
    </row>
    <row r="1858" spans="1:12" x14ac:dyDescent="0.25">
      <c r="A1858" t="str">
        <f t="shared" ref="A1858:A1921" si="400">"89301000"</f>
        <v>89301000</v>
      </c>
      <c r="B1858" t="str">
        <f t="shared" si="395"/>
        <v>78915000</v>
      </c>
      <c r="C1858" t="str">
        <f t="shared" si="396"/>
        <v>78915001</v>
      </c>
      <c r="D1858" t="str">
        <f t="shared" si="399"/>
        <v>809</v>
      </c>
      <c r="E1858" t="str">
        <f>"89301262"</f>
        <v>89301262</v>
      </c>
      <c r="F1858" t="str">
        <f>"7409254149"</f>
        <v>7409254149</v>
      </c>
      <c r="G1858" s="1">
        <v>44641</v>
      </c>
      <c r="H1858" t="str">
        <f>"89713"</f>
        <v>89713</v>
      </c>
      <c r="I1858">
        <v>1</v>
      </c>
      <c r="J1858">
        <v>5362</v>
      </c>
      <c r="K1858">
        <v>0</v>
      </c>
      <c r="L1858">
        <v>3217.2</v>
      </c>
    </row>
    <row r="1859" spans="1:12" x14ac:dyDescent="0.25">
      <c r="A1859" t="str">
        <f t="shared" si="400"/>
        <v>89301000</v>
      </c>
      <c r="B1859" t="str">
        <f t="shared" ref="B1859:B1890" si="401">"78915000"</f>
        <v>78915000</v>
      </c>
      <c r="C1859" t="str">
        <f t="shared" ref="C1859:C1890" si="402">"78915001"</f>
        <v>78915001</v>
      </c>
      <c r="D1859" t="str">
        <f t="shared" si="399"/>
        <v>809</v>
      </c>
      <c r="E1859" t="str">
        <f>"89301262"</f>
        <v>89301262</v>
      </c>
      <c r="F1859" t="str">
        <f>"7409254149"</f>
        <v>7409254149</v>
      </c>
      <c r="G1859" s="1">
        <v>44641</v>
      </c>
      <c r="H1859" t="str">
        <f>"89725"</f>
        <v>89725</v>
      </c>
      <c r="I1859">
        <v>1</v>
      </c>
      <c r="J1859">
        <v>2839</v>
      </c>
      <c r="K1859">
        <v>0</v>
      </c>
      <c r="L1859">
        <v>1703.4</v>
      </c>
    </row>
    <row r="1860" spans="1:12" x14ac:dyDescent="0.25">
      <c r="A1860" t="str">
        <f t="shared" si="400"/>
        <v>89301000</v>
      </c>
      <c r="B1860" t="str">
        <f t="shared" si="401"/>
        <v>78915000</v>
      </c>
      <c r="C1860" t="str">
        <f t="shared" si="402"/>
        <v>78915001</v>
      </c>
      <c r="D1860" t="str">
        <f t="shared" si="399"/>
        <v>809</v>
      </c>
      <c r="E1860" t="str">
        <f>"89301212"</f>
        <v>89301212</v>
      </c>
      <c r="F1860" t="str">
        <f>"7456205339"</f>
        <v>7456205339</v>
      </c>
      <c r="G1860" s="1">
        <v>44639</v>
      </c>
      <c r="H1860" t="str">
        <f>"89715"</f>
        <v>89715</v>
      </c>
      <c r="I1860">
        <v>1</v>
      </c>
      <c r="J1860">
        <v>5474</v>
      </c>
      <c r="K1860">
        <v>0</v>
      </c>
      <c r="L1860">
        <v>3284.4</v>
      </c>
    </row>
    <row r="1861" spans="1:12" x14ac:dyDescent="0.25">
      <c r="A1861" t="str">
        <f t="shared" si="400"/>
        <v>89301000</v>
      </c>
      <c r="B1861" t="str">
        <f t="shared" si="401"/>
        <v>78915000</v>
      </c>
      <c r="C1861" t="str">
        <f t="shared" si="402"/>
        <v>78915001</v>
      </c>
      <c r="D1861" t="str">
        <f t="shared" si="399"/>
        <v>809</v>
      </c>
      <c r="E1861" t="str">
        <f>"89301212"</f>
        <v>89301212</v>
      </c>
      <c r="F1861" t="str">
        <f>"7456205339"</f>
        <v>7456205339</v>
      </c>
      <c r="G1861" s="1">
        <v>44639</v>
      </c>
      <c r="H1861" t="str">
        <f>"89725"</f>
        <v>89725</v>
      </c>
      <c r="I1861">
        <v>1</v>
      </c>
      <c r="J1861">
        <v>2839</v>
      </c>
      <c r="K1861">
        <v>0</v>
      </c>
      <c r="L1861">
        <v>1703.4</v>
      </c>
    </row>
    <row r="1862" spans="1:12" x14ac:dyDescent="0.25">
      <c r="A1862" t="str">
        <f t="shared" si="400"/>
        <v>89301000</v>
      </c>
      <c r="B1862" t="str">
        <f t="shared" si="401"/>
        <v>78915000</v>
      </c>
      <c r="C1862" t="str">
        <f t="shared" si="402"/>
        <v>78915001</v>
      </c>
      <c r="D1862" t="str">
        <f t="shared" si="399"/>
        <v>809</v>
      </c>
      <c r="E1862" t="str">
        <f>"89301212"</f>
        <v>89301212</v>
      </c>
      <c r="F1862" t="str">
        <f>"7456205339"</f>
        <v>7456205339</v>
      </c>
      <c r="G1862" s="1">
        <v>44639</v>
      </c>
      <c r="H1862" t="str">
        <f>"0207733"</f>
        <v>0207733</v>
      </c>
      <c r="I1862">
        <v>1</v>
      </c>
      <c r="K1862">
        <v>2590.5300000000002</v>
      </c>
      <c r="L1862">
        <v>2590.5300000000002</v>
      </c>
    </row>
    <row r="1863" spans="1:12" x14ac:dyDescent="0.25">
      <c r="A1863" t="str">
        <f t="shared" si="400"/>
        <v>89301000</v>
      </c>
      <c r="B1863" t="str">
        <f t="shared" si="401"/>
        <v>78915000</v>
      </c>
      <c r="C1863" t="str">
        <f t="shared" si="402"/>
        <v>78915001</v>
      </c>
      <c r="D1863" t="str">
        <f t="shared" si="399"/>
        <v>809</v>
      </c>
      <c r="E1863" t="str">
        <f>"89301606"</f>
        <v>89301606</v>
      </c>
      <c r="F1863" t="str">
        <f>"7557255376"</f>
        <v>7557255376</v>
      </c>
      <c r="G1863" s="1">
        <v>44636</v>
      </c>
      <c r="H1863" t="str">
        <f>"89713"</f>
        <v>89713</v>
      </c>
      <c r="I1863">
        <v>2</v>
      </c>
      <c r="J1863">
        <v>10724</v>
      </c>
      <c r="K1863">
        <v>0</v>
      </c>
      <c r="L1863">
        <v>6434.4</v>
      </c>
    </row>
    <row r="1864" spans="1:12" x14ac:dyDescent="0.25">
      <c r="A1864" t="str">
        <f t="shared" si="400"/>
        <v>89301000</v>
      </c>
      <c r="B1864" t="str">
        <f t="shared" si="401"/>
        <v>78915000</v>
      </c>
      <c r="C1864" t="str">
        <f t="shared" si="402"/>
        <v>78915001</v>
      </c>
      <c r="D1864" t="str">
        <f t="shared" si="399"/>
        <v>809</v>
      </c>
      <c r="E1864" t="str">
        <f>"89301606"</f>
        <v>89301606</v>
      </c>
      <c r="F1864" t="str">
        <f>"7557255376"</f>
        <v>7557255376</v>
      </c>
      <c r="G1864" s="1">
        <v>44636</v>
      </c>
      <c r="H1864" t="str">
        <f>"89725"</f>
        <v>89725</v>
      </c>
      <c r="I1864">
        <v>1</v>
      </c>
      <c r="J1864">
        <v>2839</v>
      </c>
      <c r="K1864">
        <v>0</v>
      </c>
      <c r="L1864">
        <v>1703.4</v>
      </c>
    </row>
    <row r="1865" spans="1:12" x14ac:dyDescent="0.25">
      <c r="A1865" t="str">
        <f t="shared" si="400"/>
        <v>89301000</v>
      </c>
      <c r="B1865" t="str">
        <f t="shared" si="401"/>
        <v>78915000</v>
      </c>
      <c r="C1865" t="str">
        <f t="shared" si="402"/>
        <v>78915001</v>
      </c>
      <c r="D1865" t="str">
        <f t="shared" si="399"/>
        <v>809</v>
      </c>
      <c r="E1865" t="str">
        <f>"89301212"</f>
        <v>89301212</v>
      </c>
      <c r="F1865" t="str">
        <f>"7559204466"</f>
        <v>7559204466</v>
      </c>
      <c r="G1865" s="1">
        <v>44643</v>
      </c>
      <c r="H1865" t="str">
        <f>"89715"</f>
        <v>89715</v>
      </c>
      <c r="I1865">
        <v>1</v>
      </c>
      <c r="J1865">
        <v>5474</v>
      </c>
      <c r="K1865">
        <v>0</v>
      </c>
      <c r="L1865">
        <v>3284.4</v>
      </c>
    </row>
    <row r="1866" spans="1:12" x14ac:dyDescent="0.25">
      <c r="A1866" t="str">
        <f t="shared" si="400"/>
        <v>89301000</v>
      </c>
      <c r="B1866" t="str">
        <f t="shared" si="401"/>
        <v>78915000</v>
      </c>
      <c r="C1866" t="str">
        <f t="shared" si="402"/>
        <v>78915001</v>
      </c>
      <c r="D1866" t="str">
        <f t="shared" si="399"/>
        <v>809</v>
      </c>
      <c r="E1866" t="str">
        <f>"89301212"</f>
        <v>89301212</v>
      </c>
      <c r="F1866" t="str">
        <f>"7559204466"</f>
        <v>7559204466</v>
      </c>
      <c r="G1866" s="1">
        <v>44643</v>
      </c>
      <c r="H1866" t="str">
        <f>"89725"</f>
        <v>89725</v>
      </c>
      <c r="I1866">
        <v>1</v>
      </c>
      <c r="J1866">
        <v>2839</v>
      </c>
      <c r="K1866">
        <v>0</v>
      </c>
      <c r="L1866">
        <v>1703.4</v>
      </c>
    </row>
    <row r="1867" spans="1:12" x14ac:dyDescent="0.25">
      <c r="A1867" t="str">
        <f t="shared" si="400"/>
        <v>89301000</v>
      </c>
      <c r="B1867" t="str">
        <f t="shared" si="401"/>
        <v>78915000</v>
      </c>
      <c r="C1867" t="str">
        <f t="shared" si="402"/>
        <v>78915001</v>
      </c>
      <c r="D1867" t="str">
        <f t="shared" si="399"/>
        <v>809</v>
      </c>
      <c r="E1867" t="str">
        <f>"89301212"</f>
        <v>89301212</v>
      </c>
      <c r="F1867" t="str">
        <f>"7559204466"</f>
        <v>7559204466</v>
      </c>
      <c r="G1867" s="1">
        <v>44643</v>
      </c>
      <c r="H1867" t="str">
        <f>"0207733"</f>
        <v>0207733</v>
      </c>
      <c r="I1867">
        <v>1</v>
      </c>
      <c r="K1867">
        <v>2590.5300000000002</v>
      </c>
      <c r="L1867">
        <v>2590.5300000000002</v>
      </c>
    </row>
    <row r="1868" spans="1:12" x14ac:dyDescent="0.25">
      <c r="A1868" t="str">
        <f t="shared" si="400"/>
        <v>89301000</v>
      </c>
      <c r="B1868" t="str">
        <f t="shared" si="401"/>
        <v>78915000</v>
      </c>
      <c r="C1868" t="str">
        <f t="shared" si="402"/>
        <v>78915001</v>
      </c>
      <c r="D1868" t="str">
        <f t="shared" si="399"/>
        <v>809</v>
      </c>
      <c r="E1868" t="str">
        <f>"89301606"</f>
        <v>89301606</v>
      </c>
      <c r="F1868" t="str">
        <f>"7612065307"</f>
        <v>7612065307</v>
      </c>
      <c r="G1868" s="1">
        <v>44629</v>
      </c>
      <c r="H1868" t="str">
        <f>"89713"</f>
        <v>89713</v>
      </c>
      <c r="I1868">
        <v>1</v>
      </c>
      <c r="J1868">
        <v>5362</v>
      </c>
      <c r="K1868">
        <v>0</v>
      </c>
      <c r="L1868">
        <v>3217.2</v>
      </c>
    </row>
    <row r="1869" spans="1:12" x14ac:dyDescent="0.25">
      <c r="A1869" t="str">
        <f t="shared" si="400"/>
        <v>89301000</v>
      </c>
      <c r="B1869" t="str">
        <f t="shared" si="401"/>
        <v>78915000</v>
      </c>
      <c r="C1869" t="str">
        <f t="shared" si="402"/>
        <v>78915001</v>
      </c>
      <c r="D1869" t="str">
        <f t="shared" si="399"/>
        <v>809</v>
      </c>
      <c r="E1869" t="str">
        <f>"89301606"</f>
        <v>89301606</v>
      </c>
      <c r="F1869" t="str">
        <f>"7612065307"</f>
        <v>7612065307</v>
      </c>
      <c r="G1869" s="1">
        <v>44629</v>
      </c>
      <c r="H1869" t="str">
        <f>"89725"</f>
        <v>89725</v>
      </c>
      <c r="I1869">
        <v>1</v>
      </c>
      <c r="J1869">
        <v>2839</v>
      </c>
      <c r="K1869">
        <v>0</v>
      </c>
      <c r="L1869">
        <v>1703.4</v>
      </c>
    </row>
    <row r="1870" spans="1:12" x14ac:dyDescent="0.25">
      <c r="A1870" t="str">
        <f t="shared" si="400"/>
        <v>89301000</v>
      </c>
      <c r="B1870" t="str">
        <f t="shared" si="401"/>
        <v>78915000</v>
      </c>
      <c r="C1870" t="str">
        <f t="shared" si="402"/>
        <v>78915001</v>
      </c>
      <c r="D1870" t="str">
        <f t="shared" si="399"/>
        <v>809</v>
      </c>
      <c r="E1870" t="str">
        <f>"89301062"</f>
        <v>89301062</v>
      </c>
      <c r="F1870" t="str">
        <f>"7656295328"</f>
        <v>7656295328</v>
      </c>
      <c r="G1870" s="1">
        <v>44625</v>
      </c>
      <c r="H1870" t="str">
        <f>"89713"</f>
        <v>89713</v>
      </c>
      <c r="I1870">
        <v>1</v>
      </c>
      <c r="J1870">
        <v>5362</v>
      </c>
      <c r="K1870">
        <v>0</v>
      </c>
      <c r="L1870">
        <v>3217.2</v>
      </c>
    </row>
    <row r="1871" spans="1:12" x14ac:dyDescent="0.25">
      <c r="A1871" t="str">
        <f t="shared" si="400"/>
        <v>89301000</v>
      </c>
      <c r="B1871" t="str">
        <f t="shared" si="401"/>
        <v>78915000</v>
      </c>
      <c r="C1871" t="str">
        <f t="shared" si="402"/>
        <v>78915001</v>
      </c>
      <c r="D1871" t="str">
        <f t="shared" si="399"/>
        <v>809</v>
      </c>
      <c r="E1871" t="str">
        <f>"89301062"</f>
        <v>89301062</v>
      </c>
      <c r="F1871" t="str">
        <f>"7656295328"</f>
        <v>7656295328</v>
      </c>
      <c r="G1871" s="1">
        <v>44625</v>
      </c>
      <c r="H1871" t="str">
        <f>"89725"</f>
        <v>89725</v>
      </c>
      <c r="I1871">
        <v>1</v>
      </c>
      <c r="J1871">
        <v>2839</v>
      </c>
      <c r="K1871">
        <v>0</v>
      </c>
      <c r="L1871">
        <v>1703.4</v>
      </c>
    </row>
    <row r="1872" spans="1:12" x14ac:dyDescent="0.25">
      <c r="A1872" t="str">
        <f t="shared" si="400"/>
        <v>89301000</v>
      </c>
      <c r="B1872" t="str">
        <f t="shared" si="401"/>
        <v>78915000</v>
      </c>
      <c r="C1872" t="str">
        <f t="shared" si="402"/>
        <v>78915001</v>
      </c>
      <c r="D1872" t="str">
        <f t="shared" si="399"/>
        <v>809</v>
      </c>
      <c r="E1872" t="str">
        <f>"89301226"</f>
        <v>89301226</v>
      </c>
      <c r="F1872" t="str">
        <f>"7705175324"</f>
        <v>7705175324</v>
      </c>
      <c r="G1872" s="1">
        <v>44630</v>
      </c>
      <c r="H1872" t="str">
        <f>"09569"</f>
        <v>09569</v>
      </c>
      <c r="I1872">
        <v>1</v>
      </c>
      <c r="J1872">
        <v>0</v>
      </c>
      <c r="K1872">
        <v>0</v>
      </c>
      <c r="L1872">
        <v>0</v>
      </c>
    </row>
    <row r="1873" spans="1:12" x14ac:dyDescent="0.25">
      <c r="A1873" t="str">
        <f t="shared" si="400"/>
        <v>89301000</v>
      </c>
      <c r="B1873" t="str">
        <f t="shared" si="401"/>
        <v>78915000</v>
      </c>
      <c r="C1873" t="str">
        <f t="shared" si="402"/>
        <v>78915001</v>
      </c>
      <c r="D1873" t="str">
        <f t="shared" si="399"/>
        <v>809</v>
      </c>
      <c r="E1873" t="str">
        <f>"89301226"</f>
        <v>89301226</v>
      </c>
      <c r="F1873" t="str">
        <f>"7705175324"</f>
        <v>7705175324</v>
      </c>
      <c r="G1873" s="1">
        <v>44630</v>
      </c>
      <c r="H1873" t="str">
        <f>"89713"</f>
        <v>89713</v>
      </c>
      <c r="I1873">
        <v>1</v>
      </c>
      <c r="J1873">
        <v>5362</v>
      </c>
      <c r="K1873">
        <v>0</v>
      </c>
      <c r="L1873">
        <v>3217.2</v>
      </c>
    </row>
    <row r="1874" spans="1:12" x14ac:dyDescent="0.25">
      <c r="A1874" t="str">
        <f t="shared" si="400"/>
        <v>89301000</v>
      </c>
      <c r="B1874" t="str">
        <f t="shared" si="401"/>
        <v>78915000</v>
      </c>
      <c r="C1874" t="str">
        <f t="shared" si="402"/>
        <v>78915001</v>
      </c>
      <c r="D1874" t="str">
        <f t="shared" si="399"/>
        <v>809</v>
      </c>
      <c r="E1874" t="str">
        <f>"89301212"</f>
        <v>89301212</v>
      </c>
      <c r="F1874" t="str">
        <f>"7756215357"</f>
        <v>7756215357</v>
      </c>
      <c r="G1874" s="1">
        <v>44629</v>
      </c>
      <c r="H1874" t="str">
        <f>"89715"</f>
        <v>89715</v>
      </c>
      <c r="I1874">
        <v>1</v>
      </c>
      <c r="J1874">
        <v>5474</v>
      </c>
      <c r="K1874">
        <v>0</v>
      </c>
      <c r="L1874">
        <v>3284.4</v>
      </c>
    </row>
    <row r="1875" spans="1:12" x14ac:dyDescent="0.25">
      <c r="A1875" t="str">
        <f t="shared" si="400"/>
        <v>89301000</v>
      </c>
      <c r="B1875" t="str">
        <f t="shared" si="401"/>
        <v>78915000</v>
      </c>
      <c r="C1875" t="str">
        <f t="shared" si="402"/>
        <v>78915001</v>
      </c>
      <c r="D1875" t="str">
        <f t="shared" si="399"/>
        <v>809</v>
      </c>
      <c r="E1875" t="str">
        <f>"89301212"</f>
        <v>89301212</v>
      </c>
      <c r="F1875" t="str">
        <f>"7756215357"</f>
        <v>7756215357</v>
      </c>
      <c r="G1875" s="1">
        <v>44629</v>
      </c>
      <c r="H1875" t="str">
        <f>"89725"</f>
        <v>89725</v>
      </c>
      <c r="I1875">
        <v>1</v>
      </c>
      <c r="J1875">
        <v>2839</v>
      </c>
      <c r="K1875">
        <v>0</v>
      </c>
      <c r="L1875">
        <v>1703.4</v>
      </c>
    </row>
    <row r="1876" spans="1:12" x14ac:dyDescent="0.25">
      <c r="A1876" t="str">
        <f t="shared" si="400"/>
        <v>89301000</v>
      </c>
      <c r="B1876" t="str">
        <f t="shared" si="401"/>
        <v>78915000</v>
      </c>
      <c r="C1876" t="str">
        <f t="shared" si="402"/>
        <v>78915001</v>
      </c>
      <c r="D1876" t="str">
        <f t="shared" si="399"/>
        <v>809</v>
      </c>
      <c r="E1876" t="str">
        <f>"89301212"</f>
        <v>89301212</v>
      </c>
      <c r="F1876" t="str">
        <f>"7756215357"</f>
        <v>7756215357</v>
      </c>
      <c r="G1876" s="1">
        <v>44629</v>
      </c>
      <c r="H1876" t="str">
        <f>"0207733"</f>
        <v>0207733</v>
      </c>
      <c r="I1876">
        <v>1</v>
      </c>
      <c r="K1876">
        <v>2590.5300000000002</v>
      </c>
      <c r="L1876">
        <v>2590.5300000000002</v>
      </c>
    </row>
    <row r="1877" spans="1:12" x14ac:dyDescent="0.25">
      <c r="A1877" t="str">
        <f t="shared" si="400"/>
        <v>89301000</v>
      </c>
      <c r="B1877" t="str">
        <f t="shared" si="401"/>
        <v>78915000</v>
      </c>
      <c r="C1877" t="str">
        <f t="shared" si="402"/>
        <v>78915001</v>
      </c>
      <c r="D1877" t="str">
        <f t="shared" si="399"/>
        <v>809</v>
      </c>
      <c r="E1877" t="str">
        <f>"89301062"</f>
        <v>89301062</v>
      </c>
      <c r="F1877" t="str">
        <f>"7808074461"</f>
        <v>7808074461</v>
      </c>
      <c r="G1877" s="1">
        <v>44621</v>
      </c>
      <c r="H1877" t="str">
        <f>"89713"</f>
        <v>89713</v>
      </c>
      <c r="I1877">
        <v>2</v>
      </c>
      <c r="J1877">
        <v>10724</v>
      </c>
      <c r="K1877">
        <v>0</v>
      </c>
      <c r="L1877">
        <v>6434.4</v>
      </c>
    </row>
    <row r="1878" spans="1:12" x14ac:dyDescent="0.25">
      <c r="A1878" t="str">
        <f t="shared" si="400"/>
        <v>89301000</v>
      </c>
      <c r="B1878" t="str">
        <f t="shared" si="401"/>
        <v>78915000</v>
      </c>
      <c r="C1878" t="str">
        <f t="shared" si="402"/>
        <v>78915001</v>
      </c>
      <c r="D1878" t="str">
        <f t="shared" si="399"/>
        <v>809</v>
      </c>
      <c r="E1878" t="str">
        <f>"89301062"</f>
        <v>89301062</v>
      </c>
      <c r="F1878" t="str">
        <f>"7808074461"</f>
        <v>7808074461</v>
      </c>
      <c r="G1878" s="1">
        <v>44621</v>
      </c>
      <c r="H1878" t="str">
        <f>"89725"</f>
        <v>89725</v>
      </c>
      <c r="I1878">
        <v>1</v>
      </c>
      <c r="J1878">
        <v>2839</v>
      </c>
      <c r="K1878">
        <v>0</v>
      </c>
      <c r="L1878">
        <v>1703.4</v>
      </c>
    </row>
    <row r="1879" spans="1:12" x14ac:dyDescent="0.25">
      <c r="A1879" t="str">
        <f t="shared" si="400"/>
        <v>89301000</v>
      </c>
      <c r="B1879" t="str">
        <f t="shared" si="401"/>
        <v>78915000</v>
      </c>
      <c r="C1879" t="str">
        <f t="shared" si="402"/>
        <v>78915001</v>
      </c>
      <c r="D1879" t="str">
        <f t="shared" si="399"/>
        <v>809</v>
      </c>
      <c r="E1879" t="str">
        <f>"89301062"</f>
        <v>89301062</v>
      </c>
      <c r="F1879" t="str">
        <f>"7851135325"</f>
        <v>7851135325</v>
      </c>
      <c r="G1879" s="1">
        <v>44648</v>
      </c>
      <c r="H1879" t="str">
        <f>"89713"</f>
        <v>89713</v>
      </c>
      <c r="I1879">
        <v>1</v>
      </c>
      <c r="J1879">
        <v>5362</v>
      </c>
      <c r="K1879">
        <v>0</v>
      </c>
      <c r="L1879">
        <v>3217.2</v>
      </c>
    </row>
    <row r="1880" spans="1:12" x14ac:dyDescent="0.25">
      <c r="A1880" t="str">
        <f t="shared" si="400"/>
        <v>89301000</v>
      </c>
      <c r="B1880" t="str">
        <f t="shared" si="401"/>
        <v>78915000</v>
      </c>
      <c r="C1880" t="str">
        <f t="shared" si="402"/>
        <v>78915001</v>
      </c>
      <c r="D1880" t="str">
        <f t="shared" si="399"/>
        <v>809</v>
      </c>
      <c r="E1880" t="str">
        <f>"89301062"</f>
        <v>89301062</v>
      </c>
      <c r="F1880" t="str">
        <f>"7851135325"</f>
        <v>7851135325</v>
      </c>
      <c r="G1880" s="1">
        <v>44648</v>
      </c>
      <c r="H1880" t="str">
        <f>"89725"</f>
        <v>89725</v>
      </c>
      <c r="I1880">
        <v>1</v>
      </c>
      <c r="J1880">
        <v>2839</v>
      </c>
      <c r="K1880">
        <v>0</v>
      </c>
      <c r="L1880">
        <v>1703.4</v>
      </c>
    </row>
    <row r="1881" spans="1:12" x14ac:dyDescent="0.25">
      <c r="A1881" t="str">
        <f t="shared" si="400"/>
        <v>89301000</v>
      </c>
      <c r="B1881" t="str">
        <f t="shared" si="401"/>
        <v>78915000</v>
      </c>
      <c r="C1881" t="str">
        <f t="shared" si="402"/>
        <v>78915001</v>
      </c>
      <c r="D1881" t="str">
        <f t="shared" si="399"/>
        <v>809</v>
      </c>
      <c r="E1881" t="str">
        <f>"89301212"</f>
        <v>89301212</v>
      </c>
      <c r="F1881" t="str">
        <f>"7852105679"</f>
        <v>7852105679</v>
      </c>
      <c r="G1881" s="1">
        <v>44636</v>
      </c>
      <c r="H1881" t="str">
        <f>"89715"</f>
        <v>89715</v>
      </c>
      <c r="I1881">
        <v>1</v>
      </c>
      <c r="J1881">
        <v>5474</v>
      </c>
      <c r="K1881">
        <v>0</v>
      </c>
      <c r="L1881">
        <v>3284.4</v>
      </c>
    </row>
    <row r="1882" spans="1:12" x14ac:dyDescent="0.25">
      <c r="A1882" t="str">
        <f t="shared" si="400"/>
        <v>89301000</v>
      </c>
      <c r="B1882" t="str">
        <f t="shared" si="401"/>
        <v>78915000</v>
      </c>
      <c r="C1882" t="str">
        <f t="shared" si="402"/>
        <v>78915001</v>
      </c>
      <c r="D1882" t="str">
        <f t="shared" si="399"/>
        <v>809</v>
      </c>
      <c r="E1882" t="str">
        <f>"89301212"</f>
        <v>89301212</v>
      </c>
      <c r="F1882" t="str">
        <f>"7852105679"</f>
        <v>7852105679</v>
      </c>
      <c r="G1882" s="1">
        <v>44636</v>
      </c>
      <c r="H1882" t="str">
        <f>"89725"</f>
        <v>89725</v>
      </c>
      <c r="I1882">
        <v>1</v>
      </c>
      <c r="J1882">
        <v>2839</v>
      </c>
      <c r="K1882">
        <v>0</v>
      </c>
      <c r="L1882">
        <v>1703.4</v>
      </c>
    </row>
    <row r="1883" spans="1:12" x14ac:dyDescent="0.25">
      <c r="A1883" t="str">
        <f t="shared" si="400"/>
        <v>89301000</v>
      </c>
      <c r="B1883" t="str">
        <f t="shared" si="401"/>
        <v>78915000</v>
      </c>
      <c r="C1883" t="str">
        <f t="shared" si="402"/>
        <v>78915001</v>
      </c>
      <c r="D1883" t="str">
        <f t="shared" si="399"/>
        <v>809</v>
      </c>
      <c r="E1883" t="str">
        <f>"89301212"</f>
        <v>89301212</v>
      </c>
      <c r="F1883" t="str">
        <f>"7852105679"</f>
        <v>7852105679</v>
      </c>
      <c r="G1883" s="1">
        <v>44636</v>
      </c>
      <c r="H1883" t="str">
        <f>"0207733"</f>
        <v>0207733</v>
      </c>
      <c r="I1883">
        <v>1</v>
      </c>
      <c r="K1883">
        <v>2590.5300000000002</v>
      </c>
      <c r="L1883">
        <v>2590.5300000000002</v>
      </c>
    </row>
    <row r="1884" spans="1:12" x14ac:dyDescent="0.25">
      <c r="A1884" t="str">
        <f t="shared" si="400"/>
        <v>89301000</v>
      </c>
      <c r="B1884" t="str">
        <f t="shared" si="401"/>
        <v>78915000</v>
      </c>
      <c r="C1884" t="str">
        <f t="shared" si="402"/>
        <v>78915001</v>
      </c>
      <c r="D1884" t="str">
        <f t="shared" ref="D1884:D1900" si="403">"809"</f>
        <v>809</v>
      </c>
      <c r="E1884" t="str">
        <f>"89301112"</f>
        <v>89301112</v>
      </c>
      <c r="F1884" t="str">
        <f>"7955265362"</f>
        <v>7955265362</v>
      </c>
      <c r="G1884" s="1">
        <v>44630</v>
      </c>
      <c r="H1884" t="str">
        <f>"09567"</f>
        <v>09567</v>
      </c>
      <c r="I1884">
        <v>1</v>
      </c>
      <c r="J1884">
        <v>0</v>
      </c>
      <c r="K1884">
        <v>0</v>
      </c>
      <c r="L1884">
        <v>0</v>
      </c>
    </row>
    <row r="1885" spans="1:12" x14ac:dyDescent="0.25">
      <c r="A1885" t="str">
        <f t="shared" si="400"/>
        <v>89301000</v>
      </c>
      <c r="B1885" t="str">
        <f t="shared" si="401"/>
        <v>78915000</v>
      </c>
      <c r="C1885" t="str">
        <f t="shared" si="402"/>
        <v>78915001</v>
      </c>
      <c r="D1885" t="str">
        <f t="shared" si="403"/>
        <v>809</v>
      </c>
      <c r="E1885" t="str">
        <f>"89301112"</f>
        <v>89301112</v>
      </c>
      <c r="F1885" t="str">
        <f>"7955265362"</f>
        <v>7955265362</v>
      </c>
      <c r="G1885" s="1">
        <v>44630</v>
      </c>
      <c r="H1885" t="str">
        <f>"89713"</f>
        <v>89713</v>
      </c>
      <c r="I1885">
        <v>1</v>
      </c>
      <c r="J1885">
        <v>5362</v>
      </c>
      <c r="K1885">
        <v>0</v>
      </c>
      <c r="L1885">
        <v>3217.2</v>
      </c>
    </row>
    <row r="1886" spans="1:12" x14ac:dyDescent="0.25">
      <c r="A1886" t="str">
        <f t="shared" si="400"/>
        <v>89301000</v>
      </c>
      <c r="B1886" t="str">
        <f t="shared" si="401"/>
        <v>78915000</v>
      </c>
      <c r="C1886" t="str">
        <f t="shared" si="402"/>
        <v>78915001</v>
      </c>
      <c r="D1886" t="str">
        <f t="shared" si="403"/>
        <v>809</v>
      </c>
      <c r="E1886" t="str">
        <f>"89301212"</f>
        <v>89301212</v>
      </c>
      <c r="F1886" t="str">
        <f>"8153115399"</f>
        <v>8153115399</v>
      </c>
      <c r="G1886" s="1">
        <v>44636</v>
      </c>
      <c r="H1886" t="str">
        <f>"89715"</f>
        <v>89715</v>
      </c>
      <c r="I1886">
        <v>1</v>
      </c>
      <c r="J1886">
        <v>5474</v>
      </c>
      <c r="K1886">
        <v>0</v>
      </c>
      <c r="L1886">
        <v>3284.4</v>
      </c>
    </row>
    <row r="1887" spans="1:12" x14ac:dyDescent="0.25">
      <c r="A1887" t="str">
        <f t="shared" si="400"/>
        <v>89301000</v>
      </c>
      <c r="B1887" t="str">
        <f t="shared" si="401"/>
        <v>78915000</v>
      </c>
      <c r="C1887" t="str">
        <f t="shared" si="402"/>
        <v>78915001</v>
      </c>
      <c r="D1887" t="str">
        <f t="shared" si="403"/>
        <v>809</v>
      </c>
      <c r="E1887" t="str">
        <f>"89301212"</f>
        <v>89301212</v>
      </c>
      <c r="F1887" t="str">
        <f>"8153115399"</f>
        <v>8153115399</v>
      </c>
      <c r="G1887" s="1">
        <v>44636</v>
      </c>
      <c r="H1887" t="str">
        <f>"89725"</f>
        <v>89725</v>
      </c>
      <c r="I1887">
        <v>1</v>
      </c>
      <c r="J1887">
        <v>2839</v>
      </c>
      <c r="K1887">
        <v>0</v>
      </c>
      <c r="L1887">
        <v>1703.4</v>
      </c>
    </row>
    <row r="1888" spans="1:12" x14ac:dyDescent="0.25">
      <c r="A1888" t="str">
        <f t="shared" si="400"/>
        <v>89301000</v>
      </c>
      <c r="B1888" t="str">
        <f t="shared" si="401"/>
        <v>78915000</v>
      </c>
      <c r="C1888" t="str">
        <f t="shared" si="402"/>
        <v>78915001</v>
      </c>
      <c r="D1888" t="str">
        <f t="shared" si="403"/>
        <v>809</v>
      </c>
      <c r="E1888" t="str">
        <f>"89301212"</f>
        <v>89301212</v>
      </c>
      <c r="F1888" t="str">
        <f>"8153115399"</f>
        <v>8153115399</v>
      </c>
      <c r="G1888" s="1">
        <v>44636</v>
      </c>
      <c r="H1888" t="str">
        <f>"0207733"</f>
        <v>0207733</v>
      </c>
      <c r="I1888">
        <v>1</v>
      </c>
      <c r="K1888">
        <v>2590.5300000000002</v>
      </c>
      <c r="L1888">
        <v>2590.5300000000002</v>
      </c>
    </row>
    <row r="1889" spans="1:12" x14ac:dyDescent="0.25">
      <c r="A1889" t="str">
        <f t="shared" si="400"/>
        <v>89301000</v>
      </c>
      <c r="B1889" t="str">
        <f t="shared" si="401"/>
        <v>78915000</v>
      </c>
      <c r="C1889" t="str">
        <f t="shared" si="402"/>
        <v>78915001</v>
      </c>
      <c r="D1889" t="str">
        <f t="shared" si="403"/>
        <v>809</v>
      </c>
      <c r="E1889" t="str">
        <f>"89301292"</f>
        <v>89301292</v>
      </c>
      <c r="F1889" t="str">
        <f>"8253069924"</f>
        <v>8253069924</v>
      </c>
      <c r="G1889" s="1">
        <v>44643</v>
      </c>
      <c r="H1889" t="str">
        <f>"89713"</f>
        <v>89713</v>
      </c>
      <c r="I1889">
        <v>1</v>
      </c>
      <c r="J1889">
        <v>5362</v>
      </c>
      <c r="K1889">
        <v>0</v>
      </c>
      <c r="L1889">
        <v>3217.2</v>
      </c>
    </row>
    <row r="1890" spans="1:12" x14ac:dyDescent="0.25">
      <c r="A1890" t="str">
        <f t="shared" si="400"/>
        <v>89301000</v>
      </c>
      <c r="B1890" t="str">
        <f t="shared" si="401"/>
        <v>78915000</v>
      </c>
      <c r="C1890" t="str">
        <f t="shared" si="402"/>
        <v>78915001</v>
      </c>
      <c r="D1890" t="str">
        <f t="shared" si="403"/>
        <v>809</v>
      </c>
      <c r="E1890" t="str">
        <f>"89301062"</f>
        <v>89301062</v>
      </c>
      <c r="F1890" t="str">
        <f>"8953314491"</f>
        <v>8953314491</v>
      </c>
      <c r="G1890" s="1">
        <v>44649</v>
      </c>
      <c r="H1890" t="str">
        <f>"89713"</f>
        <v>89713</v>
      </c>
      <c r="I1890">
        <v>1</v>
      </c>
      <c r="J1890">
        <v>5362</v>
      </c>
      <c r="K1890">
        <v>0</v>
      </c>
      <c r="L1890">
        <v>3217.2</v>
      </c>
    </row>
    <row r="1891" spans="1:12" x14ac:dyDescent="0.25">
      <c r="A1891" t="str">
        <f t="shared" si="400"/>
        <v>89301000</v>
      </c>
      <c r="B1891" t="str">
        <f t="shared" ref="B1891:B1900" si="404">"78915000"</f>
        <v>78915000</v>
      </c>
      <c r="C1891" t="str">
        <f t="shared" ref="C1891:C1900" si="405">"78915001"</f>
        <v>78915001</v>
      </c>
      <c r="D1891" t="str">
        <f t="shared" si="403"/>
        <v>809</v>
      </c>
      <c r="E1891" t="str">
        <f>"89301062"</f>
        <v>89301062</v>
      </c>
      <c r="F1891" t="str">
        <f>"8953314491"</f>
        <v>8953314491</v>
      </c>
      <c r="G1891" s="1">
        <v>44649</v>
      </c>
      <c r="H1891" t="str">
        <f>"89725"</f>
        <v>89725</v>
      </c>
      <c r="I1891">
        <v>1</v>
      </c>
      <c r="J1891">
        <v>2839</v>
      </c>
      <c r="K1891">
        <v>0</v>
      </c>
      <c r="L1891">
        <v>1703.4</v>
      </c>
    </row>
    <row r="1892" spans="1:12" x14ac:dyDescent="0.25">
      <c r="A1892" t="str">
        <f t="shared" si="400"/>
        <v>89301000</v>
      </c>
      <c r="B1892" t="str">
        <f t="shared" si="404"/>
        <v>78915000</v>
      </c>
      <c r="C1892" t="str">
        <f t="shared" si="405"/>
        <v>78915001</v>
      </c>
      <c r="D1892" t="str">
        <f t="shared" si="403"/>
        <v>809</v>
      </c>
      <c r="E1892" t="str">
        <f>"89301042"</f>
        <v>89301042</v>
      </c>
      <c r="F1892" t="str">
        <f>"8954135960"</f>
        <v>8954135960</v>
      </c>
      <c r="G1892" s="1">
        <v>44650</v>
      </c>
      <c r="H1892" t="str">
        <f>"89715"</f>
        <v>89715</v>
      </c>
      <c r="I1892">
        <v>1</v>
      </c>
      <c r="J1892">
        <v>5474</v>
      </c>
      <c r="K1892">
        <v>0</v>
      </c>
      <c r="L1892">
        <v>3284.4</v>
      </c>
    </row>
    <row r="1893" spans="1:12" x14ac:dyDescent="0.25">
      <c r="A1893" t="str">
        <f t="shared" si="400"/>
        <v>89301000</v>
      </c>
      <c r="B1893" t="str">
        <f t="shared" si="404"/>
        <v>78915000</v>
      </c>
      <c r="C1893" t="str">
        <f t="shared" si="405"/>
        <v>78915001</v>
      </c>
      <c r="D1893" t="str">
        <f t="shared" si="403"/>
        <v>809</v>
      </c>
      <c r="E1893" t="str">
        <f>"89301042"</f>
        <v>89301042</v>
      </c>
      <c r="F1893" t="str">
        <f>"8954135960"</f>
        <v>8954135960</v>
      </c>
      <c r="G1893" s="1">
        <v>44650</v>
      </c>
      <c r="H1893" t="str">
        <f>"89725"</f>
        <v>89725</v>
      </c>
      <c r="I1893">
        <v>1</v>
      </c>
      <c r="J1893">
        <v>2839</v>
      </c>
      <c r="K1893">
        <v>0</v>
      </c>
      <c r="L1893">
        <v>1703.4</v>
      </c>
    </row>
    <row r="1894" spans="1:12" x14ac:dyDescent="0.25">
      <c r="A1894" t="str">
        <f t="shared" si="400"/>
        <v>89301000</v>
      </c>
      <c r="B1894" t="str">
        <f t="shared" si="404"/>
        <v>78915000</v>
      </c>
      <c r="C1894" t="str">
        <f t="shared" si="405"/>
        <v>78915001</v>
      </c>
      <c r="D1894" t="str">
        <f t="shared" si="403"/>
        <v>809</v>
      </c>
      <c r="E1894" t="str">
        <f>"89301042"</f>
        <v>89301042</v>
      </c>
      <c r="F1894" t="str">
        <f>"8954135960"</f>
        <v>8954135960</v>
      </c>
      <c r="G1894" s="1">
        <v>44650</v>
      </c>
      <c r="H1894" t="str">
        <f>"0207733"</f>
        <v>0207733</v>
      </c>
      <c r="I1894">
        <v>1</v>
      </c>
      <c r="K1894">
        <v>2590.5300000000002</v>
      </c>
      <c r="L1894">
        <v>2590.5300000000002</v>
      </c>
    </row>
    <row r="1895" spans="1:12" x14ac:dyDescent="0.25">
      <c r="A1895" t="str">
        <f t="shared" si="400"/>
        <v>89301000</v>
      </c>
      <c r="B1895" t="str">
        <f t="shared" si="404"/>
        <v>78915000</v>
      </c>
      <c r="C1895" t="str">
        <f t="shared" si="405"/>
        <v>78915001</v>
      </c>
      <c r="D1895" t="str">
        <f t="shared" si="403"/>
        <v>809</v>
      </c>
      <c r="E1895" t="str">
        <f>"89301112"</f>
        <v>89301112</v>
      </c>
      <c r="F1895" t="str">
        <f>"9206075714"</f>
        <v>9206075714</v>
      </c>
      <c r="G1895" s="1">
        <v>44648</v>
      </c>
      <c r="H1895" t="str">
        <f>"09567"</f>
        <v>09567</v>
      </c>
      <c r="I1895">
        <v>1</v>
      </c>
      <c r="J1895">
        <v>0</v>
      </c>
      <c r="K1895">
        <v>0</v>
      </c>
      <c r="L1895">
        <v>0</v>
      </c>
    </row>
    <row r="1896" spans="1:12" x14ac:dyDescent="0.25">
      <c r="A1896" t="str">
        <f t="shared" si="400"/>
        <v>89301000</v>
      </c>
      <c r="B1896" t="str">
        <f t="shared" si="404"/>
        <v>78915000</v>
      </c>
      <c r="C1896" t="str">
        <f t="shared" si="405"/>
        <v>78915001</v>
      </c>
      <c r="D1896" t="str">
        <f t="shared" si="403"/>
        <v>809</v>
      </c>
      <c r="E1896" t="str">
        <f>"89301112"</f>
        <v>89301112</v>
      </c>
      <c r="F1896" t="str">
        <f>"9206075714"</f>
        <v>9206075714</v>
      </c>
      <c r="G1896" s="1">
        <v>44648</v>
      </c>
      <c r="H1896" t="str">
        <f>"89713"</f>
        <v>89713</v>
      </c>
      <c r="I1896">
        <v>1</v>
      </c>
      <c r="J1896">
        <v>5362</v>
      </c>
      <c r="K1896">
        <v>0</v>
      </c>
      <c r="L1896">
        <v>3217.2</v>
      </c>
    </row>
    <row r="1897" spans="1:12" x14ac:dyDescent="0.25">
      <c r="A1897" t="str">
        <f t="shared" si="400"/>
        <v>89301000</v>
      </c>
      <c r="B1897" t="str">
        <f t="shared" si="404"/>
        <v>78915000</v>
      </c>
      <c r="C1897" t="str">
        <f t="shared" si="405"/>
        <v>78915001</v>
      </c>
      <c r="D1897" t="str">
        <f t="shared" si="403"/>
        <v>809</v>
      </c>
      <c r="E1897" t="str">
        <f>"89301062"</f>
        <v>89301062</v>
      </c>
      <c r="F1897" t="str">
        <f>"9603215721"</f>
        <v>9603215721</v>
      </c>
      <c r="G1897" s="1">
        <v>44627</v>
      </c>
      <c r="H1897" t="str">
        <f>"89713"</f>
        <v>89713</v>
      </c>
      <c r="I1897">
        <v>1</v>
      </c>
      <c r="J1897">
        <v>5362</v>
      </c>
      <c r="K1897">
        <v>0</v>
      </c>
      <c r="L1897">
        <v>3217.2</v>
      </c>
    </row>
    <row r="1898" spans="1:12" x14ac:dyDescent="0.25">
      <c r="A1898" t="str">
        <f t="shared" si="400"/>
        <v>89301000</v>
      </c>
      <c r="B1898" t="str">
        <f t="shared" si="404"/>
        <v>78915000</v>
      </c>
      <c r="C1898" t="str">
        <f t="shared" si="405"/>
        <v>78915001</v>
      </c>
      <c r="D1898" t="str">
        <f t="shared" si="403"/>
        <v>809</v>
      </c>
      <c r="E1898" t="str">
        <f>"89301062"</f>
        <v>89301062</v>
      </c>
      <c r="F1898" t="str">
        <f>"9603215721"</f>
        <v>9603215721</v>
      </c>
      <c r="G1898" s="1">
        <v>44627</v>
      </c>
      <c r="H1898" t="str">
        <f>"89725"</f>
        <v>89725</v>
      </c>
      <c r="I1898">
        <v>1</v>
      </c>
      <c r="J1898">
        <v>2839</v>
      </c>
      <c r="K1898">
        <v>0</v>
      </c>
      <c r="L1898">
        <v>1703.4</v>
      </c>
    </row>
    <row r="1899" spans="1:12" x14ac:dyDescent="0.25">
      <c r="A1899" t="str">
        <f t="shared" si="400"/>
        <v>89301000</v>
      </c>
      <c r="B1899" t="str">
        <f t="shared" si="404"/>
        <v>78915000</v>
      </c>
      <c r="C1899" t="str">
        <f t="shared" si="405"/>
        <v>78915001</v>
      </c>
      <c r="D1899" t="str">
        <f t="shared" si="403"/>
        <v>809</v>
      </c>
      <c r="E1899" t="str">
        <f>"89301112"</f>
        <v>89301112</v>
      </c>
      <c r="F1899" t="str">
        <f>"9610255699"</f>
        <v>9610255699</v>
      </c>
      <c r="G1899" s="1">
        <v>44651</v>
      </c>
      <c r="H1899" t="str">
        <f>"09567"</f>
        <v>09567</v>
      </c>
      <c r="I1899">
        <v>1</v>
      </c>
      <c r="J1899">
        <v>0</v>
      </c>
      <c r="K1899">
        <v>0</v>
      </c>
      <c r="L1899">
        <v>0</v>
      </c>
    </row>
    <row r="1900" spans="1:12" x14ac:dyDescent="0.25">
      <c r="A1900" t="str">
        <f t="shared" si="400"/>
        <v>89301000</v>
      </c>
      <c r="B1900" t="str">
        <f t="shared" si="404"/>
        <v>78915000</v>
      </c>
      <c r="C1900" t="str">
        <f t="shared" si="405"/>
        <v>78915001</v>
      </c>
      <c r="D1900" t="str">
        <f t="shared" si="403"/>
        <v>809</v>
      </c>
      <c r="E1900" t="str">
        <f>"89301112"</f>
        <v>89301112</v>
      </c>
      <c r="F1900" t="str">
        <f>"9610255699"</f>
        <v>9610255699</v>
      </c>
      <c r="G1900" s="1">
        <v>44651</v>
      </c>
      <c r="H1900" t="str">
        <f>"89713"</f>
        <v>89713</v>
      </c>
      <c r="I1900">
        <v>1</v>
      </c>
      <c r="J1900">
        <v>5362</v>
      </c>
      <c r="K1900">
        <v>0</v>
      </c>
      <c r="L1900">
        <v>3217.2</v>
      </c>
    </row>
    <row r="1901" spans="1:12" x14ac:dyDescent="0.25">
      <c r="A1901" t="str">
        <f t="shared" si="400"/>
        <v>89301000</v>
      </c>
      <c r="B1901" t="str">
        <f t="shared" ref="B1901:B1921" si="406">"86240000"</f>
        <v>86240000</v>
      </c>
      <c r="C1901" t="str">
        <f t="shared" ref="C1901:C1919" si="407">"86240002"</f>
        <v>86240002</v>
      </c>
      <c r="D1901" t="str">
        <f t="shared" ref="D1901:D1919" si="408">"801"</f>
        <v>801</v>
      </c>
      <c r="E1901" t="str">
        <f t="shared" ref="E1901:E1921" si="409">"89301167"</f>
        <v>89301167</v>
      </c>
      <c r="F1901" t="str">
        <f t="shared" ref="F1901:F1921" si="410">"5461103197"</f>
        <v>5461103197</v>
      </c>
      <c r="G1901" s="1">
        <v>44634</v>
      </c>
      <c r="H1901" t="str">
        <f>"81593"</f>
        <v>81593</v>
      </c>
      <c r="I1901">
        <v>1</v>
      </c>
      <c r="J1901">
        <v>22</v>
      </c>
      <c r="K1901">
        <v>0</v>
      </c>
      <c r="L1901">
        <v>17.16</v>
      </c>
    </row>
    <row r="1902" spans="1:12" x14ac:dyDescent="0.25">
      <c r="A1902" t="str">
        <f t="shared" si="400"/>
        <v>89301000</v>
      </c>
      <c r="B1902" t="str">
        <f t="shared" si="406"/>
        <v>86240000</v>
      </c>
      <c r="C1902" t="str">
        <f t="shared" si="407"/>
        <v>86240002</v>
      </c>
      <c r="D1902" t="str">
        <f t="shared" si="408"/>
        <v>801</v>
      </c>
      <c r="E1902" t="str">
        <f t="shared" si="409"/>
        <v>89301167</v>
      </c>
      <c r="F1902" t="str">
        <f t="shared" si="410"/>
        <v>5461103197</v>
      </c>
      <c r="G1902" s="1">
        <v>44634</v>
      </c>
      <c r="H1902" t="str">
        <f>"81393"</f>
        <v>81393</v>
      </c>
      <c r="I1902">
        <v>1</v>
      </c>
      <c r="J1902">
        <v>24</v>
      </c>
      <c r="K1902">
        <v>0</v>
      </c>
      <c r="L1902">
        <v>18.72</v>
      </c>
    </row>
    <row r="1903" spans="1:12" x14ac:dyDescent="0.25">
      <c r="A1903" t="str">
        <f t="shared" si="400"/>
        <v>89301000</v>
      </c>
      <c r="B1903" t="str">
        <f t="shared" si="406"/>
        <v>86240000</v>
      </c>
      <c r="C1903" t="str">
        <f t="shared" si="407"/>
        <v>86240002</v>
      </c>
      <c r="D1903" t="str">
        <f t="shared" si="408"/>
        <v>801</v>
      </c>
      <c r="E1903" t="str">
        <f t="shared" si="409"/>
        <v>89301167</v>
      </c>
      <c r="F1903" t="str">
        <f t="shared" si="410"/>
        <v>5461103197</v>
      </c>
      <c r="G1903" s="1">
        <v>44634</v>
      </c>
      <c r="H1903" t="str">
        <f>"81469"</f>
        <v>81469</v>
      </c>
      <c r="I1903">
        <v>1</v>
      </c>
      <c r="J1903">
        <v>16</v>
      </c>
      <c r="K1903">
        <v>0</v>
      </c>
      <c r="L1903">
        <v>12.48</v>
      </c>
    </row>
    <row r="1904" spans="1:12" x14ac:dyDescent="0.25">
      <c r="A1904" t="str">
        <f t="shared" si="400"/>
        <v>89301000</v>
      </c>
      <c r="B1904" t="str">
        <f t="shared" si="406"/>
        <v>86240000</v>
      </c>
      <c r="C1904" t="str">
        <f t="shared" si="407"/>
        <v>86240002</v>
      </c>
      <c r="D1904" t="str">
        <f t="shared" si="408"/>
        <v>801</v>
      </c>
      <c r="E1904" t="str">
        <f t="shared" si="409"/>
        <v>89301167</v>
      </c>
      <c r="F1904" t="str">
        <f t="shared" si="410"/>
        <v>5461103197</v>
      </c>
      <c r="G1904" s="1">
        <v>44634</v>
      </c>
      <c r="H1904" t="str">
        <f>"81625"</f>
        <v>81625</v>
      </c>
      <c r="I1904">
        <v>1</v>
      </c>
      <c r="J1904">
        <v>20</v>
      </c>
      <c r="K1904">
        <v>0</v>
      </c>
      <c r="L1904">
        <v>15.6</v>
      </c>
    </row>
    <row r="1905" spans="1:12" x14ac:dyDescent="0.25">
      <c r="A1905" t="str">
        <f t="shared" si="400"/>
        <v>89301000</v>
      </c>
      <c r="B1905" t="str">
        <f t="shared" si="406"/>
        <v>86240000</v>
      </c>
      <c r="C1905" t="str">
        <f t="shared" si="407"/>
        <v>86240002</v>
      </c>
      <c r="D1905" t="str">
        <f t="shared" si="408"/>
        <v>801</v>
      </c>
      <c r="E1905" t="str">
        <f t="shared" si="409"/>
        <v>89301167</v>
      </c>
      <c r="F1905" t="str">
        <f t="shared" si="410"/>
        <v>5461103197</v>
      </c>
      <c r="G1905" s="1">
        <v>44634</v>
      </c>
      <c r="H1905" t="str">
        <f>"81621"</f>
        <v>81621</v>
      </c>
      <c r="I1905">
        <v>1</v>
      </c>
      <c r="J1905">
        <v>19</v>
      </c>
      <c r="K1905">
        <v>0</v>
      </c>
      <c r="L1905">
        <v>14.82</v>
      </c>
    </row>
    <row r="1906" spans="1:12" x14ac:dyDescent="0.25">
      <c r="A1906" t="str">
        <f t="shared" si="400"/>
        <v>89301000</v>
      </c>
      <c r="B1906" t="str">
        <f t="shared" si="406"/>
        <v>86240000</v>
      </c>
      <c r="C1906" t="str">
        <f t="shared" si="407"/>
        <v>86240002</v>
      </c>
      <c r="D1906" t="str">
        <f t="shared" si="408"/>
        <v>801</v>
      </c>
      <c r="E1906" t="str">
        <f t="shared" si="409"/>
        <v>89301167</v>
      </c>
      <c r="F1906" t="str">
        <f t="shared" si="410"/>
        <v>5461103197</v>
      </c>
      <c r="G1906" s="1">
        <v>44634</v>
      </c>
      <c r="H1906" t="str">
        <f>"81523"</f>
        <v>81523</v>
      </c>
      <c r="I1906">
        <v>1</v>
      </c>
      <c r="J1906">
        <v>23</v>
      </c>
      <c r="K1906">
        <v>0</v>
      </c>
      <c r="L1906">
        <v>17.940000000000001</v>
      </c>
    </row>
    <row r="1907" spans="1:12" x14ac:dyDescent="0.25">
      <c r="A1907" t="str">
        <f t="shared" si="400"/>
        <v>89301000</v>
      </c>
      <c r="B1907" t="str">
        <f t="shared" si="406"/>
        <v>86240000</v>
      </c>
      <c r="C1907" t="str">
        <f t="shared" si="407"/>
        <v>86240002</v>
      </c>
      <c r="D1907" t="str">
        <f t="shared" si="408"/>
        <v>801</v>
      </c>
      <c r="E1907" t="str">
        <f t="shared" si="409"/>
        <v>89301167</v>
      </c>
      <c r="F1907" t="str">
        <f t="shared" si="410"/>
        <v>5461103197</v>
      </c>
      <c r="G1907" s="1">
        <v>44634</v>
      </c>
      <c r="H1907" t="str">
        <f>"81365"</f>
        <v>81365</v>
      </c>
      <c r="I1907">
        <v>1</v>
      </c>
      <c r="J1907">
        <v>16</v>
      </c>
      <c r="K1907">
        <v>0</v>
      </c>
      <c r="L1907">
        <v>12.48</v>
      </c>
    </row>
    <row r="1908" spans="1:12" x14ac:dyDescent="0.25">
      <c r="A1908" t="str">
        <f t="shared" si="400"/>
        <v>89301000</v>
      </c>
      <c r="B1908" t="str">
        <f t="shared" si="406"/>
        <v>86240000</v>
      </c>
      <c r="C1908" t="str">
        <f t="shared" si="407"/>
        <v>86240002</v>
      </c>
      <c r="D1908" t="str">
        <f t="shared" si="408"/>
        <v>801</v>
      </c>
      <c r="E1908" t="str">
        <f t="shared" si="409"/>
        <v>89301167</v>
      </c>
      <c r="F1908" t="str">
        <f t="shared" si="410"/>
        <v>5461103197</v>
      </c>
      <c r="G1908" s="1">
        <v>44634</v>
      </c>
      <c r="H1908" t="str">
        <f>"81329"</f>
        <v>81329</v>
      </c>
      <c r="I1908">
        <v>1</v>
      </c>
      <c r="J1908">
        <v>16</v>
      </c>
      <c r="K1908">
        <v>0</v>
      </c>
      <c r="L1908">
        <v>12.48</v>
      </c>
    </row>
    <row r="1909" spans="1:12" x14ac:dyDescent="0.25">
      <c r="A1909" t="str">
        <f t="shared" si="400"/>
        <v>89301000</v>
      </c>
      <c r="B1909" t="str">
        <f t="shared" si="406"/>
        <v>86240000</v>
      </c>
      <c r="C1909" t="str">
        <f t="shared" si="407"/>
        <v>86240002</v>
      </c>
      <c r="D1909" t="str">
        <f t="shared" si="408"/>
        <v>801</v>
      </c>
      <c r="E1909" t="str">
        <f t="shared" si="409"/>
        <v>89301167</v>
      </c>
      <c r="F1909" t="str">
        <f t="shared" si="410"/>
        <v>5461103197</v>
      </c>
      <c r="G1909" s="1">
        <v>44634</v>
      </c>
      <c r="H1909" t="str">
        <f>"81439"</f>
        <v>81439</v>
      </c>
      <c r="I1909">
        <v>1</v>
      </c>
      <c r="J1909">
        <v>16</v>
      </c>
      <c r="K1909">
        <v>0</v>
      </c>
      <c r="L1909">
        <v>12.48</v>
      </c>
    </row>
    <row r="1910" spans="1:12" x14ac:dyDescent="0.25">
      <c r="A1910" t="str">
        <f t="shared" si="400"/>
        <v>89301000</v>
      </c>
      <c r="B1910" t="str">
        <f t="shared" si="406"/>
        <v>86240000</v>
      </c>
      <c r="C1910" t="str">
        <f t="shared" si="407"/>
        <v>86240002</v>
      </c>
      <c r="D1910" t="str">
        <f t="shared" si="408"/>
        <v>801</v>
      </c>
      <c r="E1910" t="str">
        <f t="shared" si="409"/>
        <v>89301167</v>
      </c>
      <c r="F1910" t="str">
        <f t="shared" si="410"/>
        <v>5461103197</v>
      </c>
      <c r="G1910" s="1">
        <v>44634</v>
      </c>
      <c r="H1910" t="str">
        <f>"81361"</f>
        <v>81361</v>
      </c>
      <c r="I1910">
        <v>1</v>
      </c>
      <c r="J1910">
        <v>17</v>
      </c>
      <c r="K1910">
        <v>0</v>
      </c>
      <c r="L1910">
        <v>13.26</v>
      </c>
    </row>
    <row r="1911" spans="1:12" x14ac:dyDescent="0.25">
      <c r="A1911" t="str">
        <f t="shared" si="400"/>
        <v>89301000</v>
      </c>
      <c r="B1911" t="str">
        <f t="shared" si="406"/>
        <v>86240000</v>
      </c>
      <c r="C1911" t="str">
        <f t="shared" si="407"/>
        <v>86240002</v>
      </c>
      <c r="D1911" t="str">
        <f t="shared" si="408"/>
        <v>801</v>
      </c>
      <c r="E1911" t="str">
        <f t="shared" si="409"/>
        <v>89301167</v>
      </c>
      <c r="F1911" t="str">
        <f t="shared" si="410"/>
        <v>5461103197</v>
      </c>
      <c r="G1911" s="1">
        <v>44634</v>
      </c>
      <c r="H1911" t="str">
        <f>"81337"</f>
        <v>81337</v>
      </c>
      <c r="I1911">
        <v>1</v>
      </c>
      <c r="J1911">
        <v>19</v>
      </c>
      <c r="K1911">
        <v>0</v>
      </c>
      <c r="L1911">
        <v>14.82</v>
      </c>
    </row>
    <row r="1912" spans="1:12" x14ac:dyDescent="0.25">
      <c r="A1912" t="str">
        <f t="shared" si="400"/>
        <v>89301000</v>
      </c>
      <c r="B1912" t="str">
        <f t="shared" si="406"/>
        <v>86240000</v>
      </c>
      <c r="C1912" t="str">
        <f t="shared" si="407"/>
        <v>86240002</v>
      </c>
      <c r="D1912" t="str">
        <f t="shared" si="408"/>
        <v>801</v>
      </c>
      <c r="E1912" t="str">
        <f t="shared" si="409"/>
        <v>89301167</v>
      </c>
      <c r="F1912" t="str">
        <f t="shared" si="410"/>
        <v>5461103197</v>
      </c>
      <c r="G1912" s="1">
        <v>44634</v>
      </c>
      <c r="H1912" t="str">
        <f>"81357"</f>
        <v>81357</v>
      </c>
      <c r="I1912">
        <v>1</v>
      </c>
      <c r="J1912">
        <v>19</v>
      </c>
      <c r="K1912">
        <v>0</v>
      </c>
      <c r="L1912">
        <v>14.82</v>
      </c>
    </row>
    <row r="1913" spans="1:12" x14ac:dyDescent="0.25">
      <c r="A1913" t="str">
        <f t="shared" si="400"/>
        <v>89301000</v>
      </c>
      <c r="B1913" t="str">
        <f t="shared" si="406"/>
        <v>86240000</v>
      </c>
      <c r="C1913" t="str">
        <f t="shared" si="407"/>
        <v>86240002</v>
      </c>
      <c r="D1913" t="str">
        <f t="shared" si="408"/>
        <v>801</v>
      </c>
      <c r="E1913" t="str">
        <f t="shared" si="409"/>
        <v>89301167</v>
      </c>
      <c r="F1913" t="str">
        <f t="shared" si="410"/>
        <v>5461103197</v>
      </c>
      <c r="G1913" s="1">
        <v>44634</v>
      </c>
      <c r="H1913" t="str">
        <f>"81435"</f>
        <v>81435</v>
      </c>
      <c r="I1913">
        <v>1</v>
      </c>
      <c r="J1913">
        <v>22</v>
      </c>
      <c r="K1913">
        <v>0</v>
      </c>
      <c r="L1913">
        <v>17.16</v>
      </c>
    </row>
    <row r="1914" spans="1:12" x14ac:dyDescent="0.25">
      <c r="A1914" t="str">
        <f t="shared" si="400"/>
        <v>89301000</v>
      </c>
      <c r="B1914" t="str">
        <f t="shared" si="406"/>
        <v>86240000</v>
      </c>
      <c r="C1914" t="str">
        <f t="shared" si="407"/>
        <v>86240002</v>
      </c>
      <c r="D1914" t="str">
        <f t="shared" si="408"/>
        <v>801</v>
      </c>
      <c r="E1914" t="str">
        <f t="shared" si="409"/>
        <v>89301167</v>
      </c>
      <c r="F1914" t="str">
        <f t="shared" si="410"/>
        <v>5461103197</v>
      </c>
      <c r="G1914" s="1">
        <v>44634</v>
      </c>
      <c r="H1914" t="str">
        <f>"81421"</f>
        <v>81421</v>
      </c>
      <c r="I1914">
        <v>1</v>
      </c>
      <c r="J1914">
        <v>19</v>
      </c>
      <c r="K1914">
        <v>0</v>
      </c>
      <c r="L1914">
        <v>14.82</v>
      </c>
    </row>
    <row r="1915" spans="1:12" x14ac:dyDescent="0.25">
      <c r="A1915" t="str">
        <f t="shared" si="400"/>
        <v>89301000</v>
      </c>
      <c r="B1915" t="str">
        <f t="shared" si="406"/>
        <v>86240000</v>
      </c>
      <c r="C1915" t="str">
        <f t="shared" si="407"/>
        <v>86240002</v>
      </c>
      <c r="D1915" t="str">
        <f t="shared" si="408"/>
        <v>801</v>
      </c>
      <c r="E1915" t="str">
        <f t="shared" si="409"/>
        <v>89301167</v>
      </c>
      <c r="F1915" t="str">
        <f t="shared" si="410"/>
        <v>5461103197</v>
      </c>
      <c r="G1915" s="1">
        <v>44634</v>
      </c>
      <c r="H1915" t="str">
        <f>"81499"</f>
        <v>81499</v>
      </c>
      <c r="I1915">
        <v>1</v>
      </c>
      <c r="J1915">
        <v>18</v>
      </c>
      <c r="K1915">
        <v>0</v>
      </c>
      <c r="L1915">
        <v>14.04</v>
      </c>
    </row>
    <row r="1916" spans="1:12" x14ac:dyDescent="0.25">
      <c r="A1916" t="str">
        <f t="shared" si="400"/>
        <v>89301000</v>
      </c>
      <c r="B1916" t="str">
        <f t="shared" si="406"/>
        <v>86240000</v>
      </c>
      <c r="C1916" t="str">
        <f t="shared" si="407"/>
        <v>86240002</v>
      </c>
      <c r="D1916" t="str">
        <f t="shared" si="408"/>
        <v>801</v>
      </c>
      <c r="E1916" t="str">
        <f t="shared" si="409"/>
        <v>89301167</v>
      </c>
      <c r="F1916" t="str">
        <f t="shared" si="410"/>
        <v>5461103197</v>
      </c>
      <c r="G1916" s="1">
        <v>44634</v>
      </c>
      <c r="H1916" t="str">
        <f>"81383"</f>
        <v>81383</v>
      </c>
      <c r="I1916">
        <v>1</v>
      </c>
      <c r="J1916">
        <v>23</v>
      </c>
      <c r="K1916">
        <v>0</v>
      </c>
      <c r="L1916">
        <v>17.940000000000001</v>
      </c>
    </row>
    <row r="1917" spans="1:12" x14ac:dyDescent="0.25">
      <c r="A1917" t="str">
        <f t="shared" si="400"/>
        <v>89301000</v>
      </c>
      <c r="B1917" t="str">
        <f t="shared" si="406"/>
        <v>86240000</v>
      </c>
      <c r="C1917" t="str">
        <f t="shared" si="407"/>
        <v>86240002</v>
      </c>
      <c r="D1917" t="str">
        <f t="shared" si="408"/>
        <v>801</v>
      </c>
      <c r="E1917" t="str">
        <f t="shared" si="409"/>
        <v>89301167</v>
      </c>
      <c r="F1917" t="str">
        <f t="shared" si="410"/>
        <v>5461103197</v>
      </c>
      <c r="G1917" s="1">
        <v>44634</v>
      </c>
      <c r="H1917" t="str">
        <f>"81249"</f>
        <v>81249</v>
      </c>
      <c r="I1917">
        <v>1</v>
      </c>
      <c r="J1917">
        <v>333</v>
      </c>
      <c r="K1917">
        <v>0</v>
      </c>
      <c r="L1917">
        <v>259.74</v>
      </c>
    </row>
    <row r="1918" spans="1:12" x14ac:dyDescent="0.25">
      <c r="A1918" t="str">
        <f t="shared" si="400"/>
        <v>89301000</v>
      </c>
      <c r="B1918" t="str">
        <f t="shared" si="406"/>
        <v>86240000</v>
      </c>
      <c r="C1918" t="str">
        <f t="shared" si="407"/>
        <v>86240002</v>
      </c>
      <c r="D1918" t="str">
        <f t="shared" si="408"/>
        <v>801</v>
      </c>
      <c r="E1918" t="str">
        <f t="shared" si="409"/>
        <v>89301167</v>
      </c>
      <c r="F1918" t="str">
        <f t="shared" si="410"/>
        <v>5461103197</v>
      </c>
      <c r="G1918" s="1">
        <v>44634</v>
      </c>
      <c r="H1918" t="str">
        <f>"97111"</f>
        <v>97111</v>
      </c>
      <c r="I1918">
        <v>1</v>
      </c>
      <c r="J1918">
        <v>18</v>
      </c>
      <c r="K1918">
        <v>0</v>
      </c>
      <c r="L1918">
        <v>14.04</v>
      </c>
    </row>
    <row r="1919" spans="1:12" x14ac:dyDescent="0.25">
      <c r="A1919" t="str">
        <f t="shared" si="400"/>
        <v>89301000</v>
      </c>
      <c r="B1919" t="str">
        <f t="shared" si="406"/>
        <v>86240000</v>
      </c>
      <c r="C1919" t="str">
        <f t="shared" si="407"/>
        <v>86240002</v>
      </c>
      <c r="D1919" t="str">
        <f t="shared" si="408"/>
        <v>801</v>
      </c>
      <c r="E1919" t="str">
        <f t="shared" si="409"/>
        <v>89301167</v>
      </c>
      <c r="F1919" t="str">
        <f t="shared" si="410"/>
        <v>5461103197</v>
      </c>
      <c r="G1919" s="1">
        <v>44634</v>
      </c>
      <c r="H1919" t="str">
        <f>"09119"</f>
        <v>09119</v>
      </c>
      <c r="I1919">
        <v>1</v>
      </c>
      <c r="J1919">
        <v>42</v>
      </c>
      <c r="K1919">
        <v>0</v>
      </c>
      <c r="L1919">
        <v>32.76</v>
      </c>
    </row>
    <row r="1920" spans="1:12" x14ac:dyDescent="0.25">
      <c r="A1920" t="str">
        <f t="shared" si="400"/>
        <v>89301000</v>
      </c>
      <c r="B1920" t="str">
        <f t="shared" si="406"/>
        <v>86240000</v>
      </c>
      <c r="C1920" t="str">
        <f>"86240006"</f>
        <v>86240006</v>
      </c>
      <c r="D1920" t="str">
        <f>"813"</f>
        <v>813</v>
      </c>
      <c r="E1920" t="str">
        <f t="shared" si="409"/>
        <v>89301167</v>
      </c>
      <c r="F1920" t="str">
        <f t="shared" si="410"/>
        <v>5461103197</v>
      </c>
      <c r="G1920" s="1">
        <v>44634</v>
      </c>
      <c r="H1920" t="str">
        <f>"91153"</f>
        <v>91153</v>
      </c>
      <c r="I1920">
        <v>1</v>
      </c>
      <c r="J1920">
        <v>152</v>
      </c>
      <c r="K1920">
        <v>0</v>
      </c>
      <c r="L1920">
        <v>118.56</v>
      </c>
    </row>
    <row r="1921" spans="1:12" x14ac:dyDescent="0.25">
      <c r="A1921" t="str">
        <f t="shared" si="400"/>
        <v>89301000</v>
      </c>
      <c r="B1921" t="str">
        <f t="shared" si="406"/>
        <v>86240000</v>
      </c>
      <c r="C1921" t="str">
        <f>"86240003"</f>
        <v>86240003</v>
      </c>
      <c r="D1921" t="str">
        <f>"818"</f>
        <v>818</v>
      </c>
      <c r="E1921" t="str">
        <f t="shared" si="409"/>
        <v>89301167</v>
      </c>
      <c r="F1921" t="str">
        <f t="shared" si="410"/>
        <v>5461103197</v>
      </c>
      <c r="G1921" s="1">
        <v>44634</v>
      </c>
      <c r="H1921" t="str">
        <f>"96167"</f>
        <v>96167</v>
      </c>
      <c r="I1921">
        <v>1</v>
      </c>
      <c r="J1921">
        <v>67</v>
      </c>
      <c r="K1921">
        <v>0</v>
      </c>
      <c r="L1921">
        <v>60.97</v>
      </c>
    </row>
    <row r="1922" spans="1:12" x14ac:dyDescent="0.25">
      <c r="A1922" t="str">
        <f t="shared" ref="A1922:A1985" si="411">"89301000"</f>
        <v>89301000</v>
      </c>
      <c r="B1922" t="str">
        <f t="shared" ref="B1922:B1953" si="412">"78051000"</f>
        <v>78051000</v>
      </c>
      <c r="C1922" t="str">
        <f t="shared" ref="C1922:C1953" si="413">"78051004"</f>
        <v>78051004</v>
      </c>
      <c r="D1922" t="str">
        <f t="shared" ref="D1922:D1953" si="414">"809"</f>
        <v>809</v>
      </c>
      <c r="E1922" t="str">
        <f t="shared" ref="E1922:E1953" si="415">"89301062"</f>
        <v>89301062</v>
      </c>
      <c r="F1922" t="str">
        <f>"6559070529"</f>
        <v>6559070529</v>
      </c>
      <c r="G1922" s="1">
        <v>44621</v>
      </c>
      <c r="H1922" t="str">
        <f>"89311"</f>
        <v>89311</v>
      </c>
      <c r="I1922">
        <v>1</v>
      </c>
      <c r="J1922">
        <v>936</v>
      </c>
      <c r="K1922">
        <v>0</v>
      </c>
      <c r="L1922">
        <v>1310.4000000000001</v>
      </c>
    </row>
    <row r="1923" spans="1:12" x14ac:dyDescent="0.25">
      <c r="A1923" t="str">
        <f t="shared" si="411"/>
        <v>89301000</v>
      </c>
      <c r="B1923" t="str">
        <f t="shared" si="412"/>
        <v>78051000</v>
      </c>
      <c r="C1923" t="str">
        <f t="shared" si="413"/>
        <v>78051004</v>
      </c>
      <c r="D1923" t="str">
        <f t="shared" si="414"/>
        <v>809</v>
      </c>
      <c r="E1923" t="str">
        <f t="shared" si="415"/>
        <v>89301062</v>
      </c>
      <c r="F1923" t="str">
        <f>"6559070529"</f>
        <v>6559070529</v>
      </c>
      <c r="G1923" s="1">
        <v>44621</v>
      </c>
      <c r="H1923" t="str">
        <f>"0090044"</f>
        <v>0090044</v>
      </c>
      <c r="I1923">
        <v>1</v>
      </c>
      <c r="K1923">
        <v>16.8</v>
      </c>
      <c r="L1923">
        <v>16.8</v>
      </c>
    </row>
    <row r="1924" spans="1:12" x14ac:dyDescent="0.25">
      <c r="A1924" t="str">
        <f t="shared" si="411"/>
        <v>89301000</v>
      </c>
      <c r="B1924" t="str">
        <f t="shared" si="412"/>
        <v>78051000</v>
      </c>
      <c r="C1924" t="str">
        <f t="shared" si="413"/>
        <v>78051004</v>
      </c>
      <c r="D1924" t="str">
        <f t="shared" si="414"/>
        <v>809</v>
      </c>
      <c r="E1924" t="str">
        <f t="shared" si="415"/>
        <v>89301062</v>
      </c>
      <c r="F1924" t="str">
        <f>"6559070529"</f>
        <v>6559070529</v>
      </c>
      <c r="G1924" s="1">
        <v>44621</v>
      </c>
      <c r="H1924" t="str">
        <f>"0225891"</f>
        <v>0225891</v>
      </c>
      <c r="I1924">
        <v>0.2</v>
      </c>
      <c r="K1924">
        <v>73.540000000000006</v>
      </c>
      <c r="L1924">
        <v>73.540000000000006</v>
      </c>
    </row>
    <row r="1925" spans="1:12" x14ac:dyDescent="0.25">
      <c r="A1925" t="str">
        <f t="shared" si="411"/>
        <v>89301000</v>
      </c>
      <c r="B1925" t="str">
        <f t="shared" si="412"/>
        <v>78051000</v>
      </c>
      <c r="C1925" t="str">
        <f t="shared" si="413"/>
        <v>78051004</v>
      </c>
      <c r="D1925" t="str">
        <f t="shared" si="414"/>
        <v>809</v>
      </c>
      <c r="E1925" t="str">
        <f t="shared" si="415"/>
        <v>89301062</v>
      </c>
      <c r="F1925" t="str">
        <f>"6559070529"</f>
        <v>6559070529</v>
      </c>
      <c r="G1925" s="1">
        <v>44621</v>
      </c>
      <c r="H1925" t="str">
        <f>"0096251"</f>
        <v>0096251</v>
      </c>
      <c r="I1925">
        <v>0.17</v>
      </c>
      <c r="K1925">
        <v>198.83</v>
      </c>
      <c r="L1925">
        <v>198.83</v>
      </c>
    </row>
    <row r="1926" spans="1:12" x14ac:dyDescent="0.25">
      <c r="A1926" t="str">
        <f t="shared" si="411"/>
        <v>89301000</v>
      </c>
      <c r="B1926" t="str">
        <f t="shared" si="412"/>
        <v>78051000</v>
      </c>
      <c r="C1926" t="str">
        <f t="shared" si="413"/>
        <v>78051004</v>
      </c>
      <c r="D1926" t="str">
        <f t="shared" si="414"/>
        <v>809</v>
      </c>
      <c r="E1926" t="str">
        <f t="shared" si="415"/>
        <v>89301062</v>
      </c>
      <c r="F1926" t="str">
        <f>"6559070529"</f>
        <v>6559070529</v>
      </c>
      <c r="G1926" s="1">
        <v>44621</v>
      </c>
      <c r="H1926" t="str">
        <f>"0098943"</f>
        <v>0098943</v>
      </c>
      <c r="I1926">
        <v>1</v>
      </c>
      <c r="K1926">
        <v>293.81</v>
      </c>
      <c r="L1926">
        <v>293.81</v>
      </c>
    </row>
    <row r="1927" spans="1:12" x14ac:dyDescent="0.25">
      <c r="A1927" t="str">
        <f t="shared" si="411"/>
        <v>89301000</v>
      </c>
      <c r="B1927" t="str">
        <f t="shared" si="412"/>
        <v>78051000</v>
      </c>
      <c r="C1927" t="str">
        <f t="shared" si="413"/>
        <v>78051004</v>
      </c>
      <c r="D1927" t="str">
        <f t="shared" si="414"/>
        <v>809</v>
      </c>
      <c r="E1927" t="str">
        <f t="shared" si="415"/>
        <v>89301062</v>
      </c>
      <c r="F1927" t="str">
        <f>"6561141400"</f>
        <v>6561141400</v>
      </c>
      <c r="G1927" s="1">
        <v>44629</v>
      </c>
      <c r="H1927" t="str">
        <f>"89311"</f>
        <v>89311</v>
      </c>
      <c r="I1927">
        <v>1</v>
      </c>
      <c r="J1927">
        <v>936</v>
      </c>
      <c r="K1927">
        <v>0</v>
      </c>
      <c r="L1927">
        <v>1310.4000000000001</v>
      </c>
    </row>
    <row r="1928" spans="1:12" x14ac:dyDescent="0.25">
      <c r="A1928" t="str">
        <f t="shared" si="411"/>
        <v>89301000</v>
      </c>
      <c r="B1928" t="str">
        <f t="shared" si="412"/>
        <v>78051000</v>
      </c>
      <c r="C1928" t="str">
        <f t="shared" si="413"/>
        <v>78051004</v>
      </c>
      <c r="D1928" t="str">
        <f t="shared" si="414"/>
        <v>809</v>
      </c>
      <c r="E1928" t="str">
        <f t="shared" si="415"/>
        <v>89301062</v>
      </c>
      <c r="F1928" t="str">
        <f>"6561141400"</f>
        <v>6561141400</v>
      </c>
      <c r="G1928" s="1">
        <v>44629</v>
      </c>
      <c r="H1928" t="str">
        <f>"0090044"</f>
        <v>0090044</v>
      </c>
      <c r="I1928">
        <v>1</v>
      </c>
      <c r="K1928">
        <v>16.8</v>
      </c>
      <c r="L1928">
        <v>16.8</v>
      </c>
    </row>
    <row r="1929" spans="1:12" x14ac:dyDescent="0.25">
      <c r="A1929" t="str">
        <f t="shared" si="411"/>
        <v>89301000</v>
      </c>
      <c r="B1929" t="str">
        <f t="shared" si="412"/>
        <v>78051000</v>
      </c>
      <c r="C1929" t="str">
        <f t="shared" si="413"/>
        <v>78051004</v>
      </c>
      <c r="D1929" t="str">
        <f t="shared" si="414"/>
        <v>809</v>
      </c>
      <c r="E1929" t="str">
        <f t="shared" si="415"/>
        <v>89301062</v>
      </c>
      <c r="F1929" t="str">
        <f>"6561141400"</f>
        <v>6561141400</v>
      </c>
      <c r="G1929" s="1">
        <v>44629</v>
      </c>
      <c r="H1929" t="str">
        <f>"0225891"</f>
        <v>0225891</v>
      </c>
      <c r="I1929">
        <v>0.2</v>
      </c>
      <c r="K1929">
        <v>73.540000000000006</v>
      </c>
      <c r="L1929">
        <v>73.540000000000006</v>
      </c>
    </row>
    <row r="1930" spans="1:12" x14ac:dyDescent="0.25">
      <c r="A1930" t="str">
        <f t="shared" si="411"/>
        <v>89301000</v>
      </c>
      <c r="B1930" t="str">
        <f t="shared" si="412"/>
        <v>78051000</v>
      </c>
      <c r="C1930" t="str">
        <f t="shared" si="413"/>
        <v>78051004</v>
      </c>
      <c r="D1930" t="str">
        <f t="shared" si="414"/>
        <v>809</v>
      </c>
      <c r="E1930" t="str">
        <f t="shared" si="415"/>
        <v>89301062</v>
      </c>
      <c r="F1930" t="str">
        <f>"6561141400"</f>
        <v>6561141400</v>
      </c>
      <c r="G1930" s="1">
        <v>44629</v>
      </c>
      <c r="H1930" t="str">
        <f>"0096251"</f>
        <v>0096251</v>
      </c>
      <c r="I1930">
        <v>0.17</v>
      </c>
      <c r="K1930">
        <v>198.83</v>
      </c>
      <c r="L1930">
        <v>198.83</v>
      </c>
    </row>
    <row r="1931" spans="1:12" x14ac:dyDescent="0.25">
      <c r="A1931" t="str">
        <f t="shared" si="411"/>
        <v>89301000</v>
      </c>
      <c r="B1931" t="str">
        <f t="shared" si="412"/>
        <v>78051000</v>
      </c>
      <c r="C1931" t="str">
        <f t="shared" si="413"/>
        <v>78051004</v>
      </c>
      <c r="D1931" t="str">
        <f t="shared" si="414"/>
        <v>809</v>
      </c>
      <c r="E1931" t="str">
        <f t="shared" si="415"/>
        <v>89301062</v>
      </c>
      <c r="F1931" t="str">
        <f>"6561141400"</f>
        <v>6561141400</v>
      </c>
      <c r="G1931" s="1">
        <v>44629</v>
      </c>
      <c r="H1931" t="str">
        <f>"0098943"</f>
        <v>0098943</v>
      </c>
      <c r="I1931">
        <v>1</v>
      </c>
      <c r="K1931">
        <v>293.81</v>
      </c>
      <c r="L1931">
        <v>293.81</v>
      </c>
    </row>
    <row r="1932" spans="1:12" x14ac:dyDescent="0.25">
      <c r="A1932" t="str">
        <f t="shared" si="411"/>
        <v>89301000</v>
      </c>
      <c r="B1932" t="str">
        <f t="shared" si="412"/>
        <v>78051000</v>
      </c>
      <c r="C1932" t="str">
        <f t="shared" si="413"/>
        <v>78051004</v>
      </c>
      <c r="D1932" t="str">
        <f t="shared" si="414"/>
        <v>809</v>
      </c>
      <c r="E1932" t="str">
        <f t="shared" si="415"/>
        <v>89301062</v>
      </c>
      <c r="F1932" t="str">
        <f>"510112207"</f>
        <v>510112207</v>
      </c>
      <c r="G1932" s="1">
        <v>44629</v>
      </c>
      <c r="H1932" t="str">
        <f>"89311"</f>
        <v>89311</v>
      </c>
      <c r="I1932">
        <v>1</v>
      </c>
      <c r="J1932">
        <v>936</v>
      </c>
      <c r="K1932">
        <v>0</v>
      </c>
      <c r="L1932">
        <v>1310.4000000000001</v>
      </c>
    </row>
    <row r="1933" spans="1:12" x14ac:dyDescent="0.25">
      <c r="A1933" t="str">
        <f t="shared" si="411"/>
        <v>89301000</v>
      </c>
      <c r="B1933" t="str">
        <f t="shared" si="412"/>
        <v>78051000</v>
      </c>
      <c r="C1933" t="str">
        <f t="shared" si="413"/>
        <v>78051004</v>
      </c>
      <c r="D1933" t="str">
        <f t="shared" si="414"/>
        <v>809</v>
      </c>
      <c r="E1933" t="str">
        <f t="shared" si="415"/>
        <v>89301062</v>
      </c>
      <c r="F1933" t="str">
        <f>"510112207"</f>
        <v>510112207</v>
      </c>
      <c r="G1933" s="1">
        <v>44629</v>
      </c>
      <c r="H1933" t="str">
        <f>"0090044"</f>
        <v>0090044</v>
      </c>
      <c r="I1933">
        <v>1</v>
      </c>
      <c r="K1933">
        <v>16.8</v>
      </c>
      <c r="L1933">
        <v>16.8</v>
      </c>
    </row>
    <row r="1934" spans="1:12" x14ac:dyDescent="0.25">
      <c r="A1934" t="str">
        <f t="shared" si="411"/>
        <v>89301000</v>
      </c>
      <c r="B1934" t="str">
        <f t="shared" si="412"/>
        <v>78051000</v>
      </c>
      <c r="C1934" t="str">
        <f t="shared" si="413"/>
        <v>78051004</v>
      </c>
      <c r="D1934" t="str">
        <f t="shared" si="414"/>
        <v>809</v>
      </c>
      <c r="E1934" t="str">
        <f t="shared" si="415"/>
        <v>89301062</v>
      </c>
      <c r="F1934" t="str">
        <f>"510112207"</f>
        <v>510112207</v>
      </c>
      <c r="G1934" s="1">
        <v>44629</v>
      </c>
      <c r="H1934" t="str">
        <f>"0225891"</f>
        <v>0225891</v>
      </c>
      <c r="I1934">
        <v>0.2</v>
      </c>
      <c r="K1934">
        <v>73.540000000000006</v>
      </c>
      <c r="L1934">
        <v>73.540000000000006</v>
      </c>
    </row>
    <row r="1935" spans="1:12" x14ac:dyDescent="0.25">
      <c r="A1935" t="str">
        <f t="shared" si="411"/>
        <v>89301000</v>
      </c>
      <c r="B1935" t="str">
        <f t="shared" si="412"/>
        <v>78051000</v>
      </c>
      <c r="C1935" t="str">
        <f t="shared" si="413"/>
        <v>78051004</v>
      </c>
      <c r="D1935" t="str">
        <f t="shared" si="414"/>
        <v>809</v>
      </c>
      <c r="E1935" t="str">
        <f t="shared" si="415"/>
        <v>89301062</v>
      </c>
      <c r="F1935" t="str">
        <f>"510112207"</f>
        <v>510112207</v>
      </c>
      <c r="G1935" s="1">
        <v>44629</v>
      </c>
      <c r="H1935" t="str">
        <f>"0096251"</f>
        <v>0096251</v>
      </c>
      <c r="I1935">
        <v>0.17</v>
      </c>
      <c r="K1935">
        <v>198.83</v>
      </c>
      <c r="L1935">
        <v>198.83</v>
      </c>
    </row>
    <row r="1936" spans="1:12" x14ac:dyDescent="0.25">
      <c r="A1936" t="str">
        <f t="shared" si="411"/>
        <v>89301000</v>
      </c>
      <c r="B1936" t="str">
        <f t="shared" si="412"/>
        <v>78051000</v>
      </c>
      <c r="C1936" t="str">
        <f t="shared" si="413"/>
        <v>78051004</v>
      </c>
      <c r="D1936" t="str">
        <f t="shared" si="414"/>
        <v>809</v>
      </c>
      <c r="E1936" t="str">
        <f t="shared" si="415"/>
        <v>89301062</v>
      </c>
      <c r="F1936" t="str">
        <f>"510112207"</f>
        <v>510112207</v>
      </c>
      <c r="G1936" s="1">
        <v>44629</v>
      </c>
      <c r="H1936" t="str">
        <f>"0098943"</f>
        <v>0098943</v>
      </c>
      <c r="I1936">
        <v>1</v>
      </c>
      <c r="K1936">
        <v>293.81</v>
      </c>
      <c r="L1936">
        <v>293.81</v>
      </c>
    </row>
    <row r="1937" spans="1:12" x14ac:dyDescent="0.25">
      <c r="A1937" t="str">
        <f t="shared" si="411"/>
        <v>89301000</v>
      </c>
      <c r="B1937" t="str">
        <f t="shared" si="412"/>
        <v>78051000</v>
      </c>
      <c r="C1937" t="str">
        <f t="shared" si="413"/>
        <v>78051004</v>
      </c>
      <c r="D1937" t="str">
        <f t="shared" si="414"/>
        <v>809</v>
      </c>
      <c r="E1937" t="str">
        <f t="shared" si="415"/>
        <v>89301062</v>
      </c>
      <c r="F1937" t="str">
        <f>"7052145309"</f>
        <v>7052145309</v>
      </c>
      <c r="G1937" s="1">
        <v>44629</v>
      </c>
      <c r="H1937" t="str">
        <f>"89311"</f>
        <v>89311</v>
      </c>
      <c r="I1937">
        <v>1</v>
      </c>
      <c r="J1937">
        <v>936</v>
      </c>
      <c r="K1937">
        <v>0</v>
      </c>
      <c r="L1937">
        <v>1310.4000000000001</v>
      </c>
    </row>
    <row r="1938" spans="1:12" x14ac:dyDescent="0.25">
      <c r="A1938" t="str">
        <f t="shared" si="411"/>
        <v>89301000</v>
      </c>
      <c r="B1938" t="str">
        <f t="shared" si="412"/>
        <v>78051000</v>
      </c>
      <c r="C1938" t="str">
        <f t="shared" si="413"/>
        <v>78051004</v>
      </c>
      <c r="D1938" t="str">
        <f t="shared" si="414"/>
        <v>809</v>
      </c>
      <c r="E1938" t="str">
        <f t="shared" si="415"/>
        <v>89301062</v>
      </c>
      <c r="F1938" t="str">
        <f>"7052145309"</f>
        <v>7052145309</v>
      </c>
      <c r="G1938" s="1">
        <v>44629</v>
      </c>
      <c r="H1938" t="str">
        <f>"0090044"</f>
        <v>0090044</v>
      </c>
      <c r="I1938">
        <v>1</v>
      </c>
      <c r="K1938">
        <v>16.8</v>
      </c>
      <c r="L1938">
        <v>16.8</v>
      </c>
    </row>
    <row r="1939" spans="1:12" x14ac:dyDescent="0.25">
      <c r="A1939" t="str">
        <f t="shared" si="411"/>
        <v>89301000</v>
      </c>
      <c r="B1939" t="str">
        <f t="shared" si="412"/>
        <v>78051000</v>
      </c>
      <c r="C1939" t="str">
        <f t="shared" si="413"/>
        <v>78051004</v>
      </c>
      <c r="D1939" t="str">
        <f t="shared" si="414"/>
        <v>809</v>
      </c>
      <c r="E1939" t="str">
        <f t="shared" si="415"/>
        <v>89301062</v>
      </c>
      <c r="F1939" t="str">
        <f>"7052145309"</f>
        <v>7052145309</v>
      </c>
      <c r="G1939" s="1">
        <v>44629</v>
      </c>
      <c r="H1939" t="str">
        <f>"0225891"</f>
        <v>0225891</v>
      </c>
      <c r="I1939">
        <v>0.2</v>
      </c>
      <c r="K1939">
        <v>73.540000000000006</v>
      </c>
      <c r="L1939">
        <v>73.540000000000006</v>
      </c>
    </row>
    <row r="1940" spans="1:12" x14ac:dyDescent="0.25">
      <c r="A1940" t="str">
        <f t="shared" si="411"/>
        <v>89301000</v>
      </c>
      <c r="B1940" t="str">
        <f t="shared" si="412"/>
        <v>78051000</v>
      </c>
      <c r="C1940" t="str">
        <f t="shared" si="413"/>
        <v>78051004</v>
      </c>
      <c r="D1940" t="str">
        <f t="shared" si="414"/>
        <v>809</v>
      </c>
      <c r="E1940" t="str">
        <f t="shared" si="415"/>
        <v>89301062</v>
      </c>
      <c r="F1940" t="str">
        <f>"7052145309"</f>
        <v>7052145309</v>
      </c>
      <c r="G1940" s="1">
        <v>44629</v>
      </c>
      <c r="H1940" t="str">
        <f>"0096251"</f>
        <v>0096251</v>
      </c>
      <c r="I1940">
        <v>0.17</v>
      </c>
      <c r="K1940">
        <v>198.83</v>
      </c>
      <c r="L1940">
        <v>198.83</v>
      </c>
    </row>
    <row r="1941" spans="1:12" x14ac:dyDescent="0.25">
      <c r="A1941" t="str">
        <f t="shared" si="411"/>
        <v>89301000</v>
      </c>
      <c r="B1941" t="str">
        <f t="shared" si="412"/>
        <v>78051000</v>
      </c>
      <c r="C1941" t="str">
        <f t="shared" si="413"/>
        <v>78051004</v>
      </c>
      <c r="D1941" t="str">
        <f t="shared" si="414"/>
        <v>809</v>
      </c>
      <c r="E1941" t="str">
        <f t="shared" si="415"/>
        <v>89301062</v>
      </c>
      <c r="F1941" t="str">
        <f>"7052145309"</f>
        <v>7052145309</v>
      </c>
      <c r="G1941" s="1">
        <v>44629</v>
      </c>
      <c r="H1941" t="str">
        <f>"0098943"</f>
        <v>0098943</v>
      </c>
      <c r="I1941">
        <v>1</v>
      </c>
      <c r="K1941">
        <v>293.81</v>
      </c>
      <c r="L1941">
        <v>293.81</v>
      </c>
    </row>
    <row r="1942" spans="1:12" x14ac:dyDescent="0.25">
      <c r="A1942" t="str">
        <f t="shared" si="411"/>
        <v>89301000</v>
      </c>
      <c r="B1942" t="str">
        <f t="shared" si="412"/>
        <v>78051000</v>
      </c>
      <c r="C1942" t="str">
        <f t="shared" si="413"/>
        <v>78051004</v>
      </c>
      <c r="D1942" t="str">
        <f t="shared" si="414"/>
        <v>809</v>
      </c>
      <c r="E1942" t="str">
        <f t="shared" si="415"/>
        <v>89301062</v>
      </c>
      <c r="F1942" t="str">
        <f>"7212045764"</f>
        <v>7212045764</v>
      </c>
      <c r="G1942" s="1">
        <v>44629</v>
      </c>
      <c r="H1942" t="str">
        <f>"89311"</f>
        <v>89311</v>
      </c>
      <c r="I1942">
        <v>1</v>
      </c>
      <c r="J1942">
        <v>936</v>
      </c>
      <c r="K1942">
        <v>0</v>
      </c>
      <c r="L1942">
        <v>1310.4000000000001</v>
      </c>
    </row>
    <row r="1943" spans="1:12" x14ac:dyDescent="0.25">
      <c r="A1943" t="str">
        <f t="shared" si="411"/>
        <v>89301000</v>
      </c>
      <c r="B1943" t="str">
        <f t="shared" si="412"/>
        <v>78051000</v>
      </c>
      <c r="C1943" t="str">
        <f t="shared" si="413"/>
        <v>78051004</v>
      </c>
      <c r="D1943" t="str">
        <f t="shared" si="414"/>
        <v>809</v>
      </c>
      <c r="E1943" t="str">
        <f t="shared" si="415"/>
        <v>89301062</v>
      </c>
      <c r="F1943" t="str">
        <f>"7212045764"</f>
        <v>7212045764</v>
      </c>
      <c r="G1943" s="1">
        <v>44629</v>
      </c>
      <c r="H1943" t="str">
        <f>"0090044"</f>
        <v>0090044</v>
      </c>
      <c r="I1943">
        <v>1</v>
      </c>
      <c r="K1943">
        <v>16.8</v>
      </c>
      <c r="L1943">
        <v>16.8</v>
      </c>
    </row>
    <row r="1944" spans="1:12" x14ac:dyDescent="0.25">
      <c r="A1944" t="str">
        <f t="shared" si="411"/>
        <v>89301000</v>
      </c>
      <c r="B1944" t="str">
        <f t="shared" si="412"/>
        <v>78051000</v>
      </c>
      <c r="C1944" t="str">
        <f t="shared" si="413"/>
        <v>78051004</v>
      </c>
      <c r="D1944" t="str">
        <f t="shared" si="414"/>
        <v>809</v>
      </c>
      <c r="E1944" t="str">
        <f t="shared" si="415"/>
        <v>89301062</v>
      </c>
      <c r="F1944" t="str">
        <f>"7212045764"</f>
        <v>7212045764</v>
      </c>
      <c r="G1944" s="1">
        <v>44629</v>
      </c>
      <c r="H1944" t="str">
        <f>"0225891"</f>
        <v>0225891</v>
      </c>
      <c r="I1944">
        <v>0.2</v>
      </c>
      <c r="K1944">
        <v>73.540000000000006</v>
      </c>
      <c r="L1944">
        <v>73.540000000000006</v>
      </c>
    </row>
    <row r="1945" spans="1:12" x14ac:dyDescent="0.25">
      <c r="A1945" t="str">
        <f t="shared" si="411"/>
        <v>89301000</v>
      </c>
      <c r="B1945" t="str">
        <f t="shared" si="412"/>
        <v>78051000</v>
      </c>
      <c r="C1945" t="str">
        <f t="shared" si="413"/>
        <v>78051004</v>
      </c>
      <c r="D1945" t="str">
        <f t="shared" si="414"/>
        <v>809</v>
      </c>
      <c r="E1945" t="str">
        <f t="shared" si="415"/>
        <v>89301062</v>
      </c>
      <c r="F1945" t="str">
        <f>"7212045764"</f>
        <v>7212045764</v>
      </c>
      <c r="G1945" s="1">
        <v>44629</v>
      </c>
      <c r="H1945" t="str">
        <f>"0096251"</f>
        <v>0096251</v>
      </c>
      <c r="I1945">
        <v>0.17</v>
      </c>
      <c r="K1945">
        <v>198.83</v>
      </c>
      <c r="L1945">
        <v>198.83</v>
      </c>
    </row>
    <row r="1946" spans="1:12" x14ac:dyDescent="0.25">
      <c r="A1946" t="str">
        <f t="shared" si="411"/>
        <v>89301000</v>
      </c>
      <c r="B1946" t="str">
        <f t="shared" si="412"/>
        <v>78051000</v>
      </c>
      <c r="C1946" t="str">
        <f t="shared" si="413"/>
        <v>78051004</v>
      </c>
      <c r="D1946" t="str">
        <f t="shared" si="414"/>
        <v>809</v>
      </c>
      <c r="E1946" t="str">
        <f t="shared" si="415"/>
        <v>89301062</v>
      </c>
      <c r="F1946" t="str">
        <f>"7212045764"</f>
        <v>7212045764</v>
      </c>
      <c r="G1946" s="1">
        <v>44629</v>
      </c>
      <c r="H1946" t="str">
        <f>"0098943"</f>
        <v>0098943</v>
      </c>
      <c r="I1946">
        <v>1</v>
      </c>
      <c r="K1946">
        <v>293.81</v>
      </c>
      <c r="L1946">
        <v>293.81</v>
      </c>
    </row>
    <row r="1947" spans="1:12" x14ac:dyDescent="0.25">
      <c r="A1947" t="str">
        <f t="shared" si="411"/>
        <v>89301000</v>
      </c>
      <c r="B1947" t="str">
        <f t="shared" si="412"/>
        <v>78051000</v>
      </c>
      <c r="C1947" t="str">
        <f t="shared" si="413"/>
        <v>78051004</v>
      </c>
      <c r="D1947" t="str">
        <f t="shared" si="414"/>
        <v>809</v>
      </c>
      <c r="E1947" t="str">
        <f t="shared" si="415"/>
        <v>89301062</v>
      </c>
      <c r="F1947" t="str">
        <f>"6610011793"</f>
        <v>6610011793</v>
      </c>
      <c r="G1947" s="1">
        <v>44629</v>
      </c>
      <c r="H1947" t="str">
        <f>"89311"</f>
        <v>89311</v>
      </c>
      <c r="I1947">
        <v>1</v>
      </c>
      <c r="J1947">
        <v>936</v>
      </c>
      <c r="K1947">
        <v>0</v>
      </c>
      <c r="L1947">
        <v>1310.4000000000001</v>
      </c>
    </row>
    <row r="1948" spans="1:12" x14ac:dyDescent="0.25">
      <c r="A1948" t="str">
        <f t="shared" si="411"/>
        <v>89301000</v>
      </c>
      <c r="B1948" t="str">
        <f t="shared" si="412"/>
        <v>78051000</v>
      </c>
      <c r="C1948" t="str">
        <f t="shared" si="413"/>
        <v>78051004</v>
      </c>
      <c r="D1948" t="str">
        <f t="shared" si="414"/>
        <v>809</v>
      </c>
      <c r="E1948" t="str">
        <f t="shared" si="415"/>
        <v>89301062</v>
      </c>
      <c r="F1948" t="str">
        <f>"6610011793"</f>
        <v>6610011793</v>
      </c>
      <c r="G1948" s="1">
        <v>44629</v>
      </c>
      <c r="H1948" t="str">
        <f>"0090044"</f>
        <v>0090044</v>
      </c>
      <c r="I1948">
        <v>1</v>
      </c>
      <c r="K1948">
        <v>16.8</v>
      </c>
      <c r="L1948">
        <v>16.8</v>
      </c>
    </row>
    <row r="1949" spans="1:12" x14ac:dyDescent="0.25">
      <c r="A1949" t="str">
        <f t="shared" si="411"/>
        <v>89301000</v>
      </c>
      <c r="B1949" t="str">
        <f t="shared" si="412"/>
        <v>78051000</v>
      </c>
      <c r="C1949" t="str">
        <f t="shared" si="413"/>
        <v>78051004</v>
      </c>
      <c r="D1949" t="str">
        <f t="shared" si="414"/>
        <v>809</v>
      </c>
      <c r="E1949" t="str">
        <f t="shared" si="415"/>
        <v>89301062</v>
      </c>
      <c r="F1949" t="str">
        <f>"6610011793"</f>
        <v>6610011793</v>
      </c>
      <c r="G1949" s="1">
        <v>44629</v>
      </c>
      <c r="H1949" t="str">
        <f>"0225891"</f>
        <v>0225891</v>
      </c>
      <c r="I1949">
        <v>0.2</v>
      </c>
      <c r="K1949">
        <v>73.540000000000006</v>
      </c>
      <c r="L1949">
        <v>73.540000000000006</v>
      </c>
    </row>
    <row r="1950" spans="1:12" x14ac:dyDescent="0.25">
      <c r="A1950" t="str">
        <f t="shared" si="411"/>
        <v>89301000</v>
      </c>
      <c r="B1950" t="str">
        <f t="shared" si="412"/>
        <v>78051000</v>
      </c>
      <c r="C1950" t="str">
        <f t="shared" si="413"/>
        <v>78051004</v>
      </c>
      <c r="D1950" t="str">
        <f t="shared" si="414"/>
        <v>809</v>
      </c>
      <c r="E1950" t="str">
        <f t="shared" si="415"/>
        <v>89301062</v>
      </c>
      <c r="F1950" t="str">
        <f>"6610011793"</f>
        <v>6610011793</v>
      </c>
      <c r="G1950" s="1">
        <v>44629</v>
      </c>
      <c r="H1950" t="str">
        <f>"0096251"</f>
        <v>0096251</v>
      </c>
      <c r="I1950">
        <v>0.17</v>
      </c>
      <c r="K1950">
        <v>198.83</v>
      </c>
      <c r="L1950">
        <v>198.83</v>
      </c>
    </row>
    <row r="1951" spans="1:12" x14ac:dyDescent="0.25">
      <c r="A1951" t="str">
        <f t="shared" si="411"/>
        <v>89301000</v>
      </c>
      <c r="B1951" t="str">
        <f t="shared" si="412"/>
        <v>78051000</v>
      </c>
      <c r="C1951" t="str">
        <f t="shared" si="413"/>
        <v>78051004</v>
      </c>
      <c r="D1951" t="str">
        <f t="shared" si="414"/>
        <v>809</v>
      </c>
      <c r="E1951" t="str">
        <f t="shared" si="415"/>
        <v>89301062</v>
      </c>
      <c r="F1951" t="str">
        <f>"6610011793"</f>
        <v>6610011793</v>
      </c>
      <c r="G1951" s="1">
        <v>44629</v>
      </c>
      <c r="H1951" t="str">
        <f>"0098943"</f>
        <v>0098943</v>
      </c>
      <c r="I1951">
        <v>1</v>
      </c>
      <c r="K1951">
        <v>293.81</v>
      </c>
      <c r="L1951">
        <v>293.81</v>
      </c>
    </row>
    <row r="1952" spans="1:12" x14ac:dyDescent="0.25">
      <c r="A1952" t="str">
        <f t="shared" si="411"/>
        <v>89301000</v>
      </c>
      <c r="B1952" t="str">
        <f t="shared" si="412"/>
        <v>78051000</v>
      </c>
      <c r="C1952" t="str">
        <f t="shared" si="413"/>
        <v>78051004</v>
      </c>
      <c r="D1952" t="str">
        <f t="shared" si="414"/>
        <v>809</v>
      </c>
      <c r="E1952" t="str">
        <f t="shared" si="415"/>
        <v>89301062</v>
      </c>
      <c r="F1952" t="str">
        <f>"5706101775"</f>
        <v>5706101775</v>
      </c>
      <c r="G1952" s="1">
        <v>44636</v>
      </c>
      <c r="H1952" t="str">
        <f>"89311"</f>
        <v>89311</v>
      </c>
      <c r="I1952">
        <v>1</v>
      </c>
      <c r="J1952">
        <v>936</v>
      </c>
      <c r="K1952">
        <v>0</v>
      </c>
      <c r="L1952">
        <v>1310.4000000000001</v>
      </c>
    </row>
    <row r="1953" spans="1:12" x14ac:dyDescent="0.25">
      <c r="A1953" t="str">
        <f t="shared" si="411"/>
        <v>89301000</v>
      </c>
      <c r="B1953" t="str">
        <f t="shared" si="412"/>
        <v>78051000</v>
      </c>
      <c r="C1953" t="str">
        <f t="shared" si="413"/>
        <v>78051004</v>
      </c>
      <c r="D1953" t="str">
        <f t="shared" si="414"/>
        <v>809</v>
      </c>
      <c r="E1953" t="str">
        <f t="shared" si="415"/>
        <v>89301062</v>
      </c>
      <c r="F1953" t="str">
        <f>"5706101775"</f>
        <v>5706101775</v>
      </c>
      <c r="G1953" s="1">
        <v>44636</v>
      </c>
      <c r="H1953" t="str">
        <f>"0090044"</f>
        <v>0090044</v>
      </c>
      <c r="I1953">
        <v>1</v>
      </c>
      <c r="K1953">
        <v>16.8</v>
      </c>
      <c r="L1953">
        <v>16.8</v>
      </c>
    </row>
    <row r="1954" spans="1:12" x14ac:dyDescent="0.25">
      <c r="A1954" t="str">
        <f t="shared" si="411"/>
        <v>89301000</v>
      </c>
      <c r="B1954" t="str">
        <f t="shared" ref="B1954:B1985" si="416">"78051000"</f>
        <v>78051000</v>
      </c>
      <c r="C1954" t="str">
        <f t="shared" ref="C1954:C1981" si="417">"78051004"</f>
        <v>78051004</v>
      </c>
      <c r="D1954" t="str">
        <f t="shared" ref="D1954:D1981" si="418">"809"</f>
        <v>809</v>
      </c>
      <c r="E1954" t="str">
        <f t="shared" ref="E1954:E1985" si="419">"89301062"</f>
        <v>89301062</v>
      </c>
      <c r="F1954" t="str">
        <f>"5706101775"</f>
        <v>5706101775</v>
      </c>
      <c r="G1954" s="1">
        <v>44636</v>
      </c>
      <c r="H1954" t="str">
        <f>"0225891"</f>
        <v>0225891</v>
      </c>
      <c r="I1954">
        <v>0.2</v>
      </c>
      <c r="K1954">
        <v>73.540000000000006</v>
      </c>
      <c r="L1954">
        <v>73.540000000000006</v>
      </c>
    </row>
    <row r="1955" spans="1:12" x14ac:dyDescent="0.25">
      <c r="A1955" t="str">
        <f t="shared" si="411"/>
        <v>89301000</v>
      </c>
      <c r="B1955" t="str">
        <f t="shared" si="416"/>
        <v>78051000</v>
      </c>
      <c r="C1955" t="str">
        <f t="shared" si="417"/>
        <v>78051004</v>
      </c>
      <c r="D1955" t="str">
        <f t="shared" si="418"/>
        <v>809</v>
      </c>
      <c r="E1955" t="str">
        <f t="shared" si="419"/>
        <v>89301062</v>
      </c>
      <c r="F1955" t="str">
        <f>"5706101775"</f>
        <v>5706101775</v>
      </c>
      <c r="G1955" s="1">
        <v>44636</v>
      </c>
      <c r="H1955" t="str">
        <f>"0096251"</f>
        <v>0096251</v>
      </c>
      <c r="I1955">
        <v>0.17</v>
      </c>
      <c r="K1955">
        <v>198.83</v>
      </c>
      <c r="L1955">
        <v>198.83</v>
      </c>
    </row>
    <row r="1956" spans="1:12" x14ac:dyDescent="0.25">
      <c r="A1956" t="str">
        <f t="shared" si="411"/>
        <v>89301000</v>
      </c>
      <c r="B1956" t="str">
        <f t="shared" si="416"/>
        <v>78051000</v>
      </c>
      <c r="C1956" t="str">
        <f t="shared" si="417"/>
        <v>78051004</v>
      </c>
      <c r="D1956" t="str">
        <f t="shared" si="418"/>
        <v>809</v>
      </c>
      <c r="E1956" t="str">
        <f t="shared" si="419"/>
        <v>89301062</v>
      </c>
      <c r="F1956" t="str">
        <f>"5706101775"</f>
        <v>5706101775</v>
      </c>
      <c r="G1956" s="1">
        <v>44636</v>
      </c>
      <c r="H1956" t="str">
        <f>"0098943"</f>
        <v>0098943</v>
      </c>
      <c r="I1956">
        <v>1</v>
      </c>
      <c r="K1956">
        <v>293.81</v>
      </c>
      <c r="L1956">
        <v>293.81</v>
      </c>
    </row>
    <row r="1957" spans="1:12" x14ac:dyDescent="0.25">
      <c r="A1957" t="str">
        <f t="shared" si="411"/>
        <v>89301000</v>
      </c>
      <c r="B1957" t="str">
        <f t="shared" si="416"/>
        <v>78051000</v>
      </c>
      <c r="C1957" t="str">
        <f t="shared" si="417"/>
        <v>78051004</v>
      </c>
      <c r="D1957" t="str">
        <f t="shared" si="418"/>
        <v>809</v>
      </c>
      <c r="E1957" t="str">
        <f t="shared" si="419"/>
        <v>89301062</v>
      </c>
      <c r="F1957" t="str">
        <f>"6452061682"</f>
        <v>6452061682</v>
      </c>
      <c r="G1957" s="1">
        <v>44636</v>
      </c>
      <c r="H1957" t="str">
        <f>"89311"</f>
        <v>89311</v>
      </c>
      <c r="I1957">
        <v>1</v>
      </c>
      <c r="J1957">
        <v>936</v>
      </c>
      <c r="K1957">
        <v>0</v>
      </c>
      <c r="L1957">
        <v>1310.4000000000001</v>
      </c>
    </row>
    <row r="1958" spans="1:12" x14ac:dyDescent="0.25">
      <c r="A1958" t="str">
        <f t="shared" si="411"/>
        <v>89301000</v>
      </c>
      <c r="B1958" t="str">
        <f t="shared" si="416"/>
        <v>78051000</v>
      </c>
      <c r="C1958" t="str">
        <f t="shared" si="417"/>
        <v>78051004</v>
      </c>
      <c r="D1958" t="str">
        <f t="shared" si="418"/>
        <v>809</v>
      </c>
      <c r="E1958" t="str">
        <f t="shared" si="419"/>
        <v>89301062</v>
      </c>
      <c r="F1958" t="str">
        <f>"6452061682"</f>
        <v>6452061682</v>
      </c>
      <c r="G1958" s="1">
        <v>44636</v>
      </c>
      <c r="H1958" t="str">
        <f>"0090044"</f>
        <v>0090044</v>
      </c>
      <c r="I1958">
        <v>1</v>
      </c>
      <c r="K1958">
        <v>16.8</v>
      </c>
      <c r="L1958">
        <v>16.8</v>
      </c>
    </row>
    <row r="1959" spans="1:12" x14ac:dyDescent="0.25">
      <c r="A1959" t="str">
        <f t="shared" si="411"/>
        <v>89301000</v>
      </c>
      <c r="B1959" t="str">
        <f t="shared" si="416"/>
        <v>78051000</v>
      </c>
      <c r="C1959" t="str">
        <f t="shared" si="417"/>
        <v>78051004</v>
      </c>
      <c r="D1959" t="str">
        <f t="shared" si="418"/>
        <v>809</v>
      </c>
      <c r="E1959" t="str">
        <f t="shared" si="419"/>
        <v>89301062</v>
      </c>
      <c r="F1959" t="str">
        <f>"6452061682"</f>
        <v>6452061682</v>
      </c>
      <c r="G1959" s="1">
        <v>44636</v>
      </c>
      <c r="H1959" t="str">
        <f>"0225891"</f>
        <v>0225891</v>
      </c>
      <c r="I1959">
        <v>0.2</v>
      </c>
      <c r="K1959">
        <v>73.540000000000006</v>
      </c>
      <c r="L1959">
        <v>73.540000000000006</v>
      </c>
    </row>
    <row r="1960" spans="1:12" x14ac:dyDescent="0.25">
      <c r="A1960" t="str">
        <f t="shared" si="411"/>
        <v>89301000</v>
      </c>
      <c r="B1960" t="str">
        <f t="shared" si="416"/>
        <v>78051000</v>
      </c>
      <c r="C1960" t="str">
        <f t="shared" si="417"/>
        <v>78051004</v>
      </c>
      <c r="D1960" t="str">
        <f t="shared" si="418"/>
        <v>809</v>
      </c>
      <c r="E1960" t="str">
        <f t="shared" si="419"/>
        <v>89301062</v>
      </c>
      <c r="F1960" t="str">
        <f>"6452061682"</f>
        <v>6452061682</v>
      </c>
      <c r="G1960" s="1">
        <v>44636</v>
      </c>
      <c r="H1960" t="str">
        <f>"0096251"</f>
        <v>0096251</v>
      </c>
      <c r="I1960">
        <v>0.17</v>
      </c>
      <c r="K1960">
        <v>198.83</v>
      </c>
      <c r="L1960">
        <v>198.83</v>
      </c>
    </row>
    <row r="1961" spans="1:12" x14ac:dyDescent="0.25">
      <c r="A1961" t="str">
        <f t="shared" si="411"/>
        <v>89301000</v>
      </c>
      <c r="B1961" t="str">
        <f t="shared" si="416"/>
        <v>78051000</v>
      </c>
      <c r="C1961" t="str">
        <f t="shared" si="417"/>
        <v>78051004</v>
      </c>
      <c r="D1961" t="str">
        <f t="shared" si="418"/>
        <v>809</v>
      </c>
      <c r="E1961" t="str">
        <f t="shared" si="419"/>
        <v>89301062</v>
      </c>
      <c r="F1961" t="str">
        <f>"6452061682"</f>
        <v>6452061682</v>
      </c>
      <c r="G1961" s="1">
        <v>44636</v>
      </c>
      <c r="H1961" t="str">
        <f>"0098943"</f>
        <v>0098943</v>
      </c>
      <c r="I1961">
        <v>1</v>
      </c>
      <c r="K1961">
        <v>293.81</v>
      </c>
      <c r="L1961">
        <v>293.81</v>
      </c>
    </row>
    <row r="1962" spans="1:12" x14ac:dyDescent="0.25">
      <c r="A1962" t="str">
        <f t="shared" si="411"/>
        <v>89301000</v>
      </c>
      <c r="B1962" t="str">
        <f t="shared" si="416"/>
        <v>78051000</v>
      </c>
      <c r="C1962" t="str">
        <f t="shared" si="417"/>
        <v>78051004</v>
      </c>
      <c r="D1962" t="str">
        <f t="shared" si="418"/>
        <v>809</v>
      </c>
      <c r="E1962" t="str">
        <f t="shared" si="419"/>
        <v>89301062</v>
      </c>
      <c r="F1962" t="str">
        <f>"6456080543"</f>
        <v>6456080543</v>
      </c>
      <c r="G1962" s="1">
        <v>44643</v>
      </c>
      <c r="H1962" t="str">
        <f>"89311"</f>
        <v>89311</v>
      </c>
      <c r="I1962">
        <v>1</v>
      </c>
      <c r="J1962">
        <v>936</v>
      </c>
      <c r="K1962">
        <v>0</v>
      </c>
      <c r="L1962">
        <v>1310.4000000000001</v>
      </c>
    </row>
    <row r="1963" spans="1:12" x14ac:dyDescent="0.25">
      <c r="A1963" t="str">
        <f t="shared" si="411"/>
        <v>89301000</v>
      </c>
      <c r="B1963" t="str">
        <f t="shared" si="416"/>
        <v>78051000</v>
      </c>
      <c r="C1963" t="str">
        <f t="shared" si="417"/>
        <v>78051004</v>
      </c>
      <c r="D1963" t="str">
        <f t="shared" si="418"/>
        <v>809</v>
      </c>
      <c r="E1963" t="str">
        <f t="shared" si="419"/>
        <v>89301062</v>
      </c>
      <c r="F1963" t="str">
        <f>"6456080543"</f>
        <v>6456080543</v>
      </c>
      <c r="G1963" s="1">
        <v>44643</v>
      </c>
      <c r="H1963" t="str">
        <f>"0090044"</f>
        <v>0090044</v>
      </c>
      <c r="I1963">
        <v>1</v>
      </c>
      <c r="K1963">
        <v>16.8</v>
      </c>
      <c r="L1963">
        <v>16.8</v>
      </c>
    </row>
    <row r="1964" spans="1:12" x14ac:dyDescent="0.25">
      <c r="A1964" t="str">
        <f t="shared" si="411"/>
        <v>89301000</v>
      </c>
      <c r="B1964" t="str">
        <f t="shared" si="416"/>
        <v>78051000</v>
      </c>
      <c r="C1964" t="str">
        <f t="shared" si="417"/>
        <v>78051004</v>
      </c>
      <c r="D1964" t="str">
        <f t="shared" si="418"/>
        <v>809</v>
      </c>
      <c r="E1964" t="str">
        <f t="shared" si="419"/>
        <v>89301062</v>
      </c>
      <c r="F1964" t="str">
        <f>"6456080543"</f>
        <v>6456080543</v>
      </c>
      <c r="G1964" s="1">
        <v>44643</v>
      </c>
      <c r="H1964" t="str">
        <f>"0225891"</f>
        <v>0225891</v>
      </c>
      <c r="I1964">
        <v>0.2</v>
      </c>
      <c r="K1964">
        <v>73.540000000000006</v>
      </c>
      <c r="L1964">
        <v>73.540000000000006</v>
      </c>
    </row>
    <row r="1965" spans="1:12" x14ac:dyDescent="0.25">
      <c r="A1965" t="str">
        <f t="shared" si="411"/>
        <v>89301000</v>
      </c>
      <c r="B1965" t="str">
        <f t="shared" si="416"/>
        <v>78051000</v>
      </c>
      <c r="C1965" t="str">
        <f t="shared" si="417"/>
        <v>78051004</v>
      </c>
      <c r="D1965" t="str">
        <f t="shared" si="418"/>
        <v>809</v>
      </c>
      <c r="E1965" t="str">
        <f t="shared" si="419"/>
        <v>89301062</v>
      </c>
      <c r="F1965" t="str">
        <f>"6456080543"</f>
        <v>6456080543</v>
      </c>
      <c r="G1965" s="1">
        <v>44643</v>
      </c>
      <c r="H1965" t="str">
        <f>"0096251"</f>
        <v>0096251</v>
      </c>
      <c r="I1965">
        <v>0.17</v>
      </c>
      <c r="K1965">
        <v>198.83</v>
      </c>
      <c r="L1965">
        <v>198.83</v>
      </c>
    </row>
    <row r="1966" spans="1:12" x14ac:dyDescent="0.25">
      <c r="A1966" t="str">
        <f t="shared" si="411"/>
        <v>89301000</v>
      </c>
      <c r="B1966" t="str">
        <f t="shared" si="416"/>
        <v>78051000</v>
      </c>
      <c r="C1966" t="str">
        <f t="shared" si="417"/>
        <v>78051004</v>
      </c>
      <c r="D1966" t="str">
        <f t="shared" si="418"/>
        <v>809</v>
      </c>
      <c r="E1966" t="str">
        <f t="shared" si="419"/>
        <v>89301062</v>
      </c>
      <c r="F1966" t="str">
        <f>"6456080543"</f>
        <v>6456080543</v>
      </c>
      <c r="G1966" s="1">
        <v>44643</v>
      </c>
      <c r="H1966" t="str">
        <f>"0098943"</f>
        <v>0098943</v>
      </c>
      <c r="I1966">
        <v>1</v>
      </c>
      <c r="K1966">
        <v>293.81</v>
      </c>
      <c r="L1966">
        <v>293.81</v>
      </c>
    </row>
    <row r="1967" spans="1:12" x14ac:dyDescent="0.25">
      <c r="A1967" t="str">
        <f t="shared" si="411"/>
        <v>89301000</v>
      </c>
      <c r="B1967" t="str">
        <f t="shared" si="416"/>
        <v>78051000</v>
      </c>
      <c r="C1967" t="str">
        <f t="shared" si="417"/>
        <v>78051004</v>
      </c>
      <c r="D1967" t="str">
        <f t="shared" si="418"/>
        <v>809</v>
      </c>
      <c r="E1967" t="str">
        <f t="shared" si="419"/>
        <v>89301062</v>
      </c>
      <c r="F1967" t="str">
        <f>"6754152284"</f>
        <v>6754152284</v>
      </c>
      <c r="G1967" s="1">
        <v>44650</v>
      </c>
      <c r="H1967" t="str">
        <f>"89311"</f>
        <v>89311</v>
      </c>
      <c r="I1967">
        <v>1</v>
      </c>
      <c r="J1967">
        <v>936</v>
      </c>
      <c r="K1967">
        <v>0</v>
      </c>
      <c r="L1967">
        <v>1310.4000000000001</v>
      </c>
    </row>
    <row r="1968" spans="1:12" x14ac:dyDescent="0.25">
      <c r="A1968" t="str">
        <f t="shared" si="411"/>
        <v>89301000</v>
      </c>
      <c r="B1968" t="str">
        <f t="shared" si="416"/>
        <v>78051000</v>
      </c>
      <c r="C1968" t="str">
        <f t="shared" si="417"/>
        <v>78051004</v>
      </c>
      <c r="D1968" t="str">
        <f t="shared" si="418"/>
        <v>809</v>
      </c>
      <c r="E1968" t="str">
        <f t="shared" si="419"/>
        <v>89301062</v>
      </c>
      <c r="F1968" t="str">
        <f>"6754152284"</f>
        <v>6754152284</v>
      </c>
      <c r="G1968" s="1">
        <v>44650</v>
      </c>
      <c r="H1968" t="str">
        <f>"0090044"</f>
        <v>0090044</v>
      </c>
      <c r="I1968">
        <v>1</v>
      </c>
      <c r="K1968">
        <v>16.8</v>
      </c>
      <c r="L1968">
        <v>16.8</v>
      </c>
    </row>
    <row r="1969" spans="1:12" x14ac:dyDescent="0.25">
      <c r="A1969" t="str">
        <f t="shared" si="411"/>
        <v>89301000</v>
      </c>
      <c r="B1969" t="str">
        <f t="shared" si="416"/>
        <v>78051000</v>
      </c>
      <c r="C1969" t="str">
        <f t="shared" si="417"/>
        <v>78051004</v>
      </c>
      <c r="D1969" t="str">
        <f t="shared" si="418"/>
        <v>809</v>
      </c>
      <c r="E1969" t="str">
        <f t="shared" si="419"/>
        <v>89301062</v>
      </c>
      <c r="F1969" t="str">
        <f>"6754152284"</f>
        <v>6754152284</v>
      </c>
      <c r="G1969" s="1">
        <v>44650</v>
      </c>
      <c r="H1969" t="str">
        <f>"0225891"</f>
        <v>0225891</v>
      </c>
      <c r="I1969">
        <v>0.2</v>
      </c>
      <c r="K1969">
        <v>73.540000000000006</v>
      </c>
      <c r="L1969">
        <v>73.540000000000006</v>
      </c>
    </row>
    <row r="1970" spans="1:12" x14ac:dyDescent="0.25">
      <c r="A1970" t="str">
        <f t="shared" si="411"/>
        <v>89301000</v>
      </c>
      <c r="B1970" t="str">
        <f t="shared" si="416"/>
        <v>78051000</v>
      </c>
      <c r="C1970" t="str">
        <f t="shared" si="417"/>
        <v>78051004</v>
      </c>
      <c r="D1970" t="str">
        <f t="shared" si="418"/>
        <v>809</v>
      </c>
      <c r="E1970" t="str">
        <f t="shared" si="419"/>
        <v>89301062</v>
      </c>
      <c r="F1970" t="str">
        <f>"6754152284"</f>
        <v>6754152284</v>
      </c>
      <c r="G1970" s="1">
        <v>44650</v>
      </c>
      <c r="H1970" t="str">
        <f>"0096251"</f>
        <v>0096251</v>
      </c>
      <c r="I1970">
        <v>0.17</v>
      </c>
      <c r="K1970">
        <v>198.83</v>
      </c>
      <c r="L1970">
        <v>198.83</v>
      </c>
    </row>
    <row r="1971" spans="1:12" x14ac:dyDescent="0.25">
      <c r="A1971" t="str">
        <f t="shared" si="411"/>
        <v>89301000</v>
      </c>
      <c r="B1971" t="str">
        <f t="shared" si="416"/>
        <v>78051000</v>
      </c>
      <c r="C1971" t="str">
        <f t="shared" si="417"/>
        <v>78051004</v>
      </c>
      <c r="D1971" t="str">
        <f t="shared" si="418"/>
        <v>809</v>
      </c>
      <c r="E1971" t="str">
        <f t="shared" si="419"/>
        <v>89301062</v>
      </c>
      <c r="F1971" t="str">
        <f>"6754152284"</f>
        <v>6754152284</v>
      </c>
      <c r="G1971" s="1">
        <v>44650</v>
      </c>
      <c r="H1971" t="str">
        <f>"0098943"</f>
        <v>0098943</v>
      </c>
      <c r="I1971">
        <v>1</v>
      </c>
      <c r="K1971">
        <v>293.81</v>
      </c>
      <c r="L1971">
        <v>293.81</v>
      </c>
    </row>
    <row r="1972" spans="1:12" x14ac:dyDescent="0.25">
      <c r="A1972" t="str">
        <f t="shared" si="411"/>
        <v>89301000</v>
      </c>
      <c r="B1972" t="str">
        <f t="shared" si="416"/>
        <v>78051000</v>
      </c>
      <c r="C1972" t="str">
        <f t="shared" si="417"/>
        <v>78051004</v>
      </c>
      <c r="D1972" t="str">
        <f t="shared" si="418"/>
        <v>809</v>
      </c>
      <c r="E1972" t="str">
        <f t="shared" si="419"/>
        <v>89301062</v>
      </c>
      <c r="F1972" t="str">
        <f>"7861095319"</f>
        <v>7861095319</v>
      </c>
      <c r="G1972" s="1">
        <v>44650</v>
      </c>
      <c r="H1972" t="str">
        <f>"89311"</f>
        <v>89311</v>
      </c>
      <c r="I1972">
        <v>1</v>
      </c>
      <c r="J1972">
        <v>936</v>
      </c>
      <c r="K1972">
        <v>0</v>
      </c>
      <c r="L1972">
        <v>1310.4000000000001</v>
      </c>
    </row>
    <row r="1973" spans="1:12" x14ac:dyDescent="0.25">
      <c r="A1973" t="str">
        <f t="shared" si="411"/>
        <v>89301000</v>
      </c>
      <c r="B1973" t="str">
        <f t="shared" si="416"/>
        <v>78051000</v>
      </c>
      <c r="C1973" t="str">
        <f t="shared" si="417"/>
        <v>78051004</v>
      </c>
      <c r="D1973" t="str">
        <f t="shared" si="418"/>
        <v>809</v>
      </c>
      <c r="E1973" t="str">
        <f t="shared" si="419"/>
        <v>89301062</v>
      </c>
      <c r="F1973" t="str">
        <f>"7861095319"</f>
        <v>7861095319</v>
      </c>
      <c r="G1973" s="1">
        <v>44650</v>
      </c>
      <c r="H1973" t="str">
        <f>"0090044"</f>
        <v>0090044</v>
      </c>
      <c r="I1973">
        <v>1</v>
      </c>
      <c r="K1973">
        <v>16.8</v>
      </c>
      <c r="L1973">
        <v>16.8</v>
      </c>
    </row>
    <row r="1974" spans="1:12" x14ac:dyDescent="0.25">
      <c r="A1974" t="str">
        <f t="shared" si="411"/>
        <v>89301000</v>
      </c>
      <c r="B1974" t="str">
        <f t="shared" si="416"/>
        <v>78051000</v>
      </c>
      <c r="C1974" t="str">
        <f t="shared" si="417"/>
        <v>78051004</v>
      </c>
      <c r="D1974" t="str">
        <f t="shared" si="418"/>
        <v>809</v>
      </c>
      <c r="E1974" t="str">
        <f t="shared" si="419"/>
        <v>89301062</v>
      </c>
      <c r="F1974" t="str">
        <f>"7861095319"</f>
        <v>7861095319</v>
      </c>
      <c r="G1974" s="1">
        <v>44650</v>
      </c>
      <c r="H1974" t="str">
        <f>"0225891"</f>
        <v>0225891</v>
      </c>
      <c r="I1974">
        <v>0.2</v>
      </c>
      <c r="K1974">
        <v>73.540000000000006</v>
      </c>
      <c r="L1974">
        <v>73.540000000000006</v>
      </c>
    </row>
    <row r="1975" spans="1:12" x14ac:dyDescent="0.25">
      <c r="A1975" t="str">
        <f t="shared" si="411"/>
        <v>89301000</v>
      </c>
      <c r="B1975" t="str">
        <f t="shared" si="416"/>
        <v>78051000</v>
      </c>
      <c r="C1975" t="str">
        <f t="shared" si="417"/>
        <v>78051004</v>
      </c>
      <c r="D1975" t="str">
        <f t="shared" si="418"/>
        <v>809</v>
      </c>
      <c r="E1975" t="str">
        <f t="shared" si="419"/>
        <v>89301062</v>
      </c>
      <c r="F1975" t="str">
        <f>"7861095319"</f>
        <v>7861095319</v>
      </c>
      <c r="G1975" s="1">
        <v>44650</v>
      </c>
      <c r="H1975" t="str">
        <f>"0096251"</f>
        <v>0096251</v>
      </c>
      <c r="I1975">
        <v>0.17</v>
      </c>
      <c r="K1975">
        <v>198.83</v>
      </c>
      <c r="L1975">
        <v>198.83</v>
      </c>
    </row>
    <row r="1976" spans="1:12" x14ac:dyDescent="0.25">
      <c r="A1976" t="str">
        <f t="shared" si="411"/>
        <v>89301000</v>
      </c>
      <c r="B1976" t="str">
        <f t="shared" si="416"/>
        <v>78051000</v>
      </c>
      <c r="C1976" t="str">
        <f t="shared" si="417"/>
        <v>78051004</v>
      </c>
      <c r="D1976" t="str">
        <f t="shared" si="418"/>
        <v>809</v>
      </c>
      <c r="E1976" t="str">
        <f t="shared" si="419"/>
        <v>89301062</v>
      </c>
      <c r="F1976" t="str">
        <f>"7861095319"</f>
        <v>7861095319</v>
      </c>
      <c r="G1976" s="1">
        <v>44650</v>
      </c>
      <c r="H1976" t="str">
        <f>"0098943"</f>
        <v>0098943</v>
      </c>
      <c r="I1976">
        <v>1</v>
      </c>
      <c r="K1976">
        <v>293.81</v>
      </c>
      <c r="L1976">
        <v>293.81</v>
      </c>
    </row>
    <row r="1977" spans="1:12" x14ac:dyDescent="0.25">
      <c r="A1977" t="str">
        <f t="shared" si="411"/>
        <v>89301000</v>
      </c>
      <c r="B1977" t="str">
        <f t="shared" si="416"/>
        <v>78051000</v>
      </c>
      <c r="C1977" t="str">
        <f t="shared" si="417"/>
        <v>78051004</v>
      </c>
      <c r="D1977" t="str">
        <f t="shared" si="418"/>
        <v>809</v>
      </c>
      <c r="E1977" t="str">
        <f t="shared" si="419"/>
        <v>89301062</v>
      </c>
      <c r="F1977" t="str">
        <f>"495828092"</f>
        <v>495828092</v>
      </c>
      <c r="G1977" s="1">
        <v>44650</v>
      </c>
      <c r="H1977" t="str">
        <f>"89311"</f>
        <v>89311</v>
      </c>
      <c r="I1977">
        <v>1</v>
      </c>
      <c r="J1977">
        <v>936</v>
      </c>
      <c r="K1977">
        <v>0</v>
      </c>
      <c r="L1977">
        <v>1310.4000000000001</v>
      </c>
    </row>
    <row r="1978" spans="1:12" x14ac:dyDescent="0.25">
      <c r="A1978" t="str">
        <f t="shared" si="411"/>
        <v>89301000</v>
      </c>
      <c r="B1978" t="str">
        <f t="shared" si="416"/>
        <v>78051000</v>
      </c>
      <c r="C1978" t="str">
        <f t="shared" si="417"/>
        <v>78051004</v>
      </c>
      <c r="D1978" t="str">
        <f t="shared" si="418"/>
        <v>809</v>
      </c>
      <c r="E1978" t="str">
        <f t="shared" si="419"/>
        <v>89301062</v>
      </c>
      <c r="F1978" t="str">
        <f>"495828092"</f>
        <v>495828092</v>
      </c>
      <c r="G1978" s="1">
        <v>44650</v>
      </c>
      <c r="H1978" t="str">
        <f>"0090044"</f>
        <v>0090044</v>
      </c>
      <c r="I1978">
        <v>1</v>
      </c>
      <c r="K1978">
        <v>16.8</v>
      </c>
      <c r="L1978">
        <v>16.8</v>
      </c>
    </row>
    <row r="1979" spans="1:12" x14ac:dyDescent="0.25">
      <c r="A1979" t="str">
        <f t="shared" si="411"/>
        <v>89301000</v>
      </c>
      <c r="B1979" t="str">
        <f t="shared" si="416"/>
        <v>78051000</v>
      </c>
      <c r="C1979" t="str">
        <f t="shared" si="417"/>
        <v>78051004</v>
      </c>
      <c r="D1979" t="str">
        <f t="shared" si="418"/>
        <v>809</v>
      </c>
      <c r="E1979" t="str">
        <f t="shared" si="419"/>
        <v>89301062</v>
      </c>
      <c r="F1979" t="str">
        <f>"495828092"</f>
        <v>495828092</v>
      </c>
      <c r="G1979" s="1">
        <v>44650</v>
      </c>
      <c r="H1979" t="str">
        <f>"0225891"</f>
        <v>0225891</v>
      </c>
      <c r="I1979">
        <v>0.2</v>
      </c>
      <c r="K1979">
        <v>73.540000000000006</v>
      </c>
      <c r="L1979">
        <v>73.540000000000006</v>
      </c>
    </row>
    <row r="1980" spans="1:12" x14ac:dyDescent="0.25">
      <c r="A1980" t="str">
        <f t="shared" si="411"/>
        <v>89301000</v>
      </c>
      <c r="B1980" t="str">
        <f t="shared" si="416"/>
        <v>78051000</v>
      </c>
      <c r="C1980" t="str">
        <f t="shared" si="417"/>
        <v>78051004</v>
      </c>
      <c r="D1980" t="str">
        <f t="shared" si="418"/>
        <v>809</v>
      </c>
      <c r="E1980" t="str">
        <f t="shared" si="419"/>
        <v>89301062</v>
      </c>
      <c r="F1980" t="str">
        <f>"495828092"</f>
        <v>495828092</v>
      </c>
      <c r="G1980" s="1">
        <v>44650</v>
      </c>
      <c r="H1980" t="str">
        <f>"0096251"</f>
        <v>0096251</v>
      </c>
      <c r="I1980">
        <v>0.17</v>
      </c>
      <c r="K1980">
        <v>198.83</v>
      </c>
      <c r="L1980">
        <v>198.83</v>
      </c>
    </row>
    <row r="1981" spans="1:12" x14ac:dyDescent="0.25">
      <c r="A1981" t="str">
        <f t="shared" si="411"/>
        <v>89301000</v>
      </c>
      <c r="B1981" t="str">
        <f t="shared" si="416"/>
        <v>78051000</v>
      </c>
      <c r="C1981" t="str">
        <f t="shared" si="417"/>
        <v>78051004</v>
      </c>
      <c r="D1981" t="str">
        <f t="shared" si="418"/>
        <v>809</v>
      </c>
      <c r="E1981" t="str">
        <f t="shared" si="419"/>
        <v>89301062</v>
      </c>
      <c r="F1981" t="str">
        <f>"495828092"</f>
        <v>495828092</v>
      </c>
      <c r="G1981" s="1">
        <v>44650</v>
      </c>
      <c r="H1981" t="str">
        <f>"0098943"</f>
        <v>0098943</v>
      </c>
      <c r="I1981">
        <v>1</v>
      </c>
      <c r="K1981">
        <v>293.81</v>
      </c>
      <c r="L1981">
        <v>293.81</v>
      </c>
    </row>
    <row r="1982" spans="1:12" x14ac:dyDescent="0.25">
      <c r="A1982" t="str">
        <f t="shared" si="411"/>
        <v>89301000</v>
      </c>
      <c r="B1982" t="str">
        <f t="shared" si="416"/>
        <v>78051000</v>
      </c>
      <c r="C1982" t="str">
        <f t="shared" ref="C1982:C1993" si="420">"78051017"</f>
        <v>78051017</v>
      </c>
      <c r="D1982" t="str">
        <f t="shared" ref="D1982:D1993" si="421">"810"</f>
        <v>810</v>
      </c>
      <c r="E1982" t="str">
        <f t="shared" si="419"/>
        <v>89301062</v>
      </c>
      <c r="F1982" t="str">
        <f>"6559070529"</f>
        <v>6559070529</v>
      </c>
      <c r="G1982" s="1">
        <v>44621</v>
      </c>
      <c r="H1982" t="str">
        <f t="shared" ref="H1982:H1993" si="422">"89615"</f>
        <v>89615</v>
      </c>
      <c r="I1982">
        <v>1</v>
      </c>
      <c r="J1982">
        <v>2170</v>
      </c>
      <c r="K1982">
        <v>0</v>
      </c>
      <c r="L1982">
        <v>1302</v>
      </c>
    </row>
    <row r="1983" spans="1:12" x14ac:dyDescent="0.25">
      <c r="A1983" t="str">
        <f t="shared" si="411"/>
        <v>89301000</v>
      </c>
      <c r="B1983" t="str">
        <f t="shared" si="416"/>
        <v>78051000</v>
      </c>
      <c r="C1983" t="str">
        <f t="shared" si="420"/>
        <v>78051017</v>
      </c>
      <c r="D1983" t="str">
        <f t="shared" si="421"/>
        <v>810</v>
      </c>
      <c r="E1983" t="str">
        <f t="shared" si="419"/>
        <v>89301062</v>
      </c>
      <c r="F1983" t="str">
        <f>"6561141400"</f>
        <v>6561141400</v>
      </c>
      <c r="G1983" s="1">
        <v>44629</v>
      </c>
      <c r="H1983" t="str">
        <f t="shared" si="422"/>
        <v>89615</v>
      </c>
      <c r="I1983">
        <v>1</v>
      </c>
      <c r="J1983">
        <v>2170</v>
      </c>
      <c r="K1983">
        <v>0</v>
      </c>
      <c r="L1983">
        <v>1302</v>
      </c>
    </row>
    <row r="1984" spans="1:12" x14ac:dyDescent="0.25">
      <c r="A1984" t="str">
        <f t="shared" si="411"/>
        <v>89301000</v>
      </c>
      <c r="B1984" t="str">
        <f t="shared" si="416"/>
        <v>78051000</v>
      </c>
      <c r="C1984" t="str">
        <f t="shared" si="420"/>
        <v>78051017</v>
      </c>
      <c r="D1984" t="str">
        <f t="shared" si="421"/>
        <v>810</v>
      </c>
      <c r="E1984" t="str">
        <f t="shared" si="419"/>
        <v>89301062</v>
      </c>
      <c r="F1984" t="str">
        <f>"510112207"</f>
        <v>510112207</v>
      </c>
      <c r="G1984" s="1">
        <v>44629</v>
      </c>
      <c r="H1984" t="str">
        <f t="shared" si="422"/>
        <v>89615</v>
      </c>
      <c r="I1984">
        <v>1</v>
      </c>
      <c r="J1984">
        <v>2170</v>
      </c>
      <c r="K1984">
        <v>0</v>
      </c>
      <c r="L1984">
        <v>1302</v>
      </c>
    </row>
    <row r="1985" spans="1:12" x14ac:dyDescent="0.25">
      <c r="A1985" t="str">
        <f t="shared" si="411"/>
        <v>89301000</v>
      </c>
      <c r="B1985" t="str">
        <f t="shared" si="416"/>
        <v>78051000</v>
      </c>
      <c r="C1985" t="str">
        <f t="shared" si="420"/>
        <v>78051017</v>
      </c>
      <c r="D1985" t="str">
        <f t="shared" si="421"/>
        <v>810</v>
      </c>
      <c r="E1985" t="str">
        <f t="shared" si="419"/>
        <v>89301062</v>
      </c>
      <c r="F1985" t="str">
        <f>"7052145309"</f>
        <v>7052145309</v>
      </c>
      <c r="G1985" s="1">
        <v>44629</v>
      </c>
      <c r="H1985" t="str">
        <f t="shared" si="422"/>
        <v>89615</v>
      </c>
      <c r="I1985">
        <v>1</v>
      </c>
      <c r="J1985">
        <v>2170</v>
      </c>
      <c r="K1985">
        <v>0</v>
      </c>
      <c r="L1985">
        <v>1302</v>
      </c>
    </row>
    <row r="1986" spans="1:12" x14ac:dyDescent="0.25">
      <c r="A1986" t="str">
        <f t="shared" ref="A1986:A2049" si="423">"89301000"</f>
        <v>89301000</v>
      </c>
      <c r="B1986" t="str">
        <f t="shared" ref="B1986:B1993" si="424">"78051000"</f>
        <v>78051000</v>
      </c>
      <c r="C1986" t="str">
        <f t="shared" si="420"/>
        <v>78051017</v>
      </c>
      <c r="D1986" t="str">
        <f t="shared" si="421"/>
        <v>810</v>
      </c>
      <c r="E1986" t="str">
        <f t="shared" ref="E1986:E1993" si="425">"89301062"</f>
        <v>89301062</v>
      </c>
      <c r="F1986" t="str">
        <f>"7212045764"</f>
        <v>7212045764</v>
      </c>
      <c r="G1986" s="1">
        <v>44629</v>
      </c>
      <c r="H1986" t="str">
        <f t="shared" si="422"/>
        <v>89615</v>
      </c>
      <c r="I1986">
        <v>1</v>
      </c>
      <c r="J1986">
        <v>2170</v>
      </c>
      <c r="K1986">
        <v>0</v>
      </c>
      <c r="L1986">
        <v>1302</v>
      </c>
    </row>
    <row r="1987" spans="1:12" x14ac:dyDescent="0.25">
      <c r="A1987" t="str">
        <f t="shared" si="423"/>
        <v>89301000</v>
      </c>
      <c r="B1987" t="str">
        <f t="shared" si="424"/>
        <v>78051000</v>
      </c>
      <c r="C1987" t="str">
        <f t="shared" si="420"/>
        <v>78051017</v>
      </c>
      <c r="D1987" t="str">
        <f t="shared" si="421"/>
        <v>810</v>
      </c>
      <c r="E1987" t="str">
        <f t="shared" si="425"/>
        <v>89301062</v>
      </c>
      <c r="F1987" t="str">
        <f>"6610011793"</f>
        <v>6610011793</v>
      </c>
      <c r="G1987" s="1">
        <v>44629</v>
      </c>
      <c r="H1987" t="str">
        <f t="shared" si="422"/>
        <v>89615</v>
      </c>
      <c r="I1987">
        <v>1</v>
      </c>
      <c r="J1987">
        <v>2170</v>
      </c>
      <c r="K1987">
        <v>0</v>
      </c>
      <c r="L1987">
        <v>1302</v>
      </c>
    </row>
    <row r="1988" spans="1:12" x14ac:dyDescent="0.25">
      <c r="A1988" t="str">
        <f t="shared" si="423"/>
        <v>89301000</v>
      </c>
      <c r="B1988" t="str">
        <f t="shared" si="424"/>
        <v>78051000</v>
      </c>
      <c r="C1988" t="str">
        <f t="shared" si="420"/>
        <v>78051017</v>
      </c>
      <c r="D1988" t="str">
        <f t="shared" si="421"/>
        <v>810</v>
      </c>
      <c r="E1988" t="str">
        <f t="shared" si="425"/>
        <v>89301062</v>
      </c>
      <c r="F1988" t="str">
        <f>"5706101775"</f>
        <v>5706101775</v>
      </c>
      <c r="G1988" s="1">
        <v>44636</v>
      </c>
      <c r="H1988" t="str">
        <f t="shared" si="422"/>
        <v>89615</v>
      </c>
      <c r="I1988">
        <v>1</v>
      </c>
      <c r="J1988">
        <v>2170</v>
      </c>
      <c r="K1988">
        <v>0</v>
      </c>
      <c r="L1988">
        <v>1302</v>
      </c>
    </row>
    <row r="1989" spans="1:12" x14ac:dyDescent="0.25">
      <c r="A1989" t="str">
        <f t="shared" si="423"/>
        <v>89301000</v>
      </c>
      <c r="B1989" t="str">
        <f t="shared" si="424"/>
        <v>78051000</v>
      </c>
      <c r="C1989" t="str">
        <f t="shared" si="420"/>
        <v>78051017</v>
      </c>
      <c r="D1989" t="str">
        <f t="shared" si="421"/>
        <v>810</v>
      </c>
      <c r="E1989" t="str">
        <f t="shared" si="425"/>
        <v>89301062</v>
      </c>
      <c r="F1989" t="str">
        <f>"6452061682"</f>
        <v>6452061682</v>
      </c>
      <c r="G1989" s="1">
        <v>44636</v>
      </c>
      <c r="H1989" t="str">
        <f t="shared" si="422"/>
        <v>89615</v>
      </c>
      <c r="I1989">
        <v>1</v>
      </c>
      <c r="J1989">
        <v>2170</v>
      </c>
      <c r="K1989">
        <v>0</v>
      </c>
      <c r="L1989">
        <v>1302</v>
      </c>
    </row>
    <row r="1990" spans="1:12" x14ac:dyDescent="0.25">
      <c r="A1990" t="str">
        <f t="shared" si="423"/>
        <v>89301000</v>
      </c>
      <c r="B1990" t="str">
        <f t="shared" si="424"/>
        <v>78051000</v>
      </c>
      <c r="C1990" t="str">
        <f t="shared" si="420"/>
        <v>78051017</v>
      </c>
      <c r="D1990" t="str">
        <f t="shared" si="421"/>
        <v>810</v>
      </c>
      <c r="E1990" t="str">
        <f t="shared" si="425"/>
        <v>89301062</v>
      </c>
      <c r="F1990" t="str">
        <f>"6456080543"</f>
        <v>6456080543</v>
      </c>
      <c r="G1990" s="1">
        <v>44643</v>
      </c>
      <c r="H1990" t="str">
        <f t="shared" si="422"/>
        <v>89615</v>
      </c>
      <c r="I1990">
        <v>1</v>
      </c>
      <c r="J1990">
        <v>2170</v>
      </c>
      <c r="K1990">
        <v>0</v>
      </c>
      <c r="L1990">
        <v>1302</v>
      </c>
    </row>
    <row r="1991" spans="1:12" x14ac:dyDescent="0.25">
      <c r="A1991" t="str">
        <f t="shared" si="423"/>
        <v>89301000</v>
      </c>
      <c r="B1991" t="str">
        <f t="shared" si="424"/>
        <v>78051000</v>
      </c>
      <c r="C1991" t="str">
        <f t="shared" si="420"/>
        <v>78051017</v>
      </c>
      <c r="D1991" t="str">
        <f t="shared" si="421"/>
        <v>810</v>
      </c>
      <c r="E1991" t="str">
        <f t="shared" si="425"/>
        <v>89301062</v>
      </c>
      <c r="F1991" t="str">
        <f>"6754152284"</f>
        <v>6754152284</v>
      </c>
      <c r="G1991" s="1">
        <v>44650</v>
      </c>
      <c r="H1991" t="str">
        <f t="shared" si="422"/>
        <v>89615</v>
      </c>
      <c r="I1991">
        <v>1</v>
      </c>
      <c r="J1991">
        <v>2170</v>
      </c>
      <c r="K1991">
        <v>0</v>
      </c>
      <c r="L1991">
        <v>1302</v>
      </c>
    </row>
    <row r="1992" spans="1:12" x14ac:dyDescent="0.25">
      <c r="A1992" t="str">
        <f t="shared" si="423"/>
        <v>89301000</v>
      </c>
      <c r="B1992" t="str">
        <f t="shared" si="424"/>
        <v>78051000</v>
      </c>
      <c r="C1992" t="str">
        <f t="shared" si="420"/>
        <v>78051017</v>
      </c>
      <c r="D1992" t="str">
        <f t="shared" si="421"/>
        <v>810</v>
      </c>
      <c r="E1992" t="str">
        <f t="shared" si="425"/>
        <v>89301062</v>
      </c>
      <c r="F1992" t="str">
        <f>"7861095319"</f>
        <v>7861095319</v>
      </c>
      <c r="G1992" s="1">
        <v>44650</v>
      </c>
      <c r="H1992" t="str">
        <f t="shared" si="422"/>
        <v>89615</v>
      </c>
      <c r="I1992">
        <v>1</v>
      </c>
      <c r="J1992">
        <v>2170</v>
      </c>
      <c r="K1992">
        <v>0</v>
      </c>
      <c r="L1992">
        <v>1302</v>
      </c>
    </row>
    <row r="1993" spans="1:12" x14ac:dyDescent="0.25">
      <c r="A1993" t="str">
        <f t="shared" si="423"/>
        <v>89301000</v>
      </c>
      <c r="B1993" t="str">
        <f t="shared" si="424"/>
        <v>78051000</v>
      </c>
      <c r="C1993" t="str">
        <f t="shared" si="420"/>
        <v>78051017</v>
      </c>
      <c r="D1993" t="str">
        <f t="shared" si="421"/>
        <v>810</v>
      </c>
      <c r="E1993" t="str">
        <f t="shared" si="425"/>
        <v>89301062</v>
      </c>
      <c r="F1993" t="str">
        <f>"495828092"</f>
        <v>495828092</v>
      </c>
      <c r="G1993" s="1">
        <v>44650</v>
      </c>
      <c r="H1993" t="str">
        <f t="shared" si="422"/>
        <v>89615</v>
      </c>
      <c r="I1993">
        <v>1</v>
      </c>
      <c r="J1993">
        <v>2170</v>
      </c>
      <c r="K1993">
        <v>0</v>
      </c>
      <c r="L1993">
        <v>1302</v>
      </c>
    </row>
    <row r="1994" spans="1:12" x14ac:dyDescent="0.25">
      <c r="A1994" t="str">
        <f t="shared" si="423"/>
        <v>89301000</v>
      </c>
      <c r="B1994" t="str">
        <f>"89434000"</f>
        <v>89434000</v>
      </c>
      <c r="C1994" t="str">
        <f>"89434000"</f>
        <v>89434000</v>
      </c>
      <c r="D1994" t="str">
        <f>"809"</f>
        <v>809</v>
      </c>
      <c r="E1994" t="str">
        <f>"89301212"</f>
        <v>89301212</v>
      </c>
      <c r="F1994" t="str">
        <f>"475927465"</f>
        <v>475927465</v>
      </c>
      <c r="G1994" s="1">
        <v>44645</v>
      </c>
      <c r="H1994" t="str">
        <f>"89513"</f>
        <v>89513</v>
      </c>
      <c r="I1994">
        <v>1</v>
      </c>
      <c r="J1994">
        <v>371</v>
      </c>
      <c r="K1994">
        <v>0</v>
      </c>
      <c r="L1994">
        <v>519.4</v>
      </c>
    </row>
    <row r="1995" spans="1:12" x14ac:dyDescent="0.25">
      <c r="A1995" t="str">
        <f t="shared" si="423"/>
        <v>89301000</v>
      </c>
      <c r="B1995" t="str">
        <f>"89434000"</f>
        <v>89434000</v>
      </c>
      <c r="C1995" t="str">
        <f>"89434000"</f>
        <v>89434000</v>
      </c>
      <c r="D1995" t="str">
        <f>"809"</f>
        <v>809</v>
      </c>
      <c r="E1995" t="str">
        <f>"89301212"</f>
        <v>89301212</v>
      </c>
      <c r="F1995" t="str">
        <f>"475927465"</f>
        <v>475927465</v>
      </c>
      <c r="G1995" s="1">
        <v>44645</v>
      </c>
      <c r="H1995" t="str">
        <f>"89514"</f>
        <v>89514</v>
      </c>
      <c r="I1995">
        <v>1</v>
      </c>
      <c r="J1995">
        <v>371</v>
      </c>
      <c r="K1995">
        <v>0</v>
      </c>
      <c r="L1995">
        <v>519.4</v>
      </c>
    </row>
    <row r="1996" spans="1:12" x14ac:dyDescent="0.25">
      <c r="A1996" t="str">
        <f t="shared" si="423"/>
        <v>89301000</v>
      </c>
      <c r="B1996" t="str">
        <f t="shared" ref="B1996:B2008" si="426">"91866000"</f>
        <v>91866000</v>
      </c>
      <c r="C1996" t="str">
        <f t="shared" ref="C1996:C2005" si="427">"91866313"</f>
        <v>91866313</v>
      </c>
      <c r="D1996" t="str">
        <f t="shared" ref="D1996:D2005" si="428">"802"</f>
        <v>802</v>
      </c>
      <c r="E1996" t="str">
        <f>"89301102"</f>
        <v>89301102</v>
      </c>
      <c r="F1996" t="str">
        <f>"0609133228"</f>
        <v>0609133228</v>
      </c>
      <c r="G1996" s="1">
        <v>44644</v>
      </c>
      <c r="H1996" t="str">
        <f>"97111"</f>
        <v>97111</v>
      </c>
      <c r="I1996">
        <v>1</v>
      </c>
      <c r="J1996">
        <v>18</v>
      </c>
      <c r="K1996">
        <v>0</v>
      </c>
      <c r="L1996">
        <v>16.38</v>
      </c>
    </row>
    <row r="1997" spans="1:12" x14ac:dyDescent="0.25">
      <c r="A1997" t="str">
        <f t="shared" si="423"/>
        <v>89301000</v>
      </c>
      <c r="B1997" t="str">
        <f t="shared" si="426"/>
        <v>91866000</v>
      </c>
      <c r="C1997" t="str">
        <f t="shared" si="427"/>
        <v>91866313</v>
      </c>
      <c r="D1997" t="str">
        <f t="shared" si="428"/>
        <v>802</v>
      </c>
      <c r="E1997" t="str">
        <f>"89301102"</f>
        <v>89301102</v>
      </c>
      <c r="F1997" t="str">
        <f>"0609133228"</f>
        <v>0609133228</v>
      </c>
      <c r="G1997" s="1">
        <v>44644</v>
      </c>
      <c r="H1997" t="str">
        <f>"82113"</f>
        <v>82113</v>
      </c>
      <c r="I1997">
        <v>2</v>
      </c>
      <c r="J1997">
        <v>724</v>
      </c>
      <c r="K1997">
        <v>0</v>
      </c>
      <c r="L1997">
        <v>658.84</v>
      </c>
    </row>
    <row r="1998" spans="1:12" x14ac:dyDescent="0.25">
      <c r="A1998" t="str">
        <f t="shared" si="423"/>
        <v>89301000</v>
      </c>
      <c r="B1998" t="str">
        <f t="shared" si="426"/>
        <v>91866000</v>
      </c>
      <c r="C1998" t="str">
        <f t="shared" si="427"/>
        <v>91866313</v>
      </c>
      <c r="D1998" t="str">
        <f t="shared" si="428"/>
        <v>802</v>
      </c>
      <c r="E1998" t="str">
        <f>"89301102"</f>
        <v>89301102</v>
      </c>
      <c r="F1998" t="str">
        <f>"0609133228"</f>
        <v>0609133228</v>
      </c>
      <c r="G1998" s="1">
        <v>44644</v>
      </c>
      <c r="H1998" t="str">
        <f>"82113"</f>
        <v>82113</v>
      </c>
      <c r="I1998">
        <v>2</v>
      </c>
      <c r="J1998">
        <v>724</v>
      </c>
      <c r="K1998">
        <v>0</v>
      </c>
      <c r="L1998">
        <v>658.84</v>
      </c>
    </row>
    <row r="1999" spans="1:12" x14ac:dyDescent="0.25">
      <c r="A1999" t="str">
        <f t="shared" si="423"/>
        <v>89301000</v>
      </c>
      <c r="B1999" t="str">
        <f t="shared" si="426"/>
        <v>91866000</v>
      </c>
      <c r="C1999" t="str">
        <f t="shared" si="427"/>
        <v>91866313</v>
      </c>
      <c r="D1999" t="str">
        <f t="shared" si="428"/>
        <v>802</v>
      </c>
      <c r="E1999" t="str">
        <f>"89301081"</f>
        <v>89301081</v>
      </c>
      <c r="F1999" t="str">
        <f>"9657314843"</f>
        <v>9657314843</v>
      </c>
      <c r="G1999" s="1">
        <v>44636</v>
      </c>
      <c r="H1999" t="str">
        <f>"82079"</f>
        <v>82079</v>
      </c>
      <c r="I1999">
        <v>1</v>
      </c>
      <c r="J1999">
        <v>332</v>
      </c>
      <c r="K1999">
        <v>0</v>
      </c>
      <c r="L1999">
        <v>302.12</v>
      </c>
    </row>
    <row r="2000" spans="1:12" x14ac:dyDescent="0.25">
      <c r="A2000" t="str">
        <f t="shared" si="423"/>
        <v>89301000</v>
      </c>
      <c r="B2000" t="str">
        <f t="shared" si="426"/>
        <v>91866000</v>
      </c>
      <c r="C2000" t="str">
        <f t="shared" si="427"/>
        <v>91866313</v>
      </c>
      <c r="D2000" t="str">
        <f t="shared" si="428"/>
        <v>802</v>
      </c>
      <c r="E2000" t="str">
        <f>"89301081"</f>
        <v>89301081</v>
      </c>
      <c r="F2000" t="str">
        <f>"9657314843"</f>
        <v>9657314843</v>
      </c>
      <c r="G2000" s="1">
        <v>44636</v>
      </c>
      <c r="H2000" t="str">
        <f>"82079"</f>
        <v>82079</v>
      </c>
      <c r="I2000">
        <v>2</v>
      </c>
      <c r="J2000">
        <v>664</v>
      </c>
      <c r="K2000">
        <v>0</v>
      </c>
      <c r="L2000">
        <v>604.24</v>
      </c>
    </row>
    <row r="2001" spans="1:12" x14ac:dyDescent="0.25">
      <c r="A2001" t="str">
        <f t="shared" si="423"/>
        <v>89301000</v>
      </c>
      <c r="B2001" t="str">
        <f t="shared" si="426"/>
        <v>91866000</v>
      </c>
      <c r="C2001" t="str">
        <f t="shared" si="427"/>
        <v>91866313</v>
      </c>
      <c r="D2001" t="str">
        <f t="shared" si="428"/>
        <v>802</v>
      </c>
      <c r="E2001" t="str">
        <f>"89301081"</f>
        <v>89301081</v>
      </c>
      <c r="F2001" t="str">
        <f>"9657314843"</f>
        <v>9657314843</v>
      </c>
      <c r="G2001" s="1">
        <v>44636</v>
      </c>
      <c r="H2001" t="str">
        <f>"82079"</f>
        <v>82079</v>
      </c>
      <c r="I2001">
        <v>1</v>
      </c>
      <c r="J2001">
        <v>332</v>
      </c>
      <c r="K2001">
        <v>0</v>
      </c>
      <c r="L2001">
        <v>302.12</v>
      </c>
    </row>
    <row r="2002" spans="1:12" x14ac:dyDescent="0.25">
      <c r="A2002" t="str">
        <f t="shared" si="423"/>
        <v>89301000</v>
      </c>
      <c r="B2002" t="str">
        <f t="shared" si="426"/>
        <v>91866000</v>
      </c>
      <c r="C2002" t="str">
        <f t="shared" si="427"/>
        <v>91866313</v>
      </c>
      <c r="D2002" t="str">
        <f t="shared" si="428"/>
        <v>802</v>
      </c>
      <c r="E2002" t="str">
        <f>"89301101"</f>
        <v>89301101</v>
      </c>
      <c r="F2002" t="str">
        <f>"2151100017"</f>
        <v>2151100017</v>
      </c>
      <c r="G2002" s="1">
        <v>44629</v>
      </c>
      <c r="H2002" t="str">
        <f>"82087"</f>
        <v>82087</v>
      </c>
      <c r="I2002">
        <v>1</v>
      </c>
      <c r="J2002">
        <v>53</v>
      </c>
      <c r="K2002">
        <v>0</v>
      </c>
      <c r="L2002">
        <v>48.23</v>
      </c>
    </row>
    <row r="2003" spans="1:12" x14ac:dyDescent="0.25">
      <c r="A2003" t="str">
        <f t="shared" si="423"/>
        <v>89301000</v>
      </c>
      <c r="B2003" t="str">
        <f t="shared" si="426"/>
        <v>91866000</v>
      </c>
      <c r="C2003" t="str">
        <f t="shared" si="427"/>
        <v>91866313</v>
      </c>
      <c r="D2003" t="str">
        <f t="shared" si="428"/>
        <v>802</v>
      </c>
      <c r="E2003" t="str">
        <f>"89301102"</f>
        <v>89301102</v>
      </c>
      <c r="F2003" t="str">
        <f>"0609133228"</f>
        <v>0609133228</v>
      </c>
      <c r="G2003" s="1">
        <v>44622</v>
      </c>
      <c r="H2003" t="str">
        <f>"97111"</f>
        <v>97111</v>
      </c>
      <c r="I2003">
        <v>1</v>
      </c>
      <c r="J2003">
        <v>18</v>
      </c>
      <c r="K2003">
        <v>0</v>
      </c>
      <c r="L2003">
        <v>16.38</v>
      </c>
    </row>
    <row r="2004" spans="1:12" x14ac:dyDescent="0.25">
      <c r="A2004" t="str">
        <f t="shared" si="423"/>
        <v>89301000</v>
      </c>
      <c r="B2004" t="str">
        <f t="shared" si="426"/>
        <v>91866000</v>
      </c>
      <c r="C2004" t="str">
        <f t="shared" si="427"/>
        <v>91866313</v>
      </c>
      <c r="D2004" t="str">
        <f t="shared" si="428"/>
        <v>802</v>
      </c>
      <c r="E2004" t="str">
        <f>"89301102"</f>
        <v>89301102</v>
      </c>
      <c r="F2004" t="str">
        <f>"0609133228"</f>
        <v>0609133228</v>
      </c>
      <c r="G2004" s="1">
        <v>44622</v>
      </c>
      <c r="H2004" t="str">
        <f>"82113"</f>
        <v>82113</v>
      </c>
      <c r="I2004">
        <v>2</v>
      </c>
      <c r="J2004">
        <v>724</v>
      </c>
      <c r="K2004">
        <v>0</v>
      </c>
      <c r="L2004">
        <v>658.84</v>
      </c>
    </row>
    <row r="2005" spans="1:12" x14ac:dyDescent="0.25">
      <c r="A2005" t="str">
        <f t="shared" si="423"/>
        <v>89301000</v>
      </c>
      <c r="B2005" t="str">
        <f t="shared" si="426"/>
        <v>91866000</v>
      </c>
      <c r="C2005" t="str">
        <f t="shared" si="427"/>
        <v>91866313</v>
      </c>
      <c r="D2005" t="str">
        <f t="shared" si="428"/>
        <v>802</v>
      </c>
      <c r="E2005" t="str">
        <f>"89301102"</f>
        <v>89301102</v>
      </c>
      <c r="F2005" t="str">
        <f>"0609133228"</f>
        <v>0609133228</v>
      </c>
      <c r="G2005" s="1">
        <v>44622</v>
      </c>
      <c r="H2005" t="str">
        <f>"82113"</f>
        <v>82113</v>
      </c>
      <c r="I2005">
        <v>2</v>
      </c>
      <c r="J2005">
        <v>724</v>
      </c>
      <c r="K2005">
        <v>0</v>
      </c>
      <c r="L2005">
        <v>658.84</v>
      </c>
    </row>
    <row r="2006" spans="1:12" x14ac:dyDescent="0.25">
      <c r="A2006" t="str">
        <f t="shared" si="423"/>
        <v>89301000</v>
      </c>
      <c r="B2006" t="str">
        <f t="shared" si="426"/>
        <v>91866000</v>
      </c>
      <c r="C2006" t="str">
        <f>"91866321"</f>
        <v>91866321</v>
      </c>
      <c r="D2006" t="str">
        <f>"813"</f>
        <v>813</v>
      </c>
      <c r="E2006" t="str">
        <f>"89301101"</f>
        <v>89301101</v>
      </c>
      <c r="F2006" t="str">
        <f>"0909103272"</f>
        <v>0909103272</v>
      </c>
      <c r="G2006" s="1">
        <v>44650</v>
      </c>
      <c r="H2006" t="str">
        <f>"91443"</f>
        <v>91443</v>
      </c>
      <c r="I2006">
        <v>1</v>
      </c>
      <c r="J2006">
        <v>232</v>
      </c>
      <c r="K2006">
        <v>0</v>
      </c>
      <c r="L2006">
        <v>180.96</v>
      </c>
    </row>
    <row r="2007" spans="1:12" x14ac:dyDescent="0.25">
      <c r="A2007" t="str">
        <f t="shared" si="423"/>
        <v>89301000</v>
      </c>
      <c r="B2007" t="str">
        <f t="shared" si="426"/>
        <v>91866000</v>
      </c>
      <c r="C2007" t="str">
        <f>"91866321"</f>
        <v>91866321</v>
      </c>
      <c r="D2007" t="str">
        <f>"813"</f>
        <v>813</v>
      </c>
      <c r="E2007" t="str">
        <f>"89301101"</f>
        <v>89301101</v>
      </c>
      <c r="F2007" t="str">
        <f>"0909103272"</f>
        <v>0909103272</v>
      </c>
      <c r="G2007" s="1">
        <v>44650</v>
      </c>
      <c r="H2007" t="str">
        <f>"91443"</f>
        <v>91443</v>
      </c>
      <c r="I2007">
        <v>1</v>
      </c>
      <c r="J2007">
        <v>232</v>
      </c>
      <c r="K2007">
        <v>0</v>
      </c>
      <c r="L2007">
        <v>180.96</v>
      </c>
    </row>
    <row r="2008" spans="1:12" x14ac:dyDescent="0.25">
      <c r="A2008" t="str">
        <f t="shared" si="423"/>
        <v>89301000</v>
      </c>
      <c r="B2008" t="str">
        <f t="shared" si="426"/>
        <v>91866000</v>
      </c>
      <c r="C2008" t="str">
        <f>"91866321"</f>
        <v>91866321</v>
      </c>
      <c r="D2008" t="str">
        <f>"813"</f>
        <v>813</v>
      </c>
      <c r="E2008" t="str">
        <f>"89301322"</f>
        <v>89301322</v>
      </c>
      <c r="F2008" t="str">
        <f>"8951285717"</f>
        <v>8951285717</v>
      </c>
      <c r="G2008" s="1">
        <v>44651</v>
      </c>
      <c r="H2008" t="str">
        <f>"91135"</f>
        <v>91135</v>
      </c>
      <c r="I2008">
        <v>1</v>
      </c>
      <c r="J2008">
        <v>266</v>
      </c>
      <c r="K2008">
        <v>0</v>
      </c>
      <c r="L2008">
        <v>207.48</v>
      </c>
    </row>
    <row r="2009" spans="1:12" x14ac:dyDescent="0.25">
      <c r="A2009" t="str">
        <f t="shared" si="423"/>
        <v>89301000</v>
      </c>
      <c r="B2009" t="str">
        <f t="shared" ref="B2009:C2028" si="429">"89063000"</f>
        <v>89063000</v>
      </c>
      <c r="C2009" t="str">
        <f t="shared" si="429"/>
        <v>89063000</v>
      </c>
      <c r="D2009" t="str">
        <f t="shared" ref="D2009:D2040" si="430">"809"</f>
        <v>809</v>
      </c>
      <c r="E2009" t="str">
        <f>"89301037"</f>
        <v>89301037</v>
      </c>
      <c r="F2009" t="str">
        <f>"6452061682"</f>
        <v>6452061682</v>
      </c>
      <c r="G2009" s="1">
        <v>44621</v>
      </c>
      <c r="H2009" t="str">
        <f t="shared" ref="H2009:H2040" si="431">"89312"</f>
        <v>89312</v>
      </c>
      <c r="I2009">
        <v>3</v>
      </c>
      <c r="J2009">
        <v>906</v>
      </c>
      <c r="K2009">
        <v>0</v>
      </c>
      <c r="L2009">
        <v>951.3</v>
      </c>
    </row>
    <row r="2010" spans="1:12" x14ac:dyDescent="0.25">
      <c r="A2010" t="str">
        <f t="shared" si="423"/>
        <v>89301000</v>
      </c>
      <c r="B2010" t="str">
        <f t="shared" si="429"/>
        <v>89063000</v>
      </c>
      <c r="C2010" t="str">
        <f t="shared" si="429"/>
        <v>89063000</v>
      </c>
      <c r="D2010" t="str">
        <f t="shared" si="430"/>
        <v>809</v>
      </c>
      <c r="E2010" t="str">
        <f>"89301037"</f>
        <v>89301037</v>
      </c>
      <c r="F2010" t="str">
        <f>"426020458"</f>
        <v>426020458</v>
      </c>
      <c r="G2010" s="1">
        <v>44621</v>
      </c>
      <c r="H2010" t="str">
        <f t="shared" si="431"/>
        <v>89312</v>
      </c>
      <c r="I2010">
        <v>3</v>
      </c>
      <c r="J2010">
        <v>906</v>
      </c>
      <c r="K2010">
        <v>0</v>
      </c>
      <c r="L2010">
        <v>951.3</v>
      </c>
    </row>
    <row r="2011" spans="1:12" x14ac:dyDescent="0.25">
      <c r="A2011" t="str">
        <f t="shared" si="423"/>
        <v>89301000</v>
      </c>
      <c r="B2011" t="str">
        <f t="shared" si="429"/>
        <v>89063000</v>
      </c>
      <c r="C2011" t="str">
        <f t="shared" si="429"/>
        <v>89063000</v>
      </c>
      <c r="D2011" t="str">
        <f t="shared" si="430"/>
        <v>809</v>
      </c>
      <c r="E2011" t="str">
        <f>"89301336"</f>
        <v>89301336</v>
      </c>
      <c r="F2011" t="str">
        <f>"6556300960"</f>
        <v>6556300960</v>
      </c>
      <c r="G2011" s="1">
        <v>44621</v>
      </c>
      <c r="H2011" t="str">
        <f t="shared" si="431"/>
        <v>89312</v>
      </c>
      <c r="I2011">
        <v>3</v>
      </c>
      <c r="J2011">
        <v>906</v>
      </c>
      <c r="K2011">
        <v>0</v>
      </c>
      <c r="L2011">
        <v>951.3</v>
      </c>
    </row>
    <row r="2012" spans="1:12" x14ac:dyDescent="0.25">
      <c r="A2012" t="str">
        <f t="shared" si="423"/>
        <v>89301000</v>
      </c>
      <c r="B2012" t="str">
        <f t="shared" si="429"/>
        <v>89063000</v>
      </c>
      <c r="C2012" t="str">
        <f t="shared" si="429"/>
        <v>89063000</v>
      </c>
      <c r="D2012" t="str">
        <f t="shared" si="430"/>
        <v>809</v>
      </c>
      <c r="E2012" t="str">
        <f>"89301703"</f>
        <v>89301703</v>
      </c>
      <c r="F2012" t="str">
        <f>"0602136062"</f>
        <v>0602136062</v>
      </c>
      <c r="G2012" s="1">
        <v>44621</v>
      </c>
      <c r="H2012" t="str">
        <f t="shared" si="431"/>
        <v>89312</v>
      </c>
      <c r="I2012">
        <v>1</v>
      </c>
      <c r="J2012">
        <v>302</v>
      </c>
      <c r="K2012">
        <v>0</v>
      </c>
      <c r="L2012">
        <v>317.10000000000002</v>
      </c>
    </row>
    <row r="2013" spans="1:12" x14ac:dyDescent="0.25">
      <c r="A2013" t="str">
        <f t="shared" si="423"/>
        <v>89301000</v>
      </c>
      <c r="B2013" t="str">
        <f t="shared" si="429"/>
        <v>89063000</v>
      </c>
      <c r="C2013" t="str">
        <f t="shared" si="429"/>
        <v>89063000</v>
      </c>
      <c r="D2013" t="str">
        <f t="shared" si="430"/>
        <v>809</v>
      </c>
      <c r="E2013" t="str">
        <f t="shared" ref="E2013:E2021" si="432">"89301037"</f>
        <v>89301037</v>
      </c>
      <c r="F2013" t="str">
        <f>"6212020837"</f>
        <v>6212020837</v>
      </c>
      <c r="G2013" s="1">
        <v>44621</v>
      </c>
      <c r="H2013" t="str">
        <f t="shared" si="431"/>
        <v>89312</v>
      </c>
      <c r="I2013">
        <v>3</v>
      </c>
      <c r="J2013">
        <v>906</v>
      </c>
      <c r="K2013">
        <v>0</v>
      </c>
      <c r="L2013">
        <v>951.3</v>
      </c>
    </row>
    <row r="2014" spans="1:12" x14ac:dyDescent="0.25">
      <c r="A2014" t="str">
        <f t="shared" si="423"/>
        <v>89301000</v>
      </c>
      <c r="B2014" t="str">
        <f t="shared" si="429"/>
        <v>89063000</v>
      </c>
      <c r="C2014" t="str">
        <f t="shared" si="429"/>
        <v>89063000</v>
      </c>
      <c r="D2014" t="str">
        <f t="shared" si="430"/>
        <v>809</v>
      </c>
      <c r="E2014" t="str">
        <f t="shared" si="432"/>
        <v>89301037</v>
      </c>
      <c r="F2014" t="str">
        <f>"495918010"</f>
        <v>495918010</v>
      </c>
      <c r="G2014" s="1">
        <v>44623</v>
      </c>
      <c r="H2014" t="str">
        <f t="shared" si="431"/>
        <v>89312</v>
      </c>
      <c r="I2014">
        <v>3</v>
      </c>
      <c r="J2014">
        <v>906</v>
      </c>
      <c r="K2014">
        <v>0</v>
      </c>
      <c r="L2014">
        <v>951.3</v>
      </c>
    </row>
    <row r="2015" spans="1:12" x14ac:dyDescent="0.25">
      <c r="A2015" t="str">
        <f t="shared" si="423"/>
        <v>89301000</v>
      </c>
      <c r="B2015" t="str">
        <f t="shared" si="429"/>
        <v>89063000</v>
      </c>
      <c r="C2015" t="str">
        <f t="shared" si="429"/>
        <v>89063000</v>
      </c>
      <c r="D2015" t="str">
        <f t="shared" si="430"/>
        <v>809</v>
      </c>
      <c r="E2015" t="str">
        <f t="shared" si="432"/>
        <v>89301037</v>
      </c>
      <c r="F2015" t="str">
        <f>"6256050988"</f>
        <v>6256050988</v>
      </c>
      <c r="G2015" s="1">
        <v>44622</v>
      </c>
      <c r="H2015" t="str">
        <f t="shared" si="431"/>
        <v>89312</v>
      </c>
      <c r="I2015">
        <v>3</v>
      </c>
      <c r="J2015">
        <v>906</v>
      </c>
      <c r="K2015">
        <v>0</v>
      </c>
      <c r="L2015">
        <v>951.3</v>
      </c>
    </row>
    <row r="2016" spans="1:12" x14ac:dyDescent="0.25">
      <c r="A2016" t="str">
        <f t="shared" si="423"/>
        <v>89301000</v>
      </c>
      <c r="B2016" t="str">
        <f t="shared" si="429"/>
        <v>89063000</v>
      </c>
      <c r="C2016" t="str">
        <f t="shared" si="429"/>
        <v>89063000</v>
      </c>
      <c r="D2016" t="str">
        <f t="shared" si="430"/>
        <v>809</v>
      </c>
      <c r="E2016" t="str">
        <f t="shared" si="432"/>
        <v>89301037</v>
      </c>
      <c r="F2016" t="str">
        <f>"516213194"</f>
        <v>516213194</v>
      </c>
      <c r="G2016" s="1">
        <v>44622</v>
      </c>
      <c r="H2016" t="str">
        <f t="shared" si="431"/>
        <v>89312</v>
      </c>
      <c r="I2016">
        <v>3</v>
      </c>
      <c r="J2016">
        <v>906</v>
      </c>
      <c r="K2016">
        <v>0</v>
      </c>
      <c r="L2016">
        <v>951.3</v>
      </c>
    </row>
    <row r="2017" spans="1:12" x14ac:dyDescent="0.25">
      <c r="A2017" t="str">
        <f t="shared" si="423"/>
        <v>89301000</v>
      </c>
      <c r="B2017" t="str">
        <f t="shared" si="429"/>
        <v>89063000</v>
      </c>
      <c r="C2017" t="str">
        <f t="shared" si="429"/>
        <v>89063000</v>
      </c>
      <c r="D2017" t="str">
        <f t="shared" si="430"/>
        <v>809</v>
      </c>
      <c r="E2017" t="str">
        <f t="shared" si="432"/>
        <v>89301037</v>
      </c>
      <c r="F2017" t="str">
        <f>"8656245774"</f>
        <v>8656245774</v>
      </c>
      <c r="G2017" s="1">
        <v>44624</v>
      </c>
      <c r="H2017" t="str">
        <f t="shared" si="431"/>
        <v>89312</v>
      </c>
      <c r="I2017">
        <v>3</v>
      </c>
      <c r="J2017">
        <v>906</v>
      </c>
      <c r="K2017">
        <v>0</v>
      </c>
      <c r="L2017">
        <v>951.3</v>
      </c>
    </row>
    <row r="2018" spans="1:12" x14ac:dyDescent="0.25">
      <c r="A2018" t="str">
        <f t="shared" si="423"/>
        <v>89301000</v>
      </c>
      <c r="B2018" t="str">
        <f t="shared" si="429"/>
        <v>89063000</v>
      </c>
      <c r="C2018" t="str">
        <f t="shared" si="429"/>
        <v>89063000</v>
      </c>
      <c r="D2018" t="str">
        <f t="shared" si="430"/>
        <v>809</v>
      </c>
      <c r="E2018" t="str">
        <f t="shared" si="432"/>
        <v>89301037</v>
      </c>
      <c r="F2018" t="str">
        <f>"7254013987"</f>
        <v>7254013987</v>
      </c>
      <c r="G2018" s="1">
        <v>44624</v>
      </c>
      <c r="H2018" t="str">
        <f t="shared" si="431"/>
        <v>89312</v>
      </c>
      <c r="I2018">
        <v>3</v>
      </c>
      <c r="J2018">
        <v>906</v>
      </c>
      <c r="K2018">
        <v>0</v>
      </c>
      <c r="L2018">
        <v>951.3</v>
      </c>
    </row>
    <row r="2019" spans="1:12" x14ac:dyDescent="0.25">
      <c r="A2019" t="str">
        <f t="shared" si="423"/>
        <v>89301000</v>
      </c>
      <c r="B2019" t="str">
        <f t="shared" si="429"/>
        <v>89063000</v>
      </c>
      <c r="C2019" t="str">
        <f t="shared" si="429"/>
        <v>89063000</v>
      </c>
      <c r="D2019" t="str">
        <f t="shared" si="430"/>
        <v>809</v>
      </c>
      <c r="E2019" t="str">
        <f t="shared" si="432"/>
        <v>89301037</v>
      </c>
      <c r="F2019" t="str">
        <f>"7604154250"</f>
        <v>7604154250</v>
      </c>
      <c r="G2019" s="1">
        <v>44627</v>
      </c>
      <c r="H2019" t="str">
        <f t="shared" si="431"/>
        <v>89312</v>
      </c>
      <c r="I2019">
        <v>3</v>
      </c>
      <c r="J2019">
        <v>906</v>
      </c>
      <c r="K2019">
        <v>0</v>
      </c>
      <c r="L2019">
        <v>951.3</v>
      </c>
    </row>
    <row r="2020" spans="1:12" x14ac:dyDescent="0.25">
      <c r="A2020" t="str">
        <f t="shared" si="423"/>
        <v>89301000</v>
      </c>
      <c r="B2020" t="str">
        <f t="shared" si="429"/>
        <v>89063000</v>
      </c>
      <c r="C2020" t="str">
        <f t="shared" si="429"/>
        <v>89063000</v>
      </c>
      <c r="D2020" t="str">
        <f t="shared" si="430"/>
        <v>809</v>
      </c>
      <c r="E2020" t="str">
        <f t="shared" si="432"/>
        <v>89301037</v>
      </c>
      <c r="F2020" t="str">
        <f>"495419055"</f>
        <v>495419055</v>
      </c>
      <c r="G2020" s="1">
        <v>44627</v>
      </c>
      <c r="H2020" t="str">
        <f t="shared" si="431"/>
        <v>89312</v>
      </c>
      <c r="I2020">
        <v>3</v>
      </c>
      <c r="J2020">
        <v>906</v>
      </c>
      <c r="K2020">
        <v>0</v>
      </c>
      <c r="L2020">
        <v>951.3</v>
      </c>
    </row>
    <row r="2021" spans="1:12" x14ac:dyDescent="0.25">
      <c r="A2021" t="str">
        <f t="shared" si="423"/>
        <v>89301000</v>
      </c>
      <c r="B2021" t="str">
        <f t="shared" si="429"/>
        <v>89063000</v>
      </c>
      <c r="C2021" t="str">
        <f t="shared" si="429"/>
        <v>89063000</v>
      </c>
      <c r="D2021" t="str">
        <f t="shared" si="430"/>
        <v>809</v>
      </c>
      <c r="E2021" t="str">
        <f t="shared" si="432"/>
        <v>89301037</v>
      </c>
      <c r="F2021" t="str">
        <f>"6253040915"</f>
        <v>6253040915</v>
      </c>
      <c r="G2021" s="1">
        <v>44627</v>
      </c>
      <c r="H2021" t="str">
        <f t="shared" si="431"/>
        <v>89312</v>
      </c>
      <c r="I2021">
        <v>3</v>
      </c>
      <c r="J2021">
        <v>906</v>
      </c>
      <c r="K2021">
        <v>0</v>
      </c>
      <c r="L2021">
        <v>951.3</v>
      </c>
    </row>
    <row r="2022" spans="1:12" x14ac:dyDescent="0.25">
      <c r="A2022" t="str">
        <f t="shared" si="423"/>
        <v>89301000</v>
      </c>
      <c r="B2022" t="str">
        <f t="shared" si="429"/>
        <v>89063000</v>
      </c>
      <c r="C2022" t="str">
        <f t="shared" si="429"/>
        <v>89063000</v>
      </c>
      <c r="D2022" t="str">
        <f t="shared" si="430"/>
        <v>809</v>
      </c>
      <c r="E2022" t="str">
        <f>"89301031"</f>
        <v>89301031</v>
      </c>
      <c r="F2022" t="str">
        <f>"5851251978"</f>
        <v>5851251978</v>
      </c>
      <c r="G2022" s="1">
        <v>44628</v>
      </c>
      <c r="H2022" t="str">
        <f t="shared" si="431"/>
        <v>89312</v>
      </c>
      <c r="I2022">
        <v>3</v>
      </c>
      <c r="J2022">
        <v>906</v>
      </c>
      <c r="K2022">
        <v>0</v>
      </c>
      <c r="L2022">
        <v>951.3</v>
      </c>
    </row>
    <row r="2023" spans="1:12" x14ac:dyDescent="0.25">
      <c r="A2023" t="str">
        <f t="shared" si="423"/>
        <v>89301000</v>
      </c>
      <c r="B2023" t="str">
        <f t="shared" si="429"/>
        <v>89063000</v>
      </c>
      <c r="C2023" t="str">
        <f t="shared" si="429"/>
        <v>89063000</v>
      </c>
      <c r="D2023" t="str">
        <f t="shared" si="430"/>
        <v>809</v>
      </c>
      <c r="E2023" t="str">
        <f>"89301031"</f>
        <v>89301031</v>
      </c>
      <c r="F2023" t="str">
        <f>"445814169"</f>
        <v>445814169</v>
      </c>
      <c r="G2023" s="1">
        <v>44628</v>
      </c>
      <c r="H2023" t="str">
        <f t="shared" si="431"/>
        <v>89312</v>
      </c>
      <c r="I2023">
        <v>3</v>
      </c>
      <c r="J2023">
        <v>906</v>
      </c>
      <c r="K2023">
        <v>0</v>
      </c>
      <c r="L2023">
        <v>951.3</v>
      </c>
    </row>
    <row r="2024" spans="1:12" x14ac:dyDescent="0.25">
      <c r="A2024" t="str">
        <f t="shared" si="423"/>
        <v>89301000</v>
      </c>
      <c r="B2024" t="str">
        <f t="shared" si="429"/>
        <v>89063000</v>
      </c>
      <c r="C2024" t="str">
        <f t="shared" si="429"/>
        <v>89063000</v>
      </c>
      <c r="D2024" t="str">
        <f t="shared" si="430"/>
        <v>809</v>
      </c>
      <c r="E2024" t="str">
        <f>"89301702"</f>
        <v>89301702</v>
      </c>
      <c r="F2024" t="str">
        <f>"1660200223"</f>
        <v>1660200223</v>
      </c>
      <c r="G2024" s="1">
        <v>44628</v>
      </c>
      <c r="H2024" t="str">
        <f t="shared" si="431"/>
        <v>89312</v>
      </c>
      <c r="I2024">
        <v>1</v>
      </c>
      <c r="J2024">
        <v>302</v>
      </c>
      <c r="K2024">
        <v>0</v>
      </c>
      <c r="L2024">
        <v>317.10000000000002</v>
      </c>
    </row>
    <row r="2025" spans="1:12" x14ac:dyDescent="0.25">
      <c r="A2025" t="str">
        <f t="shared" si="423"/>
        <v>89301000</v>
      </c>
      <c r="B2025" t="str">
        <f t="shared" si="429"/>
        <v>89063000</v>
      </c>
      <c r="C2025" t="str">
        <f t="shared" si="429"/>
        <v>89063000</v>
      </c>
      <c r="D2025" t="str">
        <f t="shared" si="430"/>
        <v>809</v>
      </c>
      <c r="E2025" t="str">
        <f>"89301037"</f>
        <v>89301037</v>
      </c>
      <c r="F2025" t="str">
        <f>"8111255361"</f>
        <v>8111255361</v>
      </c>
      <c r="G2025" s="1">
        <v>44629</v>
      </c>
      <c r="H2025" t="str">
        <f t="shared" si="431"/>
        <v>89312</v>
      </c>
      <c r="I2025">
        <v>3</v>
      </c>
      <c r="J2025">
        <v>906</v>
      </c>
      <c r="K2025">
        <v>0</v>
      </c>
      <c r="L2025">
        <v>951.3</v>
      </c>
    </row>
    <row r="2026" spans="1:12" x14ac:dyDescent="0.25">
      <c r="A2026" t="str">
        <f t="shared" si="423"/>
        <v>89301000</v>
      </c>
      <c r="B2026" t="str">
        <f t="shared" si="429"/>
        <v>89063000</v>
      </c>
      <c r="C2026" t="str">
        <f t="shared" si="429"/>
        <v>89063000</v>
      </c>
      <c r="D2026" t="str">
        <f t="shared" si="430"/>
        <v>809</v>
      </c>
      <c r="E2026" t="str">
        <f>"89301037"</f>
        <v>89301037</v>
      </c>
      <c r="F2026" t="str">
        <f>"430218448"</f>
        <v>430218448</v>
      </c>
      <c r="G2026" s="1">
        <v>44629</v>
      </c>
      <c r="H2026" t="str">
        <f t="shared" si="431"/>
        <v>89312</v>
      </c>
      <c r="I2026">
        <v>3</v>
      </c>
      <c r="J2026">
        <v>906</v>
      </c>
      <c r="K2026">
        <v>0</v>
      </c>
      <c r="L2026">
        <v>951.3</v>
      </c>
    </row>
    <row r="2027" spans="1:12" x14ac:dyDescent="0.25">
      <c r="A2027" t="str">
        <f t="shared" si="423"/>
        <v>89301000</v>
      </c>
      <c r="B2027" t="str">
        <f t="shared" si="429"/>
        <v>89063000</v>
      </c>
      <c r="C2027" t="str">
        <f t="shared" si="429"/>
        <v>89063000</v>
      </c>
      <c r="D2027" t="str">
        <f t="shared" si="430"/>
        <v>809</v>
      </c>
      <c r="E2027" t="str">
        <f>"89301037"</f>
        <v>89301037</v>
      </c>
      <c r="F2027" t="str">
        <f>"6305091166"</f>
        <v>6305091166</v>
      </c>
      <c r="G2027" s="1">
        <v>44629</v>
      </c>
      <c r="H2027" t="str">
        <f t="shared" si="431"/>
        <v>89312</v>
      </c>
      <c r="I2027">
        <v>3</v>
      </c>
      <c r="J2027">
        <v>906</v>
      </c>
      <c r="K2027">
        <v>0</v>
      </c>
      <c r="L2027">
        <v>951.3</v>
      </c>
    </row>
    <row r="2028" spans="1:12" x14ac:dyDescent="0.25">
      <c r="A2028" t="str">
        <f t="shared" si="423"/>
        <v>89301000</v>
      </c>
      <c r="B2028" t="str">
        <f t="shared" si="429"/>
        <v>89063000</v>
      </c>
      <c r="C2028" t="str">
        <f t="shared" si="429"/>
        <v>89063000</v>
      </c>
      <c r="D2028" t="str">
        <f t="shared" si="430"/>
        <v>809</v>
      </c>
      <c r="E2028" t="str">
        <f>"89301032"</f>
        <v>89301032</v>
      </c>
      <c r="F2028" t="str">
        <f>"7954045330"</f>
        <v>7954045330</v>
      </c>
      <c r="G2028" s="1">
        <v>44629</v>
      </c>
      <c r="H2028" t="str">
        <f t="shared" si="431"/>
        <v>89312</v>
      </c>
      <c r="I2028">
        <v>3</v>
      </c>
      <c r="J2028">
        <v>906</v>
      </c>
      <c r="K2028">
        <v>0</v>
      </c>
      <c r="L2028">
        <v>951.3</v>
      </c>
    </row>
    <row r="2029" spans="1:12" x14ac:dyDescent="0.25">
      <c r="A2029" t="str">
        <f t="shared" si="423"/>
        <v>89301000</v>
      </c>
      <c r="B2029" t="str">
        <f t="shared" ref="B2029:C2048" si="433">"89063000"</f>
        <v>89063000</v>
      </c>
      <c r="C2029" t="str">
        <f t="shared" si="433"/>
        <v>89063000</v>
      </c>
      <c r="D2029" t="str">
        <f t="shared" si="430"/>
        <v>809</v>
      </c>
      <c r="E2029" t="str">
        <f>"89301036"</f>
        <v>89301036</v>
      </c>
      <c r="F2029" t="str">
        <f>"5460273093"</f>
        <v>5460273093</v>
      </c>
      <c r="G2029" s="1">
        <v>44629</v>
      </c>
      <c r="H2029" t="str">
        <f t="shared" si="431"/>
        <v>89312</v>
      </c>
      <c r="I2029">
        <v>3</v>
      </c>
      <c r="J2029">
        <v>906</v>
      </c>
      <c r="K2029">
        <v>0</v>
      </c>
      <c r="L2029">
        <v>951.3</v>
      </c>
    </row>
    <row r="2030" spans="1:12" x14ac:dyDescent="0.25">
      <c r="A2030" t="str">
        <f t="shared" si="423"/>
        <v>89301000</v>
      </c>
      <c r="B2030" t="str">
        <f t="shared" si="433"/>
        <v>89063000</v>
      </c>
      <c r="C2030" t="str">
        <f t="shared" si="433"/>
        <v>89063000</v>
      </c>
      <c r="D2030" t="str">
        <f t="shared" si="430"/>
        <v>809</v>
      </c>
      <c r="E2030" t="str">
        <f>"89301037"</f>
        <v>89301037</v>
      </c>
      <c r="F2030" t="str">
        <f>"490125053"</f>
        <v>490125053</v>
      </c>
      <c r="G2030" s="1">
        <v>44629</v>
      </c>
      <c r="H2030" t="str">
        <f t="shared" si="431"/>
        <v>89312</v>
      </c>
      <c r="I2030">
        <v>3</v>
      </c>
      <c r="J2030">
        <v>906</v>
      </c>
      <c r="K2030">
        <v>0</v>
      </c>
      <c r="L2030">
        <v>951.3</v>
      </c>
    </row>
    <row r="2031" spans="1:12" x14ac:dyDescent="0.25">
      <c r="A2031" t="str">
        <f t="shared" si="423"/>
        <v>89301000</v>
      </c>
      <c r="B2031" t="str">
        <f t="shared" si="433"/>
        <v>89063000</v>
      </c>
      <c r="C2031" t="str">
        <f t="shared" si="433"/>
        <v>89063000</v>
      </c>
      <c r="D2031" t="str">
        <f t="shared" si="430"/>
        <v>809</v>
      </c>
      <c r="E2031" t="str">
        <f>"89301037"</f>
        <v>89301037</v>
      </c>
      <c r="F2031" t="str">
        <f>"5904141749"</f>
        <v>5904141749</v>
      </c>
      <c r="G2031" s="1">
        <v>44630</v>
      </c>
      <c r="H2031" t="str">
        <f t="shared" si="431"/>
        <v>89312</v>
      </c>
      <c r="I2031">
        <v>3</v>
      </c>
      <c r="J2031">
        <v>906</v>
      </c>
      <c r="K2031">
        <v>0</v>
      </c>
      <c r="L2031">
        <v>951.3</v>
      </c>
    </row>
    <row r="2032" spans="1:12" x14ac:dyDescent="0.25">
      <c r="A2032" t="str">
        <f t="shared" si="423"/>
        <v>89301000</v>
      </c>
      <c r="B2032" t="str">
        <f t="shared" si="433"/>
        <v>89063000</v>
      </c>
      <c r="C2032" t="str">
        <f t="shared" si="433"/>
        <v>89063000</v>
      </c>
      <c r="D2032" t="str">
        <f t="shared" si="430"/>
        <v>809</v>
      </c>
      <c r="E2032" t="str">
        <f>"89301037"</f>
        <v>89301037</v>
      </c>
      <c r="F2032" t="str">
        <f>"485327418"</f>
        <v>485327418</v>
      </c>
      <c r="G2032" s="1">
        <v>44630</v>
      </c>
      <c r="H2032" t="str">
        <f t="shared" si="431"/>
        <v>89312</v>
      </c>
      <c r="I2032">
        <v>3</v>
      </c>
      <c r="J2032">
        <v>906</v>
      </c>
      <c r="K2032">
        <v>0</v>
      </c>
      <c r="L2032">
        <v>951.3</v>
      </c>
    </row>
    <row r="2033" spans="1:12" x14ac:dyDescent="0.25">
      <c r="A2033" t="str">
        <f t="shared" si="423"/>
        <v>89301000</v>
      </c>
      <c r="B2033" t="str">
        <f t="shared" si="433"/>
        <v>89063000</v>
      </c>
      <c r="C2033" t="str">
        <f t="shared" si="433"/>
        <v>89063000</v>
      </c>
      <c r="D2033" t="str">
        <f t="shared" si="430"/>
        <v>809</v>
      </c>
      <c r="E2033" t="str">
        <f>"89301037"</f>
        <v>89301037</v>
      </c>
      <c r="F2033" t="str">
        <f>"415915454"</f>
        <v>415915454</v>
      </c>
      <c r="G2033" s="1">
        <v>44631</v>
      </c>
      <c r="H2033" t="str">
        <f t="shared" si="431"/>
        <v>89312</v>
      </c>
      <c r="I2033">
        <v>3</v>
      </c>
      <c r="J2033">
        <v>906</v>
      </c>
      <c r="K2033">
        <v>0</v>
      </c>
      <c r="L2033">
        <v>951.3</v>
      </c>
    </row>
    <row r="2034" spans="1:12" x14ac:dyDescent="0.25">
      <c r="A2034" t="str">
        <f t="shared" si="423"/>
        <v>89301000</v>
      </c>
      <c r="B2034" t="str">
        <f t="shared" si="433"/>
        <v>89063000</v>
      </c>
      <c r="C2034" t="str">
        <f t="shared" si="433"/>
        <v>89063000</v>
      </c>
      <c r="D2034" t="str">
        <f t="shared" si="430"/>
        <v>809</v>
      </c>
      <c r="E2034" t="str">
        <f>"89301037"</f>
        <v>89301037</v>
      </c>
      <c r="F2034" t="str">
        <f>"8503246224"</f>
        <v>8503246224</v>
      </c>
      <c r="G2034" s="1">
        <v>44634</v>
      </c>
      <c r="H2034" t="str">
        <f t="shared" si="431"/>
        <v>89312</v>
      </c>
      <c r="I2034">
        <v>3</v>
      </c>
      <c r="J2034">
        <v>906</v>
      </c>
      <c r="K2034">
        <v>0</v>
      </c>
      <c r="L2034">
        <v>951.3</v>
      </c>
    </row>
    <row r="2035" spans="1:12" x14ac:dyDescent="0.25">
      <c r="A2035" t="str">
        <f t="shared" si="423"/>
        <v>89301000</v>
      </c>
      <c r="B2035" t="str">
        <f t="shared" si="433"/>
        <v>89063000</v>
      </c>
      <c r="C2035" t="str">
        <f t="shared" si="433"/>
        <v>89063000</v>
      </c>
      <c r="D2035" t="str">
        <f t="shared" si="430"/>
        <v>809</v>
      </c>
      <c r="E2035" t="str">
        <f>"89301036"</f>
        <v>89301036</v>
      </c>
      <c r="F2035" t="str">
        <f>"7751175663"</f>
        <v>7751175663</v>
      </c>
      <c r="G2035" s="1">
        <v>44634</v>
      </c>
      <c r="H2035" t="str">
        <f t="shared" si="431"/>
        <v>89312</v>
      </c>
      <c r="I2035">
        <v>3</v>
      </c>
      <c r="J2035">
        <v>906</v>
      </c>
      <c r="K2035">
        <v>0</v>
      </c>
      <c r="L2035">
        <v>951.3</v>
      </c>
    </row>
    <row r="2036" spans="1:12" x14ac:dyDescent="0.25">
      <c r="A2036" t="str">
        <f t="shared" si="423"/>
        <v>89301000</v>
      </c>
      <c r="B2036" t="str">
        <f t="shared" si="433"/>
        <v>89063000</v>
      </c>
      <c r="C2036" t="str">
        <f t="shared" si="433"/>
        <v>89063000</v>
      </c>
      <c r="D2036" t="str">
        <f t="shared" si="430"/>
        <v>809</v>
      </c>
      <c r="E2036" t="str">
        <f>"89301037"</f>
        <v>89301037</v>
      </c>
      <c r="F2036" t="str">
        <f>"445521143"</f>
        <v>445521143</v>
      </c>
      <c r="G2036" s="1">
        <v>44635</v>
      </c>
      <c r="H2036" t="str">
        <f t="shared" si="431"/>
        <v>89312</v>
      </c>
      <c r="I2036">
        <v>3</v>
      </c>
      <c r="J2036">
        <v>906</v>
      </c>
      <c r="K2036">
        <v>0</v>
      </c>
      <c r="L2036">
        <v>951.3</v>
      </c>
    </row>
    <row r="2037" spans="1:12" x14ac:dyDescent="0.25">
      <c r="A2037" t="str">
        <f t="shared" si="423"/>
        <v>89301000</v>
      </c>
      <c r="B2037" t="str">
        <f t="shared" si="433"/>
        <v>89063000</v>
      </c>
      <c r="C2037" t="str">
        <f t="shared" si="433"/>
        <v>89063000</v>
      </c>
      <c r="D2037" t="str">
        <f t="shared" si="430"/>
        <v>809</v>
      </c>
      <c r="E2037" t="str">
        <f>"89301336"</f>
        <v>89301336</v>
      </c>
      <c r="F2037" t="str">
        <f>"6358060632"</f>
        <v>6358060632</v>
      </c>
      <c r="G2037" s="1">
        <v>44635</v>
      </c>
      <c r="H2037" t="str">
        <f t="shared" si="431"/>
        <v>89312</v>
      </c>
      <c r="I2037">
        <v>3</v>
      </c>
      <c r="J2037">
        <v>906</v>
      </c>
      <c r="K2037">
        <v>0</v>
      </c>
      <c r="L2037">
        <v>951.3</v>
      </c>
    </row>
    <row r="2038" spans="1:12" x14ac:dyDescent="0.25">
      <c r="A2038" t="str">
        <f t="shared" si="423"/>
        <v>89301000</v>
      </c>
      <c r="B2038" t="str">
        <f t="shared" si="433"/>
        <v>89063000</v>
      </c>
      <c r="C2038" t="str">
        <f t="shared" si="433"/>
        <v>89063000</v>
      </c>
      <c r="D2038" t="str">
        <f t="shared" si="430"/>
        <v>809</v>
      </c>
      <c r="E2038" t="str">
        <f>"89301037"</f>
        <v>89301037</v>
      </c>
      <c r="F2038" t="str">
        <f>"7256245315"</f>
        <v>7256245315</v>
      </c>
      <c r="G2038" s="1">
        <v>44636</v>
      </c>
      <c r="H2038" t="str">
        <f t="shared" si="431"/>
        <v>89312</v>
      </c>
      <c r="I2038">
        <v>3</v>
      </c>
      <c r="J2038">
        <v>906</v>
      </c>
      <c r="K2038">
        <v>0</v>
      </c>
      <c r="L2038">
        <v>951.3</v>
      </c>
    </row>
    <row r="2039" spans="1:12" x14ac:dyDescent="0.25">
      <c r="A2039" t="str">
        <f t="shared" si="423"/>
        <v>89301000</v>
      </c>
      <c r="B2039" t="str">
        <f t="shared" si="433"/>
        <v>89063000</v>
      </c>
      <c r="C2039" t="str">
        <f t="shared" si="433"/>
        <v>89063000</v>
      </c>
      <c r="D2039" t="str">
        <f t="shared" si="430"/>
        <v>809</v>
      </c>
      <c r="E2039" t="str">
        <f>"89301037"</f>
        <v>89301037</v>
      </c>
      <c r="F2039" t="str">
        <f>"6509010915"</f>
        <v>6509010915</v>
      </c>
      <c r="G2039" s="1">
        <v>44636</v>
      </c>
      <c r="H2039" t="str">
        <f t="shared" si="431"/>
        <v>89312</v>
      </c>
      <c r="I2039">
        <v>3</v>
      </c>
      <c r="J2039">
        <v>906</v>
      </c>
      <c r="K2039">
        <v>0</v>
      </c>
      <c r="L2039">
        <v>951.3</v>
      </c>
    </row>
    <row r="2040" spans="1:12" x14ac:dyDescent="0.25">
      <c r="A2040" t="str">
        <f t="shared" si="423"/>
        <v>89301000</v>
      </c>
      <c r="B2040" t="str">
        <f t="shared" si="433"/>
        <v>89063000</v>
      </c>
      <c r="C2040" t="str">
        <f t="shared" si="433"/>
        <v>89063000</v>
      </c>
      <c r="D2040" t="str">
        <f t="shared" si="430"/>
        <v>809</v>
      </c>
      <c r="E2040" t="str">
        <f>"89301037"</f>
        <v>89301037</v>
      </c>
      <c r="F2040" t="str">
        <f>"7405105323"</f>
        <v>7405105323</v>
      </c>
      <c r="G2040" s="1">
        <v>44636</v>
      </c>
      <c r="H2040" t="str">
        <f t="shared" si="431"/>
        <v>89312</v>
      </c>
      <c r="I2040">
        <v>3</v>
      </c>
      <c r="J2040">
        <v>906</v>
      </c>
      <c r="K2040">
        <v>0</v>
      </c>
      <c r="L2040">
        <v>951.3</v>
      </c>
    </row>
    <row r="2041" spans="1:12" x14ac:dyDescent="0.25">
      <c r="A2041" t="str">
        <f t="shared" si="423"/>
        <v>89301000</v>
      </c>
      <c r="B2041" t="str">
        <f t="shared" si="433"/>
        <v>89063000</v>
      </c>
      <c r="C2041" t="str">
        <f t="shared" si="433"/>
        <v>89063000</v>
      </c>
      <c r="D2041" t="str">
        <f t="shared" ref="D2041:D2065" si="434">"809"</f>
        <v>809</v>
      </c>
      <c r="E2041" t="str">
        <f>"89301336"</f>
        <v>89301336</v>
      </c>
      <c r="F2041" t="str">
        <f>"5804040759"</f>
        <v>5804040759</v>
      </c>
      <c r="G2041" s="1">
        <v>44636</v>
      </c>
      <c r="H2041" t="str">
        <f t="shared" ref="H2041:H2065" si="435">"89312"</f>
        <v>89312</v>
      </c>
      <c r="I2041">
        <v>3</v>
      </c>
      <c r="J2041">
        <v>906</v>
      </c>
      <c r="K2041">
        <v>0</v>
      </c>
      <c r="L2041">
        <v>951.3</v>
      </c>
    </row>
    <row r="2042" spans="1:12" x14ac:dyDescent="0.25">
      <c r="A2042" t="str">
        <f t="shared" si="423"/>
        <v>89301000</v>
      </c>
      <c r="B2042" t="str">
        <f t="shared" si="433"/>
        <v>89063000</v>
      </c>
      <c r="C2042" t="str">
        <f t="shared" si="433"/>
        <v>89063000</v>
      </c>
      <c r="D2042" t="str">
        <f t="shared" si="434"/>
        <v>809</v>
      </c>
      <c r="E2042" t="str">
        <f>"89301037"</f>
        <v>89301037</v>
      </c>
      <c r="F2042" t="str">
        <f>"5653171788"</f>
        <v>5653171788</v>
      </c>
      <c r="G2042" s="1">
        <v>44637</v>
      </c>
      <c r="H2042" t="str">
        <f t="shared" si="435"/>
        <v>89312</v>
      </c>
      <c r="I2042">
        <v>3</v>
      </c>
      <c r="J2042">
        <v>906</v>
      </c>
      <c r="K2042">
        <v>0</v>
      </c>
      <c r="L2042">
        <v>951.3</v>
      </c>
    </row>
    <row r="2043" spans="1:12" x14ac:dyDescent="0.25">
      <c r="A2043" t="str">
        <f t="shared" si="423"/>
        <v>89301000</v>
      </c>
      <c r="B2043" t="str">
        <f t="shared" si="433"/>
        <v>89063000</v>
      </c>
      <c r="C2043" t="str">
        <f t="shared" si="433"/>
        <v>89063000</v>
      </c>
      <c r="D2043" t="str">
        <f t="shared" si="434"/>
        <v>809</v>
      </c>
      <c r="E2043" t="str">
        <f>"89301037"</f>
        <v>89301037</v>
      </c>
      <c r="F2043" t="str">
        <f>"525228082"</f>
        <v>525228082</v>
      </c>
      <c r="G2043" s="1">
        <v>44637</v>
      </c>
      <c r="H2043" t="str">
        <f t="shared" si="435"/>
        <v>89312</v>
      </c>
      <c r="I2043">
        <v>3</v>
      </c>
      <c r="J2043">
        <v>906</v>
      </c>
      <c r="K2043">
        <v>0</v>
      </c>
      <c r="L2043">
        <v>951.3</v>
      </c>
    </row>
    <row r="2044" spans="1:12" x14ac:dyDescent="0.25">
      <c r="A2044" t="str">
        <f t="shared" si="423"/>
        <v>89301000</v>
      </c>
      <c r="B2044" t="str">
        <f t="shared" si="433"/>
        <v>89063000</v>
      </c>
      <c r="C2044" t="str">
        <f t="shared" si="433"/>
        <v>89063000</v>
      </c>
      <c r="D2044" t="str">
        <f t="shared" si="434"/>
        <v>809</v>
      </c>
      <c r="E2044" t="str">
        <f>"89301702"</f>
        <v>89301702</v>
      </c>
      <c r="F2044" t="str">
        <f>"0706231383"</f>
        <v>0706231383</v>
      </c>
      <c r="G2044" s="1">
        <v>44637</v>
      </c>
      <c r="H2044" t="str">
        <f t="shared" si="435"/>
        <v>89312</v>
      </c>
      <c r="I2044">
        <v>1</v>
      </c>
      <c r="J2044">
        <v>302</v>
      </c>
      <c r="K2044">
        <v>0</v>
      </c>
      <c r="L2044">
        <v>317.10000000000002</v>
      </c>
    </row>
    <row r="2045" spans="1:12" x14ac:dyDescent="0.25">
      <c r="A2045" t="str">
        <f t="shared" si="423"/>
        <v>89301000</v>
      </c>
      <c r="B2045" t="str">
        <f t="shared" si="433"/>
        <v>89063000</v>
      </c>
      <c r="C2045" t="str">
        <f t="shared" si="433"/>
        <v>89063000</v>
      </c>
      <c r="D2045" t="str">
        <f t="shared" si="434"/>
        <v>809</v>
      </c>
      <c r="E2045" t="str">
        <f>"89301037"</f>
        <v>89301037</v>
      </c>
      <c r="F2045" t="str">
        <f>"8301305309"</f>
        <v>8301305309</v>
      </c>
      <c r="G2045" s="1">
        <v>44642</v>
      </c>
      <c r="H2045" t="str">
        <f t="shared" si="435"/>
        <v>89312</v>
      </c>
      <c r="I2045">
        <v>3</v>
      </c>
      <c r="J2045">
        <v>906</v>
      </c>
      <c r="K2045">
        <v>0</v>
      </c>
      <c r="L2045">
        <v>951.3</v>
      </c>
    </row>
    <row r="2046" spans="1:12" x14ac:dyDescent="0.25">
      <c r="A2046" t="str">
        <f t="shared" si="423"/>
        <v>89301000</v>
      </c>
      <c r="B2046" t="str">
        <f t="shared" si="433"/>
        <v>89063000</v>
      </c>
      <c r="C2046" t="str">
        <f t="shared" si="433"/>
        <v>89063000</v>
      </c>
      <c r="D2046" t="str">
        <f t="shared" si="434"/>
        <v>809</v>
      </c>
      <c r="E2046" t="str">
        <f>"89301036"</f>
        <v>89301036</v>
      </c>
      <c r="F2046" t="str">
        <f>"6703182156"</f>
        <v>6703182156</v>
      </c>
      <c r="G2046" s="1">
        <v>44642</v>
      </c>
      <c r="H2046" t="str">
        <f t="shared" si="435"/>
        <v>89312</v>
      </c>
      <c r="I2046">
        <v>3</v>
      </c>
      <c r="J2046">
        <v>906</v>
      </c>
      <c r="K2046">
        <v>0</v>
      </c>
      <c r="L2046">
        <v>951.3</v>
      </c>
    </row>
    <row r="2047" spans="1:12" x14ac:dyDescent="0.25">
      <c r="A2047" t="str">
        <f t="shared" si="423"/>
        <v>89301000</v>
      </c>
      <c r="B2047" t="str">
        <f t="shared" si="433"/>
        <v>89063000</v>
      </c>
      <c r="C2047" t="str">
        <f t="shared" si="433"/>
        <v>89063000</v>
      </c>
      <c r="D2047" t="str">
        <f t="shared" si="434"/>
        <v>809</v>
      </c>
      <c r="E2047" t="str">
        <f>"89301109"</f>
        <v>89301109</v>
      </c>
      <c r="F2047" t="str">
        <f>"1512280275"</f>
        <v>1512280275</v>
      </c>
      <c r="G2047" s="1">
        <v>44642</v>
      </c>
      <c r="H2047" t="str">
        <f t="shared" si="435"/>
        <v>89312</v>
      </c>
      <c r="I2047">
        <v>1</v>
      </c>
      <c r="J2047">
        <v>302</v>
      </c>
      <c r="K2047">
        <v>0</v>
      </c>
      <c r="L2047">
        <v>317.10000000000002</v>
      </c>
    </row>
    <row r="2048" spans="1:12" x14ac:dyDescent="0.25">
      <c r="A2048" t="str">
        <f t="shared" si="423"/>
        <v>89301000</v>
      </c>
      <c r="B2048" t="str">
        <f t="shared" si="433"/>
        <v>89063000</v>
      </c>
      <c r="C2048" t="str">
        <f t="shared" si="433"/>
        <v>89063000</v>
      </c>
      <c r="D2048" t="str">
        <f t="shared" si="434"/>
        <v>809</v>
      </c>
      <c r="E2048" t="str">
        <f t="shared" ref="E2048:E2054" si="436">"89301037"</f>
        <v>89301037</v>
      </c>
      <c r="F2048" t="str">
        <f>"6154020444"</f>
        <v>6154020444</v>
      </c>
      <c r="G2048" s="1">
        <v>44644</v>
      </c>
      <c r="H2048" t="str">
        <f t="shared" si="435"/>
        <v>89312</v>
      </c>
      <c r="I2048">
        <v>3</v>
      </c>
      <c r="J2048">
        <v>906</v>
      </c>
      <c r="K2048">
        <v>0</v>
      </c>
      <c r="L2048">
        <v>951.3</v>
      </c>
    </row>
    <row r="2049" spans="1:12" x14ac:dyDescent="0.25">
      <c r="A2049" t="str">
        <f t="shared" si="423"/>
        <v>89301000</v>
      </c>
      <c r="B2049" t="str">
        <f t="shared" ref="B2049:C2065" si="437">"89063000"</f>
        <v>89063000</v>
      </c>
      <c r="C2049" t="str">
        <f t="shared" si="437"/>
        <v>89063000</v>
      </c>
      <c r="D2049" t="str">
        <f t="shared" si="434"/>
        <v>809</v>
      </c>
      <c r="E2049" t="str">
        <f t="shared" si="436"/>
        <v>89301037</v>
      </c>
      <c r="F2049" t="str">
        <f>"5958251090"</f>
        <v>5958251090</v>
      </c>
      <c r="G2049" s="1">
        <v>44644</v>
      </c>
      <c r="H2049" t="str">
        <f t="shared" si="435"/>
        <v>89312</v>
      </c>
      <c r="I2049">
        <v>3</v>
      </c>
      <c r="J2049">
        <v>906</v>
      </c>
      <c r="K2049">
        <v>0</v>
      </c>
      <c r="L2049">
        <v>951.3</v>
      </c>
    </row>
    <row r="2050" spans="1:12" x14ac:dyDescent="0.25">
      <c r="A2050" t="str">
        <f t="shared" ref="A2050:A2113" si="438">"89301000"</f>
        <v>89301000</v>
      </c>
      <c r="B2050" t="str">
        <f t="shared" si="437"/>
        <v>89063000</v>
      </c>
      <c r="C2050" t="str">
        <f t="shared" si="437"/>
        <v>89063000</v>
      </c>
      <c r="D2050" t="str">
        <f t="shared" si="434"/>
        <v>809</v>
      </c>
      <c r="E2050" t="str">
        <f t="shared" si="436"/>
        <v>89301037</v>
      </c>
      <c r="F2050" t="str">
        <f>"315731466"</f>
        <v>315731466</v>
      </c>
      <c r="G2050" s="1">
        <v>44644</v>
      </c>
      <c r="H2050" t="str">
        <f t="shared" si="435"/>
        <v>89312</v>
      </c>
      <c r="I2050">
        <v>3</v>
      </c>
      <c r="J2050">
        <v>906</v>
      </c>
      <c r="K2050">
        <v>0</v>
      </c>
      <c r="L2050">
        <v>951.3</v>
      </c>
    </row>
    <row r="2051" spans="1:12" x14ac:dyDescent="0.25">
      <c r="A2051" t="str">
        <f t="shared" si="438"/>
        <v>89301000</v>
      </c>
      <c r="B2051" t="str">
        <f t="shared" si="437"/>
        <v>89063000</v>
      </c>
      <c r="C2051" t="str">
        <f t="shared" si="437"/>
        <v>89063000</v>
      </c>
      <c r="D2051" t="str">
        <f t="shared" si="434"/>
        <v>809</v>
      </c>
      <c r="E2051" t="str">
        <f t="shared" si="436"/>
        <v>89301037</v>
      </c>
      <c r="F2051" t="str">
        <f>"7052095765"</f>
        <v>7052095765</v>
      </c>
      <c r="G2051" s="1">
        <v>44644</v>
      </c>
      <c r="H2051" t="str">
        <f t="shared" si="435"/>
        <v>89312</v>
      </c>
      <c r="I2051">
        <v>3</v>
      </c>
      <c r="J2051">
        <v>906</v>
      </c>
      <c r="K2051">
        <v>0</v>
      </c>
      <c r="L2051">
        <v>951.3</v>
      </c>
    </row>
    <row r="2052" spans="1:12" x14ac:dyDescent="0.25">
      <c r="A2052" t="str">
        <f t="shared" si="438"/>
        <v>89301000</v>
      </c>
      <c r="B2052" t="str">
        <f t="shared" si="437"/>
        <v>89063000</v>
      </c>
      <c r="C2052" t="str">
        <f t="shared" si="437"/>
        <v>89063000</v>
      </c>
      <c r="D2052" t="str">
        <f t="shared" si="434"/>
        <v>809</v>
      </c>
      <c r="E2052" t="str">
        <f t="shared" si="436"/>
        <v>89301037</v>
      </c>
      <c r="F2052" t="str">
        <f>"510310043"</f>
        <v>510310043</v>
      </c>
      <c r="G2052" s="1">
        <v>44648</v>
      </c>
      <c r="H2052" t="str">
        <f t="shared" si="435"/>
        <v>89312</v>
      </c>
      <c r="I2052">
        <v>3</v>
      </c>
      <c r="J2052">
        <v>906</v>
      </c>
      <c r="K2052">
        <v>0</v>
      </c>
      <c r="L2052">
        <v>951.3</v>
      </c>
    </row>
    <row r="2053" spans="1:12" x14ac:dyDescent="0.25">
      <c r="A2053" t="str">
        <f t="shared" si="438"/>
        <v>89301000</v>
      </c>
      <c r="B2053" t="str">
        <f t="shared" si="437"/>
        <v>89063000</v>
      </c>
      <c r="C2053" t="str">
        <f t="shared" si="437"/>
        <v>89063000</v>
      </c>
      <c r="D2053" t="str">
        <f t="shared" si="434"/>
        <v>809</v>
      </c>
      <c r="E2053" t="str">
        <f t="shared" si="436"/>
        <v>89301037</v>
      </c>
      <c r="F2053" t="str">
        <f>"515106296"</f>
        <v>515106296</v>
      </c>
      <c r="G2053" s="1">
        <v>44648</v>
      </c>
      <c r="H2053" t="str">
        <f t="shared" si="435"/>
        <v>89312</v>
      </c>
      <c r="I2053">
        <v>3</v>
      </c>
      <c r="J2053">
        <v>906</v>
      </c>
      <c r="K2053">
        <v>0</v>
      </c>
      <c r="L2053">
        <v>951.3</v>
      </c>
    </row>
    <row r="2054" spans="1:12" x14ac:dyDescent="0.25">
      <c r="A2054" t="str">
        <f t="shared" si="438"/>
        <v>89301000</v>
      </c>
      <c r="B2054" t="str">
        <f t="shared" si="437"/>
        <v>89063000</v>
      </c>
      <c r="C2054" t="str">
        <f t="shared" si="437"/>
        <v>89063000</v>
      </c>
      <c r="D2054" t="str">
        <f t="shared" si="434"/>
        <v>809</v>
      </c>
      <c r="E2054" t="str">
        <f t="shared" si="436"/>
        <v>89301037</v>
      </c>
      <c r="F2054" t="str">
        <f>"7061265354"</f>
        <v>7061265354</v>
      </c>
      <c r="G2054" s="1">
        <v>44648</v>
      </c>
      <c r="H2054" t="str">
        <f t="shared" si="435"/>
        <v>89312</v>
      </c>
      <c r="I2054">
        <v>3</v>
      </c>
      <c r="J2054">
        <v>906</v>
      </c>
      <c r="K2054">
        <v>0</v>
      </c>
      <c r="L2054">
        <v>951.3</v>
      </c>
    </row>
    <row r="2055" spans="1:12" x14ac:dyDescent="0.25">
      <c r="A2055" t="str">
        <f t="shared" si="438"/>
        <v>89301000</v>
      </c>
      <c r="B2055" t="str">
        <f t="shared" si="437"/>
        <v>89063000</v>
      </c>
      <c r="C2055" t="str">
        <f t="shared" si="437"/>
        <v>89063000</v>
      </c>
      <c r="D2055" t="str">
        <f t="shared" si="434"/>
        <v>809</v>
      </c>
      <c r="E2055" t="str">
        <f>"89301162"</f>
        <v>89301162</v>
      </c>
      <c r="F2055" t="str">
        <f>"6310201722"</f>
        <v>6310201722</v>
      </c>
      <c r="G2055" s="1">
        <v>44648</v>
      </c>
      <c r="H2055" t="str">
        <f t="shared" si="435"/>
        <v>89312</v>
      </c>
      <c r="I2055">
        <v>3</v>
      </c>
      <c r="J2055">
        <v>906</v>
      </c>
      <c r="K2055">
        <v>0</v>
      </c>
      <c r="L2055">
        <v>951.3</v>
      </c>
    </row>
    <row r="2056" spans="1:12" x14ac:dyDescent="0.25">
      <c r="A2056" t="str">
        <f t="shared" si="438"/>
        <v>89301000</v>
      </c>
      <c r="B2056" t="str">
        <f t="shared" si="437"/>
        <v>89063000</v>
      </c>
      <c r="C2056" t="str">
        <f t="shared" si="437"/>
        <v>89063000</v>
      </c>
      <c r="D2056" t="str">
        <f t="shared" si="434"/>
        <v>809</v>
      </c>
      <c r="E2056" t="str">
        <f>"89301037"</f>
        <v>89301037</v>
      </c>
      <c r="F2056" t="str">
        <f>"6055231028"</f>
        <v>6055231028</v>
      </c>
      <c r="G2056" s="1">
        <v>44649</v>
      </c>
      <c r="H2056" t="str">
        <f t="shared" si="435"/>
        <v>89312</v>
      </c>
      <c r="I2056">
        <v>3</v>
      </c>
      <c r="J2056">
        <v>906</v>
      </c>
      <c r="K2056">
        <v>0</v>
      </c>
      <c r="L2056">
        <v>951.3</v>
      </c>
    </row>
    <row r="2057" spans="1:12" x14ac:dyDescent="0.25">
      <c r="A2057" t="str">
        <f t="shared" si="438"/>
        <v>89301000</v>
      </c>
      <c r="B2057" t="str">
        <f t="shared" si="437"/>
        <v>89063000</v>
      </c>
      <c r="C2057" t="str">
        <f t="shared" si="437"/>
        <v>89063000</v>
      </c>
      <c r="D2057" t="str">
        <f t="shared" si="434"/>
        <v>809</v>
      </c>
      <c r="E2057" t="str">
        <f>"89301102"</f>
        <v>89301102</v>
      </c>
      <c r="F2057" t="str">
        <f>"0906033249"</f>
        <v>0906033249</v>
      </c>
      <c r="G2057" s="1">
        <v>44649</v>
      </c>
      <c r="H2057" t="str">
        <f t="shared" si="435"/>
        <v>89312</v>
      </c>
      <c r="I2057">
        <v>1</v>
      </c>
      <c r="J2057">
        <v>302</v>
      </c>
      <c r="K2057">
        <v>0</v>
      </c>
      <c r="L2057">
        <v>317.10000000000002</v>
      </c>
    </row>
    <row r="2058" spans="1:12" x14ac:dyDescent="0.25">
      <c r="A2058" t="str">
        <f t="shared" si="438"/>
        <v>89301000</v>
      </c>
      <c r="B2058" t="str">
        <f t="shared" si="437"/>
        <v>89063000</v>
      </c>
      <c r="C2058" t="str">
        <f t="shared" si="437"/>
        <v>89063000</v>
      </c>
      <c r="D2058" t="str">
        <f t="shared" si="434"/>
        <v>809</v>
      </c>
      <c r="E2058" t="str">
        <f>"89301031"</f>
        <v>89301031</v>
      </c>
      <c r="F2058" t="str">
        <f>"8060223787"</f>
        <v>8060223787</v>
      </c>
      <c r="G2058" s="1">
        <v>44649</v>
      </c>
      <c r="H2058" t="str">
        <f t="shared" si="435"/>
        <v>89312</v>
      </c>
      <c r="I2058">
        <v>3</v>
      </c>
      <c r="J2058">
        <v>906</v>
      </c>
      <c r="K2058">
        <v>0</v>
      </c>
      <c r="L2058">
        <v>951.3</v>
      </c>
    </row>
    <row r="2059" spans="1:12" x14ac:dyDescent="0.25">
      <c r="A2059" t="str">
        <f t="shared" si="438"/>
        <v>89301000</v>
      </c>
      <c r="B2059" t="str">
        <f t="shared" si="437"/>
        <v>89063000</v>
      </c>
      <c r="C2059" t="str">
        <f t="shared" si="437"/>
        <v>89063000</v>
      </c>
      <c r="D2059" t="str">
        <f t="shared" si="434"/>
        <v>809</v>
      </c>
      <c r="E2059" t="str">
        <f>"89301034"</f>
        <v>89301034</v>
      </c>
      <c r="F2059" t="str">
        <f>"7105255344"</f>
        <v>7105255344</v>
      </c>
      <c r="G2059" s="1">
        <v>44649</v>
      </c>
      <c r="H2059" t="str">
        <f t="shared" si="435"/>
        <v>89312</v>
      </c>
      <c r="I2059">
        <v>3</v>
      </c>
      <c r="J2059">
        <v>906</v>
      </c>
      <c r="K2059">
        <v>0</v>
      </c>
      <c r="L2059">
        <v>951.3</v>
      </c>
    </row>
    <row r="2060" spans="1:12" x14ac:dyDescent="0.25">
      <c r="A2060" t="str">
        <f t="shared" si="438"/>
        <v>89301000</v>
      </c>
      <c r="B2060" t="str">
        <f t="shared" si="437"/>
        <v>89063000</v>
      </c>
      <c r="C2060" t="str">
        <f t="shared" si="437"/>
        <v>89063000</v>
      </c>
      <c r="D2060" t="str">
        <f t="shared" si="434"/>
        <v>809</v>
      </c>
      <c r="E2060" t="str">
        <f>"89301102"</f>
        <v>89301102</v>
      </c>
      <c r="F2060" t="str">
        <f>"1701271935"</f>
        <v>1701271935</v>
      </c>
      <c r="G2060" s="1">
        <v>44649</v>
      </c>
      <c r="H2060" t="str">
        <f t="shared" si="435"/>
        <v>89312</v>
      </c>
      <c r="I2060">
        <v>1</v>
      </c>
      <c r="J2060">
        <v>302</v>
      </c>
      <c r="K2060">
        <v>0</v>
      </c>
      <c r="L2060">
        <v>317.10000000000002</v>
      </c>
    </row>
    <row r="2061" spans="1:12" x14ac:dyDescent="0.25">
      <c r="A2061" t="str">
        <f t="shared" si="438"/>
        <v>89301000</v>
      </c>
      <c r="B2061" t="str">
        <f t="shared" si="437"/>
        <v>89063000</v>
      </c>
      <c r="C2061" t="str">
        <f t="shared" si="437"/>
        <v>89063000</v>
      </c>
      <c r="D2061" t="str">
        <f t="shared" si="434"/>
        <v>809</v>
      </c>
      <c r="E2061" t="str">
        <f>"89301037"</f>
        <v>89301037</v>
      </c>
      <c r="F2061" t="str">
        <f>"6206071443"</f>
        <v>6206071443</v>
      </c>
      <c r="G2061" s="1">
        <v>44650</v>
      </c>
      <c r="H2061" t="str">
        <f t="shared" si="435"/>
        <v>89312</v>
      </c>
      <c r="I2061">
        <v>3</v>
      </c>
      <c r="J2061">
        <v>906</v>
      </c>
      <c r="K2061">
        <v>0</v>
      </c>
      <c r="L2061">
        <v>951.3</v>
      </c>
    </row>
    <row r="2062" spans="1:12" x14ac:dyDescent="0.25">
      <c r="A2062" t="str">
        <f t="shared" si="438"/>
        <v>89301000</v>
      </c>
      <c r="B2062" t="str">
        <f t="shared" si="437"/>
        <v>89063000</v>
      </c>
      <c r="C2062" t="str">
        <f t="shared" si="437"/>
        <v>89063000</v>
      </c>
      <c r="D2062" t="str">
        <f t="shared" si="434"/>
        <v>809</v>
      </c>
      <c r="E2062" t="str">
        <f>"89301037"</f>
        <v>89301037</v>
      </c>
      <c r="F2062" t="str">
        <f>"7151285361"</f>
        <v>7151285361</v>
      </c>
      <c r="G2062" s="1">
        <v>44650</v>
      </c>
      <c r="H2062" t="str">
        <f t="shared" si="435"/>
        <v>89312</v>
      </c>
      <c r="I2062">
        <v>3</v>
      </c>
      <c r="J2062">
        <v>906</v>
      </c>
      <c r="K2062">
        <v>0</v>
      </c>
      <c r="L2062">
        <v>951.3</v>
      </c>
    </row>
    <row r="2063" spans="1:12" x14ac:dyDescent="0.25">
      <c r="A2063" t="str">
        <f t="shared" si="438"/>
        <v>89301000</v>
      </c>
      <c r="B2063" t="str">
        <f t="shared" si="437"/>
        <v>89063000</v>
      </c>
      <c r="C2063" t="str">
        <f t="shared" si="437"/>
        <v>89063000</v>
      </c>
      <c r="D2063" t="str">
        <f t="shared" si="434"/>
        <v>809</v>
      </c>
      <c r="E2063" t="str">
        <f>"89301037"</f>
        <v>89301037</v>
      </c>
      <c r="F2063" t="str">
        <f>"7452205409"</f>
        <v>7452205409</v>
      </c>
      <c r="G2063" s="1">
        <v>44651</v>
      </c>
      <c r="H2063" t="str">
        <f t="shared" si="435"/>
        <v>89312</v>
      </c>
      <c r="I2063">
        <v>3</v>
      </c>
      <c r="J2063">
        <v>906</v>
      </c>
      <c r="K2063">
        <v>0</v>
      </c>
      <c r="L2063">
        <v>951.3</v>
      </c>
    </row>
    <row r="2064" spans="1:12" x14ac:dyDescent="0.25">
      <c r="A2064" t="str">
        <f t="shared" si="438"/>
        <v>89301000</v>
      </c>
      <c r="B2064" t="str">
        <f t="shared" si="437"/>
        <v>89063000</v>
      </c>
      <c r="C2064" t="str">
        <f t="shared" si="437"/>
        <v>89063000</v>
      </c>
      <c r="D2064" t="str">
        <f t="shared" si="434"/>
        <v>809</v>
      </c>
      <c r="E2064" t="str">
        <f>"89301102"</f>
        <v>89301102</v>
      </c>
      <c r="F2064" t="str">
        <f>"0855263266"</f>
        <v>0855263266</v>
      </c>
      <c r="G2064" s="1">
        <v>44651</v>
      </c>
      <c r="H2064" t="str">
        <f t="shared" si="435"/>
        <v>89312</v>
      </c>
      <c r="I2064">
        <v>1</v>
      </c>
      <c r="J2064">
        <v>302</v>
      </c>
      <c r="K2064">
        <v>0</v>
      </c>
      <c r="L2064">
        <v>317.10000000000002</v>
      </c>
    </row>
    <row r="2065" spans="1:12" x14ac:dyDescent="0.25">
      <c r="A2065" t="str">
        <f t="shared" si="438"/>
        <v>89301000</v>
      </c>
      <c r="B2065" t="str">
        <f t="shared" si="437"/>
        <v>89063000</v>
      </c>
      <c r="C2065" t="str">
        <f t="shared" si="437"/>
        <v>89063000</v>
      </c>
      <c r="D2065" t="str">
        <f t="shared" si="434"/>
        <v>809</v>
      </c>
      <c r="E2065" t="str">
        <f>"89301036"</f>
        <v>89301036</v>
      </c>
      <c r="F2065" t="str">
        <f>"6255300381"</f>
        <v>6255300381</v>
      </c>
      <c r="G2065" s="1">
        <v>44651</v>
      </c>
      <c r="H2065" t="str">
        <f t="shared" si="435"/>
        <v>89312</v>
      </c>
      <c r="I2065">
        <v>3</v>
      </c>
      <c r="J2065">
        <v>906</v>
      </c>
      <c r="K2065">
        <v>0</v>
      </c>
      <c r="L2065">
        <v>951.3</v>
      </c>
    </row>
    <row r="2066" spans="1:12" x14ac:dyDescent="0.25">
      <c r="A2066" t="str">
        <f t="shared" si="438"/>
        <v>89301000</v>
      </c>
      <c r="B2066" t="str">
        <f t="shared" ref="B2066:C2073" si="439">"92503000"</f>
        <v>92503000</v>
      </c>
      <c r="C2066" t="str">
        <f t="shared" si="439"/>
        <v>92503000</v>
      </c>
      <c r="D2066" t="str">
        <f t="shared" ref="D2066:D2073" si="440">"807"</f>
        <v>807</v>
      </c>
      <c r="E2066" t="str">
        <f t="shared" ref="E2066:E2073" si="441">"89301082"</f>
        <v>89301082</v>
      </c>
      <c r="F2066" t="str">
        <f>"0962153225"</f>
        <v>0962153225</v>
      </c>
      <c r="G2066" s="1">
        <v>44628</v>
      </c>
      <c r="H2066" t="str">
        <f>"87433"</f>
        <v>87433</v>
      </c>
      <c r="I2066">
        <v>1</v>
      </c>
      <c r="J2066">
        <v>41</v>
      </c>
      <c r="K2066">
        <v>0</v>
      </c>
      <c r="L2066">
        <v>31.98</v>
      </c>
    </row>
    <row r="2067" spans="1:12" x14ac:dyDescent="0.25">
      <c r="A2067" t="str">
        <f t="shared" si="438"/>
        <v>89301000</v>
      </c>
      <c r="B2067" t="str">
        <f t="shared" si="439"/>
        <v>92503000</v>
      </c>
      <c r="C2067" t="str">
        <f t="shared" si="439"/>
        <v>92503000</v>
      </c>
      <c r="D2067" t="str">
        <f t="shared" si="440"/>
        <v>807</v>
      </c>
      <c r="E2067" t="str">
        <f t="shared" si="441"/>
        <v>89301082</v>
      </c>
      <c r="F2067" t="str">
        <f>"0962153225"</f>
        <v>0962153225</v>
      </c>
      <c r="G2067" s="1">
        <v>44628</v>
      </c>
      <c r="H2067" t="str">
        <f>"87519"</f>
        <v>87519</v>
      </c>
      <c r="I2067">
        <v>1</v>
      </c>
      <c r="J2067">
        <v>310</v>
      </c>
      <c r="K2067">
        <v>0</v>
      </c>
      <c r="L2067">
        <v>241.8</v>
      </c>
    </row>
    <row r="2068" spans="1:12" x14ac:dyDescent="0.25">
      <c r="A2068" t="str">
        <f t="shared" si="438"/>
        <v>89301000</v>
      </c>
      <c r="B2068" t="str">
        <f t="shared" si="439"/>
        <v>92503000</v>
      </c>
      <c r="C2068" t="str">
        <f t="shared" si="439"/>
        <v>92503000</v>
      </c>
      <c r="D2068" t="str">
        <f t="shared" si="440"/>
        <v>807</v>
      </c>
      <c r="E2068" t="str">
        <f t="shared" si="441"/>
        <v>89301082</v>
      </c>
      <c r="F2068" t="str">
        <f>"7253215783"</f>
        <v>7253215783</v>
      </c>
      <c r="G2068" s="1">
        <v>44648</v>
      </c>
      <c r="H2068" t="str">
        <f>"87433"</f>
        <v>87433</v>
      </c>
      <c r="I2068">
        <v>1</v>
      </c>
      <c r="J2068">
        <v>41</v>
      </c>
      <c r="K2068">
        <v>0</v>
      </c>
      <c r="L2068">
        <v>31.98</v>
      </c>
    </row>
    <row r="2069" spans="1:12" x14ac:dyDescent="0.25">
      <c r="A2069" t="str">
        <f t="shared" si="438"/>
        <v>89301000</v>
      </c>
      <c r="B2069" t="str">
        <f t="shared" si="439"/>
        <v>92503000</v>
      </c>
      <c r="C2069" t="str">
        <f t="shared" si="439"/>
        <v>92503000</v>
      </c>
      <c r="D2069" t="str">
        <f t="shared" si="440"/>
        <v>807</v>
      </c>
      <c r="E2069" t="str">
        <f t="shared" si="441"/>
        <v>89301082</v>
      </c>
      <c r="F2069" t="str">
        <f>"7253215783"</f>
        <v>7253215783</v>
      </c>
      <c r="G2069" s="1">
        <v>44648</v>
      </c>
      <c r="H2069" t="str">
        <f>"87519"</f>
        <v>87519</v>
      </c>
      <c r="I2069">
        <v>1</v>
      </c>
      <c r="J2069">
        <v>310</v>
      </c>
      <c r="K2069">
        <v>0</v>
      </c>
      <c r="L2069">
        <v>241.8</v>
      </c>
    </row>
    <row r="2070" spans="1:12" x14ac:dyDescent="0.25">
      <c r="A2070" t="str">
        <f t="shared" si="438"/>
        <v>89301000</v>
      </c>
      <c r="B2070" t="str">
        <f t="shared" si="439"/>
        <v>92503000</v>
      </c>
      <c r="C2070" t="str">
        <f t="shared" si="439"/>
        <v>92503000</v>
      </c>
      <c r="D2070" t="str">
        <f t="shared" si="440"/>
        <v>807</v>
      </c>
      <c r="E2070" t="str">
        <f t="shared" si="441"/>
        <v>89301082</v>
      </c>
      <c r="F2070" t="str">
        <f>"0755283243"</f>
        <v>0755283243</v>
      </c>
      <c r="G2070" s="1">
        <v>44648</v>
      </c>
      <c r="H2070" t="str">
        <f>"87433"</f>
        <v>87433</v>
      </c>
      <c r="I2070">
        <v>1</v>
      </c>
      <c r="J2070">
        <v>41</v>
      </c>
      <c r="K2070">
        <v>0</v>
      </c>
      <c r="L2070">
        <v>31.98</v>
      </c>
    </row>
    <row r="2071" spans="1:12" x14ac:dyDescent="0.25">
      <c r="A2071" t="str">
        <f t="shared" si="438"/>
        <v>89301000</v>
      </c>
      <c r="B2071" t="str">
        <f t="shared" si="439"/>
        <v>92503000</v>
      </c>
      <c r="C2071" t="str">
        <f t="shared" si="439"/>
        <v>92503000</v>
      </c>
      <c r="D2071" t="str">
        <f t="shared" si="440"/>
        <v>807</v>
      </c>
      <c r="E2071" t="str">
        <f t="shared" si="441"/>
        <v>89301082</v>
      </c>
      <c r="F2071" t="str">
        <f>"0755283243"</f>
        <v>0755283243</v>
      </c>
      <c r="G2071" s="1">
        <v>44648</v>
      </c>
      <c r="H2071" t="str">
        <f>"87519"</f>
        <v>87519</v>
      </c>
      <c r="I2071">
        <v>1</v>
      </c>
      <c r="J2071">
        <v>310</v>
      </c>
      <c r="K2071">
        <v>0</v>
      </c>
      <c r="L2071">
        <v>241.8</v>
      </c>
    </row>
    <row r="2072" spans="1:12" x14ac:dyDescent="0.25">
      <c r="A2072" t="str">
        <f t="shared" si="438"/>
        <v>89301000</v>
      </c>
      <c r="B2072" t="str">
        <f t="shared" si="439"/>
        <v>92503000</v>
      </c>
      <c r="C2072" t="str">
        <f t="shared" si="439"/>
        <v>92503000</v>
      </c>
      <c r="D2072" t="str">
        <f t="shared" si="440"/>
        <v>807</v>
      </c>
      <c r="E2072" t="str">
        <f t="shared" si="441"/>
        <v>89301082</v>
      </c>
      <c r="F2072" t="str">
        <f>"495524004"</f>
        <v>495524004</v>
      </c>
      <c r="G2072" s="1">
        <v>44650</v>
      </c>
      <c r="H2072" t="str">
        <f>"87433"</f>
        <v>87433</v>
      </c>
      <c r="I2072">
        <v>1</v>
      </c>
      <c r="J2072">
        <v>41</v>
      </c>
      <c r="K2072">
        <v>0</v>
      </c>
      <c r="L2072">
        <v>31.98</v>
      </c>
    </row>
    <row r="2073" spans="1:12" x14ac:dyDescent="0.25">
      <c r="A2073" t="str">
        <f t="shared" si="438"/>
        <v>89301000</v>
      </c>
      <c r="B2073" t="str">
        <f t="shared" si="439"/>
        <v>92503000</v>
      </c>
      <c r="C2073" t="str">
        <f t="shared" si="439"/>
        <v>92503000</v>
      </c>
      <c r="D2073" t="str">
        <f t="shared" si="440"/>
        <v>807</v>
      </c>
      <c r="E2073" t="str">
        <f t="shared" si="441"/>
        <v>89301082</v>
      </c>
      <c r="F2073" t="str">
        <f>"495524004"</f>
        <v>495524004</v>
      </c>
      <c r="G2073" s="1">
        <v>44650</v>
      </c>
      <c r="H2073" t="str">
        <f>"87519"</f>
        <v>87519</v>
      </c>
      <c r="I2073">
        <v>1</v>
      </c>
      <c r="J2073">
        <v>310</v>
      </c>
      <c r="K2073">
        <v>0</v>
      </c>
      <c r="L2073">
        <v>241.8</v>
      </c>
    </row>
    <row r="2074" spans="1:12" x14ac:dyDescent="0.25">
      <c r="A2074" t="str">
        <f t="shared" si="438"/>
        <v>89301000</v>
      </c>
      <c r="B2074" t="str">
        <f t="shared" ref="B2074:B2079" si="442">"89511000"</f>
        <v>89511000</v>
      </c>
      <c r="C2074" t="str">
        <f t="shared" ref="C2074:C2079" si="443">"89511001"</f>
        <v>89511001</v>
      </c>
      <c r="D2074" t="str">
        <f t="shared" ref="D2074:D2079" si="444">"809"</f>
        <v>809</v>
      </c>
      <c r="E2074" t="str">
        <f>"89301172"</f>
        <v>89301172</v>
      </c>
      <c r="F2074" t="str">
        <f>"7661152928"</f>
        <v>7661152928</v>
      </c>
      <c r="G2074" s="1">
        <v>44630</v>
      </c>
      <c r="H2074" t="str">
        <f>"89131"</f>
        <v>89131</v>
      </c>
      <c r="I2074">
        <v>1</v>
      </c>
      <c r="J2074">
        <v>187</v>
      </c>
      <c r="K2074">
        <v>0</v>
      </c>
      <c r="L2074">
        <v>261.8</v>
      </c>
    </row>
    <row r="2075" spans="1:12" x14ac:dyDescent="0.25">
      <c r="A2075" t="str">
        <f t="shared" si="438"/>
        <v>89301000</v>
      </c>
      <c r="B2075" t="str">
        <f t="shared" si="442"/>
        <v>89511000</v>
      </c>
      <c r="C2075" t="str">
        <f t="shared" si="443"/>
        <v>89511001</v>
      </c>
      <c r="D2075" t="str">
        <f t="shared" si="444"/>
        <v>809</v>
      </c>
      <c r="E2075" t="str">
        <f>"89301112"</f>
        <v>89301112</v>
      </c>
      <c r="F2075" t="str">
        <f>"8060125304"</f>
        <v>8060125304</v>
      </c>
      <c r="G2075" s="1">
        <v>44630</v>
      </c>
      <c r="H2075" t="str">
        <f>"89127"</f>
        <v>89127</v>
      </c>
      <c r="I2075">
        <v>1</v>
      </c>
      <c r="J2075">
        <v>238</v>
      </c>
      <c r="K2075">
        <v>0</v>
      </c>
      <c r="L2075">
        <v>333.2</v>
      </c>
    </row>
    <row r="2076" spans="1:12" x14ac:dyDescent="0.25">
      <c r="A2076" t="str">
        <f t="shared" si="438"/>
        <v>89301000</v>
      </c>
      <c r="B2076" t="str">
        <f t="shared" si="442"/>
        <v>89511000</v>
      </c>
      <c r="C2076" t="str">
        <f t="shared" si="443"/>
        <v>89511001</v>
      </c>
      <c r="D2076" t="str">
        <f t="shared" si="444"/>
        <v>809</v>
      </c>
      <c r="E2076" t="str">
        <f>"89301172"</f>
        <v>89301172</v>
      </c>
      <c r="F2076" t="str">
        <f>"8452095322"</f>
        <v>8452095322</v>
      </c>
      <c r="G2076" s="1">
        <v>44644</v>
      </c>
      <c r="H2076" t="str">
        <f>"89513"</f>
        <v>89513</v>
      </c>
      <c r="I2076">
        <v>1</v>
      </c>
      <c r="J2076">
        <v>371</v>
      </c>
      <c r="K2076">
        <v>0</v>
      </c>
      <c r="L2076">
        <v>519.4</v>
      </c>
    </row>
    <row r="2077" spans="1:12" x14ac:dyDescent="0.25">
      <c r="A2077" t="str">
        <f t="shared" si="438"/>
        <v>89301000</v>
      </c>
      <c r="B2077" t="str">
        <f t="shared" si="442"/>
        <v>89511000</v>
      </c>
      <c r="C2077" t="str">
        <f t="shared" si="443"/>
        <v>89511001</v>
      </c>
      <c r="D2077" t="str">
        <f t="shared" si="444"/>
        <v>809</v>
      </c>
      <c r="E2077" t="str">
        <f>"89301172"</f>
        <v>89301172</v>
      </c>
      <c r="F2077" t="str">
        <f>"8452095322"</f>
        <v>8452095322</v>
      </c>
      <c r="G2077" s="1">
        <v>44644</v>
      </c>
      <c r="H2077" t="str">
        <f>"89514"</f>
        <v>89514</v>
      </c>
      <c r="I2077">
        <v>1</v>
      </c>
      <c r="J2077">
        <v>371</v>
      </c>
      <c r="K2077">
        <v>0</v>
      </c>
      <c r="L2077">
        <v>519.4</v>
      </c>
    </row>
    <row r="2078" spans="1:12" x14ac:dyDescent="0.25">
      <c r="A2078" t="str">
        <f t="shared" si="438"/>
        <v>89301000</v>
      </c>
      <c r="B2078" t="str">
        <f t="shared" si="442"/>
        <v>89511000</v>
      </c>
      <c r="C2078" t="str">
        <f t="shared" si="443"/>
        <v>89511001</v>
      </c>
      <c r="D2078" t="str">
        <f t="shared" si="444"/>
        <v>809</v>
      </c>
      <c r="E2078" t="str">
        <f>"89301172"</f>
        <v>89301172</v>
      </c>
      <c r="F2078" t="str">
        <f>"8452095322"</f>
        <v>8452095322</v>
      </c>
      <c r="G2078" s="1">
        <v>44644</v>
      </c>
      <c r="H2078" t="str">
        <f>"89131"</f>
        <v>89131</v>
      </c>
      <c r="I2078">
        <v>1</v>
      </c>
      <c r="J2078">
        <v>187</v>
      </c>
      <c r="K2078">
        <v>0</v>
      </c>
      <c r="L2078">
        <v>261.8</v>
      </c>
    </row>
    <row r="2079" spans="1:12" x14ac:dyDescent="0.25">
      <c r="A2079" t="str">
        <f t="shared" si="438"/>
        <v>89301000</v>
      </c>
      <c r="B2079" t="str">
        <f t="shared" si="442"/>
        <v>89511000</v>
      </c>
      <c r="C2079" t="str">
        <f t="shared" si="443"/>
        <v>89511001</v>
      </c>
      <c r="D2079" t="str">
        <f t="shared" si="444"/>
        <v>809</v>
      </c>
      <c r="E2079" t="str">
        <f>"89301212"</f>
        <v>89301212</v>
      </c>
      <c r="F2079" t="str">
        <f>"7155031213"</f>
        <v>7155031213</v>
      </c>
      <c r="G2079" s="1">
        <v>44645</v>
      </c>
      <c r="H2079" t="str">
        <f>"89131"</f>
        <v>89131</v>
      </c>
      <c r="I2079">
        <v>2</v>
      </c>
      <c r="J2079">
        <v>374</v>
      </c>
      <c r="K2079">
        <v>0</v>
      </c>
      <c r="L2079">
        <v>523.6</v>
      </c>
    </row>
    <row r="2080" spans="1:12" x14ac:dyDescent="0.25">
      <c r="A2080" t="str">
        <f t="shared" si="438"/>
        <v>89301000</v>
      </c>
      <c r="B2080" t="str">
        <f t="shared" ref="B2080:B2086" si="445">"91997900"</f>
        <v>91997900</v>
      </c>
      <c r="C2080" t="str">
        <f>"91997902"</f>
        <v>91997902</v>
      </c>
      <c r="D2080" t="str">
        <f>"813"</f>
        <v>813</v>
      </c>
      <c r="E2080" t="str">
        <f>"89301322"</f>
        <v>89301322</v>
      </c>
      <c r="F2080" t="str">
        <f>"7461215322"</f>
        <v>7461215322</v>
      </c>
      <c r="G2080" s="1">
        <v>44645</v>
      </c>
      <c r="H2080" t="str">
        <f>"91439"</f>
        <v>91439</v>
      </c>
      <c r="I2080">
        <v>9</v>
      </c>
      <c r="J2080">
        <v>3204</v>
      </c>
      <c r="K2080">
        <v>0</v>
      </c>
      <c r="L2080">
        <v>2499.12</v>
      </c>
    </row>
    <row r="2081" spans="1:12" x14ac:dyDescent="0.25">
      <c r="A2081" t="str">
        <f t="shared" si="438"/>
        <v>89301000</v>
      </c>
      <c r="B2081" t="str">
        <f t="shared" si="445"/>
        <v>91997900</v>
      </c>
      <c r="C2081" t="str">
        <f>"91997902"</f>
        <v>91997902</v>
      </c>
      <c r="D2081" t="str">
        <f>"813"</f>
        <v>813</v>
      </c>
      <c r="E2081" t="str">
        <f>"89301322"</f>
        <v>89301322</v>
      </c>
      <c r="F2081" t="str">
        <f>"7461215322"</f>
        <v>7461215322</v>
      </c>
      <c r="G2081" s="1">
        <v>44645</v>
      </c>
      <c r="H2081" t="str">
        <f>"91439"</f>
        <v>91439</v>
      </c>
      <c r="I2081">
        <v>6</v>
      </c>
      <c r="J2081">
        <v>2136</v>
      </c>
      <c r="K2081">
        <v>0</v>
      </c>
      <c r="L2081">
        <v>1666.08</v>
      </c>
    </row>
    <row r="2082" spans="1:12" x14ac:dyDescent="0.25">
      <c r="A2082" t="str">
        <f t="shared" si="438"/>
        <v>89301000</v>
      </c>
      <c r="B2082" t="str">
        <f t="shared" si="445"/>
        <v>91997900</v>
      </c>
      <c r="C2082" t="str">
        <f>"91997901"</f>
        <v>91997901</v>
      </c>
      <c r="D2082" t="str">
        <f t="shared" ref="D2082:D2128" si="446">"801"</f>
        <v>801</v>
      </c>
      <c r="E2082" t="str">
        <f>"89301101"</f>
        <v>89301101</v>
      </c>
      <c r="F2082" t="str">
        <f>"2157022043"</f>
        <v>2157022043</v>
      </c>
      <c r="G2082" s="1">
        <v>44623</v>
      </c>
      <c r="H2082" t="str">
        <f>"81631"</f>
        <v>81631</v>
      </c>
      <c r="I2082">
        <v>1</v>
      </c>
      <c r="J2082">
        <v>294</v>
      </c>
      <c r="K2082">
        <v>0</v>
      </c>
      <c r="L2082">
        <v>229.32</v>
      </c>
    </row>
    <row r="2083" spans="1:12" x14ac:dyDescent="0.25">
      <c r="A2083" t="str">
        <f t="shared" si="438"/>
        <v>89301000</v>
      </c>
      <c r="B2083" t="str">
        <f t="shared" si="445"/>
        <v>91997900</v>
      </c>
      <c r="C2083" t="str">
        <f>"91997901"</f>
        <v>91997901</v>
      </c>
      <c r="D2083" t="str">
        <f t="shared" si="446"/>
        <v>801</v>
      </c>
      <c r="E2083" t="str">
        <f>"89301101"</f>
        <v>89301101</v>
      </c>
      <c r="F2083" t="str">
        <f>"2157022043"</f>
        <v>2157022043</v>
      </c>
      <c r="G2083" s="1">
        <v>44623</v>
      </c>
      <c r="H2083" t="str">
        <f>"92157"</f>
        <v>92157</v>
      </c>
      <c r="I2083">
        <v>1</v>
      </c>
      <c r="J2083">
        <v>1754</v>
      </c>
      <c r="K2083">
        <v>0</v>
      </c>
      <c r="L2083">
        <v>1368.12</v>
      </c>
    </row>
    <row r="2084" spans="1:12" x14ac:dyDescent="0.25">
      <c r="A2084" t="str">
        <f t="shared" si="438"/>
        <v>89301000</v>
      </c>
      <c r="B2084" t="str">
        <f t="shared" si="445"/>
        <v>91997900</v>
      </c>
      <c r="C2084" t="str">
        <f>"91997901"</f>
        <v>91997901</v>
      </c>
      <c r="D2084" t="str">
        <f t="shared" si="446"/>
        <v>801</v>
      </c>
      <c r="E2084" t="str">
        <f>"89301101"</f>
        <v>89301101</v>
      </c>
      <c r="F2084" t="str">
        <f>"2157022043"</f>
        <v>2157022043</v>
      </c>
      <c r="G2084" s="1">
        <v>44628</v>
      </c>
      <c r="H2084" t="str">
        <f>"92157"</f>
        <v>92157</v>
      </c>
      <c r="I2084">
        <v>1</v>
      </c>
      <c r="J2084">
        <v>1754</v>
      </c>
      <c r="K2084">
        <v>0</v>
      </c>
      <c r="L2084">
        <v>1368.12</v>
      </c>
    </row>
    <row r="2085" spans="1:12" x14ac:dyDescent="0.25">
      <c r="A2085" t="str">
        <f t="shared" si="438"/>
        <v>89301000</v>
      </c>
      <c r="B2085" t="str">
        <f t="shared" si="445"/>
        <v>91997900</v>
      </c>
      <c r="C2085" t="str">
        <f>"91997901"</f>
        <v>91997901</v>
      </c>
      <c r="D2085" t="str">
        <f t="shared" si="446"/>
        <v>801</v>
      </c>
      <c r="E2085" t="str">
        <f>"89301101"</f>
        <v>89301101</v>
      </c>
      <c r="F2085" t="str">
        <f>"2157022043"</f>
        <v>2157022043</v>
      </c>
      <c r="G2085" s="1">
        <v>44630</v>
      </c>
      <c r="H2085" t="str">
        <f>"92157"</f>
        <v>92157</v>
      </c>
      <c r="I2085">
        <v>1</v>
      </c>
      <c r="J2085">
        <v>1754</v>
      </c>
      <c r="K2085">
        <v>0</v>
      </c>
      <c r="L2085">
        <v>1368.12</v>
      </c>
    </row>
    <row r="2086" spans="1:12" x14ac:dyDescent="0.25">
      <c r="A2086" t="str">
        <f t="shared" si="438"/>
        <v>89301000</v>
      </c>
      <c r="B2086" t="str">
        <f t="shared" si="445"/>
        <v>91997900</v>
      </c>
      <c r="C2086" t="str">
        <f>"91997901"</f>
        <v>91997901</v>
      </c>
      <c r="D2086" t="str">
        <f t="shared" si="446"/>
        <v>801</v>
      </c>
      <c r="E2086" t="str">
        <f>"89301101"</f>
        <v>89301101</v>
      </c>
      <c r="F2086" t="str">
        <f>"2157022043"</f>
        <v>2157022043</v>
      </c>
      <c r="G2086" s="1">
        <v>44621</v>
      </c>
      <c r="H2086" t="str">
        <f>"97111"</f>
        <v>97111</v>
      </c>
      <c r="I2086">
        <v>2</v>
      </c>
      <c r="J2086">
        <v>36</v>
      </c>
      <c r="K2086">
        <v>0</v>
      </c>
      <c r="L2086">
        <v>28.08</v>
      </c>
    </row>
    <row r="2087" spans="1:12" x14ac:dyDescent="0.25">
      <c r="A2087" t="str">
        <f t="shared" si="438"/>
        <v>89301000</v>
      </c>
      <c r="B2087" t="str">
        <f t="shared" ref="B2087:B2128" si="447">"82083000"</f>
        <v>82083000</v>
      </c>
      <c r="C2087" t="str">
        <f t="shared" ref="C2087:C2128" si="448">"82083102"</f>
        <v>82083102</v>
      </c>
      <c r="D2087" t="str">
        <f t="shared" si="446"/>
        <v>801</v>
      </c>
      <c r="E2087" t="str">
        <f t="shared" ref="E2087:E2095" si="449">"89301082"</f>
        <v>89301082</v>
      </c>
      <c r="F2087" t="str">
        <f t="shared" ref="F2087:F2095" si="450">"8659284568"</f>
        <v>8659284568</v>
      </c>
      <c r="G2087" s="1">
        <v>44649</v>
      </c>
      <c r="H2087" t="str">
        <f>"93137"</f>
        <v>93137</v>
      </c>
      <c r="I2087">
        <v>1</v>
      </c>
      <c r="J2087">
        <v>184</v>
      </c>
      <c r="K2087">
        <v>0</v>
      </c>
      <c r="L2087">
        <v>143.52000000000001</v>
      </c>
    </row>
    <row r="2088" spans="1:12" x14ac:dyDescent="0.25">
      <c r="A2088" t="str">
        <f t="shared" si="438"/>
        <v>89301000</v>
      </c>
      <c r="B2088" t="str">
        <f t="shared" si="447"/>
        <v>82083000</v>
      </c>
      <c r="C2088" t="str">
        <f t="shared" si="448"/>
        <v>82083102</v>
      </c>
      <c r="D2088" t="str">
        <f t="shared" si="446"/>
        <v>801</v>
      </c>
      <c r="E2088" t="str">
        <f t="shared" si="449"/>
        <v>89301082</v>
      </c>
      <c r="F2088" t="str">
        <f t="shared" si="450"/>
        <v>8659284568</v>
      </c>
      <c r="G2088" s="1">
        <v>44649</v>
      </c>
      <c r="H2088" t="str">
        <f>"93177"</f>
        <v>93177</v>
      </c>
      <c r="I2088">
        <v>1</v>
      </c>
      <c r="J2088">
        <v>178</v>
      </c>
      <c r="K2088">
        <v>0</v>
      </c>
      <c r="L2088">
        <v>138.84</v>
      </c>
    </row>
    <row r="2089" spans="1:12" x14ac:dyDescent="0.25">
      <c r="A2089" t="str">
        <f t="shared" si="438"/>
        <v>89301000</v>
      </c>
      <c r="B2089" t="str">
        <f t="shared" si="447"/>
        <v>82083000</v>
      </c>
      <c r="C2089" t="str">
        <f t="shared" si="448"/>
        <v>82083102</v>
      </c>
      <c r="D2089" t="str">
        <f t="shared" si="446"/>
        <v>801</v>
      </c>
      <c r="E2089" t="str">
        <f t="shared" si="449"/>
        <v>89301082</v>
      </c>
      <c r="F2089" t="str">
        <f t="shared" si="450"/>
        <v>8659284568</v>
      </c>
      <c r="G2089" s="1">
        <v>44649</v>
      </c>
      <c r="H2089" t="str">
        <f>"93185"</f>
        <v>93185</v>
      </c>
      <c r="I2089">
        <v>1</v>
      </c>
      <c r="J2089">
        <v>138</v>
      </c>
      <c r="K2089">
        <v>0</v>
      </c>
      <c r="L2089">
        <v>107.64</v>
      </c>
    </row>
    <row r="2090" spans="1:12" x14ac:dyDescent="0.25">
      <c r="A2090" t="str">
        <f t="shared" si="438"/>
        <v>89301000</v>
      </c>
      <c r="B2090" t="str">
        <f t="shared" si="447"/>
        <v>82083000</v>
      </c>
      <c r="C2090" t="str">
        <f t="shared" si="448"/>
        <v>82083102</v>
      </c>
      <c r="D2090" t="str">
        <f t="shared" si="446"/>
        <v>801</v>
      </c>
      <c r="E2090" t="str">
        <f t="shared" si="449"/>
        <v>89301082</v>
      </c>
      <c r="F2090" t="str">
        <f t="shared" si="450"/>
        <v>8659284568</v>
      </c>
      <c r="G2090" s="1">
        <v>44649</v>
      </c>
      <c r="H2090" t="str">
        <f>"93187"</f>
        <v>93187</v>
      </c>
      <c r="I2090">
        <v>1</v>
      </c>
      <c r="J2090">
        <v>138</v>
      </c>
      <c r="K2090">
        <v>0</v>
      </c>
      <c r="L2090">
        <v>107.64</v>
      </c>
    </row>
    <row r="2091" spans="1:12" x14ac:dyDescent="0.25">
      <c r="A2091" t="str">
        <f t="shared" si="438"/>
        <v>89301000</v>
      </c>
      <c r="B2091" t="str">
        <f t="shared" si="447"/>
        <v>82083000</v>
      </c>
      <c r="C2091" t="str">
        <f t="shared" si="448"/>
        <v>82083102</v>
      </c>
      <c r="D2091" t="str">
        <f t="shared" si="446"/>
        <v>801</v>
      </c>
      <c r="E2091" t="str">
        <f t="shared" si="449"/>
        <v>89301082</v>
      </c>
      <c r="F2091" t="str">
        <f t="shared" si="450"/>
        <v>8659284568</v>
      </c>
      <c r="G2091" s="1">
        <v>44649</v>
      </c>
      <c r="H2091" t="str">
        <f>"93195"</f>
        <v>93195</v>
      </c>
      <c r="I2091">
        <v>1</v>
      </c>
      <c r="J2091">
        <v>181</v>
      </c>
      <c r="K2091">
        <v>0</v>
      </c>
      <c r="L2091">
        <v>141.18</v>
      </c>
    </row>
    <row r="2092" spans="1:12" x14ac:dyDescent="0.25">
      <c r="A2092" t="str">
        <f t="shared" si="438"/>
        <v>89301000</v>
      </c>
      <c r="B2092" t="str">
        <f t="shared" si="447"/>
        <v>82083000</v>
      </c>
      <c r="C2092" t="str">
        <f t="shared" si="448"/>
        <v>82083102</v>
      </c>
      <c r="D2092" t="str">
        <f t="shared" si="446"/>
        <v>801</v>
      </c>
      <c r="E2092" t="str">
        <f t="shared" si="449"/>
        <v>89301082</v>
      </c>
      <c r="F2092" t="str">
        <f t="shared" si="450"/>
        <v>8659284568</v>
      </c>
      <c r="G2092" s="1">
        <v>44649</v>
      </c>
      <c r="H2092" t="str">
        <f>"93217"</f>
        <v>93217</v>
      </c>
      <c r="I2092">
        <v>1</v>
      </c>
      <c r="J2092">
        <v>420</v>
      </c>
      <c r="K2092">
        <v>0</v>
      </c>
      <c r="L2092">
        <v>327.60000000000002</v>
      </c>
    </row>
    <row r="2093" spans="1:12" x14ac:dyDescent="0.25">
      <c r="A2093" t="str">
        <f t="shared" si="438"/>
        <v>89301000</v>
      </c>
      <c r="B2093" t="str">
        <f t="shared" si="447"/>
        <v>82083000</v>
      </c>
      <c r="C2093" t="str">
        <f t="shared" si="448"/>
        <v>82083102</v>
      </c>
      <c r="D2093" t="str">
        <f t="shared" si="446"/>
        <v>801</v>
      </c>
      <c r="E2093" t="str">
        <f t="shared" si="449"/>
        <v>89301082</v>
      </c>
      <c r="F2093" t="str">
        <f t="shared" si="450"/>
        <v>8659284568</v>
      </c>
      <c r="G2093" s="1">
        <v>44649</v>
      </c>
      <c r="H2093" t="str">
        <f>"93231"</f>
        <v>93231</v>
      </c>
      <c r="I2093">
        <v>1</v>
      </c>
      <c r="J2093">
        <v>402</v>
      </c>
      <c r="K2093">
        <v>0</v>
      </c>
      <c r="L2093">
        <v>313.56</v>
      </c>
    </row>
    <row r="2094" spans="1:12" x14ac:dyDescent="0.25">
      <c r="A2094" t="str">
        <f t="shared" si="438"/>
        <v>89301000</v>
      </c>
      <c r="B2094" t="str">
        <f t="shared" si="447"/>
        <v>82083000</v>
      </c>
      <c r="C2094" t="str">
        <f t="shared" si="448"/>
        <v>82083102</v>
      </c>
      <c r="D2094" t="str">
        <f t="shared" si="446"/>
        <v>801</v>
      </c>
      <c r="E2094" t="str">
        <f t="shared" si="449"/>
        <v>89301082</v>
      </c>
      <c r="F2094" t="str">
        <f t="shared" si="450"/>
        <v>8659284568</v>
      </c>
      <c r="G2094" s="1">
        <v>44649</v>
      </c>
      <c r="H2094" t="str">
        <f>"09119"</f>
        <v>09119</v>
      </c>
      <c r="I2094">
        <v>1</v>
      </c>
      <c r="J2094">
        <v>42</v>
      </c>
      <c r="K2094">
        <v>0</v>
      </c>
      <c r="L2094">
        <v>32.76</v>
      </c>
    </row>
    <row r="2095" spans="1:12" x14ac:dyDescent="0.25">
      <c r="A2095" t="str">
        <f t="shared" si="438"/>
        <v>89301000</v>
      </c>
      <c r="B2095" t="str">
        <f t="shared" si="447"/>
        <v>82083000</v>
      </c>
      <c r="C2095" t="str">
        <f t="shared" si="448"/>
        <v>82083102</v>
      </c>
      <c r="D2095" t="str">
        <f t="shared" si="446"/>
        <v>801</v>
      </c>
      <c r="E2095" t="str">
        <f t="shared" si="449"/>
        <v>89301082</v>
      </c>
      <c r="F2095" t="str">
        <f t="shared" si="450"/>
        <v>8659284568</v>
      </c>
      <c r="G2095" s="1">
        <v>44649</v>
      </c>
      <c r="H2095" t="str">
        <f>"97111"</f>
        <v>97111</v>
      </c>
      <c r="I2095">
        <v>1</v>
      </c>
      <c r="J2095">
        <v>18</v>
      </c>
      <c r="K2095">
        <v>0</v>
      </c>
      <c r="L2095">
        <v>14.04</v>
      </c>
    </row>
    <row r="2096" spans="1:12" x14ac:dyDescent="0.25">
      <c r="A2096" t="str">
        <f t="shared" si="438"/>
        <v>89301000</v>
      </c>
      <c r="B2096" t="str">
        <f t="shared" si="447"/>
        <v>82083000</v>
      </c>
      <c r="C2096" t="str">
        <f t="shared" si="448"/>
        <v>82083102</v>
      </c>
      <c r="D2096" t="str">
        <f t="shared" si="446"/>
        <v>801</v>
      </c>
      <c r="E2096" t="str">
        <f t="shared" ref="E2096:E2128" si="451">"89301167"</f>
        <v>89301167</v>
      </c>
      <c r="F2096" t="str">
        <f t="shared" ref="F2096:F2128" si="452">"530825172"</f>
        <v>530825172</v>
      </c>
      <c r="G2096" s="1">
        <v>44622</v>
      </c>
      <c r="H2096" t="str">
        <f>"09119"</f>
        <v>09119</v>
      </c>
      <c r="I2096">
        <v>1</v>
      </c>
      <c r="J2096">
        <v>42</v>
      </c>
      <c r="K2096">
        <v>0</v>
      </c>
      <c r="L2096">
        <v>32.76</v>
      </c>
    </row>
    <row r="2097" spans="1:12" x14ac:dyDescent="0.25">
      <c r="A2097" t="str">
        <f t="shared" si="438"/>
        <v>89301000</v>
      </c>
      <c r="B2097" t="str">
        <f t="shared" si="447"/>
        <v>82083000</v>
      </c>
      <c r="C2097" t="str">
        <f t="shared" si="448"/>
        <v>82083102</v>
      </c>
      <c r="D2097" t="str">
        <f t="shared" si="446"/>
        <v>801</v>
      </c>
      <c r="E2097" t="str">
        <f t="shared" si="451"/>
        <v>89301167</v>
      </c>
      <c r="F2097" t="str">
        <f t="shared" si="452"/>
        <v>530825172</v>
      </c>
      <c r="G2097" s="1">
        <v>44622</v>
      </c>
      <c r="H2097" t="str">
        <f>"96165"</f>
        <v>96165</v>
      </c>
      <c r="I2097">
        <v>1</v>
      </c>
      <c r="J2097">
        <v>47</v>
      </c>
      <c r="K2097">
        <v>0</v>
      </c>
      <c r="L2097">
        <v>36.659999999999997</v>
      </c>
    </row>
    <row r="2098" spans="1:12" x14ac:dyDescent="0.25">
      <c r="A2098" t="str">
        <f t="shared" si="438"/>
        <v>89301000</v>
      </c>
      <c r="B2098" t="str">
        <f t="shared" si="447"/>
        <v>82083000</v>
      </c>
      <c r="C2098" t="str">
        <f t="shared" si="448"/>
        <v>82083102</v>
      </c>
      <c r="D2098" t="str">
        <f t="shared" si="446"/>
        <v>801</v>
      </c>
      <c r="E2098" t="str">
        <f t="shared" si="451"/>
        <v>89301167</v>
      </c>
      <c r="F2098" t="str">
        <f t="shared" si="452"/>
        <v>530825172</v>
      </c>
      <c r="G2098" s="1">
        <v>44622</v>
      </c>
      <c r="H2098" t="str">
        <f>"96315"</f>
        <v>96315</v>
      </c>
      <c r="I2098">
        <v>1</v>
      </c>
      <c r="J2098">
        <v>29</v>
      </c>
      <c r="K2098">
        <v>0</v>
      </c>
      <c r="L2098">
        <v>22.62</v>
      </c>
    </row>
    <row r="2099" spans="1:12" x14ac:dyDescent="0.25">
      <c r="A2099" t="str">
        <f t="shared" si="438"/>
        <v>89301000</v>
      </c>
      <c r="B2099" t="str">
        <f t="shared" si="447"/>
        <v>82083000</v>
      </c>
      <c r="C2099" t="str">
        <f t="shared" si="448"/>
        <v>82083102</v>
      </c>
      <c r="D2099" t="str">
        <f t="shared" si="446"/>
        <v>801</v>
      </c>
      <c r="E2099" t="str">
        <f t="shared" si="451"/>
        <v>89301167</v>
      </c>
      <c r="F2099" t="str">
        <f t="shared" si="452"/>
        <v>530825172</v>
      </c>
      <c r="G2099" s="1">
        <v>44622</v>
      </c>
      <c r="H2099" t="str">
        <f>"96711"</f>
        <v>96711</v>
      </c>
      <c r="I2099">
        <v>1</v>
      </c>
      <c r="J2099">
        <v>27</v>
      </c>
      <c r="K2099">
        <v>0</v>
      </c>
      <c r="L2099">
        <v>21.06</v>
      </c>
    </row>
    <row r="2100" spans="1:12" x14ac:dyDescent="0.25">
      <c r="A2100" t="str">
        <f t="shared" si="438"/>
        <v>89301000</v>
      </c>
      <c r="B2100" t="str">
        <f t="shared" si="447"/>
        <v>82083000</v>
      </c>
      <c r="C2100" t="str">
        <f t="shared" si="448"/>
        <v>82083102</v>
      </c>
      <c r="D2100" t="str">
        <f t="shared" si="446"/>
        <v>801</v>
      </c>
      <c r="E2100" t="str">
        <f t="shared" si="451"/>
        <v>89301167</v>
      </c>
      <c r="F2100" t="str">
        <f t="shared" si="452"/>
        <v>530825172</v>
      </c>
      <c r="G2100" s="1">
        <v>44622</v>
      </c>
      <c r="H2100" t="str">
        <f>"96713"</f>
        <v>96713</v>
      </c>
      <c r="I2100">
        <v>1</v>
      </c>
      <c r="J2100">
        <v>14</v>
      </c>
      <c r="K2100">
        <v>0</v>
      </c>
      <c r="L2100">
        <v>10.92</v>
      </c>
    </row>
    <row r="2101" spans="1:12" x14ac:dyDescent="0.25">
      <c r="A2101" t="str">
        <f t="shared" si="438"/>
        <v>89301000</v>
      </c>
      <c r="B2101" t="str">
        <f t="shared" si="447"/>
        <v>82083000</v>
      </c>
      <c r="C2101" t="str">
        <f t="shared" si="448"/>
        <v>82083102</v>
      </c>
      <c r="D2101" t="str">
        <f t="shared" si="446"/>
        <v>801</v>
      </c>
      <c r="E2101" t="str">
        <f t="shared" si="451"/>
        <v>89301167</v>
      </c>
      <c r="F2101" t="str">
        <f t="shared" si="452"/>
        <v>530825172</v>
      </c>
      <c r="G2101" s="1">
        <v>44643</v>
      </c>
      <c r="H2101" t="str">
        <f>"09119"</f>
        <v>09119</v>
      </c>
      <c r="I2101">
        <v>1</v>
      </c>
      <c r="J2101">
        <v>42</v>
      </c>
      <c r="K2101">
        <v>0</v>
      </c>
      <c r="L2101">
        <v>32.76</v>
      </c>
    </row>
    <row r="2102" spans="1:12" x14ac:dyDescent="0.25">
      <c r="A2102" t="str">
        <f t="shared" si="438"/>
        <v>89301000</v>
      </c>
      <c r="B2102" t="str">
        <f t="shared" si="447"/>
        <v>82083000</v>
      </c>
      <c r="C2102" t="str">
        <f t="shared" si="448"/>
        <v>82083102</v>
      </c>
      <c r="D2102" t="str">
        <f t="shared" si="446"/>
        <v>801</v>
      </c>
      <c r="E2102" t="str">
        <f t="shared" si="451"/>
        <v>89301167</v>
      </c>
      <c r="F2102" t="str">
        <f t="shared" si="452"/>
        <v>530825172</v>
      </c>
      <c r="G2102" s="1">
        <v>44643</v>
      </c>
      <c r="H2102" t="str">
        <f>"96165"</f>
        <v>96165</v>
      </c>
      <c r="I2102">
        <v>1</v>
      </c>
      <c r="J2102">
        <v>47</v>
      </c>
      <c r="K2102">
        <v>0</v>
      </c>
      <c r="L2102">
        <v>36.659999999999997</v>
      </c>
    </row>
    <row r="2103" spans="1:12" x14ac:dyDescent="0.25">
      <c r="A2103" t="str">
        <f t="shared" si="438"/>
        <v>89301000</v>
      </c>
      <c r="B2103" t="str">
        <f t="shared" si="447"/>
        <v>82083000</v>
      </c>
      <c r="C2103" t="str">
        <f t="shared" si="448"/>
        <v>82083102</v>
      </c>
      <c r="D2103" t="str">
        <f t="shared" si="446"/>
        <v>801</v>
      </c>
      <c r="E2103" t="str">
        <f t="shared" si="451"/>
        <v>89301167</v>
      </c>
      <c r="F2103" t="str">
        <f t="shared" si="452"/>
        <v>530825172</v>
      </c>
      <c r="G2103" s="1">
        <v>44643</v>
      </c>
      <c r="H2103" t="str">
        <f>"96315"</f>
        <v>96315</v>
      </c>
      <c r="I2103">
        <v>1</v>
      </c>
      <c r="J2103">
        <v>29</v>
      </c>
      <c r="K2103">
        <v>0</v>
      </c>
      <c r="L2103">
        <v>22.62</v>
      </c>
    </row>
    <row r="2104" spans="1:12" x14ac:dyDescent="0.25">
      <c r="A2104" t="str">
        <f t="shared" si="438"/>
        <v>89301000</v>
      </c>
      <c r="B2104" t="str">
        <f t="shared" si="447"/>
        <v>82083000</v>
      </c>
      <c r="C2104" t="str">
        <f t="shared" si="448"/>
        <v>82083102</v>
      </c>
      <c r="D2104" t="str">
        <f t="shared" si="446"/>
        <v>801</v>
      </c>
      <c r="E2104" t="str">
        <f t="shared" si="451"/>
        <v>89301167</v>
      </c>
      <c r="F2104" t="str">
        <f t="shared" si="452"/>
        <v>530825172</v>
      </c>
      <c r="G2104" s="1">
        <v>44643</v>
      </c>
      <c r="H2104" t="str">
        <f>"96711"</f>
        <v>96711</v>
      </c>
      <c r="I2104">
        <v>1</v>
      </c>
      <c r="J2104">
        <v>27</v>
      </c>
      <c r="K2104">
        <v>0</v>
      </c>
      <c r="L2104">
        <v>21.06</v>
      </c>
    </row>
    <row r="2105" spans="1:12" x14ac:dyDescent="0.25">
      <c r="A2105" t="str">
        <f t="shared" si="438"/>
        <v>89301000</v>
      </c>
      <c r="B2105" t="str">
        <f t="shared" si="447"/>
        <v>82083000</v>
      </c>
      <c r="C2105" t="str">
        <f t="shared" si="448"/>
        <v>82083102</v>
      </c>
      <c r="D2105" t="str">
        <f t="shared" si="446"/>
        <v>801</v>
      </c>
      <c r="E2105" t="str">
        <f t="shared" si="451"/>
        <v>89301167</v>
      </c>
      <c r="F2105" t="str">
        <f t="shared" si="452"/>
        <v>530825172</v>
      </c>
      <c r="G2105" s="1">
        <v>44643</v>
      </c>
      <c r="H2105" t="str">
        <f>"96713"</f>
        <v>96713</v>
      </c>
      <c r="I2105">
        <v>1</v>
      </c>
      <c r="J2105">
        <v>14</v>
      </c>
      <c r="K2105">
        <v>0</v>
      </c>
      <c r="L2105">
        <v>10.92</v>
      </c>
    </row>
    <row r="2106" spans="1:12" x14ac:dyDescent="0.25">
      <c r="A2106" t="str">
        <f t="shared" si="438"/>
        <v>89301000</v>
      </c>
      <c r="B2106" t="str">
        <f t="shared" si="447"/>
        <v>82083000</v>
      </c>
      <c r="C2106" t="str">
        <f t="shared" si="448"/>
        <v>82083102</v>
      </c>
      <c r="D2106" t="str">
        <f t="shared" si="446"/>
        <v>801</v>
      </c>
      <c r="E2106" t="str">
        <f t="shared" si="451"/>
        <v>89301167</v>
      </c>
      <c r="F2106" t="str">
        <f t="shared" si="452"/>
        <v>530825172</v>
      </c>
      <c r="G2106" s="1">
        <v>44636</v>
      </c>
      <c r="H2106" t="str">
        <f>"09119"</f>
        <v>09119</v>
      </c>
      <c r="I2106">
        <v>1</v>
      </c>
      <c r="J2106">
        <v>42</v>
      </c>
      <c r="K2106">
        <v>0</v>
      </c>
      <c r="L2106">
        <v>32.76</v>
      </c>
    </row>
    <row r="2107" spans="1:12" x14ac:dyDescent="0.25">
      <c r="A2107" t="str">
        <f t="shared" si="438"/>
        <v>89301000</v>
      </c>
      <c r="B2107" t="str">
        <f t="shared" si="447"/>
        <v>82083000</v>
      </c>
      <c r="C2107" t="str">
        <f t="shared" si="448"/>
        <v>82083102</v>
      </c>
      <c r="D2107" t="str">
        <f t="shared" si="446"/>
        <v>801</v>
      </c>
      <c r="E2107" t="str">
        <f t="shared" si="451"/>
        <v>89301167</v>
      </c>
      <c r="F2107" t="str">
        <f t="shared" si="452"/>
        <v>530825172</v>
      </c>
      <c r="G2107" s="1">
        <v>44636</v>
      </c>
      <c r="H2107" t="str">
        <f>"81329"</f>
        <v>81329</v>
      </c>
      <c r="I2107">
        <v>1</v>
      </c>
      <c r="J2107">
        <v>16</v>
      </c>
      <c r="K2107">
        <v>0</v>
      </c>
      <c r="L2107">
        <v>12.48</v>
      </c>
    </row>
    <row r="2108" spans="1:12" x14ac:dyDescent="0.25">
      <c r="A2108" t="str">
        <f t="shared" si="438"/>
        <v>89301000</v>
      </c>
      <c r="B2108" t="str">
        <f t="shared" si="447"/>
        <v>82083000</v>
      </c>
      <c r="C2108" t="str">
        <f t="shared" si="448"/>
        <v>82083102</v>
      </c>
      <c r="D2108" t="str">
        <f t="shared" si="446"/>
        <v>801</v>
      </c>
      <c r="E2108" t="str">
        <f t="shared" si="451"/>
        <v>89301167</v>
      </c>
      <c r="F2108" t="str">
        <f t="shared" si="452"/>
        <v>530825172</v>
      </c>
      <c r="G2108" s="1">
        <v>44636</v>
      </c>
      <c r="H2108" t="str">
        <f>"81337"</f>
        <v>81337</v>
      </c>
      <c r="I2108">
        <v>1</v>
      </c>
      <c r="J2108">
        <v>19</v>
      </c>
      <c r="K2108">
        <v>0</v>
      </c>
      <c r="L2108">
        <v>14.82</v>
      </c>
    </row>
    <row r="2109" spans="1:12" x14ac:dyDescent="0.25">
      <c r="A2109" t="str">
        <f t="shared" si="438"/>
        <v>89301000</v>
      </c>
      <c r="B2109" t="str">
        <f t="shared" si="447"/>
        <v>82083000</v>
      </c>
      <c r="C2109" t="str">
        <f t="shared" si="448"/>
        <v>82083102</v>
      </c>
      <c r="D2109" t="str">
        <f t="shared" si="446"/>
        <v>801</v>
      </c>
      <c r="E2109" t="str">
        <f t="shared" si="451"/>
        <v>89301167</v>
      </c>
      <c r="F2109" t="str">
        <f t="shared" si="452"/>
        <v>530825172</v>
      </c>
      <c r="G2109" s="1">
        <v>44636</v>
      </c>
      <c r="H2109" t="str">
        <f>"81357"</f>
        <v>81357</v>
      </c>
      <c r="I2109">
        <v>1</v>
      </c>
      <c r="J2109">
        <v>19</v>
      </c>
      <c r="K2109">
        <v>0</v>
      </c>
      <c r="L2109">
        <v>14.82</v>
      </c>
    </row>
    <row r="2110" spans="1:12" x14ac:dyDescent="0.25">
      <c r="A2110" t="str">
        <f t="shared" si="438"/>
        <v>89301000</v>
      </c>
      <c r="B2110" t="str">
        <f t="shared" si="447"/>
        <v>82083000</v>
      </c>
      <c r="C2110" t="str">
        <f t="shared" si="448"/>
        <v>82083102</v>
      </c>
      <c r="D2110" t="str">
        <f t="shared" si="446"/>
        <v>801</v>
      </c>
      <c r="E2110" t="str">
        <f t="shared" si="451"/>
        <v>89301167</v>
      </c>
      <c r="F2110" t="str">
        <f t="shared" si="452"/>
        <v>530825172</v>
      </c>
      <c r="G2110" s="1">
        <v>44636</v>
      </c>
      <c r="H2110" t="str">
        <f>"81361"</f>
        <v>81361</v>
      </c>
      <c r="I2110">
        <v>1</v>
      </c>
      <c r="J2110">
        <v>17</v>
      </c>
      <c r="K2110">
        <v>0</v>
      </c>
      <c r="L2110">
        <v>13.26</v>
      </c>
    </row>
    <row r="2111" spans="1:12" x14ac:dyDescent="0.25">
      <c r="A2111" t="str">
        <f t="shared" si="438"/>
        <v>89301000</v>
      </c>
      <c r="B2111" t="str">
        <f t="shared" si="447"/>
        <v>82083000</v>
      </c>
      <c r="C2111" t="str">
        <f t="shared" si="448"/>
        <v>82083102</v>
      </c>
      <c r="D2111" t="str">
        <f t="shared" si="446"/>
        <v>801</v>
      </c>
      <c r="E2111" t="str">
        <f t="shared" si="451"/>
        <v>89301167</v>
      </c>
      <c r="F2111" t="str">
        <f t="shared" si="452"/>
        <v>530825172</v>
      </c>
      <c r="G2111" s="1">
        <v>44636</v>
      </c>
      <c r="H2111" t="str">
        <f>"81365"</f>
        <v>81365</v>
      </c>
      <c r="I2111">
        <v>1</v>
      </c>
      <c r="J2111">
        <v>16</v>
      </c>
      <c r="K2111">
        <v>0</v>
      </c>
      <c r="L2111">
        <v>12.48</v>
      </c>
    </row>
    <row r="2112" spans="1:12" x14ac:dyDescent="0.25">
      <c r="A2112" t="str">
        <f t="shared" si="438"/>
        <v>89301000</v>
      </c>
      <c r="B2112" t="str">
        <f t="shared" si="447"/>
        <v>82083000</v>
      </c>
      <c r="C2112" t="str">
        <f t="shared" si="448"/>
        <v>82083102</v>
      </c>
      <c r="D2112" t="str">
        <f t="shared" si="446"/>
        <v>801</v>
      </c>
      <c r="E2112" t="str">
        <f t="shared" si="451"/>
        <v>89301167</v>
      </c>
      <c r="F2112" t="str">
        <f t="shared" si="452"/>
        <v>530825172</v>
      </c>
      <c r="G2112" s="1">
        <v>44636</v>
      </c>
      <c r="H2112" t="str">
        <f>"81383"</f>
        <v>81383</v>
      </c>
      <c r="I2112">
        <v>1</v>
      </c>
      <c r="J2112">
        <v>23</v>
      </c>
      <c r="K2112">
        <v>0</v>
      </c>
      <c r="L2112">
        <v>17.940000000000001</v>
      </c>
    </row>
    <row r="2113" spans="1:12" x14ac:dyDescent="0.25">
      <c r="A2113" t="str">
        <f t="shared" si="438"/>
        <v>89301000</v>
      </c>
      <c r="B2113" t="str">
        <f t="shared" si="447"/>
        <v>82083000</v>
      </c>
      <c r="C2113" t="str">
        <f t="shared" si="448"/>
        <v>82083102</v>
      </c>
      <c r="D2113" t="str">
        <f t="shared" si="446"/>
        <v>801</v>
      </c>
      <c r="E2113" t="str">
        <f t="shared" si="451"/>
        <v>89301167</v>
      </c>
      <c r="F2113" t="str">
        <f t="shared" si="452"/>
        <v>530825172</v>
      </c>
      <c r="G2113" s="1">
        <v>44636</v>
      </c>
      <c r="H2113" t="str">
        <f>"81393"</f>
        <v>81393</v>
      </c>
      <c r="I2113">
        <v>1</v>
      </c>
      <c r="J2113">
        <v>24</v>
      </c>
      <c r="K2113">
        <v>0</v>
      </c>
      <c r="L2113">
        <v>18.72</v>
      </c>
    </row>
    <row r="2114" spans="1:12" x14ac:dyDescent="0.25">
      <c r="A2114" t="str">
        <f t="shared" ref="A2114:A2177" si="453">"89301000"</f>
        <v>89301000</v>
      </c>
      <c r="B2114" t="str">
        <f t="shared" si="447"/>
        <v>82083000</v>
      </c>
      <c r="C2114" t="str">
        <f t="shared" si="448"/>
        <v>82083102</v>
      </c>
      <c r="D2114" t="str">
        <f t="shared" si="446"/>
        <v>801</v>
      </c>
      <c r="E2114" t="str">
        <f t="shared" si="451"/>
        <v>89301167</v>
      </c>
      <c r="F2114" t="str">
        <f t="shared" si="452"/>
        <v>530825172</v>
      </c>
      <c r="G2114" s="1">
        <v>44636</v>
      </c>
      <c r="H2114" t="str">
        <f>"81421"</f>
        <v>81421</v>
      </c>
      <c r="I2114">
        <v>1</v>
      </c>
      <c r="J2114">
        <v>19</v>
      </c>
      <c r="K2114">
        <v>0</v>
      </c>
      <c r="L2114">
        <v>14.82</v>
      </c>
    </row>
    <row r="2115" spans="1:12" x14ac:dyDescent="0.25">
      <c r="A2115" t="str">
        <f t="shared" si="453"/>
        <v>89301000</v>
      </c>
      <c r="B2115" t="str">
        <f t="shared" si="447"/>
        <v>82083000</v>
      </c>
      <c r="C2115" t="str">
        <f t="shared" si="448"/>
        <v>82083102</v>
      </c>
      <c r="D2115" t="str">
        <f t="shared" si="446"/>
        <v>801</v>
      </c>
      <c r="E2115" t="str">
        <f t="shared" si="451"/>
        <v>89301167</v>
      </c>
      <c r="F2115" t="str">
        <f t="shared" si="452"/>
        <v>530825172</v>
      </c>
      <c r="G2115" s="1">
        <v>44636</v>
      </c>
      <c r="H2115" t="str">
        <f>"81435"</f>
        <v>81435</v>
      </c>
      <c r="I2115">
        <v>1</v>
      </c>
      <c r="J2115">
        <v>22</v>
      </c>
      <c r="K2115">
        <v>0</v>
      </c>
      <c r="L2115">
        <v>17.16</v>
      </c>
    </row>
    <row r="2116" spans="1:12" x14ac:dyDescent="0.25">
      <c r="A2116" t="str">
        <f t="shared" si="453"/>
        <v>89301000</v>
      </c>
      <c r="B2116" t="str">
        <f t="shared" si="447"/>
        <v>82083000</v>
      </c>
      <c r="C2116" t="str">
        <f t="shared" si="448"/>
        <v>82083102</v>
      </c>
      <c r="D2116" t="str">
        <f t="shared" si="446"/>
        <v>801</v>
      </c>
      <c r="E2116" t="str">
        <f t="shared" si="451"/>
        <v>89301167</v>
      </c>
      <c r="F2116" t="str">
        <f t="shared" si="452"/>
        <v>530825172</v>
      </c>
      <c r="G2116" s="1">
        <v>44636</v>
      </c>
      <c r="H2116" t="str">
        <f>"81439"</f>
        <v>81439</v>
      </c>
      <c r="I2116">
        <v>1</v>
      </c>
      <c r="J2116">
        <v>16</v>
      </c>
      <c r="K2116">
        <v>0</v>
      </c>
      <c r="L2116">
        <v>12.48</v>
      </c>
    </row>
    <row r="2117" spans="1:12" x14ac:dyDescent="0.25">
      <c r="A2117" t="str">
        <f t="shared" si="453"/>
        <v>89301000</v>
      </c>
      <c r="B2117" t="str">
        <f t="shared" si="447"/>
        <v>82083000</v>
      </c>
      <c r="C2117" t="str">
        <f t="shared" si="448"/>
        <v>82083102</v>
      </c>
      <c r="D2117" t="str">
        <f t="shared" si="446"/>
        <v>801</v>
      </c>
      <c r="E2117" t="str">
        <f t="shared" si="451"/>
        <v>89301167</v>
      </c>
      <c r="F2117" t="str">
        <f t="shared" si="452"/>
        <v>530825172</v>
      </c>
      <c r="G2117" s="1">
        <v>44636</v>
      </c>
      <c r="H2117" t="str">
        <f>"81469"</f>
        <v>81469</v>
      </c>
      <c r="I2117">
        <v>1</v>
      </c>
      <c r="J2117">
        <v>16</v>
      </c>
      <c r="K2117">
        <v>0</v>
      </c>
      <c r="L2117">
        <v>12.48</v>
      </c>
    </row>
    <row r="2118" spans="1:12" x14ac:dyDescent="0.25">
      <c r="A2118" t="str">
        <f t="shared" si="453"/>
        <v>89301000</v>
      </c>
      <c r="B2118" t="str">
        <f t="shared" si="447"/>
        <v>82083000</v>
      </c>
      <c r="C2118" t="str">
        <f t="shared" si="448"/>
        <v>82083102</v>
      </c>
      <c r="D2118" t="str">
        <f t="shared" si="446"/>
        <v>801</v>
      </c>
      <c r="E2118" t="str">
        <f t="shared" si="451"/>
        <v>89301167</v>
      </c>
      <c r="F2118" t="str">
        <f t="shared" si="452"/>
        <v>530825172</v>
      </c>
      <c r="G2118" s="1">
        <v>44636</v>
      </c>
      <c r="H2118" t="str">
        <f>"81499"</f>
        <v>81499</v>
      </c>
      <c r="I2118">
        <v>1</v>
      </c>
      <c r="J2118">
        <v>18</v>
      </c>
      <c r="K2118">
        <v>0</v>
      </c>
      <c r="L2118">
        <v>14.04</v>
      </c>
    </row>
    <row r="2119" spans="1:12" x14ac:dyDescent="0.25">
      <c r="A2119" t="str">
        <f t="shared" si="453"/>
        <v>89301000</v>
      </c>
      <c r="B2119" t="str">
        <f t="shared" si="447"/>
        <v>82083000</v>
      </c>
      <c r="C2119" t="str">
        <f t="shared" si="448"/>
        <v>82083102</v>
      </c>
      <c r="D2119" t="str">
        <f t="shared" si="446"/>
        <v>801</v>
      </c>
      <c r="E2119" t="str">
        <f t="shared" si="451"/>
        <v>89301167</v>
      </c>
      <c r="F2119" t="str">
        <f t="shared" si="452"/>
        <v>530825172</v>
      </c>
      <c r="G2119" s="1">
        <v>44636</v>
      </c>
      <c r="H2119" t="str">
        <f>"81523"</f>
        <v>81523</v>
      </c>
      <c r="I2119">
        <v>1</v>
      </c>
      <c r="J2119">
        <v>23</v>
      </c>
      <c r="K2119">
        <v>0</v>
      </c>
      <c r="L2119">
        <v>17.940000000000001</v>
      </c>
    </row>
    <row r="2120" spans="1:12" x14ac:dyDescent="0.25">
      <c r="A2120" t="str">
        <f t="shared" si="453"/>
        <v>89301000</v>
      </c>
      <c r="B2120" t="str">
        <f t="shared" si="447"/>
        <v>82083000</v>
      </c>
      <c r="C2120" t="str">
        <f t="shared" si="448"/>
        <v>82083102</v>
      </c>
      <c r="D2120" t="str">
        <f t="shared" si="446"/>
        <v>801</v>
      </c>
      <c r="E2120" t="str">
        <f t="shared" si="451"/>
        <v>89301167</v>
      </c>
      <c r="F2120" t="str">
        <f t="shared" si="452"/>
        <v>530825172</v>
      </c>
      <c r="G2120" s="1">
        <v>44636</v>
      </c>
      <c r="H2120" t="str">
        <f>"81593"</f>
        <v>81593</v>
      </c>
      <c r="I2120">
        <v>1</v>
      </c>
      <c r="J2120">
        <v>22</v>
      </c>
      <c r="K2120">
        <v>0</v>
      </c>
      <c r="L2120">
        <v>17.16</v>
      </c>
    </row>
    <row r="2121" spans="1:12" x14ac:dyDescent="0.25">
      <c r="A2121" t="str">
        <f t="shared" si="453"/>
        <v>89301000</v>
      </c>
      <c r="B2121" t="str">
        <f t="shared" si="447"/>
        <v>82083000</v>
      </c>
      <c r="C2121" t="str">
        <f t="shared" si="448"/>
        <v>82083102</v>
      </c>
      <c r="D2121" t="str">
        <f t="shared" si="446"/>
        <v>801</v>
      </c>
      <c r="E2121" t="str">
        <f t="shared" si="451"/>
        <v>89301167</v>
      </c>
      <c r="F2121" t="str">
        <f t="shared" si="452"/>
        <v>530825172</v>
      </c>
      <c r="G2121" s="1">
        <v>44636</v>
      </c>
      <c r="H2121" t="str">
        <f>"81621"</f>
        <v>81621</v>
      </c>
      <c r="I2121">
        <v>1</v>
      </c>
      <c r="J2121">
        <v>19</v>
      </c>
      <c r="K2121">
        <v>0</v>
      </c>
      <c r="L2121">
        <v>14.82</v>
      </c>
    </row>
    <row r="2122" spans="1:12" x14ac:dyDescent="0.25">
      <c r="A2122" t="str">
        <f t="shared" si="453"/>
        <v>89301000</v>
      </c>
      <c r="B2122" t="str">
        <f t="shared" si="447"/>
        <v>82083000</v>
      </c>
      <c r="C2122" t="str">
        <f t="shared" si="448"/>
        <v>82083102</v>
      </c>
      <c r="D2122" t="str">
        <f t="shared" si="446"/>
        <v>801</v>
      </c>
      <c r="E2122" t="str">
        <f t="shared" si="451"/>
        <v>89301167</v>
      </c>
      <c r="F2122" t="str">
        <f t="shared" si="452"/>
        <v>530825172</v>
      </c>
      <c r="G2122" s="1">
        <v>44636</v>
      </c>
      <c r="H2122" t="str">
        <f>"81625"</f>
        <v>81625</v>
      </c>
      <c r="I2122">
        <v>1</v>
      </c>
      <c r="J2122">
        <v>20</v>
      </c>
      <c r="K2122">
        <v>0</v>
      </c>
      <c r="L2122">
        <v>15.6</v>
      </c>
    </row>
    <row r="2123" spans="1:12" x14ac:dyDescent="0.25">
      <c r="A2123" t="str">
        <f t="shared" si="453"/>
        <v>89301000</v>
      </c>
      <c r="B2123" t="str">
        <f t="shared" si="447"/>
        <v>82083000</v>
      </c>
      <c r="C2123" t="str">
        <f t="shared" si="448"/>
        <v>82083102</v>
      </c>
      <c r="D2123" t="str">
        <f t="shared" si="446"/>
        <v>801</v>
      </c>
      <c r="E2123" t="str">
        <f t="shared" si="451"/>
        <v>89301167</v>
      </c>
      <c r="F2123" t="str">
        <f t="shared" si="452"/>
        <v>530825172</v>
      </c>
      <c r="G2123" s="1">
        <v>44636</v>
      </c>
      <c r="H2123" t="str">
        <f>"91153"</f>
        <v>91153</v>
      </c>
      <c r="I2123">
        <v>1</v>
      </c>
      <c r="J2123">
        <v>152</v>
      </c>
      <c r="K2123">
        <v>0</v>
      </c>
      <c r="L2123">
        <v>118.56</v>
      </c>
    </row>
    <row r="2124" spans="1:12" x14ac:dyDescent="0.25">
      <c r="A2124" t="str">
        <f t="shared" si="453"/>
        <v>89301000</v>
      </c>
      <c r="B2124" t="str">
        <f t="shared" si="447"/>
        <v>82083000</v>
      </c>
      <c r="C2124" t="str">
        <f t="shared" si="448"/>
        <v>82083102</v>
      </c>
      <c r="D2124" t="str">
        <f t="shared" si="446"/>
        <v>801</v>
      </c>
      <c r="E2124" t="str">
        <f t="shared" si="451"/>
        <v>89301167</v>
      </c>
      <c r="F2124" t="str">
        <f t="shared" si="452"/>
        <v>530825172</v>
      </c>
      <c r="G2124" s="1">
        <v>44636</v>
      </c>
      <c r="H2124" t="str">
        <f>"96165"</f>
        <v>96165</v>
      </c>
      <c r="I2124">
        <v>1</v>
      </c>
      <c r="J2124">
        <v>47</v>
      </c>
      <c r="K2124">
        <v>0</v>
      </c>
      <c r="L2124">
        <v>36.659999999999997</v>
      </c>
    </row>
    <row r="2125" spans="1:12" x14ac:dyDescent="0.25">
      <c r="A2125" t="str">
        <f t="shared" si="453"/>
        <v>89301000</v>
      </c>
      <c r="B2125" t="str">
        <f t="shared" si="447"/>
        <v>82083000</v>
      </c>
      <c r="C2125" t="str">
        <f t="shared" si="448"/>
        <v>82083102</v>
      </c>
      <c r="D2125" t="str">
        <f t="shared" si="446"/>
        <v>801</v>
      </c>
      <c r="E2125" t="str">
        <f t="shared" si="451"/>
        <v>89301167</v>
      </c>
      <c r="F2125" t="str">
        <f t="shared" si="452"/>
        <v>530825172</v>
      </c>
      <c r="G2125" s="1">
        <v>44636</v>
      </c>
      <c r="H2125" t="str">
        <f>"96315"</f>
        <v>96315</v>
      </c>
      <c r="I2125">
        <v>1</v>
      </c>
      <c r="J2125">
        <v>29</v>
      </c>
      <c r="K2125">
        <v>0</v>
      </c>
      <c r="L2125">
        <v>22.62</v>
      </c>
    </row>
    <row r="2126" spans="1:12" x14ac:dyDescent="0.25">
      <c r="A2126" t="str">
        <f t="shared" si="453"/>
        <v>89301000</v>
      </c>
      <c r="B2126" t="str">
        <f t="shared" si="447"/>
        <v>82083000</v>
      </c>
      <c r="C2126" t="str">
        <f t="shared" si="448"/>
        <v>82083102</v>
      </c>
      <c r="D2126" t="str">
        <f t="shared" si="446"/>
        <v>801</v>
      </c>
      <c r="E2126" t="str">
        <f t="shared" si="451"/>
        <v>89301167</v>
      </c>
      <c r="F2126" t="str">
        <f t="shared" si="452"/>
        <v>530825172</v>
      </c>
      <c r="G2126" s="1">
        <v>44636</v>
      </c>
      <c r="H2126" t="str">
        <f>"96711"</f>
        <v>96711</v>
      </c>
      <c r="I2126">
        <v>1</v>
      </c>
      <c r="J2126">
        <v>27</v>
      </c>
      <c r="K2126">
        <v>0</v>
      </c>
      <c r="L2126">
        <v>21.06</v>
      </c>
    </row>
    <row r="2127" spans="1:12" x14ac:dyDescent="0.25">
      <c r="A2127" t="str">
        <f t="shared" si="453"/>
        <v>89301000</v>
      </c>
      <c r="B2127" t="str">
        <f t="shared" si="447"/>
        <v>82083000</v>
      </c>
      <c r="C2127" t="str">
        <f t="shared" si="448"/>
        <v>82083102</v>
      </c>
      <c r="D2127" t="str">
        <f t="shared" si="446"/>
        <v>801</v>
      </c>
      <c r="E2127" t="str">
        <f t="shared" si="451"/>
        <v>89301167</v>
      </c>
      <c r="F2127" t="str">
        <f t="shared" si="452"/>
        <v>530825172</v>
      </c>
      <c r="G2127" s="1">
        <v>44636</v>
      </c>
      <c r="H2127" t="str">
        <f>"96713"</f>
        <v>96713</v>
      </c>
      <c r="I2127">
        <v>1</v>
      </c>
      <c r="J2127">
        <v>14</v>
      </c>
      <c r="K2127">
        <v>0</v>
      </c>
      <c r="L2127">
        <v>10.92</v>
      </c>
    </row>
    <row r="2128" spans="1:12" x14ac:dyDescent="0.25">
      <c r="A2128" t="str">
        <f t="shared" si="453"/>
        <v>89301000</v>
      </c>
      <c r="B2128" t="str">
        <f t="shared" si="447"/>
        <v>82083000</v>
      </c>
      <c r="C2128" t="str">
        <f t="shared" si="448"/>
        <v>82083102</v>
      </c>
      <c r="D2128" t="str">
        <f t="shared" si="446"/>
        <v>801</v>
      </c>
      <c r="E2128" t="str">
        <f t="shared" si="451"/>
        <v>89301167</v>
      </c>
      <c r="F2128" t="str">
        <f t="shared" si="452"/>
        <v>530825172</v>
      </c>
      <c r="G2128" s="1">
        <v>44636</v>
      </c>
      <c r="H2128" t="str">
        <f>"97111"</f>
        <v>97111</v>
      </c>
      <c r="I2128">
        <v>1</v>
      </c>
      <c r="J2128">
        <v>18</v>
      </c>
      <c r="K2128">
        <v>0</v>
      </c>
      <c r="L2128">
        <v>14.04</v>
      </c>
    </row>
    <row r="2129" spans="1:12" x14ac:dyDescent="0.25">
      <c r="A2129" t="str">
        <f t="shared" si="453"/>
        <v>89301000</v>
      </c>
      <c r="B2129" t="str">
        <f t="shared" ref="B2129:B2140" si="454">"01321000"</f>
        <v>01321000</v>
      </c>
      <c r="C2129" t="str">
        <f t="shared" ref="C2129:C2137" si="455">"01321004"</f>
        <v>01321004</v>
      </c>
      <c r="D2129" t="str">
        <f t="shared" ref="D2129:D2137" si="456">"802"</f>
        <v>802</v>
      </c>
      <c r="E2129" t="str">
        <f t="shared" ref="E2129:E2140" si="457">"89301162"</f>
        <v>89301162</v>
      </c>
      <c r="F2129" t="str">
        <f t="shared" ref="F2129:F2140" si="458">"7862114469"</f>
        <v>7862114469</v>
      </c>
      <c r="G2129" s="1">
        <v>44645</v>
      </c>
      <c r="H2129" t="str">
        <f>"82077"</f>
        <v>82077</v>
      </c>
      <c r="I2129">
        <v>1</v>
      </c>
      <c r="J2129">
        <v>350</v>
      </c>
      <c r="K2129">
        <v>0</v>
      </c>
      <c r="L2129">
        <v>318.5</v>
      </c>
    </row>
    <row r="2130" spans="1:12" x14ac:dyDescent="0.25">
      <c r="A2130" t="str">
        <f t="shared" si="453"/>
        <v>89301000</v>
      </c>
      <c r="B2130" t="str">
        <f t="shared" si="454"/>
        <v>01321000</v>
      </c>
      <c r="C2130" t="str">
        <f t="shared" si="455"/>
        <v>01321004</v>
      </c>
      <c r="D2130" t="str">
        <f t="shared" si="456"/>
        <v>802</v>
      </c>
      <c r="E2130" t="str">
        <f t="shared" si="457"/>
        <v>89301162</v>
      </c>
      <c r="F2130" t="str">
        <f t="shared" si="458"/>
        <v>7862114469</v>
      </c>
      <c r="G2130" s="1">
        <v>44645</v>
      </c>
      <c r="H2130" t="str">
        <f>"82075"</f>
        <v>82075</v>
      </c>
      <c r="I2130">
        <v>1</v>
      </c>
      <c r="J2130">
        <v>486</v>
      </c>
      <c r="K2130">
        <v>0</v>
      </c>
      <c r="L2130">
        <v>442.26</v>
      </c>
    </row>
    <row r="2131" spans="1:12" x14ac:dyDescent="0.25">
      <c r="A2131" t="str">
        <f t="shared" si="453"/>
        <v>89301000</v>
      </c>
      <c r="B2131" t="str">
        <f t="shared" si="454"/>
        <v>01321000</v>
      </c>
      <c r="C2131" t="str">
        <f t="shared" si="455"/>
        <v>01321004</v>
      </c>
      <c r="D2131" t="str">
        <f t="shared" si="456"/>
        <v>802</v>
      </c>
      <c r="E2131" t="str">
        <f t="shared" si="457"/>
        <v>89301162</v>
      </c>
      <c r="F2131" t="str">
        <f t="shared" si="458"/>
        <v>7862114469</v>
      </c>
      <c r="G2131" s="1">
        <v>44645</v>
      </c>
      <c r="H2131" t="str">
        <f>"82075"</f>
        <v>82075</v>
      </c>
      <c r="I2131">
        <v>1</v>
      </c>
      <c r="J2131">
        <v>486</v>
      </c>
      <c r="K2131">
        <v>0</v>
      </c>
      <c r="L2131">
        <v>442.26</v>
      </c>
    </row>
    <row r="2132" spans="1:12" x14ac:dyDescent="0.25">
      <c r="A2132" t="str">
        <f t="shared" si="453"/>
        <v>89301000</v>
      </c>
      <c r="B2132" t="str">
        <f t="shared" si="454"/>
        <v>01321000</v>
      </c>
      <c r="C2132" t="str">
        <f t="shared" si="455"/>
        <v>01321004</v>
      </c>
      <c r="D2132" t="str">
        <f t="shared" si="456"/>
        <v>802</v>
      </c>
      <c r="E2132" t="str">
        <f t="shared" si="457"/>
        <v>89301162</v>
      </c>
      <c r="F2132" t="str">
        <f t="shared" si="458"/>
        <v>7862114469</v>
      </c>
      <c r="G2132" s="1">
        <v>44645</v>
      </c>
      <c r="H2132" t="str">
        <f>"82075"</f>
        <v>82075</v>
      </c>
      <c r="I2132">
        <v>1</v>
      </c>
      <c r="J2132">
        <v>486</v>
      </c>
      <c r="K2132">
        <v>0</v>
      </c>
      <c r="L2132">
        <v>442.26</v>
      </c>
    </row>
    <row r="2133" spans="1:12" x14ac:dyDescent="0.25">
      <c r="A2133" t="str">
        <f t="shared" si="453"/>
        <v>89301000</v>
      </c>
      <c r="B2133" t="str">
        <f t="shared" si="454"/>
        <v>01321000</v>
      </c>
      <c r="C2133" t="str">
        <f t="shared" si="455"/>
        <v>01321004</v>
      </c>
      <c r="D2133" t="str">
        <f t="shared" si="456"/>
        <v>802</v>
      </c>
      <c r="E2133" t="str">
        <f t="shared" si="457"/>
        <v>89301162</v>
      </c>
      <c r="F2133" t="str">
        <f t="shared" si="458"/>
        <v>7862114469</v>
      </c>
      <c r="G2133" s="1">
        <v>44645</v>
      </c>
      <c r="H2133" t="str">
        <f>"82077"</f>
        <v>82077</v>
      </c>
      <c r="I2133">
        <v>1</v>
      </c>
      <c r="J2133">
        <v>350</v>
      </c>
      <c r="K2133">
        <v>0</v>
      </c>
      <c r="L2133">
        <v>318.5</v>
      </c>
    </row>
    <row r="2134" spans="1:12" x14ac:dyDescent="0.25">
      <c r="A2134" t="str">
        <f t="shared" si="453"/>
        <v>89301000</v>
      </c>
      <c r="B2134" t="str">
        <f t="shared" si="454"/>
        <v>01321000</v>
      </c>
      <c r="C2134" t="str">
        <f t="shared" si="455"/>
        <v>01321004</v>
      </c>
      <c r="D2134" t="str">
        <f t="shared" si="456"/>
        <v>802</v>
      </c>
      <c r="E2134" t="str">
        <f t="shared" si="457"/>
        <v>89301162</v>
      </c>
      <c r="F2134" t="str">
        <f t="shared" si="458"/>
        <v>7862114469</v>
      </c>
      <c r="G2134" s="1">
        <v>44645</v>
      </c>
      <c r="H2134" t="str">
        <f>"82119"</f>
        <v>82119</v>
      </c>
      <c r="I2134">
        <v>1</v>
      </c>
      <c r="J2134">
        <v>229</v>
      </c>
      <c r="K2134">
        <v>0</v>
      </c>
      <c r="L2134">
        <v>208.39</v>
      </c>
    </row>
    <row r="2135" spans="1:12" x14ac:dyDescent="0.25">
      <c r="A2135" t="str">
        <f t="shared" si="453"/>
        <v>89301000</v>
      </c>
      <c r="B2135" t="str">
        <f t="shared" si="454"/>
        <v>01321000</v>
      </c>
      <c r="C2135" t="str">
        <f t="shared" si="455"/>
        <v>01321004</v>
      </c>
      <c r="D2135" t="str">
        <f t="shared" si="456"/>
        <v>802</v>
      </c>
      <c r="E2135" t="str">
        <f t="shared" si="457"/>
        <v>89301162</v>
      </c>
      <c r="F2135" t="str">
        <f t="shared" si="458"/>
        <v>7862114469</v>
      </c>
      <c r="G2135" s="1">
        <v>44645</v>
      </c>
      <c r="H2135" t="str">
        <f>"82075"</f>
        <v>82075</v>
      </c>
      <c r="I2135">
        <v>1</v>
      </c>
      <c r="J2135">
        <v>486</v>
      </c>
      <c r="K2135">
        <v>0</v>
      </c>
      <c r="L2135">
        <v>442.26</v>
      </c>
    </row>
    <row r="2136" spans="1:12" x14ac:dyDescent="0.25">
      <c r="A2136" t="str">
        <f t="shared" si="453"/>
        <v>89301000</v>
      </c>
      <c r="B2136" t="str">
        <f t="shared" si="454"/>
        <v>01321000</v>
      </c>
      <c r="C2136" t="str">
        <f t="shared" si="455"/>
        <v>01321004</v>
      </c>
      <c r="D2136" t="str">
        <f t="shared" si="456"/>
        <v>802</v>
      </c>
      <c r="E2136" t="str">
        <f t="shared" si="457"/>
        <v>89301162</v>
      </c>
      <c r="F2136" t="str">
        <f t="shared" si="458"/>
        <v>7862114469</v>
      </c>
      <c r="G2136" s="1">
        <v>44645</v>
      </c>
      <c r="H2136" t="str">
        <f>"82119"</f>
        <v>82119</v>
      </c>
      <c r="I2136">
        <v>1</v>
      </c>
      <c r="J2136">
        <v>229</v>
      </c>
      <c r="K2136">
        <v>0</v>
      </c>
      <c r="L2136">
        <v>208.39</v>
      </c>
    </row>
    <row r="2137" spans="1:12" x14ac:dyDescent="0.25">
      <c r="A2137" t="str">
        <f t="shared" si="453"/>
        <v>89301000</v>
      </c>
      <c r="B2137" t="str">
        <f t="shared" si="454"/>
        <v>01321000</v>
      </c>
      <c r="C2137" t="str">
        <f t="shared" si="455"/>
        <v>01321004</v>
      </c>
      <c r="D2137" t="str">
        <f t="shared" si="456"/>
        <v>802</v>
      </c>
      <c r="E2137" t="str">
        <f t="shared" si="457"/>
        <v>89301162</v>
      </c>
      <c r="F2137" t="str">
        <f t="shared" si="458"/>
        <v>7862114469</v>
      </c>
      <c r="G2137" s="1">
        <v>44645</v>
      </c>
      <c r="H2137" t="str">
        <f>"82077"</f>
        <v>82077</v>
      </c>
      <c r="I2137">
        <v>1</v>
      </c>
      <c r="J2137">
        <v>350</v>
      </c>
      <c r="K2137">
        <v>0</v>
      </c>
      <c r="L2137">
        <v>318.5</v>
      </c>
    </row>
    <row r="2138" spans="1:12" x14ac:dyDescent="0.25">
      <c r="A2138" t="str">
        <f t="shared" si="453"/>
        <v>89301000</v>
      </c>
      <c r="B2138" t="str">
        <f t="shared" si="454"/>
        <v>01321000</v>
      </c>
      <c r="C2138" t="str">
        <f>"01321001"</f>
        <v>01321001</v>
      </c>
      <c r="D2138" t="str">
        <f>"801"</f>
        <v>801</v>
      </c>
      <c r="E2138" t="str">
        <f t="shared" si="457"/>
        <v>89301162</v>
      </c>
      <c r="F2138" t="str">
        <f t="shared" si="458"/>
        <v>7862114469</v>
      </c>
      <c r="G2138" s="1">
        <v>44645</v>
      </c>
      <c r="H2138" t="str">
        <f>"97111"</f>
        <v>97111</v>
      </c>
      <c r="I2138">
        <v>1</v>
      </c>
      <c r="J2138">
        <v>18</v>
      </c>
      <c r="K2138">
        <v>0</v>
      </c>
      <c r="L2138">
        <v>14.04</v>
      </c>
    </row>
    <row r="2139" spans="1:12" x14ac:dyDescent="0.25">
      <c r="A2139" t="str">
        <f t="shared" si="453"/>
        <v>89301000</v>
      </c>
      <c r="B2139" t="str">
        <f t="shared" si="454"/>
        <v>01321000</v>
      </c>
      <c r="C2139" t="str">
        <f>"01321002"</f>
        <v>01321002</v>
      </c>
      <c r="D2139" t="str">
        <f>"818"</f>
        <v>818</v>
      </c>
      <c r="E2139" t="str">
        <f t="shared" si="457"/>
        <v>89301162</v>
      </c>
      <c r="F2139" t="str">
        <f t="shared" si="458"/>
        <v>7862114469</v>
      </c>
      <c r="G2139" s="1">
        <v>44645</v>
      </c>
      <c r="H2139" t="str">
        <f>"96167"</f>
        <v>96167</v>
      </c>
      <c r="I2139">
        <v>1</v>
      </c>
      <c r="J2139">
        <v>67</v>
      </c>
      <c r="K2139">
        <v>0</v>
      </c>
      <c r="L2139">
        <v>60.97</v>
      </c>
    </row>
    <row r="2140" spans="1:12" x14ac:dyDescent="0.25">
      <c r="A2140" t="str">
        <f t="shared" si="453"/>
        <v>89301000</v>
      </c>
      <c r="B2140" t="str">
        <f t="shared" si="454"/>
        <v>01321000</v>
      </c>
      <c r="C2140" t="str">
        <f>"01321002"</f>
        <v>01321002</v>
      </c>
      <c r="D2140" t="str">
        <f>"818"</f>
        <v>818</v>
      </c>
      <c r="E2140" t="str">
        <f t="shared" si="457"/>
        <v>89301162</v>
      </c>
      <c r="F2140" t="str">
        <f t="shared" si="458"/>
        <v>7862114469</v>
      </c>
      <c r="G2140" s="1">
        <v>44645</v>
      </c>
      <c r="H2140" t="str">
        <f>"96315"</f>
        <v>96315</v>
      </c>
      <c r="I2140">
        <v>1</v>
      </c>
      <c r="J2140">
        <v>29</v>
      </c>
      <c r="K2140">
        <v>0</v>
      </c>
      <c r="L2140">
        <v>26.39</v>
      </c>
    </row>
    <row r="2141" spans="1:12" x14ac:dyDescent="0.25">
      <c r="A2141" t="str">
        <f t="shared" si="453"/>
        <v>89301000</v>
      </c>
      <c r="B2141" t="str">
        <f>"06515000"</f>
        <v>06515000</v>
      </c>
      <c r="C2141" t="str">
        <f>"06515024"</f>
        <v>06515024</v>
      </c>
      <c r="D2141" t="str">
        <f>"801"</f>
        <v>801</v>
      </c>
      <c r="E2141" t="str">
        <f>"89301082"</f>
        <v>89301082</v>
      </c>
      <c r="F2141" t="str">
        <f>"8755085790"</f>
        <v>8755085790</v>
      </c>
      <c r="G2141" s="1">
        <v>44648</v>
      </c>
      <c r="H2141" t="str">
        <f>"97111"</f>
        <v>97111</v>
      </c>
      <c r="I2141">
        <v>1</v>
      </c>
      <c r="J2141">
        <v>18</v>
      </c>
      <c r="K2141">
        <v>0</v>
      </c>
      <c r="L2141">
        <v>14.04</v>
      </c>
    </row>
    <row r="2142" spans="1:12" x14ac:dyDescent="0.25">
      <c r="A2142" t="str">
        <f t="shared" si="453"/>
        <v>89301000</v>
      </c>
      <c r="B2142" t="str">
        <f>"06515000"</f>
        <v>06515000</v>
      </c>
      <c r="C2142" t="str">
        <f>"06515024"</f>
        <v>06515024</v>
      </c>
      <c r="D2142" t="str">
        <f>"801"</f>
        <v>801</v>
      </c>
      <c r="E2142" t="str">
        <f>"89301082"</f>
        <v>89301082</v>
      </c>
      <c r="F2142" t="str">
        <f>"8755085790"</f>
        <v>8755085790</v>
      </c>
      <c r="G2142" s="1">
        <v>44648</v>
      </c>
      <c r="H2142" t="str">
        <f>"93155"</f>
        <v>93155</v>
      </c>
      <c r="I2142">
        <v>1</v>
      </c>
      <c r="J2142">
        <v>202</v>
      </c>
      <c r="K2142">
        <v>0</v>
      </c>
      <c r="L2142">
        <v>157.56</v>
      </c>
    </row>
    <row r="2143" spans="1:12" x14ac:dyDescent="0.25">
      <c r="A2143" t="str">
        <f t="shared" si="453"/>
        <v>89301000</v>
      </c>
      <c r="B2143" t="str">
        <f t="shared" ref="B2143:B2174" si="459">"72077000"</f>
        <v>72077000</v>
      </c>
      <c r="C2143" t="str">
        <f t="shared" ref="C2143:C2174" si="460">"72077001"</f>
        <v>72077001</v>
      </c>
      <c r="D2143" t="str">
        <f t="shared" ref="D2143:D2174" si="461">"813"</f>
        <v>813</v>
      </c>
      <c r="E2143" t="str">
        <f t="shared" ref="E2143:E2174" si="462">"89301152"</f>
        <v>89301152</v>
      </c>
      <c r="F2143" t="str">
        <f>"7560204410"</f>
        <v>7560204410</v>
      </c>
      <c r="G2143" s="1">
        <v>44635</v>
      </c>
      <c r="H2143" t="str">
        <f>"91465"</f>
        <v>91465</v>
      </c>
      <c r="I2143">
        <v>1</v>
      </c>
      <c r="J2143">
        <v>1404</v>
      </c>
      <c r="K2143">
        <v>0</v>
      </c>
      <c r="L2143">
        <v>1095.1199999999999</v>
      </c>
    </row>
    <row r="2144" spans="1:12" x14ac:dyDescent="0.25">
      <c r="A2144" t="str">
        <f t="shared" si="453"/>
        <v>89301000</v>
      </c>
      <c r="B2144" t="str">
        <f t="shared" si="459"/>
        <v>72077000</v>
      </c>
      <c r="C2144" t="str">
        <f t="shared" si="460"/>
        <v>72077001</v>
      </c>
      <c r="D2144" t="str">
        <f t="shared" si="461"/>
        <v>813</v>
      </c>
      <c r="E2144" t="str">
        <f t="shared" si="462"/>
        <v>89301152</v>
      </c>
      <c r="F2144" t="str">
        <f>"7560204410"</f>
        <v>7560204410</v>
      </c>
      <c r="G2144" s="1">
        <v>44636</v>
      </c>
      <c r="H2144" t="str">
        <f>"91197"</f>
        <v>91197</v>
      </c>
      <c r="I2144">
        <v>1</v>
      </c>
      <c r="J2144">
        <v>1046</v>
      </c>
      <c r="K2144">
        <v>0</v>
      </c>
      <c r="L2144">
        <v>815.88</v>
      </c>
    </row>
    <row r="2145" spans="1:12" x14ac:dyDescent="0.25">
      <c r="A2145" t="str">
        <f t="shared" si="453"/>
        <v>89301000</v>
      </c>
      <c r="B2145" t="str">
        <f t="shared" si="459"/>
        <v>72077000</v>
      </c>
      <c r="C2145" t="str">
        <f t="shared" si="460"/>
        <v>72077001</v>
      </c>
      <c r="D2145" t="str">
        <f t="shared" si="461"/>
        <v>813</v>
      </c>
      <c r="E2145" t="str">
        <f t="shared" si="462"/>
        <v>89301152</v>
      </c>
      <c r="F2145" t="str">
        <f>"9751015813"</f>
        <v>9751015813</v>
      </c>
      <c r="G2145" s="1">
        <v>44630</v>
      </c>
      <c r="H2145" t="str">
        <f>"91197"</f>
        <v>91197</v>
      </c>
      <c r="I2145">
        <v>1</v>
      </c>
      <c r="J2145">
        <v>1046</v>
      </c>
      <c r="K2145">
        <v>0</v>
      </c>
      <c r="L2145">
        <v>815.88</v>
      </c>
    </row>
    <row r="2146" spans="1:12" x14ac:dyDescent="0.25">
      <c r="A2146" t="str">
        <f t="shared" si="453"/>
        <v>89301000</v>
      </c>
      <c r="B2146" t="str">
        <f t="shared" si="459"/>
        <v>72077000</v>
      </c>
      <c r="C2146" t="str">
        <f t="shared" si="460"/>
        <v>72077001</v>
      </c>
      <c r="D2146" t="str">
        <f t="shared" si="461"/>
        <v>813</v>
      </c>
      <c r="E2146" t="str">
        <f t="shared" si="462"/>
        <v>89301152</v>
      </c>
      <c r="F2146" t="str">
        <f>"9751015813"</f>
        <v>9751015813</v>
      </c>
      <c r="G2146" s="1">
        <v>44630</v>
      </c>
      <c r="H2146" t="str">
        <f>"91465"</f>
        <v>91465</v>
      </c>
      <c r="I2146">
        <v>1</v>
      </c>
      <c r="J2146">
        <v>1404</v>
      </c>
      <c r="K2146">
        <v>0</v>
      </c>
      <c r="L2146">
        <v>1095.1199999999999</v>
      </c>
    </row>
    <row r="2147" spans="1:12" x14ac:dyDescent="0.25">
      <c r="A2147" t="str">
        <f t="shared" si="453"/>
        <v>89301000</v>
      </c>
      <c r="B2147" t="str">
        <f t="shared" si="459"/>
        <v>72077000</v>
      </c>
      <c r="C2147" t="str">
        <f t="shared" si="460"/>
        <v>72077001</v>
      </c>
      <c r="D2147" t="str">
        <f t="shared" si="461"/>
        <v>813</v>
      </c>
      <c r="E2147" t="str">
        <f t="shared" si="462"/>
        <v>89301152</v>
      </c>
      <c r="F2147" t="str">
        <f>"8752165807"</f>
        <v>8752165807</v>
      </c>
      <c r="G2147" s="1">
        <v>44650</v>
      </c>
      <c r="H2147" t="str">
        <f>"91219"</f>
        <v>91219</v>
      </c>
      <c r="I2147">
        <v>1</v>
      </c>
      <c r="J2147">
        <v>342</v>
      </c>
      <c r="K2147">
        <v>0</v>
      </c>
      <c r="L2147">
        <v>266.76</v>
      </c>
    </row>
    <row r="2148" spans="1:12" x14ac:dyDescent="0.25">
      <c r="A2148" t="str">
        <f t="shared" si="453"/>
        <v>89301000</v>
      </c>
      <c r="B2148" t="str">
        <f t="shared" si="459"/>
        <v>72077000</v>
      </c>
      <c r="C2148" t="str">
        <f t="shared" si="460"/>
        <v>72077001</v>
      </c>
      <c r="D2148" t="str">
        <f t="shared" si="461"/>
        <v>813</v>
      </c>
      <c r="E2148" t="str">
        <f t="shared" si="462"/>
        <v>89301152</v>
      </c>
      <c r="F2148" t="str">
        <f>"8752165807"</f>
        <v>8752165807</v>
      </c>
      <c r="G2148" s="1">
        <v>44650</v>
      </c>
      <c r="H2148" t="str">
        <f>"91219"</f>
        <v>91219</v>
      </c>
      <c r="I2148">
        <v>1</v>
      </c>
      <c r="J2148">
        <v>342</v>
      </c>
      <c r="K2148">
        <v>0</v>
      </c>
      <c r="L2148">
        <v>266.76</v>
      </c>
    </row>
    <row r="2149" spans="1:12" x14ac:dyDescent="0.25">
      <c r="A2149" t="str">
        <f t="shared" si="453"/>
        <v>89301000</v>
      </c>
      <c r="B2149" t="str">
        <f t="shared" si="459"/>
        <v>72077000</v>
      </c>
      <c r="C2149" t="str">
        <f t="shared" si="460"/>
        <v>72077001</v>
      </c>
      <c r="D2149" t="str">
        <f t="shared" si="461"/>
        <v>813</v>
      </c>
      <c r="E2149" t="str">
        <f t="shared" si="462"/>
        <v>89301152</v>
      </c>
      <c r="F2149" t="str">
        <f>"8752165807"</f>
        <v>8752165807</v>
      </c>
      <c r="G2149" s="1">
        <v>44650</v>
      </c>
      <c r="H2149" t="str">
        <f>"91219"</f>
        <v>91219</v>
      </c>
      <c r="I2149">
        <v>1</v>
      </c>
      <c r="J2149">
        <v>342</v>
      </c>
      <c r="K2149">
        <v>0</v>
      </c>
      <c r="L2149">
        <v>266.76</v>
      </c>
    </row>
    <row r="2150" spans="1:12" x14ac:dyDescent="0.25">
      <c r="A2150" t="str">
        <f t="shared" si="453"/>
        <v>89301000</v>
      </c>
      <c r="B2150" t="str">
        <f t="shared" si="459"/>
        <v>72077000</v>
      </c>
      <c r="C2150" t="str">
        <f t="shared" si="460"/>
        <v>72077001</v>
      </c>
      <c r="D2150" t="str">
        <f t="shared" si="461"/>
        <v>813</v>
      </c>
      <c r="E2150" t="str">
        <f t="shared" si="462"/>
        <v>89301152</v>
      </c>
      <c r="F2150" t="str">
        <f>"8752165807"</f>
        <v>8752165807</v>
      </c>
      <c r="G2150" s="1">
        <v>44650</v>
      </c>
      <c r="H2150" t="str">
        <f>"91219"</f>
        <v>91219</v>
      </c>
      <c r="I2150">
        <v>1</v>
      </c>
      <c r="J2150">
        <v>342</v>
      </c>
      <c r="K2150">
        <v>0</v>
      </c>
      <c r="L2150">
        <v>266.76</v>
      </c>
    </row>
    <row r="2151" spans="1:12" x14ac:dyDescent="0.25">
      <c r="A2151" t="str">
        <f t="shared" si="453"/>
        <v>89301000</v>
      </c>
      <c r="B2151" t="str">
        <f t="shared" si="459"/>
        <v>72077000</v>
      </c>
      <c r="C2151" t="str">
        <f t="shared" si="460"/>
        <v>72077001</v>
      </c>
      <c r="D2151" t="str">
        <f t="shared" si="461"/>
        <v>813</v>
      </c>
      <c r="E2151" t="str">
        <f t="shared" si="462"/>
        <v>89301152</v>
      </c>
      <c r="F2151" t="str">
        <f t="shared" ref="F2151:F2160" si="463">"7951094481"</f>
        <v>7951094481</v>
      </c>
      <c r="G2151" s="1">
        <v>44621</v>
      </c>
      <c r="H2151" t="str">
        <f>"91465"</f>
        <v>91465</v>
      </c>
      <c r="I2151">
        <v>1</v>
      </c>
      <c r="J2151">
        <v>1404</v>
      </c>
      <c r="K2151">
        <v>0</v>
      </c>
      <c r="L2151">
        <v>1095.1199999999999</v>
      </c>
    </row>
    <row r="2152" spans="1:12" x14ac:dyDescent="0.25">
      <c r="A2152" t="str">
        <f t="shared" si="453"/>
        <v>89301000</v>
      </c>
      <c r="B2152" t="str">
        <f t="shared" si="459"/>
        <v>72077000</v>
      </c>
      <c r="C2152" t="str">
        <f t="shared" si="460"/>
        <v>72077001</v>
      </c>
      <c r="D2152" t="str">
        <f t="shared" si="461"/>
        <v>813</v>
      </c>
      <c r="E2152" t="str">
        <f t="shared" si="462"/>
        <v>89301152</v>
      </c>
      <c r="F2152" t="str">
        <f t="shared" si="463"/>
        <v>7951094481</v>
      </c>
      <c r="G2152" s="1">
        <v>44623</v>
      </c>
      <c r="H2152" t="str">
        <f>"91219"</f>
        <v>91219</v>
      </c>
      <c r="I2152">
        <v>1</v>
      </c>
      <c r="J2152">
        <v>342</v>
      </c>
      <c r="K2152">
        <v>0</v>
      </c>
      <c r="L2152">
        <v>266.76</v>
      </c>
    </row>
    <row r="2153" spans="1:12" x14ac:dyDescent="0.25">
      <c r="A2153" t="str">
        <f t="shared" si="453"/>
        <v>89301000</v>
      </c>
      <c r="B2153" t="str">
        <f t="shared" si="459"/>
        <v>72077000</v>
      </c>
      <c r="C2153" t="str">
        <f t="shared" si="460"/>
        <v>72077001</v>
      </c>
      <c r="D2153" t="str">
        <f t="shared" si="461"/>
        <v>813</v>
      </c>
      <c r="E2153" t="str">
        <f t="shared" si="462"/>
        <v>89301152</v>
      </c>
      <c r="F2153" t="str">
        <f t="shared" si="463"/>
        <v>7951094481</v>
      </c>
      <c r="G2153" s="1">
        <v>44623</v>
      </c>
      <c r="H2153" t="str">
        <f>"91219"</f>
        <v>91219</v>
      </c>
      <c r="I2153">
        <v>1</v>
      </c>
      <c r="J2153">
        <v>342</v>
      </c>
      <c r="K2153">
        <v>0</v>
      </c>
      <c r="L2153">
        <v>266.76</v>
      </c>
    </row>
    <row r="2154" spans="1:12" x14ac:dyDescent="0.25">
      <c r="A2154" t="str">
        <f t="shared" si="453"/>
        <v>89301000</v>
      </c>
      <c r="B2154" t="str">
        <f t="shared" si="459"/>
        <v>72077000</v>
      </c>
      <c r="C2154" t="str">
        <f t="shared" si="460"/>
        <v>72077001</v>
      </c>
      <c r="D2154" t="str">
        <f t="shared" si="461"/>
        <v>813</v>
      </c>
      <c r="E2154" t="str">
        <f t="shared" si="462"/>
        <v>89301152</v>
      </c>
      <c r="F2154" t="str">
        <f t="shared" si="463"/>
        <v>7951094481</v>
      </c>
      <c r="G2154" s="1">
        <v>44623</v>
      </c>
      <c r="H2154" t="str">
        <f>"91219"</f>
        <v>91219</v>
      </c>
      <c r="I2154">
        <v>1</v>
      </c>
      <c r="J2154">
        <v>342</v>
      </c>
      <c r="K2154">
        <v>0</v>
      </c>
      <c r="L2154">
        <v>266.76</v>
      </c>
    </row>
    <row r="2155" spans="1:12" x14ac:dyDescent="0.25">
      <c r="A2155" t="str">
        <f t="shared" si="453"/>
        <v>89301000</v>
      </c>
      <c r="B2155" t="str">
        <f t="shared" si="459"/>
        <v>72077000</v>
      </c>
      <c r="C2155" t="str">
        <f t="shared" si="460"/>
        <v>72077001</v>
      </c>
      <c r="D2155" t="str">
        <f t="shared" si="461"/>
        <v>813</v>
      </c>
      <c r="E2155" t="str">
        <f t="shared" si="462"/>
        <v>89301152</v>
      </c>
      <c r="F2155" t="str">
        <f t="shared" si="463"/>
        <v>7951094481</v>
      </c>
      <c r="G2155" s="1">
        <v>44623</v>
      </c>
      <c r="H2155" t="str">
        <f>"91219"</f>
        <v>91219</v>
      </c>
      <c r="I2155">
        <v>1</v>
      </c>
      <c r="J2155">
        <v>342</v>
      </c>
      <c r="K2155">
        <v>0</v>
      </c>
      <c r="L2155">
        <v>266.76</v>
      </c>
    </row>
    <row r="2156" spans="1:12" x14ac:dyDescent="0.25">
      <c r="A2156" t="str">
        <f t="shared" si="453"/>
        <v>89301000</v>
      </c>
      <c r="B2156" t="str">
        <f t="shared" si="459"/>
        <v>72077000</v>
      </c>
      <c r="C2156" t="str">
        <f t="shared" si="460"/>
        <v>72077001</v>
      </c>
      <c r="D2156" t="str">
        <f t="shared" si="461"/>
        <v>813</v>
      </c>
      <c r="E2156" t="str">
        <f t="shared" si="462"/>
        <v>89301152</v>
      </c>
      <c r="F2156" t="str">
        <f t="shared" si="463"/>
        <v>7951094481</v>
      </c>
      <c r="G2156" s="1">
        <v>44623</v>
      </c>
      <c r="H2156" t="str">
        <f>"91219"</f>
        <v>91219</v>
      </c>
      <c r="I2156">
        <v>1</v>
      </c>
      <c r="J2156">
        <v>342</v>
      </c>
      <c r="K2156">
        <v>0</v>
      </c>
      <c r="L2156">
        <v>266.76</v>
      </c>
    </row>
    <row r="2157" spans="1:12" x14ac:dyDescent="0.25">
      <c r="A2157" t="str">
        <f t="shared" si="453"/>
        <v>89301000</v>
      </c>
      <c r="B2157" t="str">
        <f t="shared" si="459"/>
        <v>72077000</v>
      </c>
      <c r="C2157" t="str">
        <f t="shared" si="460"/>
        <v>72077001</v>
      </c>
      <c r="D2157" t="str">
        <f t="shared" si="461"/>
        <v>813</v>
      </c>
      <c r="E2157" t="str">
        <f t="shared" si="462"/>
        <v>89301152</v>
      </c>
      <c r="F2157" t="str">
        <f t="shared" si="463"/>
        <v>7951094481</v>
      </c>
      <c r="G2157" s="1">
        <v>44642</v>
      </c>
      <c r="H2157" t="str">
        <f>"91213"</f>
        <v>91213</v>
      </c>
      <c r="I2157">
        <v>1</v>
      </c>
      <c r="J2157">
        <v>347</v>
      </c>
      <c r="K2157">
        <v>0</v>
      </c>
      <c r="L2157">
        <v>270.66000000000003</v>
      </c>
    </row>
    <row r="2158" spans="1:12" x14ac:dyDescent="0.25">
      <c r="A2158" t="str">
        <f t="shared" si="453"/>
        <v>89301000</v>
      </c>
      <c r="B2158" t="str">
        <f t="shared" si="459"/>
        <v>72077000</v>
      </c>
      <c r="C2158" t="str">
        <f t="shared" si="460"/>
        <v>72077001</v>
      </c>
      <c r="D2158" t="str">
        <f t="shared" si="461"/>
        <v>813</v>
      </c>
      <c r="E2158" t="str">
        <f t="shared" si="462"/>
        <v>89301152</v>
      </c>
      <c r="F2158" t="str">
        <f t="shared" si="463"/>
        <v>7951094481</v>
      </c>
      <c r="G2158" s="1">
        <v>44642</v>
      </c>
      <c r="H2158" t="str">
        <f>"91213"</f>
        <v>91213</v>
      </c>
      <c r="I2158">
        <v>1</v>
      </c>
      <c r="J2158">
        <v>347</v>
      </c>
      <c r="K2158">
        <v>0</v>
      </c>
      <c r="L2158">
        <v>270.66000000000003</v>
      </c>
    </row>
    <row r="2159" spans="1:12" x14ac:dyDescent="0.25">
      <c r="A2159" t="str">
        <f t="shared" si="453"/>
        <v>89301000</v>
      </c>
      <c r="B2159" t="str">
        <f t="shared" si="459"/>
        <v>72077000</v>
      </c>
      <c r="C2159" t="str">
        <f t="shared" si="460"/>
        <v>72077001</v>
      </c>
      <c r="D2159" t="str">
        <f t="shared" si="461"/>
        <v>813</v>
      </c>
      <c r="E2159" t="str">
        <f t="shared" si="462"/>
        <v>89301152</v>
      </c>
      <c r="F2159" t="str">
        <f t="shared" si="463"/>
        <v>7951094481</v>
      </c>
      <c r="G2159" s="1">
        <v>44650</v>
      </c>
      <c r="H2159" t="str">
        <f>"91213"</f>
        <v>91213</v>
      </c>
      <c r="I2159">
        <v>1</v>
      </c>
      <c r="J2159">
        <v>347</v>
      </c>
      <c r="K2159">
        <v>0</v>
      </c>
      <c r="L2159">
        <v>270.66000000000003</v>
      </c>
    </row>
    <row r="2160" spans="1:12" x14ac:dyDescent="0.25">
      <c r="A2160" t="str">
        <f t="shared" si="453"/>
        <v>89301000</v>
      </c>
      <c r="B2160" t="str">
        <f t="shared" si="459"/>
        <v>72077000</v>
      </c>
      <c r="C2160" t="str">
        <f t="shared" si="460"/>
        <v>72077001</v>
      </c>
      <c r="D2160" t="str">
        <f t="shared" si="461"/>
        <v>813</v>
      </c>
      <c r="E2160" t="str">
        <f t="shared" si="462"/>
        <v>89301152</v>
      </c>
      <c r="F2160" t="str">
        <f t="shared" si="463"/>
        <v>7951094481</v>
      </c>
      <c r="G2160" s="1">
        <v>44650</v>
      </c>
      <c r="H2160" t="str">
        <f>"91213"</f>
        <v>91213</v>
      </c>
      <c r="I2160">
        <v>1</v>
      </c>
      <c r="J2160">
        <v>347</v>
      </c>
      <c r="K2160">
        <v>0</v>
      </c>
      <c r="L2160">
        <v>270.66000000000003</v>
      </c>
    </row>
    <row r="2161" spans="1:12" x14ac:dyDescent="0.25">
      <c r="A2161" t="str">
        <f t="shared" si="453"/>
        <v>89301000</v>
      </c>
      <c r="B2161" t="str">
        <f t="shared" si="459"/>
        <v>72077000</v>
      </c>
      <c r="C2161" t="str">
        <f t="shared" si="460"/>
        <v>72077001</v>
      </c>
      <c r="D2161" t="str">
        <f t="shared" si="461"/>
        <v>813</v>
      </c>
      <c r="E2161" t="str">
        <f t="shared" si="462"/>
        <v>89301152</v>
      </c>
      <c r="F2161" t="str">
        <f>"7404185360"</f>
        <v>7404185360</v>
      </c>
      <c r="G2161" s="1">
        <v>44621</v>
      </c>
      <c r="H2161" t="str">
        <f>"91465"</f>
        <v>91465</v>
      </c>
      <c r="I2161">
        <v>1</v>
      </c>
      <c r="J2161">
        <v>1404</v>
      </c>
      <c r="K2161">
        <v>0</v>
      </c>
      <c r="L2161">
        <v>1095.1199999999999</v>
      </c>
    </row>
    <row r="2162" spans="1:12" x14ac:dyDescent="0.25">
      <c r="A2162" t="str">
        <f t="shared" si="453"/>
        <v>89301000</v>
      </c>
      <c r="B2162" t="str">
        <f t="shared" si="459"/>
        <v>72077000</v>
      </c>
      <c r="C2162" t="str">
        <f t="shared" si="460"/>
        <v>72077001</v>
      </c>
      <c r="D2162" t="str">
        <f t="shared" si="461"/>
        <v>813</v>
      </c>
      <c r="E2162" t="str">
        <f t="shared" si="462"/>
        <v>89301152</v>
      </c>
      <c r="F2162" t="str">
        <f>"8061080005"</f>
        <v>8061080005</v>
      </c>
      <c r="G2162" s="1">
        <v>44621</v>
      </c>
      <c r="H2162" t="str">
        <f>"91465"</f>
        <v>91465</v>
      </c>
      <c r="I2162">
        <v>1</v>
      </c>
      <c r="J2162">
        <v>1404</v>
      </c>
      <c r="K2162">
        <v>0</v>
      </c>
      <c r="L2162">
        <v>1095.1199999999999</v>
      </c>
    </row>
    <row r="2163" spans="1:12" x14ac:dyDescent="0.25">
      <c r="A2163" t="str">
        <f t="shared" si="453"/>
        <v>89301000</v>
      </c>
      <c r="B2163" t="str">
        <f t="shared" si="459"/>
        <v>72077000</v>
      </c>
      <c r="C2163" t="str">
        <f t="shared" si="460"/>
        <v>72077001</v>
      </c>
      <c r="D2163" t="str">
        <f t="shared" si="461"/>
        <v>813</v>
      </c>
      <c r="E2163" t="str">
        <f t="shared" si="462"/>
        <v>89301152</v>
      </c>
      <c r="F2163" t="str">
        <f>"7761044940"</f>
        <v>7761044940</v>
      </c>
      <c r="G2163" s="1">
        <v>44623</v>
      </c>
      <c r="H2163" t="str">
        <f>"91197"</f>
        <v>91197</v>
      </c>
      <c r="I2163">
        <v>1</v>
      </c>
      <c r="J2163">
        <v>1046</v>
      </c>
      <c r="K2163">
        <v>0</v>
      </c>
      <c r="L2163">
        <v>815.88</v>
      </c>
    </row>
    <row r="2164" spans="1:12" x14ac:dyDescent="0.25">
      <c r="A2164" t="str">
        <f t="shared" si="453"/>
        <v>89301000</v>
      </c>
      <c r="B2164" t="str">
        <f t="shared" si="459"/>
        <v>72077000</v>
      </c>
      <c r="C2164" t="str">
        <f t="shared" si="460"/>
        <v>72077001</v>
      </c>
      <c r="D2164" t="str">
        <f t="shared" si="461"/>
        <v>813</v>
      </c>
      <c r="E2164" t="str">
        <f t="shared" si="462"/>
        <v>89301152</v>
      </c>
      <c r="F2164" t="str">
        <f>"7761044940"</f>
        <v>7761044940</v>
      </c>
      <c r="G2164" s="1">
        <v>44627</v>
      </c>
      <c r="H2164" t="str">
        <f>"91465"</f>
        <v>91465</v>
      </c>
      <c r="I2164">
        <v>1</v>
      </c>
      <c r="J2164">
        <v>1404</v>
      </c>
      <c r="K2164">
        <v>0</v>
      </c>
      <c r="L2164">
        <v>1095.1199999999999</v>
      </c>
    </row>
    <row r="2165" spans="1:12" x14ac:dyDescent="0.25">
      <c r="A2165" t="str">
        <f t="shared" si="453"/>
        <v>89301000</v>
      </c>
      <c r="B2165" t="str">
        <f t="shared" si="459"/>
        <v>72077000</v>
      </c>
      <c r="C2165" t="str">
        <f t="shared" si="460"/>
        <v>72077001</v>
      </c>
      <c r="D2165" t="str">
        <f t="shared" si="461"/>
        <v>813</v>
      </c>
      <c r="E2165" t="str">
        <f t="shared" si="462"/>
        <v>89301152</v>
      </c>
      <c r="F2165" t="str">
        <f t="shared" ref="F2165:F2172" si="464">"6152220712"</f>
        <v>6152220712</v>
      </c>
      <c r="G2165" s="1">
        <v>44623</v>
      </c>
      <c r="H2165" t="str">
        <f>"91197"</f>
        <v>91197</v>
      </c>
      <c r="I2165">
        <v>1</v>
      </c>
      <c r="J2165">
        <v>1046</v>
      </c>
      <c r="K2165">
        <v>0</v>
      </c>
      <c r="L2165">
        <v>815.88</v>
      </c>
    </row>
    <row r="2166" spans="1:12" x14ac:dyDescent="0.25">
      <c r="A2166" t="str">
        <f t="shared" si="453"/>
        <v>89301000</v>
      </c>
      <c r="B2166" t="str">
        <f t="shared" si="459"/>
        <v>72077000</v>
      </c>
      <c r="C2166" t="str">
        <f t="shared" si="460"/>
        <v>72077001</v>
      </c>
      <c r="D2166" t="str">
        <f t="shared" si="461"/>
        <v>813</v>
      </c>
      <c r="E2166" t="str">
        <f t="shared" si="462"/>
        <v>89301152</v>
      </c>
      <c r="F2166" t="str">
        <f t="shared" si="464"/>
        <v>6152220712</v>
      </c>
      <c r="G2166" s="1">
        <v>44627</v>
      </c>
      <c r="H2166" t="str">
        <f>"91465"</f>
        <v>91465</v>
      </c>
      <c r="I2166">
        <v>1</v>
      </c>
      <c r="J2166">
        <v>1404</v>
      </c>
      <c r="K2166">
        <v>0</v>
      </c>
      <c r="L2166">
        <v>1095.1199999999999</v>
      </c>
    </row>
    <row r="2167" spans="1:12" x14ac:dyDescent="0.25">
      <c r="A2167" t="str">
        <f t="shared" si="453"/>
        <v>89301000</v>
      </c>
      <c r="B2167" t="str">
        <f t="shared" si="459"/>
        <v>72077000</v>
      </c>
      <c r="C2167" t="str">
        <f t="shared" si="460"/>
        <v>72077001</v>
      </c>
      <c r="D2167" t="str">
        <f t="shared" si="461"/>
        <v>813</v>
      </c>
      <c r="E2167" t="str">
        <f t="shared" si="462"/>
        <v>89301152</v>
      </c>
      <c r="F2167" t="str">
        <f t="shared" si="464"/>
        <v>6152220712</v>
      </c>
      <c r="G2167" s="1">
        <v>44627</v>
      </c>
      <c r="H2167" t="str">
        <f t="shared" ref="H2167:H2172" si="465">"91219"</f>
        <v>91219</v>
      </c>
      <c r="I2167">
        <v>1</v>
      </c>
      <c r="J2167">
        <v>342</v>
      </c>
      <c r="K2167">
        <v>0</v>
      </c>
      <c r="L2167">
        <v>266.76</v>
      </c>
    </row>
    <row r="2168" spans="1:12" x14ac:dyDescent="0.25">
      <c r="A2168" t="str">
        <f t="shared" si="453"/>
        <v>89301000</v>
      </c>
      <c r="B2168" t="str">
        <f t="shared" si="459"/>
        <v>72077000</v>
      </c>
      <c r="C2168" t="str">
        <f t="shared" si="460"/>
        <v>72077001</v>
      </c>
      <c r="D2168" t="str">
        <f t="shared" si="461"/>
        <v>813</v>
      </c>
      <c r="E2168" t="str">
        <f t="shared" si="462"/>
        <v>89301152</v>
      </c>
      <c r="F2168" t="str">
        <f t="shared" si="464"/>
        <v>6152220712</v>
      </c>
      <c r="G2168" s="1">
        <v>44627</v>
      </c>
      <c r="H2168" t="str">
        <f t="shared" si="465"/>
        <v>91219</v>
      </c>
      <c r="I2168">
        <v>1</v>
      </c>
      <c r="J2168">
        <v>342</v>
      </c>
      <c r="K2168">
        <v>0</v>
      </c>
      <c r="L2168">
        <v>266.76</v>
      </c>
    </row>
    <row r="2169" spans="1:12" x14ac:dyDescent="0.25">
      <c r="A2169" t="str">
        <f t="shared" si="453"/>
        <v>89301000</v>
      </c>
      <c r="B2169" t="str">
        <f t="shared" si="459"/>
        <v>72077000</v>
      </c>
      <c r="C2169" t="str">
        <f t="shared" si="460"/>
        <v>72077001</v>
      </c>
      <c r="D2169" t="str">
        <f t="shared" si="461"/>
        <v>813</v>
      </c>
      <c r="E2169" t="str">
        <f t="shared" si="462"/>
        <v>89301152</v>
      </c>
      <c r="F2169" t="str">
        <f t="shared" si="464"/>
        <v>6152220712</v>
      </c>
      <c r="G2169" s="1">
        <v>44627</v>
      </c>
      <c r="H2169" t="str">
        <f t="shared" si="465"/>
        <v>91219</v>
      </c>
      <c r="I2169">
        <v>1</v>
      </c>
      <c r="J2169">
        <v>342</v>
      </c>
      <c r="K2169">
        <v>0</v>
      </c>
      <c r="L2169">
        <v>266.76</v>
      </c>
    </row>
    <row r="2170" spans="1:12" x14ac:dyDescent="0.25">
      <c r="A2170" t="str">
        <f t="shared" si="453"/>
        <v>89301000</v>
      </c>
      <c r="B2170" t="str">
        <f t="shared" si="459"/>
        <v>72077000</v>
      </c>
      <c r="C2170" t="str">
        <f t="shared" si="460"/>
        <v>72077001</v>
      </c>
      <c r="D2170" t="str">
        <f t="shared" si="461"/>
        <v>813</v>
      </c>
      <c r="E2170" t="str">
        <f t="shared" si="462"/>
        <v>89301152</v>
      </c>
      <c r="F2170" t="str">
        <f t="shared" si="464"/>
        <v>6152220712</v>
      </c>
      <c r="G2170" s="1">
        <v>44627</v>
      </c>
      <c r="H2170" t="str">
        <f t="shared" si="465"/>
        <v>91219</v>
      </c>
      <c r="I2170">
        <v>1</v>
      </c>
      <c r="J2170">
        <v>342</v>
      </c>
      <c r="K2170">
        <v>0</v>
      </c>
      <c r="L2170">
        <v>266.76</v>
      </c>
    </row>
    <row r="2171" spans="1:12" x14ac:dyDescent="0.25">
      <c r="A2171" t="str">
        <f t="shared" si="453"/>
        <v>89301000</v>
      </c>
      <c r="B2171" t="str">
        <f t="shared" si="459"/>
        <v>72077000</v>
      </c>
      <c r="C2171" t="str">
        <f t="shared" si="460"/>
        <v>72077001</v>
      </c>
      <c r="D2171" t="str">
        <f t="shared" si="461"/>
        <v>813</v>
      </c>
      <c r="E2171" t="str">
        <f t="shared" si="462"/>
        <v>89301152</v>
      </c>
      <c r="F2171" t="str">
        <f t="shared" si="464"/>
        <v>6152220712</v>
      </c>
      <c r="G2171" s="1">
        <v>44627</v>
      </c>
      <c r="H2171" t="str">
        <f t="shared" si="465"/>
        <v>91219</v>
      </c>
      <c r="I2171">
        <v>1</v>
      </c>
      <c r="J2171">
        <v>342</v>
      </c>
      <c r="K2171">
        <v>0</v>
      </c>
      <c r="L2171">
        <v>266.76</v>
      </c>
    </row>
    <row r="2172" spans="1:12" x14ac:dyDescent="0.25">
      <c r="A2172" t="str">
        <f t="shared" si="453"/>
        <v>89301000</v>
      </c>
      <c r="B2172" t="str">
        <f t="shared" si="459"/>
        <v>72077000</v>
      </c>
      <c r="C2172" t="str">
        <f t="shared" si="460"/>
        <v>72077001</v>
      </c>
      <c r="D2172" t="str">
        <f t="shared" si="461"/>
        <v>813</v>
      </c>
      <c r="E2172" t="str">
        <f t="shared" si="462"/>
        <v>89301152</v>
      </c>
      <c r="F2172" t="str">
        <f t="shared" si="464"/>
        <v>6152220712</v>
      </c>
      <c r="G2172" s="1">
        <v>44627</v>
      </c>
      <c r="H2172" t="str">
        <f t="shared" si="465"/>
        <v>91219</v>
      </c>
      <c r="I2172">
        <v>1</v>
      </c>
      <c r="J2172">
        <v>342</v>
      </c>
      <c r="K2172">
        <v>0</v>
      </c>
      <c r="L2172">
        <v>266.76</v>
      </c>
    </row>
    <row r="2173" spans="1:12" x14ac:dyDescent="0.25">
      <c r="A2173" t="str">
        <f t="shared" si="453"/>
        <v>89301000</v>
      </c>
      <c r="B2173" t="str">
        <f t="shared" si="459"/>
        <v>72077000</v>
      </c>
      <c r="C2173" t="str">
        <f t="shared" si="460"/>
        <v>72077001</v>
      </c>
      <c r="D2173" t="str">
        <f t="shared" si="461"/>
        <v>813</v>
      </c>
      <c r="E2173" t="str">
        <f t="shared" si="462"/>
        <v>89301152</v>
      </c>
      <c r="F2173" t="str">
        <f>"7503235685"</f>
        <v>7503235685</v>
      </c>
      <c r="G2173" s="1">
        <v>44623</v>
      </c>
      <c r="H2173" t="str">
        <f>"91197"</f>
        <v>91197</v>
      </c>
      <c r="I2173">
        <v>1</v>
      </c>
      <c r="J2173">
        <v>1046</v>
      </c>
      <c r="K2173">
        <v>0</v>
      </c>
      <c r="L2173">
        <v>815.88</v>
      </c>
    </row>
    <row r="2174" spans="1:12" x14ac:dyDescent="0.25">
      <c r="A2174" t="str">
        <f t="shared" si="453"/>
        <v>89301000</v>
      </c>
      <c r="B2174" t="str">
        <f t="shared" si="459"/>
        <v>72077000</v>
      </c>
      <c r="C2174" t="str">
        <f t="shared" si="460"/>
        <v>72077001</v>
      </c>
      <c r="D2174" t="str">
        <f t="shared" si="461"/>
        <v>813</v>
      </c>
      <c r="E2174" t="str">
        <f t="shared" si="462"/>
        <v>89301152</v>
      </c>
      <c r="F2174" t="str">
        <f>"7503235685"</f>
        <v>7503235685</v>
      </c>
      <c r="G2174" s="1">
        <v>44627</v>
      </c>
      <c r="H2174" t="str">
        <f>"91465"</f>
        <v>91465</v>
      </c>
      <c r="I2174">
        <v>1</v>
      </c>
      <c r="J2174">
        <v>1404</v>
      </c>
      <c r="K2174">
        <v>0</v>
      </c>
      <c r="L2174">
        <v>1095.1199999999999</v>
      </c>
    </row>
    <row r="2175" spans="1:12" x14ac:dyDescent="0.25">
      <c r="A2175" t="str">
        <f t="shared" si="453"/>
        <v>89301000</v>
      </c>
      <c r="B2175" t="str">
        <f t="shared" ref="B2175:B2206" si="466">"72077000"</f>
        <v>72077000</v>
      </c>
      <c r="C2175" t="str">
        <f t="shared" ref="C2175:C2206" si="467">"72077001"</f>
        <v>72077001</v>
      </c>
      <c r="D2175" t="str">
        <f t="shared" ref="D2175:D2206" si="468">"813"</f>
        <v>813</v>
      </c>
      <c r="E2175" t="str">
        <f t="shared" ref="E2175:E2206" si="469">"89301152"</f>
        <v>89301152</v>
      </c>
      <c r="F2175" t="str">
        <f>"8554105780"</f>
        <v>8554105780</v>
      </c>
      <c r="G2175" s="1">
        <v>44630</v>
      </c>
      <c r="H2175" t="str">
        <f>"91197"</f>
        <v>91197</v>
      </c>
      <c r="I2175">
        <v>1</v>
      </c>
      <c r="J2175">
        <v>1046</v>
      </c>
      <c r="K2175">
        <v>0</v>
      </c>
      <c r="L2175">
        <v>815.88</v>
      </c>
    </row>
    <row r="2176" spans="1:12" x14ac:dyDescent="0.25">
      <c r="A2176" t="str">
        <f t="shared" si="453"/>
        <v>89301000</v>
      </c>
      <c r="B2176" t="str">
        <f t="shared" si="466"/>
        <v>72077000</v>
      </c>
      <c r="C2176" t="str">
        <f t="shared" si="467"/>
        <v>72077001</v>
      </c>
      <c r="D2176" t="str">
        <f t="shared" si="468"/>
        <v>813</v>
      </c>
      <c r="E2176" t="str">
        <f t="shared" si="469"/>
        <v>89301152</v>
      </c>
      <c r="F2176" t="str">
        <f>"8554105780"</f>
        <v>8554105780</v>
      </c>
      <c r="G2176" s="1">
        <v>44630</v>
      </c>
      <c r="H2176" t="str">
        <f>"91465"</f>
        <v>91465</v>
      </c>
      <c r="I2176">
        <v>1</v>
      </c>
      <c r="J2176">
        <v>1404</v>
      </c>
      <c r="K2176">
        <v>0</v>
      </c>
      <c r="L2176">
        <v>1095.1199999999999</v>
      </c>
    </row>
    <row r="2177" spans="1:12" x14ac:dyDescent="0.25">
      <c r="A2177" t="str">
        <f t="shared" si="453"/>
        <v>89301000</v>
      </c>
      <c r="B2177" t="str">
        <f t="shared" si="466"/>
        <v>72077000</v>
      </c>
      <c r="C2177" t="str">
        <f t="shared" si="467"/>
        <v>72077001</v>
      </c>
      <c r="D2177" t="str">
        <f t="shared" si="468"/>
        <v>813</v>
      </c>
      <c r="E2177" t="str">
        <f t="shared" si="469"/>
        <v>89301152</v>
      </c>
      <c r="F2177" t="str">
        <f>"7259075692"</f>
        <v>7259075692</v>
      </c>
      <c r="G2177" s="1">
        <v>44628</v>
      </c>
      <c r="H2177" t="str">
        <f>"91503"</f>
        <v>91503</v>
      </c>
      <c r="I2177">
        <v>1</v>
      </c>
      <c r="J2177">
        <v>114</v>
      </c>
      <c r="K2177">
        <v>0</v>
      </c>
      <c r="L2177">
        <v>88.92</v>
      </c>
    </row>
    <row r="2178" spans="1:12" x14ac:dyDescent="0.25">
      <c r="A2178" t="str">
        <f t="shared" ref="A2178:A2241" si="470">"89301000"</f>
        <v>89301000</v>
      </c>
      <c r="B2178" t="str">
        <f t="shared" si="466"/>
        <v>72077000</v>
      </c>
      <c r="C2178" t="str">
        <f t="shared" si="467"/>
        <v>72077001</v>
      </c>
      <c r="D2178" t="str">
        <f t="shared" si="468"/>
        <v>813</v>
      </c>
      <c r="E2178" t="str">
        <f t="shared" si="469"/>
        <v>89301152</v>
      </c>
      <c r="F2178" t="str">
        <f>"7259075692"</f>
        <v>7259075692</v>
      </c>
      <c r="G2178" s="1">
        <v>44629</v>
      </c>
      <c r="H2178" t="str">
        <f>"91363"</f>
        <v>91363</v>
      </c>
      <c r="I2178">
        <v>1</v>
      </c>
      <c r="J2178">
        <v>426</v>
      </c>
      <c r="K2178">
        <v>0</v>
      </c>
      <c r="L2178">
        <v>332.28</v>
      </c>
    </row>
    <row r="2179" spans="1:12" x14ac:dyDescent="0.25">
      <c r="A2179" t="str">
        <f t="shared" si="470"/>
        <v>89301000</v>
      </c>
      <c r="B2179" t="str">
        <f t="shared" si="466"/>
        <v>72077000</v>
      </c>
      <c r="C2179" t="str">
        <f t="shared" si="467"/>
        <v>72077001</v>
      </c>
      <c r="D2179" t="str">
        <f t="shared" si="468"/>
        <v>813</v>
      </c>
      <c r="E2179" t="str">
        <f t="shared" si="469"/>
        <v>89301152</v>
      </c>
      <c r="F2179" t="str">
        <f>"7259075692"</f>
        <v>7259075692</v>
      </c>
      <c r="G2179" s="1">
        <v>44630</v>
      </c>
      <c r="H2179" t="str">
        <f>"91197"</f>
        <v>91197</v>
      </c>
      <c r="I2179">
        <v>1</v>
      </c>
      <c r="J2179">
        <v>1046</v>
      </c>
      <c r="K2179">
        <v>0</v>
      </c>
      <c r="L2179">
        <v>815.88</v>
      </c>
    </row>
    <row r="2180" spans="1:12" x14ac:dyDescent="0.25">
      <c r="A2180" t="str">
        <f t="shared" si="470"/>
        <v>89301000</v>
      </c>
      <c r="B2180" t="str">
        <f t="shared" si="466"/>
        <v>72077000</v>
      </c>
      <c r="C2180" t="str">
        <f t="shared" si="467"/>
        <v>72077001</v>
      </c>
      <c r="D2180" t="str">
        <f t="shared" si="468"/>
        <v>813</v>
      </c>
      <c r="E2180" t="str">
        <f t="shared" si="469"/>
        <v>89301152</v>
      </c>
      <c r="F2180" t="str">
        <f>"7259075692"</f>
        <v>7259075692</v>
      </c>
      <c r="G2180" s="1">
        <v>44630</v>
      </c>
      <c r="H2180" t="str">
        <f>"91465"</f>
        <v>91465</v>
      </c>
      <c r="I2180">
        <v>1</v>
      </c>
      <c r="J2180">
        <v>1404</v>
      </c>
      <c r="K2180">
        <v>0</v>
      </c>
      <c r="L2180">
        <v>1095.1199999999999</v>
      </c>
    </row>
    <row r="2181" spans="1:12" x14ac:dyDescent="0.25">
      <c r="A2181" t="str">
        <f t="shared" si="470"/>
        <v>89301000</v>
      </c>
      <c r="B2181" t="str">
        <f t="shared" si="466"/>
        <v>72077000</v>
      </c>
      <c r="C2181" t="str">
        <f t="shared" si="467"/>
        <v>72077001</v>
      </c>
      <c r="D2181" t="str">
        <f t="shared" si="468"/>
        <v>813</v>
      </c>
      <c r="E2181" t="str">
        <f t="shared" si="469"/>
        <v>89301152</v>
      </c>
      <c r="F2181" t="str">
        <f>"7259075692"</f>
        <v>7259075692</v>
      </c>
      <c r="G2181" s="1">
        <v>44635</v>
      </c>
      <c r="H2181" t="str">
        <f>"91125"</f>
        <v>91125</v>
      </c>
      <c r="I2181">
        <v>1</v>
      </c>
      <c r="J2181">
        <v>255</v>
      </c>
      <c r="K2181">
        <v>0</v>
      </c>
      <c r="L2181">
        <v>198.9</v>
      </c>
    </row>
    <row r="2182" spans="1:12" x14ac:dyDescent="0.25">
      <c r="A2182" t="str">
        <f t="shared" si="470"/>
        <v>89301000</v>
      </c>
      <c r="B2182" t="str">
        <f t="shared" si="466"/>
        <v>72077000</v>
      </c>
      <c r="C2182" t="str">
        <f t="shared" si="467"/>
        <v>72077001</v>
      </c>
      <c r="D2182" t="str">
        <f t="shared" si="468"/>
        <v>813</v>
      </c>
      <c r="E2182" t="str">
        <f t="shared" si="469"/>
        <v>89301152</v>
      </c>
      <c r="F2182" t="str">
        <f>"8105275376"</f>
        <v>8105275376</v>
      </c>
      <c r="G2182" s="1">
        <v>44630</v>
      </c>
      <c r="H2182" t="str">
        <f>"91197"</f>
        <v>91197</v>
      </c>
      <c r="I2182">
        <v>1</v>
      </c>
      <c r="J2182">
        <v>1046</v>
      </c>
      <c r="K2182">
        <v>0</v>
      </c>
      <c r="L2182">
        <v>815.88</v>
      </c>
    </row>
    <row r="2183" spans="1:12" x14ac:dyDescent="0.25">
      <c r="A2183" t="str">
        <f t="shared" si="470"/>
        <v>89301000</v>
      </c>
      <c r="B2183" t="str">
        <f t="shared" si="466"/>
        <v>72077000</v>
      </c>
      <c r="C2183" t="str">
        <f t="shared" si="467"/>
        <v>72077001</v>
      </c>
      <c r="D2183" t="str">
        <f t="shared" si="468"/>
        <v>813</v>
      </c>
      <c r="E2183" t="str">
        <f t="shared" si="469"/>
        <v>89301152</v>
      </c>
      <c r="F2183" t="str">
        <f>"8105275376"</f>
        <v>8105275376</v>
      </c>
      <c r="G2183" s="1">
        <v>44630</v>
      </c>
      <c r="H2183" t="str">
        <f>"91465"</f>
        <v>91465</v>
      </c>
      <c r="I2183">
        <v>1</v>
      </c>
      <c r="J2183">
        <v>1404</v>
      </c>
      <c r="K2183">
        <v>0</v>
      </c>
      <c r="L2183">
        <v>1095.1199999999999</v>
      </c>
    </row>
    <row r="2184" spans="1:12" x14ac:dyDescent="0.25">
      <c r="A2184" t="str">
        <f t="shared" si="470"/>
        <v>89301000</v>
      </c>
      <c r="B2184" t="str">
        <f t="shared" si="466"/>
        <v>72077000</v>
      </c>
      <c r="C2184" t="str">
        <f t="shared" si="467"/>
        <v>72077001</v>
      </c>
      <c r="D2184" t="str">
        <f t="shared" si="468"/>
        <v>813</v>
      </c>
      <c r="E2184" t="str">
        <f t="shared" si="469"/>
        <v>89301152</v>
      </c>
      <c r="F2184" t="str">
        <f>"8659025848"</f>
        <v>8659025848</v>
      </c>
      <c r="G2184" s="1">
        <v>44636</v>
      </c>
      <c r="H2184" t="str">
        <f>"91219"</f>
        <v>91219</v>
      </c>
      <c r="I2184">
        <v>1</v>
      </c>
      <c r="J2184">
        <v>342</v>
      </c>
      <c r="K2184">
        <v>0</v>
      </c>
      <c r="L2184">
        <v>266.76</v>
      </c>
    </row>
    <row r="2185" spans="1:12" x14ac:dyDescent="0.25">
      <c r="A2185" t="str">
        <f t="shared" si="470"/>
        <v>89301000</v>
      </c>
      <c r="B2185" t="str">
        <f t="shared" si="466"/>
        <v>72077000</v>
      </c>
      <c r="C2185" t="str">
        <f t="shared" si="467"/>
        <v>72077001</v>
      </c>
      <c r="D2185" t="str">
        <f t="shared" si="468"/>
        <v>813</v>
      </c>
      <c r="E2185" t="str">
        <f t="shared" si="469"/>
        <v>89301152</v>
      </c>
      <c r="F2185" t="str">
        <f>"8659025848"</f>
        <v>8659025848</v>
      </c>
      <c r="G2185" s="1">
        <v>44636</v>
      </c>
      <c r="H2185" t="str">
        <f>"91219"</f>
        <v>91219</v>
      </c>
      <c r="I2185">
        <v>1</v>
      </c>
      <c r="J2185">
        <v>342</v>
      </c>
      <c r="K2185">
        <v>0</v>
      </c>
      <c r="L2185">
        <v>266.76</v>
      </c>
    </row>
    <row r="2186" spans="1:12" x14ac:dyDescent="0.25">
      <c r="A2186" t="str">
        <f t="shared" si="470"/>
        <v>89301000</v>
      </c>
      <c r="B2186" t="str">
        <f t="shared" si="466"/>
        <v>72077000</v>
      </c>
      <c r="C2186" t="str">
        <f t="shared" si="467"/>
        <v>72077001</v>
      </c>
      <c r="D2186" t="str">
        <f t="shared" si="468"/>
        <v>813</v>
      </c>
      <c r="E2186" t="str">
        <f t="shared" si="469"/>
        <v>89301152</v>
      </c>
      <c r="F2186" t="str">
        <f t="shared" ref="F2186:F2192" si="471">"6906285342"</f>
        <v>6906285342</v>
      </c>
      <c r="G2186" s="1">
        <v>44636</v>
      </c>
      <c r="H2186" t="str">
        <f>"91171"</f>
        <v>91171</v>
      </c>
      <c r="I2186">
        <v>1</v>
      </c>
      <c r="J2186">
        <v>360</v>
      </c>
      <c r="K2186">
        <v>0</v>
      </c>
      <c r="L2186">
        <v>280.8</v>
      </c>
    </row>
    <row r="2187" spans="1:12" x14ac:dyDescent="0.25">
      <c r="A2187" t="str">
        <f t="shared" si="470"/>
        <v>89301000</v>
      </c>
      <c r="B2187" t="str">
        <f t="shared" si="466"/>
        <v>72077000</v>
      </c>
      <c r="C2187" t="str">
        <f t="shared" si="467"/>
        <v>72077001</v>
      </c>
      <c r="D2187" t="str">
        <f t="shared" si="468"/>
        <v>813</v>
      </c>
      <c r="E2187" t="str">
        <f t="shared" si="469"/>
        <v>89301152</v>
      </c>
      <c r="F2187" t="str">
        <f t="shared" si="471"/>
        <v>6906285342</v>
      </c>
      <c r="G2187" s="1">
        <v>44636</v>
      </c>
      <c r="H2187" t="str">
        <f>"91171"</f>
        <v>91171</v>
      </c>
      <c r="I2187">
        <v>1</v>
      </c>
      <c r="J2187">
        <v>360</v>
      </c>
      <c r="K2187">
        <v>0</v>
      </c>
      <c r="L2187">
        <v>280.8</v>
      </c>
    </row>
    <row r="2188" spans="1:12" x14ac:dyDescent="0.25">
      <c r="A2188" t="str">
        <f t="shared" si="470"/>
        <v>89301000</v>
      </c>
      <c r="B2188" t="str">
        <f t="shared" si="466"/>
        <v>72077000</v>
      </c>
      <c r="C2188" t="str">
        <f t="shared" si="467"/>
        <v>72077001</v>
      </c>
      <c r="D2188" t="str">
        <f t="shared" si="468"/>
        <v>813</v>
      </c>
      <c r="E2188" t="str">
        <f t="shared" si="469"/>
        <v>89301152</v>
      </c>
      <c r="F2188" t="str">
        <f t="shared" si="471"/>
        <v>6906285342</v>
      </c>
      <c r="G2188" s="1">
        <v>44636</v>
      </c>
      <c r="H2188" t="str">
        <f>"91171"</f>
        <v>91171</v>
      </c>
      <c r="I2188">
        <v>1</v>
      </c>
      <c r="J2188">
        <v>360</v>
      </c>
      <c r="K2188">
        <v>0</v>
      </c>
      <c r="L2188">
        <v>280.8</v>
      </c>
    </row>
    <row r="2189" spans="1:12" x14ac:dyDescent="0.25">
      <c r="A2189" t="str">
        <f t="shared" si="470"/>
        <v>89301000</v>
      </c>
      <c r="B2189" t="str">
        <f t="shared" si="466"/>
        <v>72077000</v>
      </c>
      <c r="C2189" t="str">
        <f t="shared" si="467"/>
        <v>72077001</v>
      </c>
      <c r="D2189" t="str">
        <f t="shared" si="468"/>
        <v>813</v>
      </c>
      <c r="E2189" t="str">
        <f t="shared" si="469"/>
        <v>89301152</v>
      </c>
      <c r="F2189" t="str">
        <f t="shared" si="471"/>
        <v>6906285342</v>
      </c>
      <c r="G2189" s="1">
        <v>44636</v>
      </c>
      <c r="H2189" t="str">
        <f>"91171"</f>
        <v>91171</v>
      </c>
      <c r="I2189">
        <v>1</v>
      </c>
      <c r="J2189">
        <v>360</v>
      </c>
      <c r="K2189">
        <v>0</v>
      </c>
      <c r="L2189">
        <v>280.8</v>
      </c>
    </row>
    <row r="2190" spans="1:12" x14ac:dyDescent="0.25">
      <c r="A2190" t="str">
        <f t="shared" si="470"/>
        <v>89301000</v>
      </c>
      <c r="B2190" t="str">
        <f t="shared" si="466"/>
        <v>72077000</v>
      </c>
      <c r="C2190" t="str">
        <f t="shared" si="467"/>
        <v>72077001</v>
      </c>
      <c r="D2190" t="str">
        <f t="shared" si="468"/>
        <v>813</v>
      </c>
      <c r="E2190" t="str">
        <f t="shared" si="469"/>
        <v>89301152</v>
      </c>
      <c r="F2190" t="str">
        <f t="shared" si="471"/>
        <v>6906285342</v>
      </c>
      <c r="G2190" s="1">
        <v>44637</v>
      </c>
      <c r="H2190" t="str">
        <f>"91361"</f>
        <v>91361</v>
      </c>
      <c r="I2190">
        <v>1</v>
      </c>
      <c r="J2190">
        <v>431</v>
      </c>
      <c r="K2190">
        <v>0</v>
      </c>
      <c r="L2190">
        <v>336.18</v>
      </c>
    </row>
    <row r="2191" spans="1:12" x14ac:dyDescent="0.25">
      <c r="A2191" t="str">
        <f t="shared" si="470"/>
        <v>89301000</v>
      </c>
      <c r="B2191" t="str">
        <f t="shared" si="466"/>
        <v>72077000</v>
      </c>
      <c r="C2191" t="str">
        <f t="shared" si="467"/>
        <v>72077001</v>
      </c>
      <c r="D2191" t="str">
        <f t="shared" si="468"/>
        <v>813</v>
      </c>
      <c r="E2191" t="str">
        <f t="shared" si="469"/>
        <v>89301152</v>
      </c>
      <c r="F2191" t="str">
        <f t="shared" si="471"/>
        <v>6906285342</v>
      </c>
      <c r="G2191" s="1">
        <v>44637</v>
      </c>
      <c r="H2191" t="str">
        <f>"91359"</f>
        <v>91359</v>
      </c>
      <c r="I2191">
        <v>1</v>
      </c>
      <c r="J2191">
        <v>198</v>
      </c>
      <c r="K2191">
        <v>0</v>
      </c>
      <c r="L2191">
        <v>154.44</v>
      </c>
    </row>
    <row r="2192" spans="1:12" x14ac:dyDescent="0.25">
      <c r="A2192" t="str">
        <f t="shared" si="470"/>
        <v>89301000</v>
      </c>
      <c r="B2192" t="str">
        <f t="shared" si="466"/>
        <v>72077000</v>
      </c>
      <c r="C2192" t="str">
        <f t="shared" si="467"/>
        <v>72077001</v>
      </c>
      <c r="D2192" t="str">
        <f t="shared" si="468"/>
        <v>813</v>
      </c>
      <c r="E2192" t="str">
        <f t="shared" si="469"/>
        <v>89301152</v>
      </c>
      <c r="F2192" t="str">
        <f t="shared" si="471"/>
        <v>6906285342</v>
      </c>
      <c r="G2192" s="1">
        <v>44638</v>
      </c>
      <c r="H2192" t="str">
        <f>"91485"</f>
        <v>91485</v>
      </c>
      <c r="I2192">
        <v>1</v>
      </c>
      <c r="J2192">
        <v>268</v>
      </c>
      <c r="K2192">
        <v>0</v>
      </c>
      <c r="L2192">
        <v>209.04</v>
      </c>
    </row>
    <row r="2193" spans="1:12" x14ac:dyDescent="0.25">
      <c r="A2193" t="str">
        <f t="shared" si="470"/>
        <v>89301000</v>
      </c>
      <c r="B2193" t="str">
        <f t="shared" si="466"/>
        <v>72077000</v>
      </c>
      <c r="C2193" t="str">
        <f t="shared" si="467"/>
        <v>72077001</v>
      </c>
      <c r="D2193" t="str">
        <f t="shared" si="468"/>
        <v>813</v>
      </c>
      <c r="E2193" t="str">
        <f t="shared" si="469"/>
        <v>89301152</v>
      </c>
      <c r="F2193" t="str">
        <f>"9957235761"</f>
        <v>9957235761</v>
      </c>
      <c r="G2193" s="1">
        <v>44637</v>
      </c>
      <c r="H2193" t="str">
        <f>"91213"</f>
        <v>91213</v>
      </c>
      <c r="I2193">
        <v>1</v>
      </c>
      <c r="J2193">
        <v>347</v>
      </c>
      <c r="K2193">
        <v>0</v>
      </c>
      <c r="L2193">
        <v>270.66000000000003</v>
      </c>
    </row>
    <row r="2194" spans="1:12" x14ac:dyDescent="0.25">
      <c r="A2194" t="str">
        <f t="shared" si="470"/>
        <v>89301000</v>
      </c>
      <c r="B2194" t="str">
        <f t="shared" si="466"/>
        <v>72077000</v>
      </c>
      <c r="C2194" t="str">
        <f t="shared" si="467"/>
        <v>72077001</v>
      </c>
      <c r="D2194" t="str">
        <f t="shared" si="468"/>
        <v>813</v>
      </c>
      <c r="E2194" t="str">
        <f t="shared" si="469"/>
        <v>89301152</v>
      </c>
      <c r="F2194" t="str">
        <f>"9957235761"</f>
        <v>9957235761</v>
      </c>
      <c r="G2194" s="1">
        <v>44637</v>
      </c>
      <c r="H2194" t="str">
        <f>"91213"</f>
        <v>91213</v>
      </c>
      <c r="I2194">
        <v>1</v>
      </c>
      <c r="J2194">
        <v>347</v>
      </c>
      <c r="K2194">
        <v>0</v>
      </c>
      <c r="L2194">
        <v>270.66000000000003</v>
      </c>
    </row>
    <row r="2195" spans="1:12" x14ac:dyDescent="0.25">
      <c r="A2195" t="str">
        <f t="shared" si="470"/>
        <v>89301000</v>
      </c>
      <c r="B2195" t="str">
        <f t="shared" si="466"/>
        <v>72077000</v>
      </c>
      <c r="C2195" t="str">
        <f t="shared" si="467"/>
        <v>72077001</v>
      </c>
      <c r="D2195" t="str">
        <f t="shared" si="468"/>
        <v>813</v>
      </c>
      <c r="E2195" t="str">
        <f t="shared" si="469"/>
        <v>89301152</v>
      </c>
      <c r="F2195" t="str">
        <f>"9353165723"</f>
        <v>9353165723</v>
      </c>
      <c r="G2195" s="1">
        <v>44636</v>
      </c>
      <c r="H2195" t="str">
        <f>"91171"</f>
        <v>91171</v>
      </c>
      <c r="I2195">
        <v>1</v>
      </c>
      <c r="J2195">
        <v>360</v>
      </c>
      <c r="K2195">
        <v>0</v>
      </c>
      <c r="L2195">
        <v>280.8</v>
      </c>
    </row>
    <row r="2196" spans="1:12" x14ac:dyDescent="0.25">
      <c r="A2196" t="str">
        <f t="shared" si="470"/>
        <v>89301000</v>
      </c>
      <c r="B2196" t="str">
        <f t="shared" si="466"/>
        <v>72077000</v>
      </c>
      <c r="C2196" t="str">
        <f t="shared" si="467"/>
        <v>72077001</v>
      </c>
      <c r="D2196" t="str">
        <f t="shared" si="468"/>
        <v>813</v>
      </c>
      <c r="E2196" t="str">
        <f t="shared" si="469"/>
        <v>89301152</v>
      </c>
      <c r="F2196" t="str">
        <f>"6403241218"</f>
        <v>6403241218</v>
      </c>
      <c r="G2196" s="1">
        <v>44636</v>
      </c>
      <c r="H2196" t="str">
        <f>"91197"</f>
        <v>91197</v>
      </c>
      <c r="I2196">
        <v>1</v>
      </c>
      <c r="J2196">
        <v>1046</v>
      </c>
      <c r="K2196">
        <v>0</v>
      </c>
      <c r="L2196">
        <v>815.88</v>
      </c>
    </row>
    <row r="2197" spans="1:12" x14ac:dyDescent="0.25">
      <c r="A2197" t="str">
        <f t="shared" si="470"/>
        <v>89301000</v>
      </c>
      <c r="B2197" t="str">
        <f t="shared" si="466"/>
        <v>72077000</v>
      </c>
      <c r="C2197" t="str">
        <f t="shared" si="467"/>
        <v>72077001</v>
      </c>
      <c r="D2197" t="str">
        <f t="shared" si="468"/>
        <v>813</v>
      </c>
      <c r="E2197" t="str">
        <f t="shared" si="469"/>
        <v>89301152</v>
      </c>
      <c r="F2197" t="str">
        <f>"6403241218"</f>
        <v>6403241218</v>
      </c>
      <c r="G2197" s="1">
        <v>44637</v>
      </c>
      <c r="H2197" t="str">
        <f>"91465"</f>
        <v>91465</v>
      </c>
      <c r="I2197">
        <v>1</v>
      </c>
      <c r="J2197">
        <v>1404</v>
      </c>
      <c r="K2197">
        <v>0</v>
      </c>
      <c r="L2197">
        <v>1095.1199999999999</v>
      </c>
    </row>
    <row r="2198" spans="1:12" x14ac:dyDescent="0.25">
      <c r="A2198" t="str">
        <f t="shared" si="470"/>
        <v>89301000</v>
      </c>
      <c r="B2198" t="str">
        <f t="shared" si="466"/>
        <v>72077000</v>
      </c>
      <c r="C2198" t="str">
        <f t="shared" si="467"/>
        <v>72077001</v>
      </c>
      <c r="D2198" t="str">
        <f t="shared" si="468"/>
        <v>813</v>
      </c>
      <c r="E2198" t="str">
        <f t="shared" si="469"/>
        <v>89301152</v>
      </c>
      <c r="F2198" t="str">
        <f t="shared" ref="F2198:F2203" si="472">"0051046149"</f>
        <v>0051046149</v>
      </c>
      <c r="G2198" s="1">
        <v>44637</v>
      </c>
      <c r="H2198" t="str">
        <f>"91213"</f>
        <v>91213</v>
      </c>
      <c r="I2198">
        <v>1</v>
      </c>
      <c r="J2198">
        <v>347</v>
      </c>
      <c r="K2198">
        <v>0</v>
      </c>
      <c r="L2198">
        <v>270.66000000000003</v>
      </c>
    </row>
    <row r="2199" spans="1:12" x14ac:dyDescent="0.25">
      <c r="A2199" t="str">
        <f t="shared" si="470"/>
        <v>89301000</v>
      </c>
      <c r="B2199" t="str">
        <f t="shared" si="466"/>
        <v>72077000</v>
      </c>
      <c r="C2199" t="str">
        <f t="shared" si="467"/>
        <v>72077001</v>
      </c>
      <c r="D2199" t="str">
        <f t="shared" si="468"/>
        <v>813</v>
      </c>
      <c r="E2199" t="str">
        <f t="shared" si="469"/>
        <v>89301152</v>
      </c>
      <c r="F2199" t="str">
        <f t="shared" si="472"/>
        <v>0051046149</v>
      </c>
      <c r="G2199" s="1">
        <v>44637</v>
      </c>
      <c r="H2199" t="str">
        <f>"91213"</f>
        <v>91213</v>
      </c>
      <c r="I2199">
        <v>1</v>
      </c>
      <c r="J2199">
        <v>347</v>
      </c>
      <c r="K2199">
        <v>0</v>
      </c>
      <c r="L2199">
        <v>270.66000000000003</v>
      </c>
    </row>
    <row r="2200" spans="1:12" x14ac:dyDescent="0.25">
      <c r="A2200" t="str">
        <f t="shared" si="470"/>
        <v>89301000</v>
      </c>
      <c r="B2200" t="str">
        <f t="shared" si="466"/>
        <v>72077000</v>
      </c>
      <c r="C2200" t="str">
        <f t="shared" si="467"/>
        <v>72077001</v>
      </c>
      <c r="D2200" t="str">
        <f t="shared" si="468"/>
        <v>813</v>
      </c>
      <c r="E2200" t="str">
        <f t="shared" si="469"/>
        <v>89301152</v>
      </c>
      <c r="F2200" t="str">
        <f t="shared" si="472"/>
        <v>0051046149</v>
      </c>
      <c r="G2200" s="1">
        <v>44637</v>
      </c>
      <c r="H2200" t="str">
        <f>"91213"</f>
        <v>91213</v>
      </c>
      <c r="I2200">
        <v>1</v>
      </c>
      <c r="J2200">
        <v>347</v>
      </c>
      <c r="K2200">
        <v>0</v>
      </c>
      <c r="L2200">
        <v>270.66000000000003</v>
      </c>
    </row>
    <row r="2201" spans="1:12" x14ac:dyDescent="0.25">
      <c r="A2201" t="str">
        <f t="shared" si="470"/>
        <v>89301000</v>
      </c>
      <c r="B2201" t="str">
        <f t="shared" si="466"/>
        <v>72077000</v>
      </c>
      <c r="C2201" t="str">
        <f t="shared" si="467"/>
        <v>72077001</v>
      </c>
      <c r="D2201" t="str">
        <f t="shared" si="468"/>
        <v>813</v>
      </c>
      <c r="E2201" t="str">
        <f t="shared" si="469"/>
        <v>89301152</v>
      </c>
      <c r="F2201" t="str">
        <f t="shared" si="472"/>
        <v>0051046149</v>
      </c>
      <c r="G2201" s="1">
        <v>44641</v>
      </c>
      <c r="H2201" t="str">
        <f>"91197"</f>
        <v>91197</v>
      </c>
      <c r="I2201">
        <v>1</v>
      </c>
      <c r="J2201">
        <v>1046</v>
      </c>
      <c r="K2201">
        <v>0</v>
      </c>
      <c r="L2201">
        <v>815.88</v>
      </c>
    </row>
    <row r="2202" spans="1:12" x14ac:dyDescent="0.25">
      <c r="A2202" t="str">
        <f t="shared" si="470"/>
        <v>89301000</v>
      </c>
      <c r="B2202" t="str">
        <f t="shared" si="466"/>
        <v>72077000</v>
      </c>
      <c r="C2202" t="str">
        <f t="shared" si="467"/>
        <v>72077001</v>
      </c>
      <c r="D2202" t="str">
        <f t="shared" si="468"/>
        <v>813</v>
      </c>
      <c r="E2202" t="str">
        <f t="shared" si="469"/>
        <v>89301152</v>
      </c>
      <c r="F2202" t="str">
        <f t="shared" si="472"/>
        <v>0051046149</v>
      </c>
      <c r="G2202" s="1">
        <v>44642</v>
      </c>
      <c r="H2202" t="str">
        <f>"91465"</f>
        <v>91465</v>
      </c>
      <c r="I2202">
        <v>1</v>
      </c>
      <c r="J2202">
        <v>1404</v>
      </c>
      <c r="K2202">
        <v>0</v>
      </c>
      <c r="L2202">
        <v>1095.1199999999999</v>
      </c>
    </row>
    <row r="2203" spans="1:12" x14ac:dyDescent="0.25">
      <c r="A2203" t="str">
        <f t="shared" si="470"/>
        <v>89301000</v>
      </c>
      <c r="B2203" t="str">
        <f t="shared" si="466"/>
        <v>72077000</v>
      </c>
      <c r="C2203" t="str">
        <f t="shared" si="467"/>
        <v>72077001</v>
      </c>
      <c r="D2203" t="str">
        <f t="shared" si="468"/>
        <v>813</v>
      </c>
      <c r="E2203" t="str">
        <f t="shared" si="469"/>
        <v>89301152</v>
      </c>
      <c r="F2203" t="str">
        <f t="shared" si="472"/>
        <v>0051046149</v>
      </c>
      <c r="G2203" s="1">
        <v>44644</v>
      </c>
      <c r="H2203" t="str">
        <f>"91219"</f>
        <v>91219</v>
      </c>
      <c r="I2203">
        <v>1</v>
      </c>
      <c r="J2203">
        <v>342</v>
      </c>
      <c r="K2203">
        <v>0</v>
      </c>
      <c r="L2203">
        <v>266.76</v>
      </c>
    </row>
    <row r="2204" spans="1:12" x14ac:dyDescent="0.25">
      <c r="A2204" t="str">
        <f t="shared" si="470"/>
        <v>89301000</v>
      </c>
      <c r="B2204" t="str">
        <f t="shared" si="466"/>
        <v>72077000</v>
      </c>
      <c r="C2204" t="str">
        <f t="shared" si="467"/>
        <v>72077001</v>
      </c>
      <c r="D2204" t="str">
        <f t="shared" si="468"/>
        <v>813</v>
      </c>
      <c r="E2204" t="str">
        <f t="shared" si="469"/>
        <v>89301152</v>
      </c>
      <c r="F2204" t="str">
        <f>"366001456"</f>
        <v>366001456</v>
      </c>
      <c r="G2204" s="1">
        <v>44641</v>
      </c>
      <c r="H2204" t="str">
        <f>"91197"</f>
        <v>91197</v>
      </c>
      <c r="I2204">
        <v>1</v>
      </c>
      <c r="J2204">
        <v>1046</v>
      </c>
      <c r="K2204">
        <v>0</v>
      </c>
      <c r="L2204">
        <v>815.88</v>
      </c>
    </row>
    <row r="2205" spans="1:12" x14ac:dyDescent="0.25">
      <c r="A2205" t="str">
        <f t="shared" si="470"/>
        <v>89301000</v>
      </c>
      <c r="B2205" t="str">
        <f t="shared" si="466"/>
        <v>72077000</v>
      </c>
      <c r="C2205" t="str">
        <f t="shared" si="467"/>
        <v>72077001</v>
      </c>
      <c r="D2205" t="str">
        <f t="shared" si="468"/>
        <v>813</v>
      </c>
      <c r="E2205" t="str">
        <f t="shared" si="469"/>
        <v>89301152</v>
      </c>
      <c r="F2205" t="str">
        <f>"366001456"</f>
        <v>366001456</v>
      </c>
      <c r="G2205" s="1">
        <v>44642</v>
      </c>
      <c r="H2205" t="str">
        <f>"91465"</f>
        <v>91465</v>
      </c>
      <c r="I2205">
        <v>1</v>
      </c>
      <c r="J2205">
        <v>1404</v>
      </c>
      <c r="K2205">
        <v>0</v>
      </c>
      <c r="L2205">
        <v>1095.1199999999999</v>
      </c>
    </row>
    <row r="2206" spans="1:12" x14ac:dyDescent="0.25">
      <c r="A2206" t="str">
        <f t="shared" si="470"/>
        <v>89301000</v>
      </c>
      <c r="B2206" t="str">
        <f t="shared" si="466"/>
        <v>72077000</v>
      </c>
      <c r="C2206" t="str">
        <f t="shared" si="467"/>
        <v>72077001</v>
      </c>
      <c r="D2206" t="str">
        <f t="shared" si="468"/>
        <v>813</v>
      </c>
      <c r="E2206" t="str">
        <f t="shared" si="469"/>
        <v>89301152</v>
      </c>
      <c r="F2206" t="str">
        <f>"9803175701"</f>
        <v>9803175701</v>
      </c>
      <c r="G2206" s="1">
        <v>44644</v>
      </c>
      <c r="H2206" t="str">
        <f>"91197"</f>
        <v>91197</v>
      </c>
      <c r="I2206">
        <v>1</v>
      </c>
      <c r="J2206">
        <v>1046</v>
      </c>
      <c r="K2206">
        <v>0</v>
      </c>
      <c r="L2206">
        <v>815.88</v>
      </c>
    </row>
    <row r="2207" spans="1:12" x14ac:dyDescent="0.25">
      <c r="A2207" t="str">
        <f t="shared" si="470"/>
        <v>89301000</v>
      </c>
      <c r="B2207" t="str">
        <f t="shared" ref="B2207:B2219" si="473">"72077000"</f>
        <v>72077000</v>
      </c>
      <c r="C2207" t="str">
        <f t="shared" ref="C2207:C2219" si="474">"72077001"</f>
        <v>72077001</v>
      </c>
      <c r="D2207" t="str">
        <f t="shared" ref="D2207:D2219" si="475">"813"</f>
        <v>813</v>
      </c>
      <c r="E2207" t="str">
        <f t="shared" ref="E2207:E2219" si="476">"89301152"</f>
        <v>89301152</v>
      </c>
      <c r="F2207" t="str">
        <f>"9803175701"</f>
        <v>9803175701</v>
      </c>
      <c r="G2207" s="1">
        <v>44645</v>
      </c>
      <c r="H2207" t="str">
        <f>"91465"</f>
        <v>91465</v>
      </c>
      <c r="I2207">
        <v>1</v>
      </c>
      <c r="J2207">
        <v>1404</v>
      </c>
      <c r="K2207">
        <v>0</v>
      </c>
      <c r="L2207">
        <v>1095.1199999999999</v>
      </c>
    </row>
    <row r="2208" spans="1:12" x14ac:dyDescent="0.25">
      <c r="A2208" t="str">
        <f t="shared" si="470"/>
        <v>89301000</v>
      </c>
      <c r="B2208" t="str">
        <f t="shared" si="473"/>
        <v>72077000</v>
      </c>
      <c r="C2208" t="str">
        <f t="shared" si="474"/>
        <v>72077001</v>
      </c>
      <c r="D2208" t="str">
        <f t="shared" si="475"/>
        <v>813</v>
      </c>
      <c r="E2208" t="str">
        <f t="shared" si="476"/>
        <v>89301152</v>
      </c>
      <c r="F2208" t="str">
        <f>"7809065341"</f>
        <v>7809065341</v>
      </c>
      <c r="G2208" s="1">
        <v>44649</v>
      </c>
      <c r="H2208" t="str">
        <f>"91197"</f>
        <v>91197</v>
      </c>
      <c r="I2208">
        <v>1</v>
      </c>
      <c r="J2208">
        <v>1046</v>
      </c>
      <c r="K2208">
        <v>0</v>
      </c>
      <c r="L2208">
        <v>815.88</v>
      </c>
    </row>
    <row r="2209" spans="1:12" x14ac:dyDescent="0.25">
      <c r="A2209" t="str">
        <f t="shared" si="470"/>
        <v>89301000</v>
      </c>
      <c r="B2209" t="str">
        <f t="shared" si="473"/>
        <v>72077000</v>
      </c>
      <c r="C2209" t="str">
        <f t="shared" si="474"/>
        <v>72077001</v>
      </c>
      <c r="D2209" t="str">
        <f t="shared" si="475"/>
        <v>813</v>
      </c>
      <c r="E2209" t="str">
        <f t="shared" si="476"/>
        <v>89301152</v>
      </c>
      <c r="F2209" t="str">
        <f>"7809065341"</f>
        <v>7809065341</v>
      </c>
      <c r="G2209" s="1">
        <v>44649</v>
      </c>
      <c r="H2209" t="str">
        <f>"91465"</f>
        <v>91465</v>
      </c>
      <c r="I2209">
        <v>1</v>
      </c>
      <c r="J2209">
        <v>1404</v>
      </c>
      <c r="K2209">
        <v>0</v>
      </c>
      <c r="L2209">
        <v>1095.1199999999999</v>
      </c>
    </row>
    <row r="2210" spans="1:12" x14ac:dyDescent="0.25">
      <c r="A2210" t="str">
        <f t="shared" si="470"/>
        <v>89301000</v>
      </c>
      <c r="B2210" t="str">
        <f t="shared" si="473"/>
        <v>72077000</v>
      </c>
      <c r="C2210" t="str">
        <f t="shared" si="474"/>
        <v>72077001</v>
      </c>
      <c r="D2210" t="str">
        <f t="shared" si="475"/>
        <v>813</v>
      </c>
      <c r="E2210" t="str">
        <f t="shared" si="476"/>
        <v>89301152</v>
      </c>
      <c r="F2210" t="str">
        <f t="shared" ref="F2210:F2218" si="477">"8657274923"</f>
        <v>8657274923</v>
      </c>
      <c r="G2210" s="1">
        <v>44644</v>
      </c>
      <c r="H2210" t="str">
        <f>"91131"</f>
        <v>91131</v>
      </c>
      <c r="I2210">
        <v>1</v>
      </c>
      <c r="J2210">
        <v>171</v>
      </c>
      <c r="K2210">
        <v>0</v>
      </c>
      <c r="L2210">
        <v>133.38</v>
      </c>
    </row>
    <row r="2211" spans="1:12" x14ac:dyDescent="0.25">
      <c r="A2211" t="str">
        <f t="shared" si="470"/>
        <v>89301000</v>
      </c>
      <c r="B2211" t="str">
        <f t="shared" si="473"/>
        <v>72077000</v>
      </c>
      <c r="C2211" t="str">
        <f t="shared" si="474"/>
        <v>72077001</v>
      </c>
      <c r="D2211" t="str">
        <f t="shared" si="475"/>
        <v>813</v>
      </c>
      <c r="E2211" t="str">
        <f t="shared" si="476"/>
        <v>89301152</v>
      </c>
      <c r="F2211" t="str">
        <f t="shared" si="477"/>
        <v>8657274923</v>
      </c>
      <c r="G2211" s="1">
        <v>44644</v>
      </c>
      <c r="H2211" t="str">
        <f>"91281"</f>
        <v>91281</v>
      </c>
      <c r="I2211">
        <v>1</v>
      </c>
      <c r="J2211">
        <v>682</v>
      </c>
      <c r="K2211">
        <v>0</v>
      </c>
      <c r="L2211">
        <v>531.96</v>
      </c>
    </row>
    <row r="2212" spans="1:12" x14ac:dyDescent="0.25">
      <c r="A2212" t="str">
        <f t="shared" si="470"/>
        <v>89301000</v>
      </c>
      <c r="B2212" t="str">
        <f t="shared" si="473"/>
        <v>72077000</v>
      </c>
      <c r="C2212" t="str">
        <f t="shared" si="474"/>
        <v>72077001</v>
      </c>
      <c r="D2212" t="str">
        <f t="shared" si="475"/>
        <v>813</v>
      </c>
      <c r="E2212" t="str">
        <f t="shared" si="476"/>
        <v>89301152</v>
      </c>
      <c r="F2212" t="str">
        <f t="shared" si="477"/>
        <v>8657274923</v>
      </c>
      <c r="G2212" s="1">
        <v>44645</v>
      </c>
      <c r="H2212" t="str">
        <f>"91171"</f>
        <v>91171</v>
      </c>
      <c r="I2212">
        <v>1</v>
      </c>
      <c r="J2212">
        <v>360</v>
      </c>
      <c r="K2212">
        <v>0</v>
      </c>
      <c r="L2212">
        <v>280.8</v>
      </c>
    </row>
    <row r="2213" spans="1:12" x14ac:dyDescent="0.25">
      <c r="A2213" t="str">
        <f t="shared" si="470"/>
        <v>89301000</v>
      </c>
      <c r="B2213" t="str">
        <f t="shared" si="473"/>
        <v>72077000</v>
      </c>
      <c r="C2213" t="str">
        <f t="shared" si="474"/>
        <v>72077001</v>
      </c>
      <c r="D2213" t="str">
        <f t="shared" si="475"/>
        <v>813</v>
      </c>
      <c r="E2213" t="str">
        <f t="shared" si="476"/>
        <v>89301152</v>
      </c>
      <c r="F2213" t="str">
        <f t="shared" si="477"/>
        <v>8657274923</v>
      </c>
      <c r="G2213" s="1">
        <v>44645</v>
      </c>
      <c r="H2213" t="str">
        <f>"91171"</f>
        <v>91171</v>
      </c>
      <c r="I2213">
        <v>1</v>
      </c>
      <c r="J2213">
        <v>360</v>
      </c>
      <c r="K2213">
        <v>0</v>
      </c>
      <c r="L2213">
        <v>280.8</v>
      </c>
    </row>
    <row r="2214" spans="1:12" x14ac:dyDescent="0.25">
      <c r="A2214" t="str">
        <f t="shared" si="470"/>
        <v>89301000</v>
      </c>
      <c r="B2214" t="str">
        <f t="shared" si="473"/>
        <v>72077000</v>
      </c>
      <c r="C2214" t="str">
        <f t="shared" si="474"/>
        <v>72077001</v>
      </c>
      <c r="D2214" t="str">
        <f t="shared" si="475"/>
        <v>813</v>
      </c>
      <c r="E2214" t="str">
        <f t="shared" si="476"/>
        <v>89301152</v>
      </c>
      <c r="F2214" t="str">
        <f t="shared" si="477"/>
        <v>8657274923</v>
      </c>
      <c r="G2214" s="1">
        <v>44645</v>
      </c>
      <c r="H2214" t="str">
        <f>"91171"</f>
        <v>91171</v>
      </c>
      <c r="I2214">
        <v>1</v>
      </c>
      <c r="J2214">
        <v>360</v>
      </c>
      <c r="K2214">
        <v>0</v>
      </c>
      <c r="L2214">
        <v>280.8</v>
      </c>
    </row>
    <row r="2215" spans="1:12" x14ac:dyDescent="0.25">
      <c r="A2215" t="str">
        <f t="shared" si="470"/>
        <v>89301000</v>
      </c>
      <c r="B2215" t="str">
        <f t="shared" si="473"/>
        <v>72077000</v>
      </c>
      <c r="C2215" t="str">
        <f t="shared" si="474"/>
        <v>72077001</v>
      </c>
      <c r="D2215" t="str">
        <f t="shared" si="475"/>
        <v>813</v>
      </c>
      <c r="E2215" t="str">
        <f t="shared" si="476"/>
        <v>89301152</v>
      </c>
      <c r="F2215" t="str">
        <f t="shared" si="477"/>
        <v>8657274923</v>
      </c>
      <c r="G2215" s="1">
        <v>44645</v>
      </c>
      <c r="H2215" t="str">
        <f>"91171"</f>
        <v>91171</v>
      </c>
      <c r="I2215">
        <v>1</v>
      </c>
      <c r="J2215">
        <v>360</v>
      </c>
      <c r="K2215">
        <v>0</v>
      </c>
      <c r="L2215">
        <v>280.8</v>
      </c>
    </row>
    <row r="2216" spans="1:12" x14ac:dyDescent="0.25">
      <c r="A2216" t="str">
        <f t="shared" si="470"/>
        <v>89301000</v>
      </c>
      <c r="B2216" t="str">
        <f t="shared" si="473"/>
        <v>72077000</v>
      </c>
      <c r="C2216" t="str">
        <f t="shared" si="474"/>
        <v>72077001</v>
      </c>
      <c r="D2216" t="str">
        <f t="shared" si="475"/>
        <v>813</v>
      </c>
      <c r="E2216" t="str">
        <f t="shared" si="476"/>
        <v>89301152</v>
      </c>
      <c r="F2216" t="str">
        <f t="shared" si="477"/>
        <v>8657274923</v>
      </c>
      <c r="G2216" s="1">
        <v>44649</v>
      </c>
      <c r="H2216" t="str">
        <f>"91485"</f>
        <v>91485</v>
      </c>
      <c r="I2216">
        <v>1</v>
      </c>
      <c r="J2216">
        <v>268</v>
      </c>
      <c r="K2216">
        <v>0</v>
      </c>
      <c r="L2216">
        <v>209.04</v>
      </c>
    </row>
    <row r="2217" spans="1:12" x14ac:dyDescent="0.25">
      <c r="A2217" t="str">
        <f t="shared" si="470"/>
        <v>89301000</v>
      </c>
      <c r="B2217" t="str">
        <f t="shared" si="473"/>
        <v>72077000</v>
      </c>
      <c r="C2217" t="str">
        <f t="shared" si="474"/>
        <v>72077001</v>
      </c>
      <c r="D2217" t="str">
        <f t="shared" si="475"/>
        <v>813</v>
      </c>
      <c r="E2217" t="str">
        <f t="shared" si="476"/>
        <v>89301152</v>
      </c>
      <c r="F2217" t="str">
        <f t="shared" si="477"/>
        <v>8657274923</v>
      </c>
      <c r="G2217" s="1">
        <v>44650</v>
      </c>
      <c r="H2217" t="str">
        <f>"91361"</f>
        <v>91361</v>
      </c>
      <c r="I2217">
        <v>1</v>
      </c>
      <c r="J2217">
        <v>431</v>
      </c>
      <c r="K2217">
        <v>0</v>
      </c>
      <c r="L2217">
        <v>336.18</v>
      </c>
    </row>
    <row r="2218" spans="1:12" x14ac:dyDescent="0.25">
      <c r="A2218" t="str">
        <f t="shared" si="470"/>
        <v>89301000</v>
      </c>
      <c r="B2218" t="str">
        <f t="shared" si="473"/>
        <v>72077000</v>
      </c>
      <c r="C2218" t="str">
        <f t="shared" si="474"/>
        <v>72077001</v>
      </c>
      <c r="D2218" t="str">
        <f t="shared" si="475"/>
        <v>813</v>
      </c>
      <c r="E2218" t="str">
        <f t="shared" si="476"/>
        <v>89301152</v>
      </c>
      <c r="F2218" t="str">
        <f t="shared" si="477"/>
        <v>8657274923</v>
      </c>
      <c r="G2218" s="1">
        <v>44650</v>
      </c>
      <c r="H2218" t="str">
        <f>"91359"</f>
        <v>91359</v>
      </c>
      <c r="I2218">
        <v>1</v>
      </c>
      <c r="J2218">
        <v>198</v>
      </c>
      <c r="K2218">
        <v>0</v>
      </c>
      <c r="L2218">
        <v>154.44</v>
      </c>
    </row>
    <row r="2219" spans="1:12" x14ac:dyDescent="0.25">
      <c r="A2219" t="str">
        <f t="shared" si="470"/>
        <v>89301000</v>
      </c>
      <c r="B2219" t="str">
        <f t="shared" si="473"/>
        <v>72077000</v>
      </c>
      <c r="C2219" t="str">
        <f t="shared" si="474"/>
        <v>72077001</v>
      </c>
      <c r="D2219" t="str">
        <f t="shared" si="475"/>
        <v>813</v>
      </c>
      <c r="E2219" t="str">
        <f t="shared" si="476"/>
        <v>89301152</v>
      </c>
      <c r="F2219" t="str">
        <f>"7951094481"</f>
        <v>7951094481</v>
      </c>
      <c r="G2219" s="1">
        <v>44620</v>
      </c>
      <c r="H2219" t="str">
        <f>"91197"</f>
        <v>91197</v>
      </c>
      <c r="I2219">
        <v>1</v>
      </c>
      <c r="J2219">
        <v>1046</v>
      </c>
      <c r="K2219">
        <v>0</v>
      </c>
      <c r="L2219">
        <v>815.88</v>
      </c>
    </row>
    <row r="2220" spans="1:12" x14ac:dyDescent="0.25">
      <c r="A2220" t="str">
        <f t="shared" si="470"/>
        <v>89301000</v>
      </c>
      <c r="B2220" t="str">
        <f>"87259000"</f>
        <v>87259000</v>
      </c>
      <c r="C2220" t="str">
        <f>"87259001"</f>
        <v>87259001</v>
      </c>
      <c r="D2220" t="str">
        <f>"810"</f>
        <v>810</v>
      </c>
      <c r="E2220" t="str">
        <f>"89301112"</f>
        <v>89301112</v>
      </c>
      <c r="F2220" t="str">
        <f>"1160110347"</f>
        <v>1160110347</v>
      </c>
      <c r="G2220" s="1">
        <v>44641</v>
      </c>
      <c r="H2220" t="str">
        <f>"89713"</f>
        <v>89713</v>
      </c>
      <c r="I2220">
        <v>1</v>
      </c>
      <c r="J2220">
        <v>5362</v>
      </c>
      <c r="K2220">
        <v>0</v>
      </c>
      <c r="L2220">
        <v>3217.2</v>
      </c>
    </row>
    <row r="2221" spans="1:12" x14ac:dyDescent="0.25">
      <c r="A2221" t="str">
        <f t="shared" si="470"/>
        <v>89301000</v>
      </c>
      <c r="B2221" t="str">
        <f>"87259000"</f>
        <v>87259000</v>
      </c>
      <c r="C2221" t="str">
        <f>"87259001"</f>
        <v>87259001</v>
      </c>
      <c r="D2221" t="str">
        <f>"810"</f>
        <v>810</v>
      </c>
      <c r="E2221" t="str">
        <f>"89301112"</f>
        <v>89301112</v>
      </c>
      <c r="F2221" t="str">
        <f>"1160110347"</f>
        <v>1160110347</v>
      </c>
      <c r="G2221" s="1">
        <v>44641</v>
      </c>
      <c r="H2221" t="str">
        <f>"89725"</f>
        <v>89725</v>
      </c>
      <c r="I2221">
        <v>1</v>
      </c>
      <c r="J2221">
        <v>2839</v>
      </c>
      <c r="K2221">
        <v>0</v>
      </c>
      <c r="L2221">
        <v>1703.4</v>
      </c>
    </row>
    <row r="2222" spans="1:12" x14ac:dyDescent="0.25">
      <c r="A2222" t="str">
        <f t="shared" si="470"/>
        <v>89301000</v>
      </c>
      <c r="B2222" t="str">
        <f t="shared" ref="B2222:C2229" si="478">"65537524"</f>
        <v>65537524</v>
      </c>
      <c r="C2222" t="str">
        <f t="shared" si="478"/>
        <v>65537524</v>
      </c>
      <c r="D2222" t="str">
        <f t="shared" ref="D2222:D2229" si="479">"801"</f>
        <v>801</v>
      </c>
      <c r="E2222" t="str">
        <f t="shared" ref="E2222:E2229" si="480">"89301162"</f>
        <v>89301162</v>
      </c>
      <c r="F2222" t="str">
        <f t="shared" ref="F2222:F2229" si="481">"7862114469"</f>
        <v>7862114469</v>
      </c>
      <c r="G2222" s="1">
        <v>44645</v>
      </c>
      <c r="H2222" t="str">
        <f>"97111"</f>
        <v>97111</v>
      </c>
      <c r="I2222">
        <v>1</v>
      </c>
      <c r="J2222">
        <v>18</v>
      </c>
      <c r="K2222">
        <v>0</v>
      </c>
      <c r="L2222">
        <v>14.04</v>
      </c>
    </row>
    <row r="2223" spans="1:12" x14ac:dyDescent="0.25">
      <c r="A2223" t="str">
        <f t="shared" si="470"/>
        <v>89301000</v>
      </c>
      <c r="B2223" t="str">
        <f t="shared" si="478"/>
        <v>65537524</v>
      </c>
      <c r="C2223" t="str">
        <f t="shared" si="478"/>
        <v>65537524</v>
      </c>
      <c r="D2223" t="str">
        <f t="shared" si="479"/>
        <v>801</v>
      </c>
      <c r="E2223" t="str">
        <f t="shared" si="480"/>
        <v>89301162</v>
      </c>
      <c r="F2223" t="str">
        <f t="shared" si="481"/>
        <v>7862114469</v>
      </c>
      <c r="G2223" s="1">
        <v>44645</v>
      </c>
      <c r="H2223" t="str">
        <f>"96711"</f>
        <v>96711</v>
      </c>
      <c r="I2223">
        <v>1</v>
      </c>
      <c r="J2223">
        <v>27</v>
      </c>
      <c r="K2223">
        <v>0</v>
      </c>
      <c r="L2223">
        <v>21.06</v>
      </c>
    </row>
    <row r="2224" spans="1:12" x14ac:dyDescent="0.25">
      <c r="A2224" t="str">
        <f t="shared" si="470"/>
        <v>89301000</v>
      </c>
      <c r="B2224" t="str">
        <f t="shared" si="478"/>
        <v>65537524</v>
      </c>
      <c r="C2224" t="str">
        <f t="shared" si="478"/>
        <v>65537524</v>
      </c>
      <c r="D2224" t="str">
        <f t="shared" si="479"/>
        <v>801</v>
      </c>
      <c r="E2224" t="str">
        <f t="shared" si="480"/>
        <v>89301162</v>
      </c>
      <c r="F2224" t="str">
        <f t="shared" si="481"/>
        <v>7862114469</v>
      </c>
      <c r="G2224" s="1">
        <v>44645</v>
      </c>
      <c r="H2224" t="str">
        <f>"96713"</f>
        <v>96713</v>
      </c>
      <c r="I2224">
        <v>1</v>
      </c>
      <c r="J2224">
        <v>14</v>
      </c>
      <c r="K2224">
        <v>0</v>
      </c>
      <c r="L2224">
        <v>10.92</v>
      </c>
    </row>
    <row r="2225" spans="1:12" x14ac:dyDescent="0.25">
      <c r="A2225" t="str">
        <f t="shared" si="470"/>
        <v>89301000</v>
      </c>
      <c r="B2225" t="str">
        <f t="shared" si="478"/>
        <v>65537524</v>
      </c>
      <c r="C2225" t="str">
        <f t="shared" si="478"/>
        <v>65537524</v>
      </c>
      <c r="D2225" t="str">
        <f t="shared" si="479"/>
        <v>801</v>
      </c>
      <c r="E2225" t="str">
        <f t="shared" si="480"/>
        <v>89301162</v>
      </c>
      <c r="F2225" t="str">
        <f t="shared" si="481"/>
        <v>7862114469</v>
      </c>
      <c r="G2225" s="1">
        <v>44645</v>
      </c>
      <c r="H2225" t="str">
        <f>"81361"</f>
        <v>81361</v>
      </c>
      <c r="I2225">
        <v>1</v>
      </c>
      <c r="J2225">
        <v>17</v>
      </c>
      <c r="K2225">
        <v>0</v>
      </c>
      <c r="L2225">
        <v>13.26</v>
      </c>
    </row>
    <row r="2226" spans="1:12" x14ac:dyDescent="0.25">
      <c r="A2226" t="str">
        <f t="shared" si="470"/>
        <v>89301000</v>
      </c>
      <c r="B2226" t="str">
        <f t="shared" si="478"/>
        <v>65537524</v>
      </c>
      <c r="C2226" t="str">
        <f t="shared" si="478"/>
        <v>65537524</v>
      </c>
      <c r="D2226" t="str">
        <f t="shared" si="479"/>
        <v>801</v>
      </c>
      <c r="E2226" t="str">
        <f t="shared" si="480"/>
        <v>89301162</v>
      </c>
      <c r="F2226" t="str">
        <f t="shared" si="481"/>
        <v>7862114469</v>
      </c>
      <c r="G2226" s="1">
        <v>44645</v>
      </c>
      <c r="H2226" t="str">
        <f>"81337"</f>
        <v>81337</v>
      </c>
      <c r="I2226">
        <v>1</v>
      </c>
      <c r="J2226">
        <v>19</v>
      </c>
      <c r="K2226">
        <v>0</v>
      </c>
      <c r="L2226">
        <v>14.82</v>
      </c>
    </row>
    <row r="2227" spans="1:12" x14ac:dyDescent="0.25">
      <c r="A2227" t="str">
        <f t="shared" si="470"/>
        <v>89301000</v>
      </c>
      <c r="B2227" t="str">
        <f t="shared" si="478"/>
        <v>65537524</v>
      </c>
      <c r="C2227" t="str">
        <f t="shared" si="478"/>
        <v>65537524</v>
      </c>
      <c r="D2227" t="str">
        <f t="shared" si="479"/>
        <v>801</v>
      </c>
      <c r="E2227" t="str">
        <f t="shared" si="480"/>
        <v>89301162</v>
      </c>
      <c r="F2227" t="str">
        <f t="shared" si="481"/>
        <v>7862114469</v>
      </c>
      <c r="G2227" s="1">
        <v>44645</v>
      </c>
      <c r="H2227" t="str">
        <f>"81357"</f>
        <v>81357</v>
      </c>
      <c r="I2227">
        <v>1</v>
      </c>
      <c r="J2227">
        <v>19</v>
      </c>
      <c r="K2227">
        <v>0</v>
      </c>
      <c r="L2227">
        <v>14.82</v>
      </c>
    </row>
    <row r="2228" spans="1:12" x14ac:dyDescent="0.25">
      <c r="A2228" t="str">
        <f t="shared" si="470"/>
        <v>89301000</v>
      </c>
      <c r="B2228" t="str">
        <f t="shared" si="478"/>
        <v>65537524</v>
      </c>
      <c r="C2228" t="str">
        <f t="shared" si="478"/>
        <v>65537524</v>
      </c>
      <c r="D2228" t="str">
        <f t="shared" si="479"/>
        <v>801</v>
      </c>
      <c r="E2228" t="str">
        <f t="shared" si="480"/>
        <v>89301162</v>
      </c>
      <c r="F2228" t="str">
        <f t="shared" si="481"/>
        <v>7862114469</v>
      </c>
      <c r="G2228" s="1">
        <v>44645</v>
      </c>
      <c r="H2228" t="str">
        <f>"81435"</f>
        <v>81435</v>
      </c>
      <c r="I2228">
        <v>1</v>
      </c>
      <c r="J2228">
        <v>22</v>
      </c>
      <c r="K2228">
        <v>0</v>
      </c>
      <c r="L2228">
        <v>17.16</v>
      </c>
    </row>
    <row r="2229" spans="1:12" x14ac:dyDescent="0.25">
      <c r="A2229" t="str">
        <f t="shared" si="470"/>
        <v>89301000</v>
      </c>
      <c r="B2229" t="str">
        <f t="shared" si="478"/>
        <v>65537524</v>
      </c>
      <c r="C2229" t="str">
        <f t="shared" si="478"/>
        <v>65537524</v>
      </c>
      <c r="D2229" t="str">
        <f t="shared" si="479"/>
        <v>801</v>
      </c>
      <c r="E2229" t="str">
        <f t="shared" si="480"/>
        <v>89301162</v>
      </c>
      <c r="F2229" t="str">
        <f t="shared" si="481"/>
        <v>7862114469</v>
      </c>
      <c r="G2229" s="1">
        <v>44645</v>
      </c>
      <c r="H2229" t="str">
        <f>"81421"</f>
        <v>81421</v>
      </c>
      <c r="I2229">
        <v>1</v>
      </c>
      <c r="J2229">
        <v>19</v>
      </c>
      <c r="K2229">
        <v>0</v>
      </c>
      <c r="L2229">
        <v>14.82</v>
      </c>
    </row>
    <row r="2230" spans="1:12" x14ac:dyDescent="0.25">
      <c r="A2230" t="str">
        <f t="shared" si="470"/>
        <v>89301000</v>
      </c>
      <c r="B2230" t="str">
        <f t="shared" ref="B2230:C2234" si="482">"89345401"</f>
        <v>89345401</v>
      </c>
      <c r="C2230" t="str">
        <f t="shared" si="482"/>
        <v>89345401</v>
      </c>
      <c r="D2230" t="str">
        <f t="shared" ref="D2230:D2261" si="483">"809"</f>
        <v>809</v>
      </c>
      <c r="E2230" t="str">
        <f t="shared" ref="E2230:E2236" si="484">"89301212"</f>
        <v>89301212</v>
      </c>
      <c r="F2230" t="str">
        <f>"5512051512"</f>
        <v>5512051512</v>
      </c>
      <c r="G2230" s="1">
        <v>44628</v>
      </c>
      <c r="H2230" t="str">
        <f>"89513"</f>
        <v>89513</v>
      </c>
      <c r="I2230">
        <v>1</v>
      </c>
      <c r="J2230">
        <v>371</v>
      </c>
      <c r="K2230">
        <v>0</v>
      </c>
      <c r="L2230">
        <v>519.4</v>
      </c>
    </row>
    <row r="2231" spans="1:12" x14ac:dyDescent="0.25">
      <c r="A2231" t="str">
        <f t="shared" si="470"/>
        <v>89301000</v>
      </c>
      <c r="B2231" t="str">
        <f t="shared" si="482"/>
        <v>89345401</v>
      </c>
      <c r="C2231" t="str">
        <f t="shared" si="482"/>
        <v>89345401</v>
      </c>
      <c r="D2231" t="str">
        <f t="shared" si="483"/>
        <v>809</v>
      </c>
      <c r="E2231" t="str">
        <f t="shared" si="484"/>
        <v>89301212</v>
      </c>
      <c r="F2231" t="str">
        <f>"5512051512"</f>
        <v>5512051512</v>
      </c>
      <c r="G2231" s="1">
        <v>44628</v>
      </c>
      <c r="H2231" t="str">
        <f>"89514"</f>
        <v>89514</v>
      </c>
      <c r="I2231">
        <v>1</v>
      </c>
      <c r="J2231">
        <v>371</v>
      </c>
      <c r="K2231">
        <v>0</v>
      </c>
      <c r="L2231">
        <v>519.4</v>
      </c>
    </row>
    <row r="2232" spans="1:12" x14ac:dyDescent="0.25">
      <c r="A2232" t="str">
        <f t="shared" si="470"/>
        <v>89301000</v>
      </c>
      <c r="B2232" t="str">
        <f t="shared" si="482"/>
        <v>89345401</v>
      </c>
      <c r="C2232" t="str">
        <f t="shared" si="482"/>
        <v>89345401</v>
      </c>
      <c r="D2232" t="str">
        <f t="shared" si="483"/>
        <v>809</v>
      </c>
      <c r="E2232" t="str">
        <f t="shared" si="484"/>
        <v>89301212</v>
      </c>
      <c r="F2232" t="str">
        <f>"5512051512"</f>
        <v>5512051512</v>
      </c>
      <c r="G2232" s="1">
        <v>44628</v>
      </c>
      <c r="H2232" t="str">
        <f>"89131"</f>
        <v>89131</v>
      </c>
      <c r="I2232">
        <v>1</v>
      </c>
      <c r="J2232">
        <v>187</v>
      </c>
      <c r="K2232">
        <v>0</v>
      </c>
      <c r="L2232">
        <v>261.8</v>
      </c>
    </row>
    <row r="2233" spans="1:12" x14ac:dyDescent="0.25">
      <c r="A2233" t="str">
        <f t="shared" si="470"/>
        <v>89301000</v>
      </c>
      <c r="B2233" t="str">
        <f t="shared" si="482"/>
        <v>89345401</v>
      </c>
      <c r="C2233" t="str">
        <f t="shared" si="482"/>
        <v>89345401</v>
      </c>
      <c r="D2233" t="str">
        <f t="shared" si="483"/>
        <v>809</v>
      </c>
      <c r="E2233" t="str">
        <f t="shared" si="484"/>
        <v>89301212</v>
      </c>
      <c r="F2233" t="str">
        <f>"7251235376"</f>
        <v>7251235376</v>
      </c>
      <c r="G2233" s="1">
        <v>44645</v>
      </c>
      <c r="H2233" t="str">
        <f>"89513"</f>
        <v>89513</v>
      </c>
      <c r="I2233">
        <v>1</v>
      </c>
      <c r="J2233">
        <v>371</v>
      </c>
      <c r="K2233">
        <v>0</v>
      </c>
      <c r="L2233">
        <v>519.4</v>
      </c>
    </row>
    <row r="2234" spans="1:12" x14ac:dyDescent="0.25">
      <c r="A2234" t="str">
        <f t="shared" si="470"/>
        <v>89301000</v>
      </c>
      <c r="B2234" t="str">
        <f t="shared" si="482"/>
        <v>89345401</v>
      </c>
      <c r="C2234" t="str">
        <f t="shared" si="482"/>
        <v>89345401</v>
      </c>
      <c r="D2234" t="str">
        <f t="shared" si="483"/>
        <v>809</v>
      </c>
      <c r="E2234" t="str">
        <f t="shared" si="484"/>
        <v>89301212</v>
      </c>
      <c r="F2234" t="str">
        <f>"7251235376"</f>
        <v>7251235376</v>
      </c>
      <c r="G2234" s="1">
        <v>44645</v>
      </c>
      <c r="H2234" t="str">
        <f>"89514"</f>
        <v>89514</v>
      </c>
      <c r="I2234">
        <v>1</v>
      </c>
      <c r="J2234">
        <v>371</v>
      </c>
      <c r="K2234">
        <v>0</v>
      </c>
      <c r="L2234">
        <v>519.4</v>
      </c>
    </row>
    <row r="2235" spans="1:12" x14ac:dyDescent="0.25">
      <c r="A2235" t="str">
        <f t="shared" si="470"/>
        <v>89301000</v>
      </c>
      <c r="B2235" t="str">
        <f t="shared" ref="B2235:B2243" si="485">"02384000"</f>
        <v>02384000</v>
      </c>
      <c r="C2235" t="str">
        <f t="shared" ref="C2235:C2243" si="486">"02384007"</f>
        <v>02384007</v>
      </c>
      <c r="D2235" t="str">
        <f t="shared" si="483"/>
        <v>809</v>
      </c>
      <c r="E2235" t="str">
        <f t="shared" si="484"/>
        <v>89301212</v>
      </c>
      <c r="F2235" t="str">
        <f>"485810414"</f>
        <v>485810414</v>
      </c>
      <c r="G2235" s="1">
        <v>44651</v>
      </c>
      <c r="H2235" t="str">
        <f>"89513"</f>
        <v>89513</v>
      </c>
      <c r="I2235">
        <v>1</v>
      </c>
      <c r="J2235">
        <v>371</v>
      </c>
      <c r="K2235">
        <v>0</v>
      </c>
      <c r="L2235">
        <v>519.4</v>
      </c>
    </row>
    <row r="2236" spans="1:12" x14ac:dyDescent="0.25">
      <c r="A2236" t="str">
        <f t="shared" si="470"/>
        <v>89301000</v>
      </c>
      <c r="B2236" t="str">
        <f t="shared" si="485"/>
        <v>02384000</v>
      </c>
      <c r="C2236" t="str">
        <f t="shared" si="486"/>
        <v>02384007</v>
      </c>
      <c r="D2236" t="str">
        <f t="shared" si="483"/>
        <v>809</v>
      </c>
      <c r="E2236" t="str">
        <f t="shared" si="484"/>
        <v>89301212</v>
      </c>
      <c r="F2236" t="str">
        <f>"485810414"</f>
        <v>485810414</v>
      </c>
      <c r="G2236" s="1">
        <v>44651</v>
      </c>
      <c r="H2236" t="str">
        <f>"89514"</f>
        <v>89514</v>
      </c>
      <c r="I2236">
        <v>1</v>
      </c>
      <c r="J2236">
        <v>371</v>
      </c>
      <c r="K2236">
        <v>0</v>
      </c>
      <c r="L2236">
        <v>519.4</v>
      </c>
    </row>
    <row r="2237" spans="1:12" x14ac:dyDescent="0.25">
      <c r="A2237" t="str">
        <f t="shared" si="470"/>
        <v>89301000</v>
      </c>
      <c r="B2237" t="str">
        <f t="shared" si="485"/>
        <v>02384000</v>
      </c>
      <c r="C2237" t="str">
        <f t="shared" si="486"/>
        <v>02384007</v>
      </c>
      <c r="D2237" t="str">
        <f t="shared" si="483"/>
        <v>809</v>
      </c>
      <c r="E2237" t="str">
        <f t="shared" ref="E2237:E2242" si="487">"89301037"</f>
        <v>89301037</v>
      </c>
      <c r="F2237" t="str">
        <f>"5759140398"</f>
        <v>5759140398</v>
      </c>
      <c r="G2237" s="1">
        <v>44623</v>
      </c>
      <c r="H2237" t="str">
        <f>"89119"</f>
        <v>89119</v>
      </c>
      <c r="I2237">
        <v>1</v>
      </c>
      <c r="J2237">
        <v>200</v>
      </c>
      <c r="K2237">
        <v>0</v>
      </c>
      <c r="L2237">
        <v>280</v>
      </c>
    </row>
    <row r="2238" spans="1:12" x14ac:dyDescent="0.25">
      <c r="A2238" t="str">
        <f t="shared" si="470"/>
        <v>89301000</v>
      </c>
      <c r="B2238" t="str">
        <f t="shared" si="485"/>
        <v>02384000</v>
      </c>
      <c r="C2238" t="str">
        <f t="shared" si="486"/>
        <v>02384007</v>
      </c>
      <c r="D2238" t="str">
        <f t="shared" si="483"/>
        <v>809</v>
      </c>
      <c r="E2238" t="str">
        <f t="shared" si="487"/>
        <v>89301037</v>
      </c>
      <c r="F2238" t="str">
        <f>"5759140398"</f>
        <v>5759140398</v>
      </c>
      <c r="G2238" s="1">
        <v>44623</v>
      </c>
      <c r="H2238" t="str">
        <f>"89119"</f>
        <v>89119</v>
      </c>
      <c r="I2238">
        <v>1</v>
      </c>
      <c r="J2238">
        <v>200</v>
      </c>
      <c r="K2238">
        <v>0</v>
      </c>
      <c r="L2238">
        <v>280</v>
      </c>
    </row>
    <row r="2239" spans="1:12" x14ac:dyDescent="0.25">
      <c r="A2239" t="str">
        <f t="shared" si="470"/>
        <v>89301000</v>
      </c>
      <c r="B2239" t="str">
        <f t="shared" si="485"/>
        <v>02384000</v>
      </c>
      <c r="C2239" t="str">
        <f t="shared" si="486"/>
        <v>02384007</v>
      </c>
      <c r="D2239" t="str">
        <f t="shared" si="483"/>
        <v>809</v>
      </c>
      <c r="E2239" t="str">
        <f t="shared" si="487"/>
        <v>89301037</v>
      </c>
      <c r="F2239" t="str">
        <f>"5761190622"</f>
        <v>5761190622</v>
      </c>
      <c r="G2239" s="1">
        <v>44637</v>
      </c>
      <c r="H2239" t="str">
        <f>"89312"</f>
        <v>89312</v>
      </c>
      <c r="I2239">
        <v>1</v>
      </c>
      <c r="J2239">
        <v>302</v>
      </c>
      <c r="K2239">
        <v>0</v>
      </c>
      <c r="L2239">
        <v>317.10000000000002</v>
      </c>
    </row>
    <row r="2240" spans="1:12" x14ac:dyDescent="0.25">
      <c r="A2240" t="str">
        <f t="shared" si="470"/>
        <v>89301000</v>
      </c>
      <c r="B2240" t="str">
        <f t="shared" si="485"/>
        <v>02384000</v>
      </c>
      <c r="C2240" t="str">
        <f t="shared" si="486"/>
        <v>02384007</v>
      </c>
      <c r="D2240" t="str">
        <f t="shared" si="483"/>
        <v>809</v>
      </c>
      <c r="E2240" t="str">
        <f t="shared" si="487"/>
        <v>89301037</v>
      </c>
      <c r="F2240" t="str">
        <f>"5761190622"</f>
        <v>5761190622</v>
      </c>
      <c r="G2240" s="1">
        <v>44637</v>
      </c>
      <c r="H2240" t="str">
        <f>"89312"</f>
        <v>89312</v>
      </c>
      <c r="I2240">
        <v>2</v>
      </c>
      <c r="J2240">
        <v>604</v>
      </c>
      <c r="K2240">
        <v>0</v>
      </c>
      <c r="L2240">
        <v>634.20000000000005</v>
      </c>
    </row>
    <row r="2241" spans="1:12" x14ac:dyDescent="0.25">
      <c r="A2241" t="str">
        <f t="shared" si="470"/>
        <v>89301000</v>
      </c>
      <c r="B2241" t="str">
        <f t="shared" si="485"/>
        <v>02384000</v>
      </c>
      <c r="C2241" t="str">
        <f t="shared" si="486"/>
        <v>02384007</v>
      </c>
      <c r="D2241" t="str">
        <f t="shared" si="483"/>
        <v>809</v>
      </c>
      <c r="E2241" t="str">
        <f t="shared" si="487"/>
        <v>89301037</v>
      </c>
      <c r="F2241" t="str">
        <f>"5856062223"</f>
        <v>5856062223</v>
      </c>
      <c r="G2241" s="1">
        <v>44636</v>
      </c>
      <c r="H2241" t="str">
        <f>"89312"</f>
        <v>89312</v>
      </c>
      <c r="I2241">
        <v>1</v>
      </c>
      <c r="J2241">
        <v>302</v>
      </c>
      <c r="K2241">
        <v>0</v>
      </c>
      <c r="L2241">
        <v>317.10000000000002</v>
      </c>
    </row>
    <row r="2242" spans="1:12" x14ac:dyDescent="0.25">
      <c r="A2242" t="str">
        <f t="shared" ref="A2242:A2305" si="488">"89301000"</f>
        <v>89301000</v>
      </c>
      <c r="B2242" t="str">
        <f t="shared" si="485"/>
        <v>02384000</v>
      </c>
      <c r="C2242" t="str">
        <f t="shared" si="486"/>
        <v>02384007</v>
      </c>
      <c r="D2242" t="str">
        <f t="shared" si="483"/>
        <v>809</v>
      </c>
      <c r="E2242" t="str">
        <f t="shared" si="487"/>
        <v>89301037</v>
      </c>
      <c r="F2242" t="str">
        <f>"5856062223"</f>
        <v>5856062223</v>
      </c>
      <c r="G2242" s="1">
        <v>44636</v>
      </c>
      <c r="H2242" t="str">
        <f>"89312"</f>
        <v>89312</v>
      </c>
      <c r="I2242">
        <v>2</v>
      </c>
      <c r="J2242">
        <v>604</v>
      </c>
      <c r="K2242">
        <v>0</v>
      </c>
      <c r="L2242">
        <v>634.20000000000005</v>
      </c>
    </row>
    <row r="2243" spans="1:12" x14ac:dyDescent="0.25">
      <c r="A2243" t="str">
        <f t="shared" si="488"/>
        <v>89301000</v>
      </c>
      <c r="B2243" t="str">
        <f t="shared" si="485"/>
        <v>02384000</v>
      </c>
      <c r="C2243" t="str">
        <f t="shared" si="486"/>
        <v>02384007</v>
      </c>
      <c r="D2243" t="str">
        <f t="shared" si="483"/>
        <v>809</v>
      </c>
      <c r="E2243" t="str">
        <f t="shared" ref="E2243:E2250" si="489">"89301212"</f>
        <v>89301212</v>
      </c>
      <c r="F2243" t="str">
        <f>"5753100045"</f>
        <v>5753100045</v>
      </c>
      <c r="G2243" s="1">
        <v>44641</v>
      </c>
      <c r="H2243" t="str">
        <f>"89131"</f>
        <v>89131</v>
      </c>
      <c r="I2243">
        <v>1</v>
      </c>
      <c r="J2243">
        <v>187</v>
      </c>
      <c r="K2243">
        <v>0</v>
      </c>
      <c r="L2243">
        <v>261.8</v>
      </c>
    </row>
    <row r="2244" spans="1:12" x14ac:dyDescent="0.25">
      <c r="A2244" t="str">
        <f t="shared" si="488"/>
        <v>89301000</v>
      </c>
      <c r="B2244" t="str">
        <f t="shared" ref="B2244:B2284" si="490">"89895000"</f>
        <v>89895000</v>
      </c>
      <c r="C2244" t="str">
        <f t="shared" ref="C2244:C2284" si="491">"89895002"</f>
        <v>89895002</v>
      </c>
      <c r="D2244" t="str">
        <f t="shared" si="483"/>
        <v>809</v>
      </c>
      <c r="E2244" t="str">
        <f t="shared" si="489"/>
        <v>89301212</v>
      </c>
      <c r="F2244" t="str">
        <f>"356205759"</f>
        <v>356205759</v>
      </c>
      <c r="G2244" s="1">
        <v>44634</v>
      </c>
      <c r="H2244" t="str">
        <f>"89512"</f>
        <v>89512</v>
      </c>
      <c r="I2244">
        <v>1</v>
      </c>
      <c r="J2244">
        <v>277</v>
      </c>
      <c r="K2244">
        <v>0</v>
      </c>
      <c r="L2244">
        <v>387.8</v>
      </c>
    </row>
    <row r="2245" spans="1:12" x14ac:dyDescent="0.25">
      <c r="A2245" t="str">
        <f t="shared" si="488"/>
        <v>89301000</v>
      </c>
      <c r="B2245" t="str">
        <f t="shared" si="490"/>
        <v>89895000</v>
      </c>
      <c r="C2245" t="str">
        <f t="shared" si="491"/>
        <v>89895002</v>
      </c>
      <c r="D2245" t="str">
        <f t="shared" si="483"/>
        <v>809</v>
      </c>
      <c r="E2245" t="str">
        <f t="shared" si="489"/>
        <v>89301212</v>
      </c>
      <c r="F2245" t="str">
        <f>"356205759"</f>
        <v>356205759</v>
      </c>
      <c r="G2245" s="1">
        <v>44634</v>
      </c>
      <c r="H2245" t="str">
        <f>"89180"</f>
        <v>89180</v>
      </c>
      <c r="I2245">
        <v>2</v>
      </c>
      <c r="J2245">
        <v>752</v>
      </c>
      <c r="K2245">
        <v>0</v>
      </c>
      <c r="L2245">
        <v>1052.8</v>
      </c>
    </row>
    <row r="2246" spans="1:12" x14ac:dyDescent="0.25">
      <c r="A2246" t="str">
        <f t="shared" si="488"/>
        <v>89301000</v>
      </c>
      <c r="B2246" t="str">
        <f t="shared" si="490"/>
        <v>89895000</v>
      </c>
      <c r="C2246" t="str">
        <f t="shared" si="491"/>
        <v>89895002</v>
      </c>
      <c r="D2246" t="str">
        <f t="shared" si="483"/>
        <v>809</v>
      </c>
      <c r="E2246" t="str">
        <f t="shared" si="489"/>
        <v>89301212</v>
      </c>
      <c r="F2246" t="str">
        <f>"436219474"</f>
        <v>436219474</v>
      </c>
      <c r="G2246" s="1">
        <v>44642</v>
      </c>
      <c r="H2246" t="str">
        <f>"89513"</f>
        <v>89513</v>
      </c>
      <c r="I2246">
        <v>1</v>
      </c>
      <c r="J2246">
        <v>371</v>
      </c>
      <c r="K2246">
        <v>0</v>
      </c>
      <c r="L2246">
        <v>519.4</v>
      </c>
    </row>
    <row r="2247" spans="1:12" x14ac:dyDescent="0.25">
      <c r="A2247" t="str">
        <f t="shared" si="488"/>
        <v>89301000</v>
      </c>
      <c r="B2247" t="str">
        <f t="shared" si="490"/>
        <v>89895000</v>
      </c>
      <c r="C2247" t="str">
        <f t="shared" si="491"/>
        <v>89895002</v>
      </c>
      <c r="D2247" t="str">
        <f t="shared" si="483"/>
        <v>809</v>
      </c>
      <c r="E2247" t="str">
        <f t="shared" si="489"/>
        <v>89301212</v>
      </c>
      <c r="F2247" t="str">
        <f>"436219474"</f>
        <v>436219474</v>
      </c>
      <c r="G2247" s="1">
        <v>44642</v>
      </c>
      <c r="H2247" t="str">
        <f>"89514"</f>
        <v>89514</v>
      </c>
      <c r="I2247">
        <v>1</v>
      </c>
      <c r="J2247">
        <v>371</v>
      </c>
      <c r="K2247">
        <v>0</v>
      </c>
      <c r="L2247">
        <v>519.4</v>
      </c>
    </row>
    <row r="2248" spans="1:12" x14ac:dyDescent="0.25">
      <c r="A2248" t="str">
        <f t="shared" si="488"/>
        <v>89301000</v>
      </c>
      <c r="B2248" t="str">
        <f t="shared" si="490"/>
        <v>89895000</v>
      </c>
      <c r="C2248" t="str">
        <f t="shared" si="491"/>
        <v>89895002</v>
      </c>
      <c r="D2248" t="str">
        <f t="shared" si="483"/>
        <v>809</v>
      </c>
      <c r="E2248" t="str">
        <f t="shared" si="489"/>
        <v>89301212</v>
      </c>
      <c r="F2248" t="str">
        <f>"455512476"</f>
        <v>455512476</v>
      </c>
      <c r="G2248" s="1">
        <v>44629</v>
      </c>
      <c r="H2248" t="str">
        <f>"89512"</f>
        <v>89512</v>
      </c>
      <c r="I2248">
        <v>1</v>
      </c>
      <c r="J2248">
        <v>277</v>
      </c>
      <c r="K2248">
        <v>0</v>
      </c>
      <c r="L2248">
        <v>387.8</v>
      </c>
    </row>
    <row r="2249" spans="1:12" x14ac:dyDescent="0.25">
      <c r="A2249" t="str">
        <f t="shared" si="488"/>
        <v>89301000</v>
      </c>
      <c r="B2249" t="str">
        <f t="shared" si="490"/>
        <v>89895000</v>
      </c>
      <c r="C2249" t="str">
        <f t="shared" si="491"/>
        <v>89895002</v>
      </c>
      <c r="D2249" t="str">
        <f t="shared" si="483"/>
        <v>809</v>
      </c>
      <c r="E2249" t="str">
        <f t="shared" si="489"/>
        <v>89301212</v>
      </c>
      <c r="F2249" t="str">
        <f>"455512476"</f>
        <v>455512476</v>
      </c>
      <c r="G2249" s="1">
        <v>44629</v>
      </c>
      <c r="H2249" t="str">
        <f>"89313"</f>
        <v>89313</v>
      </c>
      <c r="I2249">
        <v>1</v>
      </c>
      <c r="J2249">
        <v>406</v>
      </c>
      <c r="K2249">
        <v>0</v>
      </c>
      <c r="L2249">
        <v>568.4</v>
      </c>
    </row>
    <row r="2250" spans="1:12" x14ac:dyDescent="0.25">
      <c r="A2250" t="str">
        <f t="shared" si="488"/>
        <v>89301000</v>
      </c>
      <c r="B2250" t="str">
        <f t="shared" si="490"/>
        <v>89895000</v>
      </c>
      <c r="C2250" t="str">
        <f t="shared" si="491"/>
        <v>89895002</v>
      </c>
      <c r="D2250" t="str">
        <f t="shared" si="483"/>
        <v>809</v>
      </c>
      <c r="E2250" t="str">
        <f t="shared" si="489"/>
        <v>89301212</v>
      </c>
      <c r="F2250" t="str">
        <f>"475419412"</f>
        <v>475419412</v>
      </c>
      <c r="G2250" s="1">
        <v>44624</v>
      </c>
      <c r="H2250" t="str">
        <f>"89512"</f>
        <v>89512</v>
      </c>
      <c r="I2250">
        <v>1</v>
      </c>
      <c r="J2250">
        <v>277</v>
      </c>
      <c r="K2250">
        <v>0</v>
      </c>
      <c r="L2250">
        <v>387.8</v>
      </c>
    </row>
    <row r="2251" spans="1:12" x14ac:dyDescent="0.25">
      <c r="A2251" t="str">
        <f t="shared" si="488"/>
        <v>89301000</v>
      </c>
      <c r="B2251" t="str">
        <f t="shared" si="490"/>
        <v>89895000</v>
      </c>
      <c r="C2251" t="str">
        <f t="shared" si="491"/>
        <v>89895002</v>
      </c>
      <c r="D2251" t="str">
        <f t="shared" si="483"/>
        <v>809</v>
      </c>
      <c r="E2251" t="str">
        <f>"89301202"</f>
        <v>89301202</v>
      </c>
      <c r="F2251" t="str">
        <f>"485706224"</f>
        <v>485706224</v>
      </c>
      <c r="G2251" s="1">
        <v>44630</v>
      </c>
      <c r="H2251" t="str">
        <f>"09135"</f>
        <v>09135</v>
      </c>
      <c r="I2251">
        <v>1</v>
      </c>
      <c r="J2251">
        <v>174</v>
      </c>
      <c r="K2251">
        <v>0</v>
      </c>
      <c r="L2251">
        <v>243.6</v>
      </c>
    </row>
    <row r="2252" spans="1:12" x14ac:dyDescent="0.25">
      <c r="A2252" t="str">
        <f t="shared" si="488"/>
        <v>89301000</v>
      </c>
      <c r="B2252" t="str">
        <f t="shared" si="490"/>
        <v>89895000</v>
      </c>
      <c r="C2252" t="str">
        <f t="shared" si="491"/>
        <v>89895002</v>
      </c>
      <c r="D2252" t="str">
        <f t="shared" si="483"/>
        <v>809</v>
      </c>
      <c r="E2252" t="str">
        <f t="shared" ref="E2252:E2284" si="492">"89301212"</f>
        <v>89301212</v>
      </c>
      <c r="F2252" t="str">
        <f t="shared" ref="F2252:F2264" si="493">"535703124"</f>
        <v>535703124</v>
      </c>
      <c r="G2252" s="1">
        <v>44624</v>
      </c>
      <c r="H2252" t="str">
        <f>"89180"</f>
        <v>89180</v>
      </c>
      <c r="I2252">
        <v>2</v>
      </c>
      <c r="J2252">
        <v>752</v>
      </c>
      <c r="K2252">
        <v>0</v>
      </c>
      <c r="L2252">
        <v>1052.8</v>
      </c>
    </row>
    <row r="2253" spans="1:12" x14ac:dyDescent="0.25">
      <c r="A2253" t="str">
        <f t="shared" si="488"/>
        <v>89301000</v>
      </c>
      <c r="B2253" t="str">
        <f t="shared" si="490"/>
        <v>89895000</v>
      </c>
      <c r="C2253" t="str">
        <f t="shared" si="491"/>
        <v>89895002</v>
      </c>
      <c r="D2253" t="str">
        <f t="shared" si="483"/>
        <v>809</v>
      </c>
      <c r="E2253" t="str">
        <f t="shared" si="492"/>
        <v>89301212</v>
      </c>
      <c r="F2253" t="str">
        <f t="shared" si="493"/>
        <v>535703124</v>
      </c>
      <c r="G2253" s="1">
        <v>44624</v>
      </c>
      <c r="H2253" t="str">
        <f>"89512"</f>
        <v>89512</v>
      </c>
      <c r="I2253">
        <v>1</v>
      </c>
      <c r="J2253">
        <v>277</v>
      </c>
      <c r="K2253">
        <v>0</v>
      </c>
      <c r="L2253">
        <v>387.8</v>
      </c>
    </row>
    <row r="2254" spans="1:12" x14ac:dyDescent="0.25">
      <c r="A2254" t="str">
        <f t="shared" si="488"/>
        <v>89301000</v>
      </c>
      <c r="B2254" t="str">
        <f t="shared" si="490"/>
        <v>89895000</v>
      </c>
      <c r="C2254" t="str">
        <f t="shared" si="491"/>
        <v>89895002</v>
      </c>
      <c r="D2254" t="str">
        <f t="shared" si="483"/>
        <v>809</v>
      </c>
      <c r="E2254" t="str">
        <f t="shared" si="492"/>
        <v>89301212</v>
      </c>
      <c r="F2254" t="str">
        <f t="shared" si="493"/>
        <v>535703124</v>
      </c>
      <c r="G2254" s="1">
        <v>44624</v>
      </c>
      <c r="H2254" t="str">
        <f>"09511"</f>
        <v>09511</v>
      </c>
      <c r="I2254">
        <v>1</v>
      </c>
      <c r="J2254">
        <v>43</v>
      </c>
      <c r="K2254">
        <v>0</v>
      </c>
      <c r="L2254">
        <v>60.2</v>
      </c>
    </row>
    <row r="2255" spans="1:12" x14ac:dyDescent="0.25">
      <c r="A2255" t="str">
        <f t="shared" si="488"/>
        <v>89301000</v>
      </c>
      <c r="B2255" t="str">
        <f t="shared" si="490"/>
        <v>89895000</v>
      </c>
      <c r="C2255" t="str">
        <f t="shared" si="491"/>
        <v>89895002</v>
      </c>
      <c r="D2255" t="str">
        <f t="shared" si="483"/>
        <v>809</v>
      </c>
      <c r="E2255" t="str">
        <f t="shared" si="492"/>
        <v>89301212</v>
      </c>
      <c r="F2255" t="str">
        <f t="shared" si="493"/>
        <v>535703124</v>
      </c>
      <c r="G2255" s="1">
        <v>44631</v>
      </c>
      <c r="H2255" t="str">
        <f>"89512"</f>
        <v>89512</v>
      </c>
      <c r="I2255">
        <v>1</v>
      </c>
      <c r="J2255">
        <v>277</v>
      </c>
      <c r="K2255">
        <v>0</v>
      </c>
      <c r="L2255">
        <v>387.8</v>
      </c>
    </row>
    <row r="2256" spans="1:12" x14ac:dyDescent="0.25">
      <c r="A2256" t="str">
        <f t="shared" si="488"/>
        <v>89301000</v>
      </c>
      <c r="B2256" t="str">
        <f t="shared" si="490"/>
        <v>89895000</v>
      </c>
      <c r="C2256" t="str">
        <f t="shared" si="491"/>
        <v>89895002</v>
      </c>
      <c r="D2256" t="str">
        <f t="shared" si="483"/>
        <v>809</v>
      </c>
      <c r="E2256" t="str">
        <f t="shared" si="492"/>
        <v>89301212</v>
      </c>
      <c r="F2256" t="str">
        <f t="shared" si="493"/>
        <v>535703124</v>
      </c>
      <c r="G2256" s="1">
        <v>44631</v>
      </c>
      <c r="H2256" t="str">
        <f>"89313"</f>
        <v>89313</v>
      </c>
      <c r="I2256">
        <v>1</v>
      </c>
      <c r="J2256">
        <v>406</v>
      </c>
      <c r="K2256">
        <v>0</v>
      </c>
      <c r="L2256">
        <v>568.4</v>
      </c>
    </row>
    <row r="2257" spans="1:12" x14ac:dyDescent="0.25">
      <c r="A2257" t="str">
        <f t="shared" si="488"/>
        <v>89301000</v>
      </c>
      <c r="B2257" t="str">
        <f t="shared" si="490"/>
        <v>89895000</v>
      </c>
      <c r="C2257" t="str">
        <f t="shared" si="491"/>
        <v>89895002</v>
      </c>
      <c r="D2257" t="str">
        <f t="shared" si="483"/>
        <v>809</v>
      </c>
      <c r="E2257" t="str">
        <f t="shared" si="492"/>
        <v>89301212</v>
      </c>
      <c r="F2257" t="str">
        <f t="shared" si="493"/>
        <v>535703124</v>
      </c>
      <c r="G2257" s="1">
        <v>44631</v>
      </c>
      <c r="H2257" t="str">
        <f>"09511"</f>
        <v>09511</v>
      </c>
      <c r="I2257">
        <v>1</v>
      </c>
      <c r="J2257">
        <v>43</v>
      </c>
      <c r="K2257">
        <v>0</v>
      </c>
      <c r="L2257">
        <v>60.2</v>
      </c>
    </row>
    <row r="2258" spans="1:12" x14ac:dyDescent="0.25">
      <c r="A2258" t="str">
        <f t="shared" si="488"/>
        <v>89301000</v>
      </c>
      <c r="B2258" t="str">
        <f t="shared" si="490"/>
        <v>89895000</v>
      </c>
      <c r="C2258" t="str">
        <f t="shared" si="491"/>
        <v>89895002</v>
      </c>
      <c r="D2258" t="str">
        <f t="shared" si="483"/>
        <v>809</v>
      </c>
      <c r="E2258" t="str">
        <f t="shared" si="492"/>
        <v>89301212</v>
      </c>
      <c r="F2258" t="str">
        <f t="shared" si="493"/>
        <v>535703124</v>
      </c>
      <c r="G2258" s="1">
        <v>44631</v>
      </c>
      <c r="H2258" t="str">
        <f>"09523"</f>
        <v>09523</v>
      </c>
      <c r="I2258">
        <v>1</v>
      </c>
      <c r="J2258">
        <v>261</v>
      </c>
      <c r="K2258">
        <v>0</v>
      </c>
      <c r="L2258">
        <v>365.4</v>
      </c>
    </row>
    <row r="2259" spans="1:12" x14ac:dyDescent="0.25">
      <c r="A2259" t="str">
        <f t="shared" si="488"/>
        <v>89301000</v>
      </c>
      <c r="B2259" t="str">
        <f t="shared" si="490"/>
        <v>89895000</v>
      </c>
      <c r="C2259" t="str">
        <f t="shared" si="491"/>
        <v>89895002</v>
      </c>
      <c r="D2259" t="str">
        <f t="shared" si="483"/>
        <v>809</v>
      </c>
      <c r="E2259" t="str">
        <f t="shared" si="492"/>
        <v>89301212</v>
      </c>
      <c r="F2259" t="str">
        <f t="shared" si="493"/>
        <v>535703124</v>
      </c>
      <c r="G2259" s="1">
        <v>44631</v>
      </c>
      <c r="H2259" t="str">
        <f>"89180"</f>
        <v>89180</v>
      </c>
      <c r="I2259">
        <v>1</v>
      </c>
      <c r="J2259">
        <v>376</v>
      </c>
      <c r="K2259">
        <v>0</v>
      </c>
      <c r="L2259">
        <v>526.4</v>
      </c>
    </row>
    <row r="2260" spans="1:12" x14ac:dyDescent="0.25">
      <c r="A2260" t="str">
        <f t="shared" si="488"/>
        <v>89301000</v>
      </c>
      <c r="B2260" t="str">
        <f t="shared" si="490"/>
        <v>89895000</v>
      </c>
      <c r="C2260" t="str">
        <f t="shared" si="491"/>
        <v>89895002</v>
      </c>
      <c r="D2260" t="str">
        <f t="shared" si="483"/>
        <v>809</v>
      </c>
      <c r="E2260" t="str">
        <f t="shared" si="492"/>
        <v>89301212</v>
      </c>
      <c r="F2260" t="str">
        <f t="shared" si="493"/>
        <v>535703124</v>
      </c>
      <c r="G2260" s="1">
        <v>44631</v>
      </c>
      <c r="H2260" t="str">
        <f>"89335"</f>
        <v>89335</v>
      </c>
      <c r="I2260">
        <v>1</v>
      </c>
      <c r="J2260">
        <v>180</v>
      </c>
      <c r="K2260">
        <v>0</v>
      </c>
      <c r="L2260">
        <v>252</v>
      </c>
    </row>
    <row r="2261" spans="1:12" x14ac:dyDescent="0.25">
      <c r="A2261" t="str">
        <f t="shared" si="488"/>
        <v>89301000</v>
      </c>
      <c r="B2261" t="str">
        <f t="shared" si="490"/>
        <v>89895000</v>
      </c>
      <c r="C2261" t="str">
        <f t="shared" si="491"/>
        <v>89895002</v>
      </c>
      <c r="D2261" t="str">
        <f t="shared" si="483"/>
        <v>809</v>
      </c>
      <c r="E2261" t="str">
        <f t="shared" si="492"/>
        <v>89301212</v>
      </c>
      <c r="F2261" t="str">
        <f t="shared" si="493"/>
        <v>535703124</v>
      </c>
      <c r="G2261" s="1">
        <v>44631</v>
      </c>
      <c r="H2261" t="str">
        <f>"0082409"</f>
        <v>0082409</v>
      </c>
      <c r="I2261">
        <v>1</v>
      </c>
      <c r="K2261">
        <v>702</v>
      </c>
      <c r="L2261">
        <v>702</v>
      </c>
    </row>
    <row r="2262" spans="1:12" x14ac:dyDescent="0.25">
      <c r="A2262" t="str">
        <f t="shared" si="488"/>
        <v>89301000</v>
      </c>
      <c r="B2262" t="str">
        <f t="shared" si="490"/>
        <v>89895000</v>
      </c>
      <c r="C2262" t="str">
        <f t="shared" si="491"/>
        <v>89895002</v>
      </c>
      <c r="D2262" t="str">
        <f t="shared" ref="D2262:D2297" si="494">"809"</f>
        <v>809</v>
      </c>
      <c r="E2262" t="str">
        <f t="shared" si="492"/>
        <v>89301212</v>
      </c>
      <c r="F2262" t="str">
        <f t="shared" si="493"/>
        <v>535703124</v>
      </c>
      <c r="G2262" s="1">
        <v>44631</v>
      </c>
      <c r="H2262" t="str">
        <f>"0000502"</f>
        <v>0000502</v>
      </c>
      <c r="I2262">
        <v>0.1</v>
      </c>
      <c r="K2262">
        <v>6.97</v>
      </c>
      <c r="L2262">
        <v>6.97</v>
      </c>
    </row>
    <row r="2263" spans="1:12" x14ac:dyDescent="0.25">
      <c r="A2263" t="str">
        <f t="shared" si="488"/>
        <v>89301000</v>
      </c>
      <c r="B2263" t="str">
        <f t="shared" si="490"/>
        <v>89895000</v>
      </c>
      <c r="C2263" t="str">
        <f t="shared" si="491"/>
        <v>89895002</v>
      </c>
      <c r="D2263" t="str">
        <f t="shared" si="494"/>
        <v>809</v>
      </c>
      <c r="E2263" t="str">
        <f t="shared" si="492"/>
        <v>89301212</v>
      </c>
      <c r="F2263" t="str">
        <f t="shared" si="493"/>
        <v>535703124</v>
      </c>
      <c r="G2263" s="1">
        <v>44631</v>
      </c>
      <c r="H2263" t="str">
        <f>"0000502"</f>
        <v>0000502</v>
      </c>
      <c r="I2263">
        <v>0.1</v>
      </c>
      <c r="K2263">
        <v>6.97</v>
      </c>
      <c r="L2263">
        <v>6.97</v>
      </c>
    </row>
    <row r="2264" spans="1:12" x14ac:dyDescent="0.25">
      <c r="A2264" t="str">
        <f t="shared" si="488"/>
        <v>89301000</v>
      </c>
      <c r="B2264" t="str">
        <f t="shared" si="490"/>
        <v>89895000</v>
      </c>
      <c r="C2264" t="str">
        <f t="shared" si="491"/>
        <v>89895002</v>
      </c>
      <c r="D2264" t="str">
        <f t="shared" si="494"/>
        <v>809</v>
      </c>
      <c r="E2264" t="str">
        <f t="shared" si="492"/>
        <v>89301212</v>
      </c>
      <c r="F2264" t="str">
        <f t="shared" si="493"/>
        <v>535703124</v>
      </c>
      <c r="G2264" s="1">
        <v>44631</v>
      </c>
      <c r="H2264" t="str">
        <f>"0142867"</f>
        <v>0142867</v>
      </c>
      <c r="I2264">
        <v>1</v>
      </c>
      <c r="K2264">
        <v>3080</v>
      </c>
      <c r="L2264">
        <v>3080</v>
      </c>
    </row>
    <row r="2265" spans="1:12" x14ac:dyDescent="0.25">
      <c r="A2265" t="str">
        <f t="shared" si="488"/>
        <v>89301000</v>
      </c>
      <c r="B2265" t="str">
        <f t="shared" si="490"/>
        <v>89895000</v>
      </c>
      <c r="C2265" t="str">
        <f t="shared" si="491"/>
        <v>89895002</v>
      </c>
      <c r="D2265" t="str">
        <f t="shared" si="494"/>
        <v>809</v>
      </c>
      <c r="E2265" t="str">
        <f t="shared" si="492"/>
        <v>89301212</v>
      </c>
      <c r="F2265" t="str">
        <f>"5956232249"</f>
        <v>5956232249</v>
      </c>
      <c r="G2265" s="1">
        <v>44642</v>
      </c>
      <c r="H2265" t="str">
        <f>"89513"</f>
        <v>89513</v>
      </c>
      <c r="I2265">
        <v>1</v>
      </c>
      <c r="J2265">
        <v>371</v>
      </c>
      <c r="K2265">
        <v>0</v>
      </c>
      <c r="L2265">
        <v>519.4</v>
      </c>
    </row>
    <row r="2266" spans="1:12" x14ac:dyDescent="0.25">
      <c r="A2266" t="str">
        <f t="shared" si="488"/>
        <v>89301000</v>
      </c>
      <c r="B2266" t="str">
        <f t="shared" si="490"/>
        <v>89895000</v>
      </c>
      <c r="C2266" t="str">
        <f t="shared" si="491"/>
        <v>89895002</v>
      </c>
      <c r="D2266" t="str">
        <f t="shared" si="494"/>
        <v>809</v>
      </c>
      <c r="E2266" t="str">
        <f t="shared" si="492"/>
        <v>89301212</v>
      </c>
      <c r="F2266" t="str">
        <f>"5956232249"</f>
        <v>5956232249</v>
      </c>
      <c r="G2266" s="1">
        <v>44642</v>
      </c>
      <c r="H2266" t="str">
        <f>"89514"</f>
        <v>89514</v>
      </c>
      <c r="I2266">
        <v>1</v>
      </c>
      <c r="J2266">
        <v>371</v>
      </c>
      <c r="K2266">
        <v>0</v>
      </c>
      <c r="L2266">
        <v>519.4</v>
      </c>
    </row>
    <row r="2267" spans="1:12" x14ac:dyDescent="0.25">
      <c r="A2267" t="str">
        <f t="shared" si="488"/>
        <v>89301000</v>
      </c>
      <c r="B2267" t="str">
        <f t="shared" si="490"/>
        <v>89895000</v>
      </c>
      <c r="C2267" t="str">
        <f t="shared" si="491"/>
        <v>89895002</v>
      </c>
      <c r="D2267" t="str">
        <f t="shared" si="494"/>
        <v>809</v>
      </c>
      <c r="E2267" t="str">
        <f t="shared" si="492"/>
        <v>89301212</v>
      </c>
      <c r="F2267" t="str">
        <f>"5961270799"</f>
        <v>5961270799</v>
      </c>
      <c r="G2267" s="1">
        <v>44648</v>
      </c>
      <c r="H2267" t="str">
        <f>"89513"</f>
        <v>89513</v>
      </c>
      <c r="I2267">
        <v>1</v>
      </c>
      <c r="J2267">
        <v>371</v>
      </c>
      <c r="K2267">
        <v>0</v>
      </c>
      <c r="L2267">
        <v>519.4</v>
      </c>
    </row>
    <row r="2268" spans="1:12" x14ac:dyDescent="0.25">
      <c r="A2268" t="str">
        <f t="shared" si="488"/>
        <v>89301000</v>
      </c>
      <c r="B2268" t="str">
        <f t="shared" si="490"/>
        <v>89895000</v>
      </c>
      <c r="C2268" t="str">
        <f t="shared" si="491"/>
        <v>89895002</v>
      </c>
      <c r="D2268" t="str">
        <f t="shared" si="494"/>
        <v>809</v>
      </c>
      <c r="E2268" t="str">
        <f t="shared" si="492"/>
        <v>89301212</v>
      </c>
      <c r="F2268" t="str">
        <f>"5961270799"</f>
        <v>5961270799</v>
      </c>
      <c r="G2268" s="1">
        <v>44648</v>
      </c>
      <c r="H2268" t="str">
        <f>"89514"</f>
        <v>89514</v>
      </c>
      <c r="I2268">
        <v>1</v>
      </c>
      <c r="J2268">
        <v>371</v>
      </c>
      <c r="K2268">
        <v>0</v>
      </c>
      <c r="L2268">
        <v>519.4</v>
      </c>
    </row>
    <row r="2269" spans="1:12" x14ac:dyDescent="0.25">
      <c r="A2269" t="str">
        <f t="shared" si="488"/>
        <v>89301000</v>
      </c>
      <c r="B2269" t="str">
        <f t="shared" si="490"/>
        <v>89895000</v>
      </c>
      <c r="C2269" t="str">
        <f t="shared" si="491"/>
        <v>89895002</v>
      </c>
      <c r="D2269" t="str">
        <f t="shared" si="494"/>
        <v>809</v>
      </c>
      <c r="E2269" t="str">
        <f t="shared" si="492"/>
        <v>89301212</v>
      </c>
      <c r="F2269" t="str">
        <f>"6360290673"</f>
        <v>6360290673</v>
      </c>
      <c r="G2269" s="1">
        <v>44641</v>
      </c>
      <c r="H2269" t="str">
        <f>"89180"</f>
        <v>89180</v>
      </c>
      <c r="I2269">
        <v>2</v>
      </c>
      <c r="J2269">
        <v>752</v>
      </c>
      <c r="K2269">
        <v>0</v>
      </c>
      <c r="L2269">
        <v>1052.8</v>
      </c>
    </row>
    <row r="2270" spans="1:12" x14ac:dyDescent="0.25">
      <c r="A2270" t="str">
        <f t="shared" si="488"/>
        <v>89301000</v>
      </c>
      <c r="B2270" t="str">
        <f t="shared" si="490"/>
        <v>89895000</v>
      </c>
      <c r="C2270" t="str">
        <f t="shared" si="491"/>
        <v>89895002</v>
      </c>
      <c r="D2270" t="str">
        <f t="shared" si="494"/>
        <v>809</v>
      </c>
      <c r="E2270" t="str">
        <f t="shared" si="492"/>
        <v>89301212</v>
      </c>
      <c r="F2270" t="str">
        <f>"6360290673"</f>
        <v>6360290673</v>
      </c>
      <c r="G2270" s="1">
        <v>44641</v>
      </c>
      <c r="H2270" t="str">
        <f>"89512"</f>
        <v>89512</v>
      </c>
      <c r="I2270">
        <v>1</v>
      </c>
      <c r="J2270">
        <v>277</v>
      </c>
      <c r="K2270">
        <v>0</v>
      </c>
      <c r="L2270">
        <v>387.8</v>
      </c>
    </row>
    <row r="2271" spans="1:12" x14ac:dyDescent="0.25">
      <c r="A2271" t="str">
        <f t="shared" si="488"/>
        <v>89301000</v>
      </c>
      <c r="B2271" t="str">
        <f t="shared" si="490"/>
        <v>89895000</v>
      </c>
      <c r="C2271" t="str">
        <f t="shared" si="491"/>
        <v>89895002</v>
      </c>
      <c r="D2271" t="str">
        <f t="shared" si="494"/>
        <v>809</v>
      </c>
      <c r="E2271" t="str">
        <f t="shared" si="492"/>
        <v>89301212</v>
      </c>
      <c r="F2271" t="str">
        <f>"6360290673"</f>
        <v>6360290673</v>
      </c>
      <c r="G2271" s="1">
        <v>44641</v>
      </c>
      <c r="H2271" t="str">
        <f>"09511"</f>
        <v>09511</v>
      </c>
      <c r="I2271">
        <v>1</v>
      </c>
      <c r="J2271">
        <v>43</v>
      </c>
      <c r="K2271">
        <v>0</v>
      </c>
      <c r="L2271">
        <v>60.2</v>
      </c>
    </row>
    <row r="2272" spans="1:12" x14ac:dyDescent="0.25">
      <c r="A2272" t="str">
        <f t="shared" si="488"/>
        <v>89301000</v>
      </c>
      <c r="B2272" t="str">
        <f t="shared" si="490"/>
        <v>89895000</v>
      </c>
      <c r="C2272" t="str">
        <f t="shared" si="491"/>
        <v>89895002</v>
      </c>
      <c r="D2272" t="str">
        <f t="shared" si="494"/>
        <v>809</v>
      </c>
      <c r="E2272" t="str">
        <f t="shared" si="492"/>
        <v>89301212</v>
      </c>
      <c r="F2272" t="str">
        <f>"6458160852"</f>
        <v>6458160852</v>
      </c>
      <c r="G2272" s="1">
        <v>44648</v>
      </c>
      <c r="H2272" t="str">
        <f>"89512"</f>
        <v>89512</v>
      </c>
      <c r="I2272">
        <v>1</v>
      </c>
      <c r="J2272">
        <v>277</v>
      </c>
      <c r="K2272">
        <v>0</v>
      </c>
      <c r="L2272">
        <v>387.8</v>
      </c>
    </row>
    <row r="2273" spans="1:12" x14ac:dyDescent="0.25">
      <c r="A2273" t="str">
        <f t="shared" si="488"/>
        <v>89301000</v>
      </c>
      <c r="B2273" t="str">
        <f t="shared" si="490"/>
        <v>89895000</v>
      </c>
      <c r="C2273" t="str">
        <f t="shared" si="491"/>
        <v>89895002</v>
      </c>
      <c r="D2273" t="str">
        <f t="shared" si="494"/>
        <v>809</v>
      </c>
      <c r="E2273" t="str">
        <f t="shared" si="492"/>
        <v>89301212</v>
      </c>
      <c r="F2273" t="str">
        <f>"6458160852"</f>
        <v>6458160852</v>
      </c>
      <c r="G2273" s="1">
        <v>44648</v>
      </c>
      <c r="H2273" t="str">
        <f>"09511"</f>
        <v>09511</v>
      </c>
      <c r="I2273">
        <v>1</v>
      </c>
      <c r="J2273">
        <v>43</v>
      </c>
      <c r="K2273">
        <v>0</v>
      </c>
      <c r="L2273">
        <v>60.2</v>
      </c>
    </row>
    <row r="2274" spans="1:12" x14ac:dyDescent="0.25">
      <c r="A2274" t="str">
        <f t="shared" si="488"/>
        <v>89301000</v>
      </c>
      <c r="B2274" t="str">
        <f t="shared" si="490"/>
        <v>89895000</v>
      </c>
      <c r="C2274" t="str">
        <f t="shared" si="491"/>
        <v>89895002</v>
      </c>
      <c r="D2274" t="str">
        <f t="shared" si="494"/>
        <v>809</v>
      </c>
      <c r="E2274" t="str">
        <f t="shared" si="492"/>
        <v>89301212</v>
      </c>
      <c r="F2274" t="str">
        <f>"6458241515"</f>
        <v>6458241515</v>
      </c>
      <c r="G2274" s="1">
        <v>44629</v>
      </c>
      <c r="H2274" t="str">
        <f>"89513"</f>
        <v>89513</v>
      </c>
      <c r="I2274">
        <v>1</v>
      </c>
      <c r="J2274">
        <v>371</v>
      </c>
      <c r="K2274">
        <v>0</v>
      </c>
      <c r="L2274">
        <v>519.4</v>
      </c>
    </row>
    <row r="2275" spans="1:12" x14ac:dyDescent="0.25">
      <c r="A2275" t="str">
        <f t="shared" si="488"/>
        <v>89301000</v>
      </c>
      <c r="B2275" t="str">
        <f t="shared" si="490"/>
        <v>89895000</v>
      </c>
      <c r="C2275" t="str">
        <f t="shared" si="491"/>
        <v>89895002</v>
      </c>
      <c r="D2275" t="str">
        <f t="shared" si="494"/>
        <v>809</v>
      </c>
      <c r="E2275" t="str">
        <f t="shared" si="492"/>
        <v>89301212</v>
      </c>
      <c r="F2275" t="str">
        <f>"6458241515"</f>
        <v>6458241515</v>
      </c>
      <c r="G2275" s="1">
        <v>44629</v>
      </c>
      <c r="H2275" t="str">
        <f>"89514"</f>
        <v>89514</v>
      </c>
      <c r="I2275">
        <v>1</v>
      </c>
      <c r="J2275">
        <v>371</v>
      </c>
      <c r="K2275">
        <v>0</v>
      </c>
      <c r="L2275">
        <v>519.4</v>
      </c>
    </row>
    <row r="2276" spans="1:12" x14ac:dyDescent="0.25">
      <c r="A2276" t="str">
        <f t="shared" si="488"/>
        <v>89301000</v>
      </c>
      <c r="B2276" t="str">
        <f t="shared" si="490"/>
        <v>89895000</v>
      </c>
      <c r="C2276" t="str">
        <f t="shared" si="491"/>
        <v>89895002</v>
      </c>
      <c r="D2276" t="str">
        <f t="shared" si="494"/>
        <v>809</v>
      </c>
      <c r="E2276" t="str">
        <f t="shared" si="492"/>
        <v>89301212</v>
      </c>
      <c r="F2276" t="str">
        <f>"6461116244"</f>
        <v>6461116244</v>
      </c>
      <c r="G2276" s="1">
        <v>44634</v>
      </c>
      <c r="H2276" t="str">
        <f>"89180"</f>
        <v>89180</v>
      </c>
      <c r="I2276">
        <v>2</v>
      </c>
      <c r="J2276">
        <v>752</v>
      </c>
      <c r="K2276">
        <v>0</v>
      </c>
      <c r="L2276">
        <v>1052.8</v>
      </c>
    </row>
    <row r="2277" spans="1:12" x14ac:dyDescent="0.25">
      <c r="A2277" t="str">
        <f t="shared" si="488"/>
        <v>89301000</v>
      </c>
      <c r="B2277" t="str">
        <f t="shared" si="490"/>
        <v>89895000</v>
      </c>
      <c r="C2277" t="str">
        <f t="shared" si="491"/>
        <v>89895002</v>
      </c>
      <c r="D2277" t="str">
        <f t="shared" si="494"/>
        <v>809</v>
      </c>
      <c r="E2277" t="str">
        <f t="shared" si="492"/>
        <v>89301212</v>
      </c>
      <c r="F2277" t="str">
        <f>"6461116244"</f>
        <v>6461116244</v>
      </c>
      <c r="G2277" s="1">
        <v>44634</v>
      </c>
      <c r="H2277" t="str">
        <f>"89512"</f>
        <v>89512</v>
      </c>
      <c r="I2277">
        <v>1</v>
      </c>
      <c r="J2277">
        <v>277</v>
      </c>
      <c r="K2277">
        <v>0</v>
      </c>
      <c r="L2277">
        <v>387.8</v>
      </c>
    </row>
    <row r="2278" spans="1:12" x14ac:dyDescent="0.25">
      <c r="A2278" t="str">
        <f t="shared" si="488"/>
        <v>89301000</v>
      </c>
      <c r="B2278" t="str">
        <f t="shared" si="490"/>
        <v>89895000</v>
      </c>
      <c r="C2278" t="str">
        <f t="shared" si="491"/>
        <v>89895002</v>
      </c>
      <c r="D2278" t="str">
        <f t="shared" si="494"/>
        <v>809</v>
      </c>
      <c r="E2278" t="str">
        <f t="shared" si="492"/>
        <v>89301212</v>
      </c>
      <c r="F2278" t="str">
        <f>"7158186684"</f>
        <v>7158186684</v>
      </c>
      <c r="G2278" s="1">
        <v>44648</v>
      </c>
      <c r="H2278" t="str">
        <f>"89512"</f>
        <v>89512</v>
      </c>
      <c r="I2278">
        <v>1</v>
      </c>
      <c r="J2278">
        <v>277</v>
      </c>
      <c r="K2278">
        <v>0</v>
      </c>
      <c r="L2278">
        <v>387.8</v>
      </c>
    </row>
    <row r="2279" spans="1:12" x14ac:dyDescent="0.25">
      <c r="A2279" t="str">
        <f t="shared" si="488"/>
        <v>89301000</v>
      </c>
      <c r="B2279" t="str">
        <f t="shared" si="490"/>
        <v>89895000</v>
      </c>
      <c r="C2279" t="str">
        <f t="shared" si="491"/>
        <v>89895002</v>
      </c>
      <c r="D2279" t="str">
        <f t="shared" si="494"/>
        <v>809</v>
      </c>
      <c r="E2279" t="str">
        <f t="shared" si="492"/>
        <v>89301212</v>
      </c>
      <c r="F2279" t="str">
        <f>"7158186684"</f>
        <v>7158186684</v>
      </c>
      <c r="G2279" s="1">
        <v>44648</v>
      </c>
      <c r="H2279" t="str">
        <f>"09511"</f>
        <v>09511</v>
      </c>
      <c r="I2279">
        <v>1</v>
      </c>
      <c r="J2279">
        <v>43</v>
      </c>
      <c r="K2279">
        <v>0</v>
      </c>
      <c r="L2279">
        <v>60.2</v>
      </c>
    </row>
    <row r="2280" spans="1:12" x14ac:dyDescent="0.25">
      <c r="A2280" t="str">
        <f t="shared" si="488"/>
        <v>89301000</v>
      </c>
      <c r="B2280" t="str">
        <f t="shared" si="490"/>
        <v>89895000</v>
      </c>
      <c r="C2280" t="str">
        <f t="shared" si="491"/>
        <v>89895002</v>
      </c>
      <c r="D2280" t="str">
        <f t="shared" si="494"/>
        <v>809</v>
      </c>
      <c r="E2280" t="str">
        <f t="shared" si="492"/>
        <v>89301212</v>
      </c>
      <c r="F2280" t="str">
        <f>"7158186684"</f>
        <v>7158186684</v>
      </c>
      <c r="G2280" s="1">
        <v>44648</v>
      </c>
      <c r="H2280" t="str">
        <f>"89513"</f>
        <v>89513</v>
      </c>
      <c r="I2280">
        <v>1</v>
      </c>
      <c r="J2280">
        <v>371</v>
      </c>
      <c r="K2280">
        <v>0</v>
      </c>
      <c r="L2280">
        <v>519.4</v>
      </c>
    </row>
    <row r="2281" spans="1:12" x14ac:dyDescent="0.25">
      <c r="A2281" t="str">
        <f t="shared" si="488"/>
        <v>89301000</v>
      </c>
      <c r="B2281" t="str">
        <f t="shared" si="490"/>
        <v>89895000</v>
      </c>
      <c r="C2281" t="str">
        <f t="shared" si="491"/>
        <v>89895002</v>
      </c>
      <c r="D2281" t="str">
        <f t="shared" si="494"/>
        <v>809</v>
      </c>
      <c r="E2281" t="str">
        <f t="shared" si="492"/>
        <v>89301212</v>
      </c>
      <c r="F2281" t="str">
        <f>"7158186684"</f>
        <v>7158186684</v>
      </c>
      <c r="G2281" s="1">
        <v>44648</v>
      </c>
      <c r="H2281" t="str">
        <f>"89514"</f>
        <v>89514</v>
      </c>
      <c r="I2281">
        <v>1</v>
      </c>
      <c r="J2281">
        <v>371</v>
      </c>
      <c r="K2281">
        <v>0</v>
      </c>
      <c r="L2281">
        <v>519.4</v>
      </c>
    </row>
    <row r="2282" spans="1:12" x14ac:dyDescent="0.25">
      <c r="A2282" t="str">
        <f t="shared" si="488"/>
        <v>89301000</v>
      </c>
      <c r="B2282" t="str">
        <f t="shared" si="490"/>
        <v>89895000</v>
      </c>
      <c r="C2282" t="str">
        <f t="shared" si="491"/>
        <v>89895002</v>
      </c>
      <c r="D2282" t="str">
        <f t="shared" si="494"/>
        <v>809</v>
      </c>
      <c r="E2282" t="str">
        <f t="shared" si="492"/>
        <v>89301212</v>
      </c>
      <c r="F2282" t="str">
        <f>"7357154497"</f>
        <v>7357154497</v>
      </c>
      <c r="G2282" s="1">
        <v>44627</v>
      </c>
      <c r="H2282" t="str">
        <f>"89512"</f>
        <v>89512</v>
      </c>
      <c r="I2282">
        <v>1</v>
      </c>
      <c r="J2282">
        <v>277</v>
      </c>
      <c r="K2282">
        <v>0</v>
      </c>
      <c r="L2282">
        <v>387.8</v>
      </c>
    </row>
    <row r="2283" spans="1:12" x14ac:dyDescent="0.25">
      <c r="A2283" t="str">
        <f t="shared" si="488"/>
        <v>89301000</v>
      </c>
      <c r="B2283" t="str">
        <f t="shared" si="490"/>
        <v>89895000</v>
      </c>
      <c r="C2283" t="str">
        <f t="shared" si="491"/>
        <v>89895002</v>
      </c>
      <c r="D2283" t="str">
        <f t="shared" si="494"/>
        <v>809</v>
      </c>
      <c r="E2283" t="str">
        <f t="shared" si="492"/>
        <v>89301212</v>
      </c>
      <c r="F2283" t="str">
        <f>"7357154497"</f>
        <v>7357154497</v>
      </c>
      <c r="G2283" s="1">
        <v>44627</v>
      </c>
      <c r="H2283" t="str">
        <f>"89180"</f>
        <v>89180</v>
      </c>
      <c r="I2283">
        <v>2</v>
      </c>
      <c r="J2283">
        <v>752</v>
      </c>
      <c r="K2283">
        <v>0</v>
      </c>
      <c r="L2283">
        <v>1052.8</v>
      </c>
    </row>
    <row r="2284" spans="1:12" x14ac:dyDescent="0.25">
      <c r="A2284" t="str">
        <f t="shared" si="488"/>
        <v>89301000</v>
      </c>
      <c r="B2284" t="str">
        <f t="shared" si="490"/>
        <v>89895000</v>
      </c>
      <c r="C2284" t="str">
        <f t="shared" si="491"/>
        <v>89895002</v>
      </c>
      <c r="D2284" t="str">
        <f t="shared" si="494"/>
        <v>809</v>
      </c>
      <c r="E2284" t="str">
        <f t="shared" si="492"/>
        <v>89301212</v>
      </c>
      <c r="F2284" t="str">
        <f>"7458155331"</f>
        <v>7458155331</v>
      </c>
      <c r="G2284" s="1">
        <v>44622</v>
      </c>
      <c r="H2284" t="str">
        <f>"89512"</f>
        <v>89512</v>
      </c>
      <c r="I2284">
        <v>1</v>
      </c>
      <c r="J2284">
        <v>277</v>
      </c>
      <c r="K2284">
        <v>0</v>
      </c>
      <c r="L2284">
        <v>387.8</v>
      </c>
    </row>
    <row r="2285" spans="1:12" x14ac:dyDescent="0.25">
      <c r="A2285" t="str">
        <f t="shared" si="488"/>
        <v>89301000</v>
      </c>
      <c r="B2285" t="str">
        <f t="shared" ref="B2285:C2288" si="495">"89632000"</f>
        <v>89632000</v>
      </c>
      <c r="C2285" t="str">
        <f t="shared" si="495"/>
        <v>89632000</v>
      </c>
      <c r="D2285" t="str">
        <f t="shared" si="494"/>
        <v>809</v>
      </c>
      <c r="E2285" t="str">
        <f>"89301322"</f>
        <v>89301322</v>
      </c>
      <c r="F2285" t="str">
        <f>"5704141641"</f>
        <v>5704141641</v>
      </c>
      <c r="G2285" s="1">
        <v>44628</v>
      </c>
      <c r="H2285" t="str">
        <f>"89513"</f>
        <v>89513</v>
      </c>
      <c r="I2285">
        <v>1</v>
      </c>
      <c r="J2285">
        <v>371</v>
      </c>
      <c r="K2285">
        <v>0</v>
      </c>
      <c r="L2285">
        <v>519.4</v>
      </c>
    </row>
    <row r="2286" spans="1:12" x14ac:dyDescent="0.25">
      <c r="A2286" t="str">
        <f t="shared" si="488"/>
        <v>89301000</v>
      </c>
      <c r="B2286" t="str">
        <f t="shared" si="495"/>
        <v>89632000</v>
      </c>
      <c r="C2286" t="str">
        <f t="shared" si="495"/>
        <v>89632000</v>
      </c>
      <c r="D2286" t="str">
        <f t="shared" si="494"/>
        <v>809</v>
      </c>
      <c r="E2286" t="str">
        <f>"89301322"</f>
        <v>89301322</v>
      </c>
      <c r="F2286" t="str">
        <f>"5704141641"</f>
        <v>5704141641</v>
      </c>
      <c r="G2286" s="1">
        <v>44628</v>
      </c>
      <c r="H2286" t="str">
        <f>"89514"</f>
        <v>89514</v>
      </c>
      <c r="I2286">
        <v>1</v>
      </c>
      <c r="J2286">
        <v>371</v>
      </c>
      <c r="K2286">
        <v>0</v>
      </c>
      <c r="L2286">
        <v>519.4</v>
      </c>
    </row>
    <row r="2287" spans="1:12" x14ac:dyDescent="0.25">
      <c r="A2287" t="str">
        <f t="shared" si="488"/>
        <v>89301000</v>
      </c>
      <c r="B2287" t="str">
        <f t="shared" si="495"/>
        <v>89632000</v>
      </c>
      <c r="C2287" t="str">
        <f t="shared" si="495"/>
        <v>89632000</v>
      </c>
      <c r="D2287" t="str">
        <f t="shared" si="494"/>
        <v>809</v>
      </c>
      <c r="E2287" t="str">
        <f>"89301212"</f>
        <v>89301212</v>
      </c>
      <c r="F2287" t="str">
        <f>"7458245344"</f>
        <v>7458245344</v>
      </c>
      <c r="G2287" s="1">
        <v>44623</v>
      </c>
      <c r="H2287" t="str">
        <f>"89513"</f>
        <v>89513</v>
      </c>
      <c r="I2287">
        <v>1</v>
      </c>
      <c r="J2287">
        <v>371</v>
      </c>
      <c r="K2287">
        <v>0</v>
      </c>
      <c r="L2287">
        <v>519.4</v>
      </c>
    </row>
    <row r="2288" spans="1:12" x14ac:dyDescent="0.25">
      <c r="A2288" t="str">
        <f t="shared" si="488"/>
        <v>89301000</v>
      </c>
      <c r="B2288" t="str">
        <f t="shared" si="495"/>
        <v>89632000</v>
      </c>
      <c r="C2288" t="str">
        <f t="shared" si="495"/>
        <v>89632000</v>
      </c>
      <c r="D2288" t="str">
        <f t="shared" si="494"/>
        <v>809</v>
      </c>
      <c r="E2288" t="str">
        <f>"89301212"</f>
        <v>89301212</v>
      </c>
      <c r="F2288" t="str">
        <f>"7458245344"</f>
        <v>7458245344</v>
      </c>
      <c r="G2288" s="1">
        <v>44623</v>
      </c>
      <c r="H2288" t="str">
        <f>"89514"</f>
        <v>89514</v>
      </c>
      <c r="I2288">
        <v>1</v>
      </c>
      <c r="J2288">
        <v>371</v>
      </c>
      <c r="K2288">
        <v>0</v>
      </c>
      <c r="L2288">
        <v>519.4</v>
      </c>
    </row>
    <row r="2289" spans="1:12" x14ac:dyDescent="0.25">
      <c r="A2289" t="str">
        <f t="shared" si="488"/>
        <v>89301000</v>
      </c>
      <c r="B2289" t="str">
        <f>"85200000"</f>
        <v>85200000</v>
      </c>
      <c r="C2289" t="str">
        <f>"85200315"</f>
        <v>85200315</v>
      </c>
      <c r="D2289" t="str">
        <f t="shared" si="494"/>
        <v>809</v>
      </c>
      <c r="E2289" t="str">
        <f>"89301322"</f>
        <v>89301322</v>
      </c>
      <c r="F2289" t="str">
        <f>"5906232233"</f>
        <v>5906232233</v>
      </c>
      <c r="G2289" s="1">
        <v>44641</v>
      </c>
      <c r="H2289" t="str">
        <f>"89513"</f>
        <v>89513</v>
      </c>
      <c r="I2289">
        <v>1</v>
      </c>
      <c r="J2289">
        <v>371</v>
      </c>
      <c r="K2289">
        <v>0</v>
      </c>
      <c r="L2289">
        <v>519.4</v>
      </c>
    </row>
    <row r="2290" spans="1:12" x14ac:dyDescent="0.25">
      <c r="A2290" t="str">
        <f t="shared" si="488"/>
        <v>89301000</v>
      </c>
      <c r="B2290" t="str">
        <f>"85200000"</f>
        <v>85200000</v>
      </c>
      <c r="C2290" t="str">
        <f>"85200315"</f>
        <v>85200315</v>
      </c>
      <c r="D2290" t="str">
        <f t="shared" si="494"/>
        <v>809</v>
      </c>
      <c r="E2290" t="str">
        <f>"89301322"</f>
        <v>89301322</v>
      </c>
      <c r="F2290" t="str">
        <f>"5906232233"</f>
        <v>5906232233</v>
      </c>
      <c r="G2290" s="1">
        <v>44641</v>
      </c>
      <c r="H2290" t="str">
        <f>"89514"</f>
        <v>89514</v>
      </c>
      <c r="I2290">
        <v>1</v>
      </c>
      <c r="J2290">
        <v>371</v>
      </c>
      <c r="K2290">
        <v>0</v>
      </c>
      <c r="L2290">
        <v>519.4</v>
      </c>
    </row>
    <row r="2291" spans="1:12" x14ac:dyDescent="0.25">
      <c r="A2291" t="str">
        <f t="shared" si="488"/>
        <v>89301000</v>
      </c>
      <c r="B2291" t="str">
        <f t="shared" ref="B2291:B2297" si="496">"95202000"</f>
        <v>95202000</v>
      </c>
      <c r="C2291" t="str">
        <f t="shared" ref="C2291:C2297" si="497">"95202511"</f>
        <v>95202511</v>
      </c>
      <c r="D2291" t="str">
        <f t="shared" si="494"/>
        <v>809</v>
      </c>
      <c r="E2291" t="str">
        <f t="shared" ref="E2291:E2297" si="498">"89301212"</f>
        <v>89301212</v>
      </c>
      <c r="F2291" t="str">
        <f t="shared" ref="F2291:F2297" si="499">"455603436"</f>
        <v>455603436</v>
      </c>
      <c r="G2291" s="1">
        <v>44621</v>
      </c>
      <c r="H2291" t="str">
        <f>"89611"</f>
        <v>89611</v>
      </c>
      <c r="I2291">
        <v>1</v>
      </c>
      <c r="J2291">
        <v>2241</v>
      </c>
      <c r="K2291">
        <v>0</v>
      </c>
      <c r="L2291">
        <v>1344.6</v>
      </c>
    </row>
    <row r="2292" spans="1:12" x14ac:dyDescent="0.25">
      <c r="A2292" t="str">
        <f t="shared" si="488"/>
        <v>89301000</v>
      </c>
      <c r="B2292" t="str">
        <f t="shared" si="496"/>
        <v>95202000</v>
      </c>
      <c r="C2292" t="str">
        <f t="shared" si="497"/>
        <v>95202511</v>
      </c>
      <c r="D2292" t="str">
        <f t="shared" si="494"/>
        <v>809</v>
      </c>
      <c r="E2292" t="str">
        <f t="shared" si="498"/>
        <v>89301212</v>
      </c>
      <c r="F2292" t="str">
        <f t="shared" si="499"/>
        <v>455603436</v>
      </c>
      <c r="G2292" s="1">
        <v>44621</v>
      </c>
      <c r="H2292" t="str">
        <f>"09572"</f>
        <v>09572</v>
      </c>
      <c r="I2292">
        <v>1</v>
      </c>
      <c r="J2292">
        <v>0</v>
      </c>
      <c r="K2292">
        <v>0</v>
      </c>
      <c r="L2292">
        <v>0</v>
      </c>
    </row>
    <row r="2293" spans="1:12" x14ac:dyDescent="0.25">
      <c r="A2293" t="str">
        <f t="shared" si="488"/>
        <v>89301000</v>
      </c>
      <c r="B2293" t="str">
        <f t="shared" si="496"/>
        <v>95202000</v>
      </c>
      <c r="C2293" t="str">
        <f t="shared" si="497"/>
        <v>95202511</v>
      </c>
      <c r="D2293" t="str">
        <f t="shared" si="494"/>
        <v>809</v>
      </c>
      <c r="E2293" t="str">
        <f t="shared" si="498"/>
        <v>89301212</v>
      </c>
      <c r="F2293" t="str">
        <f t="shared" si="499"/>
        <v>455603436</v>
      </c>
      <c r="G2293" s="1">
        <v>44621</v>
      </c>
      <c r="H2293" t="str">
        <f>"0022077"</f>
        <v>0022077</v>
      </c>
      <c r="I2293">
        <v>0.4</v>
      </c>
      <c r="K2293">
        <v>803.86</v>
      </c>
      <c r="L2293">
        <v>803.86</v>
      </c>
    </row>
    <row r="2294" spans="1:12" x14ac:dyDescent="0.25">
      <c r="A2294" t="str">
        <f t="shared" si="488"/>
        <v>89301000</v>
      </c>
      <c r="B2294" t="str">
        <f t="shared" si="496"/>
        <v>95202000</v>
      </c>
      <c r="C2294" t="str">
        <f t="shared" si="497"/>
        <v>95202511</v>
      </c>
      <c r="D2294" t="str">
        <f t="shared" si="494"/>
        <v>809</v>
      </c>
      <c r="E2294" t="str">
        <f t="shared" si="498"/>
        <v>89301212</v>
      </c>
      <c r="F2294" t="str">
        <f t="shared" si="499"/>
        <v>455603436</v>
      </c>
      <c r="G2294" s="1">
        <v>44621</v>
      </c>
      <c r="H2294" t="str">
        <f>"0234018"</f>
        <v>0234018</v>
      </c>
      <c r="I2294">
        <v>0.01</v>
      </c>
      <c r="K2294">
        <v>2.44</v>
      </c>
      <c r="L2294">
        <v>2.44</v>
      </c>
    </row>
    <row r="2295" spans="1:12" x14ac:dyDescent="0.25">
      <c r="A2295" t="str">
        <f t="shared" si="488"/>
        <v>89301000</v>
      </c>
      <c r="B2295" t="str">
        <f t="shared" si="496"/>
        <v>95202000</v>
      </c>
      <c r="C2295" t="str">
        <f t="shared" si="497"/>
        <v>95202511</v>
      </c>
      <c r="D2295" t="str">
        <f t="shared" si="494"/>
        <v>809</v>
      </c>
      <c r="E2295" t="str">
        <f t="shared" si="498"/>
        <v>89301212</v>
      </c>
      <c r="F2295" t="str">
        <f t="shared" si="499"/>
        <v>455603436</v>
      </c>
      <c r="G2295" s="1">
        <v>44624</v>
      </c>
      <c r="H2295" t="str">
        <f>"89611"</f>
        <v>89611</v>
      </c>
      <c r="I2295">
        <v>2</v>
      </c>
      <c r="J2295">
        <v>4482</v>
      </c>
      <c r="K2295">
        <v>0</v>
      </c>
      <c r="L2295">
        <v>2689.2</v>
      </c>
    </row>
    <row r="2296" spans="1:12" x14ac:dyDescent="0.25">
      <c r="A2296" t="str">
        <f t="shared" si="488"/>
        <v>89301000</v>
      </c>
      <c r="B2296" t="str">
        <f t="shared" si="496"/>
        <v>95202000</v>
      </c>
      <c r="C2296" t="str">
        <f t="shared" si="497"/>
        <v>95202511</v>
      </c>
      <c r="D2296" t="str">
        <f t="shared" si="494"/>
        <v>809</v>
      </c>
      <c r="E2296" t="str">
        <f t="shared" si="498"/>
        <v>89301212</v>
      </c>
      <c r="F2296" t="str">
        <f t="shared" si="499"/>
        <v>455603436</v>
      </c>
      <c r="G2296" s="1">
        <v>44624</v>
      </c>
      <c r="H2296" t="str">
        <f>"0022077"</f>
        <v>0022077</v>
      </c>
      <c r="I2296">
        <v>0.4</v>
      </c>
      <c r="K2296">
        <v>803.86</v>
      </c>
      <c r="L2296">
        <v>803.86</v>
      </c>
    </row>
    <row r="2297" spans="1:12" x14ac:dyDescent="0.25">
      <c r="A2297" t="str">
        <f t="shared" si="488"/>
        <v>89301000</v>
      </c>
      <c r="B2297" t="str">
        <f t="shared" si="496"/>
        <v>95202000</v>
      </c>
      <c r="C2297" t="str">
        <f t="shared" si="497"/>
        <v>95202511</v>
      </c>
      <c r="D2297" t="str">
        <f t="shared" si="494"/>
        <v>809</v>
      </c>
      <c r="E2297" t="str">
        <f t="shared" si="498"/>
        <v>89301212</v>
      </c>
      <c r="F2297" t="str">
        <f t="shared" si="499"/>
        <v>455603436</v>
      </c>
      <c r="G2297" s="1">
        <v>44624</v>
      </c>
      <c r="H2297" t="str">
        <f>"0234018"</f>
        <v>0234018</v>
      </c>
      <c r="I2297">
        <v>0.01</v>
      </c>
      <c r="K2297">
        <v>2.44</v>
      </c>
      <c r="L2297">
        <v>2.44</v>
      </c>
    </row>
    <row r="2298" spans="1:12" x14ac:dyDescent="0.25">
      <c r="A2298" t="str">
        <f t="shared" si="488"/>
        <v>89301000</v>
      </c>
      <c r="B2298" t="str">
        <f t="shared" ref="B2298:B2325" si="500">"93201000"</f>
        <v>93201000</v>
      </c>
      <c r="C2298" t="str">
        <f>"93201250"</f>
        <v>93201250</v>
      </c>
      <c r="D2298" t="str">
        <f>"801"</f>
        <v>801</v>
      </c>
      <c r="E2298" t="str">
        <f>"89301082"</f>
        <v>89301082</v>
      </c>
      <c r="F2298" t="str">
        <f>"8854206229"</f>
        <v>8854206229</v>
      </c>
      <c r="G2298" s="1">
        <v>44634</v>
      </c>
      <c r="H2298" t="str">
        <f>"97111"</f>
        <v>97111</v>
      </c>
      <c r="I2298">
        <v>1</v>
      </c>
      <c r="J2298">
        <v>18</v>
      </c>
      <c r="K2298">
        <v>0</v>
      </c>
      <c r="L2298">
        <v>14.04</v>
      </c>
    </row>
    <row r="2299" spans="1:12" x14ac:dyDescent="0.25">
      <c r="A2299" t="str">
        <f t="shared" si="488"/>
        <v>89301000</v>
      </c>
      <c r="B2299" t="str">
        <f t="shared" si="500"/>
        <v>93201000</v>
      </c>
      <c r="C2299" t="str">
        <f>"93201250"</f>
        <v>93201250</v>
      </c>
      <c r="D2299" t="str">
        <f>"801"</f>
        <v>801</v>
      </c>
      <c r="E2299" t="str">
        <f>"89301082"</f>
        <v>89301082</v>
      </c>
      <c r="F2299" t="str">
        <f>"8854206229"</f>
        <v>8854206229</v>
      </c>
      <c r="G2299" s="1">
        <v>44634</v>
      </c>
      <c r="H2299" t="str">
        <f>"93159"</f>
        <v>93159</v>
      </c>
      <c r="I2299">
        <v>1</v>
      </c>
      <c r="J2299">
        <v>195</v>
      </c>
      <c r="K2299">
        <v>0</v>
      </c>
      <c r="L2299">
        <v>152.1</v>
      </c>
    </row>
    <row r="2300" spans="1:12" x14ac:dyDescent="0.25">
      <c r="A2300" t="str">
        <f t="shared" si="488"/>
        <v>89301000</v>
      </c>
      <c r="B2300" t="str">
        <f t="shared" si="500"/>
        <v>93201000</v>
      </c>
      <c r="C2300" t="str">
        <f t="shared" ref="C2300:C2314" si="501">"93201350"</f>
        <v>93201350</v>
      </c>
      <c r="D2300" t="str">
        <f t="shared" ref="D2300:D2314" si="502">"809"</f>
        <v>809</v>
      </c>
      <c r="E2300" t="str">
        <f>"89301062"</f>
        <v>89301062</v>
      </c>
      <c r="F2300" t="str">
        <f>"6406191264"</f>
        <v>6406191264</v>
      </c>
      <c r="G2300" s="1">
        <v>44641</v>
      </c>
      <c r="H2300" t="str">
        <f>"89119"</f>
        <v>89119</v>
      </c>
      <c r="I2300">
        <v>1</v>
      </c>
      <c r="J2300">
        <v>200</v>
      </c>
      <c r="K2300">
        <v>0</v>
      </c>
      <c r="L2300">
        <v>280</v>
      </c>
    </row>
    <row r="2301" spans="1:12" x14ac:dyDescent="0.25">
      <c r="A2301" t="str">
        <f t="shared" si="488"/>
        <v>89301000</v>
      </c>
      <c r="B2301" t="str">
        <f t="shared" si="500"/>
        <v>93201000</v>
      </c>
      <c r="C2301" t="str">
        <f t="shared" si="501"/>
        <v>93201350</v>
      </c>
      <c r="D2301" t="str">
        <f t="shared" si="502"/>
        <v>809</v>
      </c>
      <c r="E2301" t="str">
        <f>"89301607"</f>
        <v>89301607</v>
      </c>
      <c r="F2301" t="str">
        <f>"1054116151"</f>
        <v>1054116151</v>
      </c>
      <c r="G2301" s="1">
        <v>44635</v>
      </c>
      <c r="H2301" t="str">
        <f>"89127"</f>
        <v>89127</v>
      </c>
      <c r="I2301">
        <v>1</v>
      </c>
      <c r="J2301">
        <v>238</v>
      </c>
      <c r="K2301">
        <v>0</v>
      </c>
      <c r="L2301">
        <v>333.2</v>
      </c>
    </row>
    <row r="2302" spans="1:12" x14ac:dyDescent="0.25">
      <c r="A2302" t="str">
        <f t="shared" si="488"/>
        <v>89301000</v>
      </c>
      <c r="B2302" t="str">
        <f t="shared" si="500"/>
        <v>93201000</v>
      </c>
      <c r="C2302" t="str">
        <f t="shared" si="501"/>
        <v>93201350</v>
      </c>
      <c r="D2302" t="str">
        <f t="shared" si="502"/>
        <v>809</v>
      </c>
      <c r="E2302" t="str">
        <f>"89301212"</f>
        <v>89301212</v>
      </c>
      <c r="F2302" t="str">
        <f>"5751280348"</f>
        <v>5751280348</v>
      </c>
      <c r="G2302" s="1">
        <v>44648</v>
      </c>
      <c r="H2302" t="str">
        <f>"89513"</f>
        <v>89513</v>
      </c>
      <c r="I2302">
        <v>1</v>
      </c>
      <c r="J2302">
        <v>371</v>
      </c>
      <c r="K2302">
        <v>0</v>
      </c>
      <c r="L2302">
        <v>519.4</v>
      </c>
    </row>
    <row r="2303" spans="1:12" x14ac:dyDescent="0.25">
      <c r="A2303" t="str">
        <f t="shared" si="488"/>
        <v>89301000</v>
      </c>
      <c r="B2303" t="str">
        <f t="shared" si="500"/>
        <v>93201000</v>
      </c>
      <c r="C2303" t="str">
        <f t="shared" si="501"/>
        <v>93201350</v>
      </c>
      <c r="D2303" t="str">
        <f t="shared" si="502"/>
        <v>809</v>
      </c>
      <c r="E2303" t="str">
        <f>"89301212"</f>
        <v>89301212</v>
      </c>
      <c r="F2303" t="str">
        <f>"5751280348"</f>
        <v>5751280348</v>
      </c>
      <c r="G2303" s="1">
        <v>44648</v>
      </c>
      <c r="H2303" t="str">
        <f>"89514"</f>
        <v>89514</v>
      </c>
      <c r="I2303">
        <v>1</v>
      </c>
      <c r="J2303">
        <v>371</v>
      </c>
      <c r="K2303">
        <v>0</v>
      </c>
      <c r="L2303">
        <v>519.4</v>
      </c>
    </row>
    <row r="2304" spans="1:12" x14ac:dyDescent="0.25">
      <c r="A2304" t="str">
        <f t="shared" si="488"/>
        <v>89301000</v>
      </c>
      <c r="B2304" t="str">
        <f t="shared" si="500"/>
        <v>93201000</v>
      </c>
      <c r="C2304" t="str">
        <f t="shared" si="501"/>
        <v>93201350</v>
      </c>
      <c r="D2304" t="str">
        <f t="shared" si="502"/>
        <v>809</v>
      </c>
      <c r="E2304" t="str">
        <f t="shared" ref="E2304:E2309" si="503">"89301215"</f>
        <v>89301215</v>
      </c>
      <c r="F2304" t="str">
        <f>"470906432"</f>
        <v>470906432</v>
      </c>
      <c r="G2304" s="1">
        <v>44641</v>
      </c>
      <c r="H2304" t="str">
        <f>"89617"</f>
        <v>89617</v>
      </c>
      <c r="I2304">
        <v>1</v>
      </c>
      <c r="J2304">
        <v>1332</v>
      </c>
      <c r="K2304">
        <v>0</v>
      </c>
      <c r="L2304">
        <v>799.2</v>
      </c>
    </row>
    <row r="2305" spans="1:12" x14ac:dyDescent="0.25">
      <c r="A2305" t="str">
        <f t="shared" si="488"/>
        <v>89301000</v>
      </c>
      <c r="B2305" t="str">
        <f t="shared" si="500"/>
        <v>93201000</v>
      </c>
      <c r="C2305" t="str">
        <f t="shared" si="501"/>
        <v>93201350</v>
      </c>
      <c r="D2305" t="str">
        <f t="shared" si="502"/>
        <v>809</v>
      </c>
      <c r="E2305" t="str">
        <f t="shared" si="503"/>
        <v>89301215</v>
      </c>
      <c r="F2305" t="str">
        <f>"470906432"</f>
        <v>470906432</v>
      </c>
      <c r="G2305" s="1">
        <v>44641</v>
      </c>
      <c r="H2305" t="str">
        <f>"89619"</f>
        <v>89619</v>
      </c>
      <c r="I2305">
        <v>1</v>
      </c>
      <c r="J2305">
        <v>1210</v>
      </c>
      <c r="K2305">
        <v>0</v>
      </c>
      <c r="L2305">
        <v>726</v>
      </c>
    </row>
    <row r="2306" spans="1:12" x14ac:dyDescent="0.25">
      <c r="A2306" t="str">
        <f t="shared" ref="A2306:A2369" si="504">"89301000"</f>
        <v>89301000</v>
      </c>
      <c r="B2306" t="str">
        <f t="shared" si="500"/>
        <v>93201000</v>
      </c>
      <c r="C2306" t="str">
        <f t="shared" si="501"/>
        <v>93201350</v>
      </c>
      <c r="D2306" t="str">
        <f t="shared" si="502"/>
        <v>809</v>
      </c>
      <c r="E2306" t="str">
        <f t="shared" si="503"/>
        <v>89301215</v>
      </c>
      <c r="F2306" t="str">
        <f>"470906432"</f>
        <v>470906432</v>
      </c>
      <c r="G2306" s="1">
        <v>44641</v>
      </c>
      <c r="H2306" t="str">
        <f>"0137480"</f>
        <v>0137480</v>
      </c>
      <c r="I2306">
        <v>0.16</v>
      </c>
      <c r="K2306">
        <v>803.86</v>
      </c>
      <c r="L2306">
        <v>803.86</v>
      </c>
    </row>
    <row r="2307" spans="1:12" x14ac:dyDescent="0.25">
      <c r="A2307" t="str">
        <f t="shared" si="504"/>
        <v>89301000</v>
      </c>
      <c r="B2307" t="str">
        <f t="shared" si="500"/>
        <v>93201000</v>
      </c>
      <c r="C2307" t="str">
        <f t="shared" si="501"/>
        <v>93201350</v>
      </c>
      <c r="D2307" t="str">
        <f t="shared" si="502"/>
        <v>809</v>
      </c>
      <c r="E2307" t="str">
        <f t="shared" si="503"/>
        <v>89301215</v>
      </c>
      <c r="F2307" t="str">
        <f>"470906432"</f>
        <v>470906432</v>
      </c>
      <c r="G2307" s="1">
        <v>44641</v>
      </c>
      <c r="H2307" t="str">
        <f>"0096278"</f>
        <v>0096278</v>
      </c>
      <c r="I2307">
        <v>5.0000000000000001E-3</v>
      </c>
      <c r="K2307">
        <v>97.23</v>
      </c>
      <c r="L2307">
        <v>97.23</v>
      </c>
    </row>
    <row r="2308" spans="1:12" x14ac:dyDescent="0.25">
      <c r="A2308" t="str">
        <f t="shared" si="504"/>
        <v>89301000</v>
      </c>
      <c r="B2308" t="str">
        <f t="shared" si="500"/>
        <v>93201000</v>
      </c>
      <c r="C2308" t="str">
        <f t="shared" si="501"/>
        <v>93201350</v>
      </c>
      <c r="D2308" t="str">
        <f t="shared" si="502"/>
        <v>809</v>
      </c>
      <c r="E2308" t="str">
        <f t="shared" si="503"/>
        <v>89301215</v>
      </c>
      <c r="F2308" t="str">
        <f>"5452140507"</f>
        <v>5452140507</v>
      </c>
      <c r="G2308" s="1">
        <v>44651</v>
      </c>
      <c r="H2308" t="str">
        <f>"89512"</f>
        <v>89512</v>
      </c>
      <c r="I2308">
        <v>1</v>
      </c>
      <c r="J2308">
        <v>277</v>
      </c>
      <c r="K2308">
        <v>0</v>
      </c>
      <c r="L2308">
        <v>387.8</v>
      </c>
    </row>
    <row r="2309" spans="1:12" x14ac:dyDescent="0.25">
      <c r="A2309" t="str">
        <f t="shared" si="504"/>
        <v>89301000</v>
      </c>
      <c r="B2309" t="str">
        <f t="shared" si="500"/>
        <v>93201000</v>
      </c>
      <c r="C2309" t="str">
        <f t="shared" si="501"/>
        <v>93201350</v>
      </c>
      <c r="D2309" t="str">
        <f t="shared" si="502"/>
        <v>809</v>
      </c>
      <c r="E2309" t="str">
        <f t="shared" si="503"/>
        <v>89301215</v>
      </c>
      <c r="F2309" t="str">
        <f>"5452140507"</f>
        <v>5452140507</v>
      </c>
      <c r="G2309" s="1">
        <v>44651</v>
      </c>
      <c r="H2309" t="str">
        <f>"89180"</f>
        <v>89180</v>
      </c>
      <c r="I2309">
        <v>1</v>
      </c>
      <c r="J2309">
        <v>376</v>
      </c>
      <c r="K2309">
        <v>0</v>
      </c>
      <c r="L2309">
        <v>526.4</v>
      </c>
    </row>
    <row r="2310" spans="1:12" x14ac:dyDescent="0.25">
      <c r="A2310" t="str">
        <f t="shared" si="504"/>
        <v>89301000</v>
      </c>
      <c r="B2310" t="str">
        <f t="shared" si="500"/>
        <v>93201000</v>
      </c>
      <c r="C2310" t="str">
        <f t="shared" si="501"/>
        <v>93201350</v>
      </c>
      <c r="D2310" t="str">
        <f t="shared" si="502"/>
        <v>809</v>
      </c>
      <c r="E2310" t="str">
        <f>"89301212"</f>
        <v>89301212</v>
      </c>
      <c r="F2310" t="str">
        <f>"5958181548"</f>
        <v>5958181548</v>
      </c>
      <c r="G2310" s="1">
        <v>44638</v>
      </c>
      <c r="H2310" t="str">
        <f>"89512"</f>
        <v>89512</v>
      </c>
      <c r="I2310">
        <v>1</v>
      </c>
      <c r="J2310">
        <v>277</v>
      </c>
      <c r="K2310">
        <v>0</v>
      </c>
      <c r="L2310">
        <v>387.8</v>
      </c>
    </row>
    <row r="2311" spans="1:12" x14ac:dyDescent="0.25">
      <c r="A2311" t="str">
        <f t="shared" si="504"/>
        <v>89301000</v>
      </c>
      <c r="B2311" t="str">
        <f t="shared" si="500"/>
        <v>93201000</v>
      </c>
      <c r="C2311" t="str">
        <f t="shared" si="501"/>
        <v>93201350</v>
      </c>
      <c r="D2311" t="str">
        <f t="shared" si="502"/>
        <v>809</v>
      </c>
      <c r="E2311" t="str">
        <f>"89301212"</f>
        <v>89301212</v>
      </c>
      <c r="F2311" t="str">
        <f>"8061295781"</f>
        <v>8061295781</v>
      </c>
      <c r="G2311" s="1">
        <v>44636</v>
      </c>
      <c r="H2311" t="str">
        <f>"89512"</f>
        <v>89512</v>
      </c>
      <c r="I2311">
        <v>1</v>
      </c>
      <c r="J2311">
        <v>277</v>
      </c>
      <c r="K2311">
        <v>0</v>
      </c>
      <c r="L2311">
        <v>387.8</v>
      </c>
    </row>
    <row r="2312" spans="1:12" x14ac:dyDescent="0.25">
      <c r="A2312" t="str">
        <f t="shared" si="504"/>
        <v>89301000</v>
      </c>
      <c r="B2312" t="str">
        <f t="shared" si="500"/>
        <v>93201000</v>
      </c>
      <c r="C2312" t="str">
        <f t="shared" si="501"/>
        <v>93201350</v>
      </c>
      <c r="D2312" t="str">
        <f t="shared" si="502"/>
        <v>809</v>
      </c>
      <c r="E2312" t="str">
        <f>"89301212"</f>
        <v>89301212</v>
      </c>
      <c r="F2312" t="str">
        <f>"8061295781"</f>
        <v>8061295781</v>
      </c>
      <c r="G2312" s="1">
        <v>44636</v>
      </c>
      <c r="H2312" t="str">
        <f>"89180"</f>
        <v>89180</v>
      </c>
      <c r="I2312">
        <v>2</v>
      </c>
      <c r="J2312">
        <v>752</v>
      </c>
      <c r="K2312">
        <v>0</v>
      </c>
      <c r="L2312">
        <v>1052.8</v>
      </c>
    </row>
    <row r="2313" spans="1:12" x14ac:dyDescent="0.25">
      <c r="A2313" t="str">
        <f t="shared" si="504"/>
        <v>89301000</v>
      </c>
      <c r="B2313" t="str">
        <f t="shared" si="500"/>
        <v>93201000</v>
      </c>
      <c r="C2313" t="str">
        <f t="shared" si="501"/>
        <v>93201350</v>
      </c>
      <c r="D2313" t="str">
        <f t="shared" si="502"/>
        <v>809</v>
      </c>
      <c r="E2313" t="str">
        <f>"89301215"</f>
        <v>89301215</v>
      </c>
      <c r="F2313" t="str">
        <f>"6851010496"</f>
        <v>6851010496</v>
      </c>
      <c r="G2313" s="1">
        <v>44621</v>
      </c>
      <c r="H2313" t="str">
        <f>"89180"</f>
        <v>89180</v>
      </c>
      <c r="I2313">
        <v>2</v>
      </c>
      <c r="J2313">
        <v>752</v>
      </c>
      <c r="K2313">
        <v>0</v>
      </c>
      <c r="L2313">
        <v>1052.8</v>
      </c>
    </row>
    <row r="2314" spans="1:12" x14ac:dyDescent="0.25">
      <c r="A2314" t="str">
        <f t="shared" si="504"/>
        <v>89301000</v>
      </c>
      <c r="B2314" t="str">
        <f t="shared" si="500"/>
        <v>93201000</v>
      </c>
      <c r="C2314" t="str">
        <f t="shared" si="501"/>
        <v>93201350</v>
      </c>
      <c r="D2314" t="str">
        <f t="shared" si="502"/>
        <v>809</v>
      </c>
      <c r="E2314" t="str">
        <f>"89301215"</f>
        <v>89301215</v>
      </c>
      <c r="F2314" t="str">
        <f>"6851010496"</f>
        <v>6851010496</v>
      </c>
      <c r="G2314" s="1">
        <v>44621</v>
      </c>
      <c r="H2314" t="str">
        <f>"89512"</f>
        <v>89512</v>
      </c>
      <c r="I2314">
        <v>1</v>
      </c>
      <c r="J2314">
        <v>277</v>
      </c>
      <c r="K2314">
        <v>0</v>
      </c>
      <c r="L2314">
        <v>387.8</v>
      </c>
    </row>
    <row r="2315" spans="1:12" x14ac:dyDescent="0.25">
      <c r="A2315" t="str">
        <f t="shared" si="504"/>
        <v>89301000</v>
      </c>
      <c r="B2315" t="str">
        <f t="shared" si="500"/>
        <v>93201000</v>
      </c>
      <c r="C2315" t="str">
        <f t="shared" ref="C2315:C2325" si="505">"93201355"</f>
        <v>93201355</v>
      </c>
      <c r="D2315" t="str">
        <f t="shared" ref="D2315:D2325" si="506">"810"</f>
        <v>810</v>
      </c>
      <c r="E2315" t="str">
        <f>"89301062"</f>
        <v>89301062</v>
      </c>
      <c r="F2315" t="str">
        <f>"5901237089"</f>
        <v>5901237089</v>
      </c>
      <c r="G2315" s="1">
        <v>44643</v>
      </c>
      <c r="H2315" t="str">
        <f>"89713"</f>
        <v>89713</v>
      </c>
      <c r="I2315">
        <v>2</v>
      </c>
      <c r="J2315">
        <v>10724</v>
      </c>
      <c r="K2315">
        <v>0</v>
      </c>
      <c r="L2315">
        <v>6434.4</v>
      </c>
    </row>
    <row r="2316" spans="1:12" x14ac:dyDescent="0.25">
      <c r="A2316" t="str">
        <f t="shared" si="504"/>
        <v>89301000</v>
      </c>
      <c r="B2316" t="str">
        <f t="shared" si="500"/>
        <v>93201000</v>
      </c>
      <c r="C2316" t="str">
        <f t="shared" si="505"/>
        <v>93201355</v>
      </c>
      <c r="D2316" t="str">
        <f t="shared" si="506"/>
        <v>810</v>
      </c>
      <c r="E2316" t="str">
        <f>"89301062"</f>
        <v>89301062</v>
      </c>
      <c r="F2316" t="str">
        <f>"5901237089"</f>
        <v>5901237089</v>
      </c>
      <c r="G2316" s="1">
        <v>44643</v>
      </c>
      <c r="H2316" t="str">
        <f>"0054255"</f>
        <v>0054255</v>
      </c>
      <c r="I2316">
        <v>0.5</v>
      </c>
      <c r="K2316">
        <v>843.46</v>
      </c>
      <c r="L2316">
        <v>843.46</v>
      </c>
    </row>
    <row r="2317" spans="1:12" x14ac:dyDescent="0.25">
      <c r="A2317" t="str">
        <f t="shared" si="504"/>
        <v>89301000</v>
      </c>
      <c r="B2317" t="str">
        <f t="shared" si="500"/>
        <v>93201000</v>
      </c>
      <c r="C2317" t="str">
        <f t="shared" si="505"/>
        <v>93201355</v>
      </c>
      <c r="D2317" t="str">
        <f t="shared" si="506"/>
        <v>810</v>
      </c>
      <c r="E2317" t="str">
        <f>"89301172"</f>
        <v>89301172</v>
      </c>
      <c r="F2317" t="str">
        <f>"7553235734"</f>
        <v>7553235734</v>
      </c>
      <c r="G2317" s="1">
        <v>44630</v>
      </c>
      <c r="H2317" t="str">
        <f>"89725"</f>
        <v>89725</v>
      </c>
      <c r="I2317">
        <v>1</v>
      </c>
      <c r="J2317">
        <v>2839</v>
      </c>
      <c r="K2317">
        <v>0</v>
      </c>
      <c r="L2317">
        <v>1703.4</v>
      </c>
    </row>
    <row r="2318" spans="1:12" x14ac:dyDescent="0.25">
      <c r="A2318" t="str">
        <f t="shared" si="504"/>
        <v>89301000</v>
      </c>
      <c r="B2318" t="str">
        <f t="shared" si="500"/>
        <v>93201000</v>
      </c>
      <c r="C2318" t="str">
        <f t="shared" si="505"/>
        <v>93201355</v>
      </c>
      <c r="D2318" t="str">
        <f t="shared" si="506"/>
        <v>810</v>
      </c>
      <c r="E2318" t="str">
        <f>"89301172"</f>
        <v>89301172</v>
      </c>
      <c r="F2318" t="str">
        <f>"7553235734"</f>
        <v>7553235734</v>
      </c>
      <c r="G2318" s="1">
        <v>44630</v>
      </c>
      <c r="H2318" t="str">
        <f>"89713"</f>
        <v>89713</v>
      </c>
      <c r="I2318">
        <v>1</v>
      </c>
      <c r="J2318">
        <v>5362</v>
      </c>
      <c r="K2318">
        <v>0</v>
      </c>
      <c r="L2318">
        <v>3217.2</v>
      </c>
    </row>
    <row r="2319" spans="1:12" x14ac:dyDescent="0.25">
      <c r="A2319" t="str">
        <f t="shared" si="504"/>
        <v>89301000</v>
      </c>
      <c r="B2319" t="str">
        <f t="shared" si="500"/>
        <v>93201000</v>
      </c>
      <c r="C2319" t="str">
        <f t="shared" si="505"/>
        <v>93201355</v>
      </c>
      <c r="D2319" t="str">
        <f t="shared" si="506"/>
        <v>810</v>
      </c>
      <c r="E2319" t="str">
        <f>"89301062"</f>
        <v>89301062</v>
      </c>
      <c r="F2319" t="str">
        <f>"6961065771"</f>
        <v>6961065771</v>
      </c>
      <c r="G2319" s="1">
        <v>44651</v>
      </c>
      <c r="H2319" t="str">
        <f>"89713"</f>
        <v>89713</v>
      </c>
      <c r="I2319">
        <v>2</v>
      </c>
      <c r="J2319">
        <v>10724</v>
      </c>
      <c r="K2319">
        <v>0</v>
      </c>
      <c r="L2319">
        <v>6434.4</v>
      </c>
    </row>
    <row r="2320" spans="1:12" x14ac:dyDescent="0.25">
      <c r="A2320" t="str">
        <f t="shared" si="504"/>
        <v>89301000</v>
      </c>
      <c r="B2320" t="str">
        <f t="shared" si="500"/>
        <v>93201000</v>
      </c>
      <c r="C2320" t="str">
        <f t="shared" si="505"/>
        <v>93201355</v>
      </c>
      <c r="D2320" t="str">
        <f t="shared" si="506"/>
        <v>810</v>
      </c>
      <c r="E2320" t="str">
        <f>"89301062"</f>
        <v>89301062</v>
      </c>
      <c r="F2320" t="str">
        <f>"6961065771"</f>
        <v>6961065771</v>
      </c>
      <c r="G2320" s="1">
        <v>44651</v>
      </c>
      <c r="H2320" t="str">
        <f>"0054255"</f>
        <v>0054255</v>
      </c>
      <c r="I2320">
        <v>1</v>
      </c>
      <c r="K2320">
        <v>1686.92</v>
      </c>
      <c r="L2320">
        <v>1686.92</v>
      </c>
    </row>
    <row r="2321" spans="1:12" x14ac:dyDescent="0.25">
      <c r="A2321" t="str">
        <f t="shared" si="504"/>
        <v>89301000</v>
      </c>
      <c r="B2321" t="str">
        <f t="shared" si="500"/>
        <v>93201000</v>
      </c>
      <c r="C2321" t="str">
        <f t="shared" si="505"/>
        <v>93201355</v>
      </c>
      <c r="D2321" t="str">
        <f t="shared" si="506"/>
        <v>810</v>
      </c>
      <c r="E2321" t="str">
        <f>"89301132"</f>
        <v>89301132</v>
      </c>
      <c r="F2321" t="str">
        <f>"7258265762"</f>
        <v>7258265762</v>
      </c>
      <c r="G2321" s="1">
        <v>44642</v>
      </c>
      <c r="H2321" t="str">
        <f>"89713"</f>
        <v>89713</v>
      </c>
      <c r="I2321">
        <v>2</v>
      </c>
      <c r="J2321">
        <v>10724</v>
      </c>
      <c r="K2321">
        <v>0</v>
      </c>
      <c r="L2321">
        <v>6434.4</v>
      </c>
    </row>
    <row r="2322" spans="1:12" x14ac:dyDescent="0.25">
      <c r="A2322" t="str">
        <f t="shared" si="504"/>
        <v>89301000</v>
      </c>
      <c r="B2322" t="str">
        <f t="shared" si="500"/>
        <v>93201000</v>
      </c>
      <c r="C2322" t="str">
        <f t="shared" si="505"/>
        <v>93201355</v>
      </c>
      <c r="D2322" t="str">
        <f t="shared" si="506"/>
        <v>810</v>
      </c>
      <c r="E2322" t="str">
        <f>"89301132"</f>
        <v>89301132</v>
      </c>
      <c r="F2322" t="str">
        <f>"7258265762"</f>
        <v>7258265762</v>
      </c>
      <c r="G2322" s="1">
        <v>44642</v>
      </c>
      <c r="H2322" t="str">
        <f>"0054253"</f>
        <v>0054253</v>
      </c>
      <c r="I2322">
        <v>1</v>
      </c>
      <c r="K2322">
        <v>843.46</v>
      </c>
      <c r="L2322">
        <v>843.46</v>
      </c>
    </row>
    <row r="2323" spans="1:12" x14ac:dyDescent="0.25">
      <c r="A2323" t="str">
        <f t="shared" si="504"/>
        <v>89301000</v>
      </c>
      <c r="B2323" t="str">
        <f t="shared" si="500"/>
        <v>93201000</v>
      </c>
      <c r="C2323" t="str">
        <f t="shared" si="505"/>
        <v>93201355</v>
      </c>
      <c r="D2323" t="str">
        <f t="shared" si="506"/>
        <v>810</v>
      </c>
      <c r="E2323" t="str">
        <f>"89301062"</f>
        <v>89301062</v>
      </c>
      <c r="F2323" t="str">
        <f>"465919512"</f>
        <v>465919512</v>
      </c>
      <c r="G2323" s="1">
        <v>44651</v>
      </c>
      <c r="H2323" t="str">
        <f>"89713"</f>
        <v>89713</v>
      </c>
      <c r="I2323">
        <v>1</v>
      </c>
      <c r="J2323">
        <v>5362</v>
      </c>
      <c r="K2323">
        <v>0</v>
      </c>
      <c r="L2323">
        <v>3217.2</v>
      </c>
    </row>
    <row r="2324" spans="1:12" x14ac:dyDescent="0.25">
      <c r="A2324" t="str">
        <f t="shared" si="504"/>
        <v>89301000</v>
      </c>
      <c r="B2324" t="str">
        <f t="shared" si="500"/>
        <v>93201000</v>
      </c>
      <c r="C2324" t="str">
        <f t="shared" si="505"/>
        <v>93201355</v>
      </c>
      <c r="D2324" t="str">
        <f t="shared" si="506"/>
        <v>810</v>
      </c>
      <c r="E2324" t="str">
        <f>"89301062"</f>
        <v>89301062</v>
      </c>
      <c r="F2324" t="str">
        <f>"7510285783"</f>
        <v>7510285783</v>
      </c>
      <c r="G2324" s="1">
        <v>44648</v>
      </c>
      <c r="H2324" t="str">
        <f>"89713"</f>
        <v>89713</v>
      </c>
      <c r="I2324">
        <v>1</v>
      </c>
      <c r="J2324">
        <v>5362</v>
      </c>
      <c r="K2324">
        <v>0</v>
      </c>
      <c r="L2324">
        <v>3217.2</v>
      </c>
    </row>
    <row r="2325" spans="1:12" x14ac:dyDescent="0.25">
      <c r="A2325" t="str">
        <f t="shared" si="504"/>
        <v>89301000</v>
      </c>
      <c r="B2325" t="str">
        <f t="shared" si="500"/>
        <v>93201000</v>
      </c>
      <c r="C2325" t="str">
        <f t="shared" si="505"/>
        <v>93201355</v>
      </c>
      <c r="D2325" t="str">
        <f t="shared" si="506"/>
        <v>810</v>
      </c>
      <c r="E2325" t="str">
        <f>"89301062"</f>
        <v>89301062</v>
      </c>
      <c r="F2325" t="str">
        <f>"9451296140"</f>
        <v>9451296140</v>
      </c>
      <c r="G2325" s="1">
        <v>44649</v>
      </c>
      <c r="H2325" t="str">
        <f>"89713"</f>
        <v>89713</v>
      </c>
      <c r="I2325">
        <v>1</v>
      </c>
      <c r="J2325">
        <v>5362</v>
      </c>
      <c r="K2325">
        <v>0</v>
      </c>
      <c r="L2325">
        <v>3217.2</v>
      </c>
    </row>
    <row r="2326" spans="1:12" x14ac:dyDescent="0.25">
      <c r="A2326" t="str">
        <f t="shared" si="504"/>
        <v>89301000</v>
      </c>
      <c r="B2326" t="str">
        <f>"93507000"</f>
        <v>93507000</v>
      </c>
      <c r="C2326" t="str">
        <f>"93507001"</f>
        <v>93507001</v>
      </c>
      <c r="D2326" t="str">
        <f>"809"</f>
        <v>809</v>
      </c>
      <c r="E2326" t="str">
        <f>"89301212"</f>
        <v>89301212</v>
      </c>
      <c r="F2326" t="str">
        <f>"6954265769"</f>
        <v>6954265769</v>
      </c>
      <c r="G2326" s="1">
        <v>44638</v>
      </c>
      <c r="H2326" t="str">
        <f>"89131"</f>
        <v>89131</v>
      </c>
      <c r="I2326">
        <v>1</v>
      </c>
      <c r="J2326">
        <v>187</v>
      </c>
      <c r="K2326">
        <v>0</v>
      </c>
      <c r="L2326">
        <v>261.8</v>
      </c>
    </row>
    <row r="2327" spans="1:12" x14ac:dyDescent="0.25">
      <c r="A2327" t="str">
        <f t="shared" si="504"/>
        <v>89301000</v>
      </c>
      <c r="B2327" t="str">
        <f>"93507000"</f>
        <v>93507000</v>
      </c>
      <c r="C2327" t="str">
        <f>"93507001"</f>
        <v>93507001</v>
      </c>
      <c r="D2327" t="str">
        <f>"809"</f>
        <v>809</v>
      </c>
      <c r="E2327" t="str">
        <f>"89301212"</f>
        <v>89301212</v>
      </c>
      <c r="F2327" t="str">
        <f>"6954265769"</f>
        <v>6954265769</v>
      </c>
      <c r="G2327" s="1">
        <v>44638</v>
      </c>
      <c r="H2327" t="str">
        <f>"89514"</f>
        <v>89514</v>
      </c>
      <c r="I2327">
        <v>1</v>
      </c>
      <c r="J2327">
        <v>371</v>
      </c>
      <c r="K2327">
        <v>0</v>
      </c>
      <c r="L2327">
        <v>519.4</v>
      </c>
    </row>
    <row r="2328" spans="1:12" x14ac:dyDescent="0.25">
      <c r="A2328" t="str">
        <f t="shared" si="504"/>
        <v>89301000</v>
      </c>
      <c r="B2328" t="str">
        <f>"93507000"</f>
        <v>93507000</v>
      </c>
      <c r="C2328" t="str">
        <f>"93507001"</f>
        <v>93507001</v>
      </c>
      <c r="D2328" t="str">
        <f>"809"</f>
        <v>809</v>
      </c>
      <c r="E2328" t="str">
        <f>"89301212"</f>
        <v>89301212</v>
      </c>
      <c r="F2328" t="str">
        <f>"6954265769"</f>
        <v>6954265769</v>
      </c>
      <c r="G2328" s="1">
        <v>44638</v>
      </c>
      <c r="H2328" t="str">
        <f>"89513"</f>
        <v>89513</v>
      </c>
      <c r="I2328">
        <v>1</v>
      </c>
      <c r="J2328">
        <v>371</v>
      </c>
      <c r="K2328">
        <v>0</v>
      </c>
      <c r="L2328">
        <v>519.4</v>
      </c>
    </row>
    <row r="2329" spans="1:12" x14ac:dyDescent="0.25">
      <c r="A2329" t="str">
        <f t="shared" si="504"/>
        <v>89301000</v>
      </c>
      <c r="B2329" t="str">
        <f t="shared" ref="B2329:B2360" si="507">"72100000"</f>
        <v>72100000</v>
      </c>
      <c r="C2329" t="str">
        <f>"72100632"</f>
        <v>72100632</v>
      </c>
      <c r="D2329" t="str">
        <f>"816"</f>
        <v>816</v>
      </c>
      <c r="E2329" t="str">
        <f>"89301282"</f>
        <v>89301282</v>
      </c>
      <c r="F2329" t="str">
        <f>"9459115721"</f>
        <v>9459115721</v>
      </c>
      <c r="G2329" s="1">
        <v>44641</v>
      </c>
      <c r="H2329" t="str">
        <f>"94351"</f>
        <v>94351</v>
      </c>
      <c r="I2329">
        <v>1</v>
      </c>
      <c r="J2329">
        <v>1709</v>
      </c>
      <c r="K2329">
        <v>0</v>
      </c>
      <c r="L2329">
        <v>1452.65</v>
      </c>
    </row>
    <row r="2330" spans="1:12" x14ac:dyDescent="0.25">
      <c r="A2330" t="str">
        <f t="shared" si="504"/>
        <v>89301000</v>
      </c>
      <c r="B2330" t="str">
        <f t="shared" si="507"/>
        <v>72100000</v>
      </c>
      <c r="C2330" t="str">
        <f>"72100632"</f>
        <v>72100632</v>
      </c>
      <c r="D2330" t="str">
        <f>"816"</f>
        <v>816</v>
      </c>
      <c r="E2330" t="str">
        <f>"89301282"</f>
        <v>89301282</v>
      </c>
      <c r="F2330" t="str">
        <f>"9459115721"</f>
        <v>9459115721</v>
      </c>
      <c r="G2330" s="1">
        <v>44641</v>
      </c>
      <c r="H2330" t="str">
        <f>"94351"</f>
        <v>94351</v>
      </c>
      <c r="I2330">
        <v>1</v>
      </c>
      <c r="J2330">
        <v>1709</v>
      </c>
      <c r="K2330">
        <v>0</v>
      </c>
      <c r="L2330">
        <v>1452.65</v>
      </c>
    </row>
    <row r="2331" spans="1:12" x14ac:dyDescent="0.25">
      <c r="A2331" t="str">
        <f t="shared" si="504"/>
        <v>89301000</v>
      </c>
      <c r="B2331" t="str">
        <f t="shared" si="507"/>
        <v>72100000</v>
      </c>
      <c r="C2331" t="str">
        <f>"72100632"</f>
        <v>72100632</v>
      </c>
      <c r="D2331" t="str">
        <f>"816"</f>
        <v>816</v>
      </c>
      <c r="E2331" t="str">
        <f>"89301282"</f>
        <v>89301282</v>
      </c>
      <c r="F2331" t="str">
        <f>"2104090340"</f>
        <v>2104090340</v>
      </c>
      <c r="G2331" s="1">
        <v>44641</v>
      </c>
      <c r="H2331" t="str">
        <f>"94351"</f>
        <v>94351</v>
      </c>
      <c r="I2331">
        <v>1</v>
      </c>
      <c r="J2331">
        <v>1709</v>
      </c>
      <c r="K2331">
        <v>0</v>
      </c>
      <c r="L2331">
        <v>1452.65</v>
      </c>
    </row>
    <row r="2332" spans="1:12" x14ac:dyDescent="0.25">
      <c r="A2332" t="str">
        <f t="shared" si="504"/>
        <v>89301000</v>
      </c>
      <c r="B2332" t="str">
        <f t="shared" si="507"/>
        <v>72100000</v>
      </c>
      <c r="C2332" t="str">
        <f>"72100632"</f>
        <v>72100632</v>
      </c>
      <c r="D2332" t="str">
        <f>"816"</f>
        <v>816</v>
      </c>
      <c r="E2332" t="str">
        <f>"89301282"</f>
        <v>89301282</v>
      </c>
      <c r="F2332" t="str">
        <f>"2104090340"</f>
        <v>2104090340</v>
      </c>
      <c r="G2332" s="1">
        <v>44641</v>
      </c>
      <c r="H2332" t="str">
        <f>"94351"</f>
        <v>94351</v>
      </c>
      <c r="I2332">
        <v>1</v>
      </c>
      <c r="J2332">
        <v>1709</v>
      </c>
      <c r="K2332">
        <v>0</v>
      </c>
      <c r="L2332">
        <v>1452.65</v>
      </c>
    </row>
    <row r="2333" spans="1:12" x14ac:dyDescent="0.25">
      <c r="A2333" t="str">
        <f t="shared" si="504"/>
        <v>89301000</v>
      </c>
      <c r="B2333" t="str">
        <f t="shared" si="507"/>
        <v>72100000</v>
      </c>
      <c r="C2333" t="str">
        <f>"72100455"</f>
        <v>72100455</v>
      </c>
      <c r="D2333" t="str">
        <f>"807"</f>
        <v>807</v>
      </c>
      <c r="E2333" t="str">
        <f>"89301041"</f>
        <v>89301041</v>
      </c>
      <c r="F2333" t="str">
        <f>"6411061129"</f>
        <v>6411061129</v>
      </c>
      <c r="G2333" s="1">
        <v>44594</v>
      </c>
      <c r="H2333" t="str">
        <f>"87231"</f>
        <v>87231</v>
      </c>
      <c r="I2333">
        <v>2</v>
      </c>
      <c r="J2333">
        <v>748</v>
      </c>
      <c r="K2333">
        <v>0</v>
      </c>
      <c r="L2333">
        <v>583.44000000000005</v>
      </c>
    </row>
    <row r="2334" spans="1:12" x14ac:dyDescent="0.25">
      <c r="A2334" t="str">
        <f t="shared" si="504"/>
        <v>89301000</v>
      </c>
      <c r="B2334" t="str">
        <f t="shared" si="507"/>
        <v>72100000</v>
      </c>
      <c r="C2334" t="str">
        <f t="shared" ref="C2334:C2365" si="508">"72100632"</f>
        <v>72100632</v>
      </c>
      <c r="D2334" t="str">
        <f t="shared" ref="D2334:D2365" si="509">"816"</f>
        <v>816</v>
      </c>
      <c r="E2334" t="str">
        <f t="shared" ref="E2334:E2365" si="510">"89301091"</f>
        <v>89301091</v>
      </c>
      <c r="F2334" t="str">
        <f>"2251250111"</f>
        <v>2251250111</v>
      </c>
      <c r="G2334" s="1">
        <v>44594</v>
      </c>
      <c r="H2334" t="str">
        <f t="shared" ref="H2334:H2365" si="511">"94297"</f>
        <v>94297</v>
      </c>
      <c r="I2334">
        <v>1</v>
      </c>
      <c r="J2334">
        <v>298</v>
      </c>
      <c r="K2334">
        <v>0</v>
      </c>
      <c r="L2334">
        <v>366.54</v>
      </c>
    </row>
    <row r="2335" spans="1:12" x14ac:dyDescent="0.25">
      <c r="A2335" t="str">
        <f t="shared" si="504"/>
        <v>89301000</v>
      </c>
      <c r="B2335" t="str">
        <f t="shared" si="507"/>
        <v>72100000</v>
      </c>
      <c r="C2335" t="str">
        <f t="shared" si="508"/>
        <v>72100632</v>
      </c>
      <c r="D2335" t="str">
        <f t="shared" si="509"/>
        <v>816</v>
      </c>
      <c r="E2335" t="str">
        <f t="shared" si="510"/>
        <v>89301091</v>
      </c>
      <c r="F2335" t="str">
        <f>"2251260132"</f>
        <v>2251260132</v>
      </c>
      <c r="G2335" s="1">
        <v>44595</v>
      </c>
      <c r="H2335" t="str">
        <f t="shared" si="511"/>
        <v>94297</v>
      </c>
      <c r="I2335">
        <v>1</v>
      </c>
      <c r="J2335">
        <v>298</v>
      </c>
      <c r="K2335">
        <v>0</v>
      </c>
      <c r="L2335">
        <v>366.54</v>
      </c>
    </row>
    <row r="2336" spans="1:12" x14ac:dyDescent="0.25">
      <c r="A2336" t="str">
        <f t="shared" si="504"/>
        <v>89301000</v>
      </c>
      <c r="B2336" t="str">
        <f t="shared" si="507"/>
        <v>72100000</v>
      </c>
      <c r="C2336" t="str">
        <f t="shared" si="508"/>
        <v>72100632</v>
      </c>
      <c r="D2336" t="str">
        <f t="shared" si="509"/>
        <v>816</v>
      </c>
      <c r="E2336" t="str">
        <f t="shared" si="510"/>
        <v>89301091</v>
      </c>
      <c r="F2336" t="str">
        <f>"2251270736"</f>
        <v>2251270736</v>
      </c>
      <c r="G2336" s="1">
        <v>44595</v>
      </c>
      <c r="H2336" t="str">
        <f t="shared" si="511"/>
        <v>94297</v>
      </c>
      <c r="I2336">
        <v>1</v>
      </c>
      <c r="J2336">
        <v>298</v>
      </c>
      <c r="K2336">
        <v>0</v>
      </c>
      <c r="L2336">
        <v>366.54</v>
      </c>
    </row>
    <row r="2337" spans="1:12" x14ac:dyDescent="0.25">
      <c r="A2337" t="str">
        <f t="shared" si="504"/>
        <v>89301000</v>
      </c>
      <c r="B2337" t="str">
        <f t="shared" si="507"/>
        <v>72100000</v>
      </c>
      <c r="C2337" t="str">
        <f t="shared" si="508"/>
        <v>72100632</v>
      </c>
      <c r="D2337" t="str">
        <f t="shared" si="509"/>
        <v>816</v>
      </c>
      <c r="E2337" t="str">
        <f t="shared" si="510"/>
        <v>89301091</v>
      </c>
      <c r="F2337" t="str">
        <f>"2251270131"</f>
        <v>2251270131</v>
      </c>
      <c r="G2337" s="1">
        <v>44595</v>
      </c>
      <c r="H2337" t="str">
        <f t="shared" si="511"/>
        <v>94297</v>
      </c>
      <c r="I2337">
        <v>1</v>
      </c>
      <c r="J2337">
        <v>298</v>
      </c>
      <c r="K2337">
        <v>0</v>
      </c>
      <c r="L2337">
        <v>366.54</v>
      </c>
    </row>
    <row r="2338" spans="1:12" x14ac:dyDescent="0.25">
      <c r="A2338" t="str">
        <f t="shared" si="504"/>
        <v>89301000</v>
      </c>
      <c r="B2338" t="str">
        <f t="shared" si="507"/>
        <v>72100000</v>
      </c>
      <c r="C2338" t="str">
        <f t="shared" si="508"/>
        <v>72100632</v>
      </c>
      <c r="D2338" t="str">
        <f t="shared" si="509"/>
        <v>816</v>
      </c>
      <c r="E2338" t="str">
        <f t="shared" si="510"/>
        <v>89301091</v>
      </c>
      <c r="F2338" t="str">
        <f>"2201270698"</f>
        <v>2201270698</v>
      </c>
      <c r="G2338" s="1">
        <v>44595</v>
      </c>
      <c r="H2338" t="str">
        <f t="shared" si="511"/>
        <v>94297</v>
      </c>
      <c r="I2338">
        <v>1</v>
      </c>
      <c r="J2338">
        <v>298</v>
      </c>
      <c r="K2338">
        <v>0</v>
      </c>
      <c r="L2338">
        <v>366.54</v>
      </c>
    </row>
    <row r="2339" spans="1:12" x14ac:dyDescent="0.25">
      <c r="A2339" t="str">
        <f t="shared" si="504"/>
        <v>89301000</v>
      </c>
      <c r="B2339" t="str">
        <f t="shared" si="507"/>
        <v>72100000</v>
      </c>
      <c r="C2339" t="str">
        <f t="shared" si="508"/>
        <v>72100632</v>
      </c>
      <c r="D2339" t="str">
        <f t="shared" si="509"/>
        <v>816</v>
      </c>
      <c r="E2339" t="str">
        <f t="shared" si="510"/>
        <v>89301091</v>
      </c>
      <c r="F2339" t="str">
        <f>"2251280064"</f>
        <v>2251280064</v>
      </c>
      <c r="G2339" s="1">
        <v>44595</v>
      </c>
      <c r="H2339" t="str">
        <f t="shared" si="511"/>
        <v>94297</v>
      </c>
      <c r="I2339">
        <v>1</v>
      </c>
      <c r="J2339">
        <v>298</v>
      </c>
      <c r="K2339">
        <v>0</v>
      </c>
      <c r="L2339">
        <v>366.54</v>
      </c>
    </row>
    <row r="2340" spans="1:12" x14ac:dyDescent="0.25">
      <c r="A2340" t="str">
        <f t="shared" si="504"/>
        <v>89301000</v>
      </c>
      <c r="B2340" t="str">
        <f t="shared" si="507"/>
        <v>72100000</v>
      </c>
      <c r="C2340" t="str">
        <f t="shared" si="508"/>
        <v>72100632</v>
      </c>
      <c r="D2340" t="str">
        <f t="shared" si="509"/>
        <v>816</v>
      </c>
      <c r="E2340" t="str">
        <f t="shared" si="510"/>
        <v>89301091</v>
      </c>
      <c r="F2340" t="str">
        <f>"2201280158"</f>
        <v>2201280158</v>
      </c>
      <c r="G2340" s="1">
        <v>44595</v>
      </c>
      <c r="H2340" t="str">
        <f t="shared" si="511"/>
        <v>94297</v>
      </c>
      <c r="I2340">
        <v>1</v>
      </c>
      <c r="J2340">
        <v>298</v>
      </c>
      <c r="K2340">
        <v>0</v>
      </c>
      <c r="L2340">
        <v>366.54</v>
      </c>
    </row>
    <row r="2341" spans="1:12" x14ac:dyDescent="0.25">
      <c r="A2341" t="str">
        <f t="shared" si="504"/>
        <v>89301000</v>
      </c>
      <c r="B2341" t="str">
        <f t="shared" si="507"/>
        <v>72100000</v>
      </c>
      <c r="C2341" t="str">
        <f t="shared" si="508"/>
        <v>72100632</v>
      </c>
      <c r="D2341" t="str">
        <f t="shared" si="509"/>
        <v>816</v>
      </c>
      <c r="E2341" t="str">
        <f t="shared" si="510"/>
        <v>89301091</v>
      </c>
      <c r="F2341" t="str">
        <f>"9556296079"</f>
        <v>9556296079</v>
      </c>
      <c r="G2341" s="1">
        <v>44595</v>
      </c>
      <c r="H2341" t="str">
        <f t="shared" si="511"/>
        <v>94297</v>
      </c>
      <c r="I2341">
        <v>1</v>
      </c>
      <c r="J2341">
        <v>298</v>
      </c>
      <c r="K2341">
        <v>0</v>
      </c>
      <c r="L2341">
        <v>366.54</v>
      </c>
    </row>
    <row r="2342" spans="1:12" x14ac:dyDescent="0.25">
      <c r="A2342" t="str">
        <f t="shared" si="504"/>
        <v>89301000</v>
      </c>
      <c r="B2342" t="str">
        <f t="shared" si="507"/>
        <v>72100000</v>
      </c>
      <c r="C2342" t="str">
        <f t="shared" si="508"/>
        <v>72100632</v>
      </c>
      <c r="D2342" t="str">
        <f t="shared" si="509"/>
        <v>816</v>
      </c>
      <c r="E2342" t="str">
        <f t="shared" si="510"/>
        <v>89301091</v>
      </c>
      <c r="F2342" t="str">
        <f>"9651024845"</f>
        <v>9651024845</v>
      </c>
      <c r="G2342" s="1">
        <v>44595</v>
      </c>
      <c r="H2342" t="str">
        <f t="shared" si="511"/>
        <v>94297</v>
      </c>
      <c r="I2342">
        <v>1</v>
      </c>
      <c r="J2342">
        <v>298</v>
      </c>
      <c r="K2342">
        <v>0</v>
      </c>
      <c r="L2342">
        <v>366.54</v>
      </c>
    </row>
    <row r="2343" spans="1:12" x14ac:dyDescent="0.25">
      <c r="A2343" t="str">
        <f t="shared" si="504"/>
        <v>89301000</v>
      </c>
      <c r="B2343" t="str">
        <f t="shared" si="507"/>
        <v>72100000</v>
      </c>
      <c r="C2343" t="str">
        <f t="shared" si="508"/>
        <v>72100632</v>
      </c>
      <c r="D2343" t="str">
        <f t="shared" si="509"/>
        <v>816</v>
      </c>
      <c r="E2343" t="str">
        <f t="shared" si="510"/>
        <v>89301091</v>
      </c>
      <c r="F2343" t="str">
        <f>"8957045757"</f>
        <v>8957045757</v>
      </c>
      <c r="G2343" s="1">
        <v>44595</v>
      </c>
      <c r="H2343" t="str">
        <f t="shared" si="511"/>
        <v>94297</v>
      </c>
      <c r="I2343">
        <v>1</v>
      </c>
      <c r="J2343">
        <v>298</v>
      </c>
      <c r="K2343">
        <v>0</v>
      </c>
      <c r="L2343">
        <v>366.54</v>
      </c>
    </row>
    <row r="2344" spans="1:12" x14ac:dyDescent="0.25">
      <c r="A2344" t="str">
        <f t="shared" si="504"/>
        <v>89301000</v>
      </c>
      <c r="B2344" t="str">
        <f t="shared" si="507"/>
        <v>72100000</v>
      </c>
      <c r="C2344" t="str">
        <f t="shared" si="508"/>
        <v>72100632</v>
      </c>
      <c r="D2344" t="str">
        <f t="shared" si="509"/>
        <v>816</v>
      </c>
      <c r="E2344" t="str">
        <f t="shared" si="510"/>
        <v>89301091</v>
      </c>
      <c r="F2344" t="str">
        <f>"2251300304"</f>
        <v>2251300304</v>
      </c>
      <c r="G2344" s="1">
        <v>44599</v>
      </c>
      <c r="H2344" t="str">
        <f t="shared" si="511"/>
        <v>94297</v>
      </c>
      <c r="I2344">
        <v>1</v>
      </c>
      <c r="J2344">
        <v>298</v>
      </c>
      <c r="K2344">
        <v>0</v>
      </c>
      <c r="L2344">
        <v>366.54</v>
      </c>
    </row>
    <row r="2345" spans="1:12" x14ac:dyDescent="0.25">
      <c r="A2345" t="str">
        <f t="shared" si="504"/>
        <v>89301000</v>
      </c>
      <c r="B2345" t="str">
        <f t="shared" si="507"/>
        <v>72100000</v>
      </c>
      <c r="C2345" t="str">
        <f t="shared" si="508"/>
        <v>72100632</v>
      </c>
      <c r="D2345" t="str">
        <f t="shared" si="509"/>
        <v>816</v>
      </c>
      <c r="E2345" t="str">
        <f t="shared" si="510"/>
        <v>89301091</v>
      </c>
      <c r="F2345" t="str">
        <f>"2251300315"</f>
        <v>2251300315</v>
      </c>
      <c r="G2345" s="1">
        <v>44599</v>
      </c>
      <c r="H2345" t="str">
        <f t="shared" si="511"/>
        <v>94297</v>
      </c>
      <c r="I2345">
        <v>1</v>
      </c>
      <c r="J2345">
        <v>298</v>
      </c>
      <c r="K2345">
        <v>0</v>
      </c>
      <c r="L2345">
        <v>366.54</v>
      </c>
    </row>
    <row r="2346" spans="1:12" x14ac:dyDescent="0.25">
      <c r="A2346" t="str">
        <f t="shared" si="504"/>
        <v>89301000</v>
      </c>
      <c r="B2346" t="str">
        <f t="shared" si="507"/>
        <v>72100000</v>
      </c>
      <c r="C2346" t="str">
        <f t="shared" si="508"/>
        <v>72100632</v>
      </c>
      <c r="D2346" t="str">
        <f t="shared" si="509"/>
        <v>816</v>
      </c>
      <c r="E2346" t="str">
        <f t="shared" si="510"/>
        <v>89301091</v>
      </c>
      <c r="F2346" t="str">
        <f>"2251300326"</f>
        <v>2251300326</v>
      </c>
      <c r="G2346" s="1">
        <v>44599</v>
      </c>
      <c r="H2346" t="str">
        <f t="shared" si="511"/>
        <v>94297</v>
      </c>
      <c r="I2346">
        <v>1</v>
      </c>
      <c r="J2346">
        <v>298</v>
      </c>
      <c r="K2346">
        <v>0</v>
      </c>
      <c r="L2346">
        <v>366.54</v>
      </c>
    </row>
    <row r="2347" spans="1:12" x14ac:dyDescent="0.25">
      <c r="A2347" t="str">
        <f t="shared" si="504"/>
        <v>89301000</v>
      </c>
      <c r="B2347" t="str">
        <f t="shared" si="507"/>
        <v>72100000</v>
      </c>
      <c r="C2347" t="str">
        <f t="shared" si="508"/>
        <v>72100632</v>
      </c>
      <c r="D2347" t="str">
        <f t="shared" si="509"/>
        <v>816</v>
      </c>
      <c r="E2347" t="str">
        <f t="shared" si="510"/>
        <v>89301091</v>
      </c>
      <c r="F2347" t="str">
        <f>"2251300337"</f>
        <v>2251300337</v>
      </c>
      <c r="G2347" s="1">
        <v>44599</v>
      </c>
      <c r="H2347" t="str">
        <f t="shared" si="511"/>
        <v>94297</v>
      </c>
      <c r="I2347">
        <v>1</v>
      </c>
      <c r="J2347">
        <v>298</v>
      </c>
      <c r="K2347">
        <v>0</v>
      </c>
      <c r="L2347">
        <v>366.54</v>
      </c>
    </row>
    <row r="2348" spans="1:12" x14ac:dyDescent="0.25">
      <c r="A2348" t="str">
        <f t="shared" si="504"/>
        <v>89301000</v>
      </c>
      <c r="B2348" t="str">
        <f t="shared" si="507"/>
        <v>72100000</v>
      </c>
      <c r="C2348" t="str">
        <f t="shared" si="508"/>
        <v>72100632</v>
      </c>
      <c r="D2348" t="str">
        <f t="shared" si="509"/>
        <v>816</v>
      </c>
      <c r="E2348" t="str">
        <f t="shared" si="510"/>
        <v>89301091</v>
      </c>
      <c r="F2348" t="str">
        <f>"2251300348"</f>
        <v>2251300348</v>
      </c>
      <c r="G2348" s="1">
        <v>44599</v>
      </c>
      <c r="H2348" t="str">
        <f t="shared" si="511"/>
        <v>94297</v>
      </c>
      <c r="I2348">
        <v>1</v>
      </c>
      <c r="J2348">
        <v>298</v>
      </c>
      <c r="K2348">
        <v>0</v>
      </c>
      <c r="L2348">
        <v>366.54</v>
      </c>
    </row>
    <row r="2349" spans="1:12" x14ac:dyDescent="0.25">
      <c r="A2349" t="str">
        <f t="shared" si="504"/>
        <v>89301000</v>
      </c>
      <c r="B2349" t="str">
        <f t="shared" si="507"/>
        <v>72100000</v>
      </c>
      <c r="C2349" t="str">
        <f t="shared" si="508"/>
        <v>72100632</v>
      </c>
      <c r="D2349" t="str">
        <f t="shared" si="509"/>
        <v>816</v>
      </c>
      <c r="E2349" t="str">
        <f t="shared" si="510"/>
        <v>89301091</v>
      </c>
      <c r="F2349" t="str">
        <f>"2251290283"</f>
        <v>2251290283</v>
      </c>
      <c r="G2349" s="1">
        <v>44599</v>
      </c>
      <c r="H2349" t="str">
        <f t="shared" si="511"/>
        <v>94297</v>
      </c>
      <c r="I2349">
        <v>1</v>
      </c>
      <c r="J2349">
        <v>298</v>
      </c>
      <c r="K2349">
        <v>0</v>
      </c>
      <c r="L2349">
        <v>366.54</v>
      </c>
    </row>
    <row r="2350" spans="1:12" x14ac:dyDescent="0.25">
      <c r="A2350" t="str">
        <f t="shared" si="504"/>
        <v>89301000</v>
      </c>
      <c r="B2350" t="str">
        <f t="shared" si="507"/>
        <v>72100000</v>
      </c>
      <c r="C2350" t="str">
        <f t="shared" si="508"/>
        <v>72100632</v>
      </c>
      <c r="D2350" t="str">
        <f t="shared" si="509"/>
        <v>816</v>
      </c>
      <c r="E2350" t="str">
        <f t="shared" si="510"/>
        <v>89301091</v>
      </c>
      <c r="F2350" t="str">
        <f>"9657175726"</f>
        <v>9657175726</v>
      </c>
      <c r="G2350" s="1">
        <v>44600</v>
      </c>
      <c r="H2350" t="str">
        <f t="shared" si="511"/>
        <v>94297</v>
      </c>
      <c r="I2350">
        <v>1</v>
      </c>
      <c r="J2350">
        <v>298</v>
      </c>
      <c r="K2350">
        <v>0</v>
      </c>
      <c r="L2350">
        <v>366.54</v>
      </c>
    </row>
    <row r="2351" spans="1:12" x14ac:dyDescent="0.25">
      <c r="A2351" t="str">
        <f t="shared" si="504"/>
        <v>89301000</v>
      </c>
      <c r="B2351" t="str">
        <f t="shared" si="507"/>
        <v>72100000</v>
      </c>
      <c r="C2351" t="str">
        <f t="shared" si="508"/>
        <v>72100632</v>
      </c>
      <c r="D2351" t="str">
        <f t="shared" si="509"/>
        <v>816</v>
      </c>
      <c r="E2351" t="str">
        <f t="shared" si="510"/>
        <v>89301091</v>
      </c>
      <c r="F2351" t="str">
        <f>"2201230306"</f>
        <v>2201230306</v>
      </c>
      <c r="G2351" s="1">
        <v>44600</v>
      </c>
      <c r="H2351" t="str">
        <f t="shared" si="511"/>
        <v>94297</v>
      </c>
      <c r="I2351">
        <v>1</v>
      </c>
      <c r="J2351">
        <v>298</v>
      </c>
      <c r="K2351">
        <v>0</v>
      </c>
      <c r="L2351">
        <v>366.54</v>
      </c>
    </row>
    <row r="2352" spans="1:12" x14ac:dyDescent="0.25">
      <c r="A2352" t="str">
        <f t="shared" si="504"/>
        <v>89301000</v>
      </c>
      <c r="B2352" t="str">
        <f t="shared" si="507"/>
        <v>72100000</v>
      </c>
      <c r="C2352" t="str">
        <f t="shared" si="508"/>
        <v>72100632</v>
      </c>
      <c r="D2352" t="str">
        <f t="shared" si="509"/>
        <v>816</v>
      </c>
      <c r="E2352" t="str">
        <f t="shared" si="510"/>
        <v>89301091</v>
      </c>
      <c r="F2352" t="str">
        <f>"2201240052"</f>
        <v>2201240052</v>
      </c>
      <c r="G2352" s="1">
        <v>44600</v>
      </c>
      <c r="H2352" t="str">
        <f t="shared" si="511"/>
        <v>94297</v>
      </c>
      <c r="I2352">
        <v>1</v>
      </c>
      <c r="J2352">
        <v>298</v>
      </c>
      <c r="K2352">
        <v>0</v>
      </c>
      <c r="L2352">
        <v>366.54</v>
      </c>
    </row>
    <row r="2353" spans="1:12" x14ac:dyDescent="0.25">
      <c r="A2353" t="str">
        <f t="shared" si="504"/>
        <v>89301000</v>
      </c>
      <c r="B2353" t="str">
        <f t="shared" si="507"/>
        <v>72100000</v>
      </c>
      <c r="C2353" t="str">
        <f t="shared" si="508"/>
        <v>72100632</v>
      </c>
      <c r="D2353" t="str">
        <f t="shared" si="509"/>
        <v>816</v>
      </c>
      <c r="E2353" t="str">
        <f t="shared" si="510"/>
        <v>89301091</v>
      </c>
      <c r="F2353" t="str">
        <f>"2201240569"</f>
        <v>2201240569</v>
      </c>
      <c r="G2353" s="1">
        <v>44600</v>
      </c>
      <c r="H2353" t="str">
        <f t="shared" si="511"/>
        <v>94297</v>
      </c>
      <c r="I2353">
        <v>1</v>
      </c>
      <c r="J2353">
        <v>298</v>
      </c>
      <c r="K2353">
        <v>0</v>
      </c>
      <c r="L2353">
        <v>366.54</v>
      </c>
    </row>
    <row r="2354" spans="1:12" x14ac:dyDescent="0.25">
      <c r="A2354" t="str">
        <f t="shared" si="504"/>
        <v>89301000</v>
      </c>
      <c r="B2354" t="str">
        <f t="shared" si="507"/>
        <v>72100000</v>
      </c>
      <c r="C2354" t="str">
        <f t="shared" si="508"/>
        <v>72100632</v>
      </c>
      <c r="D2354" t="str">
        <f t="shared" si="509"/>
        <v>816</v>
      </c>
      <c r="E2354" t="str">
        <f t="shared" si="510"/>
        <v>89301091</v>
      </c>
      <c r="F2354" t="str">
        <f>"2251240530"</f>
        <v>2251240530</v>
      </c>
      <c r="G2354" s="1">
        <v>44600</v>
      </c>
      <c r="H2354" t="str">
        <f t="shared" si="511"/>
        <v>94297</v>
      </c>
      <c r="I2354">
        <v>1</v>
      </c>
      <c r="J2354">
        <v>298</v>
      </c>
      <c r="K2354">
        <v>0</v>
      </c>
      <c r="L2354">
        <v>366.54</v>
      </c>
    </row>
    <row r="2355" spans="1:12" x14ac:dyDescent="0.25">
      <c r="A2355" t="str">
        <f t="shared" si="504"/>
        <v>89301000</v>
      </c>
      <c r="B2355" t="str">
        <f t="shared" si="507"/>
        <v>72100000</v>
      </c>
      <c r="C2355" t="str">
        <f t="shared" si="508"/>
        <v>72100632</v>
      </c>
      <c r="D2355" t="str">
        <f t="shared" si="509"/>
        <v>816</v>
      </c>
      <c r="E2355" t="str">
        <f t="shared" si="510"/>
        <v>89301091</v>
      </c>
      <c r="F2355" t="str">
        <f>"2201300233"</f>
        <v>2201300233</v>
      </c>
      <c r="G2355" s="1">
        <v>44600</v>
      </c>
      <c r="H2355" t="str">
        <f t="shared" si="511"/>
        <v>94297</v>
      </c>
      <c r="I2355">
        <v>1</v>
      </c>
      <c r="J2355">
        <v>298</v>
      </c>
      <c r="K2355">
        <v>0</v>
      </c>
      <c r="L2355">
        <v>366.54</v>
      </c>
    </row>
    <row r="2356" spans="1:12" x14ac:dyDescent="0.25">
      <c r="A2356" t="str">
        <f t="shared" si="504"/>
        <v>89301000</v>
      </c>
      <c r="B2356" t="str">
        <f t="shared" si="507"/>
        <v>72100000</v>
      </c>
      <c r="C2356" t="str">
        <f t="shared" si="508"/>
        <v>72100632</v>
      </c>
      <c r="D2356" t="str">
        <f t="shared" si="509"/>
        <v>816</v>
      </c>
      <c r="E2356" t="str">
        <f t="shared" si="510"/>
        <v>89301091</v>
      </c>
      <c r="F2356" t="str">
        <f>"2201310078"</f>
        <v>2201310078</v>
      </c>
      <c r="G2356" s="1">
        <v>44600</v>
      </c>
      <c r="H2356" t="str">
        <f t="shared" si="511"/>
        <v>94297</v>
      </c>
      <c r="I2356">
        <v>1</v>
      </c>
      <c r="J2356">
        <v>298</v>
      </c>
      <c r="K2356">
        <v>0</v>
      </c>
      <c r="L2356">
        <v>366.54</v>
      </c>
    </row>
    <row r="2357" spans="1:12" x14ac:dyDescent="0.25">
      <c r="A2357" t="str">
        <f t="shared" si="504"/>
        <v>89301000</v>
      </c>
      <c r="B2357" t="str">
        <f t="shared" si="507"/>
        <v>72100000</v>
      </c>
      <c r="C2357" t="str">
        <f t="shared" si="508"/>
        <v>72100632</v>
      </c>
      <c r="D2357" t="str">
        <f t="shared" si="509"/>
        <v>816</v>
      </c>
      <c r="E2357" t="str">
        <f t="shared" si="510"/>
        <v>89301091</v>
      </c>
      <c r="F2357" t="str">
        <f>"2201310584"</f>
        <v>2201310584</v>
      </c>
      <c r="G2357" s="1">
        <v>44600</v>
      </c>
      <c r="H2357" t="str">
        <f t="shared" si="511"/>
        <v>94297</v>
      </c>
      <c r="I2357">
        <v>1</v>
      </c>
      <c r="J2357">
        <v>298</v>
      </c>
      <c r="K2357">
        <v>0</v>
      </c>
      <c r="L2357">
        <v>366.54</v>
      </c>
    </row>
    <row r="2358" spans="1:12" x14ac:dyDescent="0.25">
      <c r="A2358" t="str">
        <f t="shared" si="504"/>
        <v>89301000</v>
      </c>
      <c r="B2358" t="str">
        <f t="shared" si="507"/>
        <v>72100000</v>
      </c>
      <c r="C2358" t="str">
        <f t="shared" si="508"/>
        <v>72100632</v>
      </c>
      <c r="D2358" t="str">
        <f t="shared" si="509"/>
        <v>816</v>
      </c>
      <c r="E2358" t="str">
        <f t="shared" si="510"/>
        <v>89301091</v>
      </c>
      <c r="F2358" t="str">
        <f>"2252010497"</f>
        <v>2252010497</v>
      </c>
      <c r="G2358" s="1">
        <v>44601</v>
      </c>
      <c r="H2358" t="str">
        <f t="shared" si="511"/>
        <v>94297</v>
      </c>
      <c r="I2358">
        <v>1</v>
      </c>
      <c r="J2358">
        <v>298</v>
      </c>
      <c r="K2358">
        <v>0</v>
      </c>
      <c r="L2358">
        <v>366.54</v>
      </c>
    </row>
    <row r="2359" spans="1:12" x14ac:dyDescent="0.25">
      <c r="A2359" t="str">
        <f t="shared" si="504"/>
        <v>89301000</v>
      </c>
      <c r="B2359" t="str">
        <f t="shared" si="507"/>
        <v>72100000</v>
      </c>
      <c r="C2359" t="str">
        <f t="shared" si="508"/>
        <v>72100632</v>
      </c>
      <c r="D2359" t="str">
        <f t="shared" si="509"/>
        <v>816</v>
      </c>
      <c r="E2359" t="str">
        <f t="shared" si="510"/>
        <v>89301091</v>
      </c>
      <c r="F2359" t="str">
        <f>"2202010591"</f>
        <v>2202010591</v>
      </c>
      <c r="G2359" s="1">
        <v>44601</v>
      </c>
      <c r="H2359" t="str">
        <f t="shared" si="511"/>
        <v>94297</v>
      </c>
      <c r="I2359">
        <v>1</v>
      </c>
      <c r="J2359">
        <v>298</v>
      </c>
      <c r="K2359">
        <v>0</v>
      </c>
      <c r="L2359">
        <v>366.54</v>
      </c>
    </row>
    <row r="2360" spans="1:12" x14ac:dyDescent="0.25">
      <c r="A2360" t="str">
        <f t="shared" si="504"/>
        <v>89301000</v>
      </c>
      <c r="B2360" t="str">
        <f t="shared" si="507"/>
        <v>72100000</v>
      </c>
      <c r="C2360" t="str">
        <f t="shared" si="508"/>
        <v>72100632</v>
      </c>
      <c r="D2360" t="str">
        <f t="shared" si="509"/>
        <v>816</v>
      </c>
      <c r="E2360" t="str">
        <f t="shared" si="510"/>
        <v>89301091</v>
      </c>
      <c r="F2360" t="str">
        <f>"2202020645"</f>
        <v>2202020645</v>
      </c>
      <c r="G2360" s="1">
        <v>44602</v>
      </c>
      <c r="H2360" t="str">
        <f t="shared" si="511"/>
        <v>94297</v>
      </c>
      <c r="I2360">
        <v>1</v>
      </c>
      <c r="J2360">
        <v>298</v>
      </c>
      <c r="K2360">
        <v>0</v>
      </c>
      <c r="L2360">
        <v>366.54</v>
      </c>
    </row>
    <row r="2361" spans="1:12" x14ac:dyDescent="0.25">
      <c r="A2361" t="str">
        <f t="shared" si="504"/>
        <v>89301000</v>
      </c>
      <c r="B2361" t="str">
        <f t="shared" ref="B2361:B2392" si="512">"72100000"</f>
        <v>72100000</v>
      </c>
      <c r="C2361" t="str">
        <f t="shared" si="508"/>
        <v>72100632</v>
      </c>
      <c r="D2361" t="str">
        <f t="shared" si="509"/>
        <v>816</v>
      </c>
      <c r="E2361" t="str">
        <f t="shared" si="510"/>
        <v>89301091</v>
      </c>
      <c r="F2361" t="str">
        <f>"2252020507"</f>
        <v>2252020507</v>
      </c>
      <c r="G2361" s="1">
        <v>44602</v>
      </c>
      <c r="H2361" t="str">
        <f t="shared" si="511"/>
        <v>94297</v>
      </c>
      <c r="I2361">
        <v>1</v>
      </c>
      <c r="J2361">
        <v>298</v>
      </c>
      <c r="K2361">
        <v>0</v>
      </c>
      <c r="L2361">
        <v>366.54</v>
      </c>
    </row>
    <row r="2362" spans="1:12" x14ac:dyDescent="0.25">
      <c r="A2362" t="str">
        <f t="shared" si="504"/>
        <v>89301000</v>
      </c>
      <c r="B2362" t="str">
        <f t="shared" si="512"/>
        <v>72100000</v>
      </c>
      <c r="C2362" t="str">
        <f t="shared" si="508"/>
        <v>72100632</v>
      </c>
      <c r="D2362" t="str">
        <f t="shared" si="509"/>
        <v>816</v>
      </c>
      <c r="E2362" t="str">
        <f t="shared" si="510"/>
        <v>89301091</v>
      </c>
      <c r="F2362" t="str">
        <f>"2252020529"</f>
        <v>2252020529</v>
      </c>
      <c r="G2362" s="1">
        <v>44602</v>
      </c>
      <c r="H2362" t="str">
        <f t="shared" si="511"/>
        <v>94297</v>
      </c>
      <c r="I2362">
        <v>1</v>
      </c>
      <c r="J2362">
        <v>298</v>
      </c>
      <c r="K2362">
        <v>0</v>
      </c>
      <c r="L2362">
        <v>366.54</v>
      </c>
    </row>
    <row r="2363" spans="1:12" x14ac:dyDescent="0.25">
      <c r="A2363" t="str">
        <f t="shared" si="504"/>
        <v>89301000</v>
      </c>
      <c r="B2363" t="str">
        <f t="shared" si="512"/>
        <v>72100000</v>
      </c>
      <c r="C2363" t="str">
        <f t="shared" si="508"/>
        <v>72100632</v>
      </c>
      <c r="D2363" t="str">
        <f t="shared" si="509"/>
        <v>816</v>
      </c>
      <c r="E2363" t="str">
        <f t="shared" si="510"/>
        <v>89301091</v>
      </c>
      <c r="F2363" t="str">
        <f>"2252020562"</f>
        <v>2252020562</v>
      </c>
      <c r="G2363" s="1">
        <v>44602</v>
      </c>
      <c r="H2363" t="str">
        <f t="shared" si="511"/>
        <v>94297</v>
      </c>
      <c r="I2363">
        <v>1</v>
      </c>
      <c r="J2363">
        <v>298</v>
      </c>
      <c r="K2363">
        <v>0</v>
      </c>
      <c r="L2363">
        <v>366.54</v>
      </c>
    </row>
    <row r="2364" spans="1:12" x14ac:dyDescent="0.25">
      <c r="A2364" t="str">
        <f t="shared" si="504"/>
        <v>89301000</v>
      </c>
      <c r="B2364" t="str">
        <f t="shared" si="512"/>
        <v>72100000</v>
      </c>
      <c r="C2364" t="str">
        <f t="shared" si="508"/>
        <v>72100632</v>
      </c>
      <c r="D2364" t="str">
        <f t="shared" si="509"/>
        <v>816</v>
      </c>
      <c r="E2364" t="str">
        <f t="shared" si="510"/>
        <v>89301091</v>
      </c>
      <c r="F2364" t="str">
        <f>"2252020573"</f>
        <v>2252020573</v>
      </c>
      <c r="G2364" s="1">
        <v>44602</v>
      </c>
      <c r="H2364" t="str">
        <f t="shared" si="511"/>
        <v>94297</v>
      </c>
      <c r="I2364">
        <v>1</v>
      </c>
      <c r="J2364">
        <v>298</v>
      </c>
      <c r="K2364">
        <v>0</v>
      </c>
      <c r="L2364">
        <v>366.54</v>
      </c>
    </row>
    <row r="2365" spans="1:12" x14ac:dyDescent="0.25">
      <c r="A2365" t="str">
        <f t="shared" si="504"/>
        <v>89301000</v>
      </c>
      <c r="B2365" t="str">
        <f t="shared" si="512"/>
        <v>72100000</v>
      </c>
      <c r="C2365" t="str">
        <f t="shared" si="508"/>
        <v>72100632</v>
      </c>
      <c r="D2365" t="str">
        <f t="shared" si="509"/>
        <v>816</v>
      </c>
      <c r="E2365" t="str">
        <f t="shared" si="510"/>
        <v>89301091</v>
      </c>
      <c r="F2365" t="str">
        <f>"2202030578"</f>
        <v>2202030578</v>
      </c>
      <c r="G2365" s="1">
        <v>44602</v>
      </c>
      <c r="H2365" t="str">
        <f t="shared" si="511"/>
        <v>94297</v>
      </c>
      <c r="I2365">
        <v>1</v>
      </c>
      <c r="J2365">
        <v>298</v>
      </c>
      <c r="K2365">
        <v>0</v>
      </c>
      <c r="L2365">
        <v>366.54</v>
      </c>
    </row>
    <row r="2366" spans="1:12" x14ac:dyDescent="0.25">
      <c r="A2366" t="str">
        <f t="shared" si="504"/>
        <v>89301000</v>
      </c>
      <c r="B2366" t="str">
        <f t="shared" si="512"/>
        <v>72100000</v>
      </c>
      <c r="C2366" t="str">
        <f t="shared" ref="C2366:C2397" si="513">"72100632"</f>
        <v>72100632</v>
      </c>
      <c r="D2366" t="str">
        <f t="shared" ref="D2366:D2397" si="514">"816"</f>
        <v>816</v>
      </c>
      <c r="E2366" t="str">
        <f t="shared" ref="E2366:E2395" si="515">"89301091"</f>
        <v>89301091</v>
      </c>
      <c r="F2366" t="str">
        <f>"2202030589"</f>
        <v>2202030589</v>
      </c>
      <c r="G2366" s="1">
        <v>44602</v>
      </c>
      <c r="H2366" t="str">
        <f t="shared" ref="H2366:H2395" si="516">"94297"</f>
        <v>94297</v>
      </c>
      <c r="I2366">
        <v>1</v>
      </c>
      <c r="J2366">
        <v>298</v>
      </c>
      <c r="K2366">
        <v>0</v>
      </c>
      <c r="L2366">
        <v>366.54</v>
      </c>
    </row>
    <row r="2367" spans="1:12" x14ac:dyDescent="0.25">
      <c r="A2367" t="str">
        <f t="shared" si="504"/>
        <v>89301000</v>
      </c>
      <c r="B2367" t="str">
        <f t="shared" si="512"/>
        <v>72100000</v>
      </c>
      <c r="C2367" t="str">
        <f t="shared" si="513"/>
        <v>72100632</v>
      </c>
      <c r="D2367" t="str">
        <f t="shared" si="514"/>
        <v>816</v>
      </c>
      <c r="E2367" t="str">
        <f t="shared" si="515"/>
        <v>89301091</v>
      </c>
      <c r="F2367" t="str">
        <f>"2252030429"</f>
        <v>2252030429</v>
      </c>
      <c r="G2367" s="1">
        <v>44602</v>
      </c>
      <c r="H2367" t="str">
        <f t="shared" si="516"/>
        <v>94297</v>
      </c>
      <c r="I2367">
        <v>1</v>
      </c>
      <c r="J2367">
        <v>298</v>
      </c>
      <c r="K2367">
        <v>0</v>
      </c>
      <c r="L2367">
        <v>366.54</v>
      </c>
    </row>
    <row r="2368" spans="1:12" x14ac:dyDescent="0.25">
      <c r="A2368" t="str">
        <f t="shared" si="504"/>
        <v>89301000</v>
      </c>
      <c r="B2368" t="str">
        <f t="shared" si="512"/>
        <v>72100000</v>
      </c>
      <c r="C2368" t="str">
        <f t="shared" si="513"/>
        <v>72100632</v>
      </c>
      <c r="D2368" t="str">
        <f t="shared" si="514"/>
        <v>816</v>
      </c>
      <c r="E2368" t="str">
        <f t="shared" si="515"/>
        <v>89301091</v>
      </c>
      <c r="F2368" t="str">
        <f>"2252030440"</f>
        <v>2252030440</v>
      </c>
      <c r="G2368" s="1">
        <v>44602</v>
      </c>
      <c r="H2368" t="str">
        <f t="shared" si="516"/>
        <v>94297</v>
      </c>
      <c r="I2368">
        <v>1</v>
      </c>
      <c r="J2368">
        <v>298</v>
      </c>
      <c r="K2368">
        <v>0</v>
      </c>
      <c r="L2368">
        <v>366.54</v>
      </c>
    </row>
    <row r="2369" spans="1:12" x14ac:dyDescent="0.25">
      <c r="A2369" t="str">
        <f t="shared" si="504"/>
        <v>89301000</v>
      </c>
      <c r="B2369" t="str">
        <f t="shared" si="512"/>
        <v>72100000</v>
      </c>
      <c r="C2369" t="str">
        <f t="shared" si="513"/>
        <v>72100632</v>
      </c>
      <c r="D2369" t="str">
        <f t="shared" si="514"/>
        <v>816</v>
      </c>
      <c r="E2369" t="str">
        <f t="shared" si="515"/>
        <v>89301091</v>
      </c>
      <c r="F2369" t="str">
        <f>"2202030622"</f>
        <v>2202030622</v>
      </c>
      <c r="G2369" s="1">
        <v>44602</v>
      </c>
      <c r="H2369" t="str">
        <f t="shared" si="516"/>
        <v>94297</v>
      </c>
      <c r="I2369">
        <v>1</v>
      </c>
      <c r="J2369">
        <v>298</v>
      </c>
      <c r="K2369">
        <v>0</v>
      </c>
      <c r="L2369">
        <v>366.54</v>
      </c>
    </row>
    <row r="2370" spans="1:12" x14ac:dyDescent="0.25">
      <c r="A2370" t="str">
        <f t="shared" ref="A2370:A2433" si="517">"89301000"</f>
        <v>89301000</v>
      </c>
      <c r="B2370" t="str">
        <f t="shared" si="512"/>
        <v>72100000</v>
      </c>
      <c r="C2370" t="str">
        <f t="shared" si="513"/>
        <v>72100632</v>
      </c>
      <c r="D2370" t="str">
        <f t="shared" si="514"/>
        <v>816</v>
      </c>
      <c r="E2370" t="str">
        <f t="shared" si="515"/>
        <v>89301091</v>
      </c>
      <c r="F2370" t="str">
        <f>"2252030451"</f>
        <v>2252030451</v>
      </c>
      <c r="G2370" s="1">
        <v>44602</v>
      </c>
      <c r="H2370" t="str">
        <f t="shared" si="516"/>
        <v>94297</v>
      </c>
      <c r="I2370">
        <v>1</v>
      </c>
      <c r="J2370">
        <v>298</v>
      </c>
      <c r="K2370">
        <v>0</v>
      </c>
      <c r="L2370">
        <v>366.54</v>
      </c>
    </row>
    <row r="2371" spans="1:12" x14ac:dyDescent="0.25">
      <c r="A2371" t="str">
        <f t="shared" si="517"/>
        <v>89301000</v>
      </c>
      <c r="B2371" t="str">
        <f t="shared" si="512"/>
        <v>72100000</v>
      </c>
      <c r="C2371" t="str">
        <f t="shared" si="513"/>
        <v>72100632</v>
      </c>
      <c r="D2371" t="str">
        <f t="shared" si="514"/>
        <v>816</v>
      </c>
      <c r="E2371" t="str">
        <f t="shared" si="515"/>
        <v>89301091</v>
      </c>
      <c r="F2371" t="str">
        <f>"9352094873"</f>
        <v>9352094873</v>
      </c>
      <c r="G2371" s="1">
        <v>44602</v>
      </c>
      <c r="H2371" t="str">
        <f t="shared" si="516"/>
        <v>94297</v>
      </c>
      <c r="I2371">
        <v>1</v>
      </c>
      <c r="J2371">
        <v>298</v>
      </c>
      <c r="K2371">
        <v>0</v>
      </c>
      <c r="L2371">
        <v>366.54</v>
      </c>
    </row>
    <row r="2372" spans="1:12" x14ac:dyDescent="0.25">
      <c r="A2372" t="str">
        <f t="shared" si="517"/>
        <v>89301000</v>
      </c>
      <c r="B2372" t="str">
        <f t="shared" si="512"/>
        <v>72100000</v>
      </c>
      <c r="C2372" t="str">
        <f t="shared" si="513"/>
        <v>72100632</v>
      </c>
      <c r="D2372" t="str">
        <f t="shared" si="514"/>
        <v>816</v>
      </c>
      <c r="E2372" t="str">
        <f t="shared" si="515"/>
        <v>89301091</v>
      </c>
      <c r="F2372" t="str">
        <f>"9053194843"</f>
        <v>9053194843</v>
      </c>
      <c r="G2372" s="1">
        <v>44602</v>
      </c>
      <c r="H2372" t="str">
        <f t="shared" si="516"/>
        <v>94297</v>
      </c>
      <c r="I2372">
        <v>1</v>
      </c>
      <c r="J2372">
        <v>298</v>
      </c>
      <c r="K2372">
        <v>0</v>
      </c>
      <c r="L2372">
        <v>366.54</v>
      </c>
    </row>
    <row r="2373" spans="1:12" x14ac:dyDescent="0.25">
      <c r="A2373" t="str">
        <f t="shared" si="517"/>
        <v>89301000</v>
      </c>
      <c r="B2373" t="str">
        <f t="shared" si="512"/>
        <v>72100000</v>
      </c>
      <c r="C2373" t="str">
        <f t="shared" si="513"/>
        <v>72100632</v>
      </c>
      <c r="D2373" t="str">
        <f t="shared" si="514"/>
        <v>816</v>
      </c>
      <c r="E2373" t="str">
        <f t="shared" si="515"/>
        <v>89301091</v>
      </c>
      <c r="F2373" t="str">
        <f>"9656214865"</f>
        <v>9656214865</v>
      </c>
      <c r="G2373" s="1">
        <v>44602</v>
      </c>
      <c r="H2373" t="str">
        <f t="shared" si="516"/>
        <v>94297</v>
      </c>
      <c r="I2373">
        <v>1</v>
      </c>
      <c r="J2373">
        <v>298</v>
      </c>
      <c r="K2373">
        <v>0</v>
      </c>
      <c r="L2373">
        <v>366.54</v>
      </c>
    </row>
    <row r="2374" spans="1:12" x14ac:dyDescent="0.25">
      <c r="A2374" t="str">
        <f t="shared" si="517"/>
        <v>89301000</v>
      </c>
      <c r="B2374" t="str">
        <f t="shared" si="512"/>
        <v>72100000</v>
      </c>
      <c r="C2374" t="str">
        <f t="shared" si="513"/>
        <v>72100632</v>
      </c>
      <c r="D2374" t="str">
        <f t="shared" si="514"/>
        <v>816</v>
      </c>
      <c r="E2374" t="str">
        <f t="shared" si="515"/>
        <v>89301091</v>
      </c>
      <c r="F2374" t="str">
        <f>"9756196142"</f>
        <v>9756196142</v>
      </c>
      <c r="G2374" s="1">
        <v>44602</v>
      </c>
      <c r="H2374" t="str">
        <f t="shared" si="516"/>
        <v>94297</v>
      </c>
      <c r="I2374">
        <v>1</v>
      </c>
      <c r="J2374">
        <v>298</v>
      </c>
      <c r="K2374">
        <v>0</v>
      </c>
      <c r="L2374">
        <v>366.54</v>
      </c>
    </row>
    <row r="2375" spans="1:12" x14ac:dyDescent="0.25">
      <c r="A2375" t="str">
        <f t="shared" si="517"/>
        <v>89301000</v>
      </c>
      <c r="B2375" t="str">
        <f t="shared" si="512"/>
        <v>72100000</v>
      </c>
      <c r="C2375" t="str">
        <f t="shared" si="513"/>
        <v>72100632</v>
      </c>
      <c r="D2375" t="str">
        <f t="shared" si="514"/>
        <v>816</v>
      </c>
      <c r="E2375" t="str">
        <f t="shared" si="515"/>
        <v>89301091</v>
      </c>
      <c r="F2375" t="str">
        <f>"2252060217"</f>
        <v>2252060217</v>
      </c>
      <c r="G2375" s="1">
        <v>44606</v>
      </c>
      <c r="H2375" t="str">
        <f t="shared" si="516"/>
        <v>94297</v>
      </c>
      <c r="I2375">
        <v>1</v>
      </c>
      <c r="J2375">
        <v>298</v>
      </c>
      <c r="K2375">
        <v>0</v>
      </c>
      <c r="L2375">
        <v>366.54</v>
      </c>
    </row>
    <row r="2376" spans="1:12" x14ac:dyDescent="0.25">
      <c r="A2376" t="str">
        <f t="shared" si="517"/>
        <v>89301000</v>
      </c>
      <c r="B2376" t="str">
        <f t="shared" si="512"/>
        <v>72100000</v>
      </c>
      <c r="C2376" t="str">
        <f t="shared" si="513"/>
        <v>72100632</v>
      </c>
      <c r="D2376" t="str">
        <f t="shared" si="514"/>
        <v>816</v>
      </c>
      <c r="E2376" t="str">
        <f t="shared" si="515"/>
        <v>89301091</v>
      </c>
      <c r="F2376" t="str">
        <f>"2252060250"</f>
        <v>2252060250</v>
      </c>
      <c r="G2376" s="1">
        <v>44606</v>
      </c>
      <c r="H2376" t="str">
        <f t="shared" si="516"/>
        <v>94297</v>
      </c>
      <c r="I2376">
        <v>1</v>
      </c>
      <c r="J2376">
        <v>298</v>
      </c>
      <c r="K2376">
        <v>0</v>
      </c>
      <c r="L2376">
        <v>366.54</v>
      </c>
    </row>
    <row r="2377" spans="1:12" x14ac:dyDescent="0.25">
      <c r="A2377" t="str">
        <f t="shared" si="517"/>
        <v>89301000</v>
      </c>
      <c r="B2377" t="str">
        <f t="shared" si="512"/>
        <v>72100000</v>
      </c>
      <c r="C2377" t="str">
        <f t="shared" si="513"/>
        <v>72100632</v>
      </c>
      <c r="D2377" t="str">
        <f t="shared" si="514"/>
        <v>816</v>
      </c>
      <c r="E2377" t="str">
        <f t="shared" si="515"/>
        <v>89301091</v>
      </c>
      <c r="F2377" t="str">
        <f>"2252070524"</f>
        <v>2252070524</v>
      </c>
      <c r="G2377" s="1">
        <v>44607</v>
      </c>
      <c r="H2377" t="str">
        <f t="shared" si="516"/>
        <v>94297</v>
      </c>
      <c r="I2377">
        <v>1</v>
      </c>
      <c r="J2377">
        <v>298</v>
      </c>
      <c r="K2377">
        <v>0</v>
      </c>
      <c r="L2377">
        <v>366.54</v>
      </c>
    </row>
    <row r="2378" spans="1:12" x14ac:dyDescent="0.25">
      <c r="A2378" t="str">
        <f t="shared" si="517"/>
        <v>89301000</v>
      </c>
      <c r="B2378" t="str">
        <f t="shared" si="512"/>
        <v>72100000</v>
      </c>
      <c r="C2378" t="str">
        <f t="shared" si="513"/>
        <v>72100632</v>
      </c>
      <c r="D2378" t="str">
        <f t="shared" si="514"/>
        <v>816</v>
      </c>
      <c r="E2378" t="str">
        <f t="shared" si="515"/>
        <v>89301091</v>
      </c>
      <c r="F2378" t="str">
        <f>"2252070535"</f>
        <v>2252070535</v>
      </c>
      <c r="G2378" s="1">
        <v>44607</v>
      </c>
      <c r="H2378" t="str">
        <f t="shared" si="516"/>
        <v>94297</v>
      </c>
      <c r="I2378">
        <v>1</v>
      </c>
      <c r="J2378">
        <v>298</v>
      </c>
      <c r="K2378">
        <v>0</v>
      </c>
      <c r="L2378">
        <v>366.54</v>
      </c>
    </row>
    <row r="2379" spans="1:12" x14ac:dyDescent="0.25">
      <c r="A2379" t="str">
        <f t="shared" si="517"/>
        <v>89301000</v>
      </c>
      <c r="B2379" t="str">
        <f t="shared" si="512"/>
        <v>72100000</v>
      </c>
      <c r="C2379" t="str">
        <f t="shared" si="513"/>
        <v>72100632</v>
      </c>
      <c r="D2379" t="str">
        <f t="shared" si="514"/>
        <v>816</v>
      </c>
      <c r="E2379" t="str">
        <f t="shared" si="515"/>
        <v>89301091</v>
      </c>
      <c r="F2379" t="str">
        <f>"2202070552"</f>
        <v>2202070552</v>
      </c>
      <c r="G2379" s="1">
        <v>44607</v>
      </c>
      <c r="H2379" t="str">
        <f t="shared" si="516"/>
        <v>94297</v>
      </c>
      <c r="I2379">
        <v>1</v>
      </c>
      <c r="J2379">
        <v>298</v>
      </c>
      <c r="K2379">
        <v>0</v>
      </c>
      <c r="L2379">
        <v>366.54</v>
      </c>
    </row>
    <row r="2380" spans="1:12" x14ac:dyDescent="0.25">
      <c r="A2380" t="str">
        <f t="shared" si="517"/>
        <v>89301000</v>
      </c>
      <c r="B2380" t="str">
        <f t="shared" si="512"/>
        <v>72100000</v>
      </c>
      <c r="C2380" t="str">
        <f t="shared" si="513"/>
        <v>72100632</v>
      </c>
      <c r="D2380" t="str">
        <f t="shared" si="514"/>
        <v>816</v>
      </c>
      <c r="E2380" t="str">
        <f t="shared" si="515"/>
        <v>89301091</v>
      </c>
      <c r="F2380" t="str">
        <f>"2252080765"</f>
        <v>2252080765</v>
      </c>
      <c r="G2380" s="1">
        <v>44608</v>
      </c>
      <c r="H2380" t="str">
        <f t="shared" si="516"/>
        <v>94297</v>
      </c>
      <c r="I2380">
        <v>1</v>
      </c>
      <c r="J2380">
        <v>298</v>
      </c>
      <c r="K2380">
        <v>0</v>
      </c>
      <c r="L2380">
        <v>366.54</v>
      </c>
    </row>
    <row r="2381" spans="1:12" x14ac:dyDescent="0.25">
      <c r="A2381" t="str">
        <f t="shared" si="517"/>
        <v>89301000</v>
      </c>
      <c r="B2381" t="str">
        <f t="shared" si="512"/>
        <v>72100000</v>
      </c>
      <c r="C2381" t="str">
        <f t="shared" si="513"/>
        <v>72100632</v>
      </c>
      <c r="D2381" t="str">
        <f t="shared" si="514"/>
        <v>816</v>
      </c>
      <c r="E2381" t="str">
        <f t="shared" si="515"/>
        <v>89301091</v>
      </c>
      <c r="F2381" t="str">
        <f>"2202080595"</f>
        <v>2202080595</v>
      </c>
      <c r="G2381" s="1">
        <v>44608</v>
      </c>
      <c r="H2381" t="str">
        <f t="shared" si="516"/>
        <v>94297</v>
      </c>
      <c r="I2381">
        <v>1</v>
      </c>
      <c r="J2381">
        <v>298</v>
      </c>
      <c r="K2381">
        <v>0</v>
      </c>
      <c r="L2381">
        <v>366.54</v>
      </c>
    </row>
    <row r="2382" spans="1:12" x14ac:dyDescent="0.25">
      <c r="A2382" t="str">
        <f t="shared" si="517"/>
        <v>89301000</v>
      </c>
      <c r="B2382" t="str">
        <f t="shared" si="512"/>
        <v>72100000</v>
      </c>
      <c r="C2382" t="str">
        <f t="shared" si="513"/>
        <v>72100632</v>
      </c>
      <c r="D2382" t="str">
        <f t="shared" si="514"/>
        <v>816</v>
      </c>
      <c r="E2382" t="str">
        <f t="shared" si="515"/>
        <v>89301091</v>
      </c>
      <c r="F2382" t="str">
        <f>"2202080617"</f>
        <v>2202080617</v>
      </c>
      <c r="G2382" s="1">
        <v>44609</v>
      </c>
      <c r="H2382" t="str">
        <f t="shared" si="516"/>
        <v>94297</v>
      </c>
      <c r="I2382">
        <v>1</v>
      </c>
      <c r="J2382">
        <v>298</v>
      </c>
      <c r="K2382">
        <v>0</v>
      </c>
      <c r="L2382">
        <v>366.54</v>
      </c>
    </row>
    <row r="2383" spans="1:12" x14ac:dyDescent="0.25">
      <c r="A2383" t="str">
        <f t="shared" si="517"/>
        <v>89301000</v>
      </c>
      <c r="B2383" t="str">
        <f t="shared" si="512"/>
        <v>72100000</v>
      </c>
      <c r="C2383" t="str">
        <f t="shared" si="513"/>
        <v>72100632</v>
      </c>
      <c r="D2383" t="str">
        <f t="shared" si="514"/>
        <v>816</v>
      </c>
      <c r="E2383" t="str">
        <f t="shared" si="515"/>
        <v>89301091</v>
      </c>
      <c r="F2383" t="str">
        <f>"2202080672"</f>
        <v>2202080672</v>
      </c>
      <c r="G2383" s="1">
        <v>44609</v>
      </c>
      <c r="H2383" t="str">
        <f t="shared" si="516"/>
        <v>94297</v>
      </c>
      <c r="I2383">
        <v>1</v>
      </c>
      <c r="J2383">
        <v>298</v>
      </c>
      <c r="K2383">
        <v>0</v>
      </c>
      <c r="L2383">
        <v>366.54</v>
      </c>
    </row>
    <row r="2384" spans="1:12" x14ac:dyDescent="0.25">
      <c r="A2384" t="str">
        <f t="shared" si="517"/>
        <v>89301000</v>
      </c>
      <c r="B2384" t="str">
        <f t="shared" si="512"/>
        <v>72100000</v>
      </c>
      <c r="C2384" t="str">
        <f t="shared" si="513"/>
        <v>72100632</v>
      </c>
      <c r="D2384" t="str">
        <f t="shared" si="514"/>
        <v>816</v>
      </c>
      <c r="E2384" t="str">
        <f t="shared" si="515"/>
        <v>89301091</v>
      </c>
      <c r="F2384" t="str">
        <f>"2252090159"</f>
        <v>2252090159</v>
      </c>
      <c r="G2384" s="1">
        <v>44609</v>
      </c>
      <c r="H2384" t="str">
        <f t="shared" si="516"/>
        <v>94297</v>
      </c>
      <c r="I2384">
        <v>1</v>
      </c>
      <c r="J2384">
        <v>298</v>
      </c>
      <c r="K2384">
        <v>0</v>
      </c>
      <c r="L2384">
        <v>366.54</v>
      </c>
    </row>
    <row r="2385" spans="1:12" x14ac:dyDescent="0.25">
      <c r="A2385" t="str">
        <f t="shared" si="517"/>
        <v>89301000</v>
      </c>
      <c r="B2385" t="str">
        <f t="shared" si="512"/>
        <v>72100000</v>
      </c>
      <c r="C2385" t="str">
        <f t="shared" si="513"/>
        <v>72100632</v>
      </c>
      <c r="D2385" t="str">
        <f t="shared" si="514"/>
        <v>816</v>
      </c>
      <c r="E2385" t="str">
        <f t="shared" si="515"/>
        <v>89301091</v>
      </c>
      <c r="F2385" t="str">
        <f>"2252100070"</f>
        <v>2252100070</v>
      </c>
      <c r="G2385" s="1">
        <v>44609</v>
      </c>
      <c r="H2385" t="str">
        <f t="shared" si="516"/>
        <v>94297</v>
      </c>
      <c r="I2385">
        <v>1</v>
      </c>
      <c r="J2385">
        <v>298</v>
      </c>
      <c r="K2385">
        <v>0</v>
      </c>
      <c r="L2385">
        <v>366.54</v>
      </c>
    </row>
    <row r="2386" spans="1:12" x14ac:dyDescent="0.25">
      <c r="A2386" t="str">
        <f t="shared" si="517"/>
        <v>89301000</v>
      </c>
      <c r="B2386" t="str">
        <f t="shared" si="512"/>
        <v>72100000</v>
      </c>
      <c r="C2386" t="str">
        <f t="shared" si="513"/>
        <v>72100632</v>
      </c>
      <c r="D2386" t="str">
        <f t="shared" si="514"/>
        <v>816</v>
      </c>
      <c r="E2386" t="str">
        <f t="shared" si="515"/>
        <v>89301091</v>
      </c>
      <c r="F2386" t="str">
        <f>"2202100692"</f>
        <v>2202100692</v>
      </c>
      <c r="G2386" s="1">
        <v>44609</v>
      </c>
      <c r="H2386" t="str">
        <f t="shared" si="516"/>
        <v>94297</v>
      </c>
      <c r="I2386">
        <v>1</v>
      </c>
      <c r="J2386">
        <v>298</v>
      </c>
      <c r="K2386">
        <v>0</v>
      </c>
      <c r="L2386">
        <v>366.54</v>
      </c>
    </row>
    <row r="2387" spans="1:12" x14ac:dyDescent="0.25">
      <c r="A2387" t="str">
        <f t="shared" si="517"/>
        <v>89301000</v>
      </c>
      <c r="B2387" t="str">
        <f t="shared" si="512"/>
        <v>72100000</v>
      </c>
      <c r="C2387" t="str">
        <f t="shared" si="513"/>
        <v>72100632</v>
      </c>
      <c r="D2387" t="str">
        <f t="shared" si="514"/>
        <v>816</v>
      </c>
      <c r="E2387" t="str">
        <f t="shared" si="515"/>
        <v>89301091</v>
      </c>
      <c r="F2387" t="str">
        <f>"2202100703"</f>
        <v>2202100703</v>
      </c>
      <c r="G2387" s="1">
        <v>44609</v>
      </c>
      <c r="H2387" t="str">
        <f t="shared" si="516"/>
        <v>94297</v>
      </c>
      <c r="I2387">
        <v>1</v>
      </c>
      <c r="J2387">
        <v>298</v>
      </c>
      <c r="K2387">
        <v>0</v>
      </c>
      <c r="L2387">
        <v>366.54</v>
      </c>
    </row>
    <row r="2388" spans="1:12" x14ac:dyDescent="0.25">
      <c r="A2388" t="str">
        <f t="shared" si="517"/>
        <v>89301000</v>
      </c>
      <c r="B2388" t="str">
        <f t="shared" si="512"/>
        <v>72100000</v>
      </c>
      <c r="C2388" t="str">
        <f t="shared" si="513"/>
        <v>72100632</v>
      </c>
      <c r="D2388" t="str">
        <f t="shared" si="514"/>
        <v>816</v>
      </c>
      <c r="E2388" t="str">
        <f t="shared" si="515"/>
        <v>89301091</v>
      </c>
      <c r="F2388" t="str">
        <f>"2202110108"</f>
        <v>2202110108</v>
      </c>
      <c r="G2388" s="1">
        <v>44609</v>
      </c>
      <c r="H2388" t="str">
        <f t="shared" si="516"/>
        <v>94297</v>
      </c>
      <c r="I2388">
        <v>1</v>
      </c>
      <c r="J2388">
        <v>298</v>
      </c>
      <c r="K2388">
        <v>0</v>
      </c>
      <c r="L2388">
        <v>366.54</v>
      </c>
    </row>
    <row r="2389" spans="1:12" x14ac:dyDescent="0.25">
      <c r="A2389" t="str">
        <f t="shared" si="517"/>
        <v>89301000</v>
      </c>
      <c r="B2389" t="str">
        <f t="shared" si="512"/>
        <v>72100000</v>
      </c>
      <c r="C2389" t="str">
        <f t="shared" si="513"/>
        <v>72100632</v>
      </c>
      <c r="D2389" t="str">
        <f t="shared" si="514"/>
        <v>816</v>
      </c>
      <c r="E2389" t="str">
        <f t="shared" si="515"/>
        <v>89301091</v>
      </c>
      <c r="F2389" t="str">
        <f>"9152116204"</f>
        <v>9152116204</v>
      </c>
      <c r="G2389" s="1">
        <v>44609</v>
      </c>
      <c r="H2389" t="str">
        <f t="shared" si="516"/>
        <v>94297</v>
      </c>
      <c r="I2389">
        <v>1</v>
      </c>
      <c r="J2389">
        <v>298</v>
      </c>
      <c r="K2389">
        <v>0</v>
      </c>
      <c r="L2389">
        <v>366.54</v>
      </c>
    </row>
    <row r="2390" spans="1:12" x14ac:dyDescent="0.25">
      <c r="A2390" t="str">
        <f t="shared" si="517"/>
        <v>89301000</v>
      </c>
      <c r="B2390" t="str">
        <f t="shared" si="512"/>
        <v>72100000</v>
      </c>
      <c r="C2390" t="str">
        <f t="shared" si="513"/>
        <v>72100632</v>
      </c>
      <c r="D2390" t="str">
        <f t="shared" si="514"/>
        <v>816</v>
      </c>
      <c r="E2390" t="str">
        <f t="shared" si="515"/>
        <v>89301091</v>
      </c>
      <c r="F2390" t="str">
        <f>"8751174916"</f>
        <v>8751174916</v>
      </c>
      <c r="G2390" s="1">
        <v>44609</v>
      </c>
      <c r="H2390" t="str">
        <f t="shared" si="516"/>
        <v>94297</v>
      </c>
      <c r="I2390">
        <v>1</v>
      </c>
      <c r="J2390">
        <v>298</v>
      </c>
      <c r="K2390">
        <v>0</v>
      </c>
      <c r="L2390">
        <v>366.54</v>
      </c>
    </row>
    <row r="2391" spans="1:12" x14ac:dyDescent="0.25">
      <c r="A2391" t="str">
        <f t="shared" si="517"/>
        <v>89301000</v>
      </c>
      <c r="B2391" t="str">
        <f t="shared" si="512"/>
        <v>72100000</v>
      </c>
      <c r="C2391" t="str">
        <f t="shared" si="513"/>
        <v>72100632</v>
      </c>
      <c r="D2391" t="str">
        <f t="shared" si="514"/>
        <v>816</v>
      </c>
      <c r="E2391" t="str">
        <f t="shared" si="515"/>
        <v>89301091</v>
      </c>
      <c r="F2391" t="str">
        <f>"8362125354"</f>
        <v>8362125354</v>
      </c>
      <c r="G2391" s="1">
        <v>44609</v>
      </c>
      <c r="H2391" t="str">
        <f t="shared" si="516"/>
        <v>94297</v>
      </c>
      <c r="I2391">
        <v>1</v>
      </c>
      <c r="J2391">
        <v>298</v>
      </c>
      <c r="K2391">
        <v>0</v>
      </c>
      <c r="L2391">
        <v>366.54</v>
      </c>
    </row>
    <row r="2392" spans="1:12" x14ac:dyDescent="0.25">
      <c r="A2392" t="str">
        <f t="shared" si="517"/>
        <v>89301000</v>
      </c>
      <c r="B2392" t="str">
        <f t="shared" si="512"/>
        <v>72100000</v>
      </c>
      <c r="C2392" t="str">
        <f t="shared" si="513"/>
        <v>72100632</v>
      </c>
      <c r="D2392" t="str">
        <f t="shared" si="514"/>
        <v>816</v>
      </c>
      <c r="E2392" t="str">
        <f t="shared" si="515"/>
        <v>89301091</v>
      </c>
      <c r="F2392" t="str">
        <f>"2202120382"</f>
        <v>2202120382</v>
      </c>
      <c r="G2392" s="1">
        <v>44610</v>
      </c>
      <c r="H2392" t="str">
        <f t="shared" si="516"/>
        <v>94297</v>
      </c>
      <c r="I2392">
        <v>1</v>
      </c>
      <c r="J2392">
        <v>298</v>
      </c>
      <c r="K2392">
        <v>0</v>
      </c>
      <c r="L2392">
        <v>366.54</v>
      </c>
    </row>
    <row r="2393" spans="1:12" x14ac:dyDescent="0.25">
      <c r="A2393" t="str">
        <f t="shared" si="517"/>
        <v>89301000</v>
      </c>
      <c r="B2393" t="str">
        <f t="shared" ref="B2393:B2416" si="518">"72100000"</f>
        <v>72100000</v>
      </c>
      <c r="C2393" t="str">
        <f t="shared" si="513"/>
        <v>72100632</v>
      </c>
      <c r="D2393" t="str">
        <f t="shared" si="514"/>
        <v>816</v>
      </c>
      <c r="E2393" t="str">
        <f t="shared" si="515"/>
        <v>89301091</v>
      </c>
      <c r="F2393" t="str">
        <f>"2202120393"</f>
        <v>2202120393</v>
      </c>
      <c r="G2393" s="1">
        <v>44610</v>
      </c>
      <c r="H2393" t="str">
        <f t="shared" si="516"/>
        <v>94297</v>
      </c>
      <c r="I2393">
        <v>1</v>
      </c>
      <c r="J2393">
        <v>298</v>
      </c>
      <c r="K2393">
        <v>0</v>
      </c>
      <c r="L2393">
        <v>366.54</v>
      </c>
    </row>
    <row r="2394" spans="1:12" x14ac:dyDescent="0.25">
      <c r="A2394" t="str">
        <f t="shared" si="517"/>
        <v>89301000</v>
      </c>
      <c r="B2394" t="str">
        <f t="shared" si="518"/>
        <v>72100000</v>
      </c>
      <c r="C2394" t="str">
        <f t="shared" si="513"/>
        <v>72100632</v>
      </c>
      <c r="D2394" t="str">
        <f t="shared" si="514"/>
        <v>816</v>
      </c>
      <c r="E2394" t="str">
        <f t="shared" si="515"/>
        <v>89301091</v>
      </c>
      <c r="F2394" t="str">
        <f>"2252120409"</f>
        <v>2252120409</v>
      </c>
      <c r="G2394" s="1">
        <v>44610</v>
      </c>
      <c r="H2394" t="str">
        <f t="shared" si="516"/>
        <v>94297</v>
      </c>
      <c r="I2394">
        <v>1</v>
      </c>
      <c r="J2394">
        <v>298</v>
      </c>
      <c r="K2394">
        <v>0</v>
      </c>
      <c r="L2394">
        <v>366.54</v>
      </c>
    </row>
    <row r="2395" spans="1:12" x14ac:dyDescent="0.25">
      <c r="A2395" t="str">
        <f t="shared" si="517"/>
        <v>89301000</v>
      </c>
      <c r="B2395" t="str">
        <f t="shared" si="518"/>
        <v>72100000</v>
      </c>
      <c r="C2395" t="str">
        <f t="shared" si="513"/>
        <v>72100632</v>
      </c>
      <c r="D2395" t="str">
        <f t="shared" si="514"/>
        <v>816</v>
      </c>
      <c r="E2395" t="str">
        <f t="shared" si="515"/>
        <v>89301091</v>
      </c>
      <c r="F2395" t="str">
        <f>"2202120448"</f>
        <v>2202120448</v>
      </c>
      <c r="G2395" s="1">
        <v>44610</v>
      </c>
      <c r="H2395" t="str">
        <f t="shared" si="516"/>
        <v>94297</v>
      </c>
      <c r="I2395">
        <v>1</v>
      </c>
      <c r="J2395">
        <v>298</v>
      </c>
      <c r="K2395">
        <v>0</v>
      </c>
      <c r="L2395">
        <v>366.54</v>
      </c>
    </row>
    <row r="2396" spans="1:12" x14ac:dyDescent="0.25">
      <c r="A2396" t="str">
        <f t="shared" si="517"/>
        <v>89301000</v>
      </c>
      <c r="B2396" t="str">
        <f t="shared" si="518"/>
        <v>72100000</v>
      </c>
      <c r="C2396" t="str">
        <f t="shared" si="513"/>
        <v>72100632</v>
      </c>
      <c r="D2396" t="str">
        <f t="shared" si="514"/>
        <v>816</v>
      </c>
      <c r="E2396" t="str">
        <f>"89301282"</f>
        <v>89301282</v>
      </c>
      <c r="F2396" t="str">
        <f>"0459111378"</f>
        <v>0459111378</v>
      </c>
      <c r="G2396" s="1">
        <v>44614</v>
      </c>
      <c r="H2396" t="str">
        <f>"94983"</f>
        <v>94983</v>
      </c>
      <c r="I2396">
        <v>1</v>
      </c>
      <c r="J2396">
        <v>0</v>
      </c>
      <c r="K2396">
        <v>39600</v>
      </c>
      <c r="L2396">
        <v>39600</v>
      </c>
    </row>
    <row r="2397" spans="1:12" x14ac:dyDescent="0.25">
      <c r="A2397" t="str">
        <f t="shared" si="517"/>
        <v>89301000</v>
      </c>
      <c r="B2397" t="str">
        <f t="shared" si="518"/>
        <v>72100000</v>
      </c>
      <c r="C2397" t="str">
        <f t="shared" si="513"/>
        <v>72100632</v>
      </c>
      <c r="D2397" t="str">
        <f t="shared" si="514"/>
        <v>816</v>
      </c>
      <c r="E2397" t="str">
        <f>"89301282"</f>
        <v>89301282</v>
      </c>
      <c r="F2397" t="str">
        <f>"0459111378"</f>
        <v>0459111378</v>
      </c>
      <c r="G2397" s="1">
        <v>44614</v>
      </c>
      <c r="H2397" t="str">
        <f>"94996"</f>
        <v>94996</v>
      </c>
      <c r="I2397">
        <v>1</v>
      </c>
      <c r="J2397">
        <v>0</v>
      </c>
      <c r="K2397">
        <v>0</v>
      </c>
      <c r="L2397">
        <v>0</v>
      </c>
    </row>
    <row r="2398" spans="1:12" x14ac:dyDescent="0.25">
      <c r="A2398" t="str">
        <f t="shared" si="517"/>
        <v>89301000</v>
      </c>
      <c r="B2398" t="str">
        <f t="shared" si="518"/>
        <v>72100000</v>
      </c>
      <c r="C2398" t="str">
        <f t="shared" ref="C2398:C2416" si="519">"72100632"</f>
        <v>72100632</v>
      </c>
      <c r="D2398" t="str">
        <f t="shared" ref="D2398:D2424" si="520">"816"</f>
        <v>816</v>
      </c>
      <c r="E2398" t="str">
        <f t="shared" ref="E2398:E2416" si="521">"89301091"</f>
        <v>89301091</v>
      </c>
      <c r="F2398" t="str">
        <f>"2252140539"</f>
        <v>2252140539</v>
      </c>
      <c r="G2398" s="1">
        <v>44614</v>
      </c>
      <c r="H2398" t="str">
        <f t="shared" ref="H2398:H2416" si="522">"94297"</f>
        <v>94297</v>
      </c>
      <c r="I2398">
        <v>1</v>
      </c>
      <c r="J2398">
        <v>298</v>
      </c>
      <c r="K2398">
        <v>0</v>
      </c>
      <c r="L2398">
        <v>366.54</v>
      </c>
    </row>
    <row r="2399" spans="1:12" x14ac:dyDescent="0.25">
      <c r="A2399" t="str">
        <f t="shared" si="517"/>
        <v>89301000</v>
      </c>
      <c r="B2399" t="str">
        <f t="shared" si="518"/>
        <v>72100000</v>
      </c>
      <c r="C2399" t="str">
        <f t="shared" si="519"/>
        <v>72100632</v>
      </c>
      <c r="D2399" t="str">
        <f t="shared" si="520"/>
        <v>816</v>
      </c>
      <c r="E2399" t="str">
        <f t="shared" si="521"/>
        <v>89301091</v>
      </c>
      <c r="F2399" t="str">
        <f>"2202140754"</f>
        <v>2202140754</v>
      </c>
      <c r="G2399" s="1">
        <v>44614</v>
      </c>
      <c r="H2399" t="str">
        <f t="shared" si="522"/>
        <v>94297</v>
      </c>
      <c r="I2399">
        <v>1</v>
      </c>
      <c r="J2399">
        <v>298</v>
      </c>
      <c r="K2399">
        <v>0</v>
      </c>
      <c r="L2399">
        <v>366.54</v>
      </c>
    </row>
    <row r="2400" spans="1:12" x14ac:dyDescent="0.25">
      <c r="A2400" t="str">
        <f t="shared" si="517"/>
        <v>89301000</v>
      </c>
      <c r="B2400" t="str">
        <f t="shared" si="518"/>
        <v>72100000</v>
      </c>
      <c r="C2400" t="str">
        <f t="shared" si="519"/>
        <v>72100632</v>
      </c>
      <c r="D2400" t="str">
        <f t="shared" si="520"/>
        <v>816</v>
      </c>
      <c r="E2400" t="str">
        <f t="shared" si="521"/>
        <v>89301091</v>
      </c>
      <c r="F2400" t="str">
        <f>"2202140765"</f>
        <v>2202140765</v>
      </c>
      <c r="G2400" s="1">
        <v>44614</v>
      </c>
      <c r="H2400" t="str">
        <f t="shared" si="522"/>
        <v>94297</v>
      </c>
      <c r="I2400">
        <v>1</v>
      </c>
      <c r="J2400">
        <v>298</v>
      </c>
      <c r="K2400">
        <v>0</v>
      </c>
      <c r="L2400">
        <v>366.54</v>
      </c>
    </row>
    <row r="2401" spans="1:12" x14ac:dyDescent="0.25">
      <c r="A2401" t="str">
        <f t="shared" si="517"/>
        <v>89301000</v>
      </c>
      <c r="B2401" t="str">
        <f t="shared" si="518"/>
        <v>72100000</v>
      </c>
      <c r="C2401" t="str">
        <f t="shared" si="519"/>
        <v>72100632</v>
      </c>
      <c r="D2401" t="str">
        <f t="shared" si="520"/>
        <v>816</v>
      </c>
      <c r="E2401" t="str">
        <f t="shared" si="521"/>
        <v>89301091</v>
      </c>
      <c r="F2401" t="str">
        <f>"2202140776"</f>
        <v>2202140776</v>
      </c>
      <c r="G2401" s="1">
        <v>44614</v>
      </c>
      <c r="H2401" t="str">
        <f t="shared" si="522"/>
        <v>94297</v>
      </c>
      <c r="I2401">
        <v>1</v>
      </c>
      <c r="J2401">
        <v>298</v>
      </c>
      <c r="K2401">
        <v>0</v>
      </c>
      <c r="L2401">
        <v>366.54</v>
      </c>
    </row>
    <row r="2402" spans="1:12" x14ac:dyDescent="0.25">
      <c r="A2402" t="str">
        <f t="shared" si="517"/>
        <v>89301000</v>
      </c>
      <c r="B2402" t="str">
        <f t="shared" si="518"/>
        <v>72100000</v>
      </c>
      <c r="C2402" t="str">
        <f t="shared" si="519"/>
        <v>72100632</v>
      </c>
      <c r="D2402" t="str">
        <f t="shared" si="520"/>
        <v>816</v>
      </c>
      <c r="E2402" t="str">
        <f t="shared" si="521"/>
        <v>89301091</v>
      </c>
      <c r="F2402" t="str">
        <f>"2202150071"</f>
        <v>2202150071</v>
      </c>
      <c r="G2402" s="1">
        <v>44615</v>
      </c>
      <c r="H2402" t="str">
        <f t="shared" si="522"/>
        <v>94297</v>
      </c>
      <c r="I2402">
        <v>1</v>
      </c>
      <c r="J2402">
        <v>298</v>
      </c>
      <c r="K2402">
        <v>0</v>
      </c>
      <c r="L2402">
        <v>366.54</v>
      </c>
    </row>
    <row r="2403" spans="1:12" x14ac:dyDescent="0.25">
      <c r="A2403" t="str">
        <f t="shared" si="517"/>
        <v>89301000</v>
      </c>
      <c r="B2403" t="str">
        <f t="shared" si="518"/>
        <v>72100000</v>
      </c>
      <c r="C2403" t="str">
        <f t="shared" si="519"/>
        <v>72100632</v>
      </c>
      <c r="D2403" t="str">
        <f t="shared" si="520"/>
        <v>816</v>
      </c>
      <c r="E2403" t="str">
        <f t="shared" si="521"/>
        <v>89301091</v>
      </c>
      <c r="F2403" t="str">
        <f>"2202150566"</f>
        <v>2202150566</v>
      </c>
      <c r="G2403" s="1">
        <v>44615</v>
      </c>
      <c r="H2403" t="str">
        <f t="shared" si="522"/>
        <v>94297</v>
      </c>
      <c r="I2403">
        <v>1</v>
      </c>
      <c r="J2403">
        <v>298</v>
      </c>
      <c r="K2403">
        <v>0</v>
      </c>
      <c r="L2403">
        <v>366.54</v>
      </c>
    </row>
    <row r="2404" spans="1:12" x14ac:dyDescent="0.25">
      <c r="A2404" t="str">
        <f t="shared" si="517"/>
        <v>89301000</v>
      </c>
      <c r="B2404" t="str">
        <f t="shared" si="518"/>
        <v>72100000</v>
      </c>
      <c r="C2404" t="str">
        <f t="shared" si="519"/>
        <v>72100632</v>
      </c>
      <c r="D2404" t="str">
        <f t="shared" si="520"/>
        <v>816</v>
      </c>
      <c r="E2404" t="str">
        <f t="shared" si="521"/>
        <v>89301091</v>
      </c>
      <c r="F2404" t="str">
        <f>"2202150577"</f>
        <v>2202150577</v>
      </c>
      <c r="G2404" s="1">
        <v>44615</v>
      </c>
      <c r="H2404" t="str">
        <f t="shared" si="522"/>
        <v>94297</v>
      </c>
      <c r="I2404">
        <v>1</v>
      </c>
      <c r="J2404">
        <v>298</v>
      </c>
      <c r="K2404">
        <v>0</v>
      </c>
      <c r="L2404">
        <v>366.54</v>
      </c>
    </row>
    <row r="2405" spans="1:12" x14ac:dyDescent="0.25">
      <c r="A2405" t="str">
        <f t="shared" si="517"/>
        <v>89301000</v>
      </c>
      <c r="B2405" t="str">
        <f t="shared" si="518"/>
        <v>72100000</v>
      </c>
      <c r="C2405" t="str">
        <f t="shared" si="519"/>
        <v>72100632</v>
      </c>
      <c r="D2405" t="str">
        <f t="shared" si="520"/>
        <v>816</v>
      </c>
      <c r="E2405" t="str">
        <f t="shared" si="521"/>
        <v>89301091</v>
      </c>
      <c r="F2405" t="str">
        <f>"9453094860"</f>
        <v>9453094860</v>
      </c>
      <c r="G2405" s="1">
        <v>44616</v>
      </c>
      <c r="H2405" t="str">
        <f t="shared" si="522"/>
        <v>94297</v>
      </c>
      <c r="I2405">
        <v>1</v>
      </c>
      <c r="J2405">
        <v>298</v>
      </c>
      <c r="K2405">
        <v>0</v>
      </c>
      <c r="L2405">
        <v>366.54</v>
      </c>
    </row>
    <row r="2406" spans="1:12" x14ac:dyDescent="0.25">
      <c r="A2406" t="str">
        <f t="shared" si="517"/>
        <v>89301000</v>
      </c>
      <c r="B2406" t="str">
        <f t="shared" si="518"/>
        <v>72100000</v>
      </c>
      <c r="C2406" t="str">
        <f t="shared" si="519"/>
        <v>72100632</v>
      </c>
      <c r="D2406" t="str">
        <f t="shared" si="520"/>
        <v>816</v>
      </c>
      <c r="E2406" t="str">
        <f t="shared" si="521"/>
        <v>89301091</v>
      </c>
      <c r="F2406" t="str">
        <f>"2252160603"</f>
        <v>2252160603</v>
      </c>
      <c r="G2406" s="1">
        <v>44616</v>
      </c>
      <c r="H2406" t="str">
        <f t="shared" si="522"/>
        <v>94297</v>
      </c>
      <c r="I2406">
        <v>1</v>
      </c>
      <c r="J2406">
        <v>298</v>
      </c>
      <c r="K2406">
        <v>0</v>
      </c>
      <c r="L2406">
        <v>366.54</v>
      </c>
    </row>
    <row r="2407" spans="1:12" x14ac:dyDescent="0.25">
      <c r="A2407" t="str">
        <f t="shared" si="517"/>
        <v>89301000</v>
      </c>
      <c r="B2407" t="str">
        <f t="shared" si="518"/>
        <v>72100000</v>
      </c>
      <c r="C2407" t="str">
        <f t="shared" si="519"/>
        <v>72100632</v>
      </c>
      <c r="D2407" t="str">
        <f t="shared" si="520"/>
        <v>816</v>
      </c>
      <c r="E2407" t="str">
        <f t="shared" si="521"/>
        <v>89301091</v>
      </c>
      <c r="F2407" t="str">
        <f>"2202160587"</f>
        <v>2202160587</v>
      </c>
      <c r="G2407" s="1">
        <v>44616</v>
      </c>
      <c r="H2407" t="str">
        <f t="shared" si="522"/>
        <v>94297</v>
      </c>
      <c r="I2407">
        <v>1</v>
      </c>
      <c r="J2407">
        <v>298</v>
      </c>
      <c r="K2407">
        <v>0</v>
      </c>
      <c r="L2407">
        <v>366.54</v>
      </c>
    </row>
    <row r="2408" spans="1:12" x14ac:dyDescent="0.25">
      <c r="A2408" t="str">
        <f t="shared" si="517"/>
        <v>89301000</v>
      </c>
      <c r="B2408" t="str">
        <f t="shared" si="518"/>
        <v>72100000</v>
      </c>
      <c r="C2408" t="str">
        <f t="shared" si="519"/>
        <v>72100632</v>
      </c>
      <c r="D2408" t="str">
        <f t="shared" si="520"/>
        <v>816</v>
      </c>
      <c r="E2408" t="str">
        <f t="shared" si="521"/>
        <v>89301091</v>
      </c>
      <c r="F2408" t="str">
        <f>"8759244934"</f>
        <v>8759244934</v>
      </c>
      <c r="G2408" s="1">
        <v>44617</v>
      </c>
      <c r="H2408" t="str">
        <f t="shared" si="522"/>
        <v>94297</v>
      </c>
      <c r="I2408">
        <v>1</v>
      </c>
      <c r="J2408">
        <v>298</v>
      </c>
      <c r="K2408">
        <v>0</v>
      </c>
      <c r="L2408">
        <v>366.54</v>
      </c>
    </row>
    <row r="2409" spans="1:12" x14ac:dyDescent="0.25">
      <c r="A2409" t="str">
        <f t="shared" si="517"/>
        <v>89301000</v>
      </c>
      <c r="B2409" t="str">
        <f t="shared" si="518"/>
        <v>72100000</v>
      </c>
      <c r="C2409" t="str">
        <f t="shared" si="519"/>
        <v>72100632</v>
      </c>
      <c r="D2409" t="str">
        <f t="shared" si="520"/>
        <v>816</v>
      </c>
      <c r="E2409" t="str">
        <f t="shared" si="521"/>
        <v>89301091</v>
      </c>
      <c r="F2409" t="str">
        <f>"9158195706"</f>
        <v>9158195706</v>
      </c>
      <c r="G2409" s="1">
        <v>44617</v>
      </c>
      <c r="H2409" t="str">
        <f t="shared" si="522"/>
        <v>94297</v>
      </c>
      <c r="I2409">
        <v>1</v>
      </c>
      <c r="J2409">
        <v>298</v>
      </c>
      <c r="K2409">
        <v>0</v>
      </c>
      <c r="L2409">
        <v>366.54</v>
      </c>
    </row>
    <row r="2410" spans="1:12" x14ac:dyDescent="0.25">
      <c r="A2410" t="str">
        <f t="shared" si="517"/>
        <v>89301000</v>
      </c>
      <c r="B2410" t="str">
        <f t="shared" si="518"/>
        <v>72100000</v>
      </c>
      <c r="C2410" t="str">
        <f t="shared" si="519"/>
        <v>72100632</v>
      </c>
      <c r="D2410" t="str">
        <f t="shared" si="520"/>
        <v>816</v>
      </c>
      <c r="E2410" t="str">
        <f t="shared" si="521"/>
        <v>89301091</v>
      </c>
      <c r="F2410" t="str">
        <f>"2252200335"</f>
        <v>2252200335</v>
      </c>
      <c r="G2410" s="1">
        <v>44620</v>
      </c>
      <c r="H2410" t="str">
        <f t="shared" si="522"/>
        <v>94297</v>
      </c>
      <c r="I2410">
        <v>1</v>
      </c>
      <c r="J2410">
        <v>298</v>
      </c>
      <c r="K2410">
        <v>0</v>
      </c>
      <c r="L2410">
        <v>366.54</v>
      </c>
    </row>
    <row r="2411" spans="1:12" x14ac:dyDescent="0.25">
      <c r="A2411" t="str">
        <f t="shared" si="517"/>
        <v>89301000</v>
      </c>
      <c r="B2411" t="str">
        <f t="shared" si="518"/>
        <v>72100000</v>
      </c>
      <c r="C2411" t="str">
        <f t="shared" si="519"/>
        <v>72100632</v>
      </c>
      <c r="D2411" t="str">
        <f t="shared" si="520"/>
        <v>816</v>
      </c>
      <c r="E2411" t="str">
        <f t="shared" si="521"/>
        <v>89301091</v>
      </c>
      <c r="F2411" t="str">
        <f>"2201200617"</f>
        <v>2201200617</v>
      </c>
      <c r="G2411" s="1">
        <v>44588</v>
      </c>
      <c r="H2411" t="str">
        <f t="shared" si="522"/>
        <v>94297</v>
      </c>
      <c r="I2411">
        <v>1</v>
      </c>
      <c r="J2411">
        <v>298</v>
      </c>
      <c r="K2411">
        <v>0</v>
      </c>
      <c r="L2411">
        <v>366.54</v>
      </c>
    </row>
    <row r="2412" spans="1:12" x14ac:dyDescent="0.25">
      <c r="A2412" t="str">
        <f t="shared" si="517"/>
        <v>89301000</v>
      </c>
      <c r="B2412" t="str">
        <f t="shared" si="518"/>
        <v>72100000</v>
      </c>
      <c r="C2412" t="str">
        <f t="shared" si="519"/>
        <v>72100632</v>
      </c>
      <c r="D2412" t="str">
        <f t="shared" si="520"/>
        <v>816</v>
      </c>
      <c r="E2412" t="str">
        <f t="shared" si="521"/>
        <v>89301091</v>
      </c>
      <c r="F2412" t="str">
        <f>"2201220296"</f>
        <v>2201220296</v>
      </c>
      <c r="G2412" s="1">
        <v>44589</v>
      </c>
      <c r="H2412" t="str">
        <f t="shared" si="522"/>
        <v>94297</v>
      </c>
      <c r="I2412">
        <v>1</v>
      </c>
      <c r="J2412">
        <v>298</v>
      </c>
      <c r="K2412">
        <v>0</v>
      </c>
      <c r="L2412">
        <v>366.54</v>
      </c>
    </row>
    <row r="2413" spans="1:12" x14ac:dyDescent="0.25">
      <c r="A2413" t="str">
        <f t="shared" si="517"/>
        <v>89301000</v>
      </c>
      <c r="B2413" t="str">
        <f t="shared" si="518"/>
        <v>72100000</v>
      </c>
      <c r="C2413" t="str">
        <f t="shared" si="519"/>
        <v>72100632</v>
      </c>
      <c r="D2413" t="str">
        <f t="shared" si="520"/>
        <v>816</v>
      </c>
      <c r="E2413" t="str">
        <f t="shared" si="521"/>
        <v>89301091</v>
      </c>
      <c r="F2413" t="str">
        <f>"2201220307"</f>
        <v>2201220307</v>
      </c>
      <c r="G2413" s="1">
        <v>44589</v>
      </c>
      <c r="H2413" t="str">
        <f t="shared" si="522"/>
        <v>94297</v>
      </c>
      <c r="I2413">
        <v>1</v>
      </c>
      <c r="J2413">
        <v>298</v>
      </c>
      <c r="K2413">
        <v>0</v>
      </c>
      <c r="L2413">
        <v>366.54</v>
      </c>
    </row>
    <row r="2414" spans="1:12" x14ac:dyDescent="0.25">
      <c r="A2414" t="str">
        <f t="shared" si="517"/>
        <v>89301000</v>
      </c>
      <c r="B2414" t="str">
        <f t="shared" si="518"/>
        <v>72100000</v>
      </c>
      <c r="C2414" t="str">
        <f t="shared" si="519"/>
        <v>72100632</v>
      </c>
      <c r="D2414" t="str">
        <f t="shared" si="520"/>
        <v>816</v>
      </c>
      <c r="E2414" t="str">
        <f t="shared" si="521"/>
        <v>89301091</v>
      </c>
      <c r="F2414" t="str">
        <f>"2251220279"</f>
        <v>2251220279</v>
      </c>
      <c r="G2414" s="1">
        <v>44592</v>
      </c>
      <c r="H2414" t="str">
        <f t="shared" si="522"/>
        <v>94297</v>
      </c>
      <c r="I2414">
        <v>1</v>
      </c>
      <c r="J2414">
        <v>298</v>
      </c>
      <c r="K2414">
        <v>0</v>
      </c>
      <c r="L2414">
        <v>366.54</v>
      </c>
    </row>
    <row r="2415" spans="1:12" x14ac:dyDescent="0.25">
      <c r="A2415" t="str">
        <f t="shared" si="517"/>
        <v>89301000</v>
      </c>
      <c r="B2415" t="str">
        <f t="shared" si="518"/>
        <v>72100000</v>
      </c>
      <c r="C2415" t="str">
        <f t="shared" si="519"/>
        <v>72100632</v>
      </c>
      <c r="D2415" t="str">
        <f t="shared" si="520"/>
        <v>816</v>
      </c>
      <c r="E2415" t="str">
        <f t="shared" si="521"/>
        <v>89301091</v>
      </c>
      <c r="F2415" t="str">
        <f>"2251230234"</f>
        <v>2251230234</v>
      </c>
      <c r="G2415" s="1">
        <v>44592</v>
      </c>
      <c r="H2415" t="str">
        <f t="shared" si="522"/>
        <v>94297</v>
      </c>
      <c r="I2415">
        <v>1</v>
      </c>
      <c r="J2415">
        <v>298</v>
      </c>
      <c r="K2415">
        <v>0</v>
      </c>
      <c r="L2415">
        <v>366.54</v>
      </c>
    </row>
    <row r="2416" spans="1:12" x14ac:dyDescent="0.25">
      <c r="A2416" t="str">
        <f t="shared" si="517"/>
        <v>89301000</v>
      </c>
      <c r="B2416" t="str">
        <f t="shared" si="518"/>
        <v>72100000</v>
      </c>
      <c r="C2416" t="str">
        <f t="shared" si="519"/>
        <v>72100632</v>
      </c>
      <c r="D2416" t="str">
        <f t="shared" si="520"/>
        <v>816</v>
      </c>
      <c r="E2416" t="str">
        <f t="shared" si="521"/>
        <v>89301091</v>
      </c>
      <c r="F2416" t="str">
        <f>"2251230245"</f>
        <v>2251230245</v>
      </c>
      <c r="G2416" s="1">
        <v>44592</v>
      </c>
      <c r="H2416" t="str">
        <f t="shared" si="522"/>
        <v>94297</v>
      </c>
      <c r="I2416">
        <v>1</v>
      </c>
      <c r="J2416">
        <v>298</v>
      </c>
      <c r="K2416">
        <v>0</v>
      </c>
      <c r="L2416">
        <v>366.54</v>
      </c>
    </row>
    <row r="2417" spans="1:12" x14ac:dyDescent="0.25">
      <c r="A2417" t="str">
        <f t="shared" si="517"/>
        <v>89301000</v>
      </c>
      <c r="B2417" t="str">
        <f t="shared" ref="B2417:B2431" si="523">"44564000"</f>
        <v>44564000</v>
      </c>
      <c r="C2417" t="str">
        <f t="shared" ref="C2417:C2424" si="524">"44564006"</f>
        <v>44564006</v>
      </c>
      <c r="D2417" t="str">
        <f t="shared" si="520"/>
        <v>816</v>
      </c>
      <c r="E2417" t="str">
        <f>"89301282"</f>
        <v>89301282</v>
      </c>
      <c r="F2417" t="str">
        <f>"7762055235"</f>
        <v>7762055235</v>
      </c>
      <c r="G2417" s="1">
        <v>44629</v>
      </c>
      <c r="H2417" t="str">
        <f>"94221"</f>
        <v>94221</v>
      </c>
      <c r="I2417">
        <v>9</v>
      </c>
      <c r="J2417">
        <v>22077</v>
      </c>
      <c r="K2417">
        <v>0</v>
      </c>
      <c r="L2417">
        <v>18765.45</v>
      </c>
    </row>
    <row r="2418" spans="1:12" x14ac:dyDescent="0.25">
      <c r="A2418" t="str">
        <f t="shared" si="517"/>
        <v>89301000</v>
      </c>
      <c r="B2418" t="str">
        <f t="shared" si="523"/>
        <v>44564000</v>
      </c>
      <c r="C2418" t="str">
        <f t="shared" si="524"/>
        <v>44564006</v>
      </c>
      <c r="D2418" t="str">
        <f t="shared" si="520"/>
        <v>816</v>
      </c>
      <c r="E2418" t="str">
        <f>"89301282"</f>
        <v>89301282</v>
      </c>
      <c r="F2418" t="str">
        <f>"7762055235"</f>
        <v>7762055235</v>
      </c>
      <c r="G2418" s="1">
        <v>44629</v>
      </c>
      <c r="H2418" t="str">
        <f>"94221"</f>
        <v>94221</v>
      </c>
      <c r="I2418">
        <v>4</v>
      </c>
      <c r="J2418">
        <v>9812</v>
      </c>
      <c r="K2418">
        <v>0</v>
      </c>
      <c r="L2418">
        <v>8340.2000000000007</v>
      </c>
    </row>
    <row r="2419" spans="1:12" x14ac:dyDescent="0.25">
      <c r="A2419" t="str">
        <f t="shared" si="517"/>
        <v>89301000</v>
      </c>
      <c r="B2419" t="str">
        <f t="shared" si="523"/>
        <v>44564000</v>
      </c>
      <c r="C2419" t="str">
        <f t="shared" si="524"/>
        <v>44564006</v>
      </c>
      <c r="D2419" t="str">
        <f t="shared" si="520"/>
        <v>816</v>
      </c>
      <c r="E2419" t="str">
        <f>"89301282"</f>
        <v>89301282</v>
      </c>
      <c r="F2419" t="str">
        <f>"7762055235"</f>
        <v>7762055235</v>
      </c>
      <c r="G2419" s="1">
        <v>44629</v>
      </c>
      <c r="H2419" t="str">
        <f>"94996"</f>
        <v>94996</v>
      </c>
      <c r="I2419">
        <v>1</v>
      </c>
      <c r="J2419">
        <v>0</v>
      </c>
      <c r="K2419">
        <v>0</v>
      </c>
      <c r="L2419">
        <v>0</v>
      </c>
    </row>
    <row r="2420" spans="1:12" x14ac:dyDescent="0.25">
      <c r="A2420" t="str">
        <f t="shared" si="517"/>
        <v>89301000</v>
      </c>
      <c r="B2420" t="str">
        <f t="shared" si="523"/>
        <v>44564000</v>
      </c>
      <c r="C2420" t="str">
        <f t="shared" si="524"/>
        <v>44564006</v>
      </c>
      <c r="D2420" t="str">
        <f t="shared" si="520"/>
        <v>816</v>
      </c>
      <c r="E2420" t="str">
        <f>"89301282"</f>
        <v>89301282</v>
      </c>
      <c r="F2420" t="str">
        <f>"7762055235"</f>
        <v>7762055235</v>
      </c>
      <c r="G2420" s="1">
        <v>44628</v>
      </c>
      <c r="H2420" t="str">
        <f>"94221"</f>
        <v>94221</v>
      </c>
      <c r="I2420">
        <v>1</v>
      </c>
      <c r="J2420">
        <v>2453</v>
      </c>
      <c r="K2420">
        <v>0</v>
      </c>
      <c r="L2420">
        <v>2085.0500000000002</v>
      </c>
    </row>
    <row r="2421" spans="1:12" x14ac:dyDescent="0.25">
      <c r="A2421" t="str">
        <f t="shared" si="517"/>
        <v>89301000</v>
      </c>
      <c r="B2421" t="str">
        <f t="shared" si="523"/>
        <v>44564000</v>
      </c>
      <c r="C2421" t="str">
        <f t="shared" si="524"/>
        <v>44564006</v>
      </c>
      <c r="D2421" t="str">
        <f t="shared" si="520"/>
        <v>816</v>
      </c>
      <c r="E2421" t="str">
        <f>"89301212"</f>
        <v>89301212</v>
      </c>
      <c r="F2421" t="str">
        <f>"350805412"</f>
        <v>350805412</v>
      </c>
      <c r="G2421" s="1">
        <v>44622</v>
      </c>
      <c r="H2421" t="str">
        <f>"94225"</f>
        <v>94225</v>
      </c>
      <c r="I2421">
        <v>1</v>
      </c>
      <c r="J2421">
        <v>1187</v>
      </c>
      <c r="K2421">
        <v>0</v>
      </c>
      <c r="L2421">
        <v>1008.95</v>
      </c>
    </row>
    <row r="2422" spans="1:12" x14ac:dyDescent="0.25">
      <c r="A2422" t="str">
        <f t="shared" si="517"/>
        <v>89301000</v>
      </c>
      <c r="B2422" t="str">
        <f t="shared" si="523"/>
        <v>44564000</v>
      </c>
      <c r="C2422" t="str">
        <f t="shared" si="524"/>
        <v>44564006</v>
      </c>
      <c r="D2422" t="str">
        <f t="shared" si="520"/>
        <v>816</v>
      </c>
      <c r="E2422" t="str">
        <f>"89301088"</f>
        <v>89301088</v>
      </c>
      <c r="F2422" t="str">
        <f>"495820257"</f>
        <v>495820257</v>
      </c>
      <c r="G2422" s="1">
        <v>44636</v>
      </c>
      <c r="H2422" t="str">
        <f>"94235"</f>
        <v>94235</v>
      </c>
      <c r="I2422">
        <v>1</v>
      </c>
      <c r="J2422">
        <v>673</v>
      </c>
      <c r="K2422">
        <v>0</v>
      </c>
      <c r="L2422">
        <v>572.04999999999995</v>
      </c>
    </row>
    <row r="2423" spans="1:12" x14ac:dyDescent="0.25">
      <c r="A2423" t="str">
        <f t="shared" si="517"/>
        <v>89301000</v>
      </c>
      <c r="B2423" t="str">
        <f t="shared" si="523"/>
        <v>44564000</v>
      </c>
      <c r="C2423" t="str">
        <f t="shared" si="524"/>
        <v>44564006</v>
      </c>
      <c r="D2423" t="str">
        <f t="shared" si="520"/>
        <v>816</v>
      </c>
      <c r="E2423" t="str">
        <f>"89301212"</f>
        <v>89301212</v>
      </c>
      <c r="F2423" t="str">
        <f>"505525119"</f>
        <v>505525119</v>
      </c>
      <c r="G2423" s="1">
        <v>44630</v>
      </c>
      <c r="H2423" t="str">
        <f>"94225"</f>
        <v>94225</v>
      </c>
      <c r="I2423">
        <v>1</v>
      </c>
      <c r="J2423">
        <v>1187</v>
      </c>
      <c r="K2423">
        <v>0</v>
      </c>
      <c r="L2423">
        <v>1008.95</v>
      </c>
    </row>
    <row r="2424" spans="1:12" x14ac:dyDescent="0.25">
      <c r="A2424" t="str">
        <f t="shared" si="517"/>
        <v>89301000</v>
      </c>
      <c r="B2424" t="str">
        <f t="shared" si="523"/>
        <v>44564000</v>
      </c>
      <c r="C2424" t="str">
        <f t="shared" si="524"/>
        <v>44564006</v>
      </c>
      <c r="D2424" t="str">
        <f t="shared" si="520"/>
        <v>816</v>
      </c>
      <c r="E2424" t="str">
        <f>"89301212"</f>
        <v>89301212</v>
      </c>
      <c r="F2424" t="str">
        <f>"5660280538"</f>
        <v>5660280538</v>
      </c>
      <c r="G2424" s="1">
        <v>44638</v>
      </c>
      <c r="H2424" t="str">
        <f>"94225"</f>
        <v>94225</v>
      </c>
      <c r="I2424">
        <v>1</v>
      </c>
      <c r="J2424">
        <v>1187</v>
      </c>
      <c r="K2424">
        <v>0</v>
      </c>
      <c r="L2424">
        <v>1008.95</v>
      </c>
    </row>
    <row r="2425" spans="1:12" x14ac:dyDescent="0.25">
      <c r="A2425" t="str">
        <f t="shared" si="517"/>
        <v>89301000</v>
      </c>
      <c r="B2425" t="str">
        <f t="shared" si="523"/>
        <v>44564000</v>
      </c>
      <c r="C2425" t="str">
        <f t="shared" ref="C2425:C2431" si="525">"44564004"</f>
        <v>44564004</v>
      </c>
      <c r="D2425" t="str">
        <f t="shared" ref="D2425:D2431" si="526">"807"</f>
        <v>807</v>
      </c>
      <c r="E2425" t="str">
        <f>"89301212"</f>
        <v>89301212</v>
      </c>
      <c r="F2425" t="str">
        <f>"350805412"</f>
        <v>350805412</v>
      </c>
      <c r="G2425" s="1">
        <v>44627</v>
      </c>
      <c r="H2425" t="str">
        <f>"87231"</f>
        <v>87231</v>
      </c>
      <c r="I2425">
        <v>6</v>
      </c>
      <c r="J2425">
        <v>2244</v>
      </c>
      <c r="K2425">
        <v>0</v>
      </c>
      <c r="L2425">
        <v>1750.32</v>
      </c>
    </row>
    <row r="2426" spans="1:12" x14ac:dyDescent="0.25">
      <c r="A2426" t="str">
        <f t="shared" si="517"/>
        <v>89301000</v>
      </c>
      <c r="B2426" t="str">
        <f t="shared" si="523"/>
        <v>44564000</v>
      </c>
      <c r="C2426" t="str">
        <f t="shared" si="525"/>
        <v>44564004</v>
      </c>
      <c r="D2426" t="str">
        <f t="shared" si="526"/>
        <v>807</v>
      </c>
      <c r="E2426" t="str">
        <f>"89301212"</f>
        <v>89301212</v>
      </c>
      <c r="F2426" t="str">
        <f>"350805412"</f>
        <v>350805412</v>
      </c>
      <c r="G2426" s="1">
        <v>44627</v>
      </c>
      <c r="H2426" t="str">
        <f>"87523"</f>
        <v>87523</v>
      </c>
      <c r="I2426">
        <v>1</v>
      </c>
      <c r="J2426">
        <v>584</v>
      </c>
      <c r="K2426">
        <v>0</v>
      </c>
      <c r="L2426">
        <v>455.52</v>
      </c>
    </row>
    <row r="2427" spans="1:12" x14ac:dyDescent="0.25">
      <c r="A2427" t="str">
        <f t="shared" si="517"/>
        <v>89301000</v>
      </c>
      <c r="B2427" t="str">
        <f t="shared" si="523"/>
        <v>44564000</v>
      </c>
      <c r="C2427" t="str">
        <f t="shared" si="525"/>
        <v>44564004</v>
      </c>
      <c r="D2427" t="str">
        <f t="shared" si="526"/>
        <v>807</v>
      </c>
      <c r="E2427" t="str">
        <f>"89301212"</f>
        <v>89301212</v>
      </c>
      <c r="F2427" t="str">
        <f>"350805412"</f>
        <v>350805412</v>
      </c>
      <c r="G2427" s="1">
        <v>44627</v>
      </c>
      <c r="H2427" t="str">
        <f>"87613"</f>
        <v>87613</v>
      </c>
      <c r="I2427">
        <v>1</v>
      </c>
      <c r="J2427">
        <v>422</v>
      </c>
      <c r="K2427">
        <v>0</v>
      </c>
      <c r="L2427">
        <v>329.16</v>
      </c>
    </row>
    <row r="2428" spans="1:12" x14ac:dyDescent="0.25">
      <c r="A2428" t="str">
        <f t="shared" si="517"/>
        <v>89301000</v>
      </c>
      <c r="B2428" t="str">
        <f t="shared" si="523"/>
        <v>44564000</v>
      </c>
      <c r="C2428" t="str">
        <f t="shared" si="525"/>
        <v>44564004</v>
      </c>
      <c r="D2428" t="str">
        <f t="shared" si="526"/>
        <v>807</v>
      </c>
      <c r="E2428" t="str">
        <f>"89301088"</f>
        <v>89301088</v>
      </c>
      <c r="F2428" t="str">
        <f>"495820257"</f>
        <v>495820257</v>
      </c>
      <c r="G2428" s="1">
        <v>44636</v>
      </c>
      <c r="H2428" t="str">
        <f>"87613"</f>
        <v>87613</v>
      </c>
      <c r="I2428">
        <v>1</v>
      </c>
      <c r="J2428">
        <v>422</v>
      </c>
      <c r="K2428">
        <v>0</v>
      </c>
      <c r="L2428">
        <v>329.16</v>
      </c>
    </row>
    <row r="2429" spans="1:12" x14ac:dyDescent="0.25">
      <c r="A2429" t="str">
        <f t="shared" si="517"/>
        <v>89301000</v>
      </c>
      <c r="B2429" t="str">
        <f t="shared" si="523"/>
        <v>44564000</v>
      </c>
      <c r="C2429" t="str">
        <f t="shared" si="525"/>
        <v>44564004</v>
      </c>
      <c r="D2429" t="str">
        <f t="shared" si="526"/>
        <v>807</v>
      </c>
      <c r="E2429" t="str">
        <f>"89301212"</f>
        <v>89301212</v>
      </c>
      <c r="F2429" t="str">
        <f>"505525119"</f>
        <v>505525119</v>
      </c>
      <c r="G2429" s="1">
        <v>44642</v>
      </c>
      <c r="H2429" t="str">
        <f>"87217"</f>
        <v>87217</v>
      </c>
      <c r="I2429">
        <v>1</v>
      </c>
      <c r="J2429">
        <v>207</v>
      </c>
      <c r="K2429">
        <v>0</v>
      </c>
      <c r="L2429">
        <v>161.46</v>
      </c>
    </row>
    <row r="2430" spans="1:12" x14ac:dyDescent="0.25">
      <c r="A2430" t="str">
        <f t="shared" si="517"/>
        <v>89301000</v>
      </c>
      <c r="B2430" t="str">
        <f t="shared" si="523"/>
        <v>44564000</v>
      </c>
      <c r="C2430" t="str">
        <f t="shared" si="525"/>
        <v>44564004</v>
      </c>
      <c r="D2430" t="str">
        <f t="shared" si="526"/>
        <v>807</v>
      </c>
      <c r="E2430" t="str">
        <f>"89301212"</f>
        <v>89301212</v>
      </c>
      <c r="F2430" t="str">
        <f>"505525119"</f>
        <v>505525119</v>
      </c>
      <c r="G2430" s="1">
        <v>44642</v>
      </c>
      <c r="H2430" t="str">
        <f>"87613"</f>
        <v>87613</v>
      </c>
      <c r="I2430">
        <v>1</v>
      </c>
      <c r="J2430">
        <v>422</v>
      </c>
      <c r="K2430">
        <v>0</v>
      </c>
      <c r="L2430">
        <v>329.16</v>
      </c>
    </row>
    <row r="2431" spans="1:12" x14ac:dyDescent="0.25">
      <c r="A2431" t="str">
        <f t="shared" si="517"/>
        <v>89301000</v>
      </c>
      <c r="B2431" t="str">
        <f t="shared" si="523"/>
        <v>44564000</v>
      </c>
      <c r="C2431" t="str">
        <f t="shared" si="525"/>
        <v>44564004</v>
      </c>
      <c r="D2431" t="str">
        <f t="shared" si="526"/>
        <v>807</v>
      </c>
      <c r="E2431" t="str">
        <f>"89301212"</f>
        <v>89301212</v>
      </c>
      <c r="F2431" t="str">
        <f>"505525119"</f>
        <v>505525119</v>
      </c>
      <c r="G2431" s="1">
        <v>44642</v>
      </c>
      <c r="H2431" t="str">
        <f>"87617"</f>
        <v>87617</v>
      </c>
      <c r="I2431">
        <v>1</v>
      </c>
      <c r="J2431">
        <v>3625</v>
      </c>
      <c r="K2431">
        <v>0</v>
      </c>
      <c r="L2431">
        <v>2827.5</v>
      </c>
    </row>
    <row r="2432" spans="1:12" x14ac:dyDescent="0.25">
      <c r="A2432" t="str">
        <f t="shared" si="517"/>
        <v>89301000</v>
      </c>
      <c r="B2432" t="str">
        <f>"60001000"</f>
        <v>60001000</v>
      </c>
      <c r="C2432" t="str">
        <f>"60001810"</f>
        <v>60001810</v>
      </c>
      <c r="D2432" t="str">
        <f>"810"</f>
        <v>810</v>
      </c>
      <c r="E2432" t="str">
        <f>"89301062"</f>
        <v>89301062</v>
      </c>
      <c r="F2432" t="str">
        <f>"8312134776"</f>
        <v>8312134776</v>
      </c>
      <c r="G2432" s="1">
        <v>44645</v>
      </c>
      <c r="H2432" t="str">
        <f>"89713"</f>
        <v>89713</v>
      </c>
      <c r="I2432">
        <v>1</v>
      </c>
      <c r="J2432">
        <v>5362</v>
      </c>
      <c r="K2432">
        <v>0</v>
      </c>
      <c r="L2432">
        <v>3217.2</v>
      </c>
    </row>
    <row r="2433" spans="1:12" x14ac:dyDescent="0.25">
      <c r="A2433" t="str">
        <f t="shared" si="517"/>
        <v>89301000</v>
      </c>
      <c r="B2433" t="str">
        <f>"60001000"</f>
        <v>60001000</v>
      </c>
      <c r="C2433" t="str">
        <f>"60001810"</f>
        <v>60001810</v>
      </c>
      <c r="D2433" t="str">
        <f>"810"</f>
        <v>810</v>
      </c>
      <c r="E2433" t="str">
        <f>"89301062"</f>
        <v>89301062</v>
      </c>
      <c r="F2433" t="str">
        <f>"8312134776"</f>
        <v>8312134776</v>
      </c>
      <c r="G2433" s="1">
        <v>44645</v>
      </c>
      <c r="H2433" t="str">
        <f>"89725"</f>
        <v>89725</v>
      </c>
      <c r="I2433">
        <v>1</v>
      </c>
      <c r="J2433">
        <v>2839</v>
      </c>
      <c r="K2433">
        <v>0</v>
      </c>
      <c r="L2433">
        <v>1703.4</v>
      </c>
    </row>
    <row r="2434" spans="1:12" x14ac:dyDescent="0.25">
      <c r="A2434" t="str">
        <f t="shared" ref="A2434:A2497" si="527">"89301000"</f>
        <v>89301000</v>
      </c>
      <c r="B2434" t="str">
        <f>"60001000"</f>
        <v>60001000</v>
      </c>
      <c r="C2434" t="str">
        <f>"60001810"</f>
        <v>60001810</v>
      </c>
      <c r="D2434" t="str">
        <f>"810"</f>
        <v>810</v>
      </c>
      <c r="E2434" t="str">
        <f>"89301062"</f>
        <v>89301062</v>
      </c>
      <c r="F2434" t="str">
        <f>"8312134776"</f>
        <v>8312134776</v>
      </c>
      <c r="G2434" s="1">
        <v>44648</v>
      </c>
      <c r="H2434" t="str">
        <f>"89713"</f>
        <v>89713</v>
      </c>
      <c r="I2434">
        <v>2</v>
      </c>
      <c r="J2434">
        <v>10724</v>
      </c>
      <c r="K2434">
        <v>0</v>
      </c>
      <c r="L2434">
        <v>6434.4</v>
      </c>
    </row>
    <row r="2435" spans="1:12" x14ac:dyDescent="0.25">
      <c r="A2435" t="str">
        <f t="shared" si="527"/>
        <v>89301000</v>
      </c>
      <c r="B2435" t="str">
        <f>"60001000"</f>
        <v>60001000</v>
      </c>
      <c r="C2435" t="str">
        <f>"60001810"</f>
        <v>60001810</v>
      </c>
      <c r="D2435" t="str">
        <f>"810"</f>
        <v>810</v>
      </c>
      <c r="E2435" t="str">
        <f>"89301062"</f>
        <v>89301062</v>
      </c>
      <c r="F2435" t="str">
        <f>"8312134776"</f>
        <v>8312134776</v>
      </c>
      <c r="G2435" s="1">
        <v>44648</v>
      </c>
      <c r="H2435" t="str">
        <f>"89725"</f>
        <v>89725</v>
      </c>
      <c r="I2435">
        <v>1</v>
      </c>
      <c r="J2435">
        <v>2839</v>
      </c>
      <c r="K2435">
        <v>0</v>
      </c>
      <c r="L2435">
        <v>1703.4</v>
      </c>
    </row>
    <row r="2436" spans="1:12" x14ac:dyDescent="0.25">
      <c r="A2436" t="str">
        <f t="shared" si="527"/>
        <v>89301000</v>
      </c>
      <c r="B2436" t="str">
        <f>"94102000"</f>
        <v>94102000</v>
      </c>
      <c r="C2436" t="str">
        <f>"94102833"</f>
        <v>94102833</v>
      </c>
      <c r="D2436" t="str">
        <f>"809"</f>
        <v>809</v>
      </c>
      <c r="E2436" t="str">
        <f>"89301172"</f>
        <v>89301172</v>
      </c>
      <c r="F2436" t="str">
        <f>"0356266295"</f>
        <v>0356266295</v>
      </c>
      <c r="G2436" s="1">
        <v>44634</v>
      </c>
      <c r="H2436" t="str">
        <f>"89131"</f>
        <v>89131</v>
      </c>
      <c r="I2436">
        <v>1</v>
      </c>
      <c r="J2436">
        <v>187</v>
      </c>
      <c r="K2436">
        <v>0</v>
      </c>
      <c r="L2436">
        <v>261.8</v>
      </c>
    </row>
    <row r="2437" spans="1:12" x14ac:dyDescent="0.25">
      <c r="A2437" t="str">
        <f t="shared" si="527"/>
        <v>89301000</v>
      </c>
      <c r="B2437" t="str">
        <f>"94102000"</f>
        <v>94102000</v>
      </c>
      <c r="C2437" t="str">
        <f>"94102833"</f>
        <v>94102833</v>
      </c>
      <c r="D2437" t="str">
        <f>"809"</f>
        <v>809</v>
      </c>
      <c r="E2437" t="str">
        <f>"89301172"</f>
        <v>89301172</v>
      </c>
      <c r="F2437" t="str">
        <f>"0356266295"</f>
        <v>0356266295</v>
      </c>
      <c r="G2437" s="1">
        <v>44634</v>
      </c>
      <c r="H2437" t="str">
        <f>"89113"</f>
        <v>89113</v>
      </c>
      <c r="I2437">
        <v>1</v>
      </c>
      <c r="J2437">
        <v>232</v>
      </c>
      <c r="K2437">
        <v>0</v>
      </c>
      <c r="L2437">
        <v>324.8</v>
      </c>
    </row>
    <row r="2438" spans="1:12" x14ac:dyDescent="0.25">
      <c r="A2438" t="str">
        <f t="shared" si="527"/>
        <v>89301000</v>
      </c>
      <c r="B2438" t="str">
        <f t="shared" ref="B2438:B2453" si="528">"86102000"</f>
        <v>86102000</v>
      </c>
      <c r="C2438" t="str">
        <f t="shared" ref="C2438:C2453" si="529">"86102476"</f>
        <v>86102476</v>
      </c>
      <c r="D2438" t="str">
        <f t="shared" ref="D2438:D2468" si="530">"801"</f>
        <v>801</v>
      </c>
      <c r="E2438" t="str">
        <f t="shared" ref="E2438:E2453" si="531">"89301082"</f>
        <v>89301082</v>
      </c>
      <c r="F2438" t="str">
        <f t="shared" ref="F2438:F2445" si="532">"8252224948"</f>
        <v>8252224948</v>
      </c>
      <c r="G2438" s="1">
        <v>44630</v>
      </c>
      <c r="H2438" t="str">
        <f>"09119"</f>
        <v>09119</v>
      </c>
      <c r="I2438">
        <v>1</v>
      </c>
      <c r="J2438">
        <v>42</v>
      </c>
      <c r="K2438">
        <v>0</v>
      </c>
      <c r="L2438">
        <v>32.76</v>
      </c>
    </row>
    <row r="2439" spans="1:12" x14ac:dyDescent="0.25">
      <c r="A2439" t="str">
        <f t="shared" si="527"/>
        <v>89301000</v>
      </c>
      <c r="B2439" t="str">
        <f t="shared" si="528"/>
        <v>86102000</v>
      </c>
      <c r="C2439" t="str">
        <f t="shared" si="529"/>
        <v>86102476</v>
      </c>
      <c r="D2439" t="str">
        <f t="shared" si="530"/>
        <v>801</v>
      </c>
      <c r="E2439" t="str">
        <f t="shared" si="531"/>
        <v>89301082</v>
      </c>
      <c r="F2439" t="str">
        <f t="shared" si="532"/>
        <v>8252224948</v>
      </c>
      <c r="G2439" s="1">
        <v>44630</v>
      </c>
      <c r="H2439" t="str">
        <f>"93177"</f>
        <v>93177</v>
      </c>
      <c r="I2439">
        <v>1</v>
      </c>
      <c r="J2439">
        <v>178</v>
      </c>
      <c r="K2439">
        <v>0</v>
      </c>
      <c r="L2439">
        <v>138.84</v>
      </c>
    </row>
    <row r="2440" spans="1:12" x14ac:dyDescent="0.25">
      <c r="A2440" t="str">
        <f t="shared" si="527"/>
        <v>89301000</v>
      </c>
      <c r="B2440" t="str">
        <f t="shared" si="528"/>
        <v>86102000</v>
      </c>
      <c r="C2440" t="str">
        <f t="shared" si="529"/>
        <v>86102476</v>
      </c>
      <c r="D2440" t="str">
        <f t="shared" si="530"/>
        <v>801</v>
      </c>
      <c r="E2440" t="str">
        <f t="shared" si="531"/>
        <v>89301082</v>
      </c>
      <c r="F2440" t="str">
        <f t="shared" si="532"/>
        <v>8252224948</v>
      </c>
      <c r="G2440" s="1">
        <v>44630</v>
      </c>
      <c r="H2440" t="str">
        <f>"93189"</f>
        <v>93189</v>
      </c>
      <c r="I2440">
        <v>1</v>
      </c>
      <c r="J2440">
        <v>189</v>
      </c>
      <c r="K2440">
        <v>0</v>
      </c>
      <c r="L2440">
        <v>147.41999999999999</v>
      </c>
    </row>
    <row r="2441" spans="1:12" x14ac:dyDescent="0.25">
      <c r="A2441" t="str">
        <f t="shared" si="527"/>
        <v>89301000</v>
      </c>
      <c r="B2441" t="str">
        <f t="shared" si="528"/>
        <v>86102000</v>
      </c>
      <c r="C2441" t="str">
        <f t="shared" si="529"/>
        <v>86102476</v>
      </c>
      <c r="D2441" t="str">
        <f t="shared" si="530"/>
        <v>801</v>
      </c>
      <c r="E2441" t="str">
        <f t="shared" si="531"/>
        <v>89301082</v>
      </c>
      <c r="F2441" t="str">
        <f t="shared" si="532"/>
        <v>8252224948</v>
      </c>
      <c r="G2441" s="1">
        <v>44630</v>
      </c>
      <c r="H2441" t="str">
        <f>"93195"</f>
        <v>93195</v>
      </c>
      <c r="I2441">
        <v>1</v>
      </c>
      <c r="J2441">
        <v>181</v>
      </c>
      <c r="K2441">
        <v>0</v>
      </c>
      <c r="L2441">
        <v>141.18</v>
      </c>
    </row>
    <row r="2442" spans="1:12" x14ac:dyDescent="0.25">
      <c r="A2442" t="str">
        <f t="shared" si="527"/>
        <v>89301000</v>
      </c>
      <c r="B2442" t="str">
        <f t="shared" si="528"/>
        <v>86102000</v>
      </c>
      <c r="C2442" t="str">
        <f t="shared" si="529"/>
        <v>86102476</v>
      </c>
      <c r="D2442" t="str">
        <f t="shared" si="530"/>
        <v>801</v>
      </c>
      <c r="E2442" t="str">
        <f t="shared" si="531"/>
        <v>89301082</v>
      </c>
      <c r="F2442" t="str">
        <f t="shared" si="532"/>
        <v>8252224948</v>
      </c>
      <c r="G2442" s="1">
        <v>44630</v>
      </c>
      <c r="H2442" t="str">
        <f>"93217"</f>
        <v>93217</v>
      </c>
      <c r="I2442">
        <v>1</v>
      </c>
      <c r="J2442">
        <v>420</v>
      </c>
      <c r="K2442">
        <v>0</v>
      </c>
      <c r="L2442">
        <v>327.60000000000002</v>
      </c>
    </row>
    <row r="2443" spans="1:12" x14ac:dyDescent="0.25">
      <c r="A2443" t="str">
        <f t="shared" si="527"/>
        <v>89301000</v>
      </c>
      <c r="B2443" t="str">
        <f t="shared" si="528"/>
        <v>86102000</v>
      </c>
      <c r="C2443" t="str">
        <f t="shared" si="529"/>
        <v>86102476</v>
      </c>
      <c r="D2443" t="str">
        <f t="shared" si="530"/>
        <v>801</v>
      </c>
      <c r="E2443" t="str">
        <f t="shared" si="531"/>
        <v>89301082</v>
      </c>
      <c r="F2443" t="str">
        <f t="shared" si="532"/>
        <v>8252224948</v>
      </c>
      <c r="G2443" s="1">
        <v>44630</v>
      </c>
      <c r="H2443" t="str">
        <f>"93231"</f>
        <v>93231</v>
      </c>
      <c r="I2443">
        <v>1</v>
      </c>
      <c r="J2443">
        <v>402</v>
      </c>
      <c r="K2443">
        <v>0</v>
      </c>
      <c r="L2443">
        <v>313.56</v>
      </c>
    </row>
    <row r="2444" spans="1:12" x14ac:dyDescent="0.25">
      <c r="A2444" t="str">
        <f t="shared" si="527"/>
        <v>89301000</v>
      </c>
      <c r="B2444" t="str">
        <f t="shared" si="528"/>
        <v>86102000</v>
      </c>
      <c r="C2444" t="str">
        <f t="shared" si="529"/>
        <v>86102476</v>
      </c>
      <c r="D2444" t="str">
        <f t="shared" si="530"/>
        <v>801</v>
      </c>
      <c r="E2444" t="str">
        <f t="shared" si="531"/>
        <v>89301082</v>
      </c>
      <c r="F2444" t="str">
        <f t="shared" si="532"/>
        <v>8252224948</v>
      </c>
      <c r="G2444" s="1">
        <v>44630</v>
      </c>
      <c r="H2444" t="str">
        <f>"93245"</f>
        <v>93245</v>
      </c>
      <c r="I2444">
        <v>1</v>
      </c>
      <c r="J2444">
        <v>190</v>
      </c>
      <c r="K2444">
        <v>0</v>
      </c>
      <c r="L2444">
        <v>148.19999999999999</v>
      </c>
    </row>
    <row r="2445" spans="1:12" x14ac:dyDescent="0.25">
      <c r="A2445" t="str">
        <f t="shared" si="527"/>
        <v>89301000</v>
      </c>
      <c r="B2445" t="str">
        <f t="shared" si="528"/>
        <v>86102000</v>
      </c>
      <c r="C2445" t="str">
        <f t="shared" si="529"/>
        <v>86102476</v>
      </c>
      <c r="D2445" t="str">
        <f t="shared" si="530"/>
        <v>801</v>
      </c>
      <c r="E2445" t="str">
        <f t="shared" si="531"/>
        <v>89301082</v>
      </c>
      <c r="F2445" t="str">
        <f t="shared" si="532"/>
        <v>8252224948</v>
      </c>
      <c r="G2445" s="1">
        <v>44630</v>
      </c>
      <c r="H2445" t="str">
        <f>"97111"</f>
        <v>97111</v>
      </c>
      <c r="I2445">
        <v>2</v>
      </c>
      <c r="J2445">
        <v>36</v>
      </c>
      <c r="K2445">
        <v>0</v>
      </c>
      <c r="L2445">
        <v>28.08</v>
      </c>
    </row>
    <row r="2446" spans="1:12" x14ac:dyDescent="0.25">
      <c r="A2446" t="str">
        <f t="shared" si="527"/>
        <v>89301000</v>
      </c>
      <c r="B2446" t="str">
        <f t="shared" si="528"/>
        <v>86102000</v>
      </c>
      <c r="C2446" t="str">
        <f t="shared" si="529"/>
        <v>86102476</v>
      </c>
      <c r="D2446" t="str">
        <f t="shared" si="530"/>
        <v>801</v>
      </c>
      <c r="E2446" t="str">
        <f t="shared" si="531"/>
        <v>89301082</v>
      </c>
      <c r="F2446" t="str">
        <f t="shared" ref="F2446:F2453" si="533">"9360255410"</f>
        <v>9360255410</v>
      </c>
      <c r="G2446" s="1">
        <v>44628</v>
      </c>
      <c r="H2446" t="str">
        <f>"09119"</f>
        <v>09119</v>
      </c>
      <c r="I2446">
        <v>1</v>
      </c>
      <c r="J2446">
        <v>42</v>
      </c>
      <c r="K2446">
        <v>0</v>
      </c>
      <c r="L2446">
        <v>32.76</v>
      </c>
    </row>
    <row r="2447" spans="1:12" x14ac:dyDescent="0.25">
      <c r="A2447" t="str">
        <f t="shared" si="527"/>
        <v>89301000</v>
      </c>
      <c r="B2447" t="str">
        <f t="shared" si="528"/>
        <v>86102000</v>
      </c>
      <c r="C2447" t="str">
        <f t="shared" si="529"/>
        <v>86102476</v>
      </c>
      <c r="D2447" t="str">
        <f t="shared" si="530"/>
        <v>801</v>
      </c>
      <c r="E2447" t="str">
        <f t="shared" si="531"/>
        <v>89301082</v>
      </c>
      <c r="F2447" t="str">
        <f t="shared" si="533"/>
        <v>9360255410</v>
      </c>
      <c r="G2447" s="1">
        <v>44628</v>
      </c>
      <c r="H2447" t="str">
        <f>"93177"</f>
        <v>93177</v>
      </c>
      <c r="I2447">
        <v>1</v>
      </c>
      <c r="J2447">
        <v>178</v>
      </c>
      <c r="K2447">
        <v>0</v>
      </c>
      <c r="L2447">
        <v>138.84</v>
      </c>
    </row>
    <row r="2448" spans="1:12" x14ac:dyDescent="0.25">
      <c r="A2448" t="str">
        <f t="shared" si="527"/>
        <v>89301000</v>
      </c>
      <c r="B2448" t="str">
        <f t="shared" si="528"/>
        <v>86102000</v>
      </c>
      <c r="C2448" t="str">
        <f t="shared" si="529"/>
        <v>86102476</v>
      </c>
      <c r="D2448" t="str">
        <f t="shared" si="530"/>
        <v>801</v>
      </c>
      <c r="E2448" t="str">
        <f t="shared" si="531"/>
        <v>89301082</v>
      </c>
      <c r="F2448" t="str">
        <f t="shared" si="533"/>
        <v>9360255410</v>
      </c>
      <c r="G2448" s="1">
        <v>44628</v>
      </c>
      <c r="H2448" t="str">
        <f>"93189"</f>
        <v>93189</v>
      </c>
      <c r="I2448">
        <v>1</v>
      </c>
      <c r="J2448">
        <v>189</v>
      </c>
      <c r="K2448">
        <v>0</v>
      </c>
      <c r="L2448">
        <v>147.41999999999999</v>
      </c>
    </row>
    <row r="2449" spans="1:12" x14ac:dyDescent="0.25">
      <c r="A2449" t="str">
        <f t="shared" si="527"/>
        <v>89301000</v>
      </c>
      <c r="B2449" t="str">
        <f t="shared" si="528"/>
        <v>86102000</v>
      </c>
      <c r="C2449" t="str">
        <f t="shared" si="529"/>
        <v>86102476</v>
      </c>
      <c r="D2449" t="str">
        <f t="shared" si="530"/>
        <v>801</v>
      </c>
      <c r="E2449" t="str">
        <f t="shared" si="531"/>
        <v>89301082</v>
      </c>
      <c r="F2449" t="str">
        <f t="shared" si="533"/>
        <v>9360255410</v>
      </c>
      <c r="G2449" s="1">
        <v>44628</v>
      </c>
      <c r="H2449" t="str">
        <f>"93195"</f>
        <v>93195</v>
      </c>
      <c r="I2449">
        <v>1</v>
      </c>
      <c r="J2449">
        <v>181</v>
      </c>
      <c r="K2449">
        <v>0</v>
      </c>
      <c r="L2449">
        <v>141.18</v>
      </c>
    </row>
    <row r="2450" spans="1:12" x14ac:dyDescent="0.25">
      <c r="A2450" t="str">
        <f t="shared" si="527"/>
        <v>89301000</v>
      </c>
      <c r="B2450" t="str">
        <f t="shared" si="528"/>
        <v>86102000</v>
      </c>
      <c r="C2450" t="str">
        <f t="shared" si="529"/>
        <v>86102476</v>
      </c>
      <c r="D2450" t="str">
        <f t="shared" si="530"/>
        <v>801</v>
      </c>
      <c r="E2450" t="str">
        <f t="shared" si="531"/>
        <v>89301082</v>
      </c>
      <c r="F2450" t="str">
        <f t="shared" si="533"/>
        <v>9360255410</v>
      </c>
      <c r="G2450" s="1">
        <v>44628</v>
      </c>
      <c r="H2450" t="str">
        <f>"93217"</f>
        <v>93217</v>
      </c>
      <c r="I2450">
        <v>1</v>
      </c>
      <c r="J2450">
        <v>420</v>
      </c>
      <c r="K2450">
        <v>0</v>
      </c>
      <c r="L2450">
        <v>327.60000000000002</v>
      </c>
    </row>
    <row r="2451" spans="1:12" x14ac:dyDescent="0.25">
      <c r="A2451" t="str">
        <f t="shared" si="527"/>
        <v>89301000</v>
      </c>
      <c r="B2451" t="str">
        <f t="shared" si="528"/>
        <v>86102000</v>
      </c>
      <c r="C2451" t="str">
        <f t="shared" si="529"/>
        <v>86102476</v>
      </c>
      <c r="D2451" t="str">
        <f t="shared" si="530"/>
        <v>801</v>
      </c>
      <c r="E2451" t="str">
        <f t="shared" si="531"/>
        <v>89301082</v>
      </c>
      <c r="F2451" t="str">
        <f t="shared" si="533"/>
        <v>9360255410</v>
      </c>
      <c r="G2451" s="1">
        <v>44628</v>
      </c>
      <c r="H2451" t="str">
        <f>"93231"</f>
        <v>93231</v>
      </c>
      <c r="I2451">
        <v>1</v>
      </c>
      <c r="J2451">
        <v>402</v>
      </c>
      <c r="K2451">
        <v>0</v>
      </c>
      <c r="L2451">
        <v>313.56</v>
      </c>
    </row>
    <row r="2452" spans="1:12" x14ac:dyDescent="0.25">
      <c r="A2452" t="str">
        <f t="shared" si="527"/>
        <v>89301000</v>
      </c>
      <c r="B2452" t="str">
        <f t="shared" si="528"/>
        <v>86102000</v>
      </c>
      <c r="C2452" t="str">
        <f t="shared" si="529"/>
        <v>86102476</v>
      </c>
      <c r="D2452" t="str">
        <f t="shared" si="530"/>
        <v>801</v>
      </c>
      <c r="E2452" t="str">
        <f t="shared" si="531"/>
        <v>89301082</v>
      </c>
      <c r="F2452" t="str">
        <f t="shared" si="533"/>
        <v>9360255410</v>
      </c>
      <c r="G2452" s="1">
        <v>44628</v>
      </c>
      <c r="H2452" t="str">
        <f>"93245"</f>
        <v>93245</v>
      </c>
      <c r="I2452">
        <v>1</v>
      </c>
      <c r="J2452">
        <v>190</v>
      </c>
      <c r="K2452">
        <v>0</v>
      </c>
      <c r="L2452">
        <v>148.19999999999999</v>
      </c>
    </row>
    <row r="2453" spans="1:12" x14ac:dyDescent="0.25">
      <c r="A2453" t="str">
        <f t="shared" si="527"/>
        <v>89301000</v>
      </c>
      <c r="B2453" t="str">
        <f t="shared" si="528"/>
        <v>86102000</v>
      </c>
      <c r="C2453" t="str">
        <f t="shared" si="529"/>
        <v>86102476</v>
      </c>
      <c r="D2453" t="str">
        <f t="shared" si="530"/>
        <v>801</v>
      </c>
      <c r="E2453" t="str">
        <f t="shared" si="531"/>
        <v>89301082</v>
      </c>
      <c r="F2453" t="str">
        <f t="shared" si="533"/>
        <v>9360255410</v>
      </c>
      <c r="G2453" s="1">
        <v>44628</v>
      </c>
      <c r="H2453" t="str">
        <f>"97111"</f>
        <v>97111</v>
      </c>
      <c r="I2453">
        <v>1</v>
      </c>
      <c r="J2453">
        <v>18</v>
      </c>
      <c r="K2453">
        <v>0</v>
      </c>
      <c r="L2453">
        <v>14.04</v>
      </c>
    </row>
    <row r="2454" spans="1:12" x14ac:dyDescent="0.25">
      <c r="A2454" t="str">
        <f t="shared" si="527"/>
        <v>89301000</v>
      </c>
      <c r="B2454" t="str">
        <f t="shared" ref="B2454:B2494" si="534">"88805000"</f>
        <v>88805000</v>
      </c>
      <c r="C2454" t="str">
        <f t="shared" ref="C2454:C2468" si="535">"88805001"</f>
        <v>88805001</v>
      </c>
      <c r="D2454" t="str">
        <f t="shared" si="530"/>
        <v>801</v>
      </c>
      <c r="E2454" t="str">
        <f>"89301107"</f>
        <v>89301107</v>
      </c>
      <c r="F2454" t="str">
        <f>"1052215263"</f>
        <v>1052215263</v>
      </c>
      <c r="G2454" s="1">
        <v>44648</v>
      </c>
      <c r="H2454" t="str">
        <f>"81631"</f>
        <v>81631</v>
      </c>
      <c r="I2454">
        <v>1</v>
      </c>
      <c r="J2454">
        <v>294</v>
      </c>
      <c r="K2454">
        <v>0</v>
      </c>
      <c r="L2454">
        <v>229.32</v>
      </c>
    </row>
    <row r="2455" spans="1:12" x14ac:dyDescent="0.25">
      <c r="A2455" t="str">
        <f t="shared" si="527"/>
        <v>89301000</v>
      </c>
      <c r="B2455" t="str">
        <f t="shared" si="534"/>
        <v>88805000</v>
      </c>
      <c r="C2455" t="str">
        <f t="shared" si="535"/>
        <v>88805001</v>
      </c>
      <c r="D2455" t="str">
        <f t="shared" si="530"/>
        <v>801</v>
      </c>
      <c r="E2455" t="str">
        <f>"89301107"</f>
        <v>89301107</v>
      </c>
      <c r="F2455" t="str">
        <f>"1052215263"</f>
        <v>1052215263</v>
      </c>
      <c r="G2455" s="1">
        <v>44648</v>
      </c>
      <c r="H2455" t="str">
        <f>"92143"</f>
        <v>92143</v>
      </c>
      <c r="I2455">
        <v>1</v>
      </c>
      <c r="J2455">
        <v>1748</v>
      </c>
      <c r="K2455">
        <v>0</v>
      </c>
      <c r="L2455">
        <v>1363.44</v>
      </c>
    </row>
    <row r="2456" spans="1:12" x14ac:dyDescent="0.25">
      <c r="A2456" t="str">
        <f t="shared" si="527"/>
        <v>89301000</v>
      </c>
      <c r="B2456" t="str">
        <f t="shared" si="534"/>
        <v>88805000</v>
      </c>
      <c r="C2456" t="str">
        <f t="shared" si="535"/>
        <v>88805001</v>
      </c>
      <c r="D2456" t="str">
        <f t="shared" si="530"/>
        <v>801</v>
      </c>
      <c r="E2456" t="str">
        <f>"89301108"</f>
        <v>89301108</v>
      </c>
      <c r="F2456" t="str">
        <f>"1853300537"</f>
        <v>1853300537</v>
      </c>
      <c r="G2456" s="1">
        <v>44648</v>
      </c>
      <c r="H2456" t="str">
        <f>"81631"</f>
        <v>81631</v>
      </c>
      <c r="I2456">
        <v>1</v>
      </c>
      <c r="J2456">
        <v>294</v>
      </c>
      <c r="K2456">
        <v>0</v>
      </c>
      <c r="L2456">
        <v>229.32</v>
      </c>
    </row>
    <row r="2457" spans="1:12" x14ac:dyDescent="0.25">
      <c r="A2457" t="str">
        <f t="shared" si="527"/>
        <v>89301000</v>
      </c>
      <c r="B2457" t="str">
        <f t="shared" si="534"/>
        <v>88805000</v>
      </c>
      <c r="C2457" t="str">
        <f t="shared" si="535"/>
        <v>88805001</v>
      </c>
      <c r="D2457" t="str">
        <f t="shared" si="530"/>
        <v>801</v>
      </c>
      <c r="E2457" t="str">
        <f>"89301108"</f>
        <v>89301108</v>
      </c>
      <c r="F2457" t="str">
        <f>"1853300537"</f>
        <v>1853300537</v>
      </c>
      <c r="G2457" s="1">
        <v>44648</v>
      </c>
      <c r="H2457" t="str">
        <f>"92143"</f>
        <v>92143</v>
      </c>
      <c r="I2457">
        <v>1</v>
      </c>
      <c r="J2457">
        <v>1748</v>
      </c>
      <c r="K2457">
        <v>0</v>
      </c>
      <c r="L2457">
        <v>1363.44</v>
      </c>
    </row>
    <row r="2458" spans="1:12" x14ac:dyDescent="0.25">
      <c r="A2458" t="str">
        <f t="shared" si="527"/>
        <v>89301000</v>
      </c>
      <c r="B2458" t="str">
        <f t="shared" si="534"/>
        <v>88805000</v>
      </c>
      <c r="C2458" t="str">
        <f t="shared" si="535"/>
        <v>88805001</v>
      </c>
      <c r="D2458" t="str">
        <f t="shared" si="530"/>
        <v>801</v>
      </c>
      <c r="E2458" t="str">
        <f>"89301107"</f>
        <v>89301107</v>
      </c>
      <c r="F2458" t="str">
        <f>"0755043234"</f>
        <v>0755043234</v>
      </c>
      <c r="G2458" s="1">
        <v>44628</v>
      </c>
      <c r="H2458" t="str">
        <f>"81631"</f>
        <v>81631</v>
      </c>
      <c r="I2458">
        <v>1</v>
      </c>
      <c r="J2458">
        <v>294</v>
      </c>
      <c r="K2458">
        <v>0</v>
      </c>
      <c r="L2458">
        <v>229.32</v>
      </c>
    </row>
    <row r="2459" spans="1:12" x14ac:dyDescent="0.25">
      <c r="A2459" t="str">
        <f t="shared" si="527"/>
        <v>89301000</v>
      </c>
      <c r="B2459" t="str">
        <f t="shared" si="534"/>
        <v>88805000</v>
      </c>
      <c r="C2459" t="str">
        <f t="shared" si="535"/>
        <v>88805001</v>
      </c>
      <c r="D2459" t="str">
        <f t="shared" si="530"/>
        <v>801</v>
      </c>
      <c r="E2459" t="str">
        <f>"89301107"</f>
        <v>89301107</v>
      </c>
      <c r="F2459" t="str">
        <f>"0755043234"</f>
        <v>0755043234</v>
      </c>
      <c r="G2459" s="1">
        <v>44628</v>
      </c>
      <c r="H2459" t="str">
        <f>"92143"</f>
        <v>92143</v>
      </c>
      <c r="I2459">
        <v>1</v>
      </c>
      <c r="J2459">
        <v>1748</v>
      </c>
      <c r="K2459">
        <v>0</v>
      </c>
      <c r="L2459">
        <v>1363.44</v>
      </c>
    </row>
    <row r="2460" spans="1:12" x14ac:dyDescent="0.25">
      <c r="A2460" t="str">
        <f t="shared" si="527"/>
        <v>89301000</v>
      </c>
      <c r="B2460" t="str">
        <f t="shared" si="534"/>
        <v>88805000</v>
      </c>
      <c r="C2460" t="str">
        <f t="shared" si="535"/>
        <v>88805001</v>
      </c>
      <c r="D2460" t="str">
        <f t="shared" si="530"/>
        <v>801</v>
      </c>
      <c r="E2460" t="str">
        <f>"89301108"</f>
        <v>89301108</v>
      </c>
      <c r="F2460" t="str">
        <f>"0961113241"</f>
        <v>0961113241</v>
      </c>
      <c r="G2460" s="1">
        <v>44635</v>
      </c>
      <c r="H2460" t="str">
        <f>"81631"</f>
        <v>81631</v>
      </c>
      <c r="I2460">
        <v>1</v>
      </c>
      <c r="J2460">
        <v>294</v>
      </c>
      <c r="K2460">
        <v>0</v>
      </c>
      <c r="L2460">
        <v>229.32</v>
      </c>
    </row>
    <row r="2461" spans="1:12" x14ac:dyDescent="0.25">
      <c r="A2461" t="str">
        <f t="shared" si="527"/>
        <v>89301000</v>
      </c>
      <c r="B2461" t="str">
        <f t="shared" si="534"/>
        <v>88805000</v>
      </c>
      <c r="C2461" t="str">
        <f t="shared" si="535"/>
        <v>88805001</v>
      </c>
      <c r="D2461" t="str">
        <f t="shared" si="530"/>
        <v>801</v>
      </c>
      <c r="E2461" t="str">
        <f>"89301108"</f>
        <v>89301108</v>
      </c>
      <c r="F2461" t="str">
        <f>"0961113241"</f>
        <v>0961113241</v>
      </c>
      <c r="G2461" s="1">
        <v>44635</v>
      </c>
      <c r="H2461" t="str">
        <f>"92143"</f>
        <v>92143</v>
      </c>
      <c r="I2461">
        <v>1</v>
      </c>
      <c r="J2461">
        <v>1748</v>
      </c>
      <c r="K2461">
        <v>0</v>
      </c>
      <c r="L2461">
        <v>1363.44</v>
      </c>
    </row>
    <row r="2462" spans="1:12" x14ac:dyDescent="0.25">
      <c r="A2462" t="str">
        <f t="shared" si="527"/>
        <v>89301000</v>
      </c>
      <c r="B2462" t="str">
        <f t="shared" si="534"/>
        <v>88805000</v>
      </c>
      <c r="C2462" t="str">
        <f t="shared" si="535"/>
        <v>88805001</v>
      </c>
      <c r="D2462" t="str">
        <f t="shared" si="530"/>
        <v>801</v>
      </c>
      <c r="E2462" t="str">
        <f>"89301702"</f>
        <v>89301702</v>
      </c>
      <c r="F2462" t="str">
        <f>"0909103272"</f>
        <v>0909103272</v>
      </c>
      <c r="G2462" s="1">
        <v>44635</v>
      </c>
      <c r="H2462" t="str">
        <f>"81631"</f>
        <v>81631</v>
      </c>
      <c r="I2462">
        <v>1</v>
      </c>
      <c r="J2462">
        <v>294</v>
      </c>
      <c r="K2462">
        <v>0</v>
      </c>
      <c r="L2462">
        <v>229.32</v>
      </c>
    </row>
    <row r="2463" spans="1:12" x14ac:dyDescent="0.25">
      <c r="A2463" t="str">
        <f t="shared" si="527"/>
        <v>89301000</v>
      </c>
      <c r="B2463" t="str">
        <f t="shared" si="534"/>
        <v>88805000</v>
      </c>
      <c r="C2463" t="str">
        <f t="shared" si="535"/>
        <v>88805001</v>
      </c>
      <c r="D2463" t="str">
        <f t="shared" si="530"/>
        <v>801</v>
      </c>
      <c r="E2463" t="str">
        <f>"89301702"</f>
        <v>89301702</v>
      </c>
      <c r="F2463" t="str">
        <f>"0909103272"</f>
        <v>0909103272</v>
      </c>
      <c r="G2463" s="1">
        <v>44635</v>
      </c>
      <c r="H2463" t="str">
        <f>"92143"</f>
        <v>92143</v>
      </c>
      <c r="I2463">
        <v>1</v>
      </c>
      <c r="J2463">
        <v>1748</v>
      </c>
      <c r="K2463">
        <v>0</v>
      </c>
      <c r="L2463">
        <v>1363.44</v>
      </c>
    </row>
    <row r="2464" spans="1:12" x14ac:dyDescent="0.25">
      <c r="A2464" t="str">
        <f t="shared" si="527"/>
        <v>89301000</v>
      </c>
      <c r="B2464" t="str">
        <f t="shared" si="534"/>
        <v>88805000</v>
      </c>
      <c r="C2464" t="str">
        <f t="shared" si="535"/>
        <v>88805001</v>
      </c>
      <c r="D2464" t="str">
        <f t="shared" si="530"/>
        <v>801</v>
      </c>
      <c r="E2464" t="str">
        <f>"89301102"</f>
        <v>89301102</v>
      </c>
      <c r="F2464" t="str">
        <f>"6459291938"</f>
        <v>6459291938</v>
      </c>
      <c r="G2464" s="1">
        <v>44621</v>
      </c>
      <c r="H2464" t="str">
        <f>"81631"</f>
        <v>81631</v>
      </c>
      <c r="I2464">
        <v>1</v>
      </c>
      <c r="J2464">
        <v>294</v>
      </c>
      <c r="K2464">
        <v>0</v>
      </c>
      <c r="L2464">
        <v>229.32</v>
      </c>
    </row>
    <row r="2465" spans="1:12" x14ac:dyDescent="0.25">
      <c r="A2465" t="str">
        <f t="shared" si="527"/>
        <v>89301000</v>
      </c>
      <c r="B2465" t="str">
        <f t="shared" si="534"/>
        <v>88805000</v>
      </c>
      <c r="C2465" t="str">
        <f t="shared" si="535"/>
        <v>88805001</v>
      </c>
      <c r="D2465" t="str">
        <f t="shared" si="530"/>
        <v>801</v>
      </c>
      <c r="E2465" t="str">
        <f>"89301102"</f>
        <v>89301102</v>
      </c>
      <c r="F2465" t="str">
        <f>"6459291938"</f>
        <v>6459291938</v>
      </c>
      <c r="G2465" s="1">
        <v>44621</v>
      </c>
      <c r="H2465" t="str">
        <f>"92143"</f>
        <v>92143</v>
      </c>
      <c r="I2465">
        <v>1</v>
      </c>
      <c r="J2465">
        <v>1748</v>
      </c>
      <c r="K2465">
        <v>0</v>
      </c>
      <c r="L2465">
        <v>1363.44</v>
      </c>
    </row>
    <row r="2466" spans="1:12" x14ac:dyDescent="0.25">
      <c r="A2466" t="str">
        <f t="shared" si="527"/>
        <v>89301000</v>
      </c>
      <c r="B2466" t="str">
        <f t="shared" si="534"/>
        <v>88805000</v>
      </c>
      <c r="C2466" t="str">
        <f t="shared" si="535"/>
        <v>88805001</v>
      </c>
      <c r="D2466" t="str">
        <f t="shared" si="530"/>
        <v>801</v>
      </c>
      <c r="E2466" t="str">
        <f>"89301202"</f>
        <v>89301202</v>
      </c>
      <c r="F2466" t="str">
        <f>"6952074844"</f>
        <v>6952074844</v>
      </c>
      <c r="G2466" s="1">
        <v>44622</v>
      </c>
      <c r="H2466" t="str">
        <f>"81643"</f>
        <v>81643</v>
      </c>
      <c r="I2466">
        <v>1</v>
      </c>
      <c r="J2466">
        <v>104</v>
      </c>
      <c r="K2466">
        <v>0</v>
      </c>
      <c r="L2466">
        <v>81.12</v>
      </c>
    </row>
    <row r="2467" spans="1:12" x14ac:dyDescent="0.25">
      <c r="A2467" t="str">
        <f t="shared" si="527"/>
        <v>89301000</v>
      </c>
      <c r="B2467" t="str">
        <f t="shared" si="534"/>
        <v>88805000</v>
      </c>
      <c r="C2467" t="str">
        <f t="shared" si="535"/>
        <v>88805001</v>
      </c>
      <c r="D2467" t="str">
        <f t="shared" si="530"/>
        <v>801</v>
      </c>
      <c r="E2467" t="str">
        <f>"89301202"</f>
        <v>89301202</v>
      </c>
      <c r="F2467" t="str">
        <f>"8003075333"</f>
        <v>8003075333</v>
      </c>
      <c r="G2467" s="1">
        <v>44628</v>
      </c>
      <c r="H2467" t="str">
        <f>"81643"</f>
        <v>81643</v>
      </c>
      <c r="I2467">
        <v>1</v>
      </c>
      <c r="J2467">
        <v>104</v>
      </c>
      <c r="K2467">
        <v>0</v>
      </c>
      <c r="L2467">
        <v>81.12</v>
      </c>
    </row>
    <row r="2468" spans="1:12" x14ac:dyDescent="0.25">
      <c r="A2468" t="str">
        <f t="shared" si="527"/>
        <v>89301000</v>
      </c>
      <c r="B2468" t="str">
        <f t="shared" si="534"/>
        <v>88805000</v>
      </c>
      <c r="C2468" t="str">
        <f t="shared" si="535"/>
        <v>88805001</v>
      </c>
      <c r="D2468" t="str">
        <f t="shared" si="530"/>
        <v>801</v>
      </c>
      <c r="E2468" t="str">
        <f>"89301202"</f>
        <v>89301202</v>
      </c>
      <c r="F2468" t="str">
        <f>"8407225310"</f>
        <v>8407225310</v>
      </c>
      <c r="G2468" s="1">
        <v>44630</v>
      </c>
      <c r="H2468" t="str">
        <f>"81643"</f>
        <v>81643</v>
      </c>
      <c r="I2468">
        <v>1</v>
      </c>
      <c r="J2468">
        <v>104</v>
      </c>
      <c r="K2468">
        <v>0</v>
      </c>
      <c r="L2468">
        <v>81.12</v>
      </c>
    </row>
    <row r="2469" spans="1:12" x14ac:dyDescent="0.25">
      <c r="A2469" t="str">
        <f t="shared" si="527"/>
        <v>89301000</v>
      </c>
      <c r="B2469" t="str">
        <f t="shared" si="534"/>
        <v>88805000</v>
      </c>
      <c r="C2469" t="str">
        <f t="shared" ref="C2469:C2484" si="536">"88805014"</f>
        <v>88805014</v>
      </c>
      <c r="D2469" t="str">
        <f t="shared" ref="D2469:D2484" si="537">"816"</f>
        <v>816</v>
      </c>
      <c r="E2469" t="str">
        <f t="shared" ref="E2469:E2484" si="538">"89301282"</f>
        <v>89301282</v>
      </c>
      <c r="F2469" t="str">
        <f>"9660045714"</f>
        <v>9660045714</v>
      </c>
      <c r="G2469" s="1">
        <v>44651</v>
      </c>
      <c r="H2469" t="str">
        <f>"94331"</f>
        <v>94331</v>
      </c>
      <c r="I2469">
        <v>2</v>
      </c>
      <c r="J2469">
        <v>15556</v>
      </c>
      <c r="K2469">
        <v>0</v>
      </c>
      <c r="L2469">
        <v>13222.6</v>
      </c>
    </row>
    <row r="2470" spans="1:12" x14ac:dyDescent="0.25">
      <c r="A2470" t="str">
        <f t="shared" si="527"/>
        <v>89301000</v>
      </c>
      <c r="B2470" t="str">
        <f t="shared" si="534"/>
        <v>88805000</v>
      </c>
      <c r="C2470" t="str">
        <f t="shared" si="536"/>
        <v>88805014</v>
      </c>
      <c r="D2470" t="str">
        <f t="shared" si="537"/>
        <v>816</v>
      </c>
      <c r="E2470" t="str">
        <f t="shared" si="538"/>
        <v>89301282</v>
      </c>
      <c r="F2470" t="str">
        <f>"9660045714"</f>
        <v>9660045714</v>
      </c>
      <c r="G2470" s="1">
        <v>44651</v>
      </c>
      <c r="H2470" t="str">
        <f>"94948"</f>
        <v>94948</v>
      </c>
      <c r="I2470">
        <v>1</v>
      </c>
      <c r="J2470">
        <v>0</v>
      </c>
      <c r="K2470">
        <v>0</v>
      </c>
      <c r="L2470">
        <v>0</v>
      </c>
    </row>
    <row r="2471" spans="1:12" x14ac:dyDescent="0.25">
      <c r="A2471" t="str">
        <f t="shared" si="527"/>
        <v>89301000</v>
      </c>
      <c r="B2471" t="str">
        <f t="shared" si="534"/>
        <v>88805000</v>
      </c>
      <c r="C2471" t="str">
        <f t="shared" si="536"/>
        <v>88805014</v>
      </c>
      <c r="D2471" t="str">
        <f t="shared" si="537"/>
        <v>816</v>
      </c>
      <c r="E2471" t="str">
        <f t="shared" si="538"/>
        <v>89301282</v>
      </c>
      <c r="F2471" t="str">
        <f>"1604010012"</f>
        <v>1604010012</v>
      </c>
      <c r="G2471" s="1">
        <v>44644</v>
      </c>
      <c r="H2471" t="str">
        <f>"94345"</f>
        <v>94345</v>
      </c>
      <c r="I2471">
        <v>1</v>
      </c>
      <c r="J2471">
        <v>4625</v>
      </c>
      <c r="K2471">
        <v>0</v>
      </c>
      <c r="L2471">
        <v>3931.25</v>
      </c>
    </row>
    <row r="2472" spans="1:12" x14ac:dyDescent="0.25">
      <c r="A2472" t="str">
        <f t="shared" si="527"/>
        <v>89301000</v>
      </c>
      <c r="B2472" t="str">
        <f t="shared" si="534"/>
        <v>88805000</v>
      </c>
      <c r="C2472" t="str">
        <f t="shared" si="536"/>
        <v>88805014</v>
      </c>
      <c r="D2472" t="str">
        <f t="shared" si="537"/>
        <v>816</v>
      </c>
      <c r="E2472" t="str">
        <f t="shared" si="538"/>
        <v>89301282</v>
      </c>
      <c r="F2472" t="str">
        <f>"1604010012"</f>
        <v>1604010012</v>
      </c>
      <c r="G2472" s="1">
        <v>44644</v>
      </c>
      <c r="H2472" t="str">
        <f>"94948"</f>
        <v>94948</v>
      </c>
      <c r="I2472">
        <v>1</v>
      </c>
      <c r="J2472">
        <v>0</v>
      </c>
      <c r="K2472">
        <v>0</v>
      </c>
      <c r="L2472">
        <v>0</v>
      </c>
    </row>
    <row r="2473" spans="1:12" x14ac:dyDescent="0.25">
      <c r="A2473" t="str">
        <f t="shared" si="527"/>
        <v>89301000</v>
      </c>
      <c r="B2473" t="str">
        <f t="shared" si="534"/>
        <v>88805000</v>
      </c>
      <c r="C2473" t="str">
        <f t="shared" si="536"/>
        <v>88805014</v>
      </c>
      <c r="D2473" t="str">
        <f t="shared" si="537"/>
        <v>816</v>
      </c>
      <c r="E2473" t="str">
        <f t="shared" si="538"/>
        <v>89301282</v>
      </c>
      <c r="F2473" t="str">
        <f>"0301235704"</f>
        <v>0301235704</v>
      </c>
      <c r="G2473" s="1">
        <v>44651</v>
      </c>
      <c r="H2473" t="str">
        <f>"94948"</f>
        <v>94948</v>
      </c>
      <c r="I2473">
        <v>1</v>
      </c>
      <c r="J2473">
        <v>0</v>
      </c>
      <c r="K2473">
        <v>0</v>
      </c>
      <c r="L2473">
        <v>0</v>
      </c>
    </row>
    <row r="2474" spans="1:12" x14ac:dyDescent="0.25">
      <c r="A2474" t="str">
        <f t="shared" si="527"/>
        <v>89301000</v>
      </c>
      <c r="B2474" t="str">
        <f t="shared" si="534"/>
        <v>88805000</v>
      </c>
      <c r="C2474" t="str">
        <f t="shared" si="536"/>
        <v>88805014</v>
      </c>
      <c r="D2474" t="str">
        <f t="shared" si="537"/>
        <v>816</v>
      </c>
      <c r="E2474" t="str">
        <f t="shared" si="538"/>
        <v>89301282</v>
      </c>
      <c r="F2474" t="str">
        <f>"0301235704"</f>
        <v>0301235704</v>
      </c>
      <c r="G2474" s="1">
        <v>44651</v>
      </c>
      <c r="H2474" t="str">
        <f>"94983"</f>
        <v>94983</v>
      </c>
      <c r="I2474">
        <v>1</v>
      </c>
      <c r="J2474">
        <v>0</v>
      </c>
      <c r="K2474">
        <v>39600</v>
      </c>
      <c r="L2474">
        <v>39600</v>
      </c>
    </row>
    <row r="2475" spans="1:12" x14ac:dyDescent="0.25">
      <c r="A2475" t="str">
        <f t="shared" si="527"/>
        <v>89301000</v>
      </c>
      <c r="B2475" t="str">
        <f t="shared" si="534"/>
        <v>88805000</v>
      </c>
      <c r="C2475" t="str">
        <f t="shared" si="536"/>
        <v>88805014</v>
      </c>
      <c r="D2475" t="str">
        <f t="shared" si="537"/>
        <v>816</v>
      </c>
      <c r="E2475" t="str">
        <f t="shared" si="538"/>
        <v>89301282</v>
      </c>
      <c r="F2475" t="str">
        <f>"0301235704"</f>
        <v>0301235704</v>
      </c>
      <c r="G2475" s="1">
        <v>44651</v>
      </c>
      <c r="H2475" t="str">
        <f>"94996"</f>
        <v>94996</v>
      </c>
      <c r="I2475">
        <v>1</v>
      </c>
      <c r="J2475">
        <v>0</v>
      </c>
      <c r="K2475">
        <v>0</v>
      </c>
      <c r="L2475">
        <v>0</v>
      </c>
    </row>
    <row r="2476" spans="1:12" x14ac:dyDescent="0.25">
      <c r="A2476" t="str">
        <f t="shared" si="527"/>
        <v>89301000</v>
      </c>
      <c r="B2476" t="str">
        <f t="shared" si="534"/>
        <v>88805000</v>
      </c>
      <c r="C2476" t="str">
        <f t="shared" si="536"/>
        <v>88805014</v>
      </c>
      <c r="D2476" t="str">
        <f t="shared" si="537"/>
        <v>816</v>
      </c>
      <c r="E2476" t="str">
        <f t="shared" si="538"/>
        <v>89301282</v>
      </c>
      <c r="F2476" t="str">
        <f>"7451165359"</f>
        <v>7451165359</v>
      </c>
      <c r="G2476" s="1">
        <v>44623</v>
      </c>
      <c r="H2476" t="str">
        <f>"94963"</f>
        <v>94963</v>
      </c>
      <c r="I2476">
        <v>1</v>
      </c>
      <c r="J2476">
        <v>0</v>
      </c>
      <c r="K2476">
        <v>1952</v>
      </c>
      <c r="L2476">
        <v>1952</v>
      </c>
    </row>
    <row r="2477" spans="1:12" x14ac:dyDescent="0.25">
      <c r="A2477" t="str">
        <f t="shared" si="527"/>
        <v>89301000</v>
      </c>
      <c r="B2477" t="str">
        <f t="shared" si="534"/>
        <v>88805000</v>
      </c>
      <c r="C2477" t="str">
        <f t="shared" si="536"/>
        <v>88805014</v>
      </c>
      <c r="D2477" t="str">
        <f t="shared" si="537"/>
        <v>816</v>
      </c>
      <c r="E2477" t="str">
        <f t="shared" si="538"/>
        <v>89301282</v>
      </c>
      <c r="F2477" t="str">
        <f>"9902225718"</f>
        <v>9902225718</v>
      </c>
      <c r="G2477" s="1">
        <v>44651</v>
      </c>
      <c r="H2477" t="str">
        <f>"94982"</f>
        <v>94982</v>
      </c>
      <c r="I2477">
        <v>1</v>
      </c>
      <c r="J2477">
        <v>0</v>
      </c>
      <c r="K2477">
        <v>27500</v>
      </c>
      <c r="L2477">
        <v>27500</v>
      </c>
    </row>
    <row r="2478" spans="1:12" x14ac:dyDescent="0.25">
      <c r="A2478" t="str">
        <f t="shared" si="527"/>
        <v>89301000</v>
      </c>
      <c r="B2478" t="str">
        <f t="shared" si="534"/>
        <v>88805000</v>
      </c>
      <c r="C2478" t="str">
        <f t="shared" si="536"/>
        <v>88805014</v>
      </c>
      <c r="D2478" t="str">
        <f t="shared" si="537"/>
        <v>816</v>
      </c>
      <c r="E2478" t="str">
        <f t="shared" si="538"/>
        <v>89301282</v>
      </c>
      <c r="F2478" t="str">
        <f>"9902225718"</f>
        <v>9902225718</v>
      </c>
      <c r="G2478" s="1">
        <v>44651</v>
      </c>
      <c r="H2478" t="str">
        <f>"94996"</f>
        <v>94996</v>
      </c>
      <c r="I2478">
        <v>1</v>
      </c>
      <c r="J2478">
        <v>0</v>
      </c>
      <c r="K2478">
        <v>0</v>
      </c>
      <c r="L2478">
        <v>0</v>
      </c>
    </row>
    <row r="2479" spans="1:12" x14ac:dyDescent="0.25">
      <c r="A2479" t="str">
        <f t="shared" si="527"/>
        <v>89301000</v>
      </c>
      <c r="B2479" t="str">
        <f t="shared" si="534"/>
        <v>88805000</v>
      </c>
      <c r="C2479" t="str">
        <f t="shared" si="536"/>
        <v>88805014</v>
      </c>
      <c r="D2479" t="str">
        <f t="shared" si="537"/>
        <v>816</v>
      </c>
      <c r="E2479" t="str">
        <f t="shared" si="538"/>
        <v>89301282</v>
      </c>
      <c r="F2479" t="str">
        <f>"7701153779"</f>
        <v>7701153779</v>
      </c>
      <c r="G2479" s="1">
        <v>44627</v>
      </c>
      <c r="H2479" t="str">
        <f>"94983"</f>
        <v>94983</v>
      </c>
      <c r="I2479">
        <v>1</v>
      </c>
      <c r="J2479">
        <v>0</v>
      </c>
      <c r="K2479">
        <v>39600</v>
      </c>
      <c r="L2479">
        <v>39600</v>
      </c>
    </row>
    <row r="2480" spans="1:12" x14ac:dyDescent="0.25">
      <c r="A2480" t="str">
        <f t="shared" si="527"/>
        <v>89301000</v>
      </c>
      <c r="B2480" t="str">
        <f t="shared" si="534"/>
        <v>88805000</v>
      </c>
      <c r="C2480" t="str">
        <f t="shared" si="536"/>
        <v>88805014</v>
      </c>
      <c r="D2480" t="str">
        <f t="shared" si="537"/>
        <v>816</v>
      </c>
      <c r="E2480" t="str">
        <f t="shared" si="538"/>
        <v>89301282</v>
      </c>
      <c r="F2480" t="str">
        <f>"7701153779"</f>
        <v>7701153779</v>
      </c>
      <c r="G2480" s="1">
        <v>44627</v>
      </c>
      <c r="H2480" t="str">
        <f>"94996"</f>
        <v>94996</v>
      </c>
      <c r="I2480">
        <v>1</v>
      </c>
      <c r="J2480">
        <v>0</v>
      </c>
      <c r="K2480">
        <v>0</v>
      </c>
      <c r="L2480">
        <v>0</v>
      </c>
    </row>
    <row r="2481" spans="1:12" x14ac:dyDescent="0.25">
      <c r="A2481" t="str">
        <f t="shared" si="527"/>
        <v>89301000</v>
      </c>
      <c r="B2481" t="str">
        <f t="shared" si="534"/>
        <v>88805000</v>
      </c>
      <c r="C2481" t="str">
        <f t="shared" si="536"/>
        <v>88805014</v>
      </c>
      <c r="D2481" t="str">
        <f t="shared" si="537"/>
        <v>816</v>
      </c>
      <c r="E2481" t="str">
        <f t="shared" si="538"/>
        <v>89301282</v>
      </c>
      <c r="F2481" t="str">
        <f>"7903053532"</f>
        <v>7903053532</v>
      </c>
      <c r="G2481" s="1">
        <v>44644</v>
      </c>
      <c r="H2481" t="str">
        <f>"94983"</f>
        <v>94983</v>
      </c>
      <c r="I2481">
        <v>1</v>
      </c>
      <c r="J2481">
        <v>0</v>
      </c>
      <c r="K2481">
        <v>39600</v>
      </c>
      <c r="L2481">
        <v>39600</v>
      </c>
    </row>
    <row r="2482" spans="1:12" x14ac:dyDescent="0.25">
      <c r="A2482" t="str">
        <f t="shared" si="527"/>
        <v>89301000</v>
      </c>
      <c r="B2482" t="str">
        <f t="shared" si="534"/>
        <v>88805000</v>
      </c>
      <c r="C2482" t="str">
        <f t="shared" si="536"/>
        <v>88805014</v>
      </c>
      <c r="D2482" t="str">
        <f t="shared" si="537"/>
        <v>816</v>
      </c>
      <c r="E2482" t="str">
        <f t="shared" si="538"/>
        <v>89301282</v>
      </c>
      <c r="F2482" t="str">
        <f>"7903053532"</f>
        <v>7903053532</v>
      </c>
      <c r="G2482" s="1">
        <v>44644</v>
      </c>
      <c r="H2482" t="str">
        <f>"94996"</f>
        <v>94996</v>
      </c>
      <c r="I2482">
        <v>1</v>
      </c>
      <c r="J2482">
        <v>0</v>
      </c>
      <c r="K2482">
        <v>0</v>
      </c>
      <c r="L2482">
        <v>0</v>
      </c>
    </row>
    <row r="2483" spans="1:12" x14ac:dyDescent="0.25">
      <c r="A2483" t="str">
        <f t="shared" si="527"/>
        <v>89301000</v>
      </c>
      <c r="B2483" t="str">
        <f t="shared" si="534"/>
        <v>88805000</v>
      </c>
      <c r="C2483" t="str">
        <f t="shared" si="536"/>
        <v>88805014</v>
      </c>
      <c r="D2483" t="str">
        <f t="shared" si="537"/>
        <v>816</v>
      </c>
      <c r="E2483" t="str">
        <f t="shared" si="538"/>
        <v>89301282</v>
      </c>
      <c r="F2483" t="str">
        <f>"0309196195"</f>
        <v>0309196195</v>
      </c>
      <c r="G2483" s="1">
        <v>44634</v>
      </c>
      <c r="H2483" t="str">
        <f>"94983"</f>
        <v>94983</v>
      </c>
      <c r="I2483">
        <v>1</v>
      </c>
      <c r="J2483">
        <v>0</v>
      </c>
      <c r="K2483">
        <v>39600</v>
      </c>
      <c r="L2483">
        <v>39600</v>
      </c>
    </row>
    <row r="2484" spans="1:12" x14ac:dyDescent="0.25">
      <c r="A2484" t="str">
        <f t="shared" si="527"/>
        <v>89301000</v>
      </c>
      <c r="B2484" t="str">
        <f t="shared" si="534"/>
        <v>88805000</v>
      </c>
      <c r="C2484" t="str">
        <f t="shared" si="536"/>
        <v>88805014</v>
      </c>
      <c r="D2484" t="str">
        <f t="shared" si="537"/>
        <v>816</v>
      </c>
      <c r="E2484" t="str">
        <f t="shared" si="538"/>
        <v>89301282</v>
      </c>
      <c r="F2484" t="str">
        <f>"0309196195"</f>
        <v>0309196195</v>
      </c>
      <c r="G2484" s="1">
        <v>44634</v>
      </c>
      <c r="H2484" t="str">
        <f>"94996"</f>
        <v>94996</v>
      </c>
      <c r="I2484">
        <v>1</v>
      </c>
      <c r="J2484">
        <v>0</v>
      </c>
      <c r="K2484">
        <v>0</v>
      </c>
      <c r="L2484">
        <v>0</v>
      </c>
    </row>
    <row r="2485" spans="1:12" x14ac:dyDescent="0.25">
      <c r="A2485" t="str">
        <f t="shared" si="527"/>
        <v>89301000</v>
      </c>
      <c r="B2485" t="str">
        <f t="shared" si="534"/>
        <v>88805000</v>
      </c>
      <c r="C2485" t="str">
        <f t="shared" ref="C2485:C2494" si="539">"88805001"</f>
        <v>88805001</v>
      </c>
      <c r="D2485" t="str">
        <f t="shared" ref="D2485:D2494" si="540">"801"</f>
        <v>801</v>
      </c>
      <c r="E2485" t="str">
        <f>"89301107"</f>
        <v>89301107</v>
      </c>
      <c r="F2485" t="str">
        <f>"0755043234"</f>
        <v>0755043234</v>
      </c>
      <c r="G2485" s="1">
        <v>44628</v>
      </c>
      <c r="H2485" t="str">
        <f t="shared" ref="H2485:H2490" si="541">"97111"</f>
        <v>97111</v>
      </c>
      <c r="I2485">
        <v>1</v>
      </c>
      <c r="J2485">
        <v>18</v>
      </c>
      <c r="K2485">
        <v>0</v>
      </c>
      <c r="L2485">
        <v>14.04</v>
      </c>
    </row>
    <row r="2486" spans="1:12" x14ac:dyDescent="0.25">
      <c r="A2486" t="str">
        <f t="shared" si="527"/>
        <v>89301000</v>
      </c>
      <c r="B2486" t="str">
        <f t="shared" si="534"/>
        <v>88805000</v>
      </c>
      <c r="C2486" t="str">
        <f t="shared" si="539"/>
        <v>88805001</v>
      </c>
      <c r="D2486" t="str">
        <f t="shared" si="540"/>
        <v>801</v>
      </c>
      <c r="E2486" t="str">
        <f>"89301108"</f>
        <v>89301108</v>
      </c>
      <c r="F2486" t="str">
        <f>"0961113241"</f>
        <v>0961113241</v>
      </c>
      <c r="G2486" s="1">
        <v>44635</v>
      </c>
      <c r="H2486" t="str">
        <f t="shared" si="541"/>
        <v>97111</v>
      </c>
      <c r="I2486">
        <v>1</v>
      </c>
      <c r="J2486">
        <v>18</v>
      </c>
      <c r="K2486">
        <v>0</v>
      </c>
      <c r="L2486">
        <v>14.04</v>
      </c>
    </row>
    <row r="2487" spans="1:12" x14ac:dyDescent="0.25">
      <c r="A2487" t="str">
        <f t="shared" si="527"/>
        <v>89301000</v>
      </c>
      <c r="B2487" t="str">
        <f t="shared" si="534"/>
        <v>88805000</v>
      </c>
      <c r="C2487" t="str">
        <f t="shared" si="539"/>
        <v>88805001</v>
      </c>
      <c r="D2487" t="str">
        <f t="shared" si="540"/>
        <v>801</v>
      </c>
      <c r="E2487" t="str">
        <f>"89301202"</f>
        <v>89301202</v>
      </c>
      <c r="F2487" t="str">
        <f>"6952074844"</f>
        <v>6952074844</v>
      </c>
      <c r="G2487" s="1">
        <v>44622</v>
      </c>
      <c r="H2487" t="str">
        <f t="shared" si="541"/>
        <v>97111</v>
      </c>
      <c r="I2487">
        <v>1</v>
      </c>
      <c r="J2487">
        <v>18</v>
      </c>
      <c r="K2487">
        <v>0</v>
      </c>
      <c r="L2487">
        <v>14.04</v>
      </c>
    </row>
    <row r="2488" spans="1:12" x14ac:dyDescent="0.25">
      <c r="A2488" t="str">
        <f t="shared" si="527"/>
        <v>89301000</v>
      </c>
      <c r="B2488" t="str">
        <f t="shared" si="534"/>
        <v>88805000</v>
      </c>
      <c r="C2488" t="str">
        <f t="shared" si="539"/>
        <v>88805001</v>
      </c>
      <c r="D2488" t="str">
        <f t="shared" si="540"/>
        <v>801</v>
      </c>
      <c r="E2488" t="str">
        <f>"89301202"</f>
        <v>89301202</v>
      </c>
      <c r="F2488" t="str">
        <f>"8407225310"</f>
        <v>8407225310</v>
      </c>
      <c r="G2488" s="1">
        <v>44630</v>
      </c>
      <c r="H2488" t="str">
        <f t="shared" si="541"/>
        <v>97111</v>
      </c>
      <c r="I2488">
        <v>1</v>
      </c>
      <c r="J2488">
        <v>18</v>
      </c>
      <c r="K2488">
        <v>0</v>
      </c>
      <c r="L2488">
        <v>14.04</v>
      </c>
    </row>
    <row r="2489" spans="1:12" x14ac:dyDescent="0.25">
      <c r="A2489" t="str">
        <f t="shared" si="527"/>
        <v>89301000</v>
      </c>
      <c r="B2489" t="str">
        <f t="shared" si="534"/>
        <v>88805000</v>
      </c>
      <c r="C2489" t="str">
        <f t="shared" si="539"/>
        <v>88805001</v>
      </c>
      <c r="D2489" t="str">
        <f t="shared" si="540"/>
        <v>801</v>
      </c>
      <c r="E2489" t="str">
        <f>"89301202"</f>
        <v>89301202</v>
      </c>
      <c r="F2489" t="str">
        <f>"8003075333"</f>
        <v>8003075333</v>
      </c>
      <c r="G2489" s="1">
        <v>44628</v>
      </c>
      <c r="H2489" t="str">
        <f t="shared" si="541"/>
        <v>97111</v>
      </c>
      <c r="I2489">
        <v>1</v>
      </c>
      <c r="J2489">
        <v>18</v>
      </c>
      <c r="K2489">
        <v>0</v>
      </c>
      <c r="L2489">
        <v>14.04</v>
      </c>
    </row>
    <row r="2490" spans="1:12" x14ac:dyDescent="0.25">
      <c r="A2490" t="str">
        <f t="shared" si="527"/>
        <v>89301000</v>
      </c>
      <c r="B2490" t="str">
        <f t="shared" si="534"/>
        <v>88805000</v>
      </c>
      <c r="C2490" t="str">
        <f t="shared" si="539"/>
        <v>88805001</v>
      </c>
      <c r="D2490" t="str">
        <f t="shared" si="540"/>
        <v>801</v>
      </c>
      <c r="E2490" t="str">
        <f>"89301702"</f>
        <v>89301702</v>
      </c>
      <c r="F2490" t="str">
        <f>"0909103272"</f>
        <v>0909103272</v>
      </c>
      <c r="G2490" s="1">
        <v>44635</v>
      </c>
      <c r="H2490" t="str">
        <f t="shared" si="541"/>
        <v>97111</v>
      </c>
      <c r="I2490">
        <v>1</v>
      </c>
      <c r="J2490">
        <v>18</v>
      </c>
      <c r="K2490">
        <v>0</v>
      </c>
      <c r="L2490">
        <v>14.04</v>
      </c>
    </row>
    <row r="2491" spans="1:12" x14ac:dyDescent="0.25">
      <c r="A2491" t="str">
        <f t="shared" si="527"/>
        <v>89301000</v>
      </c>
      <c r="B2491" t="str">
        <f t="shared" si="534"/>
        <v>88805000</v>
      </c>
      <c r="C2491" t="str">
        <f t="shared" si="539"/>
        <v>88805001</v>
      </c>
      <c r="D2491" t="str">
        <f t="shared" si="540"/>
        <v>801</v>
      </c>
      <c r="E2491" t="str">
        <f>"89301082"</f>
        <v>89301082</v>
      </c>
      <c r="F2491" t="str">
        <f>"8252224948"</f>
        <v>8252224948</v>
      </c>
      <c r="G2491" s="1">
        <v>44630</v>
      </c>
      <c r="H2491" t="str">
        <f>"93137"</f>
        <v>93137</v>
      </c>
      <c r="I2491">
        <v>1</v>
      </c>
      <c r="J2491">
        <v>184</v>
      </c>
      <c r="K2491">
        <v>0</v>
      </c>
      <c r="L2491">
        <v>143.52000000000001</v>
      </c>
    </row>
    <row r="2492" spans="1:12" x14ac:dyDescent="0.25">
      <c r="A2492" t="str">
        <f t="shared" si="527"/>
        <v>89301000</v>
      </c>
      <c r="B2492" t="str">
        <f t="shared" si="534"/>
        <v>88805000</v>
      </c>
      <c r="C2492" t="str">
        <f t="shared" si="539"/>
        <v>88805001</v>
      </c>
      <c r="D2492" t="str">
        <f t="shared" si="540"/>
        <v>801</v>
      </c>
      <c r="E2492" t="str">
        <f>"89301082"</f>
        <v>89301082</v>
      </c>
      <c r="F2492" t="str">
        <f>"9360255410"</f>
        <v>9360255410</v>
      </c>
      <c r="G2492" s="1">
        <v>44628</v>
      </c>
      <c r="H2492" t="str">
        <f>"93137"</f>
        <v>93137</v>
      </c>
      <c r="I2492">
        <v>1</v>
      </c>
      <c r="J2492">
        <v>184</v>
      </c>
      <c r="K2492">
        <v>0</v>
      </c>
      <c r="L2492">
        <v>143.52000000000001</v>
      </c>
    </row>
    <row r="2493" spans="1:12" x14ac:dyDescent="0.25">
      <c r="A2493" t="str">
        <f t="shared" si="527"/>
        <v>89301000</v>
      </c>
      <c r="B2493" t="str">
        <f t="shared" si="534"/>
        <v>88805000</v>
      </c>
      <c r="C2493" t="str">
        <f t="shared" si="539"/>
        <v>88805001</v>
      </c>
      <c r="D2493" t="str">
        <f t="shared" si="540"/>
        <v>801</v>
      </c>
      <c r="E2493" t="str">
        <f>"89301082"</f>
        <v>89301082</v>
      </c>
      <c r="F2493" t="str">
        <f>"9360255410"</f>
        <v>9360255410</v>
      </c>
      <c r="G2493" s="1">
        <v>44628</v>
      </c>
      <c r="H2493" t="str">
        <f>"97111"</f>
        <v>97111</v>
      </c>
      <c r="I2493">
        <v>1</v>
      </c>
      <c r="J2493">
        <v>18</v>
      </c>
      <c r="K2493">
        <v>0</v>
      </c>
      <c r="L2493">
        <v>14.04</v>
      </c>
    </row>
    <row r="2494" spans="1:12" x14ac:dyDescent="0.25">
      <c r="A2494" t="str">
        <f t="shared" si="527"/>
        <v>89301000</v>
      </c>
      <c r="B2494" t="str">
        <f t="shared" si="534"/>
        <v>88805000</v>
      </c>
      <c r="C2494" t="str">
        <f t="shared" si="539"/>
        <v>88805001</v>
      </c>
      <c r="D2494" t="str">
        <f t="shared" si="540"/>
        <v>801</v>
      </c>
      <c r="E2494" t="str">
        <f>"89301107"</f>
        <v>89301107</v>
      </c>
      <c r="F2494" t="str">
        <f>"1052215263"</f>
        <v>1052215263</v>
      </c>
      <c r="G2494" s="1">
        <v>44648</v>
      </c>
      <c r="H2494" t="str">
        <f>"97111"</f>
        <v>97111</v>
      </c>
      <c r="I2494">
        <v>1</v>
      </c>
      <c r="J2494">
        <v>18</v>
      </c>
      <c r="K2494">
        <v>0</v>
      </c>
      <c r="L2494">
        <v>14.04</v>
      </c>
    </row>
    <row r="2495" spans="1:12" x14ac:dyDescent="0.25">
      <c r="A2495" t="str">
        <f t="shared" si="527"/>
        <v>89301000</v>
      </c>
      <c r="B2495" t="str">
        <f>"86101000"</f>
        <v>86101000</v>
      </c>
      <c r="C2495" t="str">
        <f>"86101920"</f>
        <v>86101920</v>
      </c>
      <c r="D2495" t="str">
        <f>"810"</f>
        <v>810</v>
      </c>
      <c r="E2495" t="str">
        <f>"89301292"</f>
        <v>89301292</v>
      </c>
      <c r="F2495" t="str">
        <f>"7658115201"</f>
        <v>7658115201</v>
      </c>
      <c r="G2495" s="1">
        <v>44651</v>
      </c>
      <c r="H2495" t="str">
        <f>"89725"</f>
        <v>89725</v>
      </c>
      <c r="I2495">
        <v>1</v>
      </c>
      <c r="J2495">
        <v>2839</v>
      </c>
      <c r="K2495">
        <v>0</v>
      </c>
      <c r="L2495">
        <v>1703.4</v>
      </c>
    </row>
    <row r="2496" spans="1:12" x14ac:dyDescent="0.25">
      <c r="A2496" t="str">
        <f t="shared" si="527"/>
        <v>89301000</v>
      </c>
      <c r="B2496" t="str">
        <f>"86101000"</f>
        <v>86101000</v>
      </c>
      <c r="C2496" t="str">
        <f>"86101920"</f>
        <v>86101920</v>
      </c>
      <c r="D2496" t="str">
        <f>"810"</f>
        <v>810</v>
      </c>
      <c r="E2496" t="str">
        <f>"89301292"</f>
        <v>89301292</v>
      </c>
      <c r="F2496" t="str">
        <f>"7658115201"</f>
        <v>7658115201</v>
      </c>
      <c r="G2496" s="1">
        <v>44651</v>
      </c>
      <c r="H2496" t="str">
        <f>"89715"</f>
        <v>89715</v>
      </c>
      <c r="I2496">
        <v>1</v>
      </c>
      <c r="J2496">
        <v>5474</v>
      </c>
      <c r="K2496">
        <v>0</v>
      </c>
      <c r="L2496">
        <v>3284.4</v>
      </c>
    </row>
    <row r="2497" spans="1:12" x14ac:dyDescent="0.25">
      <c r="A2497" t="str">
        <f t="shared" si="527"/>
        <v>89301000</v>
      </c>
      <c r="B2497" t="str">
        <f>"86101000"</f>
        <v>86101000</v>
      </c>
      <c r="C2497" t="str">
        <f>"86101920"</f>
        <v>86101920</v>
      </c>
      <c r="D2497" t="str">
        <f>"810"</f>
        <v>810</v>
      </c>
      <c r="E2497" t="str">
        <f>"89301292"</f>
        <v>89301292</v>
      </c>
      <c r="F2497" t="str">
        <f>"7658115201"</f>
        <v>7658115201</v>
      </c>
      <c r="G2497" s="1">
        <v>44651</v>
      </c>
      <c r="H2497" t="str">
        <f>"0207745"</f>
        <v>0207745</v>
      </c>
      <c r="I2497">
        <v>0.2</v>
      </c>
      <c r="K2497">
        <v>1295.26</v>
      </c>
      <c r="L2497">
        <v>1295.26</v>
      </c>
    </row>
    <row r="2498" spans="1:12" x14ac:dyDescent="0.25">
      <c r="A2498" t="str">
        <f t="shared" ref="A2498:A2561" si="542">"89301000"</f>
        <v>89301000</v>
      </c>
      <c r="B2498" t="str">
        <f t="shared" ref="B2498:B2529" si="543">"10510000"</f>
        <v>10510000</v>
      </c>
      <c r="C2498" t="str">
        <f t="shared" ref="C2498:C2529" si="544">"10510001"</f>
        <v>10510001</v>
      </c>
      <c r="D2498" t="str">
        <f t="shared" ref="D2498:D2529" si="545">"802"</f>
        <v>802</v>
      </c>
      <c r="E2498" t="str">
        <f t="shared" ref="E2498:E2514" si="546">"89301202"</f>
        <v>89301202</v>
      </c>
      <c r="F2498" t="str">
        <f>"9111225706"</f>
        <v>9111225706</v>
      </c>
      <c r="G2498" s="1">
        <v>44596</v>
      </c>
      <c r="H2498" t="str">
        <f>"97111"</f>
        <v>97111</v>
      </c>
      <c r="I2498">
        <v>1</v>
      </c>
      <c r="J2498">
        <v>18</v>
      </c>
      <c r="K2498">
        <v>0</v>
      </c>
      <c r="L2498">
        <v>16.38</v>
      </c>
    </row>
    <row r="2499" spans="1:12" x14ac:dyDescent="0.25">
      <c r="A2499" t="str">
        <f t="shared" si="542"/>
        <v>89301000</v>
      </c>
      <c r="B2499" t="str">
        <f t="shared" si="543"/>
        <v>10510000</v>
      </c>
      <c r="C2499" t="str">
        <f t="shared" si="544"/>
        <v>10510001</v>
      </c>
      <c r="D2499" t="str">
        <f t="shared" si="545"/>
        <v>802</v>
      </c>
      <c r="E2499" t="str">
        <f t="shared" si="546"/>
        <v>89301202</v>
      </c>
      <c r="F2499" t="str">
        <f>"9111225706"</f>
        <v>9111225706</v>
      </c>
      <c r="G2499" s="1">
        <v>44599</v>
      </c>
      <c r="H2499" t="str">
        <f>"82079"</f>
        <v>82079</v>
      </c>
      <c r="I2499">
        <v>1</v>
      </c>
      <c r="J2499">
        <v>332</v>
      </c>
      <c r="K2499">
        <v>0</v>
      </c>
      <c r="L2499">
        <v>302.12</v>
      </c>
    </row>
    <row r="2500" spans="1:12" x14ac:dyDescent="0.25">
      <c r="A2500" t="str">
        <f t="shared" si="542"/>
        <v>89301000</v>
      </c>
      <c r="B2500" t="str">
        <f t="shared" si="543"/>
        <v>10510000</v>
      </c>
      <c r="C2500" t="str">
        <f t="shared" si="544"/>
        <v>10510001</v>
      </c>
      <c r="D2500" t="str">
        <f t="shared" si="545"/>
        <v>802</v>
      </c>
      <c r="E2500" t="str">
        <f t="shared" si="546"/>
        <v>89301202</v>
      </c>
      <c r="F2500" t="str">
        <f>"9111225706"</f>
        <v>9111225706</v>
      </c>
      <c r="G2500" s="1">
        <v>44599</v>
      </c>
      <c r="H2500" t="str">
        <f>"82145"</f>
        <v>82145</v>
      </c>
      <c r="I2500">
        <v>1</v>
      </c>
      <c r="J2500">
        <v>57</v>
      </c>
      <c r="K2500">
        <v>0</v>
      </c>
      <c r="L2500">
        <v>51.87</v>
      </c>
    </row>
    <row r="2501" spans="1:12" x14ac:dyDescent="0.25">
      <c r="A2501" t="str">
        <f t="shared" si="542"/>
        <v>89301000</v>
      </c>
      <c r="B2501" t="str">
        <f t="shared" si="543"/>
        <v>10510000</v>
      </c>
      <c r="C2501" t="str">
        <f t="shared" si="544"/>
        <v>10510001</v>
      </c>
      <c r="D2501" t="str">
        <f t="shared" si="545"/>
        <v>802</v>
      </c>
      <c r="E2501" t="str">
        <f t="shared" si="546"/>
        <v>89301202</v>
      </c>
      <c r="F2501" t="str">
        <f>"9111225706"</f>
        <v>9111225706</v>
      </c>
      <c r="G2501" s="1">
        <v>44599</v>
      </c>
      <c r="H2501" t="str">
        <f>"82111"</f>
        <v>82111</v>
      </c>
      <c r="I2501">
        <v>1</v>
      </c>
      <c r="J2501">
        <v>36</v>
      </c>
      <c r="K2501">
        <v>0</v>
      </c>
      <c r="L2501">
        <v>32.76</v>
      </c>
    </row>
    <row r="2502" spans="1:12" x14ac:dyDescent="0.25">
      <c r="A2502" t="str">
        <f t="shared" si="542"/>
        <v>89301000</v>
      </c>
      <c r="B2502" t="str">
        <f t="shared" si="543"/>
        <v>10510000</v>
      </c>
      <c r="C2502" t="str">
        <f t="shared" si="544"/>
        <v>10510001</v>
      </c>
      <c r="D2502" t="str">
        <f t="shared" si="545"/>
        <v>802</v>
      </c>
      <c r="E2502" t="str">
        <f t="shared" si="546"/>
        <v>89301202</v>
      </c>
      <c r="F2502" t="str">
        <f>"9111225706"</f>
        <v>9111225706</v>
      </c>
      <c r="G2502" s="1">
        <v>44599</v>
      </c>
      <c r="H2502" t="str">
        <f>"82113"</f>
        <v>82113</v>
      </c>
      <c r="I2502">
        <v>1</v>
      </c>
      <c r="J2502">
        <v>362</v>
      </c>
      <c r="K2502">
        <v>0</v>
      </c>
      <c r="L2502">
        <v>329.42</v>
      </c>
    </row>
    <row r="2503" spans="1:12" x14ac:dyDescent="0.25">
      <c r="A2503" t="str">
        <f t="shared" si="542"/>
        <v>89301000</v>
      </c>
      <c r="B2503" t="str">
        <f t="shared" si="543"/>
        <v>10510000</v>
      </c>
      <c r="C2503" t="str">
        <f t="shared" si="544"/>
        <v>10510001</v>
      </c>
      <c r="D2503" t="str">
        <f t="shared" si="545"/>
        <v>802</v>
      </c>
      <c r="E2503" t="str">
        <f t="shared" si="546"/>
        <v>89301202</v>
      </c>
      <c r="F2503" t="str">
        <f t="shared" ref="F2503:F2508" si="547">"7411114183"</f>
        <v>7411114183</v>
      </c>
      <c r="G2503" s="1">
        <v>44606</v>
      </c>
      <c r="H2503" t="str">
        <f>"97111"</f>
        <v>97111</v>
      </c>
      <c r="I2503">
        <v>1</v>
      </c>
      <c r="J2503">
        <v>18</v>
      </c>
      <c r="K2503">
        <v>0</v>
      </c>
      <c r="L2503">
        <v>16.38</v>
      </c>
    </row>
    <row r="2504" spans="1:12" x14ac:dyDescent="0.25">
      <c r="A2504" t="str">
        <f t="shared" si="542"/>
        <v>89301000</v>
      </c>
      <c r="B2504" t="str">
        <f t="shared" si="543"/>
        <v>10510000</v>
      </c>
      <c r="C2504" t="str">
        <f t="shared" si="544"/>
        <v>10510001</v>
      </c>
      <c r="D2504" t="str">
        <f t="shared" si="545"/>
        <v>802</v>
      </c>
      <c r="E2504" t="str">
        <f t="shared" si="546"/>
        <v>89301202</v>
      </c>
      <c r="F2504" t="str">
        <f t="shared" si="547"/>
        <v>7411114183</v>
      </c>
      <c r="G2504" s="1">
        <v>44607</v>
      </c>
      <c r="H2504" t="str">
        <f>"82111"</f>
        <v>82111</v>
      </c>
      <c r="I2504">
        <v>1</v>
      </c>
      <c r="J2504">
        <v>36</v>
      </c>
      <c r="K2504">
        <v>0</v>
      </c>
      <c r="L2504">
        <v>32.76</v>
      </c>
    </row>
    <row r="2505" spans="1:12" x14ac:dyDescent="0.25">
      <c r="A2505" t="str">
        <f t="shared" si="542"/>
        <v>89301000</v>
      </c>
      <c r="B2505" t="str">
        <f t="shared" si="543"/>
        <v>10510000</v>
      </c>
      <c r="C2505" t="str">
        <f t="shared" si="544"/>
        <v>10510001</v>
      </c>
      <c r="D2505" t="str">
        <f t="shared" si="545"/>
        <v>802</v>
      </c>
      <c r="E2505" t="str">
        <f t="shared" si="546"/>
        <v>89301202</v>
      </c>
      <c r="F2505" t="str">
        <f t="shared" si="547"/>
        <v>7411114183</v>
      </c>
      <c r="G2505" s="1">
        <v>44606</v>
      </c>
      <c r="H2505" t="str">
        <f>"82111"</f>
        <v>82111</v>
      </c>
      <c r="I2505">
        <v>1</v>
      </c>
      <c r="J2505">
        <v>36</v>
      </c>
      <c r="K2505">
        <v>0</v>
      </c>
      <c r="L2505">
        <v>32.76</v>
      </c>
    </row>
    <row r="2506" spans="1:12" x14ac:dyDescent="0.25">
      <c r="A2506" t="str">
        <f t="shared" si="542"/>
        <v>89301000</v>
      </c>
      <c r="B2506" t="str">
        <f t="shared" si="543"/>
        <v>10510000</v>
      </c>
      <c r="C2506" t="str">
        <f t="shared" si="544"/>
        <v>10510001</v>
      </c>
      <c r="D2506" t="str">
        <f t="shared" si="545"/>
        <v>802</v>
      </c>
      <c r="E2506" t="str">
        <f t="shared" si="546"/>
        <v>89301202</v>
      </c>
      <c r="F2506" t="str">
        <f t="shared" si="547"/>
        <v>7411114183</v>
      </c>
      <c r="G2506" s="1">
        <v>44607</v>
      </c>
      <c r="H2506" t="str">
        <f>"82113"</f>
        <v>82113</v>
      </c>
      <c r="I2506">
        <v>1</v>
      </c>
      <c r="J2506">
        <v>362</v>
      </c>
      <c r="K2506">
        <v>0</v>
      </c>
      <c r="L2506">
        <v>329.42</v>
      </c>
    </row>
    <row r="2507" spans="1:12" x14ac:dyDescent="0.25">
      <c r="A2507" t="str">
        <f t="shared" si="542"/>
        <v>89301000</v>
      </c>
      <c r="B2507" t="str">
        <f t="shared" si="543"/>
        <v>10510000</v>
      </c>
      <c r="C2507" t="str">
        <f t="shared" si="544"/>
        <v>10510001</v>
      </c>
      <c r="D2507" t="str">
        <f t="shared" si="545"/>
        <v>802</v>
      </c>
      <c r="E2507" t="str">
        <f t="shared" si="546"/>
        <v>89301202</v>
      </c>
      <c r="F2507" t="str">
        <f t="shared" si="547"/>
        <v>7411114183</v>
      </c>
      <c r="G2507" s="1">
        <v>44607</v>
      </c>
      <c r="H2507" t="str">
        <f>"82145"</f>
        <v>82145</v>
      </c>
      <c r="I2507">
        <v>1</v>
      </c>
      <c r="J2507">
        <v>57</v>
      </c>
      <c r="K2507">
        <v>0</v>
      </c>
      <c r="L2507">
        <v>51.87</v>
      </c>
    </row>
    <row r="2508" spans="1:12" x14ac:dyDescent="0.25">
      <c r="A2508" t="str">
        <f t="shared" si="542"/>
        <v>89301000</v>
      </c>
      <c r="B2508" t="str">
        <f t="shared" si="543"/>
        <v>10510000</v>
      </c>
      <c r="C2508" t="str">
        <f t="shared" si="544"/>
        <v>10510001</v>
      </c>
      <c r="D2508" t="str">
        <f t="shared" si="545"/>
        <v>802</v>
      </c>
      <c r="E2508" t="str">
        <f t="shared" si="546"/>
        <v>89301202</v>
      </c>
      <c r="F2508" t="str">
        <f t="shared" si="547"/>
        <v>7411114183</v>
      </c>
      <c r="G2508" s="1">
        <v>44607</v>
      </c>
      <c r="H2508" t="str">
        <f>"82079"</f>
        <v>82079</v>
      </c>
      <c r="I2508">
        <v>1</v>
      </c>
      <c r="J2508">
        <v>332</v>
      </c>
      <c r="K2508">
        <v>0</v>
      </c>
      <c r="L2508">
        <v>302.12</v>
      </c>
    </row>
    <row r="2509" spans="1:12" x14ac:dyDescent="0.25">
      <c r="A2509" t="str">
        <f t="shared" si="542"/>
        <v>89301000</v>
      </c>
      <c r="B2509" t="str">
        <f t="shared" si="543"/>
        <v>10510000</v>
      </c>
      <c r="C2509" t="str">
        <f t="shared" si="544"/>
        <v>10510001</v>
      </c>
      <c r="D2509" t="str">
        <f t="shared" si="545"/>
        <v>802</v>
      </c>
      <c r="E2509" t="str">
        <f t="shared" si="546"/>
        <v>89301202</v>
      </c>
      <c r="F2509" t="str">
        <f>"5907180202"</f>
        <v>5907180202</v>
      </c>
      <c r="G2509" s="1">
        <v>44610</v>
      </c>
      <c r="H2509" t="str">
        <f>"82145"</f>
        <v>82145</v>
      </c>
      <c r="I2509">
        <v>1</v>
      </c>
      <c r="J2509">
        <v>57</v>
      </c>
      <c r="K2509">
        <v>0</v>
      </c>
      <c r="L2509">
        <v>51.87</v>
      </c>
    </row>
    <row r="2510" spans="1:12" x14ac:dyDescent="0.25">
      <c r="A2510" t="str">
        <f t="shared" si="542"/>
        <v>89301000</v>
      </c>
      <c r="B2510" t="str">
        <f t="shared" si="543"/>
        <v>10510000</v>
      </c>
      <c r="C2510" t="str">
        <f t="shared" si="544"/>
        <v>10510001</v>
      </c>
      <c r="D2510" t="str">
        <f t="shared" si="545"/>
        <v>802</v>
      </c>
      <c r="E2510" t="str">
        <f t="shared" si="546"/>
        <v>89301202</v>
      </c>
      <c r="F2510" t="str">
        <f>"5907180202"</f>
        <v>5907180202</v>
      </c>
      <c r="G2510" s="1">
        <v>44610</v>
      </c>
      <c r="H2510" t="str">
        <f>"82111"</f>
        <v>82111</v>
      </c>
      <c r="I2510">
        <v>1</v>
      </c>
      <c r="J2510">
        <v>36</v>
      </c>
      <c r="K2510">
        <v>0</v>
      </c>
      <c r="L2510">
        <v>32.76</v>
      </c>
    </row>
    <row r="2511" spans="1:12" x14ac:dyDescent="0.25">
      <c r="A2511" t="str">
        <f t="shared" si="542"/>
        <v>89301000</v>
      </c>
      <c r="B2511" t="str">
        <f t="shared" si="543"/>
        <v>10510000</v>
      </c>
      <c r="C2511" t="str">
        <f t="shared" si="544"/>
        <v>10510001</v>
      </c>
      <c r="D2511" t="str">
        <f t="shared" si="545"/>
        <v>802</v>
      </c>
      <c r="E2511" t="str">
        <f t="shared" si="546"/>
        <v>89301202</v>
      </c>
      <c r="F2511" t="str">
        <f>"5907180202"</f>
        <v>5907180202</v>
      </c>
      <c r="G2511" s="1">
        <v>44610</v>
      </c>
      <c r="H2511" t="str">
        <f>"82113"</f>
        <v>82113</v>
      </c>
      <c r="I2511">
        <v>1</v>
      </c>
      <c r="J2511">
        <v>362</v>
      </c>
      <c r="K2511">
        <v>0</v>
      </c>
      <c r="L2511">
        <v>329.42</v>
      </c>
    </row>
    <row r="2512" spans="1:12" x14ac:dyDescent="0.25">
      <c r="A2512" t="str">
        <f t="shared" si="542"/>
        <v>89301000</v>
      </c>
      <c r="B2512" t="str">
        <f t="shared" si="543"/>
        <v>10510000</v>
      </c>
      <c r="C2512" t="str">
        <f t="shared" si="544"/>
        <v>10510001</v>
      </c>
      <c r="D2512" t="str">
        <f t="shared" si="545"/>
        <v>802</v>
      </c>
      <c r="E2512" t="str">
        <f t="shared" si="546"/>
        <v>89301202</v>
      </c>
      <c r="F2512" t="str">
        <f>"5907180202"</f>
        <v>5907180202</v>
      </c>
      <c r="G2512" s="1">
        <v>44610</v>
      </c>
      <c r="H2512" t="str">
        <f>"82079"</f>
        <v>82079</v>
      </c>
      <c r="I2512">
        <v>1</v>
      </c>
      <c r="J2512">
        <v>332</v>
      </c>
      <c r="K2512">
        <v>0</v>
      </c>
      <c r="L2512">
        <v>302.12</v>
      </c>
    </row>
    <row r="2513" spans="1:12" x14ac:dyDescent="0.25">
      <c r="A2513" t="str">
        <f t="shared" si="542"/>
        <v>89301000</v>
      </c>
      <c r="B2513" t="str">
        <f t="shared" si="543"/>
        <v>10510000</v>
      </c>
      <c r="C2513" t="str">
        <f t="shared" si="544"/>
        <v>10510001</v>
      </c>
      <c r="D2513" t="str">
        <f t="shared" si="545"/>
        <v>802</v>
      </c>
      <c r="E2513" t="str">
        <f t="shared" si="546"/>
        <v>89301202</v>
      </c>
      <c r="F2513" t="str">
        <f>"5907180202"</f>
        <v>5907180202</v>
      </c>
      <c r="G2513" s="1">
        <v>44609</v>
      </c>
      <c r="H2513" t="str">
        <f>"97111"</f>
        <v>97111</v>
      </c>
      <c r="I2513">
        <v>1</v>
      </c>
      <c r="J2513">
        <v>18</v>
      </c>
      <c r="K2513">
        <v>0</v>
      </c>
      <c r="L2513">
        <v>16.38</v>
      </c>
    </row>
    <row r="2514" spans="1:12" x14ac:dyDescent="0.25">
      <c r="A2514" t="str">
        <f t="shared" si="542"/>
        <v>89301000</v>
      </c>
      <c r="B2514" t="str">
        <f t="shared" si="543"/>
        <v>10510000</v>
      </c>
      <c r="C2514" t="str">
        <f t="shared" si="544"/>
        <v>10510001</v>
      </c>
      <c r="D2514" t="str">
        <f t="shared" si="545"/>
        <v>802</v>
      </c>
      <c r="E2514" t="str">
        <f t="shared" si="546"/>
        <v>89301202</v>
      </c>
      <c r="F2514" t="str">
        <f>"9104185750"</f>
        <v>9104185750</v>
      </c>
      <c r="G2514" s="1">
        <v>44620</v>
      </c>
      <c r="H2514" t="str">
        <f>"97111"</f>
        <v>97111</v>
      </c>
      <c r="I2514">
        <v>1</v>
      </c>
      <c r="J2514">
        <v>18</v>
      </c>
      <c r="K2514">
        <v>0</v>
      </c>
      <c r="L2514">
        <v>16.38</v>
      </c>
    </row>
    <row r="2515" spans="1:12" x14ac:dyDescent="0.25">
      <c r="A2515" t="str">
        <f t="shared" si="542"/>
        <v>89301000</v>
      </c>
      <c r="B2515" t="str">
        <f t="shared" si="543"/>
        <v>10510000</v>
      </c>
      <c r="C2515" t="str">
        <f t="shared" si="544"/>
        <v>10510001</v>
      </c>
      <c r="D2515" t="str">
        <f t="shared" si="545"/>
        <v>802</v>
      </c>
      <c r="E2515" t="str">
        <f>"89301081"</f>
        <v>89301081</v>
      </c>
      <c r="F2515" t="str">
        <f>"6751251639"</f>
        <v>6751251639</v>
      </c>
      <c r="G2515" s="1">
        <v>44595</v>
      </c>
      <c r="H2515" t="str">
        <f>"82119"</f>
        <v>82119</v>
      </c>
      <c r="I2515">
        <v>2</v>
      </c>
      <c r="J2515">
        <v>458</v>
      </c>
      <c r="K2515">
        <v>0</v>
      </c>
      <c r="L2515">
        <v>416.78</v>
      </c>
    </row>
    <row r="2516" spans="1:12" x14ac:dyDescent="0.25">
      <c r="A2516" t="str">
        <f t="shared" si="542"/>
        <v>89301000</v>
      </c>
      <c r="B2516" t="str">
        <f t="shared" si="543"/>
        <v>10510000</v>
      </c>
      <c r="C2516" t="str">
        <f t="shared" si="544"/>
        <v>10510001</v>
      </c>
      <c r="D2516" t="str">
        <f t="shared" si="545"/>
        <v>802</v>
      </c>
      <c r="E2516" t="str">
        <f>"89301011"</f>
        <v>89301011</v>
      </c>
      <c r="F2516" t="str">
        <f>"435204416"</f>
        <v>435204416</v>
      </c>
      <c r="G2516" s="1">
        <v>44620</v>
      </c>
      <c r="H2516" t="str">
        <f>"82119"</f>
        <v>82119</v>
      </c>
      <c r="I2516">
        <v>2</v>
      </c>
      <c r="J2516">
        <v>458</v>
      </c>
      <c r="K2516">
        <v>0</v>
      </c>
      <c r="L2516">
        <v>416.78</v>
      </c>
    </row>
    <row r="2517" spans="1:12" x14ac:dyDescent="0.25">
      <c r="A2517" t="str">
        <f t="shared" si="542"/>
        <v>89301000</v>
      </c>
      <c r="B2517" t="str">
        <f t="shared" si="543"/>
        <v>10510000</v>
      </c>
      <c r="C2517" t="str">
        <f t="shared" si="544"/>
        <v>10510001</v>
      </c>
      <c r="D2517" t="str">
        <f t="shared" si="545"/>
        <v>802</v>
      </c>
      <c r="E2517" t="str">
        <f t="shared" ref="E2517:E2546" si="548">"89301171"</f>
        <v>89301171</v>
      </c>
      <c r="F2517" t="str">
        <f>"485913405"</f>
        <v>485913405</v>
      </c>
      <c r="G2517" s="1">
        <v>44629</v>
      </c>
      <c r="H2517" t="str">
        <f>"82041"</f>
        <v>82041</v>
      </c>
      <c r="I2517">
        <v>1</v>
      </c>
      <c r="J2517">
        <v>1090</v>
      </c>
      <c r="K2517">
        <v>0</v>
      </c>
      <c r="L2517">
        <v>991.9</v>
      </c>
    </row>
    <row r="2518" spans="1:12" x14ac:dyDescent="0.25">
      <c r="A2518" t="str">
        <f t="shared" si="542"/>
        <v>89301000</v>
      </c>
      <c r="B2518" t="str">
        <f t="shared" si="543"/>
        <v>10510000</v>
      </c>
      <c r="C2518" t="str">
        <f t="shared" si="544"/>
        <v>10510001</v>
      </c>
      <c r="D2518" t="str">
        <f t="shared" si="545"/>
        <v>802</v>
      </c>
      <c r="E2518" t="str">
        <f t="shared" si="548"/>
        <v>89301171</v>
      </c>
      <c r="F2518" t="str">
        <f>"485913405"</f>
        <v>485913405</v>
      </c>
      <c r="G2518" s="1">
        <v>44629</v>
      </c>
      <c r="H2518" t="str">
        <f>"82041"</f>
        <v>82041</v>
      </c>
      <c r="I2518">
        <v>1</v>
      </c>
      <c r="J2518">
        <v>1090</v>
      </c>
      <c r="K2518">
        <v>0</v>
      </c>
      <c r="L2518">
        <v>991.9</v>
      </c>
    </row>
    <row r="2519" spans="1:12" x14ac:dyDescent="0.25">
      <c r="A2519" t="str">
        <f t="shared" si="542"/>
        <v>89301000</v>
      </c>
      <c r="B2519" t="str">
        <f t="shared" si="543"/>
        <v>10510000</v>
      </c>
      <c r="C2519" t="str">
        <f t="shared" si="544"/>
        <v>10510001</v>
      </c>
      <c r="D2519" t="str">
        <f t="shared" si="545"/>
        <v>802</v>
      </c>
      <c r="E2519" t="str">
        <f t="shared" si="548"/>
        <v>89301171</v>
      </c>
      <c r="F2519" t="str">
        <f>"485913405"</f>
        <v>485913405</v>
      </c>
      <c r="G2519" s="1">
        <v>44629</v>
      </c>
      <c r="H2519" t="str">
        <f>"82034"</f>
        <v>82034</v>
      </c>
      <c r="I2519">
        <v>1</v>
      </c>
      <c r="J2519">
        <v>348</v>
      </c>
      <c r="K2519">
        <v>0</v>
      </c>
      <c r="L2519">
        <v>316.68</v>
      </c>
    </row>
    <row r="2520" spans="1:12" x14ac:dyDescent="0.25">
      <c r="A2520" t="str">
        <f t="shared" si="542"/>
        <v>89301000</v>
      </c>
      <c r="B2520" t="str">
        <f t="shared" si="543"/>
        <v>10510000</v>
      </c>
      <c r="C2520" t="str">
        <f t="shared" si="544"/>
        <v>10510001</v>
      </c>
      <c r="D2520" t="str">
        <f t="shared" si="545"/>
        <v>802</v>
      </c>
      <c r="E2520" t="str">
        <f t="shared" si="548"/>
        <v>89301171</v>
      </c>
      <c r="F2520" t="str">
        <f>"9159096144"</f>
        <v>9159096144</v>
      </c>
      <c r="G2520" s="1">
        <v>44634</v>
      </c>
      <c r="H2520" t="str">
        <f>"82034"</f>
        <v>82034</v>
      </c>
      <c r="I2520">
        <v>1</v>
      </c>
      <c r="J2520">
        <v>348</v>
      </c>
      <c r="K2520">
        <v>0</v>
      </c>
      <c r="L2520">
        <v>316.68</v>
      </c>
    </row>
    <row r="2521" spans="1:12" x14ac:dyDescent="0.25">
      <c r="A2521" t="str">
        <f t="shared" si="542"/>
        <v>89301000</v>
      </c>
      <c r="B2521" t="str">
        <f t="shared" si="543"/>
        <v>10510000</v>
      </c>
      <c r="C2521" t="str">
        <f t="shared" si="544"/>
        <v>10510001</v>
      </c>
      <c r="D2521" t="str">
        <f t="shared" si="545"/>
        <v>802</v>
      </c>
      <c r="E2521" t="str">
        <f t="shared" si="548"/>
        <v>89301171</v>
      </c>
      <c r="F2521" t="str">
        <f>"9159096144"</f>
        <v>9159096144</v>
      </c>
      <c r="G2521" s="1">
        <v>44634</v>
      </c>
      <c r="H2521" t="str">
        <f>"82041"</f>
        <v>82041</v>
      </c>
      <c r="I2521">
        <v>1</v>
      </c>
      <c r="J2521">
        <v>1090</v>
      </c>
      <c r="K2521">
        <v>0</v>
      </c>
      <c r="L2521">
        <v>991.9</v>
      </c>
    </row>
    <row r="2522" spans="1:12" x14ac:dyDescent="0.25">
      <c r="A2522" t="str">
        <f t="shared" si="542"/>
        <v>89301000</v>
      </c>
      <c r="B2522" t="str">
        <f t="shared" si="543"/>
        <v>10510000</v>
      </c>
      <c r="C2522" t="str">
        <f t="shared" si="544"/>
        <v>10510001</v>
      </c>
      <c r="D2522" t="str">
        <f t="shared" si="545"/>
        <v>802</v>
      </c>
      <c r="E2522" t="str">
        <f t="shared" si="548"/>
        <v>89301171</v>
      </c>
      <c r="F2522" t="str">
        <f>"9159096144"</f>
        <v>9159096144</v>
      </c>
      <c r="G2522" s="1">
        <v>44634</v>
      </c>
      <c r="H2522" t="str">
        <f>"82041"</f>
        <v>82041</v>
      </c>
      <c r="I2522">
        <v>1</v>
      </c>
      <c r="J2522">
        <v>1090</v>
      </c>
      <c r="K2522">
        <v>0</v>
      </c>
      <c r="L2522">
        <v>991.9</v>
      </c>
    </row>
    <row r="2523" spans="1:12" x14ac:dyDescent="0.25">
      <c r="A2523" t="str">
        <f t="shared" si="542"/>
        <v>89301000</v>
      </c>
      <c r="B2523" t="str">
        <f t="shared" si="543"/>
        <v>10510000</v>
      </c>
      <c r="C2523" t="str">
        <f t="shared" si="544"/>
        <v>10510001</v>
      </c>
      <c r="D2523" t="str">
        <f t="shared" si="545"/>
        <v>802</v>
      </c>
      <c r="E2523" t="str">
        <f t="shared" si="548"/>
        <v>89301171</v>
      </c>
      <c r="F2523" t="str">
        <f>"8611075770"</f>
        <v>8611075770</v>
      </c>
      <c r="G2523" s="1">
        <v>44634</v>
      </c>
      <c r="H2523" t="str">
        <f>"82034"</f>
        <v>82034</v>
      </c>
      <c r="I2523">
        <v>1</v>
      </c>
      <c r="J2523">
        <v>348</v>
      </c>
      <c r="K2523">
        <v>0</v>
      </c>
      <c r="L2523">
        <v>316.68</v>
      </c>
    </row>
    <row r="2524" spans="1:12" x14ac:dyDescent="0.25">
      <c r="A2524" t="str">
        <f t="shared" si="542"/>
        <v>89301000</v>
      </c>
      <c r="B2524" t="str">
        <f t="shared" si="543"/>
        <v>10510000</v>
      </c>
      <c r="C2524" t="str">
        <f t="shared" si="544"/>
        <v>10510001</v>
      </c>
      <c r="D2524" t="str">
        <f t="shared" si="545"/>
        <v>802</v>
      </c>
      <c r="E2524" t="str">
        <f t="shared" si="548"/>
        <v>89301171</v>
      </c>
      <c r="F2524" t="str">
        <f>"8611075770"</f>
        <v>8611075770</v>
      </c>
      <c r="G2524" s="1">
        <v>44634</v>
      </c>
      <c r="H2524" t="str">
        <f>"82041"</f>
        <v>82041</v>
      </c>
      <c r="I2524">
        <v>1</v>
      </c>
      <c r="J2524">
        <v>1090</v>
      </c>
      <c r="K2524">
        <v>0</v>
      </c>
      <c r="L2524">
        <v>991.9</v>
      </c>
    </row>
    <row r="2525" spans="1:12" x14ac:dyDescent="0.25">
      <c r="A2525" t="str">
        <f t="shared" si="542"/>
        <v>89301000</v>
      </c>
      <c r="B2525" t="str">
        <f t="shared" si="543"/>
        <v>10510000</v>
      </c>
      <c r="C2525" t="str">
        <f t="shared" si="544"/>
        <v>10510001</v>
      </c>
      <c r="D2525" t="str">
        <f t="shared" si="545"/>
        <v>802</v>
      </c>
      <c r="E2525" t="str">
        <f t="shared" si="548"/>
        <v>89301171</v>
      </c>
      <c r="F2525" t="str">
        <f>"8611075770"</f>
        <v>8611075770</v>
      </c>
      <c r="G2525" s="1">
        <v>44634</v>
      </c>
      <c r="H2525" t="str">
        <f>"82041"</f>
        <v>82041</v>
      </c>
      <c r="I2525">
        <v>1</v>
      </c>
      <c r="J2525">
        <v>1090</v>
      </c>
      <c r="K2525">
        <v>0</v>
      </c>
      <c r="L2525">
        <v>991.9</v>
      </c>
    </row>
    <row r="2526" spans="1:12" x14ac:dyDescent="0.25">
      <c r="A2526" t="str">
        <f t="shared" si="542"/>
        <v>89301000</v>
      </c>
      <c r="B2526" t="str">
        <f t="shared" si="543"/>
        <v>10510000</v>
      </c>
      <c r="C2526" t="str">
        <f t="shared" si="544"/>
        <v>10510001</v>
      </c>
      <c r="D2526" t="str">
        <f t="shared" si="545"/>
        <v>802</v>
      </c>
      <c r="E2526" t="str">
        <f t="shared" si="548"/>
        <v>89301171</v>
      </c>
      <c r="F2526" t="str">
        <f>"8857145770"</f>
        <v>8857145770</v>
      </c>
      <c r="G2526" s="1">
        <v>44650</v>
      </c>
      <c r="H2526" t="str">
        <f>"82034"</f>
        <v>82034</v>
      </c>
      <c r="I2526">
        <v>1</v>
      </c>
      <c r="J2526">
        <v>348</v>
      </c>
      <c r="K2526">
        <v>0</v>
      </c>
      <c r="L2526">
        <v>316.68</v>
      </c>
    </row>
    <row r="2527" spans="1:12" x14ac:dyDescent="0.25">
      <c r="A2527" t="str">
        <f t="shared" si="542"/>
        <v>89301000</v>
      </c>
      <c r="B2527" t="str">
        <f t="shared" si="543"/>
        <v>10510000</v>
      </c>
      <c r="C2527" t="str">
        <f t="shared" si="544"/>
        <v>10510001</v>
      </c>
      <c r="D2527" t="str">
        <f t="shared" si="545"/>
        <v>802</v>
      </c>
      <c r="E2527" t="str">
        <f t="shared" si="548"/>
        <v>89301171</v>
      </c>
      <c r="F2527" t="str">
        <f>"8857145770"</f>
        <v>8857145770</v>
      </c>
      <c r="G2527" s="1">
        <v>44650</v>
      </c>
      <c r="H2527" t="str">
        <f>"82041"</f>
        <v>82041</v>
      </c>
      <c r="I2527">
        <v>1</v>
      </c>
      <c r="J2527">
        <v>1090</v>
      </c>
      <c r="K2527">
        <v>0</v>
      </c>
      <c r="L2527">
        <v>991.9</v>
      </c>
    </row>
    <row r="2528" spans="1:12" x14ac:dyDescent="0.25">
      <c r="A2528" t="str">
        <f t="shared" si="542"/>
        <v>89301000</v>
      </c>
      <c r="B2528" t="str">
        <f t="shared" si="543"/>
        <v>10510000</v>
      </c>
      <c r="C2528" t="str">
        <f t="shared" si="544"/>
        <v>10510001</v>
      </c>
      <c r="D2528" t="str">
        <f t="shared" si="545"/>
        <v>802</v>
      </c>
      <c r="E2528" t="str">
        <f t="shared" si="548"/>
        <v>89301171</v>
      </c>
      <c r="F2528" t="str">
        <f>"8857145770"</f>
        <v>8857145770</v>
      </c>
      <c r="G2528" s="1">
        <v>44650</v>
      </c>
      <c r="H2528" t="str">
        <f>"82041"</f>
        <v>82041</v>
      </c>
      <c r="I2528">
        <v>1</v>
      </c>
      <c r="J2528">
        <v>1090</v>
      </c>
      <c r="K2528">
        <v>0</v>
      </c>
      <c r="L2528">
        <v>991.9</v>
      </c>
    </row>
    <row r="2529" spans="1:12" x14ac:dyDescent="0.25">
      <c r="A2529" t="str">
        <f t="shared" si="542"/>
        <v>89301000</v>
      </c>
      <c r="B2529" t="str">
        <f t="shared" si="543"/>
        <v>10510000</v>
      </c>
      <c r="C2529" t="str">
        <f t="shared" si="544"/>
        <v>10510001</v>
      </c>
      <c r="D2529" t="str">
        <f t="shared" si="545"/>
        <v>802</v>
      </c>
      <c r="E2529" t="str">
        <f t="shared" si="548"/>
        <v>89301171</v>
      </c>
      <c r="F2529" t="str">
        <f>"8156105342"</f>
        <v>8156105342</v>
      </c>
      <c r="G2529" s="1">
        <v>44650</v>
      </c>
      <c r="H2529" t="str">
        <f>"82041"</f>
        <v>82041</v>
      </c>
      <c r="I2529">
        <v>1</v>
      </c>
      <c r="J2529">
        <v>1090</v>
      </c>
      <c r="K2529">
        <v>0</v>
      </c>
      <c r="L2529">
        <v>991.9</v>
      </c>
    </row>
    <row r="2530" spans="1:12" x14ac:dyDescent="0.25">
      <c r="A2530" t="str">
        <f t="shared" si="542"/>
        <v>89301000</v>
      </c>
      <c r="B2530" t="str">
        <f t="shared" ref="B2530:B2546" si="549">"10510000"</f>
        <v>10510000</v>
      </c>
      <c r="C2530" t="str">
        <f t="shared" ref="C2530:C2546" si="550">"10510001"</f>
        <v>10510001</v>
      </c>
      <c r="D2530" t="str">
        <f t="shared" ref="D2530:D2546" si="551">"802"</f>
        <v>802</v>
      </c>
      <c r="E2530" t="str">
        <f t="shared" si="548"/>
        <v>89301171</v>
      </c>
      <c r="F2530" t="str">
        <f>"8156105342"</f>
        <v>8156105342</v>
      </c>
      <c r="G2530" s="1">
        <v>44650</v>
      </c>
      <c r="H2530" t="str">
        <f>"82041"</f>
        <v>82041</v>
      </c>
      <c r="I2530">
        <v>1</v>
      </c>
      <c r="J2530">
        <v>1090</v>
      </c>
      <c r="K2530">
        <v>0</v>
      </c>
      <c r="L2530">
        <v>991.9</v>
      </c>
    </row>
    <row r="2531" spans="1:12" x14ac:dyDescent="0.25">
      <c r="A2531" t="str">
        <f t="shared" si="542"/>
        <v>89301000</v>
      </c>
      <c r="B2531" t="str">
        <f t="shared" si="549"/>
        <v>10510000</v>
      </c>
      <c r="C2531" t="str">
        <f t="shared" si="550"/>
        <v>10510001</v>
      </c>
      <c r="D2531" t="str">
        <f t="shared" si="551"/>
        <v>802</v>
      </c>
      <c r="E2531" t="str">
        <f t="shared" si="548"/>
        <v>89301171</v>
      </c>
      <c r="F2531" t="str">
        <f>"8156105342"</f>
        <v>8156105342</v>
      </c>
      <c r="G2531" s="1">
        <v>44650</v>
      </c>
      <c r="H2531" t="str">
        <f>"82034"</f>
        <v>82034</v>
      </c>
      <c r="I2531">
        <v>1</v>
      </c>
      <c r="J2531">
        <v>348</v>
      </c>
      <c r="K2531">
        <v>0</v>
      </c>
      <c r="L2531">
        <v>316.68</v>
      </c>
    </row>
    <row r="2532" spans="1:12" x14ac:dyDescent="0.25">
      <c r="A2532" t="str">
        <f t="shared" si="542"/>
        <v>89301000</v>
      </c>
      <c r="B2532" t="str">
        <f t="shared" si="549"/>
        <v>10510000</v>
      </c>
      <c r="C2532" t="str">
        <f t="shared" si="550"/>
        <v>10510001</v>
      </c>
      <c r="D2532" t="str">
        <f t="shared" si="551"/>
        <v>802</v>
      </c>
      <c r="E2532" t="str">
        <f t="shared" si="548"/>
        <v>89301171</v>
      </c>
      <c r="F2532" t="str">
        <f>"0110305745"</f>
        <v>0110305745</v>
      </c>
      <c r="G2532" s="1">
        <v>44650</v>
      </c>
      <c r="H2532" t="str">
        <f>"82041"</f>
        <v>82041</v>
      </c>
      <c r="I2532">
        <v>1</v>
      </c>
      <c r="J2532">
        <v>1090</v>
      </c>
      <c r="K2532">
        <v>0</v>
      </c>
      <c r="L2532">
        <v>991.9</v>
      </c>
    </row>
    <row r="2533" spans="1:12" x14ac:dyDescent="0.25">
      <c r="A2533" t="str">
        <f t="shared" si="542"/>
        <v>89301000</v>
      </c>
      <c r="B2533" t="str">
        <f t="shared" si="549"/>
        <v>10510000</v>
      </c>
      <c r="C2533" t="str">
        <f t="shared" si="550"/>
        <v>10510001</v>
      </c>
      <c r="D2533" t="str">
        <f t="shared" si="551"/>
        <v>802</v>
      </c>
      <c r="E2533" t="str">
        <f t="shared" si="548"/>
        <v>89301171</v>
      </c>
      <c r="F2533" t="str">
        <f>"0110305745"</f>
        <v>0110305745</v>
      </c>
      <c r="G2533" s="1">
        <v>44650</v>
      </c>
      <c r="H2533" t="str">
        <f>"82041"</f>
        <v>82041</v>
      </c>
      <c r="I2533">
        <v>1</v>
      </c>
      <c r="J2533">
        <v>1090</v>
      </c>
      <c r="K2533">
        <v>0</v>
      </c>
      <c r="L2533">
        <v>991.9</v>
      </c>
    </row>
    <row r="2534" spans="1:12" x14ac:dyDescent="0.25">
      <c r="A2534" t="str">
        <f t="shared" si="542"/>
        <v>89301000</v>
      </c>
      <c r="B2534" t="str">
        <f t="shared" si="549"/>
        <v>10510000</v>
      </c>
      <c r="C2534" t="str">
        <f t="shared" si="550"/>
        <v>10510001</v>
      </c>
      <c r="D2534" t="str">
        <f t="shared" si="551"/>
        <v>802</v>
      </c>
      <c r="E2534" t="str">
        <f t="shared" si="548"/>
        <v>89301171</v>
      </c>
      <c r="F2534" t="str">
        <f>"0110305745"</f>
        <v>0110305745</v>
      </c>
      <c r="G2534" s="1">
        <v>44650</v>
      </c>
      <c r="H2534" t="str">
        <f>"82034"</f>
        <v>82034</v>
      </c>
      <c r="I2534">
        <v>1</v>
      </c>
      <c r="J2534">
        <v>348</v>
      </c>
      <c r="K2534">
        <v>0</v>
      </c>
      <c r="L2534">
        <v>316.68</v>
      </c>
    </row>
    <row r="2535" spans="1:12" x14ac:dyDescent="0.25">
      <c r="A2535" t="str">
        <f t="shared" si="542"/>
        <v>89301000</v>
      </c>
      <c r="B2535" t="str">
        <f t="shared" si="549"/>
        <v>10510000</v>
      </c>
      <c r="C2535" t="str">
        <f t="shared" si="550"/>
        <v>10510001</v>
      </c>
      <c r="D2535" t="str">
        <f t="shared" si="551"/>
        <v>802</v>
      </c>
      <c r="E2535" t="str">
        <f t="shared" si="548"/>
        <v>89301171</v>
      </c>
      <c r="F2535" t="str">
        <f>"7053275185"</f>
        <v>7053275185</v>
      </c>
      <c r="G2535" s="1">
        <v>44650</v>
      </c>
      <c r="H2535" t="str">
        <f>"82034"</f>
        <v>82034</v>
      </c>
      <c r="I2535">
        <v>1</v>
      </c>
      <c r="J2535">
        <v>348</v>
      </c>
      <c r="K2535">
        <v>0</v>
      </c>
      <c r="L2535">
        <v>316.68</v>
      </c>
    </row>
    <row r="2536" spans="1:12" x14ac:dyDescent="0.25">
      <c r="A2536" t="str">
        <f t="shared" si="542"/>
        <v>89301000</v>
      </c>
      <c r="B2536" t="str">
        <f t="shared" si="549"/>
        <v>10510000</v>
      </c>
      <c r="C2536" t="str">
        <f t="shared" si="550"/>
        <v>10510001</v>
      </c>
      <c r="D2536" t="str">
        <f t="shared" si="551"/>
        <v>802</v>
      </c>
      <c r="E2536" t="str">
        <f t="shared" si="548"/>
        <v>89301171</v>
      </c>
      <c r="F2536" t="str">
        <f>"7053275185"</f>
        <v>7053275185</v>
      </c>
      <c r="G2536" s="1">
        <v>44650</v>
      </c>
      <c r="H2536" t="str">
        <f>"82041"</f>
        <v>82041</v>
      </c>
      <c r="I2536">
        <v>1</v>
      </c>
      <c r="J2536">
        <v>1090</v>
      </c>
      <c r="K2536">
        <v>0</v>
      </c>
      <c r="L2536">
        <v>991.9</v>
      </c>
    </row>
    <row r="2537" spans="1:12" x14ac:dyDescent="0.25">
      <c r="A2537" t="str">
        <f t="shared" si="542"/>
        <v>89301000</v>
      </c>
      <c r="B2537" t="str">
        <f t="shared" si="549"/>
        <v>10510000</v>
      </c>
      <c r="C2537" t="str">
        <f t="shared" si="550"/>
        <v>10510001</v>
      </c>
      <c r="D2537" t="str">
        <f t="shared" si="551"/>
        <v>802</v>
      </c>
      <c r="E2537" t="str">
        <f t="shared" si="548"/>
        <v>89301171</v>
      </c>
      <c r="F2537" t="str">
        <f>"7053275185"</f>
        <v>7053275185</v>
      </c>
      <c r="G2537" s="1">
        <v>44650</v>
      </c>
      <c r="H2537" t="str">
        <f>"82041"</f>
        <v>82041</v>
      </c>
      <c r="I2537">
        <v>1</v>
      </c>
      <c r="J2537">
        <v>1090</v>
      </c>
      <c r="K2537">
        <v>0</v>
      </c>
      <c r="L2537">
        <v>991.9</v>
      </c>
    </row>
    <row r="2538" spans="1:12" x14ac:dyDescent="0.25">
      <c r="A2538" t="str">
        <f t="shared" si="542"/>
        <v>89301000</v>
      </c>
      <c r="B2538" t="str">
        <f t="shared" si="549"/>
        <v>10510000</v>
      </c>
      <c r="C2538" t="str">
        <f t="shared" si="550"/>
        <v>10510001</v>
      </c>
      <c r="D2538" t="str">
        <f t="shared" si="551"/>
        <v>802</v>
      </c>
      <c r="E2538" t="str">
        <f t="shared" si="548"/>
        <v>89301171</v>
      </c>
      <c r="F2538" t="str">
        <f>"8356184463"</f>
        <v>8356184463</v>
      </c>
      <c r="G2538" s="1">
        <v>44650</v>
      </c>
      <c r="H2538" t="str">
        <f>"82041"</f>
        <v>82041</v>
      </c>
      <c r="I2538">
        <v>1</v>
      </c>
      <c r="J2538">
        <v>1090</v>
      </c>
      <c r="K2538">
        <v>0</v>
      </c>
      <c r="L2538">
        <v>991.9</v>
      </c>
    </row>
    <row r="2539" spans="1:12" x14ac:dyDescent="0.25">
      <c r="A2539" t="str">
        <f t="shared" si="542"/>
        <v>89301000</v>
      </c>
      <c r="B2539" t="str">
        <f t="shared" si="549"/>
        <v>10510000</v>
      </c>
      <c r="C2539" t="str">
        <f t="shared" si="550"/>
        <v>10510001</v>
      </c>
      <c r="D2539" t="str">
        <f t="shared" si="551"/>
        <v>802</v>
      </c>
      <c r="E2539" t="str">
        <f t="shared" si="548"/>
        <v>89301171</v>
      </c>
      <c r="F2539" t="str">
        <f>"8356184463"</f>
        <v>8356184463</v>
      </c>
      <c r="G2539" s="1">
        <v>44650</v>
      </c>
      <c r="H2539" t="str">
        <f>"82041"</f>
        <v>82041</v>
      </c>
      <c r="I2539">
        <v>1</v>
      </c>
      <c r="J2539">
        <v>1090</v>
      </c>
      <c r="K2539">
        <v>0</v>
      </c>
      <c r="L2539">
        <v>991.9</v>
      </c>
    </row>
    <row r="2540" spans="1:12" x14ac:dyDescent="0.25">
      <c r="A2540" t="str">
        <f t="shared" si="542"/>
        <v>89301000</v>
      </c>
      <c r="B2540" t="str">
        <f t="shared" si="549"/>
        <v>10510000</v>
      </c>
      <c r="C2540" t="str">
        <f t="shared" si="550"/>
        <v>10510001</v>
      </c>
      <c r="D2540" t="str">
        <f t="shared" si="551"/>
        <v>802</v>
      </c>
      <c r="E2540" t="str">
        <f t="shared" si="548"/>
        <v>89301171</v>
      </c>
      <c r="F2540" t="str">
        <f>"8356184463"</f>
        <v>8356184463</v>
      </c>
      <c r="G2540" s="1">
        <v>44650</v>
      </c>
      <c r="H2540" t="str">
        <f>"82034"</f>
        <v>82034</v>
      </c>
      <c r="I2540">
        <v>1</v>
      </c>
      <c r="J2540">
        <v>348</v>
      </c>
      <c r="K2540">
        <v>0</v>
      </c>
      <c r="L2540">
        <v>316.68</v>
      </c>
    </row>
    <row r="2541" spans="1:12" x14ac:dyDescent="0.25">
      <c r="A2541" t="str">
        <f t="shared" si="542"/>
        <v>89301000</v>
      </c>
      <c r="B2541" t="str">
        <f t="shared" si="549"/>
        <v>10510000</v>
      </c>
      <c r="C2541" t="str">
        <f t="shared" si="550"/>
        <v>10510001</v>
      </c>
      <c r="D2541" t="str">
        <f t="shared" si="551"/>
        <v>802</v>
      </c>
      <c r="E2541" t="str">
        <f t="shared" si="548"/>
        <v>89301171</v>
      </c>
      <c r="F2541" t="str">
        <f>"7412185308"</f>
        <v>7412185308</v>
      </c>
      <c r="G2541" s="1">
        <v>44650</v>
      </c>
      <c r="H2541" t="str">
        <f>"82034"</f>
        <v>82034</v>
      </c>
      <c r="I2541">
        <v>1</v>
      </c>
      <c r="J2541">
        <v>348</v>
      </c>
      <c r="K2541">
        <v>0</v>
      </c>
      <c r="L2541">
        <v>316.68</v>
      </c>
    </row>
    <row r="2542" spans="1:12" x14ac:dyDescent="0.25">
      <c r="A2542" t="str">
        <f t="shared" si="542"/>
        <v>89301000</v>
      </c>
      <c r="B2542" t="str">
        <f t="shared" si="549"/>
        <v>10510000</v>
      </c>
      <c r="C2542" t="str">
        <f t="shared" si="550"/>
        <v>10510001</v>
      </c>
      <c r="D2542" t="str">
        <f t="shared" si="551"/>
        <v>802</v>
      </c>
      <c r="E2542" t="str">
        <f t="shared" si="548"/>
        <v>89301171</v>
      </c>
      <c r="F2542" t="str">
        <f>"7412185308"</f>
        <v>7412185308</v>
      </c>
      <c r="G2542" s="1">
        <v>44650</v>
      </c>
      <c r="H2542" t="str">
        <f>"82041"</f>
        <v>82041</v>
      </c>
      <c r="I2542">
        <v>1</v>
      </c>
      <c r="J2542">
        <v>1090</v>
      </c>
      <c r="K2542">
        <v>0</v>
      </c>
      <c r="L2542">
        <v>991.9</v>
      </c>
    </row>
    <row r="2543" spans="1:12" x14ac:dyDescent="0.25">
      <c r="A2543" t="str">
        <f t="shared" si="542"/>
        <v>89301000</v>
      </c>
      <c r="B2543" t="str">
        <f t="shared" si="549"/>
        <v>10510000</v>
      </c>
      <c r="C2543" t="str">
        <f t="shared" si="550"/>
        <v>10510001</v>
      </c>
      <c r="D2543" t="str">
        <f t="shared" si="551"/>
        <v>802</v>
      </c>
      <c r="E2543" t="str">
        <f t="shared" si="548"/>
        <v>89301171</v>
      </c>
      <c r="F2543" t="str">
        <f>"7412185308"</f>
        <v>7412185308</v>
      </c>
      <c r="G2543" s="1">
        <v>44650</v>
      </c>
      <c r="H2543" t="str">
        <f>"82041"</f>
        <v>82041</v>
      </c>
      <c r="I2543">
        <v>1</v>
      </c>
      <c r="J2543">
        <v>1090</v>
      </c>
      <c r="K2543">
        <v>0</v>
      </c>
      <c r="L2543">
        <v>991.9</v>
      </c>
    </row>
    <row r="2544" spans="1:12" x14ac:dyDescent="0.25">
      <c r="A2544" t="str">
        <f t="shared" si="542"/>
        <v>89301000</v>
      </c>
      <c r="B2544" t="str">
        <f t="shared" si="549"/>
        <v>10510000</v>
      </c>
      <c r="C2544" t="str">
        <f t="shared" si="550"/>
        <v>10510001</v>
      </c>
      <c r="D2544" t="str">
        <f t="shared" si="551"/>
        <v>802</v>
      </c>
      <c r="E2544" t="str">
        <f t="shared" si="548"/>
        <v>89301171</v>
      </c>
      <c r="F2544" t="str">
        <f>"7057025360"</f>
        <v>7057025360</v>
      </c>
      <c r="G2544" s="1">
        <v>44651</v>
      </c>
      <c r="H2544" t="str">
        <f>"82041"</f>
        <v>82041</v>
      </c>
      <c r="I2544">
        <v>1</v>
      </c>
      <c r="J2544">
        <v>1090</v>
      </c>
      <c r="K2544">
        <v>0</v>
      </c>
      <c r="L2544">
        <v>991.9</v>
      </c>
    </row>
    <row r="2545" spans="1:12" x14ac:dyDescent="0.25">
      <c r="A2545" t="str">
        <f t="shared" si="542"/>
        <v>89301000</v>
      </c>
      <c r="B2545" t="str">
        <f t="shared" si="549"/>
        <v>10510000</v>
      </c>
      <c r="C2545" t="str">
        <f t="shared" si="550"/>
        <v>10510001</v>
      </c>
      <c r="D2545" t="str">
        <f t="shared" si="551"/>
        <v>802</v>
      </c>
      <c r="E2545" t="str">
        <f t="shared" si="548"/>
        <v>89301171</v>
      </c>
      <c r="F2545" t="str">
        <f>"7057025360"</f>
        <v>7057025360</v>
      </c>
      <c r="G2545" s="1">
        <v>44651</v>
      </c>
      <c r="H2545" t="str">
        <f>"82041"</f>
        <v>82041</v>
      </c>
      <c r="I2545">
        <v>1</v>
      </c>
      <c r="J2545">
        <v>1090</v>
      </c>
      <c r="K2545">
        <v>0</v>
      </c>
      <c r="L2545">
        <v>991.9</v>
      </c>
    </row>
    <row r="2546" spans="1:12" x14ac:dyDescent="0.25">
      <c r="A2546" t="str">
        <f t="shared" si="542"/>
        <v>89301000</v>
      </c>
      <c r="B2546" t="str">
        <f t="shared" si="549"/>
        <v>10510000</v>
      </c>
      <c r="C2546" t="str">
        <f t="shared" si="550"/>
        <v>10510001</v>
      </c>
      <c r="D2546" t="str">
        <f t="shared" si="551"/>
        <v>802</v>
      </c>
      <c r="E2546" t="str">
        <f t="shared" si="548"/>
        <v>89301171</v>
      </c>
      <c r="F2546" t="str">
        <f>"7057025360"</f>
        <v>7057025360</v>
      </c>
      <c r="G2546" s="1">
        <v>44651</v>
      </c>
      <c r="H2546" t="str">
        <f>"82034"</f>
        <v>82034</v>
      </c>
      <c r="I2546">
        <v>1</v>
      </c>
      <c r="J2546">
        <v>348</v>
      </c>
      <c r="K2546">
        <v>0</v>
      </c>
      <c r="L2546">
        <v>316.68</v>
      </c>
    </row>
    <row r="2547" spans="1:12" x14ac:dyDescent="0.25">
      <c r="A2547" t="str">
        <f t="shared" si="542"/>
        <v>89301000</v>
      </c>
      <c r="B2547" t="str">
        <f t="shared" ref="B2547:B2564" si="552">"75311000"</f>
        <v>75311000</v>
      </c>
      <c r="C2547" t="str">
        <f>"75311001"</f>
        <v>75311001</v>
      </c>
      <c r="D2547" t="str">
        <f>"818"</f>
        <v>818</v>
      </c>
      <c r="E2547" t="str">
        <f t="shared" ref="E2547:E2564" si="553">"89301167"</f>
        <v>89301167</v>
      </c>
      <c r="F2547" t="str">
        <f t="shared" ref="F2547:F2564" si="554">"5957040397"</f>
        <v>5957040397</v>
      </c>
      <c r="G2547" s="1">
        <v>44643</v>
      </c>
      <c r="H2547" t="str">
        <f>"96167"</f>
        <v>96167</v>
      </c>
      <c r="I2547">
        <v>1</v>
      </c>
      <c r="J2547">
        <v>67</v>
      </c>
      <c r="K2547">
        <v>0</v>
      </c>
      <c r="L2547">
        <v>60.97</v>
      </c>
    </row>
    <row r="2548" spans="1:12" x14ac:dyDescent="0.25">
      <c r="A2548" t="str">
        <f t="shared" si="542"/>
        <v>89301000</v>
      </c>
      <c r="B2548" t="str">
        <f t="shared" si="552"/>
        <v>75311000</v>
      </c>
      <c r="C2548" t="str">
        <f t="shared" ref="C2548:C2564" si="555">"75311715"</f>
        <v>75311715</v>
      </c>
      <c r="D2548" t="str">
        <f t="shared" ref="D2548:D2564" si="556">"801"</f>
        <v>801</v>
      </c>
      <c r="E2548" t="str">
        <f t="shared" si="553"/>
        <v>89301167</v>
      </c>
      <c r="F2548" t="str">
        <f t="shared" si="554"/>
        <v>5957040397</v>
      </c>
      <c r="G2548" s="1">
        <v>44643</v>
      </c>
      <c r="H2548" t="str">
        <f>"81621"</f>
        <v>81621</v>
      </c>
      <c r="I2548">
        <v>1</v>
      </c>
      <c r="J2548">
        <v>19</v>
      </c>
      <c r="K2548">
        <v>0</v>
      </c>
      <c r="L2548">
        <v>14.82</v>
      </c>
    </row>
    <row r="2549" spans="1:12" x14ac:dyDescent="0.25">
      <c r="A2549" t="str">
        <f t="shared" si="542"/>
        <v>89301000</v>
      </c>
      <c r="B2549" t="str">
        <f t="shared" si="552"/>
        <v>75311000</v>
      </c>
      <c r="C2549" t="str">
        <f t="shared" si="555"/>
        <v>75311715</v>
      </c>
      <c r="D2549" t="str">
        <f t="shared" si="556"/>
        <v>801</v>
      </c>
      <c r="E2549" t="str">
        <f t="shared" si="553"/>
        <v>89301167</v>
      </c>
      <c r="F2549" t="str">
        <f t="shared" si="554"/>
        <v>5957040397</v>
      </c>
      <c r="G2549" s="1">
        <v>44643</v>
      </c>
      <c r="H2549" t="str">
        <f>"81499"</f>
        <v>81499</v>
      </c>
      <c r="I2549">
        <v>1</v>
      </c>
      <c r="J2549">
        <v>18</v>
      </c>
      <c r="K2549">
        <v>0</v>
      </c>
      <c r="L2549">
        <v>14.04</v>
      </c>
    </row>
    <row r="2550" spans="1:12" x14ac:dyDescent="0.25">
      <c r="A2550" t="str">
        <f t="shared" si="542"/>
        <v>89301000</v>
      </c>
      <c r="B2550" t="str">
        <f t="shared" si="552"/>
        <v>75311000</v>
      </c>
      <c r="C2550" t="str">
        <f t="shared" si="555"/>
        <v>75311715</v>
      </c>
      <c r="D2550" t="str">
        <f t="shared" si="556"/>
        <v>801</v>
      </c>
      <c r="E2550" t="str">
        <f t="shared" si="553"/>
        <v>89301167</v>
      </c>
      <c r="F2550" t="str">
        <f t="shared" si="554"/>
        <v>5957040397</v>
      </c>
      <c r="G2550" s="1">
        <v>44643</v>
      </c>
      <c r="H2550" t="str">
        <f>"81523"</f>
        <v>81523</v>
      </c>
      <c r="I2550">
        <v>1</v>
      </c>
      <c r="J2550">
        <v>23</v>
      </c>
      <c r="K2550">
        <v>0</v>
      </c>
      <c r="L2550">
        <v>17.940000000000001</v>
      </c>
    </row>
    <row r="2551" spans="1:12" x14ac:dyDescent="0.25">
      <c r="A2551" t="str">
        <f t="shared" si="542"/>
        <v>89301000</v>
      </c>
      <c r="B2551" t="str">
        <f t="shared" si="552"/>
        <v>75311000</v>
      </c>
      <c r="C2551" t="str">
        <f t="shared" si="555"/>
        <v>75311715</v>
      </c>
      <c r="D2551" t="str">
        <f t="shared" si="556"/>
        <v>801</v>
      </c>
      <c r="E2551" t="str">
        <f t="shared" si="553"/>
        <v>89301167</v>
      </c>
      <c r="F2551" t="str">
        <f t="shared" si="554"/>
        <v>5957040397</v>
      </c>
      <c r="G2551" s="1">
        <v>44643</v>
      </c>
      <c r="H2551" t="str">
        <f>"81593"</f>
        <v>81593</v>
      </c>
      <c r="I2551">
        <v>1</v>
      </c>
      <c r="J2551">
        <v>22</v>
      </c>
      <c r="K2551">
        <v>0</v>
      </c>
      <c r="L2551">
        <v>17.16</v>
      </c>
    </row>
    <row r="2552" spans="1:12" x14ac:dyDescent="0.25">
      <c r="A2552" t="str">
        <f t="shared" si="542"/>
        <v>89301000</v>
      </c>
      <c r="B2552" t="str">
        <f t="shared" si="552"/>
        <v>75311000</v>
      </c>
      <c r="C2552" t="str">
        <f t="shared" si="555"/>
        <v>75311715</v>
      </c>
      <c r="D2552" t="str">
        <f t="shared" si="556"/>
        <v>801</v>
      </c>
      <c r="E2552" t="str">
        <f t="shared" si="553"/>
        <v>89301167</v>
      </c>
      <c r="F2552" t="str">
        <f t="shared" si="554"/>
        <v>5957040397</v>
      </c>
      <c r="G2552" s="1">
        <v>44643</v>
      </c>
      <c r="H2552" t="str">
        <f>"81393"</f>
        <v>81393</v>
      </c>
      <c r="I2552">
        <v>1</v>
      </c>
      <c r="J2552">
        <v>24</v>
      </c>
      <c r="K2552">
        <v>0</v>
      </c>
      <c r="L2552">
        <v>18.72</v>
      </c>
    </row>
    <row r="2553" spans="1:12" x14ac:dyDescent="0.25">
      <c r="A2553" t="str">
        <f t="shared" si="542"/>
        <v>89301000</v>
      </c>
      <c r="B2553" t="str">
        <f t="shared" si="552"/>
        <v>75311000</v>
      </c>
      <c r="C2553" t="str">
        <f t="shared" si="555"/>
        <v>75311715</v>
      </c>
      <c r="D2553" t="str">
        <f t="shared" si="556"/>
        <v>801</v>
      </c>
      <c r="E2553" t="str">
        <f t="shared" si="553"/>
        <v>89301167</v>
      </c>
      <c r="F2553" t="str">
        <f t="shared" si="554"/>
        <v>5957040397</v>
      </c>
      <c r="G2553" s="1">
        <v>44643</v>
      </c>
      <c r="H2553" t="str">
        <f>"81469"</f>
        <v>81469</v>
      </c>
      <c r="I2553">
        <v>1</v>
      </c>
      <c r="J2553">
        <v>16</v>
      </c>
      <c r="K2553">
        <v>0</v>
      </c>
      <c r="L2553">
        <v>12.48</v>
      </c>
    </row>
    <row r="2554" spans="1:12" x14ac:dyDescent="0.25">
      <c r="A2554" t="str">
        <f t="shared" si="542"/>
        <v>89301000</v>
      </c>
      <c r="B2554" t="str">
        <f t="shared" si="552"/>
        <v>75311000</v>
      </c>
      <c r="C2554" t="str">
        <f t="shared" si="555"/>
        <v>75311715</v>
      </c>
      <c r="D2554" t="str">
        <f t="shared" si="556"/>
        <v>801</v>
      </c>
      <c r="E2554" t="str">
        <f t="shared" si="553"/>
        <v>89301167</v>
      </c>
      <c r="F2554" t="str">
        <f t="shared" si="554"/>
        <v>5957040397</v>
      </c>
      <c r="G2554" s="1">
        <v>44643</v>
      </c>
      <c r="H2554" t="str">
        <f>"81625"</f>
        <v>81625</v>
      </c>
      <c r="I2554">
        <v>1</v>
      </c>
      <c r="J2554">
        <v>20</v>
      </c>
      <c r="K2554">
        <v>0</v>
      </c>
      <c r="L2554">
        <v>15.6</v>
      </c>
    </row>
    <row r="2555" spans="1:12" x14ac:dyDescent="0.25">
      <c r="A2555" t="str">
        <f t="shared" si="542"/>
        <v>89301000</v>
      </c>
      <c r="B2555" t="str">
        <f t="shared" si="552"/>
        <v>75311000</v>
      </c>
      <c r="C2555" t="str">
        <f t="shared" si="555"/>
        <v>75311715</v>
      </c>
      <c r="D2555" t="str">
        <f t="shared" si="556"/>
        <v>801</v>
      </c>
      <c r="E2555" t="str">
        <f t="shared" si="553"/>
        <v>89301167</v>
      </c>
      <c r="F2555" t="str">
        <f t="shared" si="554"/>
        <v>5957040397</v>
      </c>
      <c r="G2555" s="1">
        <v>44643</v>
      </c>
      <c r="H2555" t="str">
        <f>"81361"</f>
        <v>81361</v>
      </c>
      <c r="I2555">
        <v>1</v>
      </c>
      <c r="J2555">
        <v>17</v>
      </c>
      <c r="K2555">
        <v>0</v>
      </c>
      <c r="L2555">
        <v>13.26</v>
      </c>
    </row>
    <row r="2556" spans="1:12" x14ac:dyDescent="0.25">
      <c r="A2556" t="str">
        <f t="shared" si="542"/>
        <v>89301000</v>
      </c>
      <c r="B2556" t="str">
        <f t="shared" si="552"/>
        <v>75311000</v>
      </c>
      <c r="C2556" t="str">
        <f t="shared" si="555"/>
        <v>75311715</v>
      </c>
      <c r="D2556" t="str">
        <f t="shared" si="556"/>
        <v>801</v>
      </c>
      <c r="E2556" t="str">
        <f t="shared" si="553"/>
        <v>89301167</v>
      </c>
      <c r="F2556" t="str">
        <f t="shared" si="554"/>
        <v>5957040397</v>
      </c>
      <c r="G2556" s="1">
        <v>44643</v>
      </c>
      <c r="H2556" t="str">
        <f>"81337"</f>
        <v>81337</v>
      </c>
      <c r="I2556">
        <v>1</v>
      </c>
      <c r="J2556">
        <v>19</v>
      </c>
      <c r="K2556">
        <v>0</v>
      </c>
      <c r="L2556">
        <v>14.82</v>
      </c>
    </row>
    <row r="2557" spans="1:12" x14ac:dyDescent="0.25">
      <c r="A2557" t="str">
        <f t="shared" si="542"/>
        <v>89301000</v>
      </c>
      <c r="B2557" t="str">
        <f t="shared" si="552"/>
        <v>75311000</v>
      </c>
      <c r="C2557" t="str">
        <f t="shared" si="555"/>
        <v>75311715</v>
      </c>
      <c r="D2557" t="str">
        <f t="shared" si="556"/>
        <v>801</v>
      </c>
      <c r="E2557" t="str">
        <f t="shared" si="553"/>
        <v>89301167</v>
      </c>
      <c r="F2557" t="str">
        <f t="shared" si="554"/>
        <v>5957040397</v>
      </c>
      <c r="G2557" s="1">
        <v>44643</v>
      </c>
      <c r="H2557" t="str">
        <f>"81357"</f>
        <v>81357</v>
      </c>
      <c r="I2557">
        <v>1</v>
      </c>
      <c r="J2557">
        <v>19</v>
      </c>
      <c r="K2557">
        <v>0</v>
      </c>
      <c r="L2557">
        <v>14.82</v>
      </c>
    </row>
    <row r="2558" spans="1:12" x14ac:dyDescent="0.25">
      <c r="A2558" t="str">
        <f t="shared" si="542"/>
        <v>89301000</v>
      </c>
      <c r="B2558" t="str">
        <f t="shared" si="552"/>
        <v>75311000</v>
      </c>
      <c r="C2558" t="str">
        <f t="shared" si="555"/>
        <v>75311715</v>
      </c>
      <c r="D2558" t="str">
        <f t="shared" si="556"/>
        <v>801</v>
      </c>
      <c r="E2558" t="str">
        <f t="shared" si="553"/>
        <v>89301167</v>
      </c>
      <c r="F2558" t="str">
        <f t="shared" si="554"/>
        <v>5957040397</v>
      </c>
      <c r="G2558" s="1">
        <v>44643</v>
      </c>
      <c r="H2558" t="str">
        <f>"81435"</f>
        <v>81435</v>
      </c>
      <c r="I2558">
        <v>1</v>
      </c>
      <c r="J2558">
        <v>22</v>
      </c>
      <c r="K2558">
        <v>0</v>
      </c>
      <c r="L2558">
        <v>17.16</v>
      </c>
    </row>
    <row r="2559" spans="1:12" x14ac:dyDescent="0.25">
      <c r="A2559" t="str">
        <f t="shared" si="542"/>
        <v>89301000</v>
      </c>
      <c r="B2559" t="str">
        <f t="shared" si="552"/>
        <v>75311000</v>
      </c>
      <c r="C2559" t="str">
        <f t="shared" si="555"/>
        <v>75311715</v>
      </c>
      <c r="D2559" t="str">
        <f t="shared" si="556"/>
        <v>801</v>
      </c>
      <c r="E2559" t="str">
        <f t="shared" si="553"/>
        <v>89301167</v>
      </c>
      <c r="F2559" t="str">
        <f t="shared" si="554"/>
        <v>5957040397</v>
      </c>
      <c r="G2559" s="1">
        <v>44643</v>
      </c>
      <c r="H2559" t="str">
        <f>"81421"</f>
        <v>81421</v>
      </c>
      <c r="I2559">
        <v>1</v>
      </c>
      <c r="J2559">
        <v>19</v>
      </c>
      <c r="K2559">
        <v>0</v>
      </c>
      <c r="L2559">
        <v>14.82</v>
      </c>
    </row>
    <row r="2560" spans="1:12" x14ac:dyDescent="0.25">
      <c r="A2560" t="str">
        <f t="shared" si="542"/>
        <v>89301000</v>
      </c>
      <c r="B2560" t="str">
        <f t="shared" si="552"/>
        <v>75311000</v>
      </c>
      <c r="C2560" t="str">
        <f t="shared" si="555"/>
        <v>75311715</v>
      </c>
      <c r="D2560" t="str">
        <f t="shared" si="556"/>
        <v>801</v>
      </c>
      <c r="E2560" t="str">
        <f t="shared" si="553"/>
        <v>89301167</v>
      </c>
      <c r="F2560" t="str">
        <f t="shared" si="554"/>
        <v>5957040397</v>
      </c>
      <c r="G2560" s="1">
        <v>44643</v>
      </c>
      <c r="H2560" t="str">
        <f>"81383"</f>
        <v>81383</v>
      </c>
      <c r="I2560">
        <v>1</v>
      </c>
      <c r="J2560">
        <v>23</v>
      </c>
      <c r="K2560">
        <v>0</v>
      </c>
      <c r="L2560">
        <v>17.940000000000001</v>
      </c>
    </row>
    <row r="2561" spans="1:12" x14ac:dyDescent="0.25">
      <c r="A2561" t="str">
        <f t="shared" si="542"/>
        <v>89301000</v>
      </c>
      <c r="B2561" t="str">
        <f t="shared" si="552"/>
        <v>75311000</v>
      </c>
      <c r="C2561" t="str">
        <f t="shared" si="555"/>
        <v>75311715</v>
      </c>
      <c r="D2561" t="str">
        <f t="shared" si="556"/>
        <v>801</v>
      </c>
      <c r="E2561" t="str">
        <f t="shared" si="553"/>
        <v>89301167</v>
      </c>
      <c r="F2561" t="str">
        <f t="shared" si="554"/>
        <v>5957040397</v>
      </c>
      <c r="G2561" s="1">
        <v>44643</v>
      </c>
      <c r="H2561" t="str">
        <f>"81439"</f>
        <v>81439</v>
      </c>
      <c r="I2561">
        <v>1</v>
      </c>
      <c r="J2561">
        <v>16</v>
      </c>
      <c r="K2561">
        <v>0</v>
      </c>
      <c r="L2561">
        <v>12.48</v>
      </c>
    </row>
    <row r="2562" spans="1:12" x14ac:dyDescent="0.25">
      <c r="A2562" t="str">
        <f t="shared" ref="A2562:A2625" si="557">"89301000"</f>
        <v>89301000</v>
      </c>
      <c r="B2562" t="str">
        <f t="shared" si="552"/>
        <v>75311000</v>
      </c>
      <c r="C2562" t="str">
        <f t="shared" si="555"/>
        <v>75311715</v>
      </c>
      <c r="D2562" t="str">
        <f t="shared" si="556"/>
        <v>801</v>
      </c>
      <c r="E2562" t="str">
        <f t="shared" si="553"/>
        <v>89301167</v>
      </c>
      <c r="F2562" t="str">
        <f t="shared" si="554"/>
        <v>5957040397</v>
      </c>
      <c r="G2562" s="1">
        <v>44643</v>
      </c>
      <c r="H2562" t="str">
        <f>"91153"</f>
        <v>91153</v>
      </c>
      <c r="I2562">
        <v>1</v>
      </c>
      <c r="J2562">
        <v>152</v>
      </c>
      <c r="K2562">
        <v>0</v>
      </c>
      <c r="L2562">
        <v>118.56</v>
      </c>
    </row>
    <row r="2563" spans="1:12" x14ac:dyDescent="0.25">
      <c r="A2563" t="str">
        <f t="shared" si="557"/>
        <v>89301000</v>
      </c>
      <c r="B2563" t="str">
        <f t="shared" si="552"/>
        <v>75311000</v>
      </c>
      <c r="C2563" t="str">
        <f t="shared" si="555"/>
        <v>75311715</v>
      </c>
      <c r="D2563" t="str">
        <f t="shared" si="556"/>
        <v>801</v>
      </c>
      <c r="E2563" t="str">
        <f t="shared" si="553"/>
        <v>89301167</v>
      </c>
      <c r="F2563" t="str">
        <f t="shared" si="554"/>
        <v>5957040397</v>
      </c>
      <c r="G2563" s="1">
        <v>44643</v>
      </c>
      <c r="H2563" t="str">
        <f>"81329"</f>
        <v>81329</v>
      </c>
      <c r="I2563">
        <v>1</v>
      </c>
      <c r="J2563">
        <v>16</v>
      </c>
      <c r="K2563">
        <v>0</v>
      </c>
      <c r="L2563">
        <v>12.48</v>
      </c>
    </row>
    <row r="2564" spans="1:12" x14ac:dyDescent="0.25">
      <c r="A2564" t="str">
        <f t="shared" si="557"/>
        <v>89301000</v>
      </c>
      <c r="B2564" t="str">
        <f t="shared" si="552"/>
        <v>75311000</v>
      </c>
      <c r="C2564" t="str">
        <f t="shared" si="555"/>
        <v>75311715</v>
      </c>
      <c r="D2564" t="str">
        <f t="shared" si="556"/>
        <v>801</v>
      </c>
      <c r="E2564" t="str">
        <f t="shared" si="553"/>
        <v>89301167</v>
      </c>
      <c r="F2564" t="str">
        <f t="shared" si="554"/>
        <v>5957040397</v>
      </c>
      <c r="G2564" s="1">
        <v>44643</v>
      </c>
      <c r="H2564" t="str">
        <f>"97111"</f>
        <v>97111</v>
      </c>
      <c r="I2564">
        <v>2</v>
      </c>
      <c r="J2564">
        <v>36</v>
      </c>
      <c r="K2564">
        <v>0</v>
      </c>
      <c r="L2564">
        <v>28.08</v>
      </c>
    </row>
    <row r="2565" spans="1:12" x14ac:dyDescent="0.25">
      <c r="A2565" t="str">
        <f t="shared" si="557"/>
        <v>89301000</v>
      </c>
      <c r="B2565" t="str">
        <f>"80001000"</f>
        <v>80001000</v>
      </c>
      <c r="C2565" t="str">
        <f>"80001985"</f>
        <v>80001985</v>
      </c>
      <c r="D2565" t="str">
        <f>"809"</f>
        <v>809</v>
      </c>
      <c r="E2565" t="str">
        <f>"89301112"</f>
        <v>89301112</v>
      </c>
      <c r="F2565" t="str">
        <f>"9610154609"</f>
        <v>9610154609</v>
      </c>
      <c r="G2565" s="1">
        <v>44629</v>
      </c>
      <c r="H2565" t="str">
        <f>"89615"</f>
        <v>89615</v>
      </c>
      <c r="I2565">
        <v>1</v>
      </c>
      <c r="J2565">
        <v>2170</v>
      </c>
      <c r="K2565">
        <v>0</v>
      </c>
      <c r="L2565">
        <v>1302</v>
      </c>
    </row>
    <row r="2566" spans="1:12" x14ac:dyDescent="0.25">
      <c r="A2566" t="str">
        <f t="shared" si="557"/>
        <v>89301000</v>
      </c>
      <c r="B2566" t="str">
        <f>"87001000"</f>
        <v>87001000</v>
      </c>
      <c r="C2566" t="str">
        <f>"87001881"</f>
        <v>87001881</v>
      </c>
      <c r="D2566" t="str">
        <f>"801"</f>
        <v>801</v>
      </c>
      <c r="E2566" t="str">
        <f>"89301082"</f>
        <v>89301082</v>
      </c>
      <c r="F2566" t="str">
        <f>"8958225529"</f>
        <v>8958225529</v>
      </c>
      <c r="G2566" s="1">
        <v>44643</v>
      </c>
      <c r="H2566" t="str">
        <f>"93159"</f>
        <v>93159</v>
      </c>
      <c r="I2566">
        <v>1</v>
      </c>
      <c r="J2566">
        <v>195</v>
      </c>
      <c r="K2566">
        <v>0</v>
      </c>
      <c r="L2566">
        <v>152.1</v>
      </c>
    </row>
    <row r="2567" spans="1:12" x14ac:dyDescent="0.25">
      <c r="A2567" t="str">
        <f t="shared" si="557"/>
        <v>89301000</v>
      </c>
      <c r="B2567" t="str">
        <f>"87001000"</f>
        <v>87001000</v>
      </c>
      <c r="C2567" t="str">
        <f>"87001881"</f>
        <v>87001881</v>
      </c>
      <c r="D2567" t="str">
        <f>"801"</f>
        <v>801</v>
      </c>
      <c r="E2567" t="str">
        <f>"89301082"</f>
        <v>89301082</v>
      </c>
      <c r="F2567" t="str">
        <f>"8958225529"</f>
        <v>8958225529</v>
      </c>
      <c r="G2567" s="1">
        <v>44643</v>
      </c>
      <c r="H2567" t="str">
        <f>"97111"</f>
        <v>97111</v>
      </c>
      <c r="I2567">
        <v>1</v>
      </c>
      <c r="J2567">
        <v>18</v>
      </c>
      <c r="K2567">
        <v>0</v>
      </c>
      <c r="L2567">
        <v>14.04</v>
      </c>
    </row>
    <row r="2568" spans="1:12" x14ac:dyDescent="0.25">
      <c r="A2568" t="str">
        <f t="shared" si="557"/>
        <v>89301000</v>
      </c>
      <c r="B2568" t="str">
        <f>"82001000"</f>
        <v>82001000</v>
      </c>
      <c r="C2568" t="str">
        <f>"82001194"</f>
        <v>82001194</v>
      </c>
      <c r="D2568" t="str">
        <f>"801"</f>
        <v>801</v>
      </c>
      <c r="E2568" t="str">
        <f>"89301082"</f>
        <v>89301082</v>
      </c>
      <c r="F2568" t="str">
        <f>"9556056268"</f>
        <v>9556056268</v>
      </c>
      <c r="G2568" s="1">
        <v>44649</v>
      </c>
      <c r="H2568" t="str">
        <f>"93137"</f>
        <v>93137</v>
      </c>
      <c r="I2568">
        <v>1</v>
      </c>
      <c r="J2568">
        <v>184</v>
      </c>
      <c r="K2568">
        <v>0</v>
      </c>
      <c r="L2568">
        <v>143.52000000000001</v>
      </c>
    </row>
    <row r="2569" spans="1:12" x14ac:dyDescent="0.25">
      <c r="A2569" t="str">
        <f t="shared" si="557"/>
        <v>89301000</v>
      </c>
      <c r="B2569" t="str">
        <f>"74001000"</f>
        <v>74001000</v>
      </c>
      <c r="C2569" t="str">
        <f>"74001899"</f>
        <v>74001899</v>
      </c>
      <c r="D2569" t="str">
        <f>"810"</f>
        <v>810</v>
      </c>
      <c r="E2569" t="str">
        <f>"89301062"</f>
        <v>89301062</v>
      </c>
      <c r="F2569" t="str">
        <f>"6009161532"</f>
        <v>6009161532</v>
      </c>
      <c r="G2569" s="1">
        <v>44649</v>
      </c>
      <c r="H2569" t="str">
        <f>"89713"</f>
        <v>89713</v>
      </c>
      <c r="I2569">
        <v>1</v>
      </c>
      <c r="J2569">
        <v>5362</v>
      </c>
      <c r="K2569">
        <v>0</v>
      </c>
      <c r="L2569">
        <v>3217.2</v>
      </c>
    </row>
    <row r="2570" spans="1:12" x14ac:dyDescent="0.25">
      <c r="A2570" t="str">
        <f t="shared" si="557"/>
        <v>89301000</v>
      </c>
      <c r="B2570" t="str">
        <f t="shared" ref="B2570:B2587" si="558">"91009000"</f>
        <v>91009000</v>
      </c>
      <c r="C2570" t="str">
        <f t="shared" ref="C2570:C2578" si="559">"91009522"</f>
        <v>91009522</v>
      </c>
      <c r="D2570" t="str">
        <f t="shared" ref="D2570:D2578" si="560">"816"</f>
        <v>816</v>
      </c>
      <c r="E2570" t="str">
        <f t="shared" ref="E2570:E2578" si="561">"89301282"</f>
        <v>89301282</v>
      </c>
      <c r="F2570" t="str">
        <f>"8503055792"</f>
        <v>8503055792</v>
      </c>
      <c r="G2570" s="1">
        <v>44624</v>
      </c>
      <c r="H2570" t="str">
        <f>"94345"</f>
        <v>94345</v>
      </c>
      <c r="I2570">
        <v>1</v>
      </c>
      <c r="J2570">
        <v>4625</v>
      </c>
      <c r="K2570">
        <v>0</v>
      </c>
      <c r="L2570">
        <v>3931.25</v>
      </c>
    </row>
    <row r="2571" spans="1:12" x14ac:dyDescent="0.25">
      <c r="A2571" t="str">
        <f t="shared" si="557"/>
        <v>89301000</v>
      </c>
      <c r="B2571" t="str">
        <f t="shared" si="558"/>
        <v>91009000</v>
      </c>
      <c r="C2571" t="str">
        <f t="shared" si="559"/>
        <v>91009522</v>
      </c>
      <c r="D2571" t="str">
        <f t="shared" si="560"/>
        <v>816</v>
      </c>
      <c r="E2571" t="str">
        <f t="shared" si="561"/>
        <v>89301282</v>
      </c>
      <c r="F2571" t="str">
        <f>"8503055792"</f>
        <v>8503055792</v>
      </c>
      <c r="G2571" s="1">
        <v>44624</v>
      </c>
      <c r="H2571" t="str">
        <f>"94948"</f>
        <v>94948</v>
      </c>
      <c r="I2571">
        <v>1</v>
      </c>
      <c r="J2571">
        <v>0</v>
      </c>
      <c r="K2571">
        <v>0</v>
      </c>
      <c r="L2571">
        <v>0</v>
      </c>
    </row>
    <row r="2572" spans="1:12" x14ac:dyDescent="0.25">
      <c r="A2572" t="str">
        <f t="shared" si="557"/>
        <v>89301000</v>
      </c>
      <c r="B2572" t="str">
        <f t="shared" si="558"/>
        <v>91009000</v>
      </c>
      <c r="C2572" t="str">
        <f t="shared" si="559"/>
        <v>91009522</v>
      </c>
      <c r="D2572" t="str">
        <f t="shared" si="560"/>
        <v>816</v>
      </c>
      <c r="E2572" t="str">
        <f t="shared" si="561"/>
        <v>89301282</v>
      </c>
      <c r="F2572" t="str">
        <f>"0502143301"</f>
        <v>0502143301</v>
      </c>
      <c r="G2572" s="1">
        <v>44645</v>
      </c>
      <c r="H2572" t="str">
        <f>"94345"</f>
        <v>94345</v>
      </c>
      <c r="I2572">
        <v>2</v>
      </c>
      <c r="J2572">
        <v>9250</v>
      </c>
      <c r="K2572">
        <v>0</v>
      </c>
      <c r="L2572">
        <v>7862.5</v>
      </c>
    </row>
    <row r="2573" spans="1:12" x14ac:dyDescent="0.25">
      <c r="A2573" t="str">
        <f t="shared" si="557"/>
        <v>89301000</v>
      </c>
      <c r="B2573" t="str">
        <f t="shared" si="558"/>
        <v>91009000</v>
      </c>
      <c r="C2573" t="str">
        <f t="shared" si="559"/>
        <v>91009522</v>
      </c>
      <c r="D2573" t="str">
        <f t="shared" si="560"/>
        <v>816</v>
      </c>
      <c r="E2573" t="str">
        <f t="shared" si="561"/>
        <v>89301282</v>
      </c>
      <c r="F2573" t="str">
        <f>"0502143301"</f>
        <v>0502143301</v>
      </c>
      <c r="G2573" s="1">
        <v>44645</v>
      </c>
      <c r="H2573" t="str">
        <f>"94948"</f>
        <v>94948</v>
      </c>
      <c r="I2573">
        <v>2</v>
      </c>
      <c r="J2573">
        <v>0</v>
      </c>
      <c r="K2573">
        <v>0</v>
      </c>
      <c r="L2573">
        <v>0</v>
      </c>
    </row>
    <row r="2574" spans="1:12" x14ac:dyDescent="0.25">
      <c r="A2574" t="str">
        <f t="shared" si="557"/>
        <v>89301000</v>
      </c>
      <c r="B2574" t="str">
        <f t="shared" si="558"/>
        <v>91009000</v>
      </c>
      <c r="C2574" t="str">
        <f t="shared" si="559"/>
        <v>91009522</v>
      </c>
      <c r="D2574" t="str">
        <f t="shared" si="560"/>
        <v>816</v>
      </c>
      <c r="E2574" t="str">
        <f t="shared" si="561"/>
        <v>89301282</v>
      </c>
      <c r="F2574" t="str">
        <f>"8161205195"</f>
        <v>8161205195</v>
      </c>
      <c r="G2574" s="1">
        <v>44623</v>
      </c>
      <c r="H2574" t="str">
        <f>"94345"</f>
        <v>94345</v>
      </c>
      <c r="I2574">
        <v>1</v>
      </c>
      <c r="J2574">
        <v>4625</v>
      </c>
      <c r="K2574">
        <v>0</v>
      </c>
      <c r="L2574">
        <v>3931.25</v>
      </c>
    </row>
    <row r="2575" spans="1:12" x14ac:dyDescent="0.25">
      <c r="A2575" t="str">
        <f t="shared" si="557"/>
        <v>89301000</v>
      </c>
      <c r="B2575" t="str">
        <f t="shared" si="558"/>
        <v>91009000</v>
      </c>
      <c r="C2575" t="str">
        <f t="shared" si="559"/>
        <v>91009522</v>
      </c>
      <c r="D2575" t="str">
        <f t="shared" si="560"/>
        <v>816</v>
      </c>
      <c r="E2575" t="str">
        <f t="shared" si="561"/>
        <v>89301282</v>
      </c>
      <c r="F2575" t="str">
        <f>"8161205195"</f>
        <v>8161205195</v>
      </c>
      <c r="G2575" s="1">
        <v>44623</v>
      </c>
      <c r="H2575" t="str">
        <f>"94948"</f>
        <v>94948</v>
      </c>
      <c r="I2575">
        <v>1</v>
      </c>
      <c r="J2575">
        <v>0</v>
      </c>
      <c r="K2575">
        <v>0</v>
      </c>
      <c r="L2575">
        <v>0</v>
      </c>
    </row>
    <row r="2576" spans="1:12" x14ac:dyDescent="0.25">
      <c r="A2576" t="str">
        <f t="shared" si="557"/>
        <v>89301000</v>
      </c>
      <c r="B2576" t="str">
        <f t="shared" si="558"/>
        <v>91009000</v>
      </c>
      <c r="C2576" t="str">
        <f t="shared" si="559"/>
        <v>91009522</v>
      </c>
      <c r="D2576" t="str">
        <f t="shared" si="560"/>
        <v>816</v>
      </c>
      <c r="E2576" t="str">
        <f t="shared" si="561"/>
        <v>89301282</v>
      </c>
      <c r="F2576" t="str">
        <f>"0560155266"</f>
        <v>0560155266</v>
      </c>
      <c r="G2576" s="1">
        <v>44625</v>
      </c>
      <c r="H2576" t="str">
        <f>"94948"</f>
        <v>94948</v>
      </c>
      <c r="I2576">
        <v>2</v>
      </c>
      <c r="J2576">
        <v>0</v>
      </c>
      <c r="K2576">
        <v>0</v>
      </c>
      <c r="L2576">
        <v>0</v>
      </c>
    </row>
    <row r="2577" spans="1:12" x14ac:dyDescent="0.25">
      <c r="A2577" t="str">
        <f t="shared" si="557"/>
        <v>89301000</v>
      </c>
      <c r="B2577" t="str">
        <f t="shared" si="558"/>
        <v>91009000</v>
      </c>
      <c r="C2577" t="str">
        <f t="shared" si="559"/>
        <v>91009522</v>
      </c>
      <c r="D2577" t="str">
        <f t="shared" si="560"/>
        <v>816</v>
      </c>
      <c r="E2577" t="str">
        <f t="shared" si="561"/>
        <v>89301282</v>
      </c>
      <c r="F2577" t="str">
        <f>"0560155266"</f>
        <v>0560155266</v>
      </c>
      <c r="G2577" s="1">
        <v>44625</v>
      </c>
      <c r="H2577" t="str">
        <f>"94983"</f>
        <v>94983</v>
      </c>
      <c r="I2577">
        <v>1</v>
      </c>
      <c r="J2577">
        <v>0</v>
      </c>
      <c r="K2577">
        <v>39600</v>
      </c>
      <c r="L2577">
        <v>39600</v>
      </c>
    </row>
    <row r="2578" spans="1:12" x14ac:dyDescent="0.25">
      <c r="A2578" t="str">
        <f t="shared" si="557"/>
        <v>89301000</v>
      </c>
      <c r="B2578" t="str">
        <f t="shared" si="558"/>
        <v>91009000</v>
      </c>
      <c r="C2578" t="str">
        <f t="shared" si="559"/>
        <v>91009522</v>
      </c>
      <c r="D2578" t="str">
        <f t="shared" si="560"/>
        <v>816</v>
      </c>
      <c r="E2578" t="str">
        <f t="shared" si="561"/>
        <v>89301282</v>
      </c>
      <c r="F2578" t="str">
        <f>"0560155266"</f>
        <v>0560155266</v>
      </c>
      <c r="G2578" s="1">
        <v>44625</v>
      </c>
      <c r="H2578" t="str">
        <f>"94996"</f>
        <v>94996</v>
      </c>
      <c r="I2578">
        <v>1</v>
      </c>
      <c r="J2578">
        <v>0</v>
      </c>
      <c r="K2578">
        <v>0</v>
      </c>
      <c r="L2578">
        <v>0</v>
      </c>
    </row>
    <row r="2579" spans="1:12" x14ac:dyDescent="0.25">
      <c r="A2579" t="str">
        <f t="shared" si="557"/>
        <v>89301000</v>
      </c>
      <c r="B2579" t="str">
        <f t="shared" si="558"/>
        <v>91009000</v>
      </c>
      <c r="C2579" t="str">
        <f>"91009132"</f>
        <v>91009132</v>
      </c>
      <c r="D2579" t="str">
        <f>"812"</f>
        <v>812</v>
      </c>
      <c r="E2579" t="str">
        <f>"89301212"</f>
        <v>89301212</v>
      </c>
      <c r="F2579" t="str">
        <f>"8556125776"</f>
        <v>8556125776</v>
      </c>
      <c r="G2579" s="1">
        <v>44635</v>
      </c>
      <c r="H2579" t="str">
        <f>"92157"</f>
        <v>92157</v>
      </c>
      <c r="I2579">
        <v>1</v>
      </c>
      <c r="J2579">
        <v>1754</v>
      </c>
      <c r="K2579">
        <v>0</v>
      </c>
      <c r="L2579">
        <v>1368.12</v>
      </c>
    </row>
    <row r="2580" spans="1:12" x14ac:dyDescent="0.25">
      <c r="A2580" t="str">
        <f t="shared" si="557"/>
        <v>89301000</v>
      </c>
      <c r="B2580" t="str">
        <f t="shared" si="558"/>
        <v>91009000</v>
      </c>
      <c r="C2580" t="str">
        <f>"91009132"</f>
        <v>91009132</v>
      </c>
      <c r="D2580" t="str">
        <f>"812"</f>
        <v>812</v>
      </c>
      <c r="E2580" t="str">
        <f>"89301212"</f>
        <v>89301212</v>
      </c>
      <c r="F2580" t="str">
        <f>"8556125776"</f>
        <v>8556125776</v>
      </c>
      <c r="G2580" s="1">
        <v>44635</v>
      </c>
      <c r="H2580" t="str">
        <f>"99111"</f>
        <v>99111</v>
      </c>
      <c r="I2580">
        <v>1</v>
      </c>
      <c r="J2580">
        <v>206</v>
      </c>
      <c r="K2580">
        <v>0</v>
      </c>
      <c r="L2580">
        <v>160.68</v>
      </c>
    </row>
    <row r="2581" spans="1:12" x14ac:dyDescent="0.25">
      <c r="A2581" t="str">
        <f t="shared" si="557"/>
        <v>89301000</v>
      </c>
      <c r="B2581" t="str">
        <f t="shared" si="558"/>
        <v>91009000</v>
      </c>
      <c r="C2581" t="str">
        <f t="shared" ref="C2581:C2586" si="562">"91009605"</f>
        <v>91009605</v>
      </c>
      <c r="D2581" t="str">
        <f t="shared" ref="D2581:D2586" si="563">"818"</f>
        <v>818</v>
      </c>
      <c r="E2581" t="str">
        <f>"89301109"</f>
        <v>89301109</v>
      </c>
      <c r="F2581" t="str">
        <f>"0660093269"</f>
        <v>0660093269</v>
      </c>
      <c r="G2581" s="1">
        <v>44649</v>
      </c>
      <c r="H2581" t="str">
        <f>"91431"</f>
        <v>91431</v>
      </c>
      <c r="I2581">
        <v>1</v>
      </c>
      <c r="J2581">
        <v>535</v>
      </c>
      <c r="K2581">
        <v>0</v>
      </c>
      <c r="L2581">
        <v>486.85</v>
      </c>
    </row>
    <row r="2582" spans="1:12" x14ac:dyDescent="0.25">
      <c r="A2582" t="str">
        <f t="shared" si="557"/>
        <v>89301000</v>
      </c>
      <c r="B2582" t="str">
        <f t="shared" si="558"/>
        <v>91009000</v>
      </c>
      <c r="C2582" t="str">
        <f t="shared" si="562"/>
        <v>91009605</v>
      </c>
      <c r="D2582" t="str">
        <f t="shared" si="563"/>
        <v>818</v>
      </c>
      <c r="E2582" t="str">
        <f>"89301109"</f>
        <v>89301109</v>
      </c>
      <c r="F2582" t="str">
        <f>"0660093269"</f>
        <v>0660093269</v>
      </c>
      <c r="G2582" s="1">
        <v>44651</v>
      </c>
      <c r="H2582" t="str">
        <f>"22122"</f>
        <v>22122</v>
      </c>
      <c r="I2582">
        <v>1</v>
      </c>
      <c r="J2582">
        <v>573</v>
      </c>
      <c r="K2582">
        <v>0</v>
      </c>
      <c r="L2582">
        <v>521.42999999999995</v>
      </c>
    </row>
    <row r="2583" spans="1:12" x14ac:dyDescent="0.25">
      <c r="A2583" t="str">
        <f t="shared" si="557"/>
        <v>89301000</v>
      </c>
      <c r="B2583" t="str">
        <f t="shared" si="558"/>
        <v>91009000</v>
      </c>
      <c r="C2583" t="str">
        <f t="shared" si="562"/>
        <v>91009605</v>
      </c>
      <c r="D2583" t="str">
        <f t="shared" si="563"/>
        <v>818</v>
      </c>
      <c r="E2583" t="str">
        <f>"89301109"</f>
        <v>89301109</v>
      </c>
      <c r="F2583" t="str">
        <f>"0660093269"</f>
        <v>0660093269</v>
      </c>
      <c r="G2583" s="1">
        <v>44651</v>
      </c>
      <c r="H2583" t="str">
        <f>"22123"</f>
        <v>22123</v>
      </c>
      <c r="I2583">
        <v>1</v>
      </c>
      <c r="J2583">
        <v>322</v>
      </c>
      <c r="K2583">
        <v>0</v>
      </c>
      <c r="L2583">
        <v>293.02</v>
      </c>
    </row>
    <row r="2584" spans="1:12" x14ac:dyDescent="0.25">
      <c r="A2584" t="str">
        <f t="shared" si="557"/>
        <v>89301000</v>
      </c>
      <c r="B2584" t="str">
        <f t="shared" si="558"/>
        <v>91009000</v>
      </c>
      <c r="C2584" t="str">
        <f t="shared" si="562"/>
        <v>91009605</v>
      </c>
      <c r="D2584" t="str">
        <f t="shared" si="563"/>
        <v>818</v>
      </c>
      <c r="E2584" t="str">
        <f>"89301322"</f>
        <v>89301322</v>
      </c>
      <c r="F2584" t="str">
        <f>"6158040603"</f>
        <v>6158040603</v>
      </c>
      <c r="G2584" s="1">
        <v>44628</v>
      </c>
      <c r="H2584" t="str">
        <f>"91431"</f>
        <v>91431</v>
      </c>
      <c r="I2584">
        <v>1</v>
      </c>
      <c r="J2584">
        <v>535</v>
      </c>
      <c r="K2584">
        <v>0</v>
      </c>
      <c r="L2584">
        <v>486.85</v>
      </c>
    </row>
    <row r="2585" spans="1:12" x14ac:dyDescent="0.25">
      <c r="A2585" t="str">
        <f t="shared" si="557"/>
        <v>89301000</v>
      </c>
      <c r="B2585" t="str">
        <f t="shared" si="558"/>
        <v>91009000</v>
      </c>
      <c r="C2585" t="str">
        <f t="shared" si="562"/>
        <v>91009605</v>
      </c>
      <c r="D2585" t="str">
        <f t="shared" si="563"/>
        <v>818</v>
      </c>
      <c r="E2585" t="str">
        <f>"89301322"</f>
        <v>89301322</v>
      </c>
      <c r="F2585" t="str">
        <f>"6158040603"</f>
        <v>6158040603</v>
      </c>
      <c r="G2585" s="1">
        <v>44630</v>
      </c>
      <c r="H2585" t="str">
        <f>"22122"</f>
        <v>22122</v>
      </c>
      <c r="I2585">
        <v>1</v>
      </c>
      <c r="J2585">
        <v>573</v>
      </c>
      <c r="K2585">
        <v>0</v>
      </c>
      <c r="L2585">
        <v>521.42999999999995</v>
      </c>
    </row>
    <row r="2586" spans="1:12" x14ac:dyDescent="0.25">
      <c r="A2586" t="str">
        <f t="shared" si="557"/>
        <v>89301000</v>
      </c>
      <c r="B2586" t="str">
        <f t="shared" si="558"/>
        <v>91009000</v>
      </c>
      <c r="C2586" t="str">
        <f t="shared" si="562"/>
        <v>91009605</v>
      </c>
      <c r="D2586" t="str">
        <f t="shared" si="563"/>
        <v>818</v>
      </c>
      <c r="E2586" t="str">
        <f>"89301322"</f>
        <v>89301322</v>
      </c>
      <c r="F2586" t="str">
        <f>"6158040603"</f>
        <v>6158040603</v>
      </c>
      <c r="G2586" s="1">
        <v>44630</v>
      </c>
      <c r="H2586" t="str">
        <f>"22123"</f>
        <v>22123</v>
      </c>
      <c r="I2586">
        <v>1</v>
      </c>
      <c r="J2586">
        <v>322</v>
      </c>
      <c r="K2586">
        <v>0</v>
      </c>
      <c r="L2586">
        <v>293.02</v>
      </c>
    </row>
    <row r="2587" spans="1:12" x14ac:dyDescent="0.25">
      <c r="A2587" t="str">
        <f t="shared" si="557"/>
        <v>89301000</v>
      </c>
      <c r="B2587" t="str">
        <f t="shared" si="558"/>
        <v>91009000</v>
      </c>
      <c r="C2587" t="str">
        <f>"91009581"</f>
        <v>91009581</v>
      </c>
      <c r="D2587" t="str">
        <f t="shared" ref="D2587:D2603" si="564">"801"</f>
        <v>801</v>
      </c>
      <c r="E2587" t="str">
        <f>"89301212"</f>
        <v>89301212</v>
      </c>
      <c r="F2587" t="str">
        <f>"8556125776"</f>
        <v>8556125776</v>
      </c>
      <c r="G2587" s="1">
        <v>44635</v>
      </c>
      <c r="H2587" t="str">
        <f>"97111"</f>
        <v>97111</v>
      </c>
      <c r="I2587">
        <v>1</v>
      </c>
      <c r="J2587">
        <v>18</v>
      </c>
      <c r="K2587">
        <v>0</v>
      </c>
      <c r="L2587">
        <v>14.04</v>
      </c>
    </row>
    <row r="2588" spans="1:12" x14ac:dyDescent="0.25">
      <c r="A2588" t="str">
        <f t="shared" si="557"/>
        <v>89301000</v>
      </c>
      <c r="B2588" t="str">
        <f t="shared" ref="B2588:B2595" si="565">"06223000"</f>
        <v>06223000</v>
      </c>
      <c r="C2588" t="str">
        <f t="shared" ref="C2588:C2595" si="566">"06223043"</f>
        <v>06223043</v>
      </c>
      <c r="D2588" t="str">
        <f t="shared" si="564"/>
        <v>801</v>
      </c>
      <c r="E2588" t="str">
        <f t="shared" ref="E2588:E2595" si="567">"89301122"</f>
        <v>89301122</v>
      </c>
      <c r="F2588" t="str">
        <f>"6912154469"</f>
        <v>6912154469</v>
      </c>
      <c r="G2588" s="1">
        <v>44627</v>
      </c>
      <c r="H2588" t="str">
        <f t="shared" ref="H2588:H2595" si="568">"81485"</f>
        <v>81485</v>
      </c>
      <c r="I2588">
        <v>1</v>
      </c>
      <c r="J2588">
        <v>453</v>
      </c>
      <c r="K2588">
        <v>0</v>
      </c>
      <c r="L2588">
        <v>353.34</v>
      </c>
    </row>
    <row r="2589" spans="1:12" x14ac:dyDescent="0.25">
      <c r="A2589" t="str">
        <f t="shared" si="557"/>
        <v>89301000</v>
      </c>
      <c r="B2589" t="str">
        <f t="shared" si="565"/>
        <v>06223000</v>
      </c>
      <c r="C2589" t="str">
        <f t="shared" si="566"/>
        <v>06223043</v>
      </c>
      <c r="D2589" t="str">
        <f t="shared" si="564"/>
        <v>801</v>
      </c>
      <c r="E2589" t="str">
        <f t="shared" si="567"/>
        <v>89301122</v>
      </c>
      <c r="F2589" t="str">
        <f>"6711186735"</f>
        <v>6711186735</v>
      </c>
      <c r="G2589" s="1">
        <v>44627</v>
      </c>
      <c r="H2589" t="str">
        <f t="shared" si="568"/>
        <v>81485</v>
      </c>
      <c r="I2589">
        <v>1</v>
      </c>
      <c r="J2589">
        <v>453</v>
      </c>
      <c r="K2589">
        <v>0</v>
      </c>
      <c r="L2589">
        <v>353.34</v>
      </c>
    </row>
    <row r="2590" spans="1:12" x14ac:dyDescent="0.25">
      <c r="A2590" t="str">
        <f t="shared" si="557"/>
        <v>89301000</v>
      </c>
      <c r="B2590" t="str">
        <f t="shared" si="565"/>
        <v>06223000</v>
      </c>
      <c r="C2590" t="str">
        <f t="shared" si="566"/>
        <v>06223043</v>
      </c>
      <c r="D2590" t="str">
        <f t="shared" si="564"/>
        <v>801</v>
      </c>
      <c r="E2590" t="str">
        <f t="shared" si="567"/>
        <v>89301122</v>
      </c>
      <c r="F2590" t="str">
        <f>"8204175309"</f>
        <v>8204175309</v>
      </c>
      <c r="G2590" s="1">
        <v>44627</v>
      </c>
      <c r="H2590" t="str">
        <f t="shared" si="568"/>
        <v>81485</v>
      </c>
      <c r="I2590">
        <v>1</v>
      </c>
      <c r="J2590">
        <v>453</v>
      </c>
      <c r="K2590">
        <v>0</v>
      </c>
      <c r="L2590">
        <v>353.34</v>
      </c>
    </row>
    <row r="2591" spans="1:12" x14ac:dyDescent="0.25">
      <c r="A2591" t="str">
        <f t="shared" si="557"/>
        <v>89301000</v>
      </c>
      <c r="B2591" t="str">
        <f t="shared" si="565"/>
        <v>06223000</v>
      </c>
      <c r="C2591" t="str">
        <f t="shared" si="566"/>
        <v>06223043</v>
      </c>
      <c r="D2591" t="str">
        <f t="shared" si="564"/>
        <v>801</v>
      </c>
      <c r="E2591" t="str">
        <f t="shared" si="567"/>
        <v>89301122</v>
      </c>
      <c r="F2591" t="str">
        <f>"7006084481"</f>
        <v>7006084481</v>
      </c>
      <c r="G2591" s="1">
        <v>44642</v>
      </c>
      <c r="H2591" t="str">
        <f t="shared" si="568"/>
        <v>81485</v>
      </c>
      <c r="I2591">
        <v>1</v>
      </c>
      <c r="J2591">
        <v>453</v>
      </c>
      <c r="K2591">
        <v>0</v>
      </c>
      <c r="L2591">
        <v>353.34</v>
      </c>
    </row>
    <row r="2592" spans="1:12" x14ac:dyDescent="0.25">
      <c r="A2592" t="str">
        <f t="shared" si="557"/>
        <v>89301000</v>
      </c>
      <c r="B2592" t="str">
        <f t="shared" si="565"/>
        <v>06223000</v>
      </c>
      <c r="C2592" t="str">
        <f t="shared" si="566"/>
        <v>06223043</v>
      </c>
      <c r="D2592" t="str">
        <f t="shared" si="564"/>
        <v>801</v>
      </c>
      <c r="E2592" t="str">
        <f t="shared" si="567"/>
        <v>89301122</v>
      </c>
      <c r="F2592" t="str">
        <f>"0305045708"</f>
        <v>0305045708</v>
      </c>
      <c r="G2592" s="1">
        <v>44642</v>
      </c>
      <c r="H2592" t="str">
        <f t="shared" si="568"/>
        <v>81485</v>
      </c>
      <c r="I2592">
        <v>1</v>
      </c>
      <c r="J2592">
        <v>453</v>
      </c>
      <c r="K2592">
        <v>0</v>
      </c>
      <c r="L2592">
        <v>353.34</v>
      </c>
    </row>
    <row r="2593" spans="1:12" x14ac:dyDescent="0.25">
      <c r="A2593" t="str">
        <f t="shared" si="557"/>
        <v>89301000</v>
      </c>
      <c r="B2593" t="str">
        <f t="shared" si="565"/>
        <v>06223000</v>
      </c>
      <c r="C2593" t="str">
        <f t="shared" si="566"/>
        <v>06223043</v>
      </c>
      <c r="D2593" t="str">
        <f t="shared" si="564"/>
        <v>801</v>
      </c>
      <c r="E2593" t="str">
        <f t="shared" si="567"/>
        <v>89301122</v>
      </c>
      <c r="F2593" t="str">
        <f>"7405015805"</f>
        <v>7405015805</v>
      </c>
      <c r="G2593" s="1">
        <v>44642</v>
      </c>
      <c r="H2593" t="str">
        <f t="shared" si="568"/>
        <v>81485</v>
      </c>
      <c r="I2593">
        <v>1</v>
      </c>
      <c r="J2593">
        <v>453</v>
      </c>
      <c r="K2593">
        <v>0</v>
      </c>
      <c r="L2593">
        <v>353.34</v>
      </c>
    </row>
    <row r="2594" spans="1:12" x14ac:dyDescent="0.25">
      <c r="A2594" t="str">
        <f t="shared" si="557"/>
        <v>89301000</v>
      </c>
      <c r="B2594" t="str">
        <f t="shared" si="565"/>
        <v>06223000</v>
      </c>
      <c r="C2594" t="str">
        <f t="shared" si="566"/>
        <v>06223043</v>
      </c>
      <c r="D2594" t="str">
        <f t="shared" si="564"/>
        <v>801</v>
      </c>
      <c r="E2594" t="str">
        <f t="shared" si="567"/>
        <v>89301122</v>
      </c>
      <c r="F2594" t="str">
        <f>"6004060095"</f>
        <v>6004060095</v>
      </c>
      <c r="G2594" s="1">
        <v>44648</v>
      </c>
      <c r="H2594" t="str">
        <f t="shared" si="568"/>
        <v>81485</v>
      </c>
      <c r="I2594">
        <v>1</v>
      </c>
      <c r="J2594">
        <v>453</v>
      </c>
      <c r="K2594">
        <v>0</v>
      </c>
      <c r="L2594">
        <v>353.34</v>
      </c>
    </row>
    <row r="2595" spans="1:12" x14ac:dyDescent="0.25">
      <c r="A2595" t="str">
        <f t="shared" si="557"/>
        <v>89301000</v>
      </c>
      <c r="B2595" t="str">
        <f t="shared" si="565"/>
        <v>06223000</v>
      </c>
      <c r="C2595" t="str">
        <f t="shared" si="566"/>
        <v>06223043</v>
      </c>
      <c r="D2595" t="str">
        <f t="shared" si="564"/>
        <v>801</v>
      </c>
      <c r="E2595" t="str">
        <f t="shared" si="567"/>
        <v>89301122</v>
      </c>
      <c r="F2595" t="str">
        <f>"9204045730"</f>
        <v>9204045730</v>
      </c>
      <c r="G2595" s="1">
        <v>44648</v>
      </c>
      <c r="H2595" t="str">
        <f t="shared" si="568"/>
        <v>81485</v>
      </c>
      <c r="I2595">
        <v>1</v>
      </c>
      <c r="J2595">
        <v>453</v>
      </c>
      <c r="K2595">
        <v>0</v>
      </c>
      <c r="L2595">
        <v>353.34</v>
      </c>
    </row>
    <row r="2596" spans="1:12" x14ac:dyDescent="0.25">
      <c r="A2596" t="str">
        <f t="shared" si="557"/>
        <v>89301000</v>
      </c>
      <c r="B2596" t="str">
        <f t="shared" ref="B2596:B2603" si="569">"94101000"</f>
        <v>94101000</v>
      </c>
      <c r="C2596" t="str">
        <f t="shared" ref="C2596:C2603" si="570">"94101858"</f>
        <v>94101858</v>
      </c>
      <c r="D2596" t="str">
        <f t="shared" si="564"/>
        <v>801</v>
      </c>
      <c r="E2596" t="str">
        <f t="shared" ref="E2596:E2603" si="571">"89301082"</f>
        <v>89301082</v>
      </c>
      <c r="F2596" t="str">
        <f t="shared" ref="F2596:F2603" si="572">"9556056268"</f>
        <v>9556056268</v>
      </c>
      <c r="G2596" s="1">
        <v>44649</v>
      </c>
      <c r="H2596" t="str">
        <f>"93177"</f>
        <v>93177</v>
      </c>
      <c r="I2596">
        <v>1</v>
      </c>
      <c r="J2596">
        <v>178</v>
      </c>
      <c r="K2596">
        <v>0</v>
      </c>
      <c r="L2596">
        <v>138.84</v>
      </c>
    </row>
    <row r="2597" spans="1:12" x14ac:dyDescent="0.25">
      <c r="A2597" t="str">
        <f t="shared" si="557"/>
        <v>89301000</v>
      </c>
      <c r="B2597" t="str">
        <f t="shared" si="569"/>
        <v>94101000</v>
      </c>
      <c r="C2597" t="str">
        <f t="shared" si="570"/>
        <v>94101858</v>
      </c>
      <c r="D2597" t="str">
        <f t="shared" si="564"/>
        <v>801</v>
      </c>
      <c r="E2597" t="str">
        <f t="shared" si="571"/>
        <v>89301082</v>
      </c>
      <c r="F2597" t="str">
        <f t="shared" si="572"/>
        <v>9556056268</v>
      </c>
      <c r="G2597" s="1">
        <v>44649</v>
      </c>
      <c r="H2597" t="str">
        <f>"93231"</f>
        <v>93231</v>
      </c>
      <c r="I2597">
        <v>1</v>
      </c>
      <c r="J2597">
        <v>402</v>
      </c>
      <c r="K2597">
        <v>0</v>
      </c>
      <c r="L2597">
        <v>313.56</v>
      </c>
    </row>
    <row r="2598" spans="1:12" x14ac:dyDescent="0.25">
      <c r="A2598" t="str">
        <f t="shared" si="557"/>
        <v>89301000</v>
      </c>
      <c r="B2598" t="str">
        <f t="shared" si="569"/>
        <v>94101000</v>
      </c>
      <c r="C2598" t="str">
        <f t="shared" si="570"/>
        <v>94101858</v>
      </c>
      <c r="D2598" t="str">
        <f t="shared" si="564"/>
        <v>801</v>
      </c>
      <c r="E2598" t="str">
        <f t="shared" si="571"/>
        <v>89301082</v>
      </c>
      <c r="F2598" t="str">
        <f t="shared" si="572"/>
        <v>9556056268</v>
      </c>
      <c r="G2598" s="1">
        <v>44649</v>
      </c>
      <c r="H2598" t="str">
        <f>"93217"</f>
        <v>93217</v>
      </c>
      <c r="I2598">
        <v>1</v>
      </c>
      <c r="J2598">
        <v>420</v>
      </c>
      <c r="K2598">
        <v>0</v>
      </c>
      <c r="L2598">
        <v>327.60000000000002</v>
      </c>
    </row>
    <row r="2599" spans="1:12" x14ac:dyDescent="0.25">
      <c r="A2599" t="str">
        <f t="shared" si="557"/>
        <v>89301000</v>
      </c>
      <c r="B2599" t="str">
        <f t="shared" si="569"/>
        <v>94101000</v>
      </c>
      <c r="C2599" t="str">
        <f t="shared" si="570"/>
        <v>94101858</v>
      </c>
      <c r="D2599" t="str">
        <f t="shared" si="564"/>
        <v>801</v>
      </c>
      <c r="E2599" t="str">
        <f t="shared" si="571"/>
        <v>89301082</v>
      </c>
      <c r="F2599" t="str">
        <f t="shared" si="572"/>
        <v>9556056268</v>
      </c>
      <c r="G2599" s="1">
        <v>44649</v>
      </c>
      <c r="H2599" t="str">
        <f>"93245"</f>
        <v>93245</v>
      </c>
      <c r="I2599">
        <v>1</v>
      </c>
      <c r="J2599">
        <v>190</v>
      </c>
      <c r="K2599">
        <v>0</v>
      </c>
      <c r="L2599">
        <v>148.19999999999999</v>
      </c>
    </row>
    <row r="2600" spans="1:12" x14ac:dyDescent="0.25">
      <c r="A2600" t="str">
        <f t="shared" si="557"/>
        <v>89301000</v>
      </c>
      <c r="B2600" t="str">
        <f t="shared" si="569"/>
        <v>94101000</v>
      </c>
      <c r="C2600" t="str">
        <f t="shared" si="570"/>
        <v>94101858</v>
      </c>
      <c r="D2600" t="str">
        <f t="shared" si="564"/>
        <v>801</v>
      </c>
      <c r="E2600" t="str">
        <f t="shared" si="571"/>
        <v>89301082</v>
      </c>
      <c r="F2600" t="str">
        <f t="shared" si="572"/>
        <v>9556056268</v>
      </c>
      <c r="G2600" s="1">
        <v>44649</v>
      </c>
      <c r="H2600" t="str">
        <f>"93189"</f>
        <v>93189</v>
      </c>
      <c r="I2600">
        <v>1</v>
      </c>
      <c r="J2600">
        <v>189</v>
      </c>
      <c r="K2600">
        <v>0</v>
      </c>
      <c r="L2600">
        <v>147.41999999999999</v>
      </c>
    </row>
    <row r="2601" spans="1:12" x14ac:dyDescent="0.25">
      <c r="A2601" t="str">
        <f t="shared" si="557"/>
        <v>89301000</v>
      </c>
      <c r="B2601" t="str">
        <f t="shared" si="569"/>
        <v>94101000</v>
      </c>
      <c r="C2601" t="str">
        <f t="shared" si="570"/>
        <v>94101858</v>
      </c>
      <c r="D2601" t="str">
        <f t="shared" si="564"/>
        <v>801</v>
      </c>
      <c r="E2601" t="str">
        <f t="shared" si="571"/>
        <v>89301082</v>
      </c>
      <c r="F2601" t="str">
        <f t="shared" si="572"/>
        <v>9556056268</v>
      </c>
      <c r="G2601" s="1">
        <v>44649</v>
      </c>
      <c r="H2601" t="str">
        <f>"93195"</f>
        <v>93195</v>
      </c>
      <c r="I2601">
        <v>1</v>
      </c>
      <c r="J2601">
        <v>181</v>
      </c>
      <c r="K2601">
        <v>0</v>
      </c>
      <c r="L2601">
        <v>141.18</v>
      </c>
    </row>
    <row r="2602" spans="1:12" x14ac:dyDescent="0.25">
      <c r="A2602" t="str">
        <f t="shared" si="557"/>
        <v>89301000</v>
      </c>
      <c r="B2602" t="str">
        <f t="shared" si="569"/>
        <v>94101000</v>
      </c>
      <c r="C2602" t="str">
        <f t="shared" si="570"/>
        <v>94101858</v>
      </c>
      <c r="D2602" t="str">
        <f t="shared" si="564"/>
        <v>801</v>
      </c>
      <c r="E2602" t="str">
        <f t="shared" si="571"/>
        <v>89301082</v>
      </c>
      <c r="F2602" t="str">
        <f t="shared" si="572"/>
        <v>9556056268</v>
      </c>
      <c r="G2602" s="1">
        <v>44649</v>
      </c>
      <c r="H2602" t="str">
        <f>"09119"</f>
        <v>09119</v>
      </c>
      <c r="I2602">
        <v>1</v>
      </c>
      <c r="J2602">
        <v>42</v>
      </c>
      <c r="K2602">
        <v>0</v>
      </c>
      <c r="L2602">
        <v>32.76</v>
      </c>
    </row>
    <row r="2603" spans="1:12" x14ac:dyDescent="0.25">
      <c r="A2603" t="str">
        <f t="shared" si="557"/>
        <v>89301000</v>
      </c>
      <c r="B2603" t="str">
        <f t="shared" si="569"/>
        <v>94101000</v>
      </c>
      <c r="C2603" t="str">
        <f t="shared" si="570"/>
        <v>94101858</v>
      </c>
      <c r="D2603" t="str">
        <f t="shared" si="564"/>
        <v>801</v>
      </c>
      <c r="E2603" t="str">
        <f t="shared" si="571"/>
        <v>89301082</v>
      </c>
      <c r="F2603" t="str">
        <f t="shared" si="572"/>
        <v>9556056268</v>
      </c>
      <c r="G2603" s="1">
        <v>44649</v>
      </c>
      <c r="H2603" t="str">
        <f>"97111"</f>
        <v>97111</v>
      </c>
      <c r="I2603">
        <v>1</v>
      </c>
      <c r="J2603">
        <v>18</v>
      </c>
      <c r="K2603">
        <v>0</v>
      </c>
      <c r="L2603">
        <v>14.04</v>
      </c>
    </row>
    <row r="2604" spans="1:12" x14ac:dyDescent="0.25">
      <c r="A2604" t="str">
        <f t="shared" si="557"/>
        <v>89301000</v>
      </c>
      <c r="B2604" t="str">
        <f t="shared" ref="B2604:B2610" si="573">"89903000"</f>
        <v>89903000</v>
      </c>
      <c r="C2604" t="str">
        <f t="shared" ref="C2604:C2610" si="574">"89903503"</f>
        <v>89903503</v>
      </c>
      <c r="D2604" t="str">
        <f t="shared" ref="D2604:D2612" si="575">"809"</f>
        <v>809</v>
      </c>
      <c r="E2604" t="str">
        <f t="shared" ref="E2604:E2610" si="576">"89301062"</f>
        <v>89301062</v>
      </c>
      <c r="F2604" t="str">
        <f t="shared" ref="F2604:F2610" si="577">"496016158"</f>
        <v>496016158</v>
      </c>
      <c r="G2604" s="1">
        <v>44622</v>
      </c>
      <c r="H2604" t="str">
        <f>"09233"</f>
        <v>09233</v>
      </c>
      <c r="I2604">
        <v>1</v>
      </c>
      <c r="J2604">
        <v>99</v>
      </c>
      <c r="K2604">
        <v>0</v>
      </c>
      <c r="L2604">
        <v>138.6</v>
      </c>
    </row>
    <row r="2605" spans="1:12" x14ac:dyDescent="0.25">
      <c r="A2605" t="str">
        <f t="shared" si="557"/>
        <v>89301000</v>
      </c>
      <c r="B2605" t="str">
        <f t="shared" si="573"/>
        <v>89903000</v>
      </c>
      <c r="C2605" t="str">
        <f t="shared" si="574"/>
        <v>89903503</v>
      </c>
      <c r="D2605" t="str">
        <f t="shared" si="575"/>
        <v>809</v>
      </c>
      <c r="E2605" t="str">
        <f t="shared" si="576"/>
        <v>89301062</v>
      </c>
      <c r="F2605" t="str">
        <f t="shared" si="577"/>
        <v>496016158</v>
      </c>
      <c r="G2605" s="1">
        <v>44622</v>
      </c>
      <c r="H2605" t="str">
        <f>"89311"</f>
        <v>89311</v>
      </c>
      <c r="I2605">
        <v>1</v>
      </c>
      <c r="J2605">
        <v>936</v>
      </c>
      <c r="K2605">
        <v>0</v>
      </c>
      <c r="L2605">
        <v>1310.4000000000001</v>
      </c>
    </row>
    <row r="2606" spans="1:12" x14ac:dyDescent="0.25">
      <c r="A2606" t="str">
        <f t="shared" si="557"/>
        <v>89301000</v>
      </c>
      <c r="B2606" t="str">
        <f t="shared" si="573"/>
        <v>89903000</v>
      </c>
      <c r="C2606" t="str">
        <f t="shared" si="574"/>
        <v>89903503</v>
      </c>
      <c r="D2606" t="str">
        <f t="shared" si="575"/>
        <v>809</v>
      </c>
      <c r="E2606" t="str">
        <f t="shared" si="576"/>
        <v>89301062</v>
      </c>
      <c r="F2606" t="str">
        <f t="shared" si="577"/>
        <v>496016158</v>
      </c>
      <c r="G2606" s="1">
        <v>44622</v>
      </c>
      <c r="H2606" t="str">
        <f>"89615"</f>
        <v>89615</v>
      </c>
      <c r="I2606">
        <v>1</v>
      </c>
      <c r="J2606">
        <v>2170</v>
      </c>
      <c r="K2606">
        <v>0</v>
      </c>
      <c r="L2606">
        <v>1302</v>
      </c>
    </row>
    <row r="2607" spans="1:12" x14ac:dyDescent="0.25">
      <c r="A2607" t="str">
        <f t="shared" si="557"/>
        <v>89301000</v>
      </c>
      <c r="B2607" t="str">
        <f t="shared" si="573"/>
        <v>89903000</v>
      </c>
      <c r="C2607" t="str">
        <f t="shared" si="574"/>
        <v>89903503</v>
      </c>
      <c r="D2607" t="str">
        <f t="shared" si="575"/>
        <v>809</v>
      </c>
      <c r="E2607" t="str">
        <f t="shared" si="576"/>
        <v>89301062</v>
      </c>
      <c r="F2607" t="str">
        <f t="shared" si="577"/>
        <v>496016158</v>
      </c>
      <c r="G2607" s="1">
        <v>44622</v>
      </c>
      <c r="H2607" t="str">
        <f>"0000502"</f>
        <v>0000502</v>
      </c>
      <c r="I2607">
        <v>0.1</v>
      </c>
      <c r="K2607">
        <v>6.97</v>
      </c>
      <c r="L2607">
        <v>6.97</v>
      </c>
    </row>
    <row r="2608" spans="1:12" x14ac:dyDescent="0.25">
      <c r="A2608" t="str">
        <f t="shared" si="557"/>
        <v>89301000</v>
      </c>
      <c r="B2608" t="str">
        <f t="shared" si="573"/>
        <v>89903000</v>
      </c>
      <c r="C2608" t="str">
        <f t="shared" si="574"/>
        <v>89903503</v>
      </c>
      <c r="D2608" t="str">
        <f t="shared" si="575"/>
        <v>809</v>
      </c>
      <c r="E2608" t="str">
        <f t="shared" si="576"/>
        <v>89301062</v>
      </c>
      <c r="F2608" t="str">
        <f t="shared" si="577"/>
        <v>496016158</v>
      </c>
      <c r="G2608" s="1">
        <v>44622</v>
      </c>
      <c r="H2608" t="str">
        <f>"0084090"</f>
        <v>0084090</v>
      </c>
      <c r="I2608">
        <v>0.1</v>
      </c>
      <c r="K2608">
        <v>8.52</v>
      </c>
      <c r="L2608">
        <v>8.52</v>
      </c>
    </row>
    <row r="2609" spans="1:12" x14ac:dyDescent="0.25">
      <c r="A2609" t="str">
        <f t="shared" si="557"/>
        <v>89301000</v>
      </c>
      <c r="B2609" t="str">
        <f t="shared" si="573"/>
        <v>89903000</v>
      </c>
      <c r="C2609" t="str">
        <f t="shared" si="574"/>
        <v>89903503</v>
      </c>
      <c r="D2609" t="str">
        <f t="shared" si="575"/>
        <v>809</v>
      </c>
      <c r="E2609" t="str">
        <f t="shared" si="576"/>
        <v>89301062</v>
      </c>
      <c r="F2609" t="str">
        <f t="shared" si="577"/>
        <v>496016158</v>
      </c>
      <c r="G2609" s="1">
        <v>44622</v>
      </c>
      <c r="H2609" t="str">
        <f>"0096251"</f>
        <v>0096251</v>
      </c>
      <c r="I2609">
        <v>8.0000000000000002E-3</v>
      </c>
      <c r="K2609">
        <v>9.36</v>
      </c>
      <c r="L2609">
        <v>9.36</v>
      </c>
    </row>
    <row r="2610" spans="1:12" x14ac:dyDescent="0.25">
      <c r="A2610" t="str">
        <f t="shared" si="557"/>
        <v>89301000</v>
      </c>
      <c r="B2610" t="str">
        <f t="shared" si="573"/>
        <v>89903000</v>
      </c>
      <c r="C2610" t="str">
        <f t="shared" si="574"/>
        <v>89903503</v>
      </c>
      <c r="D2610" t="str">
        <f t="shared" si="575"/>
        <v>809</v>
      </c>
      <c r="E2610" t="str">
        <f t="shared" si="576"/>
        <v>89301062</v>
      </c>
      <c r="F2610" t="str">
        <f t="shared" si="577"/>
        <v>496016158</v>
      </c>
      <c r="G2610" s="1">
        <v>44622</v>
      </c>
      <c r="H2610" t="str">
        <f>"0194183"</f>
        <v>0194183</v>
      </c>
      <c r="I2610">
        <v>1</v>
      </c>
      <c r="K2610">
        <v>53</v>
      </c>
      <c r="L2610">
        <v>53</v>
      </c>
    </row>
    <row r="2611" spans="1:12" x14ac:dyDescent="0.25">
      <c r="A2611" t="str">
        <f t="shared" si="557"/>
        <v>89301000</v>
      </c>
      <c r="B2611" t="str">
        <f>"94682000"</f>
        <v>94682000</v>
      </c>
      <c r="C2611" t="str">
        <f>"94682000"</f>
        <v>94682000</v>
      </c>
      <c r="D2611" t="str">
        <f t="shared" si="575"/>
        <v>809</v>
      </c>
      <c r="E2611" t="str">
        <f>"89301172"</f>
        <v>89301172</v>
      </c>
      <c r="F2611" t="str">
        <f>"0356266295"</f>
        <v>0356266295</v>
      </c>
      <c r="G2611" s="1">
        <v>44635</v>
      </c>
      <c r="H2611" t="str">
        <f>"89513"</f>
        <v>89513</v>
      </c>
      <c r="I2611">
        <v>1</v>
      </c>
      <c r="J2611">
        <v>371</v>
      </c>
      <c r="K2611">
        <v>0</v>
      </c>
      <c r="L2611">
        <v>519.4</v>
      </c>
    </row>
    <row r="2612" spans="1:12" x14ac:dyDescent="0.25">
      <c r="A2612" t="str">
        <f t="shared" si="557"/>
        <v>89301000</v>
      </c>
      <c r="B2612" t="str">
        <f>"94682000"</f>
        <v>94682000</v>
      </c>
      <c r="C2612" t="str">
        <f>"94682000"</f>
        <v>94682000</v>
      </c>
      <c r="D2612" t="str">
        <f t="shared" si="575"/>
        <v>809</v>
      </c>
      <c r="E2612" t="str">
        <f>"89301172"</f>
        <v>89301172</v>
      </c>
      <c r="F2612" t="str">
        <f>"0356266295"</f>
        <v>0356266295</v>
      </c>
      <c r="G2612" s="1">
        <v>44635</v>
      </c>
      <c r="H2612" t="str">
        <f>"89514"</f>
        <v>89514</v>
      </c>
      <c r="I2612">
        <v>1</v>
      </c>
      <c r="J2612">
        <v>371</v>
      </c>
      <c r="K2612">
        <v>0</v>
      </c>
      <c r="L2612">
        <v>519.4</v>
      </c>
    </row>
    <row r="2613" spans="1:12" x14ac:dyDescent="0.25">
      <c r="A2613" t="str">
        <f t="shared" si="557"/>
        <v>89301000</v>
      </c>
      <c r="B2613" t="str">
        <f t="shared" ref="B2613:B2644" si="578">"78006000"</f>
        <v>78006000</v>
      </c>
      <c r="C2613" t="str">
        <f>"78006207"</f>
        <v>78006207</v>
      </c>
      <c r="D2613" t="str">
        <f>"813"</f>
        <v>813</v>
      </c>
      <c r="E2613" t="str">
        <f>"89301167"</f>
        <v>89301167</v>
      </c>
      <c r="F2613" t="str">
        <f>"6459211253"</f>
        <v>6459211253</v>
      </c>
      <c r="G2613" s="1">
        <v>44627</v>
      </c>
      <c r="H2613" t="str">
        <f>"91153"</f>
        <v>91153</v>
      </c>
      <c r="I2613">
        <v>1</v>
      </c>
      <c r="J2613">
        <v>152</v>
      </c>
      <c r="K2613">
        <v>0</v>
      </c>
      <c r="L2613">
        <v>118.56</v>
      </c>
    </row>
    <row r="2614" spans="1:12" x14ac:dyDescent="0.25">
      <c r="A2614" t="str">
        <f t="shared" si="557"/>
        <v>89301000</v>
      </c>
      <c r="B2614" t="str">
        <f t="shared" si="578"/>
        <v>78006000</v>
      </c>
      <c r="C2614" t="str">
        <f>"78006831"</f>
        <v>78006831</v>
      </c>
      <c r="D2614" t="str">
        <f t="shared" ref="D2614:D2633" si="579">"809"</f>
        <v>809</v>
      </c>
      <c r="E2614" t="str">
        <f>"89301212"</f>
        <v>89301212</v>
      </c>
      <c r="F2614" t="str">
        <f>"5901291484"</f>
        <v>5901291484</v>
      </c>
      <c r="G2614" s="1">
        <v>44622</v>
      </c>
      <c r="H2614" t="str">
        <f>"89513"</f>
        <v>89513</v>
      </c>
      <c r="I2614">
        <v>1</v>
      </c>
      <c r="J2614">
        <v>371</v>
      </c>
      <c r="K2614">
        <v>0</v>
      </c>
      <c r="L2614">
        <v>519.4</v>
      </c>
    </row>
    <row r="2615" spans="1:12" x14ac:dyDescent="0.25">
      <c r="A2615" t="str">
        <f t="shared" si="557"/>
        <v>89301000</v>
      </c>
      <c r="B2615" t="str">
        <f t="shared" si="578"/>
        <v>78006000</v>
      </c>
      <c r="C2615" t="str">
        <f>"78006831"</f>
        <v>78006831</v>
      </c>
      <c r="D2615" t="str">
        <f t="shared" si="579"/>
        <v>809</v>
      </c>
      <c r="E2615" t="str">
        <f>"89301212"</f>
        <v>89301212</v>
      </c>
      <c r="F2615" t="str">
        <f>"5901291484"</f>
        <v>5901291484</v>
      </c>
      <c r="G2615" s="1">
        <v>44622</v>
      </c>
      <c r="H2615" t="str">
        <f>"89514"</f>
        <v>89514</v>
      </c>
      <c r="I2615">
        <v>1</v>
      </c>
      <c r="J2615">
        <v>371</v>
      </c>
      <c r="K2615">
        <v>0</v>
      </c>
      <c r="L2615">
        <v>519.4</v>
      </c>
    </row>
    <row r="2616" spans="1:12" x14ac:dyDescent="0.25">
      <c r="A2616" t="str">
        <f t="shared" si="557"/>
        <v>89301000</v>
      </c>
      <c r="B2616" t="str">
        <f t="shared" si="578"/>
        <v>78006000</v>
      </c>
      <c r="C2616" t="str">
        <f>"78006831"</f>
        <v>78006831</v>
      </c>
      <c r="D2616" t="str">
        <f t="shared" si="579"/>
        <v>809</v>
      </c>
      <c r="E2616" t="str">
        <f>"89301047"</f>
        <v>89301047</v>
      </c>
      <c r="F2616" t="str">
        <f>"1708200109"</f>
        <v>1708200109</v>
      </c>
      <c r="G2616" s="1">
        <v>44630</v>
      </c>
      <c r="H2616" t="str">
        <f>"09135"</f>
        <v>09135</v>
      </c>
      <c r="I2616">
        <v>1</v>
      </c>
      <c r="J2616">
        <v>174</v>
      </c>
      <c r="K2616">
        <v>0</v>
      </c>
      <c r="L2616">
        <v>243.6</v>
      </c>
    </row>
    <row r="2617" spans="1:12" x14ac:dyDescent="0.25">
      <c r="A2617" t="str">
        <f t="shared" si="557"/>
        <v>89301000</v>
      </c>
      <c r="B2617" t="str">
        <f t="shared" si="578"/>
        <v>78006000</v>
      </c>
      <c r="C2617" t="str">
        <f>"78006831"</f>
        <v>78006831</v>
      </c>
      <c r="D2617" t="str">
        <f t="shared" si="579"/>
        <v>809</v>
      </c>
      <c r="E2617" t="str">
        <f t="shared" ref="E2617:E2622" si="580">"89301212"</f>
        <v>89301212</v>
      </c>
      <c r="F2617" t="str">
        <f>"515119038"</f>
        <v>515119038</v>
      </c>
      <c r="G2617" s="1">
        <v>44644</v>
      </c>
      <c r="H2617" t="str">
        <f>"89513"</f>
        <v>89513</v>
      </c>
      <c r="I2617">
        <v>1</v>
      </c>
      <c r="J2617">
        <v>371</v>
      </c>
      <c r="K2617">
        <v>0</v>
      </c>
      <c r="L2617">
        <v>519.4</v>
      </c>
    </row>
    <row r="2618" spans="1:12" x14ac:dyDescent="0.25">
      <c r="A2618" t="str">
        <f t="shared" si="557"/>
        <v>89301000</v>
      </c>
      <c r="B2618" t="str">
        <f t="shared" si="578"/>
        <v>78006000</v>
      </c>
      <c r="C2618" t="str">
        <f>"78006831"</f>
        <v>78006831</v>
      </c>
      <c r="D2618" t="str">
        <f t="shared" si="579"/>
        <v>809</v>
      </c>
      <c r="E2618" t="str">
        <f t="shared" si="580"/>
        <v>89301212</v>
      </c>
      <c r="F2618" t="str">
        <f>"515119038"</f>
        <v>515119038</v>
      </c>
      <c r="G2618" s="1">
        <v>44644</v>
      </c>
      <c r="H2618" t="str">
        <f>"89514"</f>
        <v>89514</v>
      </c>
      <c r="I2618">
        <v>1</v>
      </c>
      <c r="J2618">
        <v>371</v>
      </c>
      <c r="K2618">
        <v>0</v>
      </c>
      <c r="L2618">
        <v>519.4</v>
      </c>
    </row>
    <row r="2619" spans="1:12" x14ac:dyDescent="0.25">
      <c r="A2619" t="str">
        <f t="shared" si="557"/>
        <v>89301000</v>
      </c>
      <c r="B2619" t="str">
        <f t="shared" si="578"/>
        <v>78006000</v>
      </c>
      <c r="C2619" t="str">
        <f>"78006531"</f>
        <v>78006531</v>
      </c>
      <c r="D2619" t="str">
        <f t="shared" si="579"/>
        <v>809</v>
      </c>
      <c r="E2619" t="str">
        <f t="shared" si="580"/>
        <v>89301212</v>
      </c>
      <c r="F2619" t="str">
        <f>"535414122"</f>
        <v>535414122</v>
      </c>
      <c r="G2619" s="1">
        <v>44645</v>
      </c>
      <c r="H2619" t="str">
        <f>"89611"</f>
        <v>89611</v>
      </c>
      <c r="I2619">
        <v>2</v>
      </c>
      <c r="J2619">
        <v>4482</v>
      </c>
      <c r="K2619">
        <v>0</v>
      </c>
      <c r="L2619">
        <v>2689.2</v>
      </c>
    </row>
    <row r="2620" spans="1:12" x14ac:dyDescent="0.25">
      <c r="A2620" t="str">
        <f t="shared" si="557"/>
        <v>89301000</v>
      </c>
      <c r="B2620" t="str">
        <f t="shared" si="578"/>
        <v>78006000</v>
      </c>
      <c r="C2620" t="str">
        <f>"78006531"</f>
        <v>78006531</v>
      </c>
      <c r="D2620" t="str">
        <f t="shared" si="579"/>
        <v>809</v>
      </c>
      <c r="E2620" t="str">
        <f t="shared" si="580"/>
        <v>89301212</v>
      </c>
      <c r="F2620" t="str">
        <f>"535414122"</f>
        <v>535414122</v>
      </c>
      <c r="G2620" s="1">
        <v>44645</v>
      </c>
      <c r="H2620" t="str">
        <f>"0137480"</f>
        <v>0137480</v>
      </c>
      <c r="I2620">
        <v>0.2</v>
      </c>
      <c r="K2620">
        <v>1004.83</v>
      </c>
      <c r="L2620">
        <v>1004.83</v>
      </c>
    </row>
    <row r="2621" spans="1:12" x14ac:dyDescent="0.25">
      <c r="A2621" t="str">
        <f t="shared" si="557"/>
        <v>89301000</v>
      </c>
      <c r="B2621" t="str">
        <f t="shared" si="578"/>
        <v>78006000</v>
      </c>
      <c r="C2621" t="str">
        <f>"78006531"</f>
        <v>78006531</v>
      </c>
      <c r="D2621" t="str">
        <f t="shared" si="579"/>
        <v>809</v>
      </c>
      <c r="E2621" t="str">
        <f t="shared" si="580"/>
        <v>89301212</v>
      </c>
      <c r="F2621" t="str">
        <f>"535414122"</f>
        <v>535414122</v>
      </c>
      <c r="G2621" s="1">
        <v>44645</v>
      </c>
      <c r="H2621" t="str">
        <f>"0234021"</f>
        <v>0234021</v>
      </c>
      <c r="I2621">
        <v>2.5000000000000001E-2</v>
      </c>
      <c r="K2621">
        <v>2.44</v>
      </c>
      <c r="L2621">
        <v>2.44</v>
      </c>
    </row>
    <row r="2622" spans="1:12" x14ac:dyDescent="0.25">
      <c r="A2622" t="str">
        <f t="shared" si="557"/>
        <v>89301000</v>
      </c>
      <c r="B2622" t="str">
        <f t="shared" si="578"/>
        <v>78006000</v>
      </c>
      <c r="C2622" t="str">
        <f>"78006531"</f>
        <v>78006531</v>
      </c>
      <c r="D2622" t="str">
        <f t="shared" si="579"/>
        <v>809</v>
      </c>
      <c r="E2622" t="str">
        <f t="shared" si="580"/>
        <v>89301212</v>
      </c>
      <c r="F2622" t="str">
        <f>"535414122"</f>
        <v>535414122</v>
      </c>
      <c r="G2622" s="1">
        <v>44645</v>
      </c>
      <c r="H2622" t="str">
        <f>"0001733"</f>
        <v>0001733</v>
      </c>
      <c r="I2622">
        <v>0.3</v>
      </c>
      <c r="K2622">
        <v>146.19999999999999</v>
      </c>
      <c r="L2622">
        <v>146.19999999999999</v>
      </c>
    </row>
    <row r="2623" spans="1:12" x14ac:dyDescent="0.25">
      <c r="A2623" t="str">
        <f t="shared" si="557"/>
        <v>89301000</v>
      </c>
      <c r="B2623" t="str">
        <f t="shared" si="578"/>
        <v>78006000</v>
      </c>
      <c r="C2623" t="str">
        <f t="shared" ref="C2623:C2633" si="581">"78006231"</f>
        <v>78006231</v>
      </c>
      <c r="D2623" t="str">
        <f t="shared" si="579"/>
        <v>809</v>
      </c>
      <c r="E2623" t="str">
        <f>"89301132"</f>
        <v>89301132</v>
      </c>
      <c r="F2623" t="str">
        <f>"5958290778"</f>
        <v>5958290778</v>
      </c>
      <c r="G2623" s="1">
        <v>44623</v>
      </c>
      <c r="H2623" t="str">
        <f>"89615"</f>
        <v>89615</v>
      </c>
      <c r="I2623">
        <v>1</v>
      </c>
      <c r="J2623">
        <v>2170</v>
      </c>
      <c r="K2623">
        <v>0</v>
      </c>
      <c r="L2623">
        <v>1302</v>
      </c>
    </row>
    <row r="2624" spans="1:12" x14ac:dyDescent="0.25">
      <c r="A2624" t="str">
        <f t="shared" si="557"/>
        <v>89301000</v>
      </c>
      <c r="B2624" t="str">
        <f t="shared" si="578"/>
        <v>78006000</v>
      </c>
      <c r="C2624" t="str">
        <f t="shared" si="581"/>
        <v>78006231</v>
      </c>
      <c r="D2624" t="str">
        <f t="shared" si="579"/>
        <v>809</v>
      </c>
      <c r="E2624" t="str">
        <f t="shared" ref="E2624:E2633" si="582">"89301212"</f>
        <v>89301212</v>
      </c>
      <c r="F2624" t="str">
        <f>"525218220"</f>
        <v>525218220</v>
      </c>
      <c r="G2624" s="1">
        <v>44645</v>
      </c>
      <c r="H2624" t="str">
        <f>"89611"</f>
        <v>89611</v>
      </c>
      <c r="I2624">
        <v>1</v>
      </c>
      <c r="J2624">
        <v>2241</v>
      </c>
      <c r="K2624">
        <v>0</v>
      </c>
      <c r="L2624">
        <v>1344.6</v>
      </c>
    </row>
    <row r="2625" spans="1:12" x14ac:dyDescent="0.25">
      <c r="A2625" t="str">
        <f t="shared" si="557"/>
        <v>89301000</v>
      </c>
      <c r="B2625" t="str">
        <f t="shared" si="578"/>
        <v>78006000</v>
      </c>
      <c r="C2625" t="str">
        <f t="shared" si="581"/>
        <v>78006231</v>
      </c>
      <c r="D2625" t="str">
        <f t="shared" si="579"/>
        <v>809</v>
      </c>
      <c r="E2625" t="str">
        <f t="shared" si="582"/>
        <v>89301212</v>
      </c>
      <c r="F2625" t="str">
        <f>"525218220"</f>
        <v>525218220</v>
      </c>
      <c r="G2625" s="1">
        <v>44645</v>
      </c>
      <c r="H2625" t="str">
        <f>"0022075"</f>
        <v>0022075</v>
      </c>
      <c r="I2625">
        <v>1</v>
      </c>
      <c r="K2625">
        <v>1004.83</v>
      </c>
      <c r="L2625">
        <v>1004.83</v>
      </c>
    </row>
    <row r="2626" spans="1:12" x14ac:dyDescent="0.25">
      <c r="A2626" t="str">
        <f t="shared" ref="A2626:A2689" si="583">"89301000"</f>
        <v>89301000</v>
      </c>
      <c r="B2626" t="str">
        <f t="shared" si="578"/>
        <v>78006000</v>
      </c>
      <c r="C2626" t="str">
        <f t="shared" si="581"/>
        <v>78006231</v>
      </c>
      <c r="D2626" t="str">
        <f t="shared" si="579"/>
        <v>809</v>
      </c>
      <c r="E2626" t="str">
        <f t="shared" si="582"/>
        <v>89301212</v>
      </c>
      <c r="F2626" t="str">
        <f>"535416139"</f>
        <v>535416139</v>
      </c>
      <c r="G2626" s="1">
        <v>44627</v>
      </c>
      <c r="H2626" t="str">
        <f>"89131"</f>
        <v>89131</v>
      </c>
      <c r="I2626">
        <v>1</v>
      </c>
      <c r="J2626">
        <v>187</v>
      </c>
      <c r="K2626">
        <v>0</v>
      </c>
      <c r="L2626">
        <v>261.8</v>
      </c>
    </row>
    <row r="2627" spans="1:12" x14ac:dyDescent="0.25">
      <c r="A2627" t="str">
        <f t="shared" si="583"/>
        <v>89301000</v>
      </c>
      <c r="B2627" t="str">
        <f t="shared" si="578"/>
        <v>78006000</v>
      </c>
      <c r="C2627" t="str">
        <f t="shared" si="581"/>
        <v>78006231</v>
      </c>
      <c r="D2627" t="str">
        <f t="shared" si="579"/>
        <v>809</v>
      </c>
      <c r="E2627" t="str">
        <f t="shared" si="582"/>
        <v>89301212</v>
      </c>
      <c r="F2627" t="str">
        <f>"8654184913"</f>
        <v>8654184913</v>
      </c>
      <c r="G2627" s="1">
        <v>44622</v>
      </c>
      <c r="H2627" t="str">
        <f>"89513"</f>
        <v>89513</v>
      </c>
      <c r="I2627">
        <v>1</v>
      </c>
      <c r="J2627">
        <v>371</v>
      </c>
      <c r="K2627">
        <v>0</v>
      </c>
      <c r="L2627">
        <v>519.4</v>
      </c>
    </row>
    <row r="2628" spans="1:12" x14ac:dyDescent="0.25">
      <c r="A2628" t="str">
        <f t="shared" si="583"/>
        <v>89301000</v>
      </c>
      <c r="B2628" t="str">
        <f t="shared" si="578"/>
        <v>78006000</v>
      </c>
      <c r="C2628" t="str">
        <f t="shared" si="581"/>
        <v>78006231</v>
      </c>
      <c r="D2628" t="str">
        <f t="shared" si="579"/>
        <v>809</v>
      </c>
      <c r="E2628" t="str">
        <f t="shared" si="582"/>
        <v>89301212</v>
      </c>
      <c r="F2628" t="str">
        <f>"8654184913"</f>
        <v>8654184913</v>
      </c>
      <c r="G2628" s="1">
        <v>44622</v>
      </c>
      <c r="H2628" t="str">
        <f>"89514"</f>
        <v>89514</v>
      </c>
      <c r="I2628">
        <v>1</v>
      </c>
      <c r="J2628">
        <v>371</v>
      </c>
      <c r="K2628">
        <v>0</v>
      </c>
      <c r="L2628">
        <v>519.4</v>
      </c>
    </row>
    <row r="2629" spans="1:12" x14ac:dyDescent="0.25">
      <c r="A2629" t="str">
        <f t="shared" si="583"/>
        <v>89301000</v>
      </c>
      <c r="B2629" t="str">
        <f t="shared" si="578"/>
        <v>78006000</v>
      </c>
      <c r="C2629" t="str">
        <f t="shared" si="581"/>
        <v>78006231</v>
      </c>
      <c r="D2629" t="str">
        <f t="shared" si="579"/>
        <v>809</v>
      </c>
      <c r="E2629" t="str">
        <f t="shared" si="582"/>
        <v>89301212</v>
      </c>
      <c r="F2629" t="str">
        <f>"7561145350"</f>
        <v>7561145350</v>
      </c>
      <c r="G2629" s="1">
        <v>44635</v>
      </c>
      <c r="H2629" t="str">
        <f>"89512"</f>
        <v>89512</v>
      </c>
      <c r="I2629">
        <v>1</v>
      </c>
      <c r="J2629">
        <v>277</v>
      </c>
      <c r="K2629">
        <v>0</v>
      </c>
      <c r="L2629">
        <v>387.8</v>
      </c>
    </row>
    <row r="2630" spans="1:12" x14ac:dyDescent="0.25">
      <c r="A2630" t="str">
        <f t="shared" si="583"/>
        <v>89301000</v>
      </c>
      <c r="B2630" t="str">
        <f t="shared" si="578"/>
        <v>78006000</v>
      </c>
      <c r="C2630" t="str">
        <f t="shared" si="581"/>
        <v>78006231</v>
      </c>
      <c r="D2630" t="str">
        <f t="shared" si="579"/>
        <v>809</v>
      </c>
      <c r="E2630" t="str">
        <f t="shared" si="582"/>
        <v>89301212</v>
      </c>
      <c r="F2630" t="str">
        <f>"421028437"</f>
        <v>421028437</v>
      </c>
      <c r="G2630" s="1">
        <v>44645</v>
      </c>
      <c r="H2630" t="str">
        <f>"89513"</f>
        <v>89513</v>
      </c>
      <c r="I2630">
        <v>1</v>
      </c>
      <c r="J2630">
        <v>371</v>
      </c>
      <c r="K2630">
        <v>0</v>
      </c>
      <c r="L2630">
        <v>519.4</v>
      </c>
    </row>
    <row r="2631" spans="1:12" x14ac:dyDescent="0.25">
      <c r="A2631" t="str">
        <f t="shared" si="583"/>
        <v>89301000</v>
      </c>
      <c r="B2631" t="str">
        <f t="shared" si="578"/>
        <v>78006000</v>
      </c>
      <c r="C2631" t="str">
        <f t="shared" si="581"/>
        <v>78006231</v>
      </c>
      <c r="D2631" t="str">
        <f t="shared" si="579"/>
        <v>809</v>
      </c>
      <c r="E2631" t="str">
        <f t="shared" si="582"/>
        <v>89301212</v>
      </c>
      <c r="F2631" t="str">
        <f>"421028437"</f>
        <v>421028437</v>
      </c>
      <c r="G2631" s="1">
        <v>44645</v>
      </c>
      <c r="H2631" t="str">
        <f>"89514"</f>
        <v>89514</v>
      </c>
      <c r="I2631">
        <v>1</v>
      </c>
      <c r="J2631">
        <v>371</v>
      </c>
      <c r="K2631">
        <v>0</v>
      </c>
      <c r="L2631">
        <v>519.4</v>
      </c>
    </row>
    <row r="2632" spans="1:12" x14ac:dyDescent="0.25">
      <c r="A2632" t="str">
        <f t="shared" si="583"/>
        <v>89301000</v>
      </c>
      <c r="B2632" t="str">
        <f t="shared" si="578"/>
        <v>78006000</v>
      </c>
      <c r="C2632" t="str">
        <f t="shared" si="581"/>
        <v>78006231</v>
      </c>
      <c r="D2632" t="str">
        <f t="shared" si="579"/>
        <v>809</v>
      </c>
      <c r="E2632" t="str">
        <f t="shared" si="582"/>
        <v>89301212</v>
      </c>
      <c r="F2632" t="str">
        <f>"535528129"</f>
        <v>535528129</v>
      </c>
      <c r="G2632" s="1">
        <v>44649</v>
      </c>
      <c r="H2632" t="str">
        <f>"89513"</f>
        <v>89513</v>
      </c>
      <c r="I2632">
        <v>1</v>
      </c>
      <c r="J2632">
        <v>371</v>
      </c>
      <c r="K2632">
        <v>0</v>
      </c>
      <c r="L2632">
        <v>519.4</v>
      </c>
    </row>
    <row r="2633" spans="1:12" x14ac:dyDescent="0.25">
      <c r="A2633" t="str">
        <f t="shared" si="583"/>
        <v>89301000</v>
      </c>
      <c r="B2633" t="str">
        <f t="shared" si="578"/>
        <v>78006000</v>
      </c>
      <c r="C2633" t="str">
        <f t="shared" si="581"/>
        <v>78006231</v>
      </c>
      <c r="D2633" t="str">
        <f t="shared" si="579"/>
        <v>809</v>
      </c>
      <c r="E2633" t="str">
        <f t="shared" si="582"/>
        <v>89301212</v>
      </c>
      <c r="F2633" t="str">
        <f>"535528129"</f>
        <v>535528129</v>
      </c>
      <c r="G2633" s="1">
        <v>44649</v>
      </c>
      <c r="H2633" t="str">
        <f>"89514"</f>
        <v>89514</v>
      </c>
      <c r="I2633">
        <v>1</v>
      </c>
      <c r="J2633">
        <v>371</v>
      </c>
      <c r="K2633">
        <v>0</v>
      </c>
      <c r="L2633">
        <v>519.4</v>
      </c>
    </row>
    <row r="2634" spans="1:12" x14ac:dyDescent="0.25">
      <c r="A2634" t="str">
        <f t="shared" si="583"/>
        <v>89301000</v>
      </c>
      <c r="B2634" t="str">
        <f t="shared" si="578"/>
        <v>78006000</v>
      </c>
      <c r="C2634" t="str">
        <f t="shared" ref="C2634:C2645" si="584">"78006201"</f>
        <v>78006201</v>
      </c>
      <c r="D2634" t="str">
        <f t="shared" ref="D2634:D2645" si="585">"801"</f>
        <v>801</v>
      </c>
      <c r="E2634" t="str">
        <f>"89301202"</f>
        <v>89301202</v>
      </c>
      <c r="F2634" t="str">
        <f>"8407225310"</f>
        <v>8407225310</v>
      </c>
      <c r="G2634" s="1">
        <v>44629</v>
      </c>
      <c r="H2634" t="str">
        <f>"92169"</f>
        <v>92169</v>
      </c>
      <c r="I2634">
        <v>1</v>
      </c>
      <c r="J2634">
        <v>944</v>
      </c>
      <c r="K2634">
        <v>0</v>
      </c>
      <c r="L2634">
        <v>736.32</v>
      </c>
    </row>
    <row r="2635" spans="1:12" x14ac:dyDescent="0.25">
      <c r="A2635" t="str">
        <f t="shared" si="583"/>
        <v>89301000</v>
      </c>
      <c r="B2635" t="str">
        <f t="shared" si="578"/>
        <v>78006000</v>
      </c>
      <c r="C2635" t="str">
        <f t="shared" si="584"/>
        <v>78006201</v>
      </c>
      <c r="D2635" t="str">
        <f t="shared" si="585"/>
        <v>801</v>
      </c>
      <c r="E2635" t="str">
        <f>"89301171"</f>
        <v>89301171</v>
      </c>
      <c r="F2635" t="str">
        <f>"6755220670"</f>
        <v>6755220670</v>
      </c>
      <c r="G2635" s="1">
        <v>44623</v>
      </c>
      <c r="H2635" t="str">
        <f>"81703"</f>
        <v>81703</v>
      </c>
      <c r="I2635">
        <v>2</v>
      </c>
      <c r="J2635">
        <v>556</v>
      </c>
      <c r="K2635">
        <v>0</v>
      </c>
      <c r="L2635">
        <v>433.68</v>
      </c>
    </row>
    <row r="2636" spans="1:12" x14ac:dyDescent="0.25">
      <c r="A2636" t="str">
        <f t="shared" si="583"/>
        <v>89301000</v>
      </c>
      <c r="B2636" t="str">
        <f t="shared" si="578"/>
        <v>78006000</v>
      </c>
      <c r="C2636" t="str">
        <f t="shared" si="584"/>
        <v>78006201</v>
      </c>
      <c r="D2636" t="str">
        <f t="shared" si="585"/>
        <v>801</v>
      </c>
      <c r="E2636" t="str">
        <f>"89301171"</f>
        <v>89301171</v>
      </c>
      <c r="F2636" t="str">
        <f>"7057025360"</f>
        <v>7057025360</v>
      </c>
      <c r="G2636" s="1">
        <v>44648</v>
      </c>
      <c r="H2636" t="str">
        <f>"81703"</f>
        <v>81703</v>
      </c>
      <c r="I2636">
        <v>2</v>
      </c>
      <c r="J2636">
        <v>556</v>
      </c>
      <c r="K2636">
        <v>0</v>
      </c>
      <c r="L2636">
        <v>433.68</v>
      </c>
    </row>
    <row r="2637" spans="1:12" x14ac:dyDescent="0.25">
      <c r="A2637" t="str">
        <f t="shared" si="583"/>
        <v>89301000</v>
      </c>
      <c r="B2637" t="str">
        <f t="shared" si="578"/>
        <v>78006000</v>
      </c>
      <c r="C2637" t="str">
        <f t="shared" si="584"/>
        <v>78006201</v>
      </c>
      <c r="D2637" t="str">
        <f t="shared" si="585"/>
        <v>801</v>
      </c>
      <c r="E2637" t="str">
        <f>"89301171"</f>
        <v>89301171</v>
      </c>
      <c r="F2637" t="str">
        <f>"8857145770"</f>
        <v>8857145770</v>
      </c>
      <c r="G2637" s="1">
        <v>44648</v>
      </c>
      <c r="H2637" t="str">
        <f>"81703"</f>
        <v>81703</v>
      </c>
      <c r="I2637">
        <v>2</v>
      </c>
      <c r="J2637">
        <v>556</v>
      </c>
      <c r="K2637">
        <v>0</v>
      </c>
      <c r="L2637">
        <v>433.68</v>
      </c>
    </row>
    <row r="2638" spans="1:12" x14ac:dyDescent="0.25">
      <c r="A2638" t="str">
        <f t="shared" si="583"/>
        <v>89301000</v>
      </c>
      <c r="B2638" t="str">
        <f t="shared" si="578"/>
        <v>78006000</v>
      </c>
      <c r="C2638" t="str">
        <f t="shared" si="584"/>
        <v>78006201</v>
      </c>
      <c r="D2638" t="str">
        <f t="shared" si="585"/>
        <v>801</v>
      </c>
      <c r="E2638" t="str">
        <f>"89301171"</f>
        <v>89301171</v>
      </c>
      <c r="F2638" t="str">
        <f>"8611075770"</f>
        <v>8611075770</v>
      </c>
      <c r="G2638" s="1">
        <v>44630</v>
      </c>
      <c r="H2638" t="str">
        <f>"81703"</f>
        <v>81703</v>
      </c>
      <c r="I2638">
        <v>2</v>
      </c>
      <c r="J2638">
        <v>556</v>
      </c>
      <c r="K2638">
        <v>0</v>
      </c>
      <c r="L2638">
        <v>433.68</v>
      </c>
    </row>
    <row r="2639" spans="1:12" x14ac:dyDescent="0.25">
      <c r="A2639" t="str">
        <f t="shared" si="583"/>
        <v>89301000</v>
      </c>
      <c r="B2639" t="str">
        <f t="shared" si="578"/>
        <v>78006000</v>
      </c>
      <c r="C2639" t="str">
        <f t="shared" si="584"/>
        <v>78006201</v>
      </c>
      <c r="D2639" t="str">
        <f t="shared" si="585"/>
        <v>801</v>
      </c>
      <c r="E2639" t="str">
        <f>"89301171"</f>
        <v>89301171</v>
      </c>
      <c r="F2639" t="str">
        <f>"9159096144"</f>
        <v>9159096144</v>
      </c>
      <c r="G2639" s="1">
        <v>44630</v>
      </c>
      <c r="H2639" t="str">
        <f>"81703"</f>
        <v>81703</v>
      </c>
      <c r="I2639">
        <v>2</v>
      </c>
      <c r="J2639">
        <v>556</v>
      </c>
      <c r="K2639">
        <v>0</v>
      </c>
      <c r="L2639">
        <v>433.68</v>
      </c>
    </row>
    <row r="2640" spans="1:12" x14ac:dyDescent="0.25">
      <c r="A2640" t="str">
        <f t="shared" si="583"/>
        <v>89301000</v>
      </c>
      <c r="B2640" t="str">
        <f t="shared" si="578"/>
        <v>78006000</v>
      </c>
      <c r="C2640" t="str">
        <f t="shared" si="584"/>
        <v>78006201</v>
      </c>
      <c r="D2640" t="str">
        <f t="shared" si="585"/>
        <v>801</v>
      </c>
      <c r="E2640" t="str">
        <f>"89301202"</f>
        <v>89301202</v>
      </c>
      <c r="F2640" t="str">
        <f>"0061085728"</f>
        <v>0061085728</v>
      </c>
      <c r="G2640" s="1">
        <v>44650</v>
      </c>
      <c r="H2640" t="str">
        <f>"92169"</f>
        <v>92169</v>
      </c>
      <c r="I2640">
        <v>1</v>
      </c>
      <c r="J2640">
        <v>944</v>
      </c>
      <c r="K2640">
        <v>0</v>
      </c>
      <c r="L2640">
        <v>736.32</v>
      </c>
    </row>
    <row r="2641" spans="1:12" x14ac:dyDescent="0.25">
      <c r="A2641" t="str">
        <f t="shared" si="583"/>
        <v>89301000</v>
      </c>
      <c r="B2641" t="str">
        <f t="shared" si="578"/>
        <v>78006000</v>
      </c>
      <c r="C2641" t="str">
        <f t="shared" si="584"/>
        <v>78006201</v>
      </c>
      <c r="D2641" t="str">
        <f t="shared" si="585"/>
        <v>801</v>
      </c>
      <c r="E2641" t="str">
        <f>"89301202"</f>
        <v>89301202</v>
      </c>
      <c r="F2641" t="str">
        <f>"0061085728"</f>
        <v>0061085728</v>
      </c>
      <c r="G2641" s="1">
        <v>44650</v>
      </c>
      <c r="H2641" t="str">
        <f>"97111"</f>
        <v>97111</v>
      </c>
      <c r="I2641">
        <v>1</v>
      </c>
      <c r="J2641">
        <v>18</v>
      </c>
      <c r="K2641">
        <v>0</v>
      </c>
      <c r="L2641">
        <v>14.04</v>
      </c>
    </row>
    <row r="2642" spans="1:12" x14ac:dyDescent="0.25">
      <c r="A2642" t="str">
        <f t="shared" si="583"/>
        <v>89301000</v>
      </c>
      <c r="B2642" t="str">
        <f t="shared" si="578"/>
        <v>78006000</v>
      </c>
      <c r="C2642" t="str">
        <f t="shared" si="584"/>
        <v>78006201</v>
      </c>
      <c r="D2642" t="str">
        <f t="shared" si="585"/>
        <v>801</v>
      </c>
      <c r="E2642" t="str">
        <f>"89301171"</f>
        <v>89301171</v>
      </c>
      <c r="F2642" t="str">
        <f>"7912285315"</f>
        <v>7912285315</v>
      </c>
      <c r="G2642" s="1">
        <v>44622</v>
      </c>
      <c r="H2642" t="str">
        <f>"97111"</f>
        <v>97111</v>
      </c>
      <c r="I2642">
        <v>1</v>
      </c>
      <c r="J2642">
        <v>18</v>
      </c>
      <c r="K2642">
        <v>0</v>
      </c>
      <c r="L2642">
        <v>14.04</v>
      </c>
    </row>
    <row r="2643" spans="1:12" x14ac:dyDescent="0.25">
      <c r="A2643" t="str">
        <f t="shared" si="583"/>
        <v>89301000</v>
      </c>
      <c r="B2643" t="str">
        <f t="shared" si="578"/>
        <v>78006000</v>
      </c>
      <c r="C2643" t="str">
        <f t="shared" si="584"/>
        <v>78006201</v>
      </c>
      <c r="D2643" t="str">
        <f t="shared" si="585"/>
        <v>801</v>
      </c>
      <c r="E2643" t="str">
        <f>"89301171"</f>
        <v>89301171</v>
      </c>
      <c r="F2643" t="str">
        <f>"0157036154"</f>
        <v>0157036154</v>
      </c>
      <c r="G2643" s="1">
        <v>44622</v>
      </c>
      <c r="H2643" t="str">
        <f>"97111"</f>
        <v>97111</v>
      </c>
      <c r="I2643">
        <v>1</v>
      </c>
      <c r="J2643">
        <v>18</v>
      </c>
      <c r="K2643">
        <v>0</v>
      </c>
      <c r="L2643">
        <v>14.04</v>
      </c>
    </row>
    <row r="2644" spans="1:12" x14ac:dyDescent="0.25">
      <c r="A2644" t="str">
        <f t="shared" si="583"/>
        <v>89301000</v>
      </c>
      <c r="B2644" t="str">
        <f t="shared" si="578"/>
        <v>78006000</v>
      </c>
      <c r="C2644" t="str">
        <f t="shared" si="584"/>
        <v>78006201</v>
      </c>
      <c r="D2644" t="str">
        <f t="shared" si="585"/>
        <v>801</v>
      </c>
      <c r="E2644" t="str">
        <f>"89301171"</f>
        <v>89301171</v>
      </c>
      <c r="F2644" t="str">
        <f>"9754275003"</f>
        <v>9754275003</v>
      </c>
      <c r="G2644" s="1">
        <v>44622</v>
      </c>
      <c r="H2644" t="str">
        <f>"97111"</f>
        <v>97111</v>
      </c>
      <c r="I2644">
        <v>1</v>
      </c>
      <c r="J2644">
        <v>18</v>
      </c>
      <c r="K2644">
        <v>0</v>
      </c>
      <c r="L2644">
        <v>14.04</v>
      </c>
    </row>
    <row r="2645" spans="1:12" x14ac:dyDescent="0.25">
      <c r="A2645" t="str">
        <f t="shared" si="583"/>
        <v>89301000</v>
      </c>
      <c r="B2645" t="str">
        <f t="shared" ref="B2645:B2677" si="586">"78006000"</f>
        <v>78006000</v>
      </c>
      <c r="C2645" t="str">
        <f t="shared" si="584"/>
        <v>78006201</v>
      </c>
      <c r="D2645" t="str">
        <f t="shared" si="585"/>
        <v>801</v>
      </c>
      <c r="E2645" t="str">
        <f>"89301167"</f>
        <v>89301167</v>
      </c>
      <c r="F2645" t="str">
        <f>"6459211253"</f>
        <v>6459211253</v>
      </c>
      <c r="G2645" s="1">
        <v>44641</v>
      </c>
      <c r="H2645" t="str">
        <f>"81249"</f>
        <v>81249</v>
      </c>
      <c r="I2645">
        <v>1</v>
      </c>
      <c r="J2645">
        <v>333</v>
      </c>
      <c r="K2645">
        <v>0</v>
      </c>
      <c r="L2645">
        <v>259.74</v>
      </c>
    </row>
    <row r="2646" spans="1:12" x14ac:dyDescent="0.25">
      <c r="A2646" t="str">
        <f t="shared" si="583"/>
        <v>89301000</v>
      </c>
      <c r="B2646" t="str">
        <f t="shared" si="586"/>
        <v>78006000</v>
      </c>
      <c r="C2646" t="str">
        <f t="shared" ref="C2646:C2658" si="587">"78006207"</f>
        <v>78006207</v>
      </c>
      <c r="D2646" t="str">
        <f t="shared" ref="D2646:D2658" si="588">"813"</f>
        <v>813</v>
      </c>
      <c r="E2646" t="str">
        <f t="shared" ref="E2646:E2658" si="589">"89301171"</f>
        <v>89301171</v>
      </c>
      <c r="F2646" t="str">
        <f>"0110305745"</f>
        <v>0110305745</v>
      </c>
      <c r="G2646" s="1">
        <v>44650</v>
      </c>
      <c r="H2646" t="str">
        <f t="shared" ref="H2646:H2658" si="590">"91197"</f>
        <v>91197</v>
      </c>
      <c r="I2646">
        <v>6</v>
      </c>
      <c r="J2646">
        <v>6276</v>
      </c>
      <c r="K2646">
        <v>0</v>
      </c>
      <c r="L2646">
        <v>4895.28</v>
      </c>
    </row>
    <row r="2647" spans="1:12" x14ac:dyDescent="0.25">
      <c r="A2647" t="str">
        <f t="shared" si="583"/>
        <v>89301000</v>
      </c>
      <c r="B2647" t="str">
        <f t="shared" si="586"/>
        <v>78006000</v>
      </c>
      <c r="C2647" t="str">
        <f t="shared" si="587"/>
        <v>78006207</v>
      </c>
      <c r="D2647" t="str">
        <f t="shared" si="588"/>
        <v>813</v>
      </c>
      <c r="E2647" t="str">
        <f t="shared" si="589"/>
        <v>89301171</v>
      </c>
      <c r="F2647" t="str">
        <f>"440426442"</f>
        <v>440426442</v>
      </c>
      <c r="G2647" s="1">
        <v>44622</v>
      </c>
      <c r="H2647" t="str">
        <f t="shared" si="590"/>
        <v>91197</v>
      </c>
      <c r="I2647">
        <v>6</v>
      </c>
      <c r="J2647">
        <v>6276</v>
      </c>
      <c r="K2647">
        <v>0</v>
      </c>
      <c r="L2647">
        <v>4895.28</v>
      </c>
    </row>
    <row r="2648" spans="1:12" x14ac:dyDescent="0.25">
      <c r="A2648" t="str">
        <f t="shared" si="583"/>
        <v>89301000</v>
      </c>
      <c r="B2648" t="str">
        <f t="shared" si="586"/>
        <v>78006000</v>
      </c>
      <c r="C2648" t="str">
        <f t="shared" si="587"/>
        <v>78006207</v>
      </c>
      <c r="D2648" t="str">
        <f t="shared" si="588"/>
        <v>813</v>
      </c>
      <c r="E2648" t="str">
        <f t="shared" si="589"/>
        <v>89301171</v>
      </c>
      <c r="F2648" t="str">
        <f>"8160065342"</f>
        <v>8160065342</v>
      </c>
      <c r="G2648" s="1">
        <v>44622</v>
      </c>
      <c r="H2648" t="str">
        <f t="shared" si="590"/>
        <v>91197</v>
      </c>
      <c r="I2648">
        <v>6</v>
      </c>
      <c r="J2648">
        <v>6276</v>
      </c>
      <c r="K2648">
        <v>0</v>
      </c>
      <c r="L2648">
        <v>4895.28</v>
      </c>
    </row>
    <row r="2649" spans="1:12" x14ac:dyDescent="0.25">
      <c r="A2649" t="str">
        <f t="shared" si="583"/>
        <v>89301000</v>
      </c>
      <c r="B2649" t="str">
        <f t="shared" si="586"/>
        <v>78006000</v>
      </c>
      <c r="C2649" t="str">
        <f t="shared" si="587"/>
        <v>78006207</v>
      </c>
      <c r="D2649" t="str">
        <f t="shared" si="588"/>
        <v>813</v>
      </c>
      <c r="E2649" t="str">
        <f t="shared" si="589"/>
        <v>89301171</v>
      </c>
      <c r="F2649" t="str">
        <f>"7912285315"</f>
        <v>7912285315</v>
      </c>
      <c r="G2649" s="1">
        <v>44622</v>
      </c>
      <c r="H2649" t="str">
        <f t="shared" si="590"/>
        <v>91197</v>
      </c>
      <c r="I2649">
        <v>6</v>
      </c>
      <c r="J2649">
        <v>6276</v>
      </c>
      <c r="K2649">
        <v>0</v>
      </c>
      <c r="L2649">
        <v>4895.28</v>
      </c>
    </row>
    <row r="2650" spans="1:12" x14ac:dyDescent="0.25">
      <c r="A2650" t="str">
        <f t="shared" si="583"/>
        <v>89301000</v>
      </c>
      <c r="B2650" t="str">
        <f t="shared" si="586"/>
        <v>78006000</v>
      </c>
      <c r="C2650" t="str">
        <f t="shared" si="587"/>
        <v>78006207</v>
      </c>
      <c r="D2650" t="str">
        <f t="shared" si="588"/>
        <v>813</v>
      </c>
      <c r="E2650" t="str">
        <f t="shared" si="589"/>
        <v>89301171</v>
      </c>
      <c r="F2650" t="str">
        <f>"430313411"</f>
        <v>430313411</v>
      </c>
      <c r="G2650" s="1">
        <v>44650</v>
      </c>
      <c r="H2650" t="str">
        <f t="shared" si="590"/>
        <v>91197</v>
      </c>
      <c r="I2650">
        <v>6</v>
      </c>
      <c r="J2650">
        <v>6276</v>
      </c>
      <c r="K2650">
        <v>0</v>
      </c>
      <c r="L2650">
        <v>4895.28</v>
      </c>
    </row>
    <row r="2651" spans="1:12" x14ac:dyDescent="0.25">
      <c r="A2651" t="str">
        <f t="shared" si="583"/>
        <v>89301000</v>
      </c>
      <c r="B2651" t="str">
        <f t="shared" si="586"/>
        <v>78006000</v>
      </c>
      <c r="C2651" t="str">
        <f t="shared" si="587"/>
        <v>78006207</v>
      </c>
      <c r="D2651" t="str">
        <f t="shared" si="588"/>
        <v>813</v>
      </c>
      <c r="E2651" t="str">
        <f t="shared" si="589"/>
        <v>89301171</v>
      </c>
      <c r="F2651" t="str">
        <f>"0157036154"</f>
        <v>0157036154</v>
      </c>
      <c r="G2651" s="1">
        <v>44622</v>
      </c>
      <c r="H2651" t="str">
        <f t="shared" si="590"/>
        <v>91197</v>
      </c>
      <c r="I2651">
        <v>6</v>
      </c>
      <c r="J2651">
        <v>6276</v>
      </c>
      <c r="K2651">
        <v>0</v>
      </c>
      <c r="L2651">
        <v>4895.28</v>
      </c>
    </row>
    <row r="2652" spans="1:12" x14ac:dyDescent="0.25">
      <c r="A2652" t="str">
        <f t="shared" si="583"/>
        <v>89301000</v>
      </c>
      <c r="B2652" t="str">
        <f t="shared" si="586"/>
        <v>78006000</v>
      </c>
      <c r="C2652" t="str">
        <f t="shared" si="587"/>
        <v>78006207</v>
      </c>
      <c r="D2652" t="str">
        <f t="shared" si="588"/>
        <v>813</v>
      </c>
      <c r="E2652" t="str">
        <f t="shared" si="589"/>
        <v>89301171</v>
      </c>
      <c r="F2652" t="str">
        <f>"9754275003"</f>
        <v>9754275003</v>
      </c>
      <c r="G2652" s="1">
        <v>44622</v>
      </c>
      <c r="H2652" t="str">
        <f t="shared" si="590"/>
        <v>91197</v>
      </c>
      <c r="I2652">
        <v>6</v>
      </c>
      <c r="J2652">
        <v>6276</v>
      </c>
      <c r="K2652">
        <v>0</v>
      </c>
      <c r="L2652">
        <v>4895.28</v>
      </c>
    </row>
    <row r="2653" spans="1:12" x14ac:dyDescent="0.25">
      <c r="A2653" t="str">
        <f t="shared" si="583"/>
        <v>89301000</v>
      </c>
      <c r="B2653" t="str">
        <f t="shared" si="586"/>
        <v>78006000</v>
      </c>
      <c r="C2653" t="str">
        <f t="shared" si="587"/>
        <v>78006207</v>
      </c>
      <c r="D2653" t="str">
        <f t="shared" si="588"/>
        <v>813</v>
      </c>
      <c r="E2653" t="str">
        <f t="shared" si="589"/>
        <v>89301171</v>
      </c>
      <c r="F2653" t="str">
        <f>"7161225302"</f>
        <v>7161225302</v>
      </c>
      <c r="G2653" s="1">
        <v>44622</v>
      </c>
      <c r="H2653" t="str">
        <f t="shared" si="590"/>
        <v>91197</v>
      </c>
      <c r="I2653">
        <v>6</v>
      </c>
      <c r="J2653">
        <v>6276</v>
      </c>
      <c r="K2653">
        <v>0</v>
      </c>
      <c r="L2653">
        <v>4895.28</v>
      </c>
    </row>
    <row r="2654" spans="1:12" x14ac:dyDescent="0.25">
      <c r="A2654" t="str">
        <f t="shared" si="583"/>
        <v>89301000</v>
      </c>
      <c r="B2654" t="str">
        <f t="shared" si="586"/>
        <v>78006000</v>
      </c>
      <c r="C2654" t="str">
        <f t="shared" si="587"/>
        <v>78006207</v>
      </c>
      <c r="D2654" t="str">
        <f t="shared" si="588"/>
        <v>813</v>
      </c>
      <c r="E2654" t="str">
        <f t="shared" si="589"/>
        <v>89301171</v>
      </c>
      <c r="F2654" t="str">
        <f>"7353225682"</f>
        <v>7353225682</v>
      </c>
      <c r="G2654" s="1">
        <v>44622</v>
      </c>
      <c r="H2654" t="str">
        <f t="shared" si="590"/>
        <v>91197</v>
      </c>
      <c r="I2654">
        <v>6</v>
      </c>
      <c r="J2654">
        <v>6276</v>
      </c>
      <c r="K2654">
        <v>0</v>
      </c>
      <c r="L2654">
        <v>4895.28</v>
      </c>
    </row>
    <row r="2655" spans="1:12" x14ac:dyDescent="0.25">
      <c r="A2655" t="str">
        <f t="shared" si="583"/>
        <v>89301000</v>
      </c>
      <c r="B2655" t="str">
        <f t="shared" si="586"/>
        <v>78006000</v>
      </c>
      <c r="C2655" t="str">
        <f t="shared" si="587"/>
        <v>78006207</v>
      </c>
      <c r="D2655" t="str">
        <f t="shared" si="588"/>
        <v>813</v>
      </c>
      <c r="E2655" t="str">
        <f t="shared" si="589"/>
        <v>89301171</v>
      </c>
      <c r="F2655" t="str">
        <f>"8611075770"</f>
        <v>8611075770</v>
      </c>
      <c r="G2655" s="1">
        <v>44642</v>
      </c>
      <c r="H2655" t="str">
        <f t="shared" si="590"/>
        <v>91197</v>
      </c>
      <c r="I2655">
        <v>6</v>
      </c>
      <c r="J2655">
        <v>6276</v>
      </c>
      <c r="K2655">
        <v>0</v>
      </c>
      <c r="L2655">
        <v>4895.28</v>
      </c>
    </row>
    <row r="2656" spans="1:12" x14ac:dyDescent="0.25">
      <c r="A2656" t="str">
        <f t="shared" si="583"/>
        <v>89301000</v>
      </c>
      <c r="B2656" t="str">
        <f t="shared" si="586"/>
        <v>78006000</v>
      </c>
      <c r="C2656" t="str">
        <f t="shared" si="587"/>
        <v>78006207</v>
      </c>
      <c r="D2656" t="str">
        <f t="shared" si="588"/>
        <v>813</v>
      </c>
      <c r="E2656" t="str">
        <f t="shared" si="589"/>
        <v>89301171</v>
      </c>
      <c r="F2656" t="str">
        <f>"9159096144"</f>
        <v>9159096144</v>
      </c>
      <c r="G2656" s="1">
        <v>44642</v>
      </c>
      <c r="H2656" t="str">
        <f t="shared" si="590"/>
        <v>91197</v>
      </c>
      <c r="I2656">
        <v>6</v>
      </c>
      <c r="J2656">
        <v>6276</v>
      </c>
      <c r="K2656">
        <v>0</v>
      </c>
      <c r="L2656">
        <v>4895.28</v>
      </c>
    </row>
    <row r="2657" spans="1:12" x14ac:dyDescent="0.25">
      <c r="A2657" t="str">
        <f t="shared" si="583"/>
        <v>89301000</v>
      </c>
      <c r="B2657" t="str">
        <f t="shared" si="586"/>
        <v>78006000</v>
      </c>
      <c r="C2657" t="str">
        <f t="shared" si="587"/>
        <v>78006207</v>
      </c>
      <c r="D2657" t="str">
        <f t="shared" si="588"/>
        <v>813</v>
      </c>
      <c r="E2657" t="str">
        <f t="shared" si="589"/>
        <v>89301171</v>
      </c>
      <c r="F2657" t="str">
        <f>"6356150493"</f>
        <v>6356150493</v>
      </c>
      <c r="G2657" s="1">
        <v>44622</v>
      </c>
      <c r="H2657" t="str">
        <f t="shared" si="590"/>
        <v>91197</v>
      </c>
      <c r="I2657">
        <v>6</v>
      </c>
      <c r="J2657">
        <v>6276</v>
      </c>
      <c r="K2657">
        <v>0</v>
      </c>
      <c r="L2657">
        <v>4895.28</v>
      </c>
    </row>
    <row r="2658" spans="1:12" x14ac:dyDescent="0.25">
      <c r="A2658" t="str">
        <f t="shared" si="583"/>
        <v>89301000</v>
      </c>
      <c r="B2658" t="str">
        <f t="shared" si="586"/>
        <v>78006000</v>
      </c>
      <c r="C2658" t="str">
        <f t="shared" si="587"/>
        <v>78006207</v>
      </c>
      <c r="D2658" t="str">
        <f t="shared" si="588"/>
        <v>813</v>
      </c>
      <c r="E2658" t="str">
        <f t="shared" si="589"/>
        <v>89301171</v>
      </c>
      <c r="F2658" t="str">
        <f>"6755220670"</f>
        <v>6755220670</v>
      </c>
      <c r="G2658" s="1">
        <v>44642</v>
      </c>
      <c r="H2658" t="str">
        <f t="shared" si="590"/>
        <v>91197</v>
      </c>
      <c r="I2658">
        <v>6</v>
      </c>
      <c r="J2658">
        <v>6276</v>
      </c>
      <c r="K2658">
        <v>0</v>
      </c>
      <c r="L2658">
        <v>4895.28</v>
      </c>
    </row>
    <row r="2659" spans="1:12" x14ac:dyDescent="0.25">
      <c r="A2659" t="str">
        <f t="shared" si="583"/>
        <v>89301000</v>
      </c>
      <c r="B2659" t="str">
        <f t="shared" si="586"/>
        <v>78006000</v>
      </c>
      <c r="C2659" t="str">
        <f t="shared" ref="C2659:C2667" si="591">"78006201"</f>
        <v>78006201</v>
      </c>
      <c r="D2659" t="str">
        <f t="shared" ref="D2659:D2667" si="592">"801"</f>
        <v>801</v>
      </c>
      <c r="E2659" t="str">
        <f t="shared" ref="E2659:E2673" si="593">"89301167"</f>
        <v>89301167</v>
      </c>
      <c r="F2659" t="str">
        <f t="shared" ref="F2659:F2675" si="594">"6459211253"</f>
        <v>6459211253</v>
      </c>
      <c r="G2659" s="1">
        <v>44627</v>
      </c>
      <c r="H2659" t="str">
        <f>"81329"</f>
        <v>81329</v>
      </c>
      <c r="I2659">
        <v>1</v>
      </c>
      <c r="J2659">
        <v>16</v>
      </c>
      <c r="K2659">
        <v>0</v>
      </c>
      <c r="L2659">
        <v>12.48</v>
      </c>
    </row>
    <row r="2660" spans="1:12" x14ac:dyDescent="0.25">
      <c r="A2660" t="str">
        <f t="shared" si="583"/>
        <v>89301000</v>
      </c>
      <c r="B2660" t="str">
        <f t="shared" si="586"/>
        <v>78006000</v>
      </c>
      <c r="C2660" t="str">
        <f t="shared" si="591"/>
        <v>78006201</v>
      </c>
      <c r="D2660" t="str">
        <f t="shared" si="592"/>
        <v>801</v>
      </c>
      <c r="E2660" t="str">
        <f t="shared" si="593"/>
        <v>89301167</v>
      </c>
      <c r="F2660" t="str">
        <f t="shared" si="594"/>
        <v>6459211253</v>
      </c>
      <c r="G2660" s="1">
        <v>44627</v>
      </c>
      <c r="H2660" t="str">
        <f>"81383"</f>
        <v>81383</v>
      </c>
      <c r="I2660">
        <v>1</v>
      </c>
      <c r="J2660">
        <v>23</v>
      </c>
      <c r="K2660">
        <v>0</v>
      </c>
      <c r="L2660">
        <v>17.940000000000001</v>
      </c>
    </row>
    <row r="2661" spans="1:12" x14ac:dyDescent="0.25">
      <c r="A2661" t="str">
        <f t="shared" si="583"/>
        <v>89301000</v>
      </c>
      <c r="B2661" t="str">
        <f t="shared" si="586"/>
        <v>78006000</v>
      </c>
      <c r="C2661" t="str">
        <f t="shared" si="591"/>
        <v>78006201</v>
      </c>
      <c r="D2661" t="str">
        <f t="shared" si="592"/>
        <v>801</v>
      </c>
      <c r="E2661" t="str">
        <f t="shared" si="593"/>
        <v>89301167</v>
      </c>
      <c r="F2661" t="str">
        <f t="shared" si="594"/>
        <v>6459211253</v>
      </c>
      <c r="G2661" s="1">
        <v>44627</v>
      </c>
      <c r="H2661" t="str">
        <f>"81625"</f>
        <v>81625</v>
      </c>
      <c r="I2661">
        <v>1</v>
      </c>
      <c r="J2661">
        <v>20</v>
      </c>
      <c r="K2661">
        <v>0</v>
      </c>
      <c r="L2661">
        <v>15.6</v>
      </c>
    </row>
    <row r="2662" spans="1:12" x14ac:dyDescent="0.25">
      <c r="A2662" t="str">
        <f t="shared" si="583"/>
        <v>89301000</v>
      </c>
      <c r="B2662" t="str">
        <f t="shared" si="586"/>
        <v>78006000</v>
      </c>
      <c r="C2662" t="str">
        <f t="shared" si="591"/>
        <v>78006201</v>
      </c>
      <c r="D2662" t="str">
        <f t="shared" si="592"/>
        <v>801</v>
      </c>
      <c r="E2662" t="str">
        <f t="shared" si="593"/>
        <v>89301167</v>
      </c>
      <c r="F2662" t="str">
        <f t="shared" si="594"/>
        <v>6459211253</v>
      </c>
      <c r="G2662" s="1">
        <v>44627</v>
      </c>
      <c r="H2662" t="str">
        <f>"97111"</f>
        <v>97111</v>
      </c>
      <c r="I2662">
        <v>1</v>
      </c>
      <c r="J2662">
        <v>18</v>
      </c>
      <c r="K2662">
        <v>0</v>
      </c>
      <c r="L2662">
        <v>14.04</v>
      </c>
    </row>
    <row r="2663" spans="1:12" x14ac:dyDescent="0.25">
      <c r="A2663" t="str">
        <f t="shared" si="583"/>
        <v>89301000</v>
      </c>
      <c r="B2663" t="str">
        <f t="shared" si="586"/>
        <v>78006000</v>
      </c>
      <c r="C2663" t="str">
        <f t="shared" si="591"/>
        <v>78006201</v>
      </c>
      <c r="D2663" t="str">
        <f t="shared" si="592"/>
        <v>801</v>
      </c>
      <c r="E2663" t="str">
        <f t="shared" si="593"/>
        <v>89301167</v>
      </c>
      <c r="F2663" t="str">
        <f t="shared" si="594"/>
        <v>6459211253</v>
      </c>
      <c r="G2663" s="1">
        <v>44641</v>
      </c>
      <c r="H2663" t="str">
        <f>"81383"</f>
        <v>81383</v>
      </c>
      <c r="I2663">
        <v>1</v>
      </c>
      <c r="J2663">
        <v>23</v>
      </c>
      <c r="K2663">
        <v>0</v>
      </c>
      <c r="L2663">
        <v>17.940000000000001</v>
      </c>
    </row>
    <row r="2664" spans="1:12" x14ac:dyDescent="0.25">
      <c r="A2664" t="str">
        <f t="shared" si="583"/>
        <v>89301000</v>
      </c>
      <c r="B2664" t="str">
        <f t="shared" si="586"/>
        <v>78006000</v>
      </c>
      <c r="C2664" t="str">
        <f t="shared" si="591"/>
        <v>78006201</v>
      </c>
      <c r="D2664" t="str">
        <f t="shared" si="592"/>
        <v>801</v>
      </c>
      <c r="E2664" t="str">
        <f t="shared" si="593"/>
        <v>89301167</v>
      </c>
      <c r="F2664" t="str">
        <f t="shared" si="594"/>
        <v>6459211253</v>
      </c>
      <c r="G2664" s="1">
        <v>44641</v>
      </c>
      <c r="H2664" t="str">
        <f>"81625"</f>
        <v>81625</v>
      </c>
      <c r="I2664">
        <v>1</v>
      </c>
      <c r="J2664">
        <v>20</v>
      </c>
      <c r="K2664">
        <v>0</v>
      </c>
      <c r="L2664">
        <v>15.6</v>
      </c>
    </row>
    <row r="2665" spans="1:12" x14ac:dyDescent="0.25">
      <c r="A2665" t="str">
        <f t="shared" si="583"/>
        <v>89301000</v>
      </c>
      <c r="B2665" t="str">
        <f t="shared" si="586"/>
        <v>78006000</v>
      </c>
      <c r="C2665" t="str">
        <f t="shared" si="591"/>
        <v>78006201</v>
      </c>
      <c r="D2665" t="str">
        <f t="shared" si="592"/>
        <v>801</v>
      </c>
      <c r="E2665" t="str">
        <f t="shared" si="593"/>
        <v>89301167</v>
      </c>
      <c r="F2665" t="str">
        <f t="shared" si="594"/>
        <v>6459211253</v>
      </c>
      <c r="G2665" s="1">
        <v>44641</v>
      </c>
      <c r="H2665" t="str">
        <f>"93189"</f>
        <v>93189</v>
      </c>
      <c r="I2665">
        <v>1</v>
      </c>
      <c r="J2665">
        <v>189</v>
      </c>
      <c r="K2665">
        <v>0</v>
      </c>
      <c r="L2665">
        <v>147.41999999999999</v>
      </c>
    </row>
    <row r="2666" spans="1:12" x14ac:dyDescent="0.25">
      <c r="A2666" t="str">
        <f t="shared" si="583"/>
        <v>89301000</v>
      </c>
      <c r="B2666" t="str">
        <f t="shared" si="586"/>
        <v>78006000</v>
      </c>
      <c r="C2666" t="str">
        <f t="shared" si="591"/>
        <v>78006201</v>
      </c>
      <c r="D2666" t="str">
        <f t="shared" si="592"/>
        <v>801</v>
      </c>
      <c r="E2666" t="str">
        <f t="shared" si="593"/>
        <v>89301167</v>
      </c>
      <c r="F2666" t="str">
        <f t="shared" si="594"/>
        <v>6459211253</v>
      </c>
      <c r="G2666" s="1">
        <v>44641</v>
      </c>
      <c r="H2666" t="str">
        <f>"93195"</f>
        <v>93195</v>
      </c>
      <c r="I2666">
        <v>1</v>
      </c>
      <c r="J2666">
        <v>181</v>
      </c>
      <c r="K2666">
        <v>0</v>
      </c>
      <c r="L2666">
        <v>141.18</v>
      </c>
    </row>
    <row r="2667" spans="1:12" x14ac:dyDescent="0.25">
      <c r="A2667" t="str">
        <f t="shared" si="583"/>
        <v>89301000</v>
      </c>
      <c r="B2667" t="str">
        <f t="shared" si="586"/>
        <v>78006000</v>
      </c>
      <c r="C2667" t="str">
        <f t="shared" si="591"/>
        <v>78006201</v>
      </c>
      <c r="D2667" t="str">
        <f t="shared" si="592"/>
        <v>801</v>
      </c>
      <c r="E2667" t="str">
        <f t="shared" si="593"/>
        <v>89301167</v>
      </c>
      <c r="F2667" t="str">
        <f t="shared" si="594"/>
        <v>6459211253</v>
      </c>
      <c r="G2667" s="1">
        <v>44641</v>
      </c>
      <c r="H2667" t="str">
        <f>"97111"</f>
        <v>97111</v>
      </c>
      <c r="I2667">
        <v>1</v>
      </c>
      <c r="J2667">
        <v>18</v>
      </c>
      <c r="K2667">
        <v>0</v>
      </c>
      <c r="L2667">
        <v>14.04</v>
      </c>
    </row>
    <row r="2668" spans="1:12" x14ac:dyDescent="0.25">
      <c r="A2668" t="str">
        <f t="shared" si="583"/>
        <v>89301000</v>
      </c>
      <c r="B2668" t="str">
        <f t="shared" si="586"/>
        <v>78006000</v>
      </c>
      <c r="C2668" t="str">
        <f t="shared" ref="C2668:C2675" si="595">"78006205"</f>
        <v>78006205</v>
      </c>
      <c r="D2668" t="str">
        <f t="shared" ref="D2668:D2675" si="596">"818"</f>
        <v>818</v>
      </c>
      <c r="E2668" t="str">
        <f t="shared" si="593"/>
        <v>89301167</v>
      </c>
      <c r="F2668" t="str">
        <f t="shared" si="594"/>
        <v>6459211253</v>
      </c>
      <c r="G2668" s="1">
        <v>44641</v>
      </c>
      <c r="H2668" t="str">
        <f>"96167"</f>
        <v>96167</v>
      </c>
      <c r="I2668">
        <v>1</v>
      </c>
      <c r="J2668">
        <v>67</v>
      </c>
      <c r="K2668">
        <v>0</v>
      </c>
      <c r="L2668">
        <v>60.97</v>
      </c>
    </row>
    <row r="2669" spans="1:12" x14ac:dyDescent="0.25">
      <c r="A2669" t="str">
        <f t="shared" si="583"/>
        <v>89301000</v>
      </c>
      <c r="B2669" t="str">
        <f t="shared" si="586"/>
        <v>78006000</v>
      </c>
      <c r="C2669" t="str">
        <f t="shared" si="595"/>
        <v>78006205</v>
      </c>
      <c r="D2669" t="str">
        <f t="shared" si="596"/>
        <v>818</v>
      </c>
      <c r="E2669" t="str">
        <f t="shared" si="593"/>
        <v>89301167</v>
      </c>
      <c r="F2669" t="str">
        <f t="shared" si="594"/>
        <v>6459211253</v>
      </c>
      <c r="G2669" s="1">
        <v>44641</v>
      </c>
      <c r="H2669" t="str">
        <f>"96315"</f>
        <v>96315</v>
      </c>
      <c r="I2669">
        <v>1</v>
      </c>
      <c r="J2669">
        <v>29</v>
      </c>
      <c r="K2669">
        <v>0</v>
      </c>
      <c r="L2669">
        <v>26.39</v>
      </c>
    </row>
    <row r="2670" spans="1:12" x14ac:dyDescent="0.25">
      <c r="A2670" t="str">
        <f t="shared" si="583"/>
        <v>89301000</v>
      </c>
      <c r="B2670" t="str">
        <f t="shared" si="586"/>
        <v>78006000</v>
      </c>
      <c r="C2670" t="str">
        <f t="shared" si="595"/>
        <v>78006205</v>
      </c>
      <c r="D2670" t="str">
        <f t="shared" si="596"/>
        <v>818</v>
      </c>
      <c r="E2670" t="str">
        <f t="shared" si="593"/>
        <v>89301167</v>
      </c>
      <c r="F2670" t="str">
        <f t="shared" si="594"/>
        <v>6459211253</v>
      </c>
      <c r="G2670" s="1">
        <v>44641</v>
      </c>
      <c r="H2670" t="str">
        <f>"96711"</f>
        <v>96711</v>
      </c>
      <c r="I2670">
        <v>1</v>
      </c>
      <c r="J2670">
        <v>27</v>
      </c>
      <c r="K2670">
        <v>0</v>
      </c>
      <c r="L2670">
        <v>24.57</v>
      </c>
    </row>
    <row r="2671" spans="1:12" x14ac:dyDescent="0.25">
      <c r="A2671" t="str">
        <f t="shared" si="583"/>
        <v>89301000</v>
      </c>
      <c r="B2671" t="str">
        <f t="shared" si="586"/>
        <v>78006000</v>
      </c>
      <c r="C2671" t="str">
        <f t="shared" si="595"/>
        <v>78006205</v>
      </c>
      <c r="D2671" t="str">
        <f t="shared" si="596"/>
        <v>818</v>
      </c>
      <c r="E2671" t="str">
        <f t="shared" si="593"/>
        <v>89301167</v>
      </c>
      <c r="F2671" t="str">
        <f t="shared" si="594"/>
        <v>6459211253</v>
      </c>
      <c r="G2671" s="1">
        <v>44627</v>
      </c>
      <c r="H2671" t="str">
        <f>"96167"</f>
        <v>96167</v>
      </c>
      <c r="I2671">
        <v>1</v>
      </c>
      <c r="J2671">
        <v>67</v>
      </c>
      <c r="K2671">
        <v>0</v>
      </c>
      <c r="L2671">
        <v>60.97</v>
      </c>
    </row>
    <row r="2672" spans="1:12" x14ac:dyDescent="0.25">
      <c r="A2672" t="str">
        <f t="shared" si="583"/>
        <v>89301000</v>
      </c>
      <c r="B2672" t="str">
        <f t="shared" si="586"/>
        <v>78006000</v>
      </c>
      <c r="C2672" t="str">
        <f t="shared" si="595"/>
        <v>78006205</v>
      </c>
      <c r="D2672" t="str">
        <f t="shared" si="596"/>
        <v>818</v>
      </c>
      <c r="E2672" t="str">
        <f t="shared" si="593"/>
        <v>89301167</v>
      </c>
      <c r="F2672" t="str">
        <f t="shared" si="594"/>
        <v>6459211253</v>
      </c>
      <c r="G2672" s="1">
        <v>44627</v>
      </c>
      <c r="H2672" t="str">
        <f>"96315"</f>
        <v>96315</v>
      </c>
      <c r="I2672">
        <v>1</v>
      </c>
      <c r="J2672">
        <v>29</v>
      </c>
      <c r="K2672">
        <v>0</v>
      </c>
      <c r="L2672">
        <v>26.39</v>
      </c>
    </row>
    <row r="2673" spans="1:12" x14ac:dyDescent="0.25">
      <c r="A2673" t="str">
        <f t="shared" si="583"/>
        <v>89301000</v>
      </c>
      <c r="B2673" t="str">
        <f t="shared" si="586"/>
        <v>78006000</v>
      </c>
      <c r="C2673" t="str">
        <f t="shared" si="595"/>
        <v>78006205</v>
      </c>
      <c r="D2673" t="str">
        <f t="shared" si="596"/>
        <v>818</v>
      </c>
      <c r="E2673" t="str">
        <f t="shared" si="593"/>
        <v>89301167</v>
      </c>
      <c r="F2673" t="str">
        <f t="shared" si="594"/>
        <v>6459211253</v>
      </c>
      <c r="G2673" s="1">
        <v>44627</v>
      </c>
      <c r="H2673" t="str">
        <f>"96711"</f>
        <v>96711</v>
      </c>
      <c r="I2673">
        <v>1</v>
      </c>
      <c r="J2673">
        <v>27</v>
      </c>
      <c r="K2673">
        <v>0</v>
      </c>
      <c r="L2673">
        <v>24.57</v>
      </c>
    </row>
    <row r="2674" spans="1:12" x14ac:dyDescent="0.25">
      <c r="A2674" t="str">
        <f t="shared" si="583"/>
        <v>89301000</v>
      </c>
      <c r="B2674" t="str">
        <f t="shared" si="586"/>
        <v>78006000</v>
      </c>
      <c r="C2674" t="str">
        <f t="shared" si="595"/>
        <v>78006205</v>
      </c>
      <c r="D2674" t="str">
        <f t="shared" si="596"/>
        <v>818</v>
      </c>
      <c r="E2674" t="str">
        <f>"89301162"</f>
        <v>89301162</v>
      </c>
      <c r="F2674" t="str">
        <f t="shared" si="594"/>
        <v>6459211253</v>
      </c>
      <c r="G2674" s="1">
        <v>44627</v>
      </c>
      <c r="H2674" t="str">
        <f>"96621"</f>
        <v>96621</v>
      </c>
      <c r="I2674">
        <v>1</v>
      </c>
      <c r="J2674">
        <v>79</v>
      </c>
      <c r="K2674">
        <v>0</v>
      </c>
      <c r="L2674">
        <v>71.89</v>
      </c>
    </row>
    <row r="2675" spans="1:12" x14ac:dyDescent="0.25">
      <c r="A2675" t="str">
        <f t="shared" si="583"/>
        <v>89301000</v>
      </c>
      <c r="B2675" t="str">
        <f t="shared" si="586"/>
        <v>78006000</v>
      </c>
      <c r="C2675" t="str">
        <f t="shared" si="595"/>
        <v>78006205</v>
      </c>
      <c r="D2675" t="str">
        <f t="shared" si="596"/>
        <v>818</v>
      </c>
      <c r="E2675" t="str">
        <f>"89301162"</f>
        <v>89301162</v>
      </c>
      <c r="F2675" t="str">
        <f t="shared" si="594"/>
        <v>6459211253</v>
      </c>
      <c r="G2675" s="1">
        <v>44627</v>
      </c>
      <c r="H2675" t="str">
        <f>"96623"</f>
        <v>96623</v>
      </c>
      <c r="I2675">
        <v>1</v>
      </c>
      <c r="J2675">
        <v>85</v>
      </c>
      <c r="K2675">
        <v>0</v>
      </c>
      <c r="L2675">
        <v>77.349999999999994</v>
      </c>
    </row>
    <row r="2676" spans="1:12" x14ac:dyDescent="0.25">
      <c r="A2676" t="str">
        <f t="shared" si="583"/>
        <v>89301000</v>
      </c>
      <c r="B2676" t="str">
        <f t="shared" si="586"/>
        <v>78006000</v>
      </c>
      <c r="C2676" t="str">
        <f>"78006233"</f>
        <v>78006233</v>
      </c>
      <c r="D2676" t="str">
        <f>"810"</f>
        <v>810</v>
      </c>
      <c r="E2676" t="str">
        <f>"89301172"</f>
        <v>89301172</v>
      </c>
      <c r="F2676" t="str">
        <f>"5452282022"</f>
        <v>5452282022</v>
      </c>
      <c r="G2676" s="1">
        <v>44637</v>
      </c>
      <c r="H2676" t="str">
        <f>"89713"</f>
        <v>89713</v>
      </c>
      <c r="I2676">
        <v>1</v>
      </c>
      <c r="J2676">
        <v>5362</v>
      </c>
      <c r="K2676">
        <v>0</v>
      </c>
      <c r="L2676">
        <v>3217.2</v>
      </c>
    </row>
    <row r="2677" spans="1:12" x14ac:dyDescent="0.25">
      <c r="A2677" t="str">
        <f t="shared" si="583"/>
        <v>89301000</v>
      </c>
      <c r="B2677" t="str">
        <f t="shared" si="586"/>
        <v>78006000</v>
      </c>
      <c r="C2677" t="str">
        <f>"78006233"</f>
        <v>78006233</v>
      </c>
      <c r="D2677" t="str">
        <f>"810"</f>
        <v>810</v>
      </c>
      <c r="E2677" t="str">
        <f>"89301172"</f>
        <v>89301172</v>
      </c>
      <c r="F2677" t="str">
        <f>"5452282022"</f>
        <v>5452282022</v>
      </c>
      <c r="G2677" s="1">
        <v>44637</v>
      </c>
      <c r="H2677" t="str">
        <f>"89713"</f>
        <v>89713</v>
      </c>
      <c r="I2677">
        <v>1</v>
      </c>
      <c r="J2677">
        <v>5362</v>
      </c>
      <c r="K2677">
        <v>0</v>
      </c>
      <c r="L2677">
        <v>3217.2</v>
      </c>
    </row>
    <row r="2678" spans="1:12" x14ac:dyDescent="0.25">
      <c r="A2678" t="str">
        <f t="shared" si="583"/>
        <v>89301000</v>
      </c>
      <c r="B2678" t="str">
        <f t="shared" ref="B2678:B2695" si="597">"02004000"</f>
        <v>02004000</v>
      </c>
      <c r="C2678" t="str">
        <f>"02004545"</f>
        <v>02004545</v>
      </c>
      <c r="D2678" t="str">
        <f>"816"</f>
        <v>816</v>
      </c>
      <c r="E2678" t="str">
        <f>"89301282"</f>
        <v>89301282</v>
      </c>
      <c r="F2678" t="str">
        <f>"0002176218"</f>
        <v>0002176218</v>
      </c>
      <c r="G2678" s="1">
        <v>44627</v>
      </c>
      <c r="H2678" t="str">
        <f>"94221"</f>
        <v>94221</v>
      </c>
      <c r="I2678">
        <v>1</v>
      </c>
      <c r="J2678">
        <v>2453</v>
      </c>
      <c r="K2678">
        <v>0</v>
      </c>
      <c r="L2678">
        <v>2085.0500000000002</v>
      </c>
    </row>
    <row r="2679" spans="1:12" x14ac:dyDescent="0.25">
      <c r="A2679" t="str">
        <f t="shared" si="583"/>
        <v>89301000</v>
      </c>
      <c r="B2679" t="str">
        <f t="shared" si="597"/>
        <v>02004000</v>
      </c>
      <c r="C2679" t="str">
        <f>"02004561"</f>
        <v>02004561</v>
      </c>
      <c r="D2679" t="str">
        <f>"801"</f>
        <v>801</v>
      </c>
      <c r="E2679" t="str">
        <f>"89301702"</f>
        <v>89301702</v>
      </c>
      <c r="F2679" t="str">
        <f>"2008170593"</f>
        <v>2008170593</v>
      </c>
      <c r="G2679" s="1">
        <v>44636</v>
      </c>
      <c r="H2679" t="str">
        <f>"81655"</f>
        <v>81655</v>
      </c>
      <c r="I2679">
        <v>2</v>
      </c>
      <c r="J2679">
        <v>1144</v>
      </c>
      <c r="K2679">
        <v>0</v>
      </c>
      <c r="L2679">
        <v>892.32</v>
      </c>
    </row>
    <row r="2680" spans="1:12" x14ac:dyDescent="0.25">
      <c r="A2680" t="str">
        <f t="shared" si="583"/>
        <v>89301000</v>
      </c>
      <c r="B2680" t="str">
        <f t="shared" si="597"/>
        <v>02004000</v>
      </c>
      <c r="C2680" t="str">
        <f>"02004371"</f>
        <v>02004371</v>
      </c>
      <c r="D2680" t="str">
        <f>"810"</f>
        <v>810</v>
      </c>
      <c r="E2680" t="str">
        <f>"89301062"</f>
        <v>89301062</v>
      </c>
      <c r="F2680" t="str">
        <f>"6659060177"</f>
        <v>6659060177</v>
      </c>
      <c r="G2680" s="1">
        <v>44650</v>
      </c>
      <c r="H2680" t="str">
        <f>"89713"</f>
        <v>89713</v>
      </c>
      <c r="I2680">
        <v>1</v>
      </c>
      <c r="J2680">
        <v>5362</v>
      </c>
      <c r="K2680">
        <v>0</v>
      </c>
      <c r="L2680">
        <v>3217.2</v>
      </c>
    </row>
    <row r="2681" spans="1:12" x14ac:dyDescent="0.25">
      <c r="A2681" t="str">
        <f t="shared" si="583"/>
        <v>89301000</v>
      </c>
      <c r="B2681" t="str">
        <f t="shared" si="597"/>
        <v>02004000</v>
      </c>
      <c r="C2681" t="str">
        <f>"02004371"</f>
        <v>02004371</v>
      </c>
      <c r="D2681" t="str">
        <f>"810"</f>
        <v>810</v>
      </c>
      <c r="E2681" t="str">
        <f>"89301062"</f>
        <v>89301062</v>
      </c>
      <c r="F2681" t="str">
        <f>"6659060177"</f>
        <v>6659060177</v>
      </c>
      <c r="G2681" s="1">
        <v>44650</v>
      </c>
      <c r="H2681" t="str">
        <f>"89725"</f>
        <v>89725</v>
      </c>
      <c r="I2681">
        <v>1</v>
      </c>
      <c r="J2681">
        <v>2839</v>
      </c>
      <c r="K2681">
        <v>0</v>
      </c>
      <c r="L2681">
        <v>1703.4</v>
      </c>
    </row>
    <row r="2682" spans="1:12" x14ac:dyDescent="0.25">
      <c r="A2682" t="str">
        <f t="shared" si="583"/>
        <v>89301000</v>
      </c>
      <c r="B2682" t="str">
        <f t="shared" si="597"/>
        <v>02004000</v>
      </c>
      <c r="C2682" t="str">
        <f t="shared" ref="C2682:C2695" si="598">"02004556"</f>
        <v>02004556</v>
      </c>
      <c r="D2682" t="str">
        <f t="shared" ref="D2682:D2695" si="599">"813"</f>
        <v>813</v>
      </c>
      <c r="E2682" t="str">
        <f>"89301102"</f>
        <v>89301102</v>
      </c>
      <c r="F2682" t="str">
        <f>"1754070054"</f>
        <v>1754070054</v>
      </c>
      <c r="G2682" s="1">
        <v>44624</v>
      </c>
      <c r="H2682" t="str">
        <f>"91249"</f>
        <v>91249</v>
      </c>
      <c r="I2682">
        <v>1</v>
      </c>
      <c r="J2682">
        <v>1489</v>
      </c>
      <c r="K2682">
        <v>0</v>
      </c>
      <c r="L2682">
        <v>1161.42</v>
      </c>
    </row>
    <row r="2683" spans="1:12" x14ac:dyDescent="0.25">
      <c r="A2683" t="str">
        <f t="shared" si="583"/>
        <v>89301000</v>
      </c>
      <c r="B2683" t="str">
        <f t="shared" si="597"/>
        <v>02004000</v>
      </c>
      <c r="C2683" t="str">
        <f t="shared" si="598"/>
        <v>02004556</v>
      </c>
      <c r="D2683" t="str">
        <f t="shared" si="599"/>
        <v>813</v>
      </c>
      <c r="E2683" t="str">
        <f>"89301102"</f>
        <v>89301102</v>
      </c>
      <c r="F2683" t="str">
        <f>"1754070054"</f>
        <v>1754070054</v>
      </c>
      <c r="G2683" s="1">
        <v>44624</v>
      </c>
      <c r="H2683" t="str">
        <f>"91251"</f>
        <v>91251</v>
      </c>
      <c r="I2683">
        <v>1</v>
      </c>
      <c r="J2683">
        <v>1489</v>
      </c>
      <c r="K2683">
        <v>0</v>
      </c>
      <c r="L2683">
        <v>1161.42</v>
      </c>
    </row>
    <row r="2684" spans="1:12" x14ac:dyDescent="0.25">
      <c r="A2684" t="str">
        <f t="shared" si="583"/>
        <v>89301000</v>
      </c>
      <c r="B2684" t="str">
        <f t="shared" si="597"/>
        <v>02004000</v>
      </c>
      <c r="C2684" t="str">
        <f t="shared" si="598"/>
        <v>02004556</v>
      </c>
      <c r="D2684" t="str">
        <f t="shared" si="599"/>
        <v>813</v>
      </c>
      <c r="E2684" t="str">
        <f>"89301028"</f>
        <v>89301028</v>
      </c>
      <c r="F2684" t="str">
        <f>"8853075814"</f>
        <v>8853075814</v>
      </c>
      <c r="G2684" s="1">
        <v>44623</v>
      </c>
      <c r="H2684" t="str">
        <f>"91249"</f>
        <v>91249</v>
      </c>
      <c r="I2684">
        <v>1</v>
      </c>
      <c r="J2684">
        <v>1489</v>
      </c>
      <c r="K2684">
        <v>0</v>
      </c>
      <c r="L2684">
        <v>1161.42</v>
      </c>
    </row>
    <row r="2685" spans="1:12" x14ac:dyDescent="0.25">
      <c r="A2685" t="str">
        <f t="shared" si="583"/>
        <v>89301000</v>
      </c>
      <c r="B2685" t="str">
        <f t="shared" si="597"/>
        <v>02004000</v>
      </c>
      <c r="C2685" t="str">
        <f t="shared" si="598"/>
        <v>02004556</v>
      </c>
      <c r="D2685" t="str">
        <f t="shared" si="599"/>
        <v>813</v>
      </c>
      <c r="E2685" t="str">
        <f>"89301028"</f>
        <v>89301028</v>
      </c>
      <c r="F2685" t="str">
        <f>"8853075814"</f>
        <v>8853075814</v>
      </c>
      <c r="G2685" s="1">
        <v>44623</v>
      </c>
      <c r="H2685" t="str">
        <f>"91251"</f>
        <v>91251</v>
      </c>
      <c r="I2685">
        <v>1</v>
      </c>
      <c r="J2685">
        <v>1489</v>
      </c>
      <c r="K2685">
        <v>0</v>
      </c>
      <c r="L2685">
        <v>1161.42</v>
      </c>
    </row>
    <row r="2686" spans="1:12" x14ac:dyDescent="0.25">
      <c r="A2686" t="str">
        <f t="shared" si="583"/>
        <v>89301000</v>
      </c>
      <c r="B2686" t="str">
        <f t="shared" si="597"/>
        <v>02004000</v>
      </c>
      <c r="C2686" t="str">
        <f t="shared" si="598"/>
        <v>02004556</v>
      </c>
      <c r="D2686" t="str">
        <f t="shared" si="599"/>
        <v>813</v>
      </c>
      <c r="E2686" t="str">
        <f t="shared" ref="E2686:E2691" si="600">"89301102"</f>
        <v>89301102</v>
      </c>
      <c r="F2686" t="str">
        <f>"0606161380"</f>
        <v>0606161380</v>
      </c>
      <c r="G2686" s="1">
        <v>44606</v>
      </c>
      <c r="H2686" t="str">
        <f>"91249"</f>
        <v>91249</v>
      </c>
      <c r="I2686">
        <v>1</v>
      </c>
      <c r="J2686">
        <v>1489</v>
      </c>
      <c r="K2686">
        <v>0</v>
      </c>
      <c r="L2686">
        <v>1161.42</v>
      </c>
    </row>
    <row r="2687" spans="1:12" x14ac:dyDescent="0.25">
      <c r="A2687" t="str">
        <f t="shared" si="583"/>
        <v>89301000</v>
      </c>
      <c r="B2687" t="str">
        <f t="shared" si="597"/>
        <v>02004000</v>
      </c>
      <c r="C2687" t="str">
        <f t="shared" si="598"/>
        <v>02004556</v>
      </c>
      <c r="D2687" t="str">
        <f t="shared" si="599"/>
        <v>813</v>
      </c>
      <c r="E2687" t="str">
        <f t="shared" si="600"/>
        <v>89301102</v>
      </c>
      <c r="F2687" t="str">
        <f>"0606161380"</f>
        <v>0606161380</v>
      </c>
      <c r="G2687" s="1">
        <v>44606</v>
      </c>
      <c r="H2687" t="str">
        <f>"91251"</f>
        <v>91251</v>
      </c>
      <c r="I2687">
        <v>1</v>
      </c>
      <c r="J2687">
        <v>1489</v>
      </c>
      <c r="K2687">
        <v>0</v>
      </c>
      <c r="L2687">
        <v>1161.42</v>
      </c>
    </row>
    <row r="2688" spans="1:12" x14ac:dyDescent="0.25">
      <c r="A2688" t="str">
        <f t="shared" si="583"/>
        <v>89301000</v>
      </c>
      <c r="B2688" t="str">
        <f t="shared" si="597"/>
        <v>02004000</v>
      </c>
      <c r="C2688" t="str">
        <f t="shared" si="598"/>
        <v>02004556</v>
      </c>
      <c r="D2688" t="str">
        <f t="shared" si="599"/>
        <v>813</v>
      </c>
      <c r="E2688" t="str">
        <f t="shared" si="600"/>
        <v>89301102</v>
      </c>
      <c r="F2688" t="str">
        <f>"0756083383"</f>
        <v>0756083383</v>
      </c>
      <c r="G2688" s="1">
        <v>44609</v>
      </c>
      <c r="H2688" t="str">
        <f>"91249"</f>
        <v>91249</v>
      </c>
      <c r="I2688">
        <v>1</v>
      </c>
      <c r="J2688">
        <v>1489</v>
      </c>
      <c r="K2688">
        <v>0</v>
      </c>
      <c r="L2688">
        <v>1161.42</v>
      </c>
    </row>
    <row r="2689" spans="1:12" x14ac:dyDescent="0.25">
      <c r="A2689" t="str">
        <f t="shared" si="583"/>
        <v>89301000</v>
      </c>
      <c r="B2689" t="str">
        <f t="shared" si="597"/>
        <v>02004000</v>
      </c>
      <c r="C2689" t="str">
        <f t="shared" si="598"/>
        <v>02004556</v>
      </c>
      <c r="D2689" t="str">
        <f t="shared" si="599"/>
        <v>813</v>
      </c>
      <c r="E2689" t="str">
        <f t="shared" si="600"/>
        <v>89301102</v>
      </c>
      <c r="F2689" t="str">
        <f>"0756083383"</f>
        <v>0756083383</v>
      </c>
      <c r="G2689" s="1">
        <v>44609</v>
      </c>
      <c r="H2689" t="str">
        <f>"91251"</f>
        <v>91251</v>
      </c>
      <c r="I2689">
        <v>1</v>
      </c>
      <c r="J2689">
        <v>1489</v>
      </c>
      <c r="K2689">
        <v>0</v>
      </c>
      <c r="L2689">
        <v>1161.42</v>
      </c>
    </row>
    <row r="2690" spans="1:12" x14ac:dyDescent="0.25">
      <c r="A2690" t="str">
        <f t="shared" ref="A2690:A2753" si="601">"89301000"</f>
        <v>89301000</v>
      </c>
      <c r="B2690" t="str">
        <f t="shared" si="597"/>
        <v>02004000</v>
      </c>
      <c r="C2690" t="str">
        <f t="shared" si="598"/>
        <v>02004556</v>
      </c>
      <c r="D2690" t="str">
        <f t="shared" si="599"/>
        <v>813</v>
      </c>
      <c r="E2690" t="str">
        <f t="shared" si="600"/>
        <v>89301102</v>
      </c>
      <c r="F2690" t="str">
        <f>"0309275703"</f>
        <v>0309275703</v>
      </c>
      <c r="G2690" s="1">
        <v>44620</v>
      </c>
      <c r="H2690" t="str">
        <f>"91249"</f>
        <v>91249</v>
      </c>
      <c r="I2690">
        <v>1</v>
      </c>
      <c r="J2690">
        <v>1489</v>
      </c>
      <c r="K2690">
        <v>0</v>
      </c>
      <c r="L2690">
        <v>1161.42</v>
      </c>
    </row>
    <row r="2691" spans="1:12" x14ac:dyDescent="0.25">
      <c r="A2691" t="str">
        <f t="shared" si="601"/>
        <v>89301000</v>
      </c>
      <c r="B2691" t="str">
        <f t="shared" si="597"/>
        <v>02004000</v>
      </c>
      <c r="C2691" t="str">
        <f t="shared" si="598"/>
        <v>02004556</v>
      </c>
      <c r="D2691" t="str">
        <f t="shared" si="599"/>
        <v>813</v>
      </c>
      <c r="E2691" t="str">
        <f t="shared" si="600"/>
        <v>89301102</v>
      </c>
      <c r="F2691" t="str">
        <f>"0309275703"</f>
        <v>0309275703</v>
      </c>
      <c r="G2691" s="1">
        <v>44620</v>
      </c>
      <c r="H2691" t="str">
        <f>"91251"</f>
        <v>91251</v>
      </c>
      <c r="I2691">
        <v>1</v>
      </c>
      <c r="J2691">
        <v>1489</v>
      </c>
      <c r="K2691">
        <v>0</v>
      </c>
      <c r="L2691">
        <v>1161.42</v>
      </c>
    </row>
    <row r="2692" spans="1:12" x14ac:dyDescent="0.25">
      <c r="A2692" t="str">
        <f t="shared" si="601"/>
        <v>89301000</v>
      </c>
      <c r="B2692" t="str">
        <f t="shared" si="597"/>
        <v>02004000</v>
      </c>
      <c r="C2692" t="str">
        <f t="shared" si="598"/>
        <v>02004556</v>
      </c>
      <c r="D2692" t="str">
        <f t="shared" si="599"/>
        <v>813</v>
      </c>
      <c r="E2692" t="str">
        <f>"89301028"</f>
        <v>89301028</v>
      </c>
      <c r="F2692" t="str">
        <f>"9511135700"</f>
        <v>9511135700</v>
      </c>
      <c r="G2692" s="1">
        <v>44614</v>
      </c>
      <c r="H2692" t="str">
        <f>"91249"</f>
        <v>91249</v>
      </c>
      <c r="I2692">
        <v>1</v>
      </c>
      <c r="J2692">
        <v>1489</v>
      </c>
      <c r="K2692">
        <v>0</v>
      </c>
      <c r="L2692">
        <v>1161.42</v>
      </c>
    </row>
    <row r="2693" spans="1:12" x14ac:dyDescent="0.25">
      <c r="A2693" t="str">
        <f t="shared" si="601"/>
        <v>89301000</v>
      </c>
      <c r="B2693" t="str">
        <f t="shared" si="597"/>
        <v>02004000</v>
      </c>
      <c r="C2693" t="str">
        <f t="shared" si="598"/>
        <v>02004556</v>
      </c>
      <c r="D2693" t="str">
        <f t="shared" si="599"/>
        <v>813</v>
      </c>
      <c r="E2693" t="str">
        <f>"89301028"</f>
        <v>89301028</v>
      </c>
      <c r="F2693" t="str">
        <f>"9511135700"</f>
        <v>9511135700</v>
      </c>
      <c r="G2693" s="1">
        <v>44614</v>
      </c>
      <c r="H2693" t="str">
        <f>"91251"</f>
        <v>91251</v>
      </c>
      <c r="I2693">
        <v>1</v>
      </c>
      <c r="J2693">
        <v>1489</v>
      </c>
      <c r="K2693">
        <v>0</v>
      </c>
      <c r="L2693">
        <v>1161.42</v>
      </c>
    </row>
    <row r="2694" spans="1:12" x14ac:dyDescent="0.25">
      <c r="A2694" t="str">
        <f t="shared" si="601"/>
        <v>89301000</v>
      </c>
      <c r="B2694" t="str">
        <f t="shared" si="597"/>
        <v>02004000</v>
      </c>
      <c r="C2694" t="str">
        <f t="shared" si="598"/>
        <v>02004556</v>
      </c>
      <c r="D2694" t="str">
        <f t="shared" si="599"/>
        <v>813</v>
      </c>
      <c r="E2694" t="str">
        <f>"89301028"</f>
        <v>89301028</v>
      </c>
      <c r="F2694" t="str">
        <f>"7110315366"</f>
        <v>7110315366</v>
      </c>
      <c r="G2694" s="1">
        <v>44601</v>
      </c>
      <c r="H2694" t="str">
        <f>"91249"</f>
        <v>91249</v>
      </c>
      <c r="I2694">
        <v>1</v>
      </c>
      <c r="J2694">
        <v>1489</v>
      </c>
      <c r="K2694">
        <v>0</v>
      </c>
      <c r="L2694">
        <v>1161.42</v>
      </c>
    </row>
    <row r="2695" spans="1:12" x14ac:dyDescent="0.25">
      <c r="A2695" t="str">
        <f t="shared" si="601"/>
        <v>89301000</v>
      </c>
      <c r="B2695" t="str">
        <f t="shared" si="597"/>
        <v>02004000</v>
      </c>
      <c r="C2695" t="str">
        <f t="shared" si="598"/>
        <v>02004556</v>
      </c>
      <c r="D2695" t="str">
        <f t="shared" si="599"/>
        <v>813</v>
      </c>
      <c r="E2695" t="str">
        <f>"89301028"</f>
        <v>89301028</v>
      </c>
      <c r="F2695" t="str">
        <f>"7110315366"</f>
        <v>7110315366</v>
      </c>
      <c r="G2695" s="1">
        <v>44601</v>
      </c>
      <c r="H2695" t="str">
        <f>"91251"</f>
        <v>91251</v>
      </c>
      <c r="I2695">
        <v>1</v>
      </c>
      <c r="J2695">
        <v>1489</v>
      </c>
      <c r="K2695">
        <v>0</v>
      </c>
      <c r="L2695">
        <v>1161.42</v>
      </c>
    </row>
    <row r="2696" spans="1:12" x14ac:dyDescent="0.25">
      <c r="A2696" t="str">
        <f t="shared" si="601"/>
        <v>89301000</v>
      </c>
      <c r="B2696" t="str">
        <f>"04005000"</f>
        <v>04005000</v>
      </c>
      <c r="C2696" t="str">
        <f>"04005073"</f>
        <v>04005073</v>
      </c>
      <c r="D2696" t="str">
        <f>"816"</f>
        <v>816</v>
      </c>
      <c r="E2696" t="str">
        <f>"89301171"</f>
        <v>89301171</v>
      </c>
      <c r="F2696" t="str">
        <f>"465616476"</f>
        <v>465616476</v>
      </c>
      <c r="G2696" s="1">
        <v>44638</v>
      </c>
      <c r="H2696" t="str">
        <f>"94221"</f>
        <v>94221</v>
      </c>
      <c r="I2696">
        <v>4</v>
      </c>
      <c r="J2696">
        <v>9812</v>
      </c>
      <c r="K2696">
        <v>0</v>
      </c>
      <c r="L2696">
        <v>8340.2000000000007</v>
      </c>
    </row>
    <row r="2697" spans="1:12" x14ac:dyDescent="0.25">
      <c r="A2697" t="str">
        <f t="shared" si="601"/>
        <v>89301000</v>
      </c>
      <c r="B2697" t="str">
        <f>"04005000"</f>
        <v>04005000</v>
      </c>
      <c r="C2697" t="str">
        <f>"04005073"</f>
        <v>04005073</v>
      </c>
      <c r="D2697" t="str">
        <f>"816"</f>
        <v>816</v>
      </c>
      <c r="E2697" t="str">
        <f>"89301171"</f>
        <v>89301171</v>
      </c>
      <c r="F2697" t="str">
        <f>"465616476"</f>
        <v>465616476</v>
      </c>
      <c r="G2697" s="1">
        <v>44638</v>
      </c>
      <c r="H2697" t="str">
        <f>"94225"</f>
        <v>94225</v>
      </c>
      <c r="I2697">
        <v>1</v>
      </c>
      <c r="J2697">
        <v>1187</v>
      </c>
      <c r="K2697">
        <v>0</v>
      </c>
      <c r="L2697">
        <v>1008.95</v>
      </c>
    </row>
    <row r="2698" spans="1:12" x14ac:dyDescent="0.25">
      <c r="A2698" t="str">
        <f t="shared" si="601"/>
        <v>89301000</v>
      </c>
      <c r="B2698" t="str">
        <f>"04005000"</f>
        <v>04005000</v>
      </c>
      <c r="C2698" t="str">
        <f>"04005072"</f>
        <v>04005072</v>
      </c>
      <c r="D2698" t="str">
        <f>"813"</f>
        <v>813</v>
      </c>
      <c r="E2698" t="str">
        <f>"89301171"</f>
        <v>89301171</v>
      </c>
      <c r="F2698" t="str">
        <f>"465616476"</f>
        <v>465616476</v>
      </c>
      <c r="G2698" s="1">
        <v>44634</v>
      </c>
      <c r="H2698" t="str">
        <f>"91411"</f>
        <v>91411</v>
      </c>
      <c r="I2698">
        <v>1</v>
      </c>
      <c r="J2698">
        <v>1600</v>
      </c>
      <c r="K2698">
        <v>0</v>
      </c>
      <c r="L2698">
        <v>1248</v>
      </c>
    </row>
    <row r="2699" spans="1:12" x14ac:dyDescent="0.25">
      <c r="A2699" t="str">
        <f t="shared" si="601"/>
        <v>89301000</v>
      </c>
      <c r="B2699" t="str">
        <f t="shared" ref="B2699:B2708" si="602">"05002000"</f>
        <v>05002000</v>
      </c>
      <c r="C2699" t="str">
        <f>"05002397"</f>
        <v>05002397</v>
      </c>
      <c r="D2699" t="str">
        <f>"818"</f>
        <v>818</v>
      </c>
      <c r="E2699" t="str">
        <f>"89301109"</f>
        <v>89301109</v>
      </c>
      <c r="F2699" t="str">
        <f>"0905183224"</f>
        <v>0905183224</v>
      </c>
      <c r="G2699" s="1">
        <v>44634</v>
      </c>
      <c r="H2699" t="str">
        <f>"94225"</f>
        <v>94225</v>
      </c>
      <c r="I2699">
        <v>2</v>
      </c>
      <c r="J2699">
        <v>2374</v>
      </c>
      <c r="K2699">
        <v>0</v>
      </c>
      <c r="L2699">
        <v>2160.34</v>
      </c>
    </row>
    <row r="2700" spans="1:12" x14ac:dyDescent="0.25">
      <c r="A2700" t="str">
        <f t="shared" si="601"/>
        <v>89301000</v>
      </c>
      <c r="B2700" t="str">
        <f t="shared" si="602"/>
        <v>05002000</v>
      </c>
      <c r="C2700" t="str">
        <f>"05002397"</f>
        <v>05002397</v>
      </c>
      <c r="D2700" t="str">
        <f>"818"</f>
        <v>818</v>
      </c>
      <c r="E2700" t="str">
        <f>"89301109"</f>
        <v>89301109</v>
      </c>
      <c r="F2700" t="str">
        <f>"0905183224"</f>
        <v>0905183224</v>
      </c>
      <c r="G2700" s="1">
        <v>44634</v>
      </c>
      <c r="H2700" t="str">
        <f>"94195"</f>
        <v>94195</v>
      </c>
      <c r="I2700">
        <v>1</v>
      </c>
      <c r="J2700">
        <v>378</v>
      </c>
      <c r="K2700">
        <v>0</v>
      </c>
      <c r="L2700">
        <v>343.98</v>
      </c>
    </row>
    <row r="2701" spans="1:12" x14ac:dyDescent="0.25">
      <c r="A2701" t="str">
        <f t="shared" si="601"/>
        <v>89301000</v>
      </c>
      <c r="B2701" t="str">
        <f t="shared" si="602"/>
        <v>05002000</v>
      </c>
      <c r="C2701" t="str">
        <f>"05002397"</f>
        <v>05002397</v>
      </c>
      <c r="D2701" t="str">
        <f>"818"</f>
        <v>818</v>
      </c>
      <c r="E2701" t="str">
        <f>"89301109"</f>
        <v>89301109</v>
      </c>
      <c r="F2701" t="str">
        <f>"0905183224"</f>
        <v>0905183224</v>
      </c>
      <c r="G2701" s="1">
        <v>44634</v>
      </c>
      <c r="H2701" t="str">
        <f>"94337"</f>
        <v>94337</v>
      </c>
      <c r="I2701">
        <v>3</v>
      </c>
      <c r="J2701">
        <v>26880</v>
      </c>
      <c r="K2701">
        <v>0</v>
      </c>
      <c r="L2701">
        <v>24460.799999999999</v>
      </c>
    </row>
    <row r="2702" spans="1:12" x14ac:dyDescent="0.25">
      <c r="A2702" t="str">
        <f t="shared" si="601"/>
        <v>89301000</v>
      </c>
      <c r="B2702" t="str">
        <f t="shared" si="602"/>
        <v>05002000</v>
      </c>
      <c r="C2702" t="str">
        <f>"05002141"</f>
        <v>05002141</v>
      </c>
      <c r="D2702" t="str">
        <f>"816"</f>
        <v>816</v>
      </c>
      <c r="E2702" t="str">
        <f>"89301282"</f>
        <v>89301282</v>
      </c>
      <c r="F2702" t="str">
        <f>"1004155339"</f>
        <v>1004155339</v>
      </c>
      <c r="G2702" s="1">
        <v>44651</v>
      </c>
      <c r="H2702" t="str">
        <f>"94331"</f>
        <v>94331</v>
      </c>
      <c r="I2702">
        <v>1</v>
      </c>
      <c r="J2702">
        <v>7778</v>
      </c>
      <c r="K2702">
        <v>0</v>
      </c>
      <c r="L2702">
        <v>6611.3</v>
      </c>
    </row>
    <row r="2703" spans="1:12" x14ac:dyDescent="0.25">
      <c r="A2703" t="str">
        <f t="shared" si="601"/>
        <v>89301000</v>
      </c>
      <c r="B2703" t="str">
        <f t="shared" si="602"/>
        <v>05002000</v>
      </c>
      <c r="C2703" t="str">
        <f>"05002397"</f>
        <v>05002397</v>
      </c>
      <c r="D2703" t="str">
        <f>"818"</f>
        <v>818</v>
      </c>
      <c r="E2703" t="str">
        <f>"89301109"</f>
        <v>89301109</v>
      </c>
      <c r="F2703" t="str">
        <f>"1654130258"</f>
        <v>1654130258</v>
      </c>
      <c r="G2703" s="1">
        <v>44641</v>
      </c>
      <c r="H2703" t="str">
        <f>"91439"</f>
        <v>91439</v>
      </c>
      <c r="I2703">
        <v>9</v>
      </c>
      <c r="J2703">
        <v>3204</v>
      </c>
      <c r="K2703">
        <v>0</v>
      </c>
      <c r="L2703">
        <v>2915.64</v>
      </c>
    </row>
    <row r="2704" spans="1:12" x14ac:dyDescent="0.25">
      <c r="A2704" t="str">
        <f t="shared" si="601"/>
        <v>89301000</v>
      </c>
      <c r="B2704" t="str">
        <f t="shared" si="602"/>
        <v>05002000</v>
      </c>
      <c r="C2704" t="str">
        <f>"05002397"</f>
        <v>05002397</v>
      </c>
      <c r="D2704" t="str">
        <f>"818"</f>
        <v>818</v>
      </c>
      <c r="E2704" t="str">
        <f>"89301109"</f>
        <v>89301109</v>
      </c>
      <c r="F2704" t="str">
        <f>"1654130258"</f>
        <v>1654130258</v>
      </c>
      <c r="G2704" s="1">
        <v>44641</v>
      </c>
      <c r="H2704" t="str">
        <f>"91439"</f>
        <v>91439</v>
      </c>
      <c r="I2704">
        <v>4</v>
      </c>
      <c r="J2704">
        <v>1424</v>
      </c>
      <c r="K2704">
        <v>0</v>
      </c>
      <c r="L2704">
        <v>1295.8399999999999</v>
      </c>
    </row>
    <row r="2705" spans="1:12" x14ac:dyDescent="0.25">
      <c r="A2705" t="str">
        <f t="shared" si="601"/>
        <v>89301000</v>
      </c>
      <c r="B2705" t="str">
        <f t="shared" si="602"/>
        <v>05002000</v>
      </c>
      <c r="C2705" t="str">
        <f>"05002397"</f>
        <v>05002397</v>
      </c>
      <c r="D2705" t="str">
        <f>"818"</f>
        <v>818</v>
      </c>
      <c r="E2705" t="str">
        <f>"89301109"</f>
        <v>89301109</v>
      </c>
      <c r="F2705" t="str">
        <f>"1654130258"</f>
        <v>1654130258</v>
      </c>
      <c r="G2705" s="1">
        <v>44642</v>
      </c>
      <c r="H2705" t="str">
        <f>"94225"</f>
        <v>94225</v>
      </c>
      <c r="I2705">
        <v>1</v>
      </c>
      <c r="J2705">
        <v>1187</v>
      </c>
      <c r="K2705">
        <v>0</v>
      </c>
      <c r="L2705">
        <v>1080.17</v>
      </c>
    </row>
    <row r="2706" spans="1:12" x14ac:dyDescent="0.25">
      <c r="A2706" t="str">
        <f t="shared" si="601"/>
        <v>89301000</v>
      </c>
      <c r="B2706" t="str">
        <f t="shared" si="602"/>
        <v>05002000</v>
      </c>
      <c r="C2706" t="str">
        <f>"05002397"</f>
        <v>05002397</v>
      </c>
      <c r="D2706" t="str">
        <f>"818"</f>
        <v>818</v>
      </c>
      <c r="E2706" t="str">
        <f>"89301109"</f>
        <v>89301109</v>
      </c>
      <c r="F2706" t="str">
        <f>"1654130258"</f>
        <v>1654130258</v>
      </c>
      <c r="G2706" s="1">
        <v>44642</v>
      </c>
      <c r="H2706" t="str">
        <f>"94337"</f>
        <v>94337</v>
      </c>
      <c r="I2706">
        <v>2</v>
      </c>
      <c r="J2706">
        <v>17920</v>
      </c>
      <c r="K2706">
        <v>0</v>
      </c>
      <c r="L2706">
        <v>16307.2</v>
      </c>
    </row>
    <row r="2707" spans="1:12" x14ac:dyDescent="0.25">
      <c r="A2707" t="str">
        <f t="shared" si="601"/>
        <v>89301000</v>
      </c>
      <c r="B2707" t="str">
        <f t="shared" si="602"/>
        <v>05002000</v>
      </c>
      <c r="C2707" t="str">
        <f>"05002141"</f>
        <v>05002141</v>
      </c>
      <c r="D2707" t="str">
        <f>"816"</f>
        <v>816</v>
      </c>
      <c r="E2707" t="str">
        <f>"89301282"</f>
        <v>89301282</v>
      </c>
      <c r="F2707" t="str">
        <f>"5555312048"</f>
        <v>5555312048</v>
      </c>
      <c r="G2707" s="1">
        <v>44651</v>
      </c>
      <c r="H2707" t="str">
        <f>"94331"</f>
        <v>94331</v>
      </c>
      <c r="I2707">
        <v>1</v>
      </c>
      <c r="J2707">
        <v>7778</v>
      </c>
      <c r="K2707">
        <v>0</v>
      </c>
      <c r="L2707">
        <v>6611.3</v>
      </c>
    </row>
    <row r="2708" spans="1:12" x14ac:dyDescent="0.25">
      <c r="A2708" t="str">
        <f t="shared" si="601"/>
        <v>89301000</v>
      </c>
      <c r="B2708" t="str">
        <f t="shared" si="602"/>
        <v>05002000</v>
      </c>
      <c r="C2708" t="str">
        <f>"05002174"</f>
        <v>05002174</v>
      </c>
      <c r="D2708" t="str">
        <f>"802"</f>
        <v>802</v>
      </c>
      <c r="E2708" t="str">
        <f>"89301172"</f>
        <v>89301172</v>
      </c>
      <c r="F2708" t="str">
        <f>"8256164906"</f>
        <v>8256164906</v>
      </c>
      <c r="G2708" s="1">
        <v>44628</v>
      </c>
      <c r="H2708" t="str">
        <f>"85115"</f>
        <v>85115</v>
      </c>
      <c r="I2708">
        <v>1</v>
      </c>
      <c r="J2708">
        <v>2423</v>
      </c>
      <c r="K2708">
        <v>0</v>
      </c>
      <c r="L2708">
        <v>2204.9299999999998</v>
      </c>
    </row>
    <row r="2709" spans="1:12" x14ac:dyDescent="0.25">
      <c r="A2709" t="str">
        <f t="shared" si="601"/>
        <v>89301000</v>
      </c>
      <c r="B2709" t="str">
        <f>"91866000"</f>
        <v>91866000</v>
      </c>
      <c r="C2709" t="str">
        <f>"91866313"</f>
        <v>91866313</v>
      </c>
      <c r="D2709" t="str">
        <f>"802"</f>
        <v>802</v>
      </c>
      <c r="E2709" t="str">
        <f>"89301103"</f>
        <v>89301103</v>
      </c>
      <c r="F2709" t="str">
        <f>"1959060070"</f>
        <v>1959060070</v>
      </c>
      <c r="G2709" s="1">
        <v>44581</v>
      </c>
      <c r="H2709" t="str">
        <f>"85111"</f>
        <v>85111</v>
      </c>
      <c r="I2709">
        <v>2</v>
      </c>
      <c r="J2709">
        <v>862</v>
      </c>
      <c r="K2709">
        <v>0</v>
      </c>
      <c r="L2709">
        <v>784.42</v>
      </c>
    </row>
    <row r="2710" spans="1:12" x14ac:dyDescent="0.25">
      <c r="A2710" t="str">
        <f t="shared" si="601"/>
        <v>89301000</v>
      </c>
      <c r="B2710" t="str">
        <f>"75002000"</f>
        <v>75002000</v>
      </c>
      <c r="C2710" t="str">
        <f>"75002526"</f>
        <v>75002526</v>
      </c>
      <c r="D2710" t="str">
        <f>"801"</f>
        <v>801</v>
      </c>
      <c r="E2710" t="str">
        <f>"89301167"</f>
        <v>89301167</v>
      </c>
      <c r="F2710" t="str">
        <f>"5957040397"</f>
        <v>5957040397</v>
      </c>
      <c r="G2710" s="1">
        <v>44643</v>
      </c>
      <c r="H2710" t="str">
        <f>"93221"</f>
        <v>93221</v>
      </c>
      <c r="I2710">
        <v>1</v>
      </c>
      <c r="J2710">
        <v>188</v>
      </c>
      <c r="K2710">
        <v>0</v>
      </c>
      <c r="L2710">
        <v>146.63999999999999</v>
      </c>
    </row>
    <row r="2711" spans="1:12" x14ac:dyDescent="0.25">
      <c r="A2711" t="str">
        <f t="shared" si="601"/>
        <v>89301000</v>
      </c>
      <c r="B2711" t="str">
        <f>"75002000"</f>
        <v>75002000</v>
      </c>
      <c r="C2711" t="str">
        <f>"75002526"</f>
        <v>75002526</v>
      </c>
      <c r="D2711" t="str">
        <f>"801"</f>
        <v>801</v>
      </c>
      <c r="E2711" t="str">
        <f>"89301167"</f>
        <v>89301167</v>
      </c>
      <c r="F2711" t="str">
        <f>"5957040397"</f>
        <v>5957040397</v>
      </c>
      <c r="G2711" s="1">
        <v>44643</v>
      </c>
      <c r="H2711" t="str">
        <f>"97111"</f>
        <v>97111</v>
      </c>
      <c r="I2711">
        <v>1</v>
      </c>
      <c r="J2711">
        <v>18</v>
      </c>
      <c r="K2711">
        <v>0</v>
      </c>
      <c r="L2711">
        <v>14.04</v>
      </c>
    </row>
    <row r="2712" spans="1:12" x14ac:dyDescent="0.25">
      <c r="A2712" t="str">
        <f t="shared" si="601"/>
        <v>89301000</v>
      </c>
      <c r="B2712" t="str">
        <f t="shared" ref="B2712:B2775" si="603">"06539000"</f>
        <v>06539000</v>
      </c>
      <c r="C2712" t="str">
        <f>"06539001"</f>
        <v>06539001</v>
      </c>
      <c r="D2712" t="str">
        <f>"801"</f>
        <v>801</v>
      </c>
      <c r="E2712" t="str">
        <f t="shared" ref="E2712:E2775" si="604">"89301171"</f>
        <v>89301171</v>
      </c>
      <c r="F2712" t="str">
        <f t="shared" ref="F2712:F2758" si="605">"7953224455"</f>
        <v>7953224455</v>
      </c>
      <c r="G2712" s="1">
        <v>44596</v>
      </c>
      <c r="H2712" t="str">
        <f>"81329"</f>
        <v>81329</v>
      </c>
      <c r="I2712">
        <v>1</v>
      </c>
      <c r="J2712">
        <v>16</v>
      </c>
      <c r="K2712">
        <v>0</v>
      </c>
      <c r="L2712">
        <v>12.48</v>
      </c>
    </row>
    <row r="2713" spans="1:12" x14ac:dyDescent="0.25">
      <c r="A2713" t="str">
        <f t="shared" si="601"/>
        <v>89301000</v>
      </c>
      <c r="B2713" t="str">
        <f t="shared" si="603"/>
        <v>06539000</v>
      </c>
      <c r="C2713" t="str">
        <f>"06539001"</f>
        <v>06539001</v>
      </c>
      <c r="D2713" t="str">
        <f>"801"</f>
        <v>801</v>
      </c>
      <c r="E2713" t="str">
        <f t="shared" si="604"/>
        <v>89301171</v>
      </c>
      <c r="F2713" t="str">
        <f t="shared" si="605"/>
        <v>7953224455</v>
      </c>
      <c r="G2713" s="1">
        <v>44596</v>
      </c>
      <c r="H2713" t="str">
        <f>"81331"</f>
        <v>81331</v>
      </c>
      <c r="I2713">
        <v>1</v>
      </c>
      <c r="J2713">
        <v>193</v>
      </c>
      <c r="K2713">
        <v>0</v>
      </c>
      <c r="L2713">
        <v>150.54</v>
      </c>
    </row>
    <row r="2714" spans="1:12" x14ac:dyDescent="0.25">
      <c r="A2714" t="str">
        <f t="shared" si="601"/>
        <v>89301000</v>
      </c>
      <c r="B2714" t="str">
        <f t="shared" si="603"/>
        <v>06539000</v>
      </c>
      <c r="C2714" t="str">
        <f t="shared" ref="C2714:C2721" si="606">"06539002"</f>
        <v>06539002</v>
      </c>
      <c r="D2714" t="str">
        <f t="shared" ref="D2714:D2721" si="607">"802"</f>
        <v>802</v>
      </c>
      <c r="E2714" t="str">
        <f t="shared" si="604"/>
        <v>89301171</v>
      </c>
      <c r="F2714" t="str">
        <f t="shared" si="605"/>
        <v>7953224455</v>
      </c>
      <c r="G2714" s="1">
        <v>44596</v>
      </c>
      <c r="H2714" t="str">
        <f t="shared" ref="H2714:H2721" si="608">"82097"</f>
        <v>82097</v>
      </c>
      <c r="I2714">
        <v>1</v>
      </c>
      <c r="J2714">
        <v>380</v>
      </c>
      <c r="K2714">
        <v>0</v>
      </c>
      <c r="L2714">
        <v>345.8</v>
      </c>
    </row>
    <row r="2715" spans="1:12" x14ac:dyDescent="0.25">
      <c r="A2715" t="str">
        <f t="shared" si="601"/>
        <v>89301000</v>
      </c>
      <c r="B2715" t="str">
        <f t="shared" si="603"/>
        <v>06539000</v>
      </c>
      <c r="C2715" t="str">
        <f t="shared" si="606"/>
        <v>06539002</v>
      </c>
      <c r="D2715" t="str">
        <f t="shared" si="607"/>
        <v>802</v>
      </c>
      <c r="E2715" t="str">
        <f t="shared" si="604"/>
        <v>89301171</v>
      </c>
      <c r="F2715" t="str">
        <f t="shared" si="605"/>
        <v>7953224455</v>
      </c>
      <c r="G2715" s="1">
        <v>44596</v>
      </c>
      <c r="H2715" t="str">
        <f t="shared" si="608"/>
        <v>82097</v>
      </c>
      <c r="I2715">
        <v>1</v>
      </c>
      <c r="J2715">
        <v>380</v>
      </c>
      <c r="K2715">
        <v>0</v>
      </c>
      <c r="L2715">
        <v>345.8</v>
      </c>
    </row>
    <row r="2716" spans="1:12" x14ac:dyDescent="0.25">
      <c r="A2716" t="str">
        <f t="shared" si="601"/>
        <v>89301000</v>
      </c>
      <c r="B2716" t="str">
        <f t="shared" si="603"/>
        <v>06539000</v>
      </c>
      <c r="C2716" t="str">
        <f t="shared" si="606"/>
        <v>06539002</v>
      </c>
      <c r="D2716" t="str">
        <f t="shared" si="607"/>
        <v>802</v>
      </c>
      <c r="E2716" t="str">
        <f t="shared" si="604"/>
        <v>89301171</v>
      </c>
      <c r="F2716" t="str">
        <f t="shared" si="605"/>
        <v>7953224455</v>
      </c>
      <c r="G2716" s="1">
        <v>44596</v>
      </c>
      <c r="H2716" t="str">
        <f t="shared" si="608"/>
        <v>82097</v>
      </c>
      <c r="I2716">
        <v>1</v>
      </c>
      <c r="J2716">
        <v>380</v>
      </c>
      <c r="K2716">
        <v>0</v>
      </c>
      <c r="L2716">
        <v>345.8</v>
      </c>
    </row>
    <row r="2717" spans="1:12" x14ac:dyDescent="0.25">
      <c r="A2717" t="str">
        <f t="shared" si="601"/>
        <v>89301000</v>
      </c>
      <c r="B2717" t="str">
        <f t="shared" si="603"/>
        <v>06539000</v>
      </c>
      <c r="C2717" t="str">
        <f t="shared" si="606"/>
        <v>06539002</v>
      </c>
      <c r="D2717" t="str">
        <f t="shared" si="607"/>
        <v>802</v>
      </c>
      <c r="E2717" t="str">
        <f t="shared" si="604"/>
        <v>89301171</v>
      </c>
      <c r="F2717" t="str">
        <f t="shared" si="605"/>
        <v>7953224455</v>
      </c>
      <c r="G2717" s="1">
        <v>44596</v>
      </c>
      <c r="H2717" t="str">
        <f t="shared" si="608"/>
        <v>82097</v>
      </c>
      <c r="I2717">
        <v>1</v>
      </c>
      <c r="J2717">
        <v>380</v>
      </c>
      <c r="K2717">
        <v>0</v>
      </c>
      <c r="L2717">
        <v>345.8</v>
      </c>
    </row>
    <row r="2718" spans="1:12" x14ac:dyDescent="0.25">
      <c r="A2718" t="str">
        <f t="shared" si="601"/>
        <v>89301000</v>
      </c>
      <c r="B2718" t="str">
        <f t="shared" si="603"/>
        <v>06539000</v>
      </c>
      <c r="C2718" t="str">
        <f t="shared" si="606"/>
        <v>06539002</v>
      </c>
      <c r="D2718" t="str">
        <f t="shared" si="607"/>
        <v>802</v>
      </c>
      <c r="E2718" t="str">
        <f t="shared" si="604"/>
        <v>89301171</v>
      </c>
      <c r="F2718" t="str">
        <f t="shared" si="605"/>
        <v>7953224455</v>
      </c>
      <c r="G2718" s="1">
        <v>44596</v>
      </c>
      <c r="H2718" t="str">
        <f t="shared" si="608"/>
        <v>82097</v>
      </c>
      <c r="I2718">
        <v>1</v>
      </c>
      <c r="J2718">
        <v>380</v>
      </c>
      <c r="K2718">
        <v>0</v>
      </c>
      <c r="L2718">
        <v>345.8</v>
      </c>
    </row>
    <row r="2719" spans="1:12" x14ac:dyDescent="0.25">
      <c r="A2719" t="str">
        <f t="shared" si="601"/>
        <v>89301000</v>
      </c>
      <c r="B2719" t="str">
        <f t="shared" si="603"/>
        <v>06539000</v>
      </c>
      <c r="C2719" t="str">
        <f t="shared" si="606"/>
        <v>06539002</v>
      </c>
      <c r="D2719" t="str">
        <f t="shared" si="607"/>
        <v>802</v>
      </c>
      <c r="E2719" t="str">
        <f t="shared" si="604"/>
        <v>89301171</v>
      </c>
      <c r="F2719" t="str">
        <f t="shared" si="605"/>
        <v>7953224455</v>
      </c>
      <c r="G2719" s="1">
        <v>44596</v>
      </c>
      <c r="H2719" t="str">
        <f t="shared" si="608"/>
        <v>82097</v>
      </c>
      <c r="I2719">
        <v>1</v>
      </c>
      <c r="J2719">
        <v>380</v>
      </c>
      <c r="K2719">
        <v>0</v>
      </c>
      <c r="L2719">
        <v>345.8</v>
      </c>
    </row>
    <row r="2720" spans="1:12" x14ac:dyDescent="0.25">
      <c r="A2720" t="str">
        <f t="shared" si="601"/>
        <v>89301000</v>
      </c>
      <c r="B2720" t="str">
        <f t="shared" si="603"/>
        <v>06539000</v>
      </c>
      <c r="C2720" t="str">
        <f t="shared" si="606"/>
        <v>06539002</v>
      </c>
      <c r="D2720" t="str">
        <f t="shared" si="607"/>
        <v>802</v>
      </c>
      <c r="E2720" t="str">
        <f t="shared" si="604"/>
        <v>89301171</v>
      </c>
      <c r="F2720" t="str">
        <f t="shared" si="605"/>
        <v>7953224455</v>
      </c>
      <c r="G2720" s="1">
        <v>44596</v>
      </c>
      <c r="H2720" t="str">
        <f t="shared" si="608"/>
        <v>82097</v>
      </c>
      <c r="I2720">
        <v>1</v>
      </c>
      <c r="J2720">
        <v>380</v>
      </c>
      <c r="K2720">
        <v>0</v>
      </c>
      <c r="L2720">
        <v>345.8</v>
      </c>
    </row>
    <row r="2721" spans="1:12" x14ac:dyDescent="0.25">
      <c r="A2721" t="str">
        <f t="shared" si="601"/>
        <v>89301000</v>
      </c>
      <c r="B2721" t="str">
        <f t="shared" si="603"/>
        <v>06539000</v>
      </c>
      <c r="C2721" t="str">
        <f t="shared" si="606"/>
        <v>06539002</v>
      </c>
      <c r="D2721" t="str">
        <f t="shared" si="607"/>
        <v>802</v>
      </c>
      <c r="E2721" t="str">
        <f t="shared" si="604"/>
        <v>89301171</v>
      </c>
      <c r="F2721" t="str">
        <f t="shared" si="605"/>
        <v>7953224455</v>
      </c>
      <c r="G2721" s="1">
        <v>44596</v>
      </c>
      <c r="H2721" t="str">
        <f t="shared" si="608"/>
        <v>82097</v>
      </c>
      <c r="I2721">
        <v>1</v>
      </c>
      <c r="J2721">
        <v>380</v>
      </c>
      <c r="K2721">
        <v>0</v>
      </c>
      <c r="L2721">
        <v>345.8</v>
      </c>
    </row>
    <row r="2722" spans="1:12" x14ac:dyDescent="0.25">
      <c r="A2722" t="str">
        <f t="shared" si="601"/>
        <v>89301000</v>
      </c>
      <c r="B2722" t="str">
        <f t="shared" si="603"/>
        <v>06539000</v>
      </c>
      <c r="C2722" t="str">
        <f t="shared" ref="C2722:C2758" si="609">"06539003"</f>
        <v>06539003</v>
      </c>
      <c r="D2722" t="str">
        <f t="shared" ref="D2722:D2758" si="610">"813"</f>
        <v>813</v>
      </c>
      <c r="E2722" t="str">
        <f t="shared" si="604"/>
        <v>89301171</v>
      </c>
      <c r="F2722" t="str">
        <f t="shared" si="605"/>
        <v>7953224455</v>
      </c>
      <c r="G2722" s="1">
        <v>44599</v>
      </c>
      <c r="H2722" t="str">
        <f>"91439"</f>
        <v>91439</v>
      </c>
      <c r="I2722">
        <v>1</v>
      </c>
      <c r="J2722">
        <v>356</v>
      </c>
      <c r="K2722">
        <v>0</v>
      </c>
      <c r="L2722">
        <v>277.68</v>
      </c>
    </row>
    <row r="2723" spans="1:12" x14ac:dyDescent="0.25">
      <c r="A2723" t="str">
        <f t="shared" si="601"/>
        <v>89301000</v>
      </c>
      <c r="B2723" t="str">
        <f t="shared" si="603"/>
        <v>06539000</v>
      </c>
      <c r="C2723" t="str">
        <f t="shared" si="609"/>
        <v>06539003</v>
      </c>
      <c r="D2723" t="str">
        <f t="shared" si="610"/>
        <v>813</v>
      </c>
      <c r="E2723" t="str">
        <f t="shared" si="604"/>
        <v>89301171</v>
      </c>
      <c r="F2723" t="str">
        <f t="shared" si="605"/>
        <v>7953224455</v>
      </c>
      <c r="G2723" s="1">
        <v>44599</v>
      </c>
      <c r="H2723" t="str">
        <f>"91439"</f>
        <v>91439</v>
      </c>
      <c r="I2723">
        <v>1</v>
      </c>
      <c r="J2723">
        <v>356</v>
      </c>
      <c r="K2723">
        <v>0</v>
      </c>
      <c r="L2723">
        <v>277.68</v>
      </c>
    </row>
    <row r="2724" spans="1:12" x14ac:dyDescent="0.25">
      <c r="A2724" t="str">
        <f t="shared" si="601"/>
        <v>89301000</v>
      </c>
      <c r="B2724" t="str">
        <f t="shared" si="603"/>
        <v>06539000</v>
      </c>
      <c r="C2724" t="str">
        <f t="shared" si="609"/>
        <v>06539003</v>
      </c>
      <c r="D2724" t="str">
        <f t="shared" si="610"/>
        <v>813</v>
      </c>
      <c r="E2724" t="str">
        <f t="shared" si="604"/>
        <v>89301171</v>
      </c>
      <c r="F2724" t="str">
        <f t="shared" si="605"/>
        <v>7953224455</v>
      </c>
      <c r="G2724" s="1">
        <v>44599</v>
      </c>
      <c r="H2724" t="str">
        <f>"91439"</f>
        <v>91439</v>
      </c>
      <c r="I2724">
        <v>1</v>
      </c>
      <c r="J2724">
        <v>356</v>
      </c>
      <c r="K2724">
        <v>0</v>
      </c>
      <c r="L2724">
        <v>277.68</v>
      </c>
    </row>
    <row r="2725" spans="1:12" x14ac:dyDescent="0.25">
      <c r="A2725" t="str">
        <f t="shared" si="601"/>
        <v>89301000</v>
      </c>
      <c r="B2725" t="str">
        <f t="shared" si="603"/>
        <v>06539000</v>
      </c>
      <c r="C2725" t="str">
        <f t="shared" si="609"/>
        <v>06539003</v>
      </c>
      <c r="D2725" t="str">
        <f t="shared" si="610"/>
        <v>813</v>
      </c>
      <c r="E2725" t="str">
        <f t="shared" si="604"/>
        <v>89301171</v>
      </c>
      <c r="F2725" t="str">
        <f t="shared" si="605"/>
        <v>7953224455</v>
      </c>
      <c r="G2725" s="1">
        <v>44599</v>
      </c>
      <c r="H2725" t="str">
        <f>"91439"</f>
        <v>91439</v>
      </c>
      <c r="I2725">
        <v>1</v>
      </c>
      <c r="J2725">
        <v>356</v>
      </c>
      <c r="K2725">
        <v>0</v>
      </c>
      <c r="L2725">
        <v>277.68</v>
      </c>
    </row>
    <row r="2726" spans="1:12" x14ac:dyDescent="0.25">
      <c r="A2726" t="str">
        <f t="shared" si="601"/>
        <v>89301000</v>
      </c>
      <c r="B2726" t="str">
        <f t="shared" si="603"/>
        <v>06539000</v>
      </c>
      <c r="C2726" t="str">
        <f t="shared" si="609"/>
        <v>06539003</v>
      </c>
      <c r="D2726" t="str">
        <f t="shared" si="610"/>
        <v>813</v>
      </c>
      <c r="E2726" t="str">
        <f t="shared" si="604"/>
        <v>89301171</v>
      </c>
      <c r="F2726" t="str">
        <f t="shared" si="605"/>
        <v>7953224455</v>
      </c>
      <c r="G2726" s="1">
        <v>44599</v>
      </c>
      <c r="H2726" t="str">
        <f>"91439"</f>
        <v>91439</v>
      </c>
      <c r="I2726">
        <v>2</v>
      </c>
      <c r="J2726">
        <v>712</v>
      </c>
      <c r="K2726">
        <v>0</v>
      </c>
      <c r="L2726">
        <v>555.36</v>
      </c>
    </row>
    <row r="2727" spans="1:12" x14ac:dyDescent="0.25">
      <c r="A2727" t="str">
        <f t="shared" si="601"/>
        <v>89301000</v>
      </c>
      <c r="B2727" t="str">
        <f t="shared" si="603"/>
        <v>06539000</v>
      </c>
      <c r="C2727" t="str">
        <f t="shared" si="609"/>
        <v>06539003</v>
      </c>
      <c r="D2727" t="str">
        <f t="shared" si="610"/>
        <v>813</v>
      </c>
      <c r="E2727" t="str">
        <f t="shared" si="604"/>
        <v>89301171</v>
      </c>
      <c r="F2727" t="str">
        <f t="shared" si="605"/>
        <v>7953224455</v>
      </c>
      <c r="G2727" s="1">
        <v>44601</v>
      </c>
      <c r="H2727" t="str">
        <f t="shared" ref="H2727:H2736" si="611">"91413"</f>
        <v>91413</v>
      </c>
      <c r="I2727">
        <v>1</v>
      </c>
      <c r="J2727">
        <v>853</v>
      </c>
      <c r="K2727">
        <v>0</v>
      </c>
      <c r="L2727">
        <v>665.34</v>
      </c>
    </row>
    <row r="2728" spans="1:12" x14ac:dyDescent="0.25">
      <c r="A2728" t="str">
        <f t="shared" si="601"/>
        <v>89301000</v>
      </c>
      <c r="B2728" t="str">
        <f t="shared" si="603"/>
        <v>06539000</v>
      </c>
      <c r="C2728" t="str">
        <f t="shared" si="609"/>
        <v>06539003</v>
      </c>
      <c r="D2728" t="str">
        <f t="shared" si="610"/>
        <v>813</v>
      </c>
      <c r="E2728" t="str">
        <f t="shared" si="604"/>
        <v>89301171</v>
      </c>
      <c r="F2728" t="str">
        <f t="shared" si="605"/>
        <v>7953224455</v>
      </c>
      <c r="G2728" s="1">
        <v>44601</v>
      </c>
      <c r="H2728" t="str">
        <f t="shared" si="611"/>
        <v>91413</v>
      </c>
      <c r="I2728">
        <v>1</v>
      </c>
      <c r="J2728">
        <v>853</v>
      </c>
      <c r="K2728">
        <v>0</v>
      </c>
      <c r="L2728">
        <v>665.34</v>
      </c>
    </row>
    <row r="2729" spans="1:12" x14ac:dyDescent="0.25">
      <c r="A2729" t="str">
        <f t="shared" si="601"/>
        <v>89301000</v>
      </c>
      <c r="B2729" t="str">
        <f t="shared" si="603"/>
        <v>06539000</v>
      </c>
      <c r="C2729" t="str">
        <f t="shared" si="609"/>
        <v>06539003</v>
      </c>
      <c r="D2729" t="str">
        <f t="shared" si="610"/>
        <v>813</v>
      </c>
      <c r="E2729" t="str">
        <f t="shared" si="604"/>
        <v>89301171</v>
      </c>
      <c r="F2729" t="str">
        <f t="shared" si="605"/>
        <v>7953224455</v>
      </c>
      <c r="G2729" s="1">
        <v>44610</v>
      </c>
      <c r="H2729" t="str">
        <f t="shared" si="611"/>
        <v>91413</v>
      </c>
      <c r="I2729">
        <v>1</v>
      </c>
      <c r="J2729">
        <v>853</v>
      </c>
      <c r="K2729">
        <v>0</v>
      </c>
      <c r="L2729">
        <v>665.34</v>
      </c>
    </row>
    <row r="2730" spans="1:12" x14ac:dyDescent="0.25">
      <c r="A2730" t="str">
        <f t="shared" si="601"/>
        <v>89301000</v>
      </c>
      <c r="B2730" t="str">
        <f t="shared" si="603"/>
        <v>06539000</v>
      </c>
      <c r="C2730" t="str">
        <f t="shared" si="609"/>
        <v>06539003</v>
      </c>
      <c r="D2730" t="str">
        <f t="shared" si="610"/>
        <v>813</v>
      </c>
      <c r="E2730" t="str">
        <f t="shared" si="604"/>
        <v>89301171</v>
      </c>
      <c r="F2730" t="str">
        <f t="shared" si="605"/>
        <v>7953224455</v>
      </c>
      <c r="G2730" s="1">
        <v>44610</v>
      </c>
      <c r="H2730" t="str">
        <f t="shared" si="611"/>
        <v>91413</v>
      </c>
      <c r="I2730">
        <v>1</v>
      </c>
      <c r="J2730">
        <v>853</v>
      </c>
      <c r="K2730">
        <v>0</v>
      </c>
      <c r="L2730">
        <v>665.34</v>
      </c>
    </row>
    <row r="2731" spans="1:12" x14ac:dyDescent="0.25">
      <c r="A2731" t="str">
        <f t="shared" si="601"/>
        <v>89301000</v>
      </c>
      <c r="B2731" t="str">
        <f t="shared" si="603"/>
        <v>06539000</v>
      </c>
      <c r="C2731" t="str">
        <f t="shared" si="609"/>
        <v>06539003</v>
      </c>
      <c r="D2731" t="str">
        <f t="shared" si="610"/>
        <v>813</v>
      </c>
      <c r="E2731" t="str">
        <f t="shared" si="604"/>
        <v>89301171</v>
      </c>
      <c r="F2731" t="str">
        <f t="shared" si="605"/>
        <v>7953224455</v>
      </c>
      <c r="G2731" s="1">
        <v>44610</v>
      </c>
      <c r="H2731" t="str">
        <f t="shared" si="611"/>
        <v>91413</v>
      </c>
      <c r="I2731">
        <v>1</v>
      </c>
      <c r="J2731">
        <v>853</v>
      </c>
      <c r="K2731">
        <v>0</v>
      </c>
      <c r="L2731">
        <v>665.34</v>
      </c>
    </row>
    <row r="2732" spans="1:12" x14ac:dyDescent="0.25">
      <c r="A2732" t="str">
        <f t="shared" si="601"/>
        <v>89301000</v>
      </c>
      <c r="B2732" t="str">
        <f t="shared" si="603"/>
        <v>06539000</v>
      </c>
      <c r="C2732" t="str">
        <f t="shared" si="609"/>
        <v>06539003</v>
      </c>
      <c r="D2732" t="str">
        <f t="shared" si="610"/>
        <v>813</v>
      </c>
      <c r="E2732" t="str">
        <f t="shared" si="604"/>
        <v>89301171</v>
      </c>
      <c r="F2732" t="str">
        <f t="shared" si="605"/>
        <v>7953224455</v>
      </c>
      <c r="G2732" s="1">
        <v>44610</v>
      </c>
      <c r="H2732" t="str">
        <f t="shared" si="611"/>
        <v>91413</v>
      </c>
      <c r="I2732">
        <v>1</v>
      </c>
      <c r="J2732">
        <v>853</v>
      </c>
      <c r="K2732">
        <v>0</v>
      </c>
      <c r="L2732">
        <v>665.34</v>
      </c>
    </row>
    <row r="2733" spans="1:12" x14ac:dyDescent="0.25">
      <c r="A2733" t="str">
        <f t="shared" si="601"/>
        <v>89301000</v>
      </c>
      <c r="B2733" t="str">
        <f t="shared" si="603"/>
        <v>06539000</v>
      </c>
      <c r="C2733" t="str">
        <f t="shared" si="609"/>
        <v>06539003</v>
      </c>
      <c r="D2733" t="str">
        <f t="shared" si="610"/>
        <v>813</v>
      </c>
      <c r="E2733" t="str">
        <f t="shared" si="604"/>
        <v>89301171</v>
      </c>
      <c r="F2733" t="str">
        <f t="shared" si="605"/>
        <v>7953224455</v>
      </c>
      <c r="G2733" s="1">
        <v>44630</v>
      </c>
      <c r="H2733" t="str">
        <f t="shared" si="611"/>
        <v>91413</v>
      </c>
      <c r="I2733">
        <v>1</v>
      </c>
      <c r="J2733">
        <v>853</v>
      </c>
      <c r="K2733">
        <v>0</v>
      </c>
      <c r="L2733">
        <v>665.34</v>
      </c>
    </row>
    <row r="2734" spans="1:12" x14ac:dyDescent="0.25">
      <c r="A2734" t="str">
        <f t="shared" si="601"/>
        <v>89301000</v>
      </c>
      <c r="B2734" t="str">
        <f t="shared" si="603"/>
        <v>06539000</v>
      </c>
      <c r="C2734" t="str">
        <f t="shared" si="609"/>
        <v>06539003</v>
      </c>
      <c r="D2734" t="str">
        <f t="shared" si="610"/>
        <v>813</v>
      </c>
      <c r="E2734" t="str">
        <f t="shared" si="604"/>
        <v>89301171</v>
      </c>
      <c r="F2734" t="str">
        <f t="shared" si="605"/>
        <v>7953224455</v>
      </c>
      <c r="G2734" s="1">
        <v>44630</v>
      </c>
      <c r="H2734" t="str">
        <f t="shared" si="611"/>
        <v>91413</v>
      </c>
      <c r="I2734">
        <v>1</v>
      </c>
      <c r="J2734">
        <v>853</v>
      </c>
      <c r="K2734">
        <v>0</v>
      </c>
      <c r="L2734">
        <v>665.34</v>
      </c>
    </row>
    <row r="2735" spans="1:12" x14ac:dyDescent="0.25">
      <c r="A2735" t="str">
        <f t="shared" si="601"/>
        <v>89301000</v>
      </c>
      <c r="B2735" t="str">
        <f t="shared" si="603"/>
        <v>06539000</v>
      </c>
      <c r="C2735" t="str">
        <f t="shared" si="609"/>
        <v>06539003</v>
      </c>
      <c r="D2735" t="str">
        <f t="shared" si="610"/>
        <v>813</v>
      </c>
      <c r="E2735" t="str">
        <f t="shared" si="604"/>
        <v>89301171</v>
      </c>
      <c r="F2735" t="str">
        <f t="shared" si="605"/>
        <v>7953224455</v>
      </c>
      <c r="G2735" s="1">
        <v>44630</v>
      </c>
      <c r="H2735" t="str">
        <f t="shared" si="611"/>
        <v>91413</v>
      </c>
      <c r="I2735">
        <v>1</v>
      </c>
      <c r="J2735">
        <v>853</v>
      </c>
      <c r="K2735">
        <v>0</v>
      </c>
      <c r="L2735">
        <v>665.34</v>
      </c>
    </row>
    <row r="2736" spans="1:12" x14ac:dyDescent="0.25">
      <c r="A2736" t="str">
        <f t="shared" si="601"/>
        <v>89301000</v>
      </c>
      <c r="B2736" t="str">
        <f t="shared" si="603"/>
        <v>06539000</v>
      </c>
      <c r="C2736" t="str">
        <f t="shared" si="609"/>
        <v>06539003</v>
      </c>
      <c r="D2736" t="str">
        <f t="shared" si="610"/>
        <v>813</v>
      </c>
      <c r="E2736" t="str">
        <f t="shared" si="604"/>
        <v>89301171</v>
      </c>
      <c r="F2736" t="str">
        <f t="shared" si="605"/>
        <v>7953224455</v>
      </c>
      <c r="G2736" s="1">
        <v>44610</v>
      </c>
      <c r="H2736" t="str">
        <f t="shared" si="611"/>
        <v>91413</v>
      </c>
      <c r="I2736">
        <v>1</v>
      </c>
      <c r="J2736">
        <v>853</v>
      </c>
      <c r="K2736">
        <v>0</v>
      </c>
      <c r="L2736">
        <v>665.34</v>
      </c>
    </row>
    <row r="2737" spans="1:12" x14ac:dyDescent="0.25">
      <c r="A2737" t="str">
        <f t="shared" si="601"/>
        <v>89301000</v>
      </c>
      <c r="B2737" t="str">
        <f t="shared" si="603"/>
        <v>06539000</v>
      </c>
      <c r="C2737" t="str">
        <f t="shared" si="609"/>
        <v>06539003</v>
      </c>
      <c r="D2737" t="str">
        <f t="shared" si="610"/>
        <v>813</v>
      </c>
      <c r="E2737" t="str">
        <f t="shared" si="604"/>
        <v>89301171</v>
      </c>
      <c r="F2737" t="str">
        <f t="shared" si="605"/>
        <v>7953224455</v>
      </c>
      <c r="G2737" s="1">
        <v>44596</v>
      </c>
      <c r="H2737" t="str">
        <f t="shared" ref="H2737:H2743" si="612">"91197"</f>
        <v>91197</v>
      </c>
      <c r="I2737">
        <v>1</v>
      </c>
      <c r="J2737">
        <v>1046</v>
      </c>
      <c r="K2737">
        <v>0</v>
      </c>
      <c r="L2737">
        <v>815.88</v>
      </c>
    </row>
    <row r="2738" spans="1:12" x14ac:dyDescent="0.25">
      <c r="A2738" t="str">
        <f t="shared" si="601"/>
        <v>89301000</v>
      </c>
      <c r="B2738" t="str">
        <f t="shared" si="603"/>
        <v>06539000</v>
      </c>
      <c r="C2738" t="str">
        <f t="shared" si="609"/>
        <v>06539003</v>
      </c>
      <c r="D2738" t="str">
        <f t="shared" si="610"/>
        <v>813</v>
      </c>
      <c r="E2738" t="str">
        <f t="shared" si="604"/>
        <v>89301171</v>
      </c>
      <c r="F2738" t="str">
        <f t="shared" si="605"/>
        <v>7953224455</v>
      </c>
      <c r="G2738" s="1">
        <v>44599</v>
      </c>
      <c r="H2738" t="str">
        <f t="shared" si="612"/>
        <v>91197</v>
      </c>
      <c r="I2738">
        <v>1</v>
      </c>
      <c r="J2738">
        <v>1046</v>
      </c>
      <c r="K2738">
        <v>0</v>
      </c>
      <c r="L2738">
        <v>815.88</v>
      </c>
    </row>
    <row r="2739" spans="1:12" x14ac:dyDescent="0.25">
      <c r="A2739" t="str">
        <f t="shared" si="601"/>
        <v>89301000</v>
      </c>
      <c r="B2739" t="str">
        <f t="shared" si="603"/>
        <v>06539000</v>
      </c>
      <c r="C2739" t="str">
        <f t="shared" si="609"/>
        <v>06539003</v>
      </c>
      <c r="D2739" t="str">
        <f t="shared" si="610"/>
        <v>813</v>
      </c>
      <c r="E2739" t="str">
        <f t="shared" si="604"/>
        <v>89301171</v>
      </c>
      <c r="F2739" t="str">
        <f t="shared" si="605"/>
        <v>7953224455</v>
      </c>
      <c r="G2739" s="1">
        <v>44599</v>
      </c>
      <c r="H2739" t="str">
        <f t="shared" si="612"/>
        <v>91197</v>
      </c>
      <c r="I2739">
        <v>1</v>
      </c>
      <c r="J2739">
        <v>1046</v>
      </c>
      <c r="K2739">
        <v>0</v>
      </c>
      <c r="L2739">
        <v>815.88</v>
      </c>
    </row>
    <row r="2740" spans="1:12" x14ac:dyDescent="0.25">
      <c r="A2740" t="str">
        <f t="shared" si="601"/>
        <v>89301000</v>
      </c>
      <c r="B2740" t="str">
        <f t="shared" si="603"/>
        <v>06539000</v>
      </c>
      <c r="C2740" t="str">
        <f t="shared" si="609"/>
        <v>06539003</v>
      </c>
      <c r="D2740" t="str">
        <f t="shared" si="610"/>
        <v>813</v>
      </c>
      <c r="E2740" t="str">
        <f t="shared" si="604"/>
        <v>89301171</v>
      </c>
      <c r="F2740" t="str">
        <f t="shared" si="605"/>
        <v>7953224455</v>
      </c>
      <c r="G2740" s="1">
        <v>44598</v>
      </c>
      <c r="H2740" t="str">
        <f t="shared" si="612"/>
        <v>91197</v>
      </c>
      <c r="I2740">
        <v>1</v>
      </c>
      <c r="J2740">
        <v>1046</v>
      </c>
      <c r="K2740">
        <v>0</v>
      </c>
      <c r="L2740">
        <v>815.88</v>
      </c>
    </row>
    <row r="2741" spans="1:12" x14ac:dyDescent="0.25">
      <c r="A2741" t="str">
        <f t="shared" si="601"/>
        <v>89301000</v>
      </c>
      <c r="B2741" t="str">
        <f t="shared" si="603"/>
        <v>06539000</v>
      </c>
      <c r="C2741" t="str">
        <f t="shared" si="609"/>
        <v>06539003</v>
      </c>
      <c r="D2741" t="str">
        <f t="shared" si="610"/>
        <v>813</v>
      </c>
      <c r="E2741" t="str">
        <f t="shared" si="604"/>
        <v>89301171</v>
      </c>
      <c r="F2741" t="str">
        <f t="shared" si="605"/>
        <v>7953224455</v>
      </c>
      <c r="G2741" s="1">
        <v>44598</v>
      </c>
      <c r="H2741" t="str">
        <f t="shared" si="612"/>
        <v>91197</v>
      </c>
      <c r="I2741">
        <v>1</v>
      </c>
      <c r="J2741">
        <v>1046</v>
      </c>
      <c r="K2741">
        <v>0</v>
      </c>
      <c r="L2741">
        <v>815.88</v>
      </c>
    </row>
    <row r="2742" spans="1:12" x14ac:dyDescent="0.25">
      <c r="A2742" t="str">
        <f t="shared" si="601"/>
        <v>89301000</v>
      </c>
      <c r="B2742" t="str">
        <f t="shared" si="603"/>
        <v>06539000</v>
      </c>
      <c r="C2742" t="str">
        <f t="shared" si="609"/>
        <v>06539003</v>
      </c>
      <c r="D2742" t="str">
        <f t="shared" si="610"/>
        <v>813</v>
      </c>
      <c r="E2742" t="str">
        <f t="shared" si="604"/>
        <v>89301171</v>
      </c>
      <c r="F2742" t="str">
        <f t="shared" si="605"/>
        <v>7953224455</v>
      </c>
      <c r="G2742" s="1">
        <v>44597</v>
      </c>
      <c r="H2742" t="str">
        <f t="shared" si="612"/>
        <v>91197</v>
      </c>
      <c r="I2742">
        <v>1</v>
      </c>
      <c r="J2742">
        <v>1046</v>
      </c>
      <c r="K2742">
        <v>0</v>
      </c>
      <c r="L2742">
        <v>815.88</v>
      </c>
    </row>
    <row r="2743" spans="1:12" x14ac:dyDescent="0.25">
      <c r="A2743" t="str">
        <f t="shared" si="601"/>
        <v>89301000</v>
      </c>
      <c r="B2743" t="str">
        <f t="shared" si="603"/>
        <v>06539000</v>
      </c>
      <c r="C2743" t="str">
        <f t="shared" si="609"/>
        <v>06539003</v>
      </c>
      <c r="D2743" t="str">
        <f t="shared" si="610"/>
        <v>813</v>
      </c>
      <c r="E2743" t="str">
        <f t="shared" si="604"/>
        <v>89301171</v>
      </c>
      <c r="F2743" t="str">
        <f t="shared" si="605"/>
        <v>7953224455</v>
      </c>
      <c r="G2743" s="1">
        <v>44597</v>
      </c>
      <c r="H2743" t="str">
        <f t="shared" si="612"/>
        <v>91197</v>
      </c>
      <c r="I2743">
        <v>1</v>
      </c>
      <c r="J2743">
        <v>1046</v>
      </c>
      <c r="K2743">
        <v>0</v>
      </c>
      <c r="L2743">
        <v>815.88</v>
      </c>
    </row>
    <row r="2744" spans="1:12" x14ac:dyDescent="0.25">
      <c r="A2744" t="str">
        <f t="shared" si="601"/>
        <v>89301000</v>
      </c>
      <c r="B2744" t="str">
        <f t="shared" si="603"/>
        <v>06539000</v>
      </c>
      <c r="C2744" t="str">
        <f t="shared" si="609"/>
        <v>06539003</v>
      </c>
      <c r="D2744" t="str">
        <f t="shared" si="610"/>
        <v>813</v>
      </c>
      <c r="E2744" t="str">
        <f t="shared" si="604"/>
        <v>89301171</v>
      </c>
      <c r="F2744" t="str">
        <f t="shared" si="605"/>
        <v>7953224455</v>
      </c>
      <c r="G2744" s="1">
        <v>44601</v>
      </c>
      <c r="H2744" t="str">
        <f>"91329"</f>
        <v>91329</v>
      </c>
      <c r="I2744">
        <v>2</v>
      </c>
      <c r="J2744">
        <v>428</v>
      </c>
      <c r="K2744">
        <v>0</v>
      </c>
      <c r="L2744">
        <v>333.84</v>
      </c>
    </row>
    <row r="2745" spans="1:12" x14ac:dyDescent="0.25">
      <c r="A2745" t="str">
        <f t="shared" si="601"/>
        <v>89301000</v>
      </c>
      <c r="B2745" t="str">
        <f t="shared" si="603"/>
        <v>06539000</v>
      </c>
      <c r="C2745" t="str">
        <f t="shared" si="609"/>
        <v>06539003</v>
      </c>
      <c r="D2745" t="str">
        <f t="shared" si="610"/>
        <v>813</v>
      </c>
      <c r="E2745" t="str">
        <f t="shared" si="604"/>
        <v>89301171</v>
      </c>
      <c r="F2745" t="str">
        <f t="shared" si="605"/>
        <v>7953224455</v>
      </c>
      <c r="G2745" s="1">
        <v>44601</v>
      </c>
      <c r="H2745" t="str">
        <f>"91329"</f>
        <v>91329</v>
      </c>
      <c r="I2745">
        <v>2</v>
      </c>
      <c r="J2745">
        <v>428</v>
      </c>
      <c r="K2745">
        <v>0</v>
      </c>
      <c r="L2745">
        <v>333.84</v>
      </c>
    </row>
    <row r="2746" spans="1:12" x14ac:dyDescent="0.25">
      <c r="A2746" t="str">
        <f t="shared" si="601"/>
        <v>89301000</v>
      </c>
      <c r="B2746" t="str">
        <f t="shared" si="603"/>
        <v>06539000</v>
      </c>
      <c r="C2746" t="str">
        <f t="shared" si="609"/>
        <v>06539003</v>
      </c>
      <c r="D2746" t="str">
        <f t="shared" si="610"/>
        <v>813</v>
      </c>
      <c r="E2746" t="str">
        <f t="shared" si="604"/>
        <v>89301171</v>
      </c>
      <c r="F2746" t="str">
        <f t="shared" si="605"/>
        <v>7953224455</v>
      </c>
      <c r="G2746" s="1">
        <v>44601</v>
      </c>
      <c r="H2746" t="str">
        <f>"91329"</f>
        <v>91329</v>
      </c>
      <c r="I2746">
        <v>2</v>
      </c>
      <c r="J2746">
        <v>428</v>
      </c>
      <c r="K2746">
        <v>0</v>
      </c>
      <c r="L2746">
        <v>333.84</v>
      </c>
    </row>
    <row r="2747" spans="1:12" x14ac:dyDescent="0.25">
      <c r="A2747" t="str">
        <f t="shared" si="601"/>
        <v>89301000</v>
      </c>
      <c r="B2747" t="str">
        <f t="shared" si="603"/>
        <v>06539000</v>
      </c>
      <c r="C2747" t="str">
        <f t="shared" si="609"/>
        <v>06539003</v>
      </c>
      <c r="D2747" t="str">
        <f t="shared" si="610"/>
        <v>813</v>
      </c>
      <c r="E2747" t="str">
        <f t="shared" si="604"/>
        <v>89301171</v>
      </c>
      <c r="F2747" t="str">
        <f t="shared" si="605"/>
        <v>7953224455</v>
      </c>
      <c r="G2747" s="1">
        <v>44601</v>
      </c>
      <c r="H2747" t="str">
        <f>"91329"</f>
        <v>91329</v>
      </c>
      <c r="I2747">
        <v>2</v>
      </c>
      <c r="J2747">
        <v>428</v>
      </c>
      <c r="K2747">
        <v>0</v>
      </c>
      <c r="L2747">
        <v>333.84</v>
      </c>
    </row>
    <row r="2748" spans="1:12" x14ac:dyDescent="0.25">
      <c r="A2748" t="str">
        <f t="shared" si="601"/>
        <v>89301000</v>
      </c>
      <c r="B2748" t="str">
        <f t="shared" si="603"/>
        <v>06539000</v>
      </c>
      <c r="C2748" t="str">
        <f t="shared" si="609"/>
        <v>06539003</v>
      </c>
      <c r="D2748" t="str">
        <f t="shared" si="610"/>
        <v>813</v>
      </c>
      <c r="E2748" t="str">
        <f t="shared" si="604"/>
        <v>89301171</v>
      </c>
      <c r="F2748" t="str">
        <f t="shared" si="605"/>
        <v>7953224455</v>
      </c>
      <c r="G2748" s="1">
        <v>44596</v>
      </c>
      <c r="H2748" t="str">
        <f>"91129"</f>
        <v>91129</v>
      </c>
      <c r="I2748">
        <v>1</v>
      </c>
      <c r="J2748">
        <v>174</v>
      </c>
      <c r="K2748">
        <v>0</v>
      </c>
      <c r="L2748">
        <v>135.72</v>
      </c>
    </row>
    <row r="2749" spans="1:12" x14ac:dyDescent="0.25">
      <c r="A2749" t="str">
        <f t="shared" si="601"/>
        <v>89301000</v>
      </c>
      <c r="B2749" t="str">
        <f t="shared" si="603"/>
        <v>06539000</v>
      </c>
      <c r="C2749" t="str">
        <f t="shared" si="609"/>
        <v>06539003</v>
      </c>
      <c r="D2749" t="str">
        <f t="shared" si="610"/>
        <v>813</v>
      </c>
      <c r="E2749" t="str">
        <f t="shared" si="604"/>
        <v>89301171</v>
      </c>
      <c r="F2749" t="str">
        <f t="shared" si="605"/>
        <v>7953224455</v>
      </c>
      <c r="G2749" s="1">
        <v>44596</v>
      </c>
      <c r="H2749" t="str">
        <f>"91131"</f>
        <v>91131</v>
      </c>
      <c r="I2749">
        <v>1</v>
      </c>
      <c r="J2749">
        <v>171</v>
      </c>
      <c r="K2749">
        <v>0</v>
      </c>
      <c r="L2749">
        <v>133.38</v>
      </c>
    </row>
    <row r="2750" spans="1:12" x14ac:dyDescent="0.25">
      <c r="A2750" t="str">
        <f t="shared" si="601"/>
        <v>89301000</v>
      </c>
      <c r="B2750" t="str">
        <f t="shared" si="603"/>
        <v>06539000</v>
      </c>
      <c r="C2750" t="str">
        <f t="shared" si="609"/>
        <v>06539003</v>
      </c>
      <c r="D2750" t="str">
        <f t="shared" si="610"/>
        <v>813</v>
      </c>
      <c r="E2750" t="str">
        <f t="shared" si="604"/>
        <v>89301171</v>
      </c>
      <c r="F2750" t="str">
        <f t="shared" si="605"/>
        <v>7953224455</v>
      </c>
      <c r="G2750" s="1">
        <v>44596</v>
      </c>
      <c r="H2750" t="str">
        <f>"91133"</f>
        <v>91133</v>
      </c>
      <c r="I2750">
        <v>1</v>
      </c>
      <c r="J2750">
        <v>176</v>
      </c>
      <c r="K2750">
        <v>0</v>
      </c>
      <c r="L2750">
        <v>137.28</v>
      </c>
    </row>
    <row r="2751" spans="1:12" x14ac:dyDescent="0.25">
      <c r="A2751" t="str">
        <f t="shared" si="601"/>
        <v>89301000</v>
      </c>
      <c r="B2751" t="str">
        <f t="shared" si="603"/>
        <v>06539000</v>
      </c>
      <c r="C2751" t="str">
        <f t="shared" si="609"/>
        <v>06539003</v>
      </c>
      <c r="D2751" t="str">
        <f t="shared" si="610"/>
        <v>813</v>
      </c>
      <c r="E2751" t="str">
        <f t="shared" si="604"/>
        <v>89301171</v>
      </c>
      <c r="F2751" t="str">
        <f t="shared" si="605"/>
        <v>7953224455</v>
      </c>
      <c r="G2751" s="1">
        <v>44596</v>
      </c>
      <c r="H2751" t="str">
        <f>"91171"</f>
        <v>91171</v>
      </c>
      <c r="I2751">
        <v>1</v>
      </c>
      <c r="J2751">
        <v>360</v>
      </c>
      <c r="K2751">
        <v>0</v>
      </c>
      <c r="L2751">
        <v>280.8</v>
      </c>
    </row>
    <row r="2752" spans="1:12" x14ac:dyDescent="0.25">
      <c r="A2752" t="str">
        <f t="shared" si="601"/>
        <v>89301000</v>
      </c>
      <c r="B2752" t="str">
        <f t="shared" si="603"/>
        <v>06539000</v>
      </c>
      <c r="C2752" t="str">
        <f t="shared" si="609"/>
        <v>06539003</v>
      </c>
      <c r="D2752" t="str">
        <f t="shared" si="610"/>
        <v>813</v>
      </c>
      <c r="E2752" t="str">
        <f t="shared" si="604"/>
        <v>89301171</v>
      </c>
      <c r="F2752" t="str">
        <f t="shared" si="605"/>
        <v>7953224455</v>
      </c>
      <c r="G2752" s="1">
        <v>44596</v>
      </c>
      <c r="H2752" t="str">
        <f>"91173"</f>
        <v>91173</v>
      </c>
      <c r="I2752">
        <v>1</v>
      </c>
      <c r="J2752">
        <v>335</v>
      </c>
      <c r="K2752">
        <v>0</v>
      </c>
      <c r="L2752">
        <v>261.3</v>
      </c>
    </row>
    <row r="2753" spans="1:12" x14ac:dyDescent="0.25">
      <c r="A2753" t="str">
        <f t="shared" si="601"/>
        <v>89301000</v>
      </c>
      <c r="B2753" t="str">
        <f t="shared" si="603"/>
        <v>06539000</v>
      </c>
      <c r="C2753" t="str">
        <f t="shared" si="609"/>
        <v>06539003</v>
      </c>
      <c r="D2753" t="str">
        <f t="shared" si="610"/>
        <v>813</v>
      </c>
      <c r="E2753" t="str">
        <f t="shared" si="604"/>
        <v>89301171</v>
      </c>
      <c r="F2753" t="str">
        <f t="shared" si="605"/>
        <v>7953224455</v>
      </c>
      <c r="G2753" s="1">
        <v>44596</v>
      </c>
      <c r="H2753" t="str">
        <f>"91175"</f>
        <v>91175</v>
      </c>
      <c r="I2753">
        <v>1</v>
      </c>
      <c r="J2753">
        <v>360</v>
      </c>
      <c r="K2753">
        <v>0</v>
      </c>
      <c r="L2753">
        <v>280.8</v>
      </c>
    </row>
    <row r="2754" spans="1:12" x14ac:dyDescent="0.25">
      <c r="A2754" t="str">
        <f t="shared" ref="A2754:A2817" si="613">"89301000"</f>
        <v>89301000</v>
      </c>
      <c r="B2754" t="str">
        <f t="shared" si="603"/>
        <v>06539000</v>
      </c>
      <c r="C2754" t="str">
        <f t="shared" si="609"/>
        <v>06539003</v>
      </c>
      <c r="D2754" t="str">
        <f t="shared" si="610"/>
        <v>813</v>
      </c>
      <c r="E2754" t="str">
        <f t="shared" si="604"/>
        <v>89301171</v>
      </c>
      <c r="F2754" t="str">
        <f t="shared" si="605"/>
        <v>7953224455</v>
      </c>
      <c r="G2754" s="1">
        <v>44597</v>
      </c>
      <c r="H2754" t="str">
        <f>"91167"</f>
        <v>91167</v>
      </c>
      <c r="I2754">
        <v>1</v>
      </c>
      <c r="J2754">
        <v>425</v>
      </c>
      <c r="K2754">
        <v>0</v>
      </c>
      <c r="L2754">
        <v>331.5</v>
      </c>
    </row>
    <row r="2755" spans="1:12" x14ac:dyDescent="0.25">
      <c r="A2755" t="str">
        <f t="shared" si="613"/>
        <v>89301000</v>
      </c>
      <c r="B2755" t="str">
        <f t="shared" si="603"/>
        <v>06539000</v>
      </c>
      <c r="C2755" t="str">
        <f t="shared" si="609"/>
        <v>06539003</v>
      </c>
      <c r="D2755" t="str">
        <f t="shared" si="610"/>
        <v>813</v>
      </c>
      <c r="E2755" t="str">
        <f t="shared" si="604"/>
        <v>89301171</v>
      </c>
      <c r="F2755" t="str">
        <f t="shared" si="605"/>
        <v>7953224455</v>
      </c>
      <c r="G2755" s="1">
        <v>44597</v>
      </c>
      <c r="H2755" t="str">
        <f>"91169"</f>
        <v>91169</v>
      </c>
      <c r="I2755">
        <v>1</v>
      </c>
      <c r="J2755">
        <v>425</v>
      </c>
      <c r="K2755">
        <v>0</v>
      </c>
      <c r="L2755">
        <v>331.5</v>
      </c>
    </row>
    <row r="2756" spans="1:12" x14ac:dyDescent="0.25">
      <c r="A2756" t="str">
        <f t="shared" si="613"/>
        <v>89301000</v>
      </c>
      <c r="B2756" t="str">
        <f t="shared" si="603"/>
        <v>06539000</v>
      </c>
      <c r="C2756" t="str">
        <f t="shared" si="609"/>
        <v>06539003</v>
      </c>
      <c r="D2756" t="str">
        <f t="shared" si="610"/>
        <v>813</v>
      </c>
      <c r="E2756" t="str">
        <f t="shared" si="604"/>
        <v>89301171</v>
      </c>
      <c r="F2756" t="str">
        <f t="shared" si="605"/>
        <v>7953224455</v>
      </c>
      <c r="G2756" s="1">
        <v>44596</v>
      </c>
      <c r="H2756" t="str">
        <f>"91167"</f>
        <v>91167</v>
      </c>
      <c r="I2756">
        <v>1</v>
      </c>
      <c r="J2756">
        <v>425</v>
      </c>
      <c r="K2756">
        <v>0</v>
      </c>
      <c r="L2756">
        <v>331.5</v>
      </c>
    </row>
    <row r="2757" spans="1:12" x14ac:dyDescent="0.25">
      <c r="A2757" t="str">
        <f t="shared" si="613"/>
        <v>89301000</v>
      </c>
      <c r="B2757" t="str">
        <f t="shared" si="603"/>
        <v>06539000</v>
      </c>
      <c r="C2757" t="str">
        <f t="shared" si="609"/>
        <v>06539003</v>
      </c>
      <c r="D2757" t="str">
        <f t="shared" si="610"/>
        <v>813</v>
      </c>
      <c r="E2757" t="str">
        <f t="shared" si="604"/>
        <v>89301171</v>
      </c>
      <c r="F2757" t="str">
        <f t="shared" si="605"/>
        <v>7953224455</v>
      </c>
      <c r="G2757" s="1">
        <v>44596</v>
      </c>
      <c r="H2757" t="str">
        <f>"91169"</f>
        <v>91169</v>
      </c>
      <c r="I2757">
        <v>1</v>
      </c>
      <c r="J2757">
        <v>425</v>
      </c>
      <c r="K2757">
        <v>0</v>
      </c>
      <c r="L2757">
        <v>331.5</v>
      </c>
    </row>
    <row r="2758" spans="1:12" x14ac:dyDescent="0.25">
      <c r="A2758" t="str">
        <f t="shared" si="613"/>
        <v>89301000</v>
      </c>
      <c r="B2758" t="str">
        <f t="shared" si="603"/>
        <v>06539000</v>
      </c>
      <c r="C2758" t="str">
        <f t="shared" si="609"/>
        <v>06539003</v>
      </c>
      <c r="D2758" t="str">
        <f t="shared" si="610"/>
        <v>813</v>
      </c>
      <c r="E2758" t="str">
        <f t="shared" si="604"/>
        <v>89301171</v>
      </c>
      <c r="F2758" t="str">
        <f t="shared" si="605"/>
        <v>7953224455</v>
      </c>
      <c r="G2758" s="1">
        <v>44596</v>
      </c>
      <c r="H2758" t="str">
        <f>"91475"</f>
        <v>91475</v>
      </c>
      <c r="I2758">
        <v>1</v>
      </c>
      <c r="J2758">
        <v>206</v>
      </c>
      <c r="K2758">
        <v>0</v>
      </c>
      <c r="L2758">
        <v>160.68</v>
      </c>
    </row>
    <row r="2759" spans="1:12" x14ac:dyDescent="0.25">
      <c r="A2759" t="str">
        <f t="shared" si="613"/>
        <v>89301000</v>
      </c>
      <c r="B2759" t="str">
        <f t="shared" si="603"/>
        <v>06539000</v>
      </c>
      <c r="C2759" t="str">
        <f>"06539001"</f>
        <v>06539001</v>
      </c>
      <c r="D2759" t="str">
        <f>"801"</f>
        <v>801</v>
      </c>
      <c r="E2759" t="str">
        <f t="shared" si="604"/>
        <v>89301171</v>
      </c>
      <c r="F2759" t="str">
        <f t="shared" ref="F2759:F2792" si="614">"480705128"</f>
        <v>480705128</v>
      </c>
      <c r="G2759" s="1">
        <v>44603</v>
      </c>
      <c r="H2759" t="str">
        <f>"81329"</f>
        <v>81329</v>
      </c>
      <c r="I2759">
        <v>1</v>
      </c>
      <c r="J2759">
        <v>16</v>
      </c>
      <c r="K2759">
        <v>0</v>
      </c>
      <c r="L2759">
        <v>12.48</v>
      </c>
    </row>
    <row r="2760" spans="1:12" x14ac:dyDescent="0.25">
      <c r="A2760" t="str">
        <f t="shared" si="613"/>
        <v>89301000</v>
      </c>
      <c r="B2760" t="str">
        <f t="shared" si="603"/>
        <v>06539000</v>
      </c>
      <c r="C2760" t="str">
        <f>"06539001"</f>
        <v>06539001</v>
      </c>
      <c r="D2760" t="str">
        <f>"801"</f>
        <v>801</v>
      </c>
      <c r="E2760" t="str">
        <f t="shared" si="604"/>
        <v>89301171</v>
      </c>
      <c r="F2760" t="str">
        <f t="shared" si="614"/>
        <v>480705128</v>
      </c>
      <c r="G2760" s="1">
        <v>44606</v>
      </c>
      <c r="H2760" t="str">
        <f>"81331"</f>
        <v>81331</v>
      </c>
      <c r="I2760">
        <v>1</v>
      </c>
      <c r="J2760">
        <v>193</v>
      </c>
      <c r="K2760">
        <v>0</v>
      </c>
      <c r="L2760">
        <v>150.54</v>
      </c>
    </row>
    <row r="2761" spans="1:12" x14ac:dyDescent="0.25">
      <c r="A2761" t="str">
        <f t="shared" si="613"/>
        <v>89301000</v>
      </c>
      <c r="B2761" t="str">
        <f t="shared" si="603"/>
        <v>06539000</v>
      </c>
      <c r="C2761" t="str">
        <f t="shared" ref="C2761:C2792" si="615">"06539003"</f>
        <v>06539003</v>
      </c>
      <c r="D2761" t="str">
        <f t="shared" ref="D2761:D2792" si="616">"813"</f>
        <v>813</v>
      </c>
      <c r="E2761" t="str">
        <f t="shared" si="604"/>
        <v>89301171</v>
      </c>
      <c r="F2761" t="str">
        <f t="shared" si="614"/>
        <v>480705128</v>
      </c>
      <c r="G2761" s="1">
        <v>44606</v>
      </c>
      <c r="H2761" t="str">
        <f>"91439"</f>
        <v>91439</v>
      </c>
      <c r="I2761">
        <v>1</v>
      </c>
      <c r="J2761">
        <v>356</v>
      </c>
      <c r="K2761">
        <v>0</v>
      </c>
      <c r="L2761">
        <v>277.68</v>
      </c>
    </row>
    <row r="2762" spans="1:12" x14ac:dyDescent="0.25">
      <c r="A2762" t="str">
        <f t="shared" si="613"/>
        <v>89301000</v>
      </c>
      <c r="B2762" t="str">
        <f t="shared" si="603"/>
        <v>06539000</v>
      </c>
      <c r="C2762" t="str">
        <f t="shared" si="615"/>
        <v>06539003</v>
      </c>
      <c r="D2762" t="str">
        <f t="shared" si="616"/>
        <v>813</v>
      </c>
      <c r="E2762" t="str">
        <f t="shared" si="604"/>
        <v>89301171</v>
      </c>
      <c r="F2762" t="str">
        <f t="shared" si="614"/>
        <v>480705128</v>
      </c>
      <c r="G2762" s="1">
        <v>44606</v>
      </c>
      <c r="H2762" t="str">
        <f>"91439"</f>
        <v>91439</v>
      </c>
      <c r="I2762">
        <v>1</v>
      </c>
      <c r="J2762">
        <v>356</v>
      </c>
      <c r="K2762">
        <v>0</v>
      </c>
      <c r="L2762">
        <v>277.68</v>
      </c>
    </row>
    <row r="2763" spans="1:12" x14ac:dyDescent="0.25">
      <c r="A2763" t="str">
        <f t="shared" si="613"/>
        <v>89301000</v>
      </c>
      <c r="B2763" t="str">
        <f t="shared" si="603"/>
        <v>06539000</v>
      </c>
      <c r="C2763" t="str">
        <f t="shared" si="615"/>
        <v>06539003</v>
      </c>
      <c r="D2763" t="str">
        <f t="shared" si="616"/>
        <v>813</v>
      </c>
      <c r="E2763" t="str">
        <f t="shared" si="604"/>
        <v>89301171</v>
      </c>
      <c r="F2763" t="str">
        <f t="shared" si="614"/>
        <v>480705128</v>
      </c>
      <c r="G2763" s="1">
        <v>44606</v>
      </c>
      <c r="H2763" t="str">
        <f>"91439"</f>
        <v>91439</v>
      </c>
      <c r="I2763">
        <v>1</v>
      </c>
      <c r="J2763">
        <v>356</v>
      </c>
      <c r="K2763">
        <v>0</v>
      </c>
      <c r="L2763">
        <v>277.68</v>
      </c>
    </row>
    <row r="2764" spans="1:12" x14ac:dyDescent="0.25">
      <c r="A2764" t="str">
        <f t="shared" si="613"/>
        <v>89301000</v>
      </c>
      <c r="B2764" t="str">
        <f t="shared" si="603"/>
        <v>06539000</v>
      </c>
      <c r="C2764" t="str">
        <f t="shared" si="615"/>
        <v>06539003</v>
      </c>
      <c r="D2764" t="str">
        <f t="shared" si="616"/>
        <v>813</v>
      </c>
      <c r="E2764" t="str">
        <f t="shared" si="604"/>
        <v>89301171</v>
      </c>
      <c r="F2764" t="str">
        <f t="shared" si="614"/>
        <v>480705128</v>
      </c>
      <c r="G2764" s="1">
        <v>44606</v>
      </c>
      <c r="H2764" t="str">
        <f>"91439"</f>
        <v>91439</v>
      </c>
      <c r="I2764">
        <v>1</v>
      </c>
      <c r="J2764">
        <v>356</v>
      </c>
      <c r="K2764">
        <v>0</v>
      </c>
      <c r="L2764">
        <v>277.68</v>
      </c>
    </row>
    <row r="2765" spans="1:12" x14ac:dyDescent="0.25">
      <c r="A2765" t="str">
        <f t="shared" si="613"/>
        <v>89301000</v>
      </c>
      <c r="B2765" t="str">
        <f t="shared" si="603"/>
        <v>06539000</v>
      </c>
      <c r="C2765" t="str">
        <f t="shared" si="615"/>
        <v>06539003</v>
      </c>
      <c r="D2765" t="str">
        <f t="shared" si="616"/>
        <v>813</v>
      </c>
      <c r="E2765" t="str">
        <f t="shared" si="604"/>
        <v>89301171</v>
      </c>
      <c r="F2765" t="str">
        <f t="shared" si="614"/>
        <v>480705128</v>
      </c>
      <c r="G2765" s="1">
        <v>44606</v>
      </c>
      <c r="H2765" t="str">
        <f>"91439"</f>
        <v>91439</v>
      </c>
      <c r="I2765">
        <v>2</v>
      </c>
      <c r="J2765">
        <v>712</v>
      </c>
      <c r="K2765">
        <v>0</v>
      </c>
      <c r="L2765">
        <v>555.36</v>
      </c>
    </row>
    <row r="2766" spans="1:12" x14ac:dyDescent="0.25">
      <c r="A2766" t="str">
        <f t="shared" si="613"/>
        <v>89301000</v>
      </c>
      <c r="B2766" t="str">
        <f t="shared" si="603"/>
        <v>06539000</v>
      </c>
      <c r="C2766" t="str">
        <f t="shared" si="615"/>
        <v>06539003</v>
      </c>
      <c r="D2766" t="str">
        <f t="shared" si="616"/>
        <v>813</v>
      </c>
      <c r="E2766" t="str">
        <f t="shared" si="604"/>
        <v>89301171</v>
      </c>
      <c r="F2766" t="str">
        <f t="shared" si="614"/>
        <v>480705128</v>
      </c>
      <c r="G2766" s="1">
        <v>44608</v>
      </c>
      <c r="H2766" t="str">
        <f t="shared" ref="H2766:H2775" si="617">"91413"</f>
        <v>91413</v>
      </c>
      <c r="I2766">
        <v>1</v>
      </c>
      <c r="J2766">
        <v>853</v>
      </c>
      <c r="K2766">
        <v>0</v>
      </c>
      <c r="L2766">
        <v>665.34</v>
      </c>
    </row>
    <row r="2767" spans="1:12" x14ac:dyDescent="0.25">
      <c r="A2767" t="str">
        <f t="shared" si="613"/>
        <v>89301000</v>
      </c>
      <c r="B2767" t="str">
        <f t="shared" si="603"/>
        <v>06539000</v>
      </c>
      <c r="C2767" t="str">
        <f t="shared" si="615"/>
        <v>06539003</v>
      </c>
      <c r="D2767" t="str">
        <f t="shared" si="616"/>
        <v>813</v>
      </c>
      <c r="E2767" t="str">
        <f t="shared" si="604"/>
        <v>89301171</v>
      </c>
      <c r="F2767" t="str">
        <f t="shared" si="614"/>
        <v>480705128</v>
      </c>
      <c r="G2767" s="1">
        <v>44608</v>
      </c>
      <c r="H2767" t="str">
        <f t="shared" si="617"/>
        <v>91413</v>
      </c>
      <c r="I2767">
        <v>1</v>
      </c>
      <c r="J2767">
        <v>853</v>
      </c>
      <c r="K2767">
        <v>0</v>
      </c>
      <c r="L2767">
        <v>665.34</v>
      </c>
    </row>
    <row r="2768" spans="1:12" x14ac:dyDescent="0.25">
      <c r="A2768" t="str">
        <f t="shared" si="613"/>
        <v>89301000</v>
      </c>
      <c r="B2768" t="str">
        <f t="shared" si="603"/>
        <v>06539000</v>
      </c>
      <c r="C2768" t="str">
        <f t="shared" si="615"/>
        <v>06539003</v>
      </c>
      <c r="D2768" t="str">
        <f t="shared" si="616"/>
        <v>813</v>
      </c>
      <c r="E2768" t="str">
        <f t="shared" si="604"/>
        <v>89301171</v>
      </c>
      <c r="F2768" t="str">
        <f t="shared" si="614"/>
        <v>480705128</v>
      </c>
      <c r="G2768" s="1">
        <v>44616</v>
      </c>
      <c r="H2768" t="str">
        <f t="shared" si="617"/>
        <v>91413</v>
      </c>
      <c r="I2768">
        <v>1</v>
      </c>
      <c r="J2768">
        <v>853</v>
      </c>
      <c r="K2768">
        <v>0</v>
      </c>
      <c r="L2768">
        <v>665.34</v>
      </c>
    </row>
    <row r="2769" spans="1:12" x14ac:dyDescent="0.25">
      <c r="A2769" t="str">
        <f t="shared" si="613"/>
        <v>89301000</v>
      </c>
      <c r="B2769" t="str">
        <f t="shared" si="603"/>
        <v>06539000</v>
      </c>
      <c r="C2769" t="str">
        <f t="shared" si="615"/>
        <v>06539003</v>
      </c>
      <c r="D2769" t="str">
        <f t="shared" si="616"/>
        <v>813</v>
      </c>
      <c r="E2769" t="str">
        <f t="shared" si="604"/>
        <v>89301171</v>
      </c>
      <c r="F2769" t="str">
        <f t="shared" si="614"/>
        <v>480705128</v>
      </c>
      <c r="G2769" s="1">
        <v>44616</v>
      </c>
      <c r="H2769" t="str">
        <f t="shared" si="617"/>
        <v>91413</v>
      </c>
      <c r="I2769">
        <v>1</v>
      </c>
      <c r="J2769">
        <v>853</v>
      </c>
      <c r="K2769">
        <v>0</v>
      </c>
      <c r="L2769">
        <v>665.34</v>
      </c>
    </row>
    <row r="2770" spans="1:12" x14ac:dyDescent="0.25">
      <c r="A2770" t="str">
        <f t="shared" si="613"/>
        <v>89301000</v>
      </c>
      <c r="B2770" t="str">
        <f t="shared" si="603"/>
        <v>06539000</v>
      </c>
      <c r="C2770" t="str">
        <f t="shared" si="615"/>
        <v>06539003</v>
      </c>
      <c r="D2770" t="str">
        <f t="shared" si="616"/>
        <v>813</v>
      </c>
      <c r="E2770" t="str">
        <f t="shared" si="604"/>
        <v>89301171</v>
      </c>
      <c r="F2770" t="str">
        <f t="shared" si="614"/>
        <v>480705128</v>
      </c>
      <c r="G2770" s="1">
        <v>44615</v>
      </c>
      <c r="H2770" t="str">
        <f t="shared" si="617"/>
        <v>91413</v>
      </c>
      <c r="I2770">
        <v>1</v>
      </c>
      <c r="J2770">
        <v>853</v>
      </c>
      <c r="K2770">
        <v>0</v>
      </c>
      <c r="L2770">
        <v>665.34</v>
      </c>
    </row>
    <row r="2771" spans="1:12" x14ac:dyDescent="0.25">
      <c r="A2771" t="str">
        <f t="shared" si="613"/>
        <v>89301000</v>
      </c>
      <c r="B2771" t="str">
        <f t="shared" si="603"/>
        <v>06539000</v>
      </c>
      <c r="C2771" t="str">
        <f t="shared" si="615"/>
        <v>06539003</v>
      </c>
      <c r="D2771" t="str">
        <f t="shared" si="616"/>
        <v>813</v>
      </c>
      <c r="E2771" t="str">
        <f t="shared" si="604"/>
        <v>89301171</v>
      </c>
      <c r="F2771" t="str">
        <f t="shared" si="614"/>
        <v>480705128</v>
      </c>
      <c r="G2771" s="1">
        <v>44615</v>
      </c>
      <c r="H2771" t="str">
        <f t="shared" si="617"/>
        <v>91413</v>
      </c>
      <c r="I2771">
        <v>1</v>
      </c>
      <c r="J2771">
        <v>853</v>
      </c>
      <c r="K2771">
        <v>0</v>
      </c>
      <c r="L2771">
        <v>665.34</v>
      </c>
    </row>
    <row r="2772" spans="1:12" x14ac:dyDescent="0.25">
      <c r="A2772" t="str">
        <f t="shared" si="613"/>
        <v>89301000</v>
      </c>
      <c r="B2772" t="str">
        <f t="shared" si="603"/>
        <v>06539000</v>
      </c>
      <c r="C2772" t="str">
        <f t="shared" si="615"/>
        <v>06539003</v>
      </c>
      <c r="D2772" t="str">
        <f t="shared" si="616"/>
        <v>813</v>
      </c>
      <c r="E2772" t="str">
        <f t="shared" si="604"/>
        <v>89301171</v>
      </c>
      <c r="F2772" t="str">
        <f t="shared" si="614"/>
        <v>480705128</v>
      </c>
      <c r="G2772" s="1">
        <v>44616</v>
      </c>
      <c r="H2772" t="str">
        <f t="shared" si="617"/>
        <v>91413</v>
      </c>
      <c r="I2772">
        <v>1</v>
      </c>
      <c r="J2772">
        <v>853</v>
      </c>
      <c r="K2772">
        <v>0</v>
      </c>
      <c r="L2772">
        <v>665.34</v>
      </c>
    </row>
    <row r="2773" spans="1:12" x14ac:dyDescent="0.25">
      <c r="A2773" t="str">
        <f t="shared" si="613"/>
        <v>89301000</v>
      </c>
      <c r="B2773" t="str">
        <f t="shared" si="603"/>
        <v>06539000</v>
      </c>
      <c r="C2773" t="str">
        <f t="shared" si="615"/>
        <v>06539003</v>
      </c>
      <c r="D2773" t="str">
        <f t="shared" si="616"/>
        <v>813</v>
      </c>
      <c r="E2773" t="str">
        <f t="shared" si="604"/>
        <v>89301171</v>
      </c>
      <c r="F2773" t="str">
        <f t="shared" si="614"/>
        <v>480705128</v>
      </c>
      <c r="G2773" s="1">
        <v>44616</v>
      </c>
      <c r="H2773" t="str">
        <f t="shared" si="617"/>
        <v>91413</v>
      </c>
      <c r="I2773">
        <v>1</v>
      </c>
      <c r="J2773">
        <v>853</v>
      </c>
      <c r="K2773">
        <v>0</v>
      </c>
      <c r="L2773">
        <v>665.34</v>
      </c>
    </row>
    <row r="2774" spans="1:12" x14ac:dyDescent="0.25">
      <c r="A2774" t="str">
        <f t="shared" si="613"/>
        <v>89301000</v>
      </c>
      <c r="B2774" t="str">
        <f t="shared" si="603"/>
        <v>06539000</v>
      </c>
      <c r="C2774" t="str">
        <f t="shared" si="615"/>
        <v>06539003</v>
      </c>
      <c r="D2774" t="str">
        <f t="shared" si="616"/>
        <v>813</v>
      </c>
      <c r="E2774" t="str">
        <f t="shared" si="604"/>
        <v>89301171</v>
      </c>
      <c r="F2774" t="str">
        <f t="shared" si="614"/>
        <v>480705128</v>
      </c>
      <c r="G2774" s="1">
        <v>44616</v>
      </c>
      <c r="H2774" t="str">
        <f t="shared" si="617"/>
        <v>91413</v>
      </c>
      <c r="I2774">
        <v>1</v>
      </c>
      <c r="J2774">
        <v>853</v>
      </c>
      <c r="K2774">
        <v>0</v>
      </c>
      <c r="L2774">
        <v>665.34</v>
      </c>
    </row>
    <row r="2775" spans="1:12" x14ac:dyDescent="0.25">
      <c r="A2775" t="str">
        <f t="shared" si="613"/>
        <v>89301000</v>
      </c>
      <c r="B2775" t="str">
        <f t="shared" si="603"/>
        <v>06539000</v>
      </c>
      <c r="C2775" t="str">
        <f t="shared" si="615"/>
        <v>06539003</v>
      </c>
      <c r="D2775" t="str">
        <f t="shared" si="616"/>
        <v>813</v>
      </c>
      <c r="E2775" t="str">
        <f t="shared" si="604"/>
        <v>89301171</v>
      </c>
      <c r="F2775" t="str">
        <f t="shared" si="614"/>
        <v>480705128</v>
      </c>
      <c r="G2775" s="1">
        <v>44616</v>
      </c>
      <c r="H2775" t="str">
        <f t="shared" si="617"/>
        <v>91413</v>
      </c>
      <c r="I2775">
        <v>1</v>
      </c>
      <c r="J2775">
        <v>853</v>
      </c>
      <c r="K2775">
        <v>0</v>
      </c>
      <c r="L2775">
        <v>665.34</v>
      </c>
    </row>
    <row r="2776" spans="1:12" x14ac:dyDescent="0.25">
      <c r="A2776" t="str">
        <f t="shared" si="613"/>
        <v>89301000</v>
      </c>
      <c r="B2776" t="str">
        <f t="shared" ref="B2776:B2839" si="618">"06539000"</f>
        <v>06539000</v>
      </c>
      <c r="C2776" t="str">
        <f t="shared" si="615"/>
        <v>06539003</v>
      </c>
      <c r="D2776" t="str">
        <f t="shared" si="616"/>
        <v>813</v>
      </c>
      <c r="E2776" t="str">
        <f t="shared" ref="E2776:E2839" si="619">"89301171"</f>
        <v>89301171</v>
      </c>
      <c r="F2776" t="str">
        <f t="shared" si="614"/>
        <v>480705128</v>
      </c>
      <c r="G2776" s="1">
        <v>44603</v>
      </c>
      <c r="H2776" t="str">
        <f t="shared" ref="H2776:H2781" si="620">"91197"</f>
        <v>91197</v>
      </c>
      <c r="I2776">
        <v>1</v>
      </c>
      <c r="J2776">
        <v>1046</v>
      </c>
      <c r="K2776">
        <v>0</v>
      </c>
      <c r="L2776">
        <v>815.88</v>
      </c>
    </row>
    <row r="2777" spans="1:12" x14ac:dyDescent="0.25">
      <c r="A2777" t="str">
        <f t="shared" si="613"/>
        <v>89301000</v>
      </c>
      <c r="B2777" t="str">
        <f t="shared" si="618"/>
        <v>06539000</v>
      </c>
      <c r="C2777" t="str">
        <f t="shared" si="615"/>
        <v>06539003</v>
      </c>
      <c r="D2777" t="str">
        <f t="shared" si="616"/>
        <v>813</v>
      </c>
      <c r="E2777" t="str">
        <f t="shared" si="619"/>
        <v>89301171</v>
      </c>
      <c r="F2777" t="str">
        <f t="shared" si="614"/>
        <v>480705128</v>
      </c>
      <c r="G2777" s="1">
        <v>44605</v>
      </c>
      <c r="H2777" t="str">
        <f t="shared" si="620"/>
        <v>91197</v>
      </c>
      <c r="I2777">
        <v>1</v>
      </c>
      <c r="J2777">
        <v>1046</v>
      </c>
      <c r="K2777">
        <v>0</v>
      </c>
      <c r="L2777">
        <v>815.88</v>
      </c>
    </row>
    <row r="2778" spans="1:12" x14ac:dyDescent="0.25">
      <c r="A2778" t="str">
        <f t="shared" si="613"/>
        <v>89301000</v>
      </c>
      <c r="B2778" t="str">
        <f t="shared" si="618"/>
        <v>06539000</v>
      </c>
      <c r="C2778" t="str">
        <f t="shared" si="615"/>
        <v>06539003</v>
      </c>
      <c r="D2778" t="str">
        <f t="shared" si="616"/>
        <v>813</v>
      </c>
      <c r="E2778" t="str">
        <f t="shared" si="619"/>
        <v>89301171</v>
      </c>
      <c r="F2778" t="str">
        <f t="shared" si="614"/>
        <v>480705128</v>
      </c>
      <c r="G2778" s="1">
        <v>44605</v>
      </c>
      <c r="H2778" t="str">
        <f t="shared" si="620"/>
        <v>91197</v>
      </c>
      <c r="I2778">
        <v>1</v>
      </c>
      <c r="J2778">
        <v>1046</v>
      </c>
      <c r="K2778">
        <v>0</v>
      </c>
      <c r="L2778">
        <v>815.88</v>
      </c>
    </row>
    <row r="2779" spans="1:12" x14ac:dyDescent="0.25">
      <c r="A2779" t="str">
        <f t="shared" si="613"/>
        <v>89301000</v>
      </c>
      <c r="B2779" t="str">
        <f t="shared" si="618"/>
        <v>06539000</v>
      </c>
      <c r="C2779" t="str">
        <f t="shared" si="615"/>
        <v>06539003</v>
      </c>
      <c r="D2779" t="str">
        <f t="shared" si="616"/>
        <v>813</v>
      </c>
      <c r="E2779" t="str">
        <f t="shared" si="619"/>
        <v>89301171</v>
      </c>
      <c r="F2779" t="str">
        <f t="shared" si="614"/>
        <v>480705128</v>
      </c>
      <c r="G2779" s="1">
        <v>44604</v>
      </c>
      <c r="H2779" t="str">
        <f t="shared" si="620"/>
        <v>91197</v>
      </c>
      <c r="I2779">
        <v>1</v>
      </c>
      <c r="J2779">
        <v>1046</v>
      </c>
      <c r="K2779">
        <v>0</v>
      </c>
      <c r="L2779">
        <v>815.88</v>
      </c>
    </row>
    <row r="2780" spans="1:12" x14ac:dyDescent="0.25">
      <c r="A2780" t="str">
        <f t="shared" si="613"/>
        <v>89301000</v>
      </c>
      <c r="B2780" t="str">
        <f t="shared" si="618"/>
        <v>06539000</v>
      </c>
      <c r="C2780" t="str">
        <f t="shared" si="615"/>
        <v>06539003</v>
      </c>
      <c r="D2780" t="str">
        <f t="shared" si="616"/>
        <v>813</v>
      </c>
      <c r="E2780" t="str">
        <f t="shared" si="619"/>
        <v>89301171</v>
      </c>
      <c r="F2780" t="str">
        <f t="shared" si="614"/>
        <v>480705128</v>
      </c>
      <c r="G2780" s="1">
        <v>44604</v>
      </c>
      <c r="H2780" t="str">
        <f t="shared" si="620"/>
        <v>91197</v>
      </c>
      <c r="I2780">
        <v>1</v>
      </c>
      <c r="J2780">
        <v>1046</v>
      </c>
      <c r="K2780">
        <v>0</v>
      </c>
      <c r="L2780">
        <v>815.88</v>
      </c>
    </row>
    <row r="2781" spans="1:12" x14ac:dyDescent="0.25">
      <c r="A2781" t="str">
        <f t="shared" si="613"/>
        <v>89301000</v>
      </c>
      <c r="B2781" t="str">
        <f t="shared" si="618"/>
        <v>06539000</v>
      </c>
      <c r="C2781" t="str">
        <f t="shared" si="615"/>
        <v>06539003</v>
      </c>
      <c r="D2781" t="str">
        <f t="shared" si="616"/>
        <v>813</v>
      </c>
      <c r="E2781" t="str">
        <f t="shared" si="619"/>
        <v>89301171</v>
      </c>
      <c r="F2781" t="str">
        <f t="shared" si="614"/>
        <v>480705128</v>
      </c>
      <c r="G2781" s="1">
        <v>44603</v>
      </c>
      <c r="H2781" t="str">
        <f t="shared" si="620"/>
        <v>91197</v>
      </c>
      <c r="I2781">
        <v>1</v>
      </c>
      <c r="J2781">
        <v>1046</v>
      </c>
      <c r="K2781">
        <v>0</v>
      </c>
      <c r="L2781">
        <v>815.88</v>
      </c>
    </row>
    <row r="2782" spans="1:12" x14ac:dyDescent="0.25">
      <c r="A2782" t="str">
        <f t="shared" si="613"/>
        <v>89301000</v>
      </c>
      <c r="B2782" t="str">
        <f t="shared" si="618"/>
        <v>06539000</v>
      </c>
      <c r="C2782" t="str">
        <f t="shared" si="615"/>
        <v>06539003</v>
      </c>
      <c r="D2782" t="str">
        <f t="shared" si="616"/>
        <v>813</v>
      </c>
      <c r="E2782" t="str">
        <f t="shared" si="619"/>
        <v>89301171</v>
      </c>
      <c r="F2782" t="str">
        <f t="shared" si="614"/>
        <v>480705128</v>
      </c>
      <c r="G2782" s="1">
        <v>44606</v>
      </c>
      <c r="H2782" t="str">
        <f>"91129"</f>
        <v>91129</v>
      </c>
      <c r="I2782">
        <v>1</v>
      </c>
      <c r="J2782">
        <v>174</v>
      </c>
      <c r="K2782">
        <v>0</v>
      </c>
      <c r="L2782">
        <v>135.72</v>
      </c>
    </row>
    <row r="2783" spans="1:12" x14ac:dyDescent="0.25">
      <c r="A2783" t="str">
        <f t="shared" si="613"/>
        <v>89301000</v>
      </c>
      <c r="B2783" t="str">
        <f t="shared" si="618"/>
        <v>06539000</v>
      </c>
      <c r="C2783" t="str">
        <f t="shared" si="615"/>
        <v>06539003</v>
      </c>
      <c r="D2783" t="str">
        <f t="shared" si="616"/>
        <v>813</v>
      </c>
      <c r="E2783" t="str">
        <f t="shared" si="619"/>
        <v>89301171</v>
      </c>
      <c r="F2783" t="str">
        <f t="shared" si="614"/>
        <v>480705128</v>
      </c>
      <c r="G2783" s="1">
        <v>44606</v>
      </c>
      <c r="H2783" t="str">
        <f>"91131"</f>
        <v>91131</v>
      </c>
      <c r="I2783">
        <v>1</v>
      </c>
      <c r="J2783">
        <v>171</v>
      </c>
      <c r="K2783">
        <v>0</v>
      </c>
      <c r="L2783">
        <v>133.38</v>
      </c>
    </row>
    <row r="2784" spans="1:12" x14ac:dyDescent="0.25">
      <c r="A2784" t="str">
        <f t="shared" si="613"/>
        <v>89301000</v>
      </c>
      <c r="B2784" t="str">
        <f t="shared" si="618"/>
        <v>06539000</v>
      </c>
      <c r="C2784" t="str">
        <f t="shared" si="615"/>
        <v>06539003</v>
      </c>
      <c r="D2784" t="str">
        <f t="shared" si="616"/>
        <v>813</v>
      </c>
      <c r="E2784" t="str">
        <f t="shared" si="619"/>
        <v>89301171</v>
      </c>
      <c r="F2784" t="str">
        <f t="shared" si="614"/>
        <v>480705128</v>
      </c>
      <c r="G2784" s="1">
        <v>44606</v>
      </c>
      <c r="H2784" t="str">
        <f>"91133"</f>
        <v>91133</v>
      </c>
      <c r="I2784">
        <v>1</v>
      </c>
      <c r="J2784">
        <v>176</v>
      </c>
      <c r="K2784">
        <v>0</v>
      </c>
      <c r="L2784">
        <v>137.28</v>
      </c>
    </row>
    <row r="2785" spans="1:12" x14ac:dyDescent="0.25">
      <c r="A2785" t="str">
        <f t="shared" si="613"/>
        <v>89301000</v>
      </c>
      <c r="B2785" t="str">
        <f t="shared" si="618"/>
        <v>06539000</v>
      </c>
      <c r="C2785" t="str">
        <f t="shared" si="615"/>
        <v>06539003</v>
      </c>
      <c r="D2785" t="str">
        <f t="shared" si="616"/>
        <v>813</v>
      </c>
      <c r="E2785" t="str">
        <f t="shared" si="619"/>
        <v>89301171</v>
      </c>
      <c r="F2785" t="str">
        <f t="shared" si="614"/>
        <v>480705128</v>
      </c>
      <c r="G2785" s="1">
        <v>44606</v>
      </c>
      <c r="H2785" t="str">
        <f>"91171"</f>
        <v>91171</v>
      </c>
      <c r="I2785">
        <v>1</v>
      </c>
      <c r="J2785">
        <v>360</v>
      </c>
      <c r="K2785">
        <v>0</v>
      </c>
      <c r="L2785">
        <v>280.8</v>
      </c>
    </row>
    <row r="2786" spans="1:12" x14ac:dyDescent="0.25">
      <c r="A2786" t="str">
        <f t="shared" si="613"/>
        <v>89301000</v>
      </c>
      <c r="B2786" t="str">
        <f t="shared" si="618"/>
        <v>06539000</v>
      </c>
      <c r="C2786" t="str">
        <f t="shared" si="615"/>
        <v>06539003</v>
      </c>
      <c r="D2786" t="str">
        <f t="shared" si="616"/>
        <v>813</v>
      </c>
      <c r="E2786" t="str">
        <f t="shared" si="619"/>
        <v>89301171</v>
      </c>
      <c r="F2786" t="str">
        <f t="shared" si="614"/>
        <v>480705128</v>
      </c>
      <c r="G2786" s="1">
        <v>44606</v>
      </c>
      <c r="H2786" t="str">
        <f>"91173"</f>
        <v>91173</v>
      </c>
      <c r="I2786">
        <v>1</v>
      </c>
      <c r="J2786">
        <v>335</v>
      </c>
      <c r="K2786">
        <v>0</v>
      </c>
      <c r="L2786">
        <v>261.3</v>
      </c>
    </row>
    <row r="2787" spans="1:12" x14ac:dyDescent="0.25">
      <c r="A2787" t="str">
        <f t="shared" si="613"/>
        <v>89301000</v>
      </c>
      <c r="B2787" t="str">
        <f t="shared" si="618"/>
        <v>06539000</v>
      </c>
      <c r="C2787" t="str">
        <f t="shared" si="615"/>
        <v>06539003</v>
      </c>
      <c r="D2787" t="str">
        <f t="shared" si="616"/>
        <v>813</v>
      </c>
      <c r="E2787" t="str">
        <f t="shared" si="619"/>
        <v>89301171</v>
      </c>
      <c r="F2787" t="str">
        <f t="shared" si="614"/>
        <v>480705128</v>
      </c>
      <c r="G2787" s="1">
        <v>44606</v>
      </c>
      <c r="H2787" t="str">
        <f>"91175"</f>
        <v>91175</v>
      </c>
      <c r="I2787">
        <v>1</v>
      </c>
      <c r="J2787">
        <v>360</v>
      </c>
      <c r="K2787">
        <v>0</v>
      </c>
      <c r="L2787">
        <v>280.8</v>
      </c>
    </row>
    <row r="2788" spans="1:12" x14ac:dyDescent="0.25">
      <c r="A2788" t="str">
        <f t="shared" si="613"/>
        <v>89301000</v>
      </c>
      <c r="B2788" t="str">
        <f t="shared" si="618"/>
        <v>06539000</v>
      </c>
      <c r="C2788" t="str">
        <f t="shared" si="615"/>
        <v>06539003</v>
      </c>
      <c r="D2788" t="str">
        <f t="shared" si="616"/>
        <v>813</v>
      </c>
      <c r="E2788" t="str">
        <f t="shared" si="619"/>
        <v>89301171</v>
      </c>
      <c r="F2788" t="str">
        <f t="shared" si="614"/>
        <v>480705128</v>
      </c>
      <c r="G2788" s="1">
        <v>44604</v>
      </c>
      <c r="H2788" t="str">
        <f>"91167"</f>
        <v>91167</v>
      </c>
      <c r="I2788">
        <v>1</v>
      </c>
      <c r="J2788">
        <v>425</v>
      </c>
      <c r="K2788">
        <v>0</v>
      </c>
      <c r="L2788">
        <v>331.5</v>
      </c>
    </row>
    <row r="2789" spans="1:12" x14ac:dyDescent="0.25">
      <c r="A2789" t="str">
        <f t="shared" si="613"/>
        <v>89301000</v>
      </c>
      <c r="B2789" t="str">
        <f t="shared" si="618"/>
        <v>06539000</v>
      </c>
      <c r="C2789" t="str">
        <f t="shared" si="615"/>
        <v>06539003</v>
      </c>
      <c r="D2789" t="str">
        <f t="shared" si="616"/>
        <v>813</v>
      </c>
      <c r="E2789" t="str">
        <f t="shared" si="619"/>
        <v>89301171</v>
      </c>
      <c r="F2789" t="str">
        <f t="shared" si="614"/>
        <v>480705128</v>
      </c>
      <c r="G2789" s="1">
        <v>44604</v>
      </c>
      <c r="H2789" t="str">
        <f>"91169"</f>
        <v>91169</v>
      </c>
      <c r="I2789">
        <v>1</v>
      </c>
      <c r="J2789">
        <v>425</v>
      </c>
      <c r="K2789">
        <v>0</v>
      </c>
      <c r="L2789">
        <v>331.5</v>
      </c>
    </row>
    <row r="2790" spans="1:12" x14ac:dyDescent="0.25">
      <c r="A2790" t="str">
        <f t="shared" si="613"/>
        <v>89301000</v>
      </c>
      <c r="B2790" t="str">
        <f t="shared" si="618"/>
        <v>06539000</v>
      </c>
      <c r="C2790" t="str">
        <f t="shared" si="615"/>
        <v>06539003</v>
      </c>
      <c r="D2790" t="str">
        <f t="shared" si="616"/>
        <v>813</v>
      </c>
      <c r="E2790" t="str">
        <f t="shared" si="619"/>
        <v>89301171</v>
      </c>
      <c r="F2790" t="str">
        <f t="shared" si="614"/>
        <v>480705128</v>
      </c>
      <c r="G2790" s="1">
        <v>44603</v>
      </c>
      <c r="H2790" t="str">
        <f>"91167"</f>
        <v>91167</v>
      </c>
      <c r="I2790">
        <v>1</v>
      </c>
      <c r="J2790">
        <v>425</v>
      </c>
      <c r="K2790">
        <v>0</v>
      </c>
      <c r="L2790">
        <v>331.5</v>
      </c>
    </row>
    <row r="2791" spans="1:12" x14ac:dyDescent="0.25">
      <c r="A2791" t="str">
        <f t="shared" si="613"/>
        <v>89301000</v>
      </c>
      <c r="B2791" t="str">
        <f t="shared" si="618"/>
        <v>06539000</v>
      </c>
      <c r="C2791" t="str">
        <f t="shared" si="615"/>
        <v>06539003</v>
      </c>
      <c r="D2791" t="str">
        <f t="shared" si="616"/>
        <v>813</v>
      </c>
      <c r="E2791" t="str">
        <f t="shared" si="619"/>
        <v>89301171</v>
      </c>
      <c r="F2791" t="str">
        <f t="shared" si="614"/>
        <v>480705128</v>
      </c>
      <c r="G2791" s="1">
        <v>44603</v>
      </c>
      <c r="H2791" t="str">
        <f>"91169"</f>
        <v>91169</v>
      </c>
      <c r="I2791">
        <v>1</v>
      </c>
      <c r="J2791">
        <v>425</v>
      </c>
      <c r="K2791">
        <v>0</v>
      </c>
      <c r="L2791">
        <v>331.5</v>
      </c>
    </row>
    <row r="2792" spans="1:12" x14ac:dyDescent="0.25">
      <c r="A2792" t="str">
        <f t="shared" si="613"/>
        <v>89301000</v>
      </c>
      <c r="B2792" t="str">
        <f t="shared" si="618"/>
        <v>06539000</v>
      </c>
      <c r="C2792" t="str">
        <f t="shared" si="615"/>
        <v>06539003</v>
      </c>
      <c r="D2792" t="str">
        <f t="shared" si="616"/>
        <v>813</v>
      </c>
      <c r="E2792" t="str">
        <f t="shared" si="619"/>
        <v>89301171</v>
      </c>
      <c r="F2792" t="str">
        <f t="shared" si="614"/>
        <v>480705128</v>
      </c>
      <c r="G2792" s="1">
        <v>44606</v>
      </c>
      <c r="H2792" t="str">
        <f>"91475"</f>
        <v>91475</v>
      </c>
      <c r="I2792">
        <v>1</v>
      </c>
      <c r="J2792">
        <v>206</v>
      </c>
      <c r="K2792">
        <v>0</v>
      </c>
      <c r="L2792">
        <v>160.68</v>
      </c>
    </row>
    <row r="2793" spans="1:12" x14ac:dyDescent="0.25">
      <c r="A2793" t="str">
        <f t="shared" si="613"/>
        <v>89301000</v>
      </c>
      <c r="B2793" t="str">
        <f t="shared" si="618"/>
        <v>06539000</v>
      </c>
      <c r="C2793" t="str">
        <f>"06539001"</f>
        <v>06539001</v>
      </c>
      <c r="D2793" t="str">
        <f>"801"</f>
        <v>801</v>
      </c>
      <c r="E2793" t="str">
        <f t="shared" si="619"/>
        <v>89301171</v>
      </c>
      <c r="F2793" t="str">
        <f t="shared" ref="F2793:F2838" si="621">"7912285315"</f>
        <v>7912285315</v>
      </c>
      <c r="G2793" s="1">
        <v>44610</v>
      </c>
      <c r="H2793" t="str">
        <f>"81329"</f>
        <v>81329</v>
      </c>
      <c r="I2793">
        <v>1</v>
      </c>
      <c r="J2793">
        <v>16</v>
      </c>
      <c r="K2793">
        <v>0</v>
      </c>
      <c r="L2793">
        <v>12.48</v>
      </c>
    </row>
    <row r="2794" spans="1:12" x14ac:dyDescent="0.25">
      <c r="A2794" t="str">
        <f t="shared" si="613"/>
        <v>89301000</v>
      </c>
      <c r="B2794" t="str">
        <f t="shared" si="618"/>
        <v>06539000</v>
      </c>
      <c r="C2794" t="str">
        <f>"06539001"</f>
        <v>06539001</v>
      </c>
      <c r="D2794" t="str">
        <f>"801"</f>
        <v>801</v>
      </c>
      <c r="E2794" t="str">
        <f t="shared" si="619"/>
        <v>89301171</v>
      </c>
      <c r="F2794" t="str">
        <f t="shared" si="621"/>
        <v>7912285315</v>
      </c>
      <c r="G2794" s="1">
        <v>44610</v>
      </c>
      <c r="H2794" t="str">
        <f>"81331"</f>
        <v>81331</v>
      </c>
      <c r="I2794">
        <v>1</v>
      </c>
      <c r="J2794">
        <v>193</v>
      </c>
      <c r="K2794">
        <v>0</v>
      </c>
      <c r="L2794">
        <v>150.54</v>
      </c>
    </row>
    <row r="2795" spans="1:12" x14ac:dyDescent="0.25">
      <c r="A2795" t="str">
        <f t="shared" si="613"/>
        <v>89301000</v>
      </c>
      <c r="B2795" t="str">
        <f t="shared" si="618"/>
        <v>06539000</v>
      </c>
      <c r="C2795" t="str">
        <f t="shared" ref="C2795:C2802" si="622">"06539002"</f>
        <v>06539002</v>
      </c>
      <c r="D2795" t="str">
        <f t="shared" ref="D2795:D2802" si="623">"802"</f>
        <v>802</v>
      </c>
      <c r="E2795" t="str">
        <f t="shared" si="619"/>
        <v>89301171</v>
      </c>
      <c r="F2795" t="str">
        <f t="shared" si="621"/>
        <v>7912285315</v>
      </c>
      <c r="G2795" s="1">
        <v>44610</v>
      </c>
      <c r="H2795" t="str">
        <f t="shared" ref="H2795:H2802" si="624">"82097"</f>
        <v>82097</v>
      </c>
      <c r="I2795">
        <v>1</v>
      </c>
      <c r="J2795">
        <v>380</v>
      </c>
      <c r="K2795">
        <v>0</v>
      </c>
      <c r="L2795">
        <v>345.8</v>
      </c>
    </row>
    <row r="2796" spans="1:12" x14ac:dyDescent="0.25">
      <c r="A2796" t="str">
        <f t="shared" si="613"/>
        <v>89301000</v>
      </c>
      <c r="B2796" t="str">
        <f t="shared" si="618"/>
        <v>06539000</v>
      </c>
      <c r="C2796" t="str">
        <f t="shared" si="622"/>
        <v>06539002</v>
      </c>
      <c r="D2796" t="str">
        <f t="shared" si="623"/>
        <v>802</v>
      </c>
      <c r="E2796" t="str">
        <f t="shared" si="619"/>
        <v>89301171</v>
      </c>
      <c r="F2796" t="str">
        <f t="shared" si="621"/>
        <v>7912285315</v>
      </c>
      <c r="G2796" s="1">
        <v>44610</v>
      </c>
      <c r="H2796" t="str">
        <f t="shared" si="624"/>
        <v>82097</v>
      </c>
      <c r="I2796">
        <v>1</v>
      </c>
      <c r="J2796">
        <v>380</v>
      </c>
      <c r="K2796">
        <v>0</v>
      </c>
      <c r="L2796">
        <v>345.8</v>
      </c>
    </row>
    <row r="2797" spans="1:12" x14ac:dyDescent="0.25">
      <c r="A2797" t="str">
        <f t="shared" si="613"/>
        <v>89301000</v>
      </c>
      <c r="B2797" t="str">
        <f t="shared" si="618"/>
        <v>06539000</v>
      </c>
      <c r="C2797" t="str">
        <f t="shared" si="622"/>
        <v>06539002</v>
      </c>
      <c r="D2797" t="str">
        <f t="shared" si="623"/>
        <v>802</v>
      </c>
      <c r="E2797" t="str">
        <f t="shared" si="619"/>
        <v>89301171</v>
      </c>
      <c r="F2797" t="str">
        <f t="shared" si="621"/>
        <v>7912285315</v>
      </c>
      <c r="G2797" s="1">
        <v>44610</v>
      </c>
      <c r="H2797" t="str">
        <f t="shared" si="624"/>
        <v>82097</v>
      </c>
      <c r="I2797">
        <v>1</v>
      </c>
      <c r="J2797">
        <v>380</v>
      </c>
      <c r="K2797">
        <v>0</v>
      </c>
      <c r="L2797">
        <v>345.8</v>
      </c>
    </row>
    <row r="2798" spans="1:12" x14ac:dyDescent="0.25">
      <c r="A2798" t="str">
        <f t="shared" si="613"/>
        <v>89301000</v>
      </c>
      <c r="B2798" t="str">
        <f t="shared" si="618"/>
        <v>06539000</v>
      </c>
      <c r="C2798" t="str">
        <f t="shared" si="622"/>
        <v>06539002</v>
      </c>
      <c r="D2798" t="str">
        <f t="shared" si="623"/>
        <v>802</v>
      </c>
      <c r="E2798" t="str">
        <f t="shared" si="619"/>
        <v>89301171</v>
      </c>
      <c r="F2798" t="str">
        <f t="shared" si="621"/>
        <v>7912285315</v>
      </c>
      <c r="G2798" s="1">
        <v>44610</v>
      </c>
      <c r="H2798" t="str">
        <f t="shared" si="624"/>
        <v>82097</v>
      </c>
      <c r="I2798">
        <v>1</v>
      </c>
      <c r="J2798">
        <v>380</v>
      </c>
      <c r="K2798">
        <v>0</v>
      </c>
      <c r="L2798">
        <v>345.8</v>
      </c>
    </row>
    <row r="2799" spans="1:12" x14ac:dyDescent="0.25">
      <c r="A2799" t="str">
        <f t="shared" si="613"/>
        <v>89301000</v>
      </c>
      <c r="B2799" t="str">
        <f t="shared" si="618"/>
        <v>06539000</v>
      </c>
      <c r="C2799" t="str">
        <f t="shared" si="622"/>
        <v>06539002</v>
      </c>
      <c r="D2799" t="str">
        <f t="shared" si="623"/>
        <v>802</v>
      </c>
      <c r="E2799" t="str">
        <f t="shared" si="619"/>
        <v>89301171</v>
      </c>
      <c r="F2799" t="str">
        <f t="shared" si="621"/>
        <v>7912285315</v>
      </c>
      <c r="G2799" s="1">
        <v>44610</v>
      </c>
      <c r="H2799" t="str">
        <f t="shared" si="624"/>
        <v>82097</v>
      </c>
      <c r="I2799">
        <v>1</v>
      </c>
      <c r="J2799">
        <v>380</v>
      </c>
      <c r="K2799">
        <v>0</v>
      </c>
      <c r="L2799">
        <v>345.8</v>
      </c>
    </row>
    <row r="2800" spans="1:12" x14ac:dyDescent="0.25">
      <c r="A2800" t="str">
        <f t="shared" si="613"/>
        <v>89301000</v>
      </c>
      <c r="B2800" t="str">
        <f t="shared" si="618"/>
        <v>06539000</v>
      </c>
      <c r="C2800" t="str">
        <f t="shared" si="622"/>
        <v>06539002</v>
      </c>
      <c r="D2800" t="str">
        <f t="shared" si="623"/>
        <v>802</v>
      </c>
      <c r="E2800" t="str">
        <f t="shared" si="619"/>
        <v>89301171</v>
      </c>
      <c r="F2800" t="str">
        <f t="shared" si="621"/>
        <v>7912285315</v>
      </c>
      <c r="G2800" s="1">
        <v>44610</v>
      </c>
      <c r="H2800" t="str">
        <f t="shared" si="624"/>
        <v>82097</v>
      </c>
      <c r="I2800">
        <v>1</v>
      </c>
      <c r="J2800">
        <v>380</v>
      </c>
      <c r="K2800">
        <v>0</v>
      </c>
      <c r="L2800">
        <v>345.8</v>
      </c>
    </row>
    <row r="2801" spans="1:12" x14ac:dyDescent="0.25">
      <c r="A2801" t="str">
        <f t="shared" si="613"/>
        <v>89301000</v>
      </c>
      <c r="B2801" t="str">
        <f t="shared" si="618"/>
        <v>06539000</v>
      </c>
      <c r="C2801" t="str">
        <f t="shared" si="622"/>
        <v>06539002</v>
      </c>
      <c r="D2801" t="str">
        <f t="shared" si="623"/>
        <v>802</v>
      </c>
      <c r="E2801" t="str">
        <f t="shared" si="619"/>
        <v>89301171</v>
      </c>
      <c r="F2801" t="str">
        <f t="shared" si="621"/>
        <v>7912285315</v>
      </c>
      <c r="G2801" s="1">
        <v>44610</v>
      </c>
      <c r="H2801" t="str">
        <f t="shared" si="624"/>
        <v>82097</v>
      </c>
      <c r="I2801">
        <v>2</v>
      </c>
      <c r="J2801">
        <v>760</v>
      </c>
      <c r="K2801">
        <v>0</v>
      </c>
      <c r="L2801">
        <v>691.6</v>
      </c>
    </row>
    <row r="2802" spans="1:12" x14ac:dyDescent="0.25">
      <c r="A2802" t="str">
        <f t="shared" si="613"/>
        <v>89301000</v>
      </c>
      <c r="B2802" t="str">
        <f t="shared" si="618"/>
        <v>06539000</v>
      </c>
      <c r="C2802" t="str">
        <f t="shared" si="622"/>
        <v>06539002</v>
      </c>
      <c r="D2802" t="str">
        <f t="shared" si="623"/>
        <v>802</v>
      </c>
      <c r="E2802" t="str">
        <f t="shared" si="619"/>
        <v>89301171</v>
      </c>
      <c r="F2802" t="str">
        <f t="shared" si="621"/>
        <v>7912285315</v>
      </c>
      <c r="G2802" s="1">
        <v>44610</v>
      </c>
      <c r="H2802" t="str">
        <f t="shared" si="624"/>
        <v>82097</v>
      </c>
      <c r="I2802">
        <v>2</v>
      </c>
      <c r="J2802">
        <v>760</v>
      </c>
      <c r="K2802">
        <v>0</v>
      </c>
      <c r="L2802">
        <v>691.6</v>
      </c>
    </row>
    <row r="2803" spans="1:12" x14ac:dyDescent="0.25">
      <c r="A2803" t="str">
        <f t="shared" si="613"/>
        <v>89301000</v>
      </c>
      <c r="B2803" t="str">
        <f t="shared" si="618"/>
        <v>06539000</v>
      </c>
      <c r="C2803" t="str">
        <f t="shared" ref="C2803:C2838" si="625">"06539003"</f>
        <v>06539003</v>
      </c>
      <c r="D2803" t="str">
        <f t="shared" ref="D2803:D2838" si="626">"813"</f>
        <v>813</v>
      </c>
      <c r="E2803" t="str">
        <f t="shared" si="619"/>
        <v>89301171</v>
      </c>
      <c r="F2803" t="str">
        <f t="shared" si="621"/>
        <v>7912285315</v>
      </c>
      <c r="G2803" s="1">
        <v>44610</v>
      </c>
      <c r="H2803" t="str">
        <f>"91439"</f>
        <v>91439</v>
      </c>
      <c r="I2803">
        <v>1</v>
      </c>
      <c r="J2803">
        <v>356</v>
      </c>
      <c r="K2803">
        <v>0</v>
      </c>
      <c r="L2803">
        <v>277.68</v>
      </c>
    </row>
    <row r="2804" spans="1:12" x14ac:dyDescent="0.25">
      <c r="A2804" t="str">
        <f t="shared" si="613"/>
        <v>89301000</v>
      </c>
      <c r="B2804" t="str">
        <f t="shared" si="618"/>
        <v>06539000</v>
      </c>
      <c r="C2804" t="str">
        <f t="shared" si="625"/>
        <v>06539003</v>
      </c>
      <c r="D2804" t="str">
        <f t="shared" si="626"/>
        <v>813</v>
      </c>
      <c r="E2804" t="str">
        <f t="shared" si="619"/>
        <v>89301171</v>
      </c>
      <c r="F2804" t="str">
        <f t="shared" si="621"/>
        <v>7912285315</v>
      </c>
      <c r="G2804" s="1">
        <v>44610</v>
      </c>
      <c r="H2804" t="str">
        <f>"91439"</f>
        <v>91439</v>
      </c>
      <c r="I2804">
        <v>1</v>
      </c>
      <c r="J2804">
        <v>356</v>
      </c>
      <c r="K2804">
        <v>0</v>
      </c>
      <c r="L2804">
        <v>277.68</v>
      </c>
    </row>
    <row r="2805" spans="1:12" x14ac:dyDescent="0.25">
      <c r="A2805" t="str">
        <f t="shared" si="613"/>
        <v>89301000</v>
      </c>
      <c r="B2805" t="str">
        <f t="shared" si="618"/>
        <v>06539000</v>
      </c>
      <c r="C2805" t="str">
        <f t="shared" si="625"/>
        <v>06539003</v>
      </c>
      <c r="D2805" t="str">
        <f t="shared" si="626"/>
        <v>813</v>
      </c>
      <c r="E2805" t="str">
        <f t="shared" si="619"/>
        <v>89301171</v>
      </c>
      <c r="F2805" t="str">
        <f t="shared" si="621"/>
        <v>7912285315</v>
      </c>
      <c r="G2805" s="1">
        <v>44610</v>
      </c>
      <c r="H2805" t="str">
        <f>"91439"</f>
        <v>91439</v>
      </c>
      <c r="I2805">
        <v>1</v>
      </c>
      <c r="J2805">
        <v>356</v>
      </c>
      <c r="K2805">
        <v>0</v>
      </c>
      <c r="L2805">
        <v>277.68</v>
      </c>
    </row>
    <row r="2806" spans="1:12" x14ac:dyDescent="0.25">
      <c r="A2806" t="str">
        <f t="shared" si="613"/>
        <v>89301000</v>
      </c>
      <c r="B2806" t="str">
        <f t="shared" si="618"/>
        <v>06539000</v>
      </c>
      <c r="C2806" t="str">
        <f t="shared" si="625"/>
        <v>06539003</v>
      </c>
      <c r="D2806" t="str">
        <f t="shared" si="626"/>
        <v>813</v>
      </c>
      <c r="E2806" t="str">
        <f t="shared" si="619"/>
        <v>89301171</v>
      </c>
      <c r="F2806" t="str">
        <f t="shared" si="621"/>
        <v>7912285315</v>
      </c>
      <c r="G2806" s="1">
        <v>44610</v>
      </c>
      <c r="H2806" t="str">
        <f>"91439"</f>
        <v>91439</v>
      </c>
      <c r="I2806">
        <v>1</v>
      </c>
      <c r="J2806">
        <v>356</v>
      </c>
      <c r="K2806">
        <v>0</v>
      </c>
      <c r="L2806">
        <v>277.68</v>
      </c>
    </row>
    <row r="2807" spans="1:12" x14ac:dyDescent="0.25">
      <c r="A2807" t="str">
        <f t="shared" si="613"/>
        <v>89301000</v>
      </c>
      <c r="B2807" t="str">
        <f t="shared" si="618"/>
        <v>06539000</v>
      </c>
      <c r="C2807" t="str">
        <f t="shared" si="625"/>
        <v>06539003</v>
      </c>
      <c r="D2807" t="str">
        <f t="shared" si="626"/>
        <v>813</v>
      </c>
      <c r="E2807" t="str">
        <f t="shared" si="619"/>
        <v>89301171</v>
      </c>
      <c r="F2807" t="str">
        <f t="shared" si="621"/>
        <v>7912285315</v>
      </c>
      <c r="G2807" s="1">
        <v>44610</v>
      </c>
      <c r="H2807" t="str">
        <f>"91439"</f>
        <v>91439</v>
      </c>
      <c r="I2807">
        <v>2</v>
      </c>
      <c r="J2807">
        <v>712</v>
      </c>
      <c r="K2807">
        <v>0</v>
      </c>
      <c r="L2807">
        <v>555.36</v>
      </c>
    </row>
    <row r="2808" spans="1:12" x14ac:dyDescent="0.25">
      <c r="A2808" t="str">
        <f t="shared" si="613"/>
        <v>89301000</v>
      </c>
      <c r="B2808" t="str">
        <f t="shared" si="618"/>
        <v>06539000</v>
      </c>
      <c r="C2808" t="str">
        <f t="shared" si="625"/>
        <v>06539003</v>
      </c>
      <c r="D2808" t="str">
        <f t="shared" si="626"/>
        <v>813</v>
      </c>
      <c r="E2808" t="str">
        <f t="shared" si="619"/>
        <v>89301171</v>
      </c>
      <c r="F2808" t="str">
        <f t="shared" si="621"/>
        <v>7912285315</v>
      </c>
      <c r="G2808" s="1">
        <v>44613</v>
      </c>
      <c r="H2808" t="str">
        <f t="shared" ref="H2808:H2817" si="627">"91413"</f>
        <v>91413</v>
      </c>
      <c r="I2808">
        <v>1</v>
      </c>
      <c r="J2808">
        <v>853</v>
      </c>
      <c r="K2808">
        <v>0</v>
      </c>
      <c r="L2808">
        <v>665.34</v>
      </c>
    </row>
    <row r="2809" spans="1:12" x14ac:dyDescent="0.25">
      <c r="A2809" t="str">
        <f t="shared" si="613"/>
        <v>89301000</v>
      </c>
      <c r="B2809" t="str">
        <f t="shared" si="618"/>
        <v>06539000</v>
      </c>
      <c r="C2809" t="str">
        <f t="shared" si="625"/>
        <v>06539003</v>
      </c>
      <c r="D2809" t="str">
        <f t="shared" si="626"/>
        <v>813</v>
      </c>
      <c r="E2809" t="str">
        <f t="shared" si="619"/>
        <v>89301171</v>
      </c>
      <c r="F2809" t="str">
        <f t="shared" si="621"/>
        <v>7912285315</v>
      </c>
      <c r="G2809" s="1">
        <v>44613</v>
      </c>
      <c r="H2809" t="str">
        <f t="shared" si="627"/>
        <v>91413</v>
      </c>
      <c r="I2809">
        <v>1</v>
      </c>
      <c r="J2809">
        <v>853</v>
      </c>
      <c r="K2809">
        <v>0</v>
      </c>
      <c r="L2809">
        <v>665.34</v>
      </c>
    </row>
    <row r="2810" spans="1:12" x14ac:dyDescent="0.25">
      <c r="A2810" t="str">
        <f t="shared" si="613"/>
        <v>89301000</v>
      </c>
      <c r="B2810" t="str">
        <f t="shared" si="618"/>
        <v>06539000</v>
      </c>
      <c r="C2810" t="str">
        <f t="shared" si="625"/>
        <v>06539003</v>
      </c>
      <c r="D2810" t="str">
        <f t="shared" si="626"/>
        <v>813</v>
      </c>
      <c r="E2810" t="str">
        <f t="shared" si="619"/>
        <v>89301171</v>
      </c>
      <c r="F2810" t="str">
        <f t="shared" si="621"/>
        <v>7912285315</v>
      </c>
      <c r="G2810" s="1">
        <v>44622</v>
      </c>
      <c r="H2810" t="str">
        <f t="shared" si="627"/>
        <v>91413</v>
      </c>
      <c r="I2810">
        <v>1</v>
      </c>
      <c r="J2810">
        <v>853</v>
      </c>
      <c r="K2810">
        <v>0</v>
      </c>
      <c r="L2810">
        <v>665.34</v>
      </c>
    </row>
    <row r="2811" spans="1:12" x14ac:dyDescent="0.25">
      <c r="A2811" t="str">
        <f t="shared" si="613"/>
        <v>89301000</v>
      </c>
      <c r="B2811" t="str">
        <f t="shared" si="618"/>
        <v>06539000</v>
      </c>
      <c r="C2811" t="str">
        <f t="shared" si="625"/>
        <v>06539003</v>
      </c>
      <c r="D2811" t="str">
        <f t="shared" si="626"/>
        <v>813</v>
      </c>
      <c r="E2811" t="str">
        <f t="shared" si="619"/>
        <v>89301171</v>
      </c>
      <c r="F2811" t="str">
        <f t="shared" si="621"/>
        <v>7912285315</v>
      </c>
      <c r="G2811" s="1">
        <v>44622</v>
      </c>
      <c r="H2811" t="str">
        <f t="shared" si="627"/>
        <v>91413</v>
      </c>
      <c r="I2811">
        <v>1</v>
      </c>
      <c r="J2811">
        <v>853</v>
      </c>
      <c r="K2811">
        <v>0</v>
      </c>
      <c r="L2811">
        <v>665.34</v>
      </c>
    </row>
    <row r="2812" spans="1:12" x14ac:dyDescent="0.25">
      <c r="A2812" t="str">
        <f t="shared" si="613"/>
        <v>89301000</v>
      </c>
      <c r="B2812" t="str">
        <f t="shared" si="618"/>
        <v>06539000</v>
      </c>
      <c r="C2812" t="str">
        <f t="shared" si="625"/>
        <v>06539003</v>
      </c>
      <c r="D2812" t="str">
        <f t="shared" si="626"/>
        <v>813</v>
      </c>
      <c r="E2812" t="str">
        <f t="shared" si="619"/>
        <v>89301171</v>
      </c>
      <c r="F2812" t="str">
        <f t="shared" si="621"/>
        <v>7912285315</v>
      </c>
      <c r="G2812" s="1">
        <v>44622</v>
      </c>
      <c r="H2812" t="str">
        <f t="shared" si="627"/>
        <v>91413</v>
      </c>
      <c r="I2812">
        <v>1</v>
      </c>
      <c r="J2812">
        <v>853</v>
      </c>
      <c r="K2812">
        <v>0</v>
      </c>
      <c r="L2812">
        <v>665.34</v>
      </c>
    </row>
    <row r="2813" spans="1:12" x14ac:dyDescent="0.25">
      <c r="A2813" t="str">
        <f t="shared" si="613"/>
        <v>89301000</v>
      </c>
      <c r="B2813" t="str">
        <f t="shared" si="618"/>
        <v>06539000</v>
      </c>
      <c r="C2813" t="str">
        <f t="shared" si="625"/>
        <v>06539003</v>
      </c>
      <c r="D2813" t="str">
        <f t="shared" si="626"/>
        <v>813</v>
      </c>
      <c r="E2813" t="str">
        <f t="shared" si="619"/>
        <v>89301171</v>
      </c>
      <c r="F2813" t="str">
        <f t="shared" si="621"/>
        <v>7912285315</v>
      </c>
      <c r="G2813" s="1">
        <v>44622</v>
      </c>
      <c r="H2813" t="str">
        <f t="shared" si="627"/>
        <v>91413</v>
      </c>
      <c r="I2813">
        <v>1</v>
      </c>
      <c r="J2813">
        <v>853</v>
      </c>
      <c r="K2813">
        <v>0</v>
      </c>
      <c r="L2813">
        <v>665.34</v>
      </c>
    </row>
    <row r="2814" spans="1:12" x14ac:dyDescent="0.25">
      <c r="A2814" t="str">
        <f t="shared" si="613"/>
        <v>89301000</v>
      </c>
      <c r="B2814" t="str">
        <f t="shared" si="618"/>
        <v>06539000</v>
      </c>
      <c r="C2814" t="str">
        <f t="shared" si="625"/>
        <v>06539003</v>
      </c>
      <c r="D2814" t="str">
        <f t="shared" si="626"/>
        <v>813</v>
      </c>
      <c r="E2814" t="str">
        <f t="shared" si="619"/>
        <v>89301171</v>
      </c>
      <c r="F2814" t="str">
        <f t="shared" si="621"/>
        <v>7912285315</v>
      </c>
      <c r="G2814" s="1">
        <v>44622</v>
      </c>
      <c r="H2814" t="str">
        <f t="shared" si="627"/>
        <v>91413</v>
      </c>
      <c r="I2814">
        <v>1</v>
      </c>
      <c r="J2814">
        <v>853</v>
      </c>
      <c r="K2814">
        <v>0</v>
      </c>
      <c r="L2814">
        <v>665.34</v>
      </c>
    </row>
    <row r="2815" spans="1:12" x14ac:dyDescent="0.25">
      <c r="A2815" t="str">
        <f t="shared" si="613"/>
        <v>89301000</v>
      </c>
      <c r="B2815" t="str">
        <f t="shared" si="618"/>
        <v>06539000</v>
      </c>
      <c r="C2815" t="str">
        <f t="shared" si="625"/>
        <v>06539003</v>
      </c>
      <c r="D2815" t="str">
        <f t="shared" si="626"/>
        <v>813</v>
      </c>
      <c r="E2815" t="str">
        <f t="shared" si="619"/>
        <v>89301171</v>
      </c>
      <c r="F2815" t="str">
        <f t="shared" si="621"/>
        <v>7912285315</v>
      </c>
      <c r="G2815" s="1">
        <v>44622</v>
      </c>
      <c r="H2815" t="str">
        <f t="shared" si="627"/>
        <v>91413</v>
      </c>
      <c r="I2815">
        <v>1</v>
      </c>
      <c r="J2815">
        <v>853</v>
      </c>
      <c r="K2815">
        <v>0</v>
      </c>
      <c r="L2815">
        <v>665.34</v>
      </c>
    </row>
    <row r="2816" spans="1:12" x14ac:dyDescent="0.25">
      <c r="A2816" t="str">
        <f t="shared" si="613"/>
        <v>89301000</v>
      </c>
      <c r="B2816" t="str">
        <f t="shared" si="618"/>
        <v>06539000</v>
      </c>
      <c r="C2816" t="str">
        <f t="shared" si="625"/>
        <v>06539003</v>
      </c>
      <c r="D2816" t="str">
        <f t="shared" si="626"/>
        <v>813</v>
      </c>
      <c r="E2816" t="str">
        <f t="shared" si="619"/>
        <v>89301171</v>
      </c>
      <c r="F2816" t="str">
        <f t="shared" si="621"/>
        <v>7912285315</v>
      </c>
      <c r="G2816" s="1">
        <v>44622</v>
      </c>
      <c r="H2816" t="str">
        <f t="shared" si="627"/>
        <v>91413</v>
      </c>
      <c r="I2816">
        <v>1</v>
      </c>
      <c r="J2816">
        <v>853</v>
      </c>
      <c r="K2816">
        <v>0</v>
      </c>
      <c r="L2816">
        <v>665.34</v>
      </c>
    </row>
    <row r="2817" spans="1:12" x14ac:dyDescent="0.25">
      <c r="A2817" t="str">
        <f t="shared" si="613"/>
        <v>89301000</v>
      </c>
      <c r="B2817" t="str">
        <f t="shared" si="618"/>
        <v>06539000</v>
      </c>
      <c r="C2817" t="str">
        <f t="shared" si="625"/>
        <v>06539003</v>
      </c>
      <c r="D2817" t="str">
        <f t="shared" si="626"/>
        <v>813</v>
      </c>
      <c r="E2817" t="str">
        <f t="shared" si="619"/>
        <v>89301171</v>
      </c>
      <c r="F2817" t="str">
        <f t="shared" si="621"/>
        <v>7912285315</v>
      </c>
      <c r="G2817" s="1">
        <v>44622</v>
      </c>
      <c r="H2817" t="str">
        <f t="shared" si="627"/>
        <v>91413</v>
      </c>
      <c r="I2817">
        <v>1</v>
      </c>
      <c r="J2817">
        <v>853</v>
      </c>
      <c r="K2817">
        <v>0</v>
      </c>
      <c r="L2817">
        <v>665.34</v>
      </c>
    </row>
    <row r="2818" spans="1:12" x14ac:dyDescent="0.25">
      <c r="A2818" t="str">
        <f t="shared" ref="A2818:A2881" si="628">"89301000"</f>
        <v>89301000</v>
      </c>
      <c r="B2818" t="str">
        <f t="shared" si="618"/>
        <v>06539000</v>
      </c>
      <c r="C2818" t="str">
        <f t="shared" si="625"/>
        <v>06539003</v>
      </c>
      <c r="D2818" t="str">
        <f t="shared" si="626"/>
        <v>813</v>
      </c>
      <c r="E2818" t="str">
        <f t="shared" si="619"/>
        <v>89301171</v>
      </c>
      <c r="F2818" t="str">
        <f t="shared" si="621"/>
        <v>7912285315</v>
      </c>
      <c r="G2818" s="1">
        <v>44610</v>
      </c>
      <c r="H2818" t="str">
        <f t="shared" ref="H2818:H2824" si="629">"91197"</f>
        <v>91197</v>
      </c>
      <c r="I2818">
        <v>1</v>
      </c>
      <c r="J2818">
        <v>1046</v>
      </c>
      <c r="K2818">
        <v>0</v>
      </c>
      <c r="L2818">
        <v>815.88</v>
      </c>
    </row>
    <row r="2819" spans="1:12" x14ac:dyDescent="0.25">
      <c r="A2819" t="str">
        <f t="shared" si="628"/>
        <v>89301000</v>
      </c>
      <c r="B2819" t="str">
        <f t="shared" si="618"/>
        <v>06539000</v>
      </c>
      <c r="C2819" t="str">
        <f t="shared" si="625"/>
        <v>06539003</v>
      </c>
      <c r="D2819" t="str">
        <f t="shared" si="626"/>
        <v>813</v>
      </c>
      <c r="E2819" t="str">
        <f t="shared" si="619"/>
        <v>89301171</v>
      </c>
      <c r="F2819" t="str">
        <f t="shared" si="621"/>
        <v>7912285315</v>
      </c>
      <c r="G2819" s="1">
        <v>44613</v>
      </c>
      <c r="H2819" t="str">
        <f t="shared" si="629"/>
        <v>91197</v>
      </c>
      <c r="I2819">
        <v>1</v>
      </c>
      <c r="J2819">
        <v>1046</v>
      </c>
      <c r="K2819">
        <v>0</v>
      </c>
      <c r="L2819">
        <v>815.88</v>
      </c>
    </row>
    <row r="2820" spans="1:12" x14ac:dyDescent="0.25">
      <c r="A2820" t="str">
        <f t="shared" si="628"/>
        <v>89301000</v>
      </c>
      <c r="B2820" t="str">
        <f t="shared" si="618"/>
        <v>06539000</v>
      </c>
      <c r="C2820" t="str">
        <f t="shared" si="625"/>
        <v>06539003</v>
      </c>
      <c r="D2820" t="str">
        <f t="shared" si="626"/>
        <v>813</v>
      </c>
      <c r="E2820" t="str">
        <f t="shared" si="619"/>
        <v>89301171</v>
      </c>
      <c r="F2820" t="str">
        <f t="shared" si="621"/>
        <v>7912285315</v>
      </c>
      <c r="G2820" s="1">
        <v>44613</v>
      </c>
      <c r="H2820" t="str">
        <f t="shared" si="629"/>
        <v>91197</v>
      </c>
      <c r="I2820">
        <v>1</v>
      </c>
      <c r="J2820">
        <v>1046</v>
      </c>
      <c r="K2820">
        <v>0</v>
      </c>
      <c r="L2820">
        <v>815.88</v>
      </c>
    </row>
    <row r="2821" spans="1:12" x14ac:dyDescent="0.25">
      <c r="A2821" t="str">
        <f t="shared" si="628"/>
        <v>89301000</v>
      </c>
      <c r="B2821" t="str">
        <f t="shared" si="618"/>
        <v>06539000</v>
      </c>
      <c r="C2821" t="str">
        <f t="shared" si="625"/>
        <v>06539003</v>
      </c>
      <c r="D2821" t="str">
        <f t="shared" si="626"/>
        <v>813</v>
      </c>
      <c r="E2821" t="str">
        <f t="shared" si="619"/>
        <v>89301171</v>
      </c>
      <c r="F2821" t="str">
        <f t="shared" si="621"/>
        <v>7912285315</v>
      </c>
      <c r="G2821" s="1">
        <v>44612</v>
      </c>
      <c r="H2821" t="str">
        <f t="shared" si="629"/>
        <v>91197</v>
      </c>
      <c r="I2821">
        <v>1</v>
      </c>
      <c r="J2821">
        <v>1046</v>
      </c>
      <c r="K2821">
        <v>0</v>
      </c>
      <c r="L2821">
        <v>815.88</v>
      </c>
    </row>
    <row r="2822" spans="1:12" x14ac:dyDescent="0.25">
      <c r="A2822" t="str">
        <f t="shared" si="628"/>
        <v>89301000</v>
      </c>
      <c r="B2822" t="str">
        <f t="shared" si="618"/>
        <v>06539000</v>
      </c>
      <c r="C2822" t="str">
        <f t="shared" si="625"/>
        <v>06539003</v>
      </c>
      <c r="D2822" t="str">
        <f t="shared" si="626"/>
        <v>813</v>
      </c>
      <c r="E2822" t="str">
        <f t="shared" si="619"/>
        <v>89301171</v>
      </c>
      <c r="F2822" t="str">
        <f t="shared" si="621"/>
        <v>7912285315</v>
      </c>
      <c r="G2822" s="1">
        <v>44612</v>
      </c>
      <c r="H2822" t="str">
        <f t="shared" si="629"/>
        <v>91197</v>
      </c>
      <c r="I2822">
        <v>1</v>
      </c>
      <c r="J2822">
        <v>1046</v>
      </c>
      <c r="K2822">
        <v>0</v>
      </c>
      <c r="L2822">
        <v>815.88</v>
      </c>
    </row>
    <row r="2823" spans="1:12" x14ac:dyDescent="0.25">
      <c r="A2823" t="str">
        <f t="shared" si="628"/>
        <v>89301000</v>
      </c>
      <c r="B2823" t="str">
        <f t="shared" si="618"/>
        <v>06539000</v>
      </c>
      <c r="C2823" t="str">
        <f t="shared" si="625"/>
        <v>06539003</v>
      </c>
      <c r="D2823" t="str">
        <f t="shared" si="626"/>
        <v>813</v>
      </c>
      <c r="E2823" t="str">
        <f t="shared" si="619"/>
        <v>89301171</v>
      </c>
      <c r="F2823" t="str">
        <f t="shared" si="621"/>
        <v>7912285315</v>
      </c>
      <c r="G2823" s="1">
        <v>44611</v>
      </c>
      <c r="H2823" t="str">
        <f t="shared" si="629"/>
        <v>91197</v>
      </c>
      <c r="I2823">
        <v>1</v>
      </c>
      <c r="J2823">
        <v>1046</v>
      </c>
      <c r="K2823">
        <v>0</v>
      </c>
      <c r="L2823">
        <v>815.88</v>
      </c>
    </row>
    <row r="2824" spans="1:12" x14ac:dyDescent="0.25">
      <c r="A2824" t="str">
        <f t="shared" si="628"/>
        <v>89301000</v>
      </c>
      <c r="B2824" t="str">
        <f t="shared" si="618"/>
        <v>06539000</v>
      </c>
      <c r="C2824" t="str">
        <f t="shared" si="625"/>
        <v>06539003</v>
      </c>
      <c r="D2824" t="str">
        <f t="shared" si="626"/>
        <v>813</v>
      </c>
      <c r="E2824" t="str">
        <f t="shared" si="619"/>
        <v>89301171</v>
      </c>
      <c r="F2824" t="str">
        <f t="shared" si="621"/>
        <v>7912285315</v>
      </c>
      <c r="G2824" s="1">
        <v>44611</v>
      </c>
      <c r="H2824" t="str">
        <f t="shared" si="629"/>
        <v>91197</v>
      </c>
      <c r="I2824">
        <v>1</v>
      </c>
      <c r="J2824">
        <v>1046</v>
      </c>
      <c r="K2824">
        <v>0</v>
      </c>
      <c r="L2824">
        <v>815.88</v>
      </c>
    </row>
    <row r="2825" spans="1:12" x14ac:dyDescent="0.25">
      <c r="A2825" t="str">
        <f t="shared" si="628"/>
        <v>89301000</v>
      </c>
      <c r="B2825" t="str">
        <f t="shared" si="618"/>
        <v>06539000</v>
      </c>
      <c r="C2825" t="str">
        <f t="shared" si="625"/>
        <v>06539003</v>
      </c>
      <c r="D2825" t="str">
        <f t="shared" si="626"/>
        <v>813</v>
      </c>
      <c r="E2825" t="str">
        <f t="shared" si="619"/>
        <v>89301171</v>
      </c>
      <c r="F2825" t="str">
        <f t="shared" si="621"/>
        <v>7912285315</v>
      </c>
      <c r="G2825" s="1">
        <v>44614</v>
      </c>
      <c r="H2825" t="str">
        <f>"91329"</f>
        <v>91329</v>
      </c>
      <c r="I2825">
        <v>2</v>
      </c>
      <c r="J2825">
        <v>428</v>
      </c>
      <c r="K2825">
        <v>0</v>
      </c>
      <c r="L2825">
        <v>333.84</v>
      </c>
    </row>
    <row r="2826" spans="1:12" x14ac:dyDescent="0.25">
      <c r="A2826" t="str">
        <f t="shared" si="628"/>
        <v>89301000</v>
      </c>
      <c r="B2826" t="str">
        <f t="shared" si="618"/>
        <v>06539000</v>
      </c>
      <c r="C2826" t="str">
        <f t="shared" si="625"/>
        <v>06539003</v>
      </c>
      <c r="D2826" t="str">
        <f t="shared" si="626"/>
        <v>813</v>
      </c>
      <c r="E2826" t="str">
        <f t="shared" si="619"/>
        <v>89301171</v>
      </c>
      <c r="F2826" t="str">
        <f t="shared" si="621"/>
        <v>7912285315</v>
      </c>
      <c r="G2826" s="1">
        <v>44614</v>
      </c>
      <c r="H2826" t="str">
        <f>"91329"</f>
        <v>91329</v>
      </c>
      <c r="I2826">
        <v>2</v>
      </c>
      <c r="J2826">
        <v>428</v>
      </c>
      <c r="K2826">
        <v>0</v>
      </c>
      <c r="L2826">
        <v>333.84</v>
      </c>
    </row>
    <row r="2827" spans="1:12" x14ac:dyDescent="0.25">
      <c r="A2827" t="str">
        <f t="shared" si="628"/>
        <v>89301000</v>
      </c>
      <c r="B2827" t="str">
        <f t="shared" si="618"/>
        <v>06539000</v>
      </c>
      <c r="C2827" t="str">
        <f t="shared" si="625"/>
        <v>06539003</v>
      </c>
      <c r="D2827" t="str">
        <f t="shared" si="626"/>
        <v>813</v>
      </c>
      <c r="E2827" t="str">
        <f t="shared" si="619"/>
        <v>89301171</v>
      </c>
      <c r="F2827" t="str">
        <f t="shared" si="621"/>
        <v>7912285315</v>
      </c>
      <c r="G2827" s="1">
        <v>44616</v>
      </c>
      <c r="H2827" t="str">
        <f>"91495"</f>
        <v>91495</v>
      </c>
      <c r="I2827">
        <v>1</v>
      </c>
      <c r="J2827">
        <v>592</v>
      </c>
      <c r="K2827">
        <v>0</v>
      </c>
      <c r="L2827">
        <v>461.76</v>
      </c>
    </row>
    <row r="2828" spans="1:12" x14ac:dyDescent="0.25">
      <c r="A2828" t="str">
        <f t="shared" si="628"/>
        <v>89301000</v>
      </c>
      <c r="B2828" t="str">
        <f t="shared" si="618"/>
        <v>06539000</v>
      </c>
      <c r="C2828" t="str">
        <f t="shared" si="625"/>
        <v>06539003</v>
      </c>
      <c r="D2828" t="str">
        <f t="shared" si="626"/>
        <v>813</v>
      </c>
      <c r="E2828" t="str">
        <f t="shared" si="619"/>
        <v>89301171</v>
      </c>
      <c r="F2828" t="str">
        <f t="shared" si="621"/>
        <v>7912285315</v>
      </c>
      <c r="G2828" s="1">
        <v>44610</v>
      </c>
      <c r="H2828" t="str">
        <f>"91129"</f>
        <v>91129</v>
      </c>
      <c r="I2828">
        <v>1</v>
      </c>
      <c r="J2828">
        <v>174</v>
      </c>
      <c r="K2828">
        <v>0</v>
      </c>
      <c r="L2828">
        <v>135.72</v>
      </c>
    </row>
    <row r="2829" spans="1:12" x14ac:dyDescent="0.25">
      <c r="A2829" t="str">
        <f t="shared" si="628"/>
        <v>89301000</v>
      </c>
      <c r="B2829" t="str">
        <f t="shared" si="618"/>
        <v>06539000</v>
      </c>
      <c r="C2829" t="str">
        <f t="shared" si="625"/>
        <v>06539003</v>
      </c>
      <c r="D2829" t="str">
        <f t="shared" si="626"/>
        <v>813</v>
      </c>
      <c r="E2829" t="str">
        <f t="shared" si="619"/>
        <v>89301171</v>
      </c>
      <c r="F2829" t="str">
        <f t="shared" si="621"/>
        <v>7912285315</v>
      </c>
      <c r="G2829" s="1">
        <v>44610</v>
      </c>
      <c r="H2829" t="str">
        <f>"91131"</f>
        <v>91131</v>
      </c>
      <c r="I2829">
        <v>1</v>
      </c>
      <c r="J2829">
        <v>171</v>
      </c>
      <c r="K2829">
        <v>0</v>
      </c>
      <c r="L2829">
        <v>133.38</v>
      </c>
    </row>
    <row r="2830" spans="1:12" x14ac:dyDescent="0.25">
      <c r="A2830" t="str">
        <f t="shared" si="628"/>
        <v>89301000</v>
      </c>
      <c r="B2830" t="str">
        <f t="shared" si="618"/>
        <v>06539000</v>
      </c>
      <c r="C2830" t="str">
        <f t="shared" si="625"/>
        <v>06539003</v>
      </c>
      <c r="D2830" t="str">
        <f t="shared" si="626"/>
        <v>813</v>
      </c>
      <c r="E2830" t="str">
        <f t="shared" si="619"/>
        <v>89301171</v>
      </c>
      <c r="F2830" t="str">
        <f t="shared" si="621"/>
        <v>7912285315</v>
      </c>
      <c r="G2830" s="1">
        <v>44610</v>
      </c>
      <c r="H2830" t="str">
        <f>"91133"</f>
        <v>91133</v>
      </c>
      <c r="I2830">
        <v>1</v>
      </c>
      <c r="J2830">
        <v>176</v>
      </c>
      <c r="K2830">
        <v>0</v>
      </c>
      <c r="L2830">
        <v>137.28</v>
      </c>
    </row>
    <row r="2831" spans="1:12" x14ac:dyDescent="0.25">
      <c r="A2831" t="str">
        <f t="shared" si="628"/>
        <v>89301000</v>
      </c>
      <c r="B2831" t="str">
        <f t="shared" si="618"/>
        <v>06539000</v>
      </c>
      <c r="C2831" t="str">
        <f t="shared" si="625"/>
        <v>06539003</v>
      </c>
      <c r="D2831" t="str">
        <f t="shared" si="626"/>
        <v>813</v>
      </c>
      <c r="E2831" t="str">
        <f t="shared" si="619"/>
        <v>89301171</v>
      </c>
      <c r="F2831" t="str">
        <f t="shared" si="621"/>
        <v>7912285315</v>
      </c>
      <c r="G2831" s="1">
        <v>44610</v>
      </c>
      <c r="H2831" t="str">
        <f>"91171"</f>
        <v>91171</v>
      </c>
      <c r="I2831">
        <v>1</v>
      </c>
      <c r="J2831">
        <v>360</v>
      </c>
      <c r="K2831">
        <v>0</v>
      </c>
      <c r="L2831">
        <v>280.8</v>
      </c>
    </row>
    <row r="2832" spans="1:12" x14ac:dyDescent="0.25">
      <c r="A2832" t="str">
        <f t="shared" si="628"/>
        <v>89301000</v>
      </c>
      <c r="B2832" t="str">
        <f t="shared" si="618"/>
        <v>06539000</v>
      </c>
      <c r="C2832" t="str">
        <f t="shared" si="625"/>
        <v>06539003</v>
      </c>
      <c r="D2832" t="str">
        <f t="shared" si="626"/>
        <v>813</v>
      </c>
      <c r="E2832" t="str">
        <f t="shared" si="619"/>
        <v>89301171</v>
      </c>
      <c r="F2832" t="str">
        <f t="shared" si="621"/>
        <v>7912285315</v>
      </c>
      <c r="G2832" s="1">
        <v>44610</v>
      </c>
      <c r="H2832" t="str">
        <f>"91173"</f>
        <v>91173</v>
      </c>
      <c r="I2832">
        <v>1</v>
      </c>
      <c r="J2832">
        <v>335</v>
      </c>
      <c r="K2832">
        <v>0</v>
      </c>
      <c r="L2832">
        <v>261.3</v>
      </c>
    </row>
    <row r="2833" spans="1:12" x14ac:dyDescent="0.25">
      <c r="A2833" t="str">
        <f t="shared" si="628"/>
        <v>89301000</v>
      </c>
      <c r="B2833" t="str">
        <f t="shared" si="618"/>
        <v>06539000</v>
      </c>
      <c r="C2833" t="str">
        <f t="shared" si="625"/>
        <v>06539003</v>
      </c>
      <c r="D2833" t="str">
        <f t="shared" si="626"/>
        <v>813</v>
      </c>
      <c r="E2833" t="str">
        <f t="shared" si="619"/>
        <v>89301171</v>
      </c>
      <c r="F2833" t="str">
        <f t="shared" si="621"/>
        <v>7912285315</v>
      </c>
      <c r="G2833" s="1">
        <v>44610</v>
      </c>
      <c r="H2833" t="str">
        <f>"91175"</f>
        <v>91175</v>
      </c>
      <c r="I2833">
        <v>1</v>
      </c>
      <c r="J2833">
        <v>360</v>
      </c>
      <c r="K2833">
        <v>0</v>
      </c>
      <c r="L2833">
        <v>280.8</v>
      </c>
    </row>
    <row r="2834" spans="1:12" x14ac:dyDescent="0.25">
      <c r="A2834" t="str">
        <f t="shared" si="628"/>
        <v>89301000</v>
      </c>
      <c r="B2834" t="str">
        <f t="shared" si="618"/>
        <v>06539000</v>
      </c>
      <c r="C2834" t="str">
        <f t="shared" si="625"/>
        <v>06539003</v>
      </c>
      <c r="D2834" t="str">
        <f t="shared" si="626"/>
        <v>813</v>
      </c>
      <c r="E2834" t="str">
        <f t="shared" si="619"/>
        <v>89301171</v>
      </c>
      <c r="F2834" t="str">
        <f t="shared" si="621"/>
        <v>7912285315</v>
      </c>
      <c r="G2834" s="1">
        <v>44611</v>
      </c>
      <c r="H2834" t="str">
        <f>"91167"</f>
        <v>91167</v>
      </c>
      <c r="I2834">
        <v>1</v>
      </c>
      <c r="J2834">
        <v>425</v>
      </c>
      <c r="K2834">
        <v>0</v>
      </c>
      <c r="L2834">
        <v>331.5</v>
      </c>
    </row>
    <row r="2835" spans="1:12" x14ac:dyDescent="0.25">
      <c r="A2835" t="str">
        <f t="shared" si="628"/>
        <v>89301000</v>
      </c>
      <c r="B2835" t="str">
        <f t="shared" si="618"/>
        <v>06539000</v>
      </c>
      <c r="C2835" t="str">
        <f t="shared" si="625"/>
        <v>06539003</v>
      </c>
      <c r="D2835" t="str">
        <f t="shared" si="626"/>
        <v>813</v>
      </c>
      <c r="E2835" t="str">
        <f t="shared" si="619"/>
        <v>89301171</v>
      </c>
      <c r="F2835" t="str">
        <f t="shared" si="621"/>
        <v>7912285315</v>
      </c>
      <c r="G2835" s="1">
        <v>44611</v>
      </c>
      <c r="H2835" t="str">
        <f>"91169"</f>
        <v>91169</v>
      </c>
      <c r="I2835">
        <v>1</v>
      </c>
      <c r="J2835">
        <v>425</v>
      </c>
      <c r="K2835">
        <v>0</v>
      </c>
      <c r="L2835">
        <v>331.5</v>
      </c>
    </row>
    <row r="2836" spans="1:12" x14ac:dyDescent="0.25">
      <c r="A2836" t="str">
        <f t="shared" si="628"/>
        <v>89301000</v>
      </c>
      <c r="B2836" t="str">
        <f t="shared" si="618"/>
        <v>06539000</v>
      </c>
      <c r="C2836" t="str">
        <f t="shared" si="625"/>
        <v>06539003</v>
      </c>
      <c r="D2836" t="str">
        <f t="shared" si="626"/>
        <v>813</v>
      </c>
      <c r="E2836" t="str">
        <f t="shared" si="619"/>
        <v>89301171</v>
      </c>
      <c r="F2836" t="str">
        <f t="shared" si="621"/>
        <v>7912285315</v>
      </c>
      <c r="G2836" s="1">
        <v>44610</v>
      </c>
      <c r="H2836" t="str">
        <f>"91167"</f>
        <v>91167</v>
      </c>
      <c r="I2836">
        <v>1</v>
      </c>
      <c r="J2836">
        <v>425</v>
      </c>
      <c r="K2836">
        <v>0</v>
      </c>
      <c r="L2836">
        <v>331.5</v>
      </c>
    </row>
    <row r="2837" spans="1:12" x14ac:dyDescent="0.25">
      <c r="A2837" t="str">
        <f t="shared" si="628"/>
        <v>89301000</v>
      </c>
      <c r="B2837" t="str">
        <f t="shared" si="618"/>
        <v>06539000</v>
      </c>
      <c r="C2837" t="str">
        <f t="shared" si="625"/>
        <v>06539003</v>
      </c>
      <c r="D2837" t="str">
        <f t="shared" si="626"/>
        <v>813</v>
      </c>
      <c r="E2837" t="str">
        <f t="shared" si="619"/>
        <v>89301171</v>
      </c>
      <c r="F2837" t="str">
        <f t="shared" si="621"/>
        <v>7912285315</v>
      </c>
      <c r="G2837" s="1">
        <v>44610</v>
      </c>
      <c r="H2837" t="str">
        <f>"91169"</f>
        <v>91169</v>
      </c>
      <c r="I2837">
        <v>1</v>
      </c>
      <c r="J2837">
        <v>425</v>
      </c>
      <c r="K2837">
        <v>0</v>
      </c>
      <c r="L2837">
        <v>331.5</v>
      </c>
    </row>
    <row r="2838" spans="1:12" x14ac:dyDescent="0.25">
      <c r="A2838" t="str">
        <f t="shared" si="628"/>
        <v>89301000</v>
      </c>
      <c r="B2838" t="str">
        <f t="shared" si="618"/>
        <v>06539000</v>
      </c>
      <c r="C2838" t="str">
        <f t="shared" si="625"/>
        <v>06539003</v>
      </c>
      <c r="D2838" t="str">
        <f t="shared" si="626"/>
        <v>813</v>
      </c>
      <c r="E2838" t="str">
        <f t="shared" si="619"/>
        <v>89301171</v>
      </c>
      <c r="F2838" t="str">
        <f t="shared" si="621"/>
        <v>7912285315</v>
      </c>
      <c r="G2838" s="1">
        <v>44610</v>
      </c>
      <c r="H2838" t="str">
        <f>"91475"</f>
        <v>91475</v>
      </c>
      <c r="I2838">
        <v>1</v>
      </c>
      <c r="J2838">
        <v>206</v>
      </c>
      <c r="K2838">
        <v>0</v>
      </c>
      <c r="L2838">
        <v>160.68</v>
      </c>
    </row>
    <row r="2839" spans="1:12" x14ac:dyDescent="0.25">
      <c r="A2839" t="str">
        <f t="shared" si="628"/>
        <v>89301000</v>
      </c>
      <c r="B2839" t="str">
        <f t="shared" si="618"/>
        <v>06539000</v>
      </c>
      <c r="C2839" t="str">
        <f>"06539001"</f>
        <v>06539001</v>
      </c>
      <c r="D2839" t="str">
        <f>"801"</f>
        <v>801</v>
      </c>
      <c r="E2839" t="str">
        <f t="shared" si="619"/>
        <v>89301171</v>
      </c>
      <c r="F2839" t="str">
        <f t="shared" ref="F2839:F2872" si="630">"6356150493"</f>
        <v>6356150493</v>
      </c>
      <c r="G2839" s="1">
        <v>44610</v>
      </c>
      <c r="H2839" t="str">
        <f>"81329"</f>
        <v>81329</v>
      </c>
      <c r="I2839">
        <v>1</v>
      </c>
      <c r="J2839">
        <v>16</v>
      </c>
      <c r="K2839">
        <v>0</v>
      </c>
      <c r="L2839">
        <v>12.48</v>
      </c>
    </row>
    <row r="2840" spans="1:12" x14ac:dyDescent="0.25">
      <c r="A2840" t="str">
        <f t="shared" si="628"/>
        <v>89301000</v>
      </c>
      <c r="B2840" t="str">
        <f t="shared" ref="B2840:B2903" si="631">"06539000"</f>
        <v>06539000</v>
      </c>
      <c r="C2840" t="str">
        <f>"06539001"</f>
        <v>06539001</v>
      </c>
      <c r="D2840" t="str">
        <f>"801"</f>
        <v>801</v>
      </c>
      <c r="E2840" t="str">
        <f t="shared" ref="E2840:E2903" si="632">"89301171"</f>
        <v>89301171</v>
      </c>
      <c r="F2840" t="str">
        <f t="shared" si="630"/>
        <v>6356150493</v>
      </c>
      <c r="G2840" s="1">
        <v>44610</v>
      </c>
      <c r="H2840" t="str">
        <f>"81331"</f>
        <v>81331</v>
      </c>
      <c r="I2840">
        <v>1</v>
      </c>
      <c r="J2840">
        <v>193</v>
      </c>
      <c r="K2840">
        <v>0</v>
      </c>
      <c r="L2840">
        <v>150.54</v>
      </c>
    </row>
    <row r="2841" spans="1:12" x14ac:dyDescent="0.25">
      <c r="A2841" t="str">
        <f t="shared" si="628"/>
        <v>89301000</v>
      </c>
      <c r="B2841" t="str">
        <f t="shared" si="631"/>
        <v>06539000</v>
      </c>
      <c r="C2841" t="str">
        <f t="shared" ref="C2841:C2872" si="633">"06539003"</f>
        <v>06539003</v>
      </c>
      <c r="D2841" t="str">
        <f t="shared" ref="D2841:D2872" si="634">"813"</f>
        <v>813</v>
      </c>
      <c r="E2841" t="str">
        <f t="shared" si="632"/>
        <v>89301171</v>
      </c>
      <c r="F2841" t="str">
        <f t="shared" si="630"/>
        <v>6356150493</v>
      </c>
      <c r="G2841" s="1">
        <v>44610</v>
      </c>
      <c r="H2841" t="str">
        <f>"91439"</f>
        <v>91439</v>
      </c>
      <c r="I2841">
        <v>1</v>
      </c>
      <c r="J2841">
        <v>356</v>
      </c>
      <c r="K2841">
        <v>0</v>
      </c>
      <c r="L2841">
        <v>277.68</v>
      </c>
    </row>
    <row r="2842" spans="1:12" x14ac:dyDescent="0.25">
      <c r="A2842" t="str">
        <f t="shared" si="628"/>
        <v>89301000</v>
      </c>
      <c r="B2842" t="str">
        <f t="shared" si="631"/>
        <v>06539000</v>
      </c>
      <c r="C2842" t="str">
        <f t="shared" si="633"/>
        <v>06539003</v>
      </c>
      <c r="D2842" t="str">
        <f t="shared" si="634"/>
        <v>813</v>
      </c>
      <c r="E2842" t="str">
        <f t="shared" si="632"/>
        <v>89301171</v>
      </c>
      <c r="F2842" t="str">
        <f t="shared" si="630"/>
        <v>6356150493</v>
      </c>
      <c r="G2842" s="1">
        <v>44610</v>
      </c>
      <c r="H2842" t="str">
        <f>"91439"</f>
        <v>91439</v>
      </c>
      <c r="I2842">
        <v>1</v>
      </c>
      <c r="J2842">
        <v>356</v>
      </c>
      <c r="K2842">
        <v>0</v>
      </c>
      <c r="L2842">
        <v>277.68</v>
      </c>
    </row>
    <row r="2843" spans="1:12" x14ac:dyDescent="0.25">
      <c r="A2843" t="str">
        <f t="shared" si="628"/>
        <v>89301000</v>
      </c>
      <c r="B2843" t="str">
        <f t="shared" si="631"/>
        <v>06539000</v>
      </c>
      <c r="C2843" t="str">
        <f t="shared" si="633"/>
        <v>06539003</v>
      </c>
      <c r="D2843" t="str">
        <f t="shared" si="634"/>
        <v>813</v>
      </c>
      <c r="E2843" t="str">
        <f t="shared" si="632"/>
        <v>89301171</v>
      </c>
      <c r="F2843" t="str">
        <f t="shared" si="630"/>
        <v>6356150493</v>
      </c>
      <c r="G2843" s="1">
        <v>44610</v>
      </c>
      <c r="H2843" t="str">
        <f>"91439"</f>
        <v>91439</v>
      </c>
      <c r="I2843">
        <v>2</v>
      </c>
      <c r="J2843">
        <v>712</v>
      </c>
      <c r="K2843">
        <v>0</v>
      </c>
      <c r="L2843">
        <v>555.36</v>
      </c>
    </row>
    <row r="2844" spans="1:12" x14ac:dyDescent="0.25">
      <c r="A2844" t="str">
        <f t="shared" si="628"/>
        <v>89301000</v>
      </c>
      <c r="B2844" t="str">
        <f t="shared" si="631"/>
        <v>06539000</v>
      </c>
      <c r="C2844" t="str">
        <f t="shared" si="633"/>
        <v>06539003</v>
      </c>
      <c r="D2844" t="str">
        <f t="shared" si="634"/>
        <v>813</v>
      </c>
      <c r="E2844" t="str">
        <f t="shared" si="632"/>
        <v>89301171</v>
      </c>
      <c r="F2844" t="str">
        <f t="shared" si="630"/>
        <v>6356150493</v>
      </c>
      <c r="G2844" s="1">
        <v>44610</v>
      </c>
      <c r="H2844" t="str">
        <f>"91439"</f>
        <v>91439</v>
      </c>
      <c r="I2844">
        <v>1</v>
      </c>
      <c r="J2844">
        <v>356</v>
      </c>
      <c r="K2844">
        <v>0</v>
      </c>
      <c r="L2844">
        <v>277.68</v>
      </c>
    </row>
    <row r="2845" spans="1:12" x14ac:dyDescent="0.25">
      <c r="A2845" t="str">
        <f t="shared" si="628"/>
        <v>89301000</v>
      </c>
      <c r="B2845" t="str">
        <f t="shared" si="631"/>
        <v>06539000</v>
      </c>
      <c r="C2845" t="str">
        <f t="shared" si="633"/>
        <v>06539003</v>
      </c>
      <c r="D2845" t="str">
        <f t="shared" si="634"/>
        <v>813</v>
      </c>
      <c r="E2845" t="str">
        <f t="shared" si="632"/>
        <v>89301171</v>
      </c>
      <c r="F2845" t="str">
        <f t="shared" si="630"/>
        <v>6356150493</v>
      </c>
      <c r="G2845" s="1">
        <v>44610</v>
      </c>
      <c r="H2845" t="str">
        <f>"91439"</f>
        <v>91439</v>
      </c>
      <c r="I2845">
        <v>1</v>
      </c>
      <c r="J2845">
        <v>356</v>
      </c>
      <c r="K2845">
        <v>0</v>
      </c>
      <c r="L2845">
        <v>277.68</v>
      </c>
    </row>
    <row r="2846" spans="1:12" x14ac:dyDescent="0.25">
      <c r="A2846" t="str">
        <f t="shared" si="628"/>
        <v>89301000</v>
      </c>
      <c r="B2846" t="str">
        <f t="shared" si="631"/>
        <v>06539000</v>
      </c>
      <c r="C2846" t="str">
        <f t="shared" si="633"/>
        <v>06539003</v>
      </c>
      <c r="D2846" t="str">
        <f t="shared" si="634"/>
        <v>813</v>
      </c>
      <c r="E2846" t="str">
        <f t="shared" si="632"/>
        <v>89301171</v>
      </c>
      <c r="F2846" t="str">
        <f t="shared" si="630"/>
        <v>6356150493</v>
      </c>
      <c r="G2846" s="1">
        <v>44613</v>
      </c>
      <c r="H2846" t="str">
        <f t="shared" ref="H2846:H2855" si="635">"91413"</f>
        <v>91413</v>
      </c>
      <c r="I2846">
        <v>1</v>
      </c>
      <c r="J2846">
        <v>853</v>
      </c>
      <c r="K2846">
        <v>0</v>
      </c>
      <c r="L2846">
        <v>665.34</v>
      </c>
    </row>
    <row r="2847" spans="1:12" x14ac:dyDescent="0.25">
      <c r="A2847" t="str">
        <f t="shared" si="628"/>
        <v>89301000</v>
      </c>
      <c r="B2847" t="str">
        <f t="shared" si="631"/>
        <v>06539000</v>
      </c>
      <c r="C2847" t="str">
        <f t="shared" si="633"/>
        <v>06539003</v>
      </c>
      <c r="D2847" t="str">
        <f t="shared" si="634"/>
        <v>813</v>
      </c>
      <c r="E2847" t="str">
        <f t="shared" si="632"/>
        <v>89301171</v>
      </c>
      <c r="F2847" t="str">
        <f t="shared" si="630"/>
        <v>6356150493</v>
      </c>
      <c r="G2847" s="1">
        <v>44613</v>
      </c>
      <c r="H2847" t="str">
        <f t="shared" si="635"/>
        <v>91413</v>
      </c>
      <c r="I2847">
        <v>1</v>
      </c>
      <c r="J2847">
        <v>853</v>
      </c>
      <c r="K2847">
        <v>0</v>
      </c>
      <c r="L2847">
        <v>665.34</v>
      </c>
    </row>
    <row r="2848" spans="1:12" x14ac:dyDescent="0.25">
      <c r="A2848" t="str">
        <f t="shared" si="628"/>
        <v>89301000</v>
      </c>
      <c r="B2848" t="str">
        <f t="shared" si="631"/>
        <v>06539000</v>
      </c>
      <c r="C2848" t="str">
        <f t="shared" si="633"/>
        <v>06539003</v>
      </c>
      <c r="D2848" t="str">
        <f t="shared" si="634"/>
        <v>813</v>
      </c>
      <c r="E2848" t="str">
        <f t="shared" si="632"/>
        <v>89301171</v>
      </c>
      <c r="F2848" t="str">
        <f t="shared" si="630"/>
        <v>6356150493</v>
      </c>
      <c r="G2848" s="1">
        <v>44622</v>
      </c>
      <c r="H2848" t="str">
        <f t="shared" si="635"/>
        <v>91413</v>
      </c>
      <c r="I2848">
        <v>1</v>
      </c>
      <c r="J2848">
        <v>853</v>
      </c>
      <c r="K2848">
        <v>0</v>
      </c>
      <c r="L2848">
        <v>665.34</v>
      </c>
    </row>
    <row r="2849" spans="1:12" x14ac:dyDescent="0.25">
      <c r="A2849" t="str">
        <f t="shared" si="628"/>
        <v>89301000</v>
      </c>
      <c r="B2849" t="str">
        <f t="shared" si="631"/>
        <v>06539000</v>
      </c>
      <c r="C2849" t="str">
        <f t="shared" si="633"/>
        <v>06539003</v>
      </c>
      <c r="D2849" t="str">
        <f t="shared" si="634"/>
        <v>813</v>
      </c>
      <c r="E2849" t="str">
        <f t="shared" si="632"/>
        <v>89301171</v>
      </c>
      <c r="F2849" t="str">
        <f t="shared" si="630"/>
        <v>6356150493</v>
      </c>
      <c r="G2849" s="1">
        <v>44622</v>
      </c>
      <c r="H2849" t="str">
        <f t="shared" si="635"/>
        <v>91413</v>
      </c>
      <c r="I2849">
        <v>1</v>
      </c>
      <c r="J2849">
        <v>853</v>
      </c>
      <c r="K2849">
        <v>0</v>
      </c>
      <c r="L2849">
        <v>665.34</v>
      </c>
    </row>
    <row r="2850" spans="1:12" x14ac:dyDescent="0.25">
      <c r="A2850" t="str">
        <f t="shared" si="628"/>
        <v>89301000</v>
      </c>
      <c r="B2850" t="str">
        <f t="shared" si="631"/>
        <v>06539000</v>
      </c>
      <c r="C2850" t="str">
        <f t="shared" si="633"/>
        <v>06539003</v>
      </c>
      <c r="D2850" t="str">
        <f t="shared" si="634"/>
        <v>813</v>
      </c>
      <c r="E2850" t="str">
        <f t="shared" si="632"/>
        <v>89301171</v>
      </c>
      <c r="F2850" t="str">
        <f t="shared" si="630"/>
        <v>6356150493</v>
      </c>
      <c r="G2850" s="1">
        <v>44622</v>
      </c>
      <c r="H2850" t="str">
        <f t="shared" si="635"/>
        <v>91413</v>
      </c>
      <c r="I2850">
        <v>1</v>
      </c>
      <c r="J2850">
        <v>853</v>
      </c>
      <c r="K2850">
        <v>0</v>
      </c>
      <c r="L2850">
        <v>665.34</v>
      </c>
    </row>
    <row r="2851" spans="1:12" x14ac:dyDescent="0.25">
      <c r="A2851" t="str">
        <f t="shared" si="628"/>
        <v>89301000</v>
      </c>
      <c r="B2851" t="str">
        <f t="shared" si="631"/>
        <v>06539000</v>
      </c>
      <c r="C2851" t="str">
        <f t="shared" si="633"/>
        <v>06539003</v>
      </c>
      <c r="D2851" t="str">
        <f t="shared" si="634"/>
        <v>813</v>
      </c>
      <c r="E2851" t="str">
        <f t="shared" si="632"/>
        <v>89301171</v>
      </c>
      <c r="F2851" t="str">
        <f t="shared" si="630"/>
        <v>6356150493</v>
      </c>
      <c r="G2851" s="1">
        <v>44622</v>
      </c>
      <c r="H2851" t="str">
        <f t="shared" si="635"/>
        <v>91413</v>
      </c>
      <c r="I2851">
        <v>1</v>
      </c>
      <c r="J2851">
        <v>853</v>
      </c>
      <c r="K2851">
        <v>0</v>
      </c>
      <c r="L2851">
        <v>665.34</v>
      </c>
    </row>
    <row r="2852" spans="1:12" x14ac:dyDescent="0.25">
      <c r="A2852" t="str">
        <f t="shared" si="628"/>
        <v>89301000</v>
      </c>
      <c r="B2852" t="str">
        <f t="shared" si="631"/>
        <v>06539000</v>
      </c>
      <c r="C2852" t="str">
        <f t="shared" si="633"/>
        <v>06539003</v>
      </c>
      <c r="D2852" t="str">
        <f t="shared" si="634"/>
        <v>813</v>
      </c>
      <c r="E2852" t="str">
        <f t="shared" si="632"/>
        <v>89301171</v>
      </c>
      <c r="F2852" t="str">
        <f t="shared" si="630"/>
        <v>6356150493</v>
      </c>
      <c r="G2852" s="1">
        <v>44622</v>
      </c>
      <c r="H2852" t="str">
        <f t="shared" si="635"/>
        <v>91413</v>
      </c>
      <c r="I2852">
        <v>1</v>
      </c>
      <c r="J2852">
        <v>853</v>
      </c>
      <c r="K2852">
        <v>0</v>
      </c>
      <c r="L2852">
        <v>665.34</v>
      </c>
    </row>
    <row r="2853" spans="1:12" x14ac:dyDescent="0.25">
      <c r="A2853" t="str">
        <f t="shared" si="628"/>
        <v>89301000</v>
      </c>
      <c r="B2853" t="str">
        <f t="shared" si="631"/>
        <v>06539000</v>
      </c>
      <c r="C2853" t="str">
        <f t="shared" si="633"/>
        <v>06539003</v>
      </c>
      <c r="D2853" t="str">
        <f t="shared" si="634"/>
        <v>813</v>
      </c>
      <c r="E2853" t="str">
        <f t="shared" si="632"/>
        <v>89301171</v>
      </c>
      <c r="F2853" t="str">
        <f t="shared" si="630"/>
        <v>6356150493</v>
      </c>
      <c r="G2853" s="1">
        <v>44622</v>
      </c>
      <c r="H2853" t="str">
        <f t="shared" si="635"/>
        <v>91413</v>
      </c>
      <c r="I2853">
        <v>1</v>
      </c>
      <c r="J2853">
        <v>853</v>
      </c>
      <c r="K2853">
        <v>0</v>
      </c>
      <c r="L2853">
        <v>665.34</v>
      </c>
    </row>
    <row r="2854" spans="1:12" x14ac:dyDescent="0.25">
      <c r="A2854" t="str">
        <f t="shared" si="628"/>
        <v>89301000</v>
      </c>
      <c r="B2854" t="str">
        <f t="shared" si="631"/>
        <v>06539000</v>
      </c>
      <c r="C2854" t="str">
        <f t="shared" si="633"/>
        <v>06539003</v>
      </c>
      <c r="D2854" t="str">
        <f t="shared" si="634"/>
        <v>813</v>
      </c>
      <c r="E2854" t="str">
        <f t="shared" si="632"/>
        <v>89301171</v>
      </c>
      <c r="F2854" t="str">
        <f t="shared" si="630"/>
        <v>6356150493</v>
      </c>
      <c r="G2854" s="1">
        <v>44622</v>
      </c>
      <c r="H2854" t="str">
        <f t="shared" si="635"/>
        <v>91413</v>
      </c>
      <c r="I2854">
        <v>1</v>
      </c>
      <c r="J2854">
        <v>853</v>
      </c>
      <c r="K2854">
        <v>0</v>
      </c>
      <c r="L2854">
        <v>665.34</v>
      </c>
    </row>
    <row r="2855" spans="1:12" x14ac:dyDescent="0.25">
      <c r="A2855" t="str">
        <f t="shared" si="628"/>
        <v>89301000</v>
      </c>
      <c r="B2855" t="str">
        <f t="shared" si="631"/>
        <v>06539000</v>
      </c>
      <c r="C2855" t="str">
        <f t="shared" si="633"/>
        <v>06539003</v>
      </c>
      <c r="D2855" t="str">
        <f t="shared" si="634"/>
        <v>813</v>
      </c>
      <c r="E2855" t="str">
        <f t="shared" si="632"/>
        <v>89301171</v>
      </c>
      <c r="F2855" t="str">
        <f t="shared" si="630"/>
        <v>6356150493</v>
      </c>
      <c r="G2855" s="1">
        <v>44622</v>
      </c>
      <c r="H2855" t="str">
        <f t="shared" si="635"/>
        <v>91413</v>
      </c>
      <c r="I2855">
        <v>1</v>
      </c>
      <c r="J2855">
        <v>853</v>
      </c>
      <c r="K2855">
        <v>0</v>
      </c>
      <c r="L2855">
        <v>665.34</v>
      </c>
    </row>
    <row r="2856" spans="1:12" x14ac:dyDescent="0.25">
      <c r="A2856" t="str">
        <f t="shared" si="628"/>
        <v>89301000</v>
      </c>
      <c r="B2856" t="str">
        <f t="shared" si="631"/>
        <v>06539000</v>
      </c>
      <c r="C2856" t="str">
        <f t="shared" si="633"/>
        <v>06539003</v>
      </c>
      <c r="D2856" t="str">
        <f t="shared" si="634"/>
        <v>813</v>
      </c>
      <c r="E2856" t="str">
        <f t="shared" si="632"/>
        <v>89301171</v>
      </c>
      <c r="F2856" t="str">
        <f t="shared" si="630"/>
        <v>6356150493</v>
      </c>
      <c r="G2856" s="1">
        <v>44610</v>
      </c>
      <c r="H2856" t="str">
        <f t="shared" ref="H2856:H2861" si="636">"91197"</f>
        <v>91197</v>
      </c>
      <c r="I2856">
        <v>1</v>
      </c>
      <c r="J2856">
        <v>1046</v>
      </c>
      <c r="K2856">
        <v>0</v>
      </c>
      <c r="L2856">
        <v>815.88</v>
      </c>
    </row>
    <row r="2857" spans="1:12" x14ac:dyDescent="0.25">
      <c r="A2857" t="str">
        <f t="shared" si="628"/>
        <v>89301000</v>
      </c>
      <c r="B2857" t="str">
        <f t="shared" si="631"/>
        <v>06539000</v>
      </c>
      <c r="C2857" t="str">
        <f t="shared" si="633"/>
        <v>06539003</v>
      </c>
      <c r="D2857" t="str">
        <f t="shared" si="634"/>
        <v>813</v>
      </c>
      <c r="E2857" t="str">
        <f t="shared" si="632"/>
        <v>89301171</v>
      </c>
      <c r="F2857" t="str">
        <f t="shared" si="630"/>
        <v>6356150493</v>
      </c>
      <c r="G2857" s="1">
        <v>44612</v>
      </c>
      <c r="H2857" t="str">
        <f t="shared" si="636"/>
        <v>91197</v>
      </c>
      <c r="I2857">
        <v>1</v>
      </c>
      <c r="J2857">
        <v>1046</v>
      </c>
      <c r="K2857">
        <v>0</v>
      </c>
      <c r="L2857">
        <v>815.88</v>
      </c>
    </row>
    <row r="2858" spans="1:12" x14ac:dyDescent="0.25">
      <c r="A2858" t="str">
        <f t="shared" si="628"/>
        <v>89301000</v>
      </c>
      <c r="B2858" t="str">
        <f t="shared" si="631"/>
        <v>06539000</v>
      </c>
      <c r="C2858" t="str">
        <f t="shared" si="633"/>
        <v>06539003</v>
      </c>
      <c r="D2858" t="str">
        <f t="shared" si="634"/>
        <v>813</v>
      </c>
      <c r="E2858" t="str">
        <f t="shared" si="632"/>
        <v>89301171</v>
      </c>
      <c r="F2858" t="str">
        <f t="shared" si="630"/>
        <v>6356150493</v>
      </c>
      <c r="G2858" s="1">
        <v>44612</v>
      </c>
      <c r="H2858" t="str">
        <f t="shared" si="636"/>
        <v>91197</v>
      </c>
      <c r="I2858">
        <v>1</v>
      </c>
      <c r="J2858">
        <v>1046</v>
      </c>
      <c r="K2858">
        <v>0</v>
      </c>
      <c r="L2858">
        <v>815.88</v>
      </c>
    </row>
    <row r="2859" spans="1:12" x14ac:dyDescent="0.25">
      <c r="A2859" t="str">
        <f t="shared" si="628"/>
        <v>89301000</v>
      </c>
      <c r="B2859" t="str">
        <f t="shared" si="631"/>
        <v>06539000</v>
      </c>
      <c r="C2859" t="str">
        <f t="shared" si="633"/>
        <v>06539003</v>
      </c>
      <c r="D2859" t="str">
        <f t="shared" si="634"/>
        <v>813</v>
      </c>
      <c r="E2859" t="str">
        <f t="shared" si="632"/>
        <v>89301171</v>
      </c>
      <c r="F2859" t="str">
        <f t="shared" si="630"/>
        <v>6356150493</v>
      </c>
      <c r="G2859" s="1">
        <v>44611</v>
      </c>
      <c r="H2859" t="str">
        <f t="shared" si="636"/>
        <v>91197</v>
      </c>
      <c r="I2859">
        <v>1</v>
      </c>
      <c r="J2859">
        <v>1046</v>
      </c>
      <c r="K2859">
        <v>0</v>
      </c>
      <c r="L2859">
        <v>815.88</v>
      </c>
    </row>
    <row r="2860" spans="1:12" x14ac:dyDescent="0.25">
      <c r="A2860" t="str">
        <f t="shared" si="628"/>
        <v>89301000</v>
      </c>
      <c r="B2860" t="str">
        <f t="shared" si="631"/>
        <v>06539000</v>
      </c>
      <c r="C2860" t="str">
        <f t="shared" si="633"/>
        <v>06539003</v>
      </c>
      <c r="D2860" t="str">
        <f t="shared" si="634"/>
        <v>813</v>
      </c>
      <c r="E2860" t="str">
        <f t="shared" si="632"/>
        <v>89301171</v>
      </c>
      <c r="F2860" t="str">
        <f t="shared" si="630"/>
        <v>6356150493</v>
      </c>
      <c r="G2860" s="1">
        <v>44611</v>
      </c>
      <c r="H2860" t="str">
        <f t="shared" si="636"/>
        <v>91197</v>
      </c>
      <c r="I2860">
        <v>1</v>
      </c>
      <c r="J2860">
        <v>1046</v>
      </c>
      <c r="K2860">
        <v>0</v>
      </c>
      <c r="L2860">
        <v>815.88</v>
      </c>
    </row>
    <row r="2861" spans="1:12" x14ac:dyDescent="0.25">
      <c r="A2861" t="str">
        <f t="shared" si="628"/>
        <v>89301000</v>
      </c>
      <c r="B2861" t="str">
        <f t="shared" si="631"/>
        <v>06539000</v>
      </c>
      <c r="C2861" t="str">
        <f t="shared" si="633"/>
        <v>06539003</v>
      </c>
      <c r="D2861" t="str">
        <f t="shared" si="634"/>
        <v>813</v>
      </c>
      <c r="E2861" t="str">
        <f t="shared" si="632"/>
        <v>89301171</v>
      </c>
      <c r="F2861" t="str">
        <f t="shared" si="630"/>
        <v>6356150493</v>
      </c>
      <c r="G2861" s="1">
        <v>44610</v>
      </c>
      <c r="H2861" t="str">
        <f t="shared" si="636"/>
        <v>91197</v>
      </c>
      <c r="I2861">
        <v>1</v>
      </c>
      <c r="J2861">
        <v>1046</v>
      </c>
      <c r="K2861">
        <v>0</v>
      </c>
      <c r="L2861">
        <v>815.88</v>
      </c>
    </row>
    <row r="2862" spans="1:12" x14ac:dyDescent="0.25">
      <c r="A2862" t="str">
        <f t="shared" si="628"/>
        <v>89301000</v>
      </c>
      <c r="B2862" t="str">
        <f t="shared" si="631"/>
        <v>06539000</v>
      </c>
      <c r="C2862" t="str">
        <f t="shared" si="633"/>
        <v>06539003</v>
      </c>
      <c r="D2862" t="str">
        <f t="shared" si="634"/>
        <v>813</v>
      </c>
      <c r="E2862" t="str">
        <f t="shared" si="632"/>
        <v>89301171</v>
      </c>
      <c r="F2862" t="str">
        <f t="shared" si="630"/>
        <v>6356150493</v>
      </c>
      <c r="G2862" s="1">
        <v>44610</v>
      </c>
      <c r="H2862" t="str">
        <f>"91129"</f>
        <v>91129</v>
      </c>
      <c r="I2862">
        <v>1</v>
      </c>
      <c r="J2862">
        <v>174</v>
      </c>
      <c r="K2862">
        <v>0</v>
      </c>
      <c r="L2862">
        <v>135.72</v>
      </c>
    </row>
    <row r="2863" spans="1:12" x14ac:dyDescent="0.25">
      <c r="A2863" t="str">
        <f t="shared" si="628"/>
        <v>89301000</v>
      </c>
      <c r="B2863" t="str">
        <f t="shared" si="631"/>
        <v>06539000</v>
      </c>
      <c r="C2863" t="str">
        <f t="shared" si="633"/>
        <v>06539003</v>
      </c>
      <c r="D2863" t="str">
        <f t="shared" si="634"/>
        <v>813</v>
      </c>
      <c r="E2863" t="str">
        <f t="shared" si="632"/>
        <v>89301171</v>
      </c>
      <c r="F2863" t="str">
        <f t="shared" si="630"/>
        <v>6356150493</v>
      </c>
      <c r="G2863" s="1">
        <v>44610</v>
      </c>
      <c r="H2863" t="str">
        <f>"91131"</f>
        <v>91131</v>
      </c>
      <c r="I2863">
        <v>1</v>
      </c>
      <c r="J2863">
        <v>171</v>
      </c>
      <c r="K2863">
        <v>0</v>
      </c>
      <c r="L2863">
        <v>133.38</v>
      </c>
    </row>
    <row r="2864" spans="1:12" x14ac:dyDescent="0.25">
      <c r="A2864" t="str">
        <f t="shared" si="628"/>
        <v>89301000</v>
      </c>
      <c r="B2864" t="str">
        <f t="shared" si="631"/>
        <v>06539000</v>
      </c>
      <c r="C2864" t="str">
        <f t="shared" si="633"/>
        <v>06539003</v>
      </c>
      <c r="D2864" t="str">
        <f t="shared" si="634"/>
        <v>813</v>
      </c>
      <c r="E2864" t="str">
        <f t="shared" si="632"/>
        <v>89301171</v>
      </c>
      <c r="F2864" t="str">
        <f t="shared" si="630"/>
        <v>6356150493</v>
      </c>
      <c r="G2864" s="1">
        <v>44610</v>
      </c>
      <c r="H2864" t="str">
        <f>"91133"</f>
        <v>91133</v>
      </c>
      <c r="I2864">
        <v>1</v>
      </c>
      <c r="J2864">
        <v>176</v>
      </c>
      <c r="K2864">
        <v>0</v>
      </c>
      <c r="L2864">
        <v>137.28</v>
      </c>
    </row>
    <row r="2865" spans="1:12" x14ac:dyDescent="0.25">
      <c r="A2865" t="str">
        <f t="shared" si="628"/>
        <v>89301000</v>
      </c>
      <c r="B2865" t="str">
        <f t="shared" si="631"/>
        <v>06539000</v>
      </c>
      <c r="C2865" t="str">
        <f t="shared" si="633"/>
        <v>06539003</v>
      </c>
      <c r="D2865" t="str">
        <f t="shared" si="634"/>
        <v>813</v>
      </c>
      <c r="E2865" t="str">
        <f t="shared" si="632"/>
        <v>89301171</v>
      </c>
      <c r="F2865" t="str">
        <f t="shared" si="630"/>
        <v>6356150493</v>
      </c>
      <c r="G2865" s="1">
        <v>44610</v>
      </c>
      <c r="H2865" t="str">
        <f>"91171"</f>
        <v>91171</v>
      </c>
      <c r="I2865">
        <v>1</v>
      </c>
      <c r="J2865">
        <v>360</v>
      </c>
      <c r="K2865">
        <v>0</v>
      </c>
      <c r="L2865">
        <v>280.8</v>
      </c>
    </row>
    <row r="2866" spans="1:12" x14ac:dyDescent="0.25">
      <c r="A2866" t="str">
        <f t="shared" si="628"/>
        <v>89301000</v>
      </c>
      <c r="B2866" t="str">
        <f t="shared" si="631"/>
        <v>06539000</v>
      </c>
      <c r="C2866" t="str">
        <f t="shared" si="633"/>
        <v>06539003</v>
      </c>
      <c r="D2866" t="str">
        <f t="shared" si="634"/>
        <v>813</v>
      </c>
      <c r="E2866" t="str">
        <f t="shared" si="632"/>
        <v>89301171</v>
      </c>
      <c r="F2866" t="str">
        <f t="shared" si="630"/>
        <v>6356150493</v>
      </c>
      <c r="G2866" s="1">
        <v>44610</v>
      </c>
      <c r="H2866" t="str">
        <f>"91173"</f>
        <v>91173</v>
      </c>
      <c r="I2866">
        <v>1</v>
      </c>
      <c r="J2866">
        <v>335</v>
      </c>
      <c r="K2866">
        <v>0</v>
      </c>
      <c r="L2866">
        <v>261.3</v>
      </c>
    </row>
    <row r="2867" spans="1:12" x14ac:dyDescent="0.25">
      <c r="A2867" t="str">
        <f t="shared" si="628"/>
        <v>89301000</v>
      </c>
      <c r="B2867" t="str">
        <f t="shared" si="631"/>
        <v>06539000</v>
      </c>
      <c r="C2867" t="str">
        <f t="shared" si="633"/>
        <v>06539003</v>
      </c>
      <c r="D2867" t="str">
        <f t="shared" si="634"/>
        <v>813</v>
      </c>
      <c r="E2867" t="str">
        <f t="shared" si="632"/>
        <v>89301171</v>
      </c>
      <c r="F2867" t="str">
        <f t="shared" si="630"/>
        <v>6356150493</v>
      </c>
      <c r="G2867" s="1">
        <v>44610</v>
      </c>
      <c r="H2867" t="str">
        <f>"91175"</f>
        <v>91175</v>
      </c>
      <c r="I2867">
        <v>1</v>
      </c>
      <c r="J2867">
        <v>360</v>
      </c>
      <c r="K2867">
        <v>0</v>
      </c>
      <c r="L2867">
        <v>280.8</v>
      </c>
    </row>
    <row r="2868" spans="1:12" x14ac:dyDescent="0.25">
      <c r="A2868" t="str">
        <f t="shared" si="628"/>
        <v>89301000</v>
      </c>
      <c r="B2868" t="str">
        <f t="shared" si="631"/>
        <v>06539000</v>
      </c>
      <c r="C2868" t="str">
        <f t="shared" si="633"/>
        <v>06539003</v>
      </c>
      <c r="D2868" t="str">
        <f t="shared" si="634"/>
        <v>813</v>
      </c>
      <c r="E2868" t="str">
        <f t="shared" si="632"/>
        <v>89301171</v>
      </c>
      <c r="F2868" t="str">
        <f t="shared" si="630"/>
        <v>6356150493</v>
      </c>
      <c r="G2868" s="1">
        <v>44611</v>
      </c>
      <c r="H2868" t="str">
        <f>"91167"</f>
        <v>91167</v>
      </c>
      <c r="I2868">
        <v>1</v>
      </c>
      <c r="J2868">
        <v>425</v>
      </c>
      <c r="K2868">
        <v>0</v>
      </c>
      <c r="L2868">
        <v>331.5</v>
      </c>
    </row>
    <row r="2869" spans="1:12" x14ac:dyDescent="0.25">
      <c r="A2869" t="str">
        <f t="shared" si="628"/>
        <v>89301000</v>
      </c>
      <c r="B2869" t="str">
        <f t="shared" si="631"/>
        <v>06539000</v>
      </c>
      <c r="C2869" t="str">
        <f t="shared" si="633"/>
        <v>06539003</v>
      </c>
      <c r="D2869" t="str">
        <f t="shared" si="634"/>
        <v>813</v>
      </c>
      <c r="E2869" t="str">
        <f t="shared" si="632"/>
        <v>89301171</v>
      </c>
      <c r="F2869" t="str">
        <f t="shared" si="630"/>
        <v>6356150493</v>
      </c>
      <c r="G2869" s="1">
        <v>44611</v>
      </c>
      <c r="H2869" t="str">
        <f>"91169"</f>
        <v>91169</v>
      </c>
      <c r="I2869">
        <v>1</v>
      </c>
      <c r="J2869">
        <v>425</v>
      </c>
      <c r="K2869">
        <v>0</v>
      </c>
      <c r="L2869">
        <v>331.5</v>
      </c>
    </row>
    <row r="2870" spans="1:12" x14ac:dyDescent="0.25">
      <c r="A2870" t="str">
        <f t="shared" si="628"/>
        <v>89301000</v>
      </c>
      <c r="B2870" t="str">
        <f t="shared" si="631"/>
        <v>06539000</v>
      </c>
      <c r="C2870" t="str">
        <f t="shared" si="633"/>
        <v>06539003</v>
      </c>
      <c r="D2870" t="str">
        <f t="shared" si="634"/>
        <v>813</v>
      </c>
      <c r="E2870" t="str">
        <f t="shared" si="632"/>
        <v>89301171</v>
      </c>
      <c r="F2870" t="str">
        <f t="shared" si="630"/>
        <v>6356150493</v>
      </c>
      <c r="G2870" s="1">
        <v>44610</v>
      </c>
      <c r="H2870" t="str">
        <f>"91167"</f>
        <v>91167</v>
      </c>
      <c r="I2870">
        <v>1</v>
      </c>
      <c r="J2870">
        <v>425</v>
      </c>
      <c r="K2870">
        <v>0</v>
      </c>
      <c r="L2870">
        <v>331.5</v>
      </c>
    </row>
    <row r="2871" spans="1:12" x14ac:dyDescent="0.25">
      <c r="A2871" t="str">
        <f t="shared" si="628"/>
        <v>89301000</v>
      </c>
      <c r="B2871" t="str">
        <f t="shared" si="631"/>
        <v>06539000</v>
      </c>
      <c r="C2871" t="str">
        <f t="shared" si="633"/>
        <v>06539003</v>
      </c>
      <c r="D2871" t="str">
        <f t="shared" si="634"/>
        <v>813</v>
      </c>
      <c r="E2871" t="str">
        <f t="shared" si="632"/>
        <v>89301171</v>
      </c>
      <c r="F2871" t="str">
        <f t="shared" si="630"/>
        <v>6356150493</v>
      </c>
      <c r="G2871" s="1">
        <v>44610</v>
      </c>
      <c r="H2871" t="str">
        <f>"91169"</f>
        <v>91169</v>
      </c>
      <c r="I2871">
        <v>1</v>
      </c>
      <c r="J2871">
        <v>425</v>
      </c>
      <c r="K2871">
        <v>0</v>
      </c>
      <c r="L2871">
        <v>331.5</v>
      </c>
    </row>
    <row r="2872" spans="1:12" x14ac:dyDescent="0.25">
      <c r="A2872" t="str">
        <f t="shared" si="628"/>
        <v>89301000</v>
      </c>
      <c r="B2872" t="str">
        <f t="shared" si="631"/>
        <v>06539000</v>
      </c>
      <c r="C2872" t="str">
        <f t="shared" si="633"/>
        <v>06539003</v>
      </c>
      <c r="D2872" t="str">
        <f t="shared" si="634"/>
        <v>813</v>
      </c>
      <c r="E2872" t="str">
        <f t="shared" si="632"/>
        <v>89301171</v>
      </c>
      <c r="F2872" t="str">
        <f t="shared" si="630"/>
        <v>6356150493</v>
      </c>
      <c r="G2872" s="1">
        <v>44610</v>
      </c>
      <c r="H2872" t="str">
        <f>"91475"</f>
        <v>91475</v>
      </c>
      <c r="I2872">
        <v>1</v>
      </c>
      <c r="J2872">
        <v>206</v>
      </c>
      <c r="K2872">
        <v>0</v>
      </c>
      <c r="L2872">
        <v>160.68</v>
      </c>
    </row>
    <row r="2873" spans="1:12" x14ac:dyDescent="0.25">
      <c r="A2873" t="str">
        <f t="shared" si="628"/>
        <v>89301000</v>
      </c>
      <c r="B2873" t="str">
        <f t="shared" si="631"/>
        <v>06539000</v>
      </c>
      <c r="C2873" t="str">
        <f>"06539001"</f>
        <v>06539001</v>
      </c>
      <c r="D2873" t="str">
        <f>"801"</f>
        <v>801</v>
      </c>
      <c r="E2873" t="str">
        <f t="shared" si="632"/>
        <v>89301171</v>
      </c>
      <c r="F2873" t="str">
        <f t="shared" ref="F2873:F2919" si="637">"9754275003"</f>
        <v>9754275003</v>
      </c>
      <c r="G2873" s="1">
        <v>44610</v>
      </c>
      <c r="H2873" t="str">
        <f>"81329"</f>
        <v>81329</v>
      </c>
      <c r="I2873">
        <v>1</v>
      </c>
      <c r="J2873">
        <v>16</v>
      </c>
      <c r="K2873">
        <v>0</v>
      </c>
      <c r="L2873">
        <v>12.48</v>
      </c>
    </row>
    <row r="2874" spans="1:12" x14ac:dyDescent="0.25">
      <c r="A2874" t="str">
        <f t="shared" si="628"/>
        <v>89301000</v>
      </c>
      <c r="B2874" t="str">
        <f t="shared" si="631"/>
        <v>06539000</v>
      </c>
      <c r="C2874" t="str">
        <f>"06539001"</f>
        <v>06539001</v>
      </c>
      <c r="D2874" t="str">
        <f>"801"</f>
        <v>801</v>
      </c>
      <c r="E2874" t="str">
        <f t="shared" si="632"/>
        <v>89301171</v>
      </c>
      <c r="F2874" t="str">
        <f t="shared" si="637"/>
        <v>9754275003</v>
      </c>
      <c r="G2874" s="1">
        <v>44610</v>
      </c>
      <c r="H2874" t="str">
        <f>"81331"</f>
        <v>81331</v>
      </c>
      <c r="I2874">
        <v>1</v>
      </c>
      <c r="J2874">
        <v>193</v>
      </c>
      <c r="K2874">
        <v>0</v>
      </c>
      <c r="L2874">
        <v>150.54</v>
      </c>
    </row>
    <row r="2875" spans="1:12" x14ac:dyDescent="0.25">
      <c r="A2875" t="str">
        <f t="shared" si="628"/>
        <v>89301000</v>
      </c>
      <c r="B2875" t="str">
        <f t="shared" si="631"/>
        <v>06539000</v>
      </c>
      <c r="C2875" t="str">
        <f t="shared" ref="C2875:C2882" si="638">"06539002"</f>
        <v>06539002</v>
      </c>
      <c r="D2875" t="str">
        <f t="shared" ref="D2875:D2882" si="639">"802"</f>
        <v>802</v>
      </c>
      <c r="E2875" t="str">
        <f t="shared" si="632"/>
        <v>89301171</v>
      </c>
      <c r="F2875" t="str">
        <f t="shared" si="637"/>
        <v>9754275003</v>
      </c>
      <c r="G2875" s="1">
        <v>44610</v>
      </c>
      <c r="H2875" t="str">
        <f t="shared" ref="H2875:H2882" si="640">"82097"</f>
        <v>82097</v>
      </c>
      <c r="I2875">
        <v>1</v>
      </c>
      <c r="J2875">
        <v>380</v>
      </c>
      <c r="K2875">
        <v>0</v>
      </c>
      <c r="L2875">
        <v>345.8</v>
      </c>
    </row>
    <row r="2876" spans="1:12" x14ac:dyDescent="0.25">
      <c r="A2876" t="str">
        <f t="shared" si="628"/>
        <v>89301000</v>
      </c>
      <c r="B2876" t="str">
        <f t="shared" si="631"/>
        <v>06539000</v>
      </c>
      <c r="C2876" t="str">
        <f t="shared" si="638"/>
        <v>06539002</v>
      </c>
      <c r="D2876" t="str">
        <f t="shared" si="639"/>
        <v>802</v>
      </c>
      <c r="E2876" t="str">
        <f t="shared" si="632"/>
        <v>89301171</v>
      </c>
      <c r="F2876" t="str">
        <f t="shared" si="637"/>
        <v>9754275003</v>
      </c>
      <c r="G2876" s="1">
        <v>44610</v>
      </c>
      <c r="H2876" t="str">
        <f t="shared" si="640"/>
        <v>82097</v>
      </c>
      <c r="I2876">
        <v>1</v>
      </c>
      <c r="J2876">
        <v>380</v>
      </c>
      <c r="K2876">
        <v>0</v>
      </c>
      <c r="L2876">
        <v>345.8</v>
      </c>
    </row>
    <row r="2877" spans="1:12" x14ac:dyDescent="0.25">
      <c r="A2877" t="str">
        <f t="shared" si="628"/>
        <v>89301000</v>
      </c>
      <c r="B2877" t="str">
        <f t="shared" si="631"/>
        <v>06539000</v>
      </c>
      <c r="C2877" t="str">
        <f t="shared" si="638"/>
        <v>06539002</v>
      </c>
      <c r="D2877" t="str">
        <f t="shared" si="639"/>
        <v>802</v>
      </c>
      <c r="E2877" t="str">
        <f t="shared" si="632"/>
        <v>89301171</v>
      </c>
      <c r="F2877" t="str">
        <f t="shared" si="637"/>
        <v>9754275003</v>
      </c>
      <c r="G2877" s="1">
        <v>44610</v>
      </c>
      <c r="H2877" t="str">
        <f t="shared" si="640"/>
        <v>82097</v>
      </c>
      <c r="I2877">
        <v>1</v>
      </c>
      <c r="J2877">
        <v>380</v>
      </c>
      <c r="K2877">
        <v>0</v>
      </c>
      <c r="L2877">
        <v>345.8</v>
      </c>
    </row>
    <row r="2878" spans="1:12" x14ac:dyDescent="0.25">
      <c r="A2878" t="str">
        <f t="shared" si="628"/>
        <v>89301000</v>
      </c>
      <c r="B2878" t="str">
        <f t="shared" si="631"/>
        <v>06539000</v>
      </c>
      <c r="C2878" t="str">
        <f t="shared" si="638"/>
        <v>06539002</v>
      </c>
      <c r="D2878" t="str">
        <f t="shared" si="639"/>
        <v>802</v>
      </c>
      <c r="E2878" t="str">
        <f t="shared" si="632"/>
        <v>89301171</v>
      </c>
      <c r="F2878" t="str">
        <f t="shared" si="637"/>
        <v>9754275003</v>
      </c>
      <c r="G2878" s="1">
        <v>44610</v>
      </c>
      <c r="H2878" t="str">
        <f t="shared" si="640"/>
        <v>82097</v>
      </c>
      <c r="I2878">
        <v>1</v>
      </c>
      <c r="J2878">
        <v>380</v>
      </c>
      <c r="K2878">
        <v>0</v>
      </c>
      <c r="L2878">
        <v>345.8</v>
      </c>
    </row>
    <row r="2879" spans="1:12" x14ac:dyDescent="0.25">
      <c r="A2879" t="str">
        <f t="shared" si="628"/>
        <v>89301000</v>
      </c>
      <c r="B2879" t="str">
        <f t="shared" si="631"/>
        <v>06539000</v>
      </c>
      <c r="C2879" t="str">
        <f t="shared" si="638"/>
        <v>06539002</v>
      </c>
      <c r="D2879" t="str">
        <f t="shared" si="639"/>
        <v>802</v>
      </c>
      <c r="E2879" t="str">
        <f t="shared" si="632"/>
        <v>89301171</v>
      </c>
      <c r="F2879" t="str">
        <f t="shared" si="637"/>
        <v>9754275003</v>
      </c>
      <c r="G2879" s="1">
        <v>44610</v>
      </c>
      <c r="H2879" t="str">
        <f t="shared" si="640"/>
        <v>82097</v>
      </c>
      <c r="I2879">
        <v>1</v>
      </c>
      <c r="J2879">
        <v>380</v>
      </c>
      <c r="K2879">
        <v>0</v>
      </c>
      <c r="L2879">
        <v>345.8</v>
      </c>
    </row>
    <row r="2880" spans="1:12" x14ac:dyDescent="0.25">
      <c r="A2880" t="str">
        <f t="shared" si="628"/>
        <v>89301000</v>
      </c>
      <c r="B2880" t="str">
        <f t="shared" si="631"/>
        <v>06539000</v>
      </c>
      <c r="C2880" t="str">
        <f t="shared" si="638"/>
        <v>06539002</v>
      </c>
      <c r="D2880" t="str">
        <f t="shared" si="639"/>
        <v>802</v>
      </c>
      <c r="E2880" t="str">
        <f t="shared" si="632"/>
        <v>89301171</v>
      </c>
      <c r="F2880" t="str">
        <f t="shared" si="637"/>
        <v>9754275003</v>
      </c>
      <c r="G2880" s="1">
        <v>44610</v>
      </c>
      <c r="H2880" t="str">
        <f t="shared" si="640"/>
        <v>82097</v>
      </c>
      <c r="I2880">
        <v>1</v>
      </c>
      <c r="J2880">
        <v>380</v>
      </c>
      <c r="K2880">
        <v>0</v>
      </c>
      <c r="L2880">
        <v>345.8</v>
      </c>
    </row>
    <row r="2881" spans="1:12" x14ac:dyDescent="0.25">
      <c r="A2881" t="str">
        <f t="shared" si="628"/>
        <v>89301000</v>
      </c>
      <c r="B2881" t="str">
        <f t="shared" si="631"/>
        <v>06539000</v>
      </c>
      <c r="C2881" t="str">
        <f t="shared" si="638"/>
        <v>06539002</v>
      </c>
      <c r="D2881" t="str">
        <f t="shared" si="639"/>
        <v>802</v>
      </c>
      <c r="E2881" t="str">
        <f t="shared" si="632"/>
        <v>89301171</v>
      </c>
      <c r="F2881" t="str">
        <f t="shared" si="637"/>
        <v>9754275003</v>
      </c>
      <c r="G2881" s="1">
        <v>44610</v>
      </c>
      <c r="H2881" t="str">
        <f t="shared" si="640"/>
        <v>82097</v>
      </c>
      <c r="I2881">
        <v>1</v>
      </c>
      <c r="J2881">
        <v>380</v>
      </c>
      <c r="K2881">
        <v>0</v>
      </c>
      <c r="L2881">
        <v>345.8</v>
      </c>
    </row>
    <row r="2882" spans="1:12" x14ac:dyDescent="0.25">
      <c r="A2882" t="str">
        <f t="shared" ref="A2882:A2945" si="641">"89301000"</f>
        <v>89301000</v>
      </c>
      <c r="B2882" t="str">
        <f t="shared" si="631"/>
        <v>06539000</v>
      </c>
      <c r="C2882" t="str">
        <f t="shared" si="638"/>
        <v>06539002</v>
      </c>
      <c r="D2882" t="str">
        <f t="shared" si="639"/>
        <v>802</v>
      </c>
      <c r="E2882" t="str">
        <f t="shared" si="632"/>
        <v>89301171</v>
      </c>
      <c r="F2882" t="str">
        <f t="shared" si="637"/>
        <v>9754275003</v>
      </c>
      <c r="G2882" s="1">
        <v>44610</v>
      </c>
      <c r="H2882" t="str">
        <f t="shared" si="640"/>
        <v>82097</v>
      </c>
      <c r="I2882">
        <v>1</v>
      </c>
      <c r="J2882">
        <v>380</v>
      </c>
      <c r="K2882">
        <v>0</v>
      </c>
      <c r="L2882">
        <v>345.8</v>
      </c>
    </row>
    <row r="2883" spans="1:12" x14ac:dyDescent="0.25">
      <c r="A2883" t="str">
        <f t="shared" si="641"/>
        <v>89301000</v>
      </c>
      <c r="B2883" t="str">
        <f t="shared" si="631"/>
        <v>06539000</v>
      </c>
      <c r="C2883" t="str">
        <f t="shared" ref="C2883:C2919" si="642">"06539003"</f>
        <v>06539003</v>
      </c>
      <c r="D2883" t="str">
        <f t="shared" ref="D2883:D2919" si="643">"813"</f>
        <v>813</v>
      </c>
      <c r="E2883" t="str">
        <f t="shared" si="632"/>
        <v>89301171</v>
      </c>
      <c r="F2883" t="str">
        <f t="shared" si="637"/>
        <v>9754275003</v>
      </c>
      <c r="G2883" s="1">
        <v>44610</v>
      </c>
      <c r="H2883" t="str">
        <f>"91439"</f>
        <v>91439</v>
      </c>
      <c r="I2883">
        <v>1</v>
      </c>
      <c r="J2883">
        <v>356</v>
      </c>
      <c r="K2883">
        <v>0</v>
      </c>
      <c r="L2883">
        <v>277.68</v>
      </c>
    </row>
    <row r="2884" spans="1:12" x14ac:dyDescent="0.25">
      <c r="A2884" t="str">
        <f t="shared" si="641"/>
        <v>89301000</v>
      </c>
      <c r="B2884" t="str">
        <f t="shared" si="631"/>
        <v>06539000</v>
      </c>
      <c r="C2884" t="str">
        <f t="shared" si="642"/>
        <v>06539003</v>
      </c>
      <c r="D2884" t="str">
        <f t="shared" si="643"/>
        <v>813</v>
      </c>
      <c r="E2884" t="str">
        <f t="shared" si="632"/>
        <v>89301171</v>
      </c>
      <c r="F2884" t="str">
        <f t="shared" si="637"/>
        <v>9754275003</v>
      </c>
      <c r="G2884" s="1">
        <v>44610</v>
      </c>
      <c r="H2884" t="str">
        <f>"91439"</f>
        <v>91439</v>
      </c>
      <c r="I2884">
        <v>1</v>
      </c>
      <c r="J2884">
        <v>356</v>
      </c>
      <c r="K2884">
        <v>0</v>
      </c>
      <c r="L2884">
        <v>277.68</v>
      </c>
    </row>
    <row r="2885" spans="1:12" x14ac:dyDescent="0.25">
      <c r="A2885" t="str">
        <f t="shared" si="641"/>
        <v>89301000</v>
      </c>
      <c r="B2885" t="str">
        <f t="shared" si="631"/>
        <v>06539000</v>
      </c>
      <c r="C2885" t="str">
        <f t="shared" si="642"/>
        <v>06539003</v>
      </c>
      <c r="D2885" t="str">
        <f t="shared" si="643"/>
        <v>813</v>
      </c>
      <c r="E2885" t="str">
        <f t="shared" si="632"/>
        <v>89301171</v>
      </c>
      <c r="F2885" t="str">
        <f t="shared" si="637"/>
        <v>9754275003</v>
      </c>
      <c r="G2885" s="1">
        <v>44610</v>
      </c>
      <c r="H2885" t="str">
        <f>"91439"</f>
        <v>91439</v>
      </c>
      <c r="I2885">
        <v>1</v>
      </c>
      <c r="J2885">
        <v>356</v>
      </c>
      <c r="K2885">
        <v>0</v>
      </c>
      <c r="L2885">
        <v>277.68</v>
      </c>
    </row>
    <row r="2886" spans="1:12" x14ac:dyDescent="0.25">
      <c r="A2886" t="str">
        <f t="shared" si="641"/>
        <v>89301000</v>
      </c>
      <c r="B2886" t="str">
        <f t="shared" si="631"/>
        <v>06539000</v>
      </c>
      <c r="C2886" t="str">
        <f t="shared" si="642"/>
        <v>06539003</v>
      </c>
      <c r="D2886" t="str">
        <f t="shared" si="643"/>
        <v>813</v>
      </c>
      <c r="E2886" t="str">
        <f t="shared" si="632"/>
        <v>89301171</v>
      </c>
      <c r="F2886" t="str">
        <f t="shared" si="637"/>
        <v>9754275003</v>
      </c>
      <c r="G2886" s="1">
        <v>44610</v>
      </c>
      <c r="H2886" t="str">
        <f>"91439"</f>
        <v>91439</v>
      </c>
      <c r="I2886">
        <v>1</v>
      </c>
      <c r="J2886">
        <v>356</v>
      </c>
      <c r="K2886">
        <v>0</v>
      </c>
      <c r="L2886">
        <v>277.68</v>
      </c>
    </row>
    <row r="2887" spans="1:12" x14ac:dyDescent="0.25">
      <c r="A2887" t="str">
        <f t="shared" si="641"/>
        <v>89301000</v>
      </c>
      <c r="B2887" t="str">
        <f t="shared" si="631"/>
        <v>06539000</v>
      </c>
      <c r="C2887" t="str">
        <f t="shared" si="642"/>
        <v>06539003</v>
      </c>
      <c r="D2887" t="str">
        <f t="shared" si="643"/>
        <v>813</v>
      </c>
      <c r="E2887" t="str">
        <f t="shared" si="632"/>
        <v>89301171</v>
      </c>
      <c r="F2887" t="str">
        <f t="shared" si="637"/>
        <v>9754275003</v>
      </c>
      <c r="G2887" s="1">
        <v>44610</v>
      </c>
      <c r="H2887" t="str">
        <f>"91439"</f>
        <v>91439</v>
      </c>
      <c r="I2887">
        <v>2</v>
      </c>
      <c r="J2887">
        <v>712</v>
      </c>
      <c r="K2887">
        <v>0</v>
      </c>
      <c r="L2887">
        <v>555.36</v>
      </c>
    </row>
    <row r="2888" spans="1:12" x14ac:dyDescent="0.25">
      <c r="A2888" t="str">
        <f t="shared" si="641"/>
        <v>89301000</v>
      </c>
      <c r="B2888" t="str">
        <f t="shared" si="631"/>
        <v>06539000</v>
      </c>
      <c r="C2888" t="str">
        <f t="shared" si="642"/>
        <v>06539003</v>
      </c>
      <c r="D2888" t="str">
        <f t="shared" si="643"/>
        <v>813</v>
      </c>
      <c r="E2888" t="str">
        <f t="shared" si="632"/>
        <v>89301171</v>
      </c>
      <c r="F2888" t="str">
        <f t="shared" si="637"/>
        <v>9754275003</v>
      </c>
      <c r="G2888" s="1">
        <v>44613</v>
      </c>
      <c r="H2888" t="str">
        <f t="shared" ref="H2888:H2897" si="644">"91413"</f>
        <v>91413</v>
      </c>
      <c r="I2888">
        <v>1</v>
      </c>
      <c r="J2888">
        <v>853</v>
      </c>
      <c r="K2888">
        <v>0</v>
      </c>
      <c r="L2888">
        <v>665.34</v>
      </c>
    </row>
    <row r="2889" spans="1:12" x14ac:dyDescent="0.25">
      <c r="A2889" t="str">
        <f t="shared" si="641"/>
        <v>89301000</v>
      </c>
      <c r="B2889" t="str">
        <f t="shared" si="631"/>
        <v>06539000</v>
      </c>
      <c r="C2889" t="str">
        <f t="shared" si="642"/>
        <v>06539003</v>
      </c>
      <c r="D2889" t="str">
        <f t="shared" si="643"/>
        <v>813</v>
      </c>
      <c r="E2889" t="str">
        <f t="shared" si="632"/>
        <v>89301171</v>
      </c>
      <c r="F2889" t="str">
        <f t="shared" si="637"/>
        <v>9754275003</v>
      </c>
      <c r="G2889" s="1">
        <v>44613</v>
      </c>
      <c r="H2889" t="str">
        <f t="shared" si="644"/>
        <v>91413</v>
      </c>
      <c r="I2889">
        <v>1</v>
      </c>
      <c r="J2889">
        <v>853</v>
      </c>
      <c r="K2889">
        <v>0</v>
      </c>
      <c r="L2889">
        <v>665.34</v>
      </c>
    </row>
    <row r="2890" spans="1:12" x14ac:dyDescent="0.25">
      <c r="A2890" t="str">
        <f t="shared" si="641"/>
        <v>89301000</v>
      </c>
      <c r="B2890" t="str">
        <f t="shared" si="631"/>
        <v>06539000</v>
      </c>
      <c r="C2890" t="str">
        <f t="shared" si="642"/>
        <v>06539003</v>
      </c>
      <c r="D2890" t="str">
        <f t="shared" si="643"/>
        <v>813</v>
      </c>
      <c r="E2890" t="str">
        <f t="shared" si="632"/>
        <v>89301171</v>
      </c>
      <c r="F2890" t="str">
        <f t="shared" si="637"/>
        <v>9754275003</v>
      </c>
      <c r="G2890" s="1">
        <v>44631</v>
      </c>
      <c r="H2890" t="str">
        <f t="shared" si="644"/>
        <v>91413</v>
      </c>
      <c r="I2890">
        <v>1</v>
      </c>
      <c r="J2890">
        <v>853</v>
      </c>
      <c r="K2890">
        <v>0</v>
      </c>
      <c r="L2890">
        <v>665.34</v>
      </c>
    </row>
    <row r="2891" spans="1:12" x14ac:dyDescent="0.25">
      <c r="A2891" t="str">
        <f t="shared" si="641"/>
        <v>89301000</v>
      </c>
      <c r="B2891" t="str">
        <f t="shared" si="631"/>
        <v>06539000</v>
      </c>
      <c r="C2891" t="str">
        <f t="shared" si="642"/>
        <v>06539003</v>
      </c>
      <c r="D2891" t="str">
        <f t="shared" si="643"/>
        <v>813</v>
      </c>
      <c r="E2891" t="str">
        <f t="shared" si="632"/>
        <v>89301171</v>
      </c>
      <c r="F2891" t="str">
        <f t="shared" si="637"/>
        <v>9754275003</v>
      </c>
      <c r="G2891" s="1">
        <v>44631</v>
      </c>
      <c r="H2891" t="str">
        <f t="shared" si="644"/>
        <v>91413</v>
      </c>
      <c r="I2891">
        <v>1</v>
      </c>
      <c r="J2891">
        <v>853</v>
      </c>
      <c r="K2891">
        <v>0</v>
      </c>
      <c r="L2891">
        <v>665.34</v>
      </c>
    </row>
    <row r="2892" spans="1:12" x14ac:dyDescent="0.25">
      <c r="A2892" t="str">
        <f t="shared" si="641"/>
        <v>89301000</v>
      </c>
      <c r="B2892" t="str">
        <f t="shared" si="631"/>
        <v>06539000</v>
      </c>
      <c r="C2892" t="str">
        <f t="shared" si="642"/>
        <v>06539003</v>
      </c>
      <c r="D2892" t="str">
        <f t="shared" si="643"/>
        <v>813</v>
      </c>
      <c r="E2892" t="str">
        <f t="shared" si="632"/>
        <v>89301171</v>
      </c>
      <c r="F2892" t="str">
        <f t="shared" si="637"/>
        <v>9754275003</v>
      </c>
      <c r="G2892" s="1">
        <v>44622</v>
      </c>
      <c r="H2892" t="str">
        <f t="shared" si="644"/>
        <v>91413</v>
      </c>
      <c r="I2892">
        <v>1</v>
      </c>
      <c r="J2892">
        <v>853</v>
      </c>
      <c r="K2892">
        <v>0</v>
      </c>
      <c r="L2892">
        <v>665.34</v>
      </c>
    </row>
    <row r="2893" spans="1:12" x14ac:dyDescent="0.25">
      <c r="A2893" t="str">
        <f t="shared" si="641"/>
        <v>89301000</v>
      </c>
      <c r="B2893" t="str">
        <f t="shared" si="631"/>
        <v>06539000</v>
      </c>
      <c r="C2893" t="str">
        <f t="shared" si="642"/>
        <v>06539003</v>
      </c>
      <c r="D2893" t="str">
        <f t="shared" si="643"/>
        <v>813</v>
      </c>
      <c r="E2893" t="str">
        <f t="shared" si="632"/>
        <v>89301171</v>
      </c>
      <c r="F2893" t="str">
        <f t="shared" si="637"/>
        <v>9754275003</v>
      </c>
      <c r="G2893" s="1">
        <v>44622</v>
      </c>
      <c r="H2893" t="str">
        <f t="shared" si="644"/>
        <v>91413</v>
      </c>
      <c r="I2893">
        <v>1</v>
      </c>
      <c r="J2893">
        <v>853</v>
      </c>
      <c r="K2893">
        <v>0</v>
      </c>
      <c r="L2893">
        <v>665.34</v>
      </c>
    </row>
    <row r="2894" spans="1:12" x14ac:dyDescent="0.25">
      <c r="A2894" t="str">
        <f t="shared" si="641"/>
        <v>89301000</v>
      </c>
      <c r="B2894" t="str">
        <f t="shared" si="631"/>
        <v>06539000</v>
      </c>
      <c r="C2894" t="str">
        <f t="shared" si="642"/>
        <v>06539003</v>
      </c>
      <c r="D2894" t="str">
        <f t="shared" si="643"/>
        <v>813</v>
      </c>
      <c r="E2894" t="str">
        <f t="shared" si="632"/>
        <v>89301171</v>
      </c>
      <c r="F2894" t="str">
        <f t="shared" si="637"/>
        <v>9754275003</v>
      </c>
      <c r="G2894" s="1">
        <v>44623</v>
      </c>
      <c r="H2894" t="str">
        <f t="shared" si="644"/>
        <v>91413</v>
      </c>
      <c r="I2894">
        <v>1</v>
      </c>
      <c r="J2894">
        <v>853</v>
      </c>
      <c r="K2894">
        <v>0</v>
      </c>
      <c r="L2894">
        <v>665.34</v>
      </c>
    </row>
    <row r="2895" spans="1:12" x14ac:dyDescent="0.25">
      <c r="A2895" t="str">
        <f t="shared" si="641"/>
        <v>89301000</v>
      </c>
      <c r="B2895" t="str">
        <f t="shared" si="631"/>
        <v>06539000</v>
      </c>
      <c r="C2895" t="str">
        <f t="shared" si="642"/>
        <v>06539003</v>
      </c>
      <c r="D2895" t="str">
        <f t="shared" si="643"/>
        <v>813</v>
      </c>
      <c r="E2895" t="str">
        <f t="shared" si="632"/>
        <v>89301171</v>
      </c>
      <c r="F2895" t="str">
        <f t="shared" si="637"/>
        <v>9754275003</v>
      </c>
      <c r="G2895" s="1">
        <v>44623</v>
      </c>
      <c r="H2895" t="str">
        <f t="shared" si="644"/>
        <v>91413</v>
      </c>
      <c r="I2895">
        <v>1</v>
      </c>
      <c r="J2895">
        <v>853</v>
      </c>
      <c r="K2895">
        <v>0</v>
      </c>
      <c r="L2895">
        <v>665.34</v>
      </c>
    </row>
    <row r="2896" spans="1:12" x14ac:dyDescent="0.25">
      <c r="A2896" t="str">
        <f t="shared" si="641"/>
        <v>89301000</v>
      </c>
      <c r="B2896" t="str">
        <f t="shared" si="631"/>
        <v>06539000</v>
      </c>
      <c r="C2896" t="str">
        <f t="shared" si="642"/>
        <v>06539003</v>
      </c>
      <c r="D2896" t="str">
        <f t="shared" si="643"/>
        <v>813</v>
      </c>
      <c r="E2896" t="str">
        <f t="shared" si="632"/>
        <v>89301171</v>
      </c>
      <c r="F2896" t="str">
        <f t="shared" si="637"/>
        <v>9754275003</v>
      </c>
      <c r="G2896" s="1">
        <v>44623</v>
      </c>
      <c r="H2896" t="str">
        <f t="shared" si="644"/>
        <v>91413</v>
      </c>
      <c r="I2896">
        <v>1</v>
      </c>
      <c r="J2896">
        <v>853</v>
      </c>
      <c r="K2896">
        <v>0</v>
      </c>
      <c r="L2896">
        <v>665.34</v>
      </c>
    </row>
    <row r="2897" spans="1:12" x14ac:dyDescent="0.25">
      <c r="A2897" t="str">
        <f t="shared" si="641"/>
        <v>89301000</v>
      </c>
      <c r="B2897" t="str">
        <f t="shared" si="631"/>
        <v>06539000</v>
      </c>
      <c r="C2897" t="str">
        <f t="shared" si="642"/>
        <v>06539003</v>
      </c>
      <c r="D2897" t="str">
        <f t="shared" si="643"/>
        <v>813</v>
      </c>
      <c r="E2897" t="str">
        <f t="shared" si="632"/>
        <v>89301171</v>
      </c>
      <c r="F2897" t="str">
        <f t="shared" si="637"/>
        <v>9754275003</v>
      </c>
      <c r="G2897" s="1">
        <v>44623</v>
      </c>
      <c r="H2897" t="str">
        <f t="shared" si="644"/>
        <v>91413</v>
      </c>
      <c r="I2897">
        <v>1</v>
      </c>
      <c r="J2897">
        <v>853</v>
      </c>
      <c r="K2897">
        <v>0</v>
      </c>
      <c r="L2897">
        <v>665.34</v>
      </c>
    </row>
    <row r="2898" spans="1:12" x14ac:dyDescent="0.25">
      <c r="A2898" t="str">
        <f t="shared" si="641"/>
        <v>89301000</v>
      </c>
      <c r="B2898" t="str">
        <f t="shared" si="631"/>
        <v>06539000</v>
      </c>
      <c r="C2898" t="str">
        <f t="shared" si="642"/>
        <v>06539003</v>
      </c>
      <c r="D2898" t="str">
        <f t="shared" si="643"/>
        <v>813</v>
      </c>
      <c r="E2898" t="str">
        <f t="shared" si="632"/>
        <v>89301171</v>
      </c>
      <c r="F2898" t="str">
        <f t="shared" si="637"/>
        <v>9754275003</v>
      </c>
      <c r="G2898" s="1">
        <v>44610</v>
      </c>
      <c r="H2898" t="str">
        <f t="shared" ref="H2898:H2904" si="645">"91197"</f>
        <v>91197</v>
      </c>
      <c r="I2898">
        <v>1</v>
      </c>
      <c r="J2898">
        <v>1046</v>
      </c>
      <c r="K2898">
        <v>0</v>
      </c>
      <c r="L2898">
        <v>815.88</v>
      </c>
    </row>
    <row r="2899" spans="1:12" x14ac:dyDescent="0.25">
      <c r="A2899" t="str">
        <f t="shared" si="641"/>
        <v>89301000</v>
      </c>
      <c r="B2899" t="str">
        <f t="shared" si="631"/>
        <v>06539000</v>
      </c>
      <c r="C2899" t="str">
        <f t="shared" si="642"/>
        <v>06539003</v>
      </c>
      <c r="D2899" t="str">
        <f t="shared" si="643"/>
        <v>813</v>
      </c>
      <c r="E2899" t="str">
        <f t="shared" si="632"/>
        <v>89301171</v>
      </c>
      <c r="F2899" t="str">
        <f t="shared" si="637"/>
        <v>9754275003</v>
      </c>
      <c r="G2899" s="1">
        <v>44613</v>
      </c>
      <c r="H2899" t="str">
        <f t="shared" si="645"/>
        <v>91197</v>
      </c>
      <c r="I2899">
        <v>1</v>
      </c>
      <c r="J2899">
        <v>1046</v>
      </c>
      <c r="K2899">
        <v>0</v>
      </c>
      <c r="L2899">
        <v>815.88</v>
      </c>
    </row>
    <row r="2900" spans="1:12" x14ac:dyDescent="0.25">
      <c r="A2900" t="str">
        <f t="shared" si="641"/>
        <v>89301000</v>
      </c>
      <c r="B2900" t="str">
        <f t="shared" si="631"/>
        <v>06539000</v>
      </c>
      <c r="C2900" t="str">
        <f t="shared" si="642"/>
        <v>06539003</v>
      </c>
      <c r="D2900" t="str">
        <f t="shared" si="643"/>
        <v>813</v>
      </c>
      <c r="E2900" t="str">
        <f t="shared" si="632"/>
        <v>89301171</v>
      </c>
      <c r="F2900" t="str">
        <f t="shared" si="637"/>
        <v>9754275003</v>
      </c>
      <c r="G2900" s="1">
        <v>44613</v>
      </c>
      <c r="H2900" t="str">
        <f t="shared" si="645"/>
        <v>91197</v>
      </c>
      <c r="I2900">
        <v>1</v>
      </c>
      <c r="J2900">
        <v>1046</v>
      </c>
      <c r="K2900">
        <v>0</v>
      </c>
      <c r="L2900">
        <v>815.88</v>
      </c>
    </row>
    <row r="2901" spans="1:12" x14ac:dyDescent="0.25">
      <c r="A2901" t="str">
        <f t="shared" si="641"/>
        <v>89301000</v>
      </c>
      <c r="B2901" t="str">
        <f t="shared" si="631"/>
        <v>06539000</v>
      </c>
      <c r="C2901" t="str">
        <f t="shared" si="642"/>
        <v>06539003</v>
      </c>
      <c r="D2901" t="str">
        <f t="shared" si="643"/>
        <v>813</v>
      </c>
      <c r="E2901" t="str">
        <f t="shared" si="632"/>
        <v>89301171</v>
      </c>
      <c r="F2901" t="str">
        <f t="shared" si="637"/>
        <v>9754275003</v>
      </c>
      <c r="G2901" s="1">
        <v>44612</v>
      </c>
      <c r="H2901" t="str">
        <f t="shared" si="645"/>
        <v>91197</v>
      </c>
      <c r="I2901">
        <v>1</v>
      </c>
      <c r="J2901">
        <v>1046</v>
      </c>
      <c r="K2901">
        <v>0</v>
      </c>
      <c r="L2901">
        <v>815.88</v>
      </c>
    </row>
    <row r="2902" spans="1:12" x14ac:dyDescent="0.25">
      <c r="A2902" t="str">
        <f t="shared" si="641"/>
        <v>89301000</v>
      </c>
      <c r="B2902" t="str">
        <f t="shared" si="631"/>
        <v>06539000</v>
      </c>
      <c r="C2902" t="str">
        <f t="shared" si="642"/>
        <v>06539003</v>
      </c>
      <c r="D2902" t="str">
        <f t="shared" si="643"/>
        <v>813</v>
      </c>
      <c r="E2902" t="str">
        <f t="shared" si="632"/>
        <v>89301171</v>
      </c>
      <c r="F2902" t="str">
        <f t="shared" si="637"/>
        <v>9754275003</v>
      </c>
      <c r="G2902" s="1">
        <v>44612</v>
      </c>
      <c r="H2902" t="str">
        <f t="shared" si="645"/>
        <v>91197</v>
      </c>
      <c r="I2902">
        <v>1</v>
      </c>
      <c r="J2902">
        <v>1046</v>
      </c>
      <c r="K2902">
        <v>0</v>
      </c>
      <c r="L2902">
        <v>815.88</v>
      </c>
    </row>
    <row r="2903" spans="1:12" x14ac:dyDescent="0.25">
      <c r="A2903" t="str">
        <f t="shared" si="641"/>
        <v>89301000</v>
      </c>
      <c r="B2903" t="str">
        <f t="shared" si="631"/>
        <v>06539000</v>
      </c>
      <c r="C2903" t="str">
        <f t="shared" si="642"/>
        <v>06539003</v>
      </c>
      <c r="D2903" t="str">
        <f t="shared" si="643"/>
        <v>813</v>
      </c>
      <c r="E2903" t="str">
        <f t="shared" si="632"/>
        <v>89301171</v>
      </c>
      <c r="F2903" t="str">
        <f t="shared" si="637"/>
        <v>9754275003</v>
      </c>
      <c r="G2903" s="1">
        <v>44611</v>
      </c>
      <c r="H2903" t="str">
        <f t="shared" si="645"/>
        <v>91197</v>
      </c>
      <c r="I2903">
        <v>1</v>
      </c>
      <c r="J2903">
        <v>1046</v>
      </c>
      <c r="K2903">
        <v>0</v>
      </c>
      <c r="L2903">
        <v>815.88</v>
      </c>
    </row>
    <row r="2904" spans="1:12" x14ac:dyDescent="0.25">
      <c r="A2904" t="str">
        <f t="shared" si="641"/>
        <v>89301000</v>
      </c>
      <c r="B2904" t="str">
        <f t="shared" ref="B2904:B2967" si="646">"06539000"</f>
        <v>06539000</v>
      </c>
      <c r="C2904" t="str">
        <f t="shared" si="642"/>
        <v>06539003</v>
      </c>
      <c r="D2904" t="str">
        <f t="shared" si="643"/>
        <v>813</v>
      </c>
      <c r="E2904" t="str">
        <f t="shared" ref="E2904:E2967" si="647">"89301171"</f>
        <v>89301171</v>
      </c>
      <c r="F2904" t="str">
        <f t="shared" si="637"/>
        <v>9754275003</v>
      </c>
      <c r="G2904" s="1">
        <v>44611</v>
      </c>
      <c r="H2904" t="str">
        <f t="shared" si="645"/>
        <v>91197</v>
      </c>
      <c r="I2904">
        <v>1</v>
      </c>
      <c r="J2904">
        <v>1046</v>
      </c>
      <c r="K2904">
        <v>0</v>
      </c>
      <c r="L2904">
        <v>815.88</v>
      </c>
    </row>
    <row r="2905" spans="1:12" x14ac:dyDescent="0.25">
      <c r="A2905" t="str">
        <f t="shared" si="641"/>
        <v>89301000</v>
      </c>
      <c r="B2905" t="str">
        <f t="shared" si="646"/>
        <v>06539000</v>
      </c>
      <c r="C2905" t="str">
        <f t="shared" si="642"/>
        <v>06539003</v>
      </c>
      <c r="D2905" t="str">
        <f t="shared" si="643"/>
        <v>813</v>
      </c>
      <c r="E2905" t="str">
        <f t="shared" si="647"/>
        <v>89301171</v>
      </c>
      <c r="F2905" t="str">
        <f t="shared" si="637"/>
        <v>9754275003</v>
      </c>
      <c r="G2905" s="1">
        <v>44614</v>
      </c>
      <c r="H2905" t="str">
        <f>"91329"</f>
        <v>91329</v>
      </c>
      <c r="I2905">
        <v>2</v>
      </c>
      <c r="J2905">
        <v>428</v>
      </c>
      <c r="K2905">
        <v>0</v>
      </c>
      <c r="L2905">
        <v>333.84</v>
      </c>
    </row>
    <row r="2906" spans="1:12" x14ac:dyDescent="0.25">
      <c r="A2906" t="str">
        <f t="shared" si="641"/>
        <v>89301000</v>
      </c>
      <c r="B2906" t="str">
        <f t="shared" si="646"/>
        <v>06539000</v>
      </c>
      <c r="C2906" t="str">
        <f t="shared" si="642"/>
        <v>06539003</v>
      </c>
      <c r="D2906" t="str">
        <f t="shared" si="643"/>
        <v>813</v>
      </c>
      <c r="E2906" t="str">
        <f t="shared" si="647"/>
        <v>89301171</v>
      </c>
      <c r="F2906" t="str">
        <f t="shared" si="637"/>
        <v>9754275003</v>
      </c>
      <c r="G2906" s="1">
        <v>44614</v>
      </c>
      <c r="H2906" t="str">
        <f>"91329"</f>
        <v>91329</v>
      </c>
      <c r="I2906">
        <v>2</v>
      </c>
      <c r="J2906">
        <v>428</v>
      </c>
      <c r="K2906">
        <v>0</v>
      </c>
      <c r="L2906">
        <v>333.84</v>
      </c>
    </row>
    <row r="2907" spans="1:12" x14ac:dyDescent="0.25">
      <c r="A2907" t="str">
        <f t="shared" si="641"/>
        <v>89301000</v>
      </c>
      <c r="B2907" t="str">
        <f t="shared" si="646"/>
        <v>06539000</v>
      </c>
      <c r="C2907" t="str">
        <f t="shared" si="642"/>
        <v>06539003</v>
      </c>
      <c r="D2907" t="str">
        <f t="shared" si="643"/>
        <v>813</v>
      </c>
      <c r="E2907" t="str">
        <f t="shared" si="647"/>
        <v>89301171</v>
      </c>
      <c r="F2907" t="str">
        <f t="shared" si="637"/>
        <v>9754275003</v>
      </c>
      <c r="G2907" s="1">
        <v>44614</v>
      </c>
      <c r="H2907" t="str">
        <f>"91329"</f>
        <v>91329</v>
      </c>
      <c r="I2907">
        <v>2</v>
      </c>
      <c r="J2907">
        <v>428</v>
      </c>
      <c r="K2907">
        <v>0</v>
      </c>
      <c r="L2907">
        <v>333.84</v>
      </c>
    </row>
    <row r="2908" spans="1:12" x14ac:dyDescent="0.25">
      <c r="A2908" t="str">
        <f t="shared" si="641"/>
        <v>89301000</v>
      </c>
      <c r="B2908" t="str">
        <f t="shared" si="646"/>
        <v>06539000</v>
      </c>
      <c r="C2908" t="str">
        <f t="shared" si="642"/>
        <v>06539003</v>
      </c>
      <c r="D2908" t="str">
        <f t="shared" si="643"/>
        <v>813</v>
      </c>
      <c r="E2908" t="str">
        <f t="shared" si="647"/>
        <v>89301171</v>
      </c>
      <c r="F2908" t="str">
        <f t="shared" si="637"/>
        <v>9754275003</v>
      </c>
      <c r="G2908" s="1">
        <v>44614</v>
      </c>
      <c r="H2908" t="str">
        <f>"91329"</f>
        <v>91329</v>
      </c>
      <c r="I2908">
        <v>2</v>
      </c>
      <c r="J2908">
        <v>428</v>
      </c>
      <c r="K2908">
        <v>0</v>
      </c>
      <c r="L2908">
        <v>333.84</v>
      </c>
    </row>
    <row r="2909" spans="1:12" x14ac:dyDescent="0.25">
      <c r="A2909" t="str">
        <f t="shared" si="641"/>
        <v>89301000</v>
      </c>
      <c r="B2909" t="str">
        <f t="shared" si="646"/>
        <v>06539000</v>
      </c>
      <c r="C2909" t="str">
        <f t="shared" si="642"/>
        <v>06539003</v>
      </c>
      <c r="D2909" t="str">
        <f t="shared" si="643"/>
        <v>813</v>
      </c>
      <c r="E2909" t="str">
        <f t="shared" si="647"/>
        <v>89301171</v>
      </c>
      <c r="F2909" t="str">
        <f t="shared" si="637"/>
        <v>9754275003</v>
      </c>
      <c r="G2909" s="1">
        <v>44610</v>
      </c>
      <c r="H2909" t="str">
        <f>"91129"</f>
        <v>91129</v>
      </c>
      <c r="I2909">
        <v>1</v>
      </c>
      <c r="J2909">
        <v>174</v>
      </c>
      <c r="K2909">
        <v>0</v>
      </c>
      <c r="L2909">
        <v>135.72</v>
      </c>
    </row>
    <row r="2910" spans="1:12" x14ac:dyDescent="0.25">
      <c r="A2910" t="str">
        <f t="shared" si="641"/>
        <v>89301000</v>
      </c>
      <c r="B2910" t="str">
        <f t="shared" si="646"/>
        <v>06539000</v>
      </c>
      <c r="C2910" t="str">
        <f t="shared" si="642"/>
        <v>06539003</v>
      </c>
      <c r="D2910" t="str">
        <f t="shared" si="643"/>
        <v>813</v>
      </c>
      <c r="E2910" t="str">
        <f t="shared" si="647"/>
        <v>89301171</v>
      </c>
      <c r="F2910" t="str">
        <f t="shared" si="637"/>
        <v>9754275003</v>
      </c>
      <c r="G2910" s="1">
        <v>44610</v>
      </c>
      <c r="H2910" t="str">
        <f>"91131"</f>
        <v>91131</v>
      </c>
      <c r="I2910">
        <v>1</v>
      </c>
      <c r="J2910">
        <v>171</v>
      </c>
      <c r="K2910">
        <v>0</v>
      </c>
      <c r="L2910">
        <v>133.38</v>
      </c>
    </row>
    <row r="2911" spans="1:12" x14ac:dyDescent="0.25">
      <c r="A2911" t="str">
        <f t="shared" si="641"/>
        <v>89301000</v>
      </c>
      <c r="B2911" t="str">
        <f t="shared" si="646"/>
        <v>06539000</v>
      </c>
      <c r="C2911" t="str">
        <f t="shared" si="642"/>
        <v>06539003</v>
      </c>
      <c r="D2911" t="str">
        <f t="shared" si="643"/>
        <v>813</v>
      </c>
      <c r="E2911" t="str">
        <f t="shared" si="647"/>
        <v>89301171</v>
      </c>
      <c r="F2911" t="str">
        <f t="shared" si="637"/>
        <v>9754275003</v>
      </c>
      <c r="G2911" s="1">
        <v>44610</v>
      </c>
      <c r="H2911" t="str">
        <f>"91133"</f>
        <v>91133</v>
      </c>
      <c r="I2911">
        <v>1</v>
      </c>
      <c r="J2911">
        <v>176</v>
      </c>
      <c r="K2911">
        <v>0</v>
      </c>
      <c r="L2911">
        <v>137.28</v>
      </c>
    </row>
    <row r="2912" spans="1:12" x14ac:dyDescent="0.25">
      <c r="A2912" t="str">
        <f t="shared" si="641"/>
        <v>89301000</v>
      </c>
      <c r="B2912" t="str">
        <f t="shared" si="646"/>
        <v>06539000</v>
      </c>
      <c r="C2912" t="str">
        <f t="shared" si="642"/>
        <v>06539003</v>
      </c>
      <c r="D2912" t="str">
        <f t="shared" si="643"/>
        <v>813</v>
      </c>
      <c r="E2912" t="str">
        <f t="shared" si="647"/>
        <v>89301171</v>
      </c>
      <c r="F2912" t="str">
        <f t="shared" si="637"/>
        <v>9754275003</v>
      </c>
      <c r="G2912" s="1">
        <v>44610</v>
      </c>
      <c r="H2912" t="str">
        <f>"91171"</f>
        <v>91171</v>
      </c>
      <c r="I2912">
        <v>1</v>
      </c>
      <c r="J2912">
        <v>360</v>
      </c>
      <c r="K2912">
        <v>0</v>
      </c>
      <c r="L2912">
        <v>280.8</v>
      </c>
    </row>
    <row r="2913" spans="1:12" x14ac:dyDescent="0.25">
      <c r="A2913" t="str">
        <f t="shared" si="641"/>
        <v>89301000</v>
      </c>
      <c r="B2913" t="str">
        <f t="shared" si="646"/>
        <v>06539000</v>
      </c>
      <c r="C2913" t="str">
        <f t="shared" si="642"/>
        <v>06539003</v>
      </c>
      <c r="D2913" t="str">
        <f t="shared" si="643"/>
        <v>813</v>
      </c>
      <c r="E2913" t="str">
        <f t="shared" si="647"/>
        <v>89301171</v>
      </c>
      <c r="F2913" t="str">
        <f t="shared" si="637"/>
        <v>9754275003</v>
      </c>
      <c r="G2913" s="1">
        <v>44610</v>
      </c>
      <c r="H2913" t="str">
        <f>"91173"</f>
        <v>91173</v>
      </c>
      <c r="I2913">
        <v>1</v>
      </c>
      <c r="J2913">
        <v>335</v>
      </c>
      <c r="K2913">
        <v>0</v>
      </c>
      <c r="L2913">
        <v>261.3</v>
      </c>
    </row>
    <row r="2914" spans="1:12" x14ac:dyDescent="0.25">
      <c r="A2914" t="str">
        <f t="shared" si="641"/>
        <v>89301000</v>
      </c>
      <c r="B2914" t="str">
        <f t="shared" si="646"/>
        <v>06539000</v>
      </c>
      <c r="C2914" t="str">
        <f t="shared" si="642"/>
        <v>06539003</v>
      </c>
      <c r="D2914" t="str">
        <f t="shared" si="643"/>
        <v>813</v>
      </c>
      <c r="E2914" t="str">
        <f t="shared" si="647"/>
        <v>89301171</v>
      </c>
      <c r="F2914" t="str">
        <f t="shared" si="637"/>
        <v>9754275003</v>
      </c>
      <c r="G2914" s="1">
        <v>44610</v>
      </c>
      <c r="H2914" t="str">
        <f>"91175"</f>
        <v>91175</v>
      </c>
      <c r="I2914">
        <v>1</v>
      </c>
      <c r="J2914">
        <v>360</v>
      </c>
      <c r="K2914">
        <v>0</v>
      </c>
      <c r="L2914">
        <v>280.8</v>
      </c>
    </row>
    <row r="2915" spans="1:12" x14ac:dyDescent="0.25">
      <c r="A2915" t="str">
        <f t="shared" si="641"/>
        <v>89301000</v>
      </c>
      <c r="B2915" t="str">
        <f t="shared" si="646"/>
        <v>06539000</v>
      </c>
      <c r="C2915" t="str">
        <f t="shared" si="642"/>
        <v>06539003</v>
      </c>
      <c r="D2915" t="str">
        <f t="shared" si="643"/>
        <v>813</v>
      </c>
      <c r="E2915" t="str">
        <f t="shared" si="647"/>
        <v>89301171</v>
      </c>
      <c r="F2915" t="str">
        <f t="shared" si="637"/>
        <v>9754275003</v>
      </c>
      <c r="G2915" s="1">
        <v>44611</v>
      </c>
      <c r="H2915" t="str">
        <f>"91167"</f>
        <v>91167</v>
      </c>
      <c r="I2915">
        <v>1</v>
      </c>
      <c r="J2915">
        <v>425</v>
      </c>
      <c r="K2915">
        <v>0</v>
      </c>
      <c r="L2915">
        <v>331.5</v>
      </c>
    </row>
    <row r="2916" spans="1:12" x14ac:dyDescent="0.25">
      <c r="A2916" t="str">
        <f t="shared" si="641"/>
        <v>89301000</v>
      </c>
      <c r="B2916" t="str">
        <f t="shared" si="646"/>
        <v>06539000</v>
      </c>
      <c r="C2916" t="str">
        <f t="shared" si="642"/>
        <v>06539003</v>
      </c>
      <c r="D2916" t="str">
        <f t="shared" si="643"/>
        <v>813</v>
      </c>
      <c r="E2916" t="str">
        <f t="shared" si="647"/>
        <v>89301171</v>
      </c>
      <c r="F2916" t="str">
        <f t="shared" si="637"/>
        <v>9754275003</v>
      </c>
      <c r="G2916" s="1">
        <v>44611</v>
      </c>
      <c r="H2916" t="str">
        <f>"91169"</f>
        <v>91169</v>
      </c>
      <c r="I2916">
        <v>1</v>
      </c>
      <c r="J2916">
        <v>425</v>
      </c>
      <c r="K2916">
        <v>0</v>
      </c>
      <c r="L2916">
        <v>331.5</v>
      </c>
    </row>
    <row r="2917" spans="1:12" x14ac:dyDescent="0.25">
      <c r="A2917" t="str">
        <f t="shared" si="641"/>
        <v>89301000</v>
      </c>
      <c r="B2917" t="str">
        <f t="shared" si="646"/>
        <v>06539000</v>
      </c>
      <c r="C2917" t="str">
        <f t="shared" si="642"/>
        <v>06539003</v>
      </c>
      <c r="D2917" t="str">
        <f t="shared" si="643"/>
        <v>813</v>
      </c>
      <c r="E2917" t="str">
        <f t="shared" si="647"/>
        <v>89301171</v>
      </c>
      <c r="F2917" t="str">
        <f t="shared" si="637"/>
        <v>9754275003</v>
      </c>
      <c r="G2917" s="1">
        <v>44610</v>
      </c>
      <c r="H2917" t="str">
        <f>"91167"</f>
        <v>91167</v>
      </c>
      <c r="I2917">
        <v>1</v>
      </c>
      <c r="J2917">
        <v>425</v>
      </c>
      <c r="K2917">
        <v>0</v>
      </c>
      <c r="L2917">
        <v>331.5</v>
      </c>
    </row>
    <row r="2918" spans="1:12" x14ac:dyDescent="0.25">
      <c r="A2918" t="str">
        <f t="shared" si="641"/>
        <v>89301000</v>
      </c>
      <c r="B2918" t="str">
        <f t="shared" si="646"/>
        <v>06539000</v>
      </c>
      <c r="C2918" t="str">
        <f t="shared" si="642"/>
        <v>06539003</v>
      </c>
      <c r="D2918" t="str">
        <f t="shared" si="643"/>
        <v>813</v>
      </c>
      <c r="E2918" t="str">
        <f t="shared" si="647"/>
        <v>89301171</v>
      </c>
      <c r="F2918" t="str">
        <f t="shared" si="637"/>
        <v>9754275003</v>
      </c>
      <c r="G2918" s="1">
        <v>44610</v>
      </c>
      <c r="H2918" t="str">
        <f>"91169"</f>
        <v>91169</v>
      </c>
      <c r="I2918">
        <v>1</v>
      </c>
      <c r="J2918">
        <v>425</v>
      </c>
      <c r="K2918">
        <v>0</v>
      </c>
      <c r="L2918">
        <v>331.5</v>
      </c>
    </row>
    <row r="2919" spans="1:12" x14ac:dyDescent="0.25">
      <c r="A2919" t="str">
        <f t="shared" si="641"/>
        <v>89301000</v>
      </c>
      <c r="B2919" t="str">
        <f t="shared" si="646"/>
        <v>06539000</v>
      </c>
      <c r="C2919" t="str">
        <f t="shared" si="642"/>
        <v>06539003</v>
      </c>
      <c r="D2919" t="str">
        <f t="shared" si="643"/>
        <v>813</v>
      </c>
      <c r="E2919" t="str">
        <f t="shared" si="647"/>
        <v>89301171</v>
      </c>
      <c r="F2919" t="str">
        <f t="shared" si="637"/>
        <v>9754275003</v>
      </c>
      <c r="G2919" s="1">
        <v>44610</v>
      </c>
      <c r="H2919" t="str">
        <f>"91475"</f>
        <v>91475</v>
      </c>
      <c r="I2919">
        <v>1</v>
      </c>
      <c r="J2919">
        <v>206</v>
      </c>
      <c r="K2919">
        <v>0</v>
      </c>
      <c r="L2919">
        <v>160.68</v>
      </c>
    </row>
    <row r="2920" spans="1:12" x14ac:dyDescent="0.25">
      <c r="A2920" t="str">
        <f t="shared" si="641"/>
        <v>89301000</v>
      </c>
      <c r="B2920" t="str">
        <f t="shared" si="646"/>
        <v>06539000</v>
      </c>
      <c r="C2920" t="str">
        <f>"06539001"</f>
        <v>06539001</v>
      </c>
      <c r="D2920" t="str">
        <f>"801"</f>
        <v>801</v>
      </c>
      <c r="E2920" t="str">
        <f t="shared" si="647"/>
        <v>89301171</v>
      </c>
      <c r="F2920" t="str">
        <f t="shared" ref="F2920:F2966" si="648">"0157036154"</f>
        <v>0157036154</v>
      </c>
      <c r="G2920" s="1">
        <v>44610</v>
      </c>
      <c r="H2920" t="str">
        <f>"81329"</f>
        <v>81329</v>
      </c>
      <c r="I2920">
        <v>1</v>
      </c>
      <c r="J2920">
        <v>16</v>
      </c>
      <c r="K2920">
        <v>0</v>
      </c>
      <c r="L2920">
        <v>12.48</v>
      </c>
    </row>
    <row r="2921" spans="1:12" x14ac:dyDescent="0.25">
      <c r="A2921" t="str">
        <f t="shared" si="641"/>
        <v>89301000</v>
      </c>
      <c r="B2921" t="str">
        <f t="shared" si="646"/>
        <v>06539000</v>
      </c>
      <c r="C2921" t="str">
        <f>"06539001"</f>
        <v>06539001</v>
      </c>
      <c r="D2921" t="str">
        <f>"801"</f>
        <v>801</v>
      </c>
      <c r="E2921" t="str">
        <f t="shared" si="647"/>
        <v>89301171</v>
      </c>
      <c r="F2921" t="str">
        <f t="shared" si="648"/>
        <v>0157036154</v>
      </c>
      <c r="G2921" s="1">
        <v>44610</v>
      </c>
      <c r="H2921" t="str">
        <f>"81331"</f>
        <v>81331</v>
      </c>
      <c r="I2921">
        <v>1</v>
      </c>
      <c r="J2921">
        <v>193</v>
      </c>
      <c r="K2921">
        <v>0</v>
      </c>
      <c r="L2921">
        <v>150.54</v>
      </c>
    </row>
    <row r="2922" spans="1:12" x14ac:dyDescent="0.25">
      <c r="A2922" t="str">
        <f t="shared" si="641"/>
        <v>89301000</v>
      </c>
      <c r="B2922" t="str">
        <f t="shared" si="646"/>
        <v>06539000</v>
      </c>
      <c r="C2922" t="str">
        <f t="shared" ref="C2922:C2929" si="649">"06539002"</f>
        <v>06539002</v>
      </c>
      <c r="D2922" t="str">
        <f t="shared" ref="D2922:D2929" si="650">"802"</f>
        <v>802</v>
      </c>
      <c r="E2922" t="str">
        <f t="shared" si="647"/>
        <v>89301171</v>
      </c>
      <c r="F2922" t="str">
        <f t="shared" si="648"/>
        <v>0157036154</v>
      </c>
      <c r="G2922" s="1">
        <v>44610</v>
      </c>
      <c r="H2922" t="str">
        <f t="shared" ref="H2922:H2929" si="651">"82097"</f>
        <v>82097</v>
      </c>
      <c r="I2922">
        <v>1</v>
      </c>
      <c r="J2922">
        <v>380</v>
      </c>
      <c r="K2922">
        <v>0</v>
      </c>
      <c r="L2922">
        <v>345.8</v>
      </c>
    </row>
    <row r="2923" spans="1:12" x14ac:dyDescent="0.25">
      <c r="A2923" t="str">
        <f t="shared" si="641"/>
        <v>89301000</v>
      </c>
      <c r="B2923" t="str">
        <f t="shared" si="646"/>
        <v>06539000</v>
      </c>
      <c r="C2923" t="str">
        <f t="shared" si="649"/>
        <v>06539002</v>
      </c>
      <c r="D2923" t="str">
        <f t="shared" si="650"/>
        <v>802</v>
      </c>
      <c r="E2923" t="str">
        <f t="shared" si="647"/>
        <v>89301171</v>
      </c>
      <c r="F2923" t="str">
        <f t="shared" si="648"/>
        <v>0157036154</v>
      </c>
      <c r="G2923" s="1">
        <v>44610</v>
      </c>
      <c r="H2923" t="str">
        <f t="shared" si="651"/>
        <v>82097</v>
      </c>
      <c r="I2923">
        <v>1</v>
      </c>
      <c r="J2923">
        <v>380</v>
      </c>
      <c r="K2923">
        <v>0</v>
      </c>
      <c r="L2923">
        <v>345.8</v>
      </c>
    </row>
    <row r="2924" spans="1:12" x14ac:dyDescent="0.25">
      <c r="A2924" t="str">
        <f t="shared" si="641"/>
        <v>89301000</v>
      </c>
      <c r="B2924" t="str">
        <f t="shared" si="646"/>
        <v>06539000</v>
      </c>
      <c r="C2924" t="str">
        <f t="shared" si="649"/>
        <v>06539002</v>
      </c>
      <c r="D2924" t="str">
        <f t="shared" si="650"/>
        <v>802</v>
      </c>
      <c r="E2924" t="str">
        <f t="shared" si="647"/>
        <v>89301171</v>
      </c>
      <c r="F2924" t="str">
        <f t="shared" si="648"/>
        <v>0157036154</v>
      </c>
      <c r="G2924" s="1">
        <v>44610</v>
      </c>
      <c r="H2924" t="str">
        <f t="shared" si="651"/>
        <v>82097</v>
      </c>
      <c r="I2924">
        <v>1</v>
      </c>
      <c r="J2924">
        <v>380</v>
      </c>
      <c r="K2924">
        <v>0</v>
      </c>
      <c r="L2924">
        <v>345.8</v>
      </c>
    </row>
    <row r="2925" spans="1:12" x14ac:dyDescent="0.25">
      <c r="A2925" t="str">
        <f t="shared" si="641"/>
        <v>89301000</v>
      </c>
      <c r="B2925" t="str">
        <f t="shared" si="646"/>
        <v>06539000</v>
      </c>
      <c r="C2925" t="str">
        <f t="shared" si="649"/>
        <v>06539002</v>
      </c>
      <c r="D2925" t="str">
        <f t="shared" si="650"/>
        <v>802</v>
      </c>
      <c r="E2925" t="str">
        <f t="shared" si="647"/>
        <v>89301171</v>
      </c>
      <c r="F2925" t="str">
        <f t="shared" si="648"/>
        <v>0157036154</v>
      </c>
      <c r="G2925" s="1">
        <v>44610</v>
      </c>
      <c r="H2925" t="str">
        <f t="shared" si="651"/>
        <v>82097</v>
      </c>
      <c r="I2925">
        <v>1</v>
      </c>
      <c r="J2925">
        <v>380</v>
      </c>
      <c r="K2925">
        <v>0</v>
      </c>
      <c r="L2925">
        <v>345.8</v>
      </c>
    </row>
    <row r="2926" spans="1:12" x14ac:dyDescent="0.25">
      <c r="A2926" t="str">
        <f t="shared" si="641"/>
        <v>89301000</v>
      </c>
      <c r="B2926" t="str">
        <f t="shared" si="646"/>
        <v>06539000</v>
      </c>
      <c r="C2926" t="str">
        <f t="shared" si="649"/>
        <v>06539002</v>
      </c>
      <c r="D2926" t="str">
        <f t="shared" si="650"/>
        <v>802</v>
      </c>
      <c r="E2926" t="str">
        <f t="shared" si="647"/>
        <v>89301171</v>
      </c>
      <c r="F2926" t="str">
        <f t="shared" si="648"/>
        <v>0157036154</v>
      </c>
      <c r="G2926" s="1">
        <v>44610</v>
      </c>
      <c r="H2926" t="str">
        <f t="shared" si="651"/>
        <v>82097</v>
      </c>
      <c r="I2926">
        <v>1</v>
      </c>
      <c r="J2926">
        <v>380</v>
      </c>
      <c r="K2926">
        <v>0</v>
      </c>
      <c r="L2926">
        <v>345.8</v>
      </c>
    </row>
    <row r="2927" spans="1:12" x14ac:dyDescent="0.25">
      <c r="A2927" t="str">
        <f t="shared" si="641"/>
        <v>89301000</v>
      </c>
      <c r="B2927" t="str">
        <f t="shared" si="646"/>
        <v>06539000</v>
      </c>
      <c r="C2927" t="str">
        <f t="shared" si="649"/>
        <v>06539002</v>
      </c>
      <c r="D2927" t="str">
        <f t="shared" si="650"/>
        <v>802</v>
      </c>
      <c r="E2927" t="str">
        <f t="shared" si="647"/>
        <v>89301171</v>
      </c>
      <c r="F2927" t="str">
        <f t="shared" si="648"/>
        <v>0157036154</v>
      </c>
      <c r="G2927" s="1">
        <v>44610</v>
      </c>
      <c r="H2927" t="str">
        <f t="shared" si="651"/>
        <v>82097</v>
      </c>
      <c r="I2927">
        <v>1</v>
      </c>
      <c r="J2927">
        <v>380</v>
      </c>
      <c r="K2927">
        <v>0</v>
      </c>
      <c r="L2927">
        <v>345.8</v>
      </c>
    </row>
    <row r="2928" spans="1:12" x14ac:dyDescent="0.25">
      <c r="A2928" t="str">
        <f t="shared" si="641"/>
        <v>89301000</v>
      </c>
      <c r="B2928" t="str">
        <f t="shared" si="646"/>
        <v>06539000</v>
      </c>
      <c r="C2928" t="str">
        <f t="shared" si="649"/>
        <v>06539002</v>
      </c>
      <c r="D2928" t="str">
        <f t="shared" si="650"/>
        <v>802</v>
      </c>
      <c r="E2928" t="str">
        <f t="shared" si="647"/>
        <v>89301171</v>
      </c>
      <c r="F2928" t="str">
        <f t="shared" si="648"/>
        <v>0157036154</v>
      </c>
      <c r="G2928" s="1">
        <v>44610</v>
      </c>
      <c r="H2928" t="str">
        <f t="shared" si="651"/>
        <v>82097</v>
      </c>
      <c r="I2928">
        <v>1</v>
      </c>
      <c r="J2928">
        <v>380</v>
      </c>
      <c r="K2928">
        <v>0</v>
      </c>
      <c r="L2928">
        <v>345.8</v>
      </c>
    </row>
    <row r="2929" spans="1:12" x14ac:dyDescent="0.25">
      <c r="A2929" t="str">
        <f t="shared" si="641"/>
        <v>89301000</v>
      </c>
      <c r="B2929" t="str">
        <f t="shared" si="646"/>
        <v>06539000</v>
      </c>
      <c r="C2929" t="str">
        <f t="shared" si="649"/>
        <v>06539002</v>
      </c>
      <c r="D2929" t="str">
        <f t="shared" si="650"/>
        <v>802</v>
      </c>
      <c r="E2929" t="str">
        <f t="shared" si="647"/>
        <v>89301171</v>
      </c>
      <c r="F2929" t="str">
        <f t="shared" si="648"/>
        <v>0157036154</v>
      </c>
      <c r="G2929" s="1">
        <v>44610</v>
      </c>
      <c r="H2929" t="str">
        <f t="shared" si="651"/>
        <v>82097</v>
      </c>
      <c r="I2929">
        <v>1</v>
      </c>
      <c r="J2929">
        <v>380</v>
      </c>
      <c r="K2929">
        <v>0</v>
      </c>
      <c r="L2929">
        <v>345.8</v>
      </c>
    </row>
    <row r="2930" spans="1:12" x14ac:dyDescent="0.25">
      <c r="A2930" t="str">
        <f t="shared" si="641"/>
        <v>89301000</v>
      </c>
      <c r="B2930" t="str">
        <f t="shared" si="646"/>
        <v>06539000</v>
      </c>
      <c r="C2930" t="str">
        <f t="shared" ref="C2930:C2966" si="652">"06539003"</f>
        <v>06539003</v>
      </c>
      <c r="D2930" t="str">
        <f t="shared" ref="D2930:D2966" si="653">"813"</f>
        <v>813</v>
      </c>
      <c r="E2930" t="str">
        <f t="shared" si="647"/>
        <v>89301171</v>
      </c>
      <c r="F2930" t="str">
        <f t="shared" si="648"/>
        <v>0157036154</v>
      </c>
      <c r="G2930" s="1">
        <v>44610</v>
      </c>
      <c r="H2930" t="str">
        <f>"91439"</f>
        <v>91439</v>
      </c>
      <c r="I2930">
        <v>1</v>
      </c>
      <c r="J2930">
        <v>356</v>
      </c>
      <c r="K2930">
        <v>0</v>
      </c>
      <c r="L2930">
        <v>277.68</v>
      </c>
    </row>
    <row r="2931" spans="1:12" x14ac:dyDescent="0.25">
      <c r="A2931" t="str">
        <f t="shared" si="641"/>
        <v>89301000</v>
      </c>
      <c r="B2931" t="str">
        <f t="shared" si="646"/>
        <v>06539000</v>
      </c>
      <c r="C2931" t="str">
        <f t="shared" si="652"/>
        <v>06539003</v>
      </c>
      <c r="D2931" t="str">
        <f t="shared" si="653"/>
        <v>813</v>
      </c>
      <c r="E2931" t="str">
        <f t="shared" si="647"/>
        <v>89301171</v>
      </c>
      <c r="F2931" t="str">
        <f t="shared" si="648"/>
        <v>0157036154</v>
      </c>
      <c r="G2931" s="1">
        <v>44610</v>
      </c>
      <c r="H2931" t="str">
        <f>"91439"</f>
        <v>91439</v>
      </c>
      <c r="I2931">
        <v>1</v>
      </c>
      <c r="J2931">
        <v>356</v>
      </c>
      <c r="K2931">
        <v>0</v>
      </c>
      <c r="L2931">
        <v>277.68</v>
      </c>
    </row>
    <row r="2932" spans="1:12" x14ac:dyDescent="0.25">
      <c r="A2932" t="str">
        <f t="shared" si="641"/>
        <v>89301000</v>
      </c>
      <c r="B2932" t="str">
        <f t="shared" si="646"/>
        <v>06539000</v>
      </c>
      <c r="C2932" t="str">
        <f t="shared" si="652"/>
        <v>06539003</v>
      </c>
      <c r="D2932" t="str">
        <f t="shared" si="653"/>
        <v>813</v>
      </c>
      <c r="E2932" t="str">
        <f t="shared" si="647"/>
        <v>89301171</v>
      </c>
      <c r="F2932" t="str">
        <f t="shared" si="648"/>
        <v>0157036154</v>
      </c>
      <c r="G2932" s="1">
        <v>44610</v>
      </c>
      <c r="H2932" t="str">
        <f>"91439"</f>
        <v>91439</v>
      </c>
      <c r="I2932">
        <v>1</v>
      </c>
      <c r="J2932">
        <v>356</v>
      </c>
      <c r="K2932">
        <v>0</v>
      </c>
      <c r="L2932">
        <v>277.68</v>
      </c>
    </row>
    <row r="2933" spans="1:12" x14ac:dyDescent="0.25">
      <c r="A2933" t="str">
        <f t="shared" si="641"/>
        <v>89301000</v>
      </c>
      <c r="B2933" t="str">
        <f t="shared" si="646"/>
        <v>06539000</v>
      </c>
      <c r="C2933" t="str">
        <f t="shared" si="652"/>
        <v>06539003</v>
      </c>
      <c r="D2933" t="str">
        <f t="shared" si="653"/>
        <v>813</v>
      </c>
      <c r="E2933" t="str">
        <f t="shared" si="647"/>
        <v>89301171</v>
      </c>
      <c r="F2933" t="str">
        <f t="shared" si="648"/>
        <v>0157036154</v>
      </c>
      <c r="G2933" s="1">
        <v>44610</v>
      </c>
      <c r="H2933" t="str">
        <f>"91439"</f>
        <v>91439</v>
      </c>
      <c r="I2933">
        <v>1</v>
      </c>
      <c r="J2933">
        <v>356</v>
      </c>
      <c r="K2933">
        <v>0</v>
      </c>
      <c r="L2933">
        <v>277.68</v>
      </c>
    </row>
    <row r="2934" spans="1:12" x14ac:dyDescent="0.25">
      <c r="A2934" t="str">
        <f t="shared" si="641"/>
        <v>89301000</v>
      </c>
      <c r="B2934" t="str">
        <f t="shared" si="646"/>
        <v>06539000</v>
      </c>
      <c r="C2934" t="str">
        <f t="shared" si="652"/>
        <v>06539003</v>
      </c>
      <c r="D2934" t="str">
        <f t="shared" si="653"/>
        <v>813</v>
      </c>
      <c r="E2934" t="str">
        <f t="shared" si="647"/>
        <v>89301171</v>
      </c>
      <c r="F2934" t="str">
        <f t="shared" si="648"/>
        <v>0157036154</v>
      </c>
      <c r="G2934" s="1">
        <v>44610</v>
      </c>
      <c r="H2934" t="str">
        <f>"91439"</f>
        <v>91439</v>
      </c>
      <c r="I2934">
        <v>2</v>
      </c>
      <c r="J2934">
        <v>712</v>
      </c>
      <c r="K2934">
        <v>0</v>
      </c>
      <c r="L2934">
        <v>555.36</v>
      </c>
    </row>
    <row r="2935" spans="1:12" x14ac:dyDescent="0.25">
      <c r="A2935" t="str">
        <f t="shared" si="641"/>
        <v>89301000</v>
      </c>
      <c r="B2935" t="str">
        <f t="shared" si="646"/>
        <v>06539000</v>
      </c>
      <c r="C2935" t="str">
        <f t="shared" si="652"/>
        <v>06539003</v>
      </c>
      <c r="D2935" t="str">
        <f t="shared" si="653"/>
        <v>813</v>
      </c>
      <c r="E2935" t="str">
        <f t="shared" si="647"/>
        <v>89301171</v>
      </c>
      <c r="F2935" t="str">
        <f t="shared" si="648"/>
        <v>0157036154</v>
      </c>
      <c r="G2935" s="1">
        <v>44613</v>
      </c>
      <c r="H2935" t="str">
        <f t="shared" ref="H2935:H2944" si="654">"91413"</f>
        <v>91413</v>
      </c>
      <c r="I2935">
        <v>1</v>
      </c>
      <c r="J2935">
        <v>853</v>
      </c>
      <c r="K2935">
        <v>0</v>
      </c>
      <c r="L2935">
        <v>665.34</v>
      </c>
    </row>
    <row r="2936" spans="1:12" x14ac:dyDescent="0.25">
      <c r="A2936" t="str">
        <f t="shared" si="641"/>
        <v>89301000</v>
      </c>
      <c r="B2936" t="str">
        <f t="shared" si="646"/>
        <v>06539000</v>
      </c>
      <c r="C2936" t="str">
        <f t="shared" si="652"/>
        <v>06539003</v>
      </c>
      <c r="D2936" t="str">
        <f t="shared" si="653"/>
        <v>813</v>
      </c>
      <c r="E2936" t="str">
        <f t="shared" si="647"/>
        <v>89301171</v>
      </c>
      <c r="F2936" t="str">
        <f t="shared" si="648"/>
        <v>0157036154</v>
      </c>
      <c r="G2936" s="1">
        <v>44613</v>
      </c>
      <c r="H2936" t="str">
        <f t="shared" si="654"/>
        <v>91413</v>
      </c>
      <c r="I2936">
        <v>1</v>
      </c>
      <c r="J2936">
        <v>853</v>
      </c>
      <c r="K2936">
        <v>0</v>
      </c>
      <c r="L2936">
        <v>665.34</v>
      </c>
    </row>
    <row r="2937" spans="1:12" x14ac:dyDescent="0.25">
      <c r="A2937" t="str">
        <f t="shared" si="641"/>
        <v>89301000</v>
      </c>
      <c r="B2937" t="str">
        <f t="shared" si="646"/>
        <v>06539000</v>
      </c>
      <c r="C2937" t="str">
        <f t="shared" si="652"/>
        <v>06539003</v>
      </c>
      <c r="D2937" t="str">
        <f t="shared" si="653"/>
        <v>813</v>
      </c>
      <c r="E2937" t="str">
        <f t="shared" si="647"/>
        <v>89301171</v>
      </c>
      <c r="F2937" t="str">
        <f t="shared" si="648"/>
        <v>0157036154</v>
      </c>
      <c r="G2937" s="1">
        <v>44623</v>
      </c>
      <c r="H2937" t="str">
        <f t="shared" si="654"/>
        <v>91413</v>
      </c>
      <c r="I2937">
        <v>1</v>
      </c>
      <c r="J2937">
        <v>853</v>
      </c>
      <c r="K2937">
        <v>0</v>
      </c>
      <c r="L2937">
        <v>665.34</v>
      </c>
    </row>
    <row r="2938" spans="1:12" x14ac:dyDescent="0.25">
      <c r="A2938" t="str">
        <f t="shared" si="641"/>
        <v>89301000</v>
      </c>
      <c r="B2938" t="str">
        <f t="shared" si="646"/>
        <v>06539000</v>
      </c>
      <c r="C2938" t="str">
        <f t="shared" si="652"/>
        <v>06539003</v>
      </c>
      <c r="D2938" t="str">
        <f t="shared" si="653"/>
        <v>813</v>
      </c>
      <c r="E2938" t="str">
        <f t="shared" si="647"/>
        <v>89301171</v>
      </c>
      <c r="F2938" t="str">
        <f t="shared" si="648"/>
        <v>0157036154</v>
      </c>
      <c r="G2938" s="1">
        <v>44623</v>
      </c>
      <c r="H2938" t="str">
        <f t="shared" si="654"/>
        <v>91413</v>
      </c>
      <c r="I2938">
        <v>1</v>
      </c>
      <c r="J2938">
        <v>853</v>
      </c>
      <c r="K2938">
        <v>0</v>
      </c>
      <c r="L2938">
        <v>665.34</v>
      </c>
    </row>
    <row r="2939" spans="1:12" x14ac:dyDescent="0.25">
      <c r="A2939" t="str">
        <f t="shared" si="641"/>
        <v>89301000</v>
      </c>
      <c r="B2939" t="str">
        <f t="shared" si="646"/>
        <v>06539000</v>
      </c>
      <c r="C2939" t="str">
        <f t="shared" si="652"/>
        <v>06539003</v>
      </c>
      <c r="D2939" t="str">
        <f t="shared" si="653"/>
        <v>813</v>
      </c>
      <c r="E2939" t="str">
        <f t="shared" si="647"/>
        <v>89301171</v>
      </c>
      <c r="F2939" t="str">
        <f t="shared" si="648"/>
        <v>0157036154</v>
      </c>
      <c r="G2939" s="1">
        <v>44622</v>
      </c>
      <c r="H2939" t="str">
        <f t="shared" si="654"/>
        <v>91413</v>
      </c>
      <c r="I2939">
        <v>1</v>
      </c>
      <c r="J2939">
        <v>853</v>
      </c>
      <c r="K2939">
        <v>0</v>
      </c>
      <c r="L2939">
        <v>665.34</v>
      </c>
    </row>
    <row r="2940" spans="1:12" x14ac:dyDescent="0.25">
      <c r="A2940" t="str">
        <f t="shared" si="641"/>
        <v>89301000</v>
      </c>
      <c r="B2940" t="str">
        <f t="shared" si="646"/>
        <v>06539000</v>
      </c>
      <c r="C2940" t="str">
        <f t="shared" si="652"/>
        <v>06539003</v>
      </c>
      <c r="D2940" t="str">
        <f t="shared" si="653"/>
        <v>813</v>
      </c>
      <c r="E2940" t="str">
        <f t="shared" si="647"/>
        <v>89301171</v>
      </c>
      <c r="F2940" t="str">
        <f t="shared" si="648"/>
        <v>0157036154</v>
      </c>
      <c r="G2940" s="1">
        <v>44622</v>
      </c>
      <c r="H2940" t="str">
        <f t="shared" si="654"/>
        <v>91413</v>
      </c>
      <c r="I2940">
        <v>1</v>
      </c>
      <c r="J2940">
        <v>853</v>
      </c>
      <c r="K2940">
        <v>0</v>
      </c>
      <c r="L2940">
        <v>665.34</v>
      </c>
    </row>
    <row r="2941" spans="1:12" x14ac:dyDescent="0.25">
      <c r="A2941" t="str">
        <f t="shared" si="641"/>
        <v>89301000</v>
      </c>
      <c r="B2941" t="str">
        <f t="shared" si="646"/>
        <v>06539000</v>
      </c>
      <c r="C2941" t="str">
        <f t="shared" si="652"/>
        <v>06539003</v>
      </c>
      <c r="D2941" t="str">
        <f t="shared" si="653"/>
        <v>813</v>
      </c>
      <c r="E2941" t="str">
        <f t="shared" si="647"/>
        <v>89301171</v>
      </c>
      <c r="F2941" t="str">
        <f t="shared" si="648"/>
        <v>0157036154</v>
      </c>
      <c r="G2941" s="1">
        <v>44623</v>
      </c>
      <c r="H2941" t="str">
        <f t="shared" si="654"/>
        <v>91413</v>
      </c>
      <c r="I2941">
        <v>1</v>
      </c>
      <c r="J2941">
        <v>853</v>
      </c>
      <c r="K2941">
        <v>0</v>
      </c>
      <c r="L2941">
        <v>665.34</v>
      </c>
    </row>
    <row r="2942" spans="1:12" x14ac:dyDescent="0.25">
      <c r="A2942" t="str">
        <f t="shared" si="641"/>
        <v>89301000</v>
      </c>
      <c r="B2942" t="str">
        <f t="shared" si="646"/>
        <v>06539000</v>
      </c>
      <c r="C2942" t="str">
        <f t="shared" si="652"/>
        <v>06539003</v>
      </c>
      <c r="D2942" t="str">
        <f t="shared" si="653"/>
        <v>813</v>
      </c>
      <c r="E2942" t="str">
        <f t="shared" si="647"/>
        <v>89301171</v>
      </c>
      <c r="F2942" t="str">
        <f t="shared" si="648"/>
        <v>0157036154</v>
      </c>
      <c r="G2942" s="1">
        <v>44623</v>
      </c>
      <c r="H2942" t="str">
        <f t="shared" si="654"/>
        <v>91413</v>
      </c>
      <c r="I2942">
        <v>1</v>
      </c>
      <c r="J2942">
        <v>853</v>
      </c>
      <c r="K2942">
        <v>0</v>
      </c>
      <c r="L2942">
        <v>665.34</v>
      </c>
    </row>
    <row r="2943" spans="1:12" x14ac:dyDescent="0.25">
      <c r="A2943" t="str">
        <f t="shared" si="641"/>
        <v>89301000</v>
      </c>
      <c r="B2943" t="str">
        <f t="shared" si="646"/>
        <v>06539000</v>
      </c>
      <c r="C2943" t="str">
        <f t="shared" si="652"/>
        <v>06539003</v>
      </c>
      <c r="D2943" t="str">
        <f t="shared" si="653"/>
        <v>813</v>
      </c>
      <c r="E2943" t="str">
        <f t="shared" si="647"/>
        <v>89301171</v>
      </c>
      <c r="F2943" t="str">
        <f t="shared" si="648"/>
        <v>0157036154</v>
      </c>
      <c r="G2943" s="1">
        <v>44623</v>
      </c>
      <c r="H2943" t="str">
        <f t="shared" si="654"/>
        <v>91413</v>
      </c>
      <c r="I2943">
        <v>1</v>
      </c>
      <c r="J2943">
        <v>853</v>
      </c>
      <c r="K2943">
        <v>0</v>
      </c>
      <c r="L2943">
        <v>665.34</v>
      </c>
    </row>
    <row r="2944" spans="1:12" x14ac:dyDescent="0.25">
      <c r="A2944" t="str">
        <f t="shared" si="641"/>
        <v>89301000</v>
      </c>
      <c r="B2944" t="str">
        <f t="shared" si="646"/>
        <v>06539000</v>
      </c>
      <c r="C2944" t="str">
        <f t="shared" si="652"/>
        <v>06539003</v>
      </c>
      <c r="D2944" t="str">
        <f t="shared" si="653"/>
        <v>813</v>
      </c>
      <c r="E2944" t="str">
        <f t="shared" si="647"/>
        <v>89301171</v>
      </c>
      <c r="F2944" t="str">
        <f t="shared" si="648"/>
        <v>0157036154</v>
      </c>
      <c r="G2944" s="1">
        <v>44623</v>
      </c>
      <c r="H2944" t="str">
        <f t="shared" si="654"/>
        <v>91413</v>
      </c>
      <c r="I2944">
        <v>1</v>
      </c>
      <c r="J2944">
        <v>853</v>
      </c>
      <c r="K2944">
        <v>0</v>
      </c>
      <c r="L2944">
        <v>665.34</v>
      </c>
    </row>
    <row r="2945" spans="1:12" x14ac:dyDescent="0.25">
      <c r="A2945" t="str">
        <f t="shared" si="641"/>
        <v>89301000</v>
      </c>
      <c r="B2945" t="str">
        <f t="shared" si="646"/>
        <v>06539000</v>
      </c>
      <c r="C2945" t="str">
        <f t="shared" si="652"/>
        <v>06539003</v>
      </c>
      <c r="D2945" t="str">
        <f t="shared" si="653"/>
        <v>813</v>
      </c>
      <c r="E2945" t="str">
        <f t="shared" si="647"/>
        <v>89301171</v>
      </c>
      <c r="F2945" t="str">
        <f t="shared" si="648"/>
        <v>0157036154</v>
      </c>
      <c r="G2945" s="1">
        <v>44610</v>
      </c>
      <c r="H2945" t="str">
        <f t="shared" ref="H2945:H2951" si="655">"91197"</f>
        <v>91197</v>
      </c>
      <c r="I2945">
        <v>1</v>
      </c>
      <c r="J2945">
        <v>1046</v>
      </c>
      <c r="K2945">
        <v>0</v>
      </c>
      <c r="L2945">
        <v>815.88</v>
      </c>
    </row>
    <row r="2946" spans="1:12" x14ac:dyDescent="0.25">
      <c r="A2946" t="str">
        <f t="shared" ref="A2946:A3009" si="656">"89301000"</f>
        <v>89301000</v>
      </c>
      <c r="B2946" t="str">
        <f t="shared" si="646"/>
        <v>06539000</v>
      </c>
      <c r="C2946" t="str">
        <f t="shared" si="652"/>
        <v>06539003</v>
      </c>
      <c r="D2946" t="str">
        <f t="shared" si="653"/>
        <v>813</v>
      </c>
      <c r="E2946" t="str">
        <f t="shared" si="647"/>
        <v>89301171</v>
      </c>
      <c r="F2946" t="str">
        <f t="shared" si="648"/>
        <v>0157036154</v>
      </c>
      <c r="G2946" s="1">
        <v>44613</v>
      </c>
      <c r="H2946" t="str">
        <f t="shared" si="655"/>
        <v>91197</v>
      </c>
      <c r="I2946">
        <v>1</v>
      </c>
      <c r="J2946">
        <v>1046</v>
      </c>
      <c r="K2946">
        <v>0</v>
      </c>
      <c r="L2946">
        <v>815.88</v>
      </c>
    </row>
    <row r="2947" spans="1:12" x14ac:dyDescent="0.25">
      <c r="A2947" t="str">
        <f t="shared" si="656"/>
        <v>89301000</v>
      </c>
      <c r="B2947" t="str">
        <f t="shared" si="646"/>
        <v>06539000</v>
      </c>
      <c r="C2947" t="str">
        <f t="shared" si="652"/>
        <v>06539003</v>
      </c>
      <c r="D2947" t="str">
        <f t="shared" si="653"/>
        <v>813</v>
      </c>
      <c r="E2947" t="str">
        <f t="shared" si="647"/>
        <v>89301171</v>
      </c>
      <c r="F2947" t="str">
        <f t="shared" si="648"/>
        <v>0157036154</v>
      </c>
      <c r="G2947" s="1">
        <v>44613</v>
      </c>
      <c r="H2947" t="str">
        <f t="shared" si="655"/>
        <v>91197</v>
      </c>
      <c r="I2947">
        <v>1</v>
      </c>
      <c r="J2947">
        <v>1046</v>
      </c>
      <c r="K2947">
        <v>0</v>
      </c>
      <c r="L2947">
        <v>815.88</v>
      </c>
    </row>
    <row r="2948" spans="1:12" x14ac:dyDescent="0.25">
      <c r="A2948" t="str">
        <f t="shared" si="656"/>
        <v>89301000</v>
      </c>
      <c r="B2948" t="str">
        <f t="shared" si="646"/>
        <v>06539000</v>
      </c>
      <c r="C2948" t="str">
        <f t="shared" si="652"/>
        <v>06539003</v>
      </c>
      <c r="D2948" t="str">
        <f t="shared" si="653"/>
        <v>813</v>
      </c>
      <c r="E2948" t="str">
        <f t="shared" si="647"/>
        <v>89301171</v>
      </c>
      <c r="F2948" t="str">
        <f t="shared" si="648"/>
        <v>0157036154</v>
      </c>
      <c r="G2948" s="1">
        <v>44612</v>
      </c>
      <c r="H2948" t="str">
        <f t="shared" si="655"/>
        <v>91197</v>
      </c>
      <c r="I2948">
        <v>1</v>
      </c>
      <c r="J2948">
        <v>1046</v>
      </c>
      <c r="K2948">
        <v>0</v>
      </c>
      <c r="L2948">
        <v>815.88</v>
      </c>
    </row>
    <row r="2949" spans="1:12" x14ac:dyDescent="0.25">
      <c r="A2949" t="str">
        <f t="shared" si="656"/>
        <v>89301000</v>
      </c>
      <c r="B2949" t="str">
        <f t="shared" si="646"/>
        <v>06539000</v>
      </c>
      <c r="C2949" t="str">
        <f t="shared" si="652"/>
        <v>06539003</v>
      </c>
      <c r="D2949" t="str">
        <f t="shared" si="653"/>
        <v>813</v>
      </c>
      <c r="E2949" t="str">
        <f t="shared" si="647"/>
        <v>89301171</v>
      </c>
      <c r="F2949" t="str">
        <f t="shared" si="648"/>
        <v>0157036154</v>
      </c>
      <c r="G2949" s="1">
        <v>44612</v>
      </c>
      <c r="H2949" t="str">
        <f t="shared" si="655"/>
        <v>91197</v>
      </c>
      <c r="I2949">
        <v>1</v>
      </c>
      <c r="J2949">
        <v>1046</v>
      </c>
      <c r="K2949">
        <v>0</v>
      </c>
      <c r="L2949">
        <v>815.88</v>
      </c>
    </row>
    <row r="2950" spans="1:12" x14ac:dyDescent="0.25">
      <c r="A2950" t="str">
        <f t="shared" si="656"/>
        <v>89301000</v>
      </c>
      <c r="B2950" t="str">
        <f t="shared" si="646"/>
        <v>06539000</v>
      </c>
      <c r="C2950" t="str">
        <f t="shared" si="652"/>
        <v>06539003</v>
      </c>
      <c r="D2950" t="str">
        <f t="shared" si="653"/>
        <v>813</v>
      </c>
      <c r="E2950" t="str">
        <f t="shared" si="647"/>
        <v>89301171</v>
      </c>
      <c r="F2950" t="str">
        <f t="shared" si="648"/>
        <v>0157036154</v>
      </c>
      <c r="G2950" s="1">
        <v>44611</v>
      </c>
      <c r="H2950" t="str">
        <f t="shared" si="655"/>
        <v>91197</v>
      </c>
      <c r="I2950">
        <v>1</v>
      </c>
      <c r="J2950">
        <v>1046</v>
      </c>
      <c r="K2950">
        <v>0</v>
      </c>
      <c r="L2950">
        <v>815.88</v>
      </c>
    </row>
    <row r="2951" spans="1:12" x14ac:dyDescent="0.25">
      <c r="A2951" t="str">
        <f t="shared" si="656"/>
        <v>89301000</v>
      </c>
      <c r="B2951" t="str">
        <f t="shared" si="646"/>
        <v>06539000</v>
      </c>
      <c r="C2951" t="str">
        <f t="shared" si="652"/>
        <v>06539003</v>
      </c>
      <c r="D2951" t="str">
        <f t="shared" si="653"/>
        <v>813</v>
      </c>
      <c r="E2951" t="str">
        <f t="shared" si="647"/>
        <v>89301171</v>
      </c>
      <c r="F2951" t="str">
        <f t="shared" si="648"/>
        <v>0157036154</v>
      </c>
      <c r="G2951" s="1">
        <v>44611</v>
      </c>
      <c r="H2951" t="str">
        <f t="shared" si="655"/>
        <v>91197</v>
      </c>
      <c r="I2951">
        <v>1</v>
      </c>
      <c r="J2951">
        <v>1046</v>
      </c>
      <c r="K2951">
        <v>0</v>
      </c>
      <c r="L2951">
        <v>815.88</v>
      </c>
    </row>
    <row r="2952" spans="1:12" x14ac:dyDescent="0.25">
      <c r="A2952" t="str">
        <f t="shared" si="656"/>
        <v>89301000</v>
      </c>
      <c r="B2952" t="str">
        <f t="shared" si="646"/>
        <v>06539000</v>
      </c>
      <c r="C2952" t="str">
        <f t="shared" si="652"/>
        <v>06539003</v>
      </c>
      <c r="D2952" t="str">
        <f t="shared" si="653"/>
        <v>813</v>
      </c>
      <c r="E2952" t="str">
        <f t="shared" si="647"/>
        <v>89301171</v>
      </c>
      <c r="F2952" t="str">
        <f t="shared" si="648"/>
        <v>0157036154</v>
      </c>
      <c r="G2952" s="1">
        <v>44614</v>
      </c>
      <c r="H2952" t="str">
        <f>"91329"</f>
        <v>91329</v>
      </c>
      <c r="I2952">
        <v>2</v>
      </c>
      <c r="J2952">
        <v>428</v>
      </c>
      <c r="K2952">
        <v>0</v>
      </c>
      <c r="L2952">
        <v>333.84</v>
      </c>
    </row>
    <row r="2953" spans="1:12" x14ac:dyDescent="0.25">
      <c r="A2953" t="str">
        <f t="shared" si="656"/>
        <v>89301000</v>
      </c>
      <c r="B2953" t="str">
        <f t="shared" si="646"/>
        <v>06539000</v>
      </c>
      <c r="C2953" t="str">
        <f t="shared" si="652"/>
        <v>06539003</v>
      </c>
      <c r="D2953" t="str">
        <f t="shared" si="653"/>
        <v>813</v>
      </c>
      <c r="E2953" t="str">
        <f t="shared" si="647"/>
        <v>89301171</v>
      </c>
      <c r="F2953" t="str">
        <f t="shared" si="648"/>
        <v>0157036154</v>
      </c>
      <c r="G2953" s="1">
        <v>44614</v>
      </c>
      <c r="H2953" t="str">
        <f>"91329"</f>
        <v>91329</v>
      </c>
      <c r="I2953">
        <v>2</v>
      </c>
      <c r="J2953">
        <v>428</v>
      </c>
      <c r="K2953">
        <v>0</v>
      </c>
      <c r="L2953">
        <v>333.84</v>
      </c>
    </row>
    <row r="2954" spans="1:12" x14ac:dyDescent="0.25">
      <c r="A2954" t="str">
        <f t="shared" si="656"/>
        <v>89301000</v>
      </c>
      <c r="B2954" t="str">
        <f t="shared" si="646"/>
        <v>06539000</v>
      </c>
      <c r="C2954" t="str">
        <f t="shared" si="652"/>
        <v>06539003</v>
      </c>
      <c r="D2954" t="str">
        <f t="shared" si="653"/>
        <v>813</v>
      </c>
      <c r="E2954" t="str">
        <f t="shared" si="647"/>
        <v>89301171</v>
      </c>
      <c r="F2954" t="str">
        <f t="shared" si="648"/>
        <v>0157036154</v>
      </c>
      <c r="G2954" s="1">
        <v>44614</v>
      </c>
      <c r="H2954" t="str">
        <f>"91329"</f>
        <v>91329</v>
      </c>
      <c r="I2954">
        <v>2</v>
      </c>
      <c r="J2954">
        <v>428</v>
      </c>
      <c r="K2954">
        <v>0</v>
      </c>
      <c r="L2954">
        <v>333.84</v>
      </c>
    </row>
    <row r="2955" spans="1:12" x14ac:dyDescent="0.25">
      <c r="A2955" t="str">
        <f t="shared" si="656"/>
        <v>89301000</v>
      </c>
      <c r="B2955" t="str">
        <f t="shared" si="646"/>
        <v>06539000</v>
      </c>
      <c r="C2955" t="str">
        <f t="shared" si="652"/>
        <v>06539003</v>
      </c>
      <c r="D2955" t="str">
        <f t="shared" si="653"/>
        <v>813</v>
      </c>
      <c r="E2955" t="str">
        <f t="shared" si="647"/>
        <v>89301171</v>
      </c>
      <c r="F2955" t="str">
        <f t="shared" si="648"/>
        <v>0157036154</v>
      </c>
      <c r="G2955" s="1">
        <v>44614</v>
      </c>
      <c r="H2955" t="str">
        <f>"91329"</f>
        <v>91329</v>
      </c>
      <c r="I2955">
        <v>2</v>
      </c>
      <c r="J2955">
        <v>428</v>
      </c>
      <c r="K2955">
        <v>0</v>
      </c>
      <c r="L2955">
        <v>333.84</v>
      </c>
    </row>
    <row r="2956" spans="1:12" x14ac:dyDescent="0.25">
      <c r="A2956" t="str">
        <f t="shared" si="656"/>
        <v>89301000</v>
      </c>
      <c r="B2956" t="str">
        <f t="shared" si="646"/>
        <v>06539000</v>
      </c>
      <c r="C2956" t="str">
        <f t="shared" si="652"/>
        <v>06539003</v>
      </c>
      <c r="D2956" t="str">
        <f t="shared" si="653"/>
        <v>813</v>
      </c>
      <c r="E2956" t="str">
        <f t="shared" si="647"/>
        <v>89301171</v>
      </c>
      <c r="F2956" t="str">
        <f t="shared" si="648"/>
        <v>0157036154</v>
      </c>
      <c r="G2956" s="1">
        <v>44610</v>
      </c>
      <c r="H2956" t="str">
        <f>"91129"</f>
        <v>91129</v>
      </c>
      <c r="I2956">
        <v>1</v>
      </c>
      <c r="J2956">
        <v>174</v>
      </c>
      <c r="K2956">
        <v>0</v>
      </c>
      <c r="L2956">
        <v>135.72</v>
      </c>
    </row>
    <row r="2957" spans="1:12" x14ac:dyDescent="0.25">
      <c r="A2957" t="str">
        <f t="shared" si="656"/>
        <v>89301000</v>
      </c>
      <c r="B2957" t="str">
        <f t="shared" si="646"/>
        <v>06539000</v>
      </c>
      <c r="C2957" t="str">
        <f t="shared" si="652"/>
        <v>06539003</v>
      </c>
      <c r="D2957" t="str">
        <f t="shared" si="653"/>
        <v>813</v>
      </c>
      <c r="E2957" t="str">
        <f t="shared" si="647"/>
        <v>89301171</v>
      </c>
      <c r="F2957" t="str">
        <f t="shared" si="648"/>
        <v>0157036154</v>
      </c>
      <c r="G2957" s="1">
        <v>44610</v>
      </c>
      <c r="H2957" t="str">
        <f>"91131"</f>
        <v>91131</v>
      </c>
      <c r="I2957">
        <v>1</v>
      </c>
      <c r="J2957">
        <v>171</v>
      </c>
      <c r="K2957">
        <v>0</v>
      </c>
      <c r="L2957">
        <v>133.38</v>
      </c>
    </row>
    <row r="2958" spans="1:12" x14ac:dyDescent="0.25">
      <c r="A2958" t="str">
        <f t="shared" si="656"/>
        <v>89301000</v>
      </c>
      <c r="B2958" t="str">
        <f t="shared" si="646"/>
        <v>06539000</v>
      </c>
      <c r="C2958" t="str">
        <f t="shared" si="652"/>
        <v>06539003</v>
      </c>
      <c r="D2958" t="str">
        <f t="shared" si="653"/>
        <v>813</v>
      </c>
      <c r="E2958" t="str">
        <f t="shared" si="647"/>
        <v>89301171</v>
      </c>
      <c r="F2958" t="str">
        <f t="shared" si="648"/>
        <v>0157036154</v>
      </c>
      <c r="G2958" s="1">
        <v>44610</v>
      </c>
      <c r="H2958" t="str">
        <f>"91133"</f>
        <v>91133</v>
      </c>
      <c r="I2958">
        <v>1</v>
      </c>
      <c r="J2958">
        <v>176</v>
      </c>
      <c r="K2958">
        <v>0</v>
      </c>
      <c r="L2958">
        <v>137.28</v>
      </c>
    </row>
    <row r="2959" spans="1:12" x14ac:dyDescent="0.25">
      <c r="A2959" t="str">
        <f t="shared" si="656"/>
        <v>89301000</v>
      </c>
      <c r="B2959" t="str">
        <f t="shared" si="646"/>
        <v>06539000</v>
      </c>
      <c r="C2959" t="str">
        <f t="shared" si="652"/>
        <v>06539003</v>
      </c>
      <c r="D2959" t="str">
        <f t="shared" si="653"/>
        <v>813</v>
      </c>
      <c r="E2959" t="str">
        <f t="shared" si="647"/>
        <v>89301171</v>
      </c>
      <c r="F2959" t="str">
        <f t="shared" si="648"/>
        <v>0157036154</v>
      </c>
      <c r="G2959" s="1">
        <v>44610</v>
      </c>
      <c r="H2959" t="str">
        <f>"91171"</f>
        <v>91171</v>
      </c>
      <c r="I2959">
        <v>1</v>
      </c>
      <c r="J2959">
        <v>360</v>
      </c>
      <c r="K2959">
        <v>0</v>
      </c>
      <c r="L2959">
        <v>280.8</v>
      </c>
    </row>
    <row r="2960" spans="1:12" x14ac:dyDescent="0.25">
      <c r="A2960" t="str">
        <f t="shared" si="656"/>
        <v>89301000</v>
      </c>
      <c r="B2960" t="str">
        <f t="shared" si="646"/>
        <v>06539000</v>
      </c>
      <c r="C2960" t="str">
        <f t="shared" si="652"/>
        <v>06539003</v>
      </c>
      <c r="D2960" t="str">
        <f t="shared" si="653"/>
        <v>813</v>
      </c>
      <c r="E2960" t="str">
        <f t="shared" si="647"/>
        <v>89301171</v>
      </c>
      <c r="F2960" t="str">
        <f t="shared" si="648"/>
        <v>0157036154</v>
      </c>
      <c r="G2960" s="1">
        <v>44610</v>
      </c>
      <c r="H2960" t="str">
        <f>"91173"</f>
        <v>91173</v>
      </c>
      <c r="I2960">
        <v>1</v>
      </c>
      <c r="J2960">
        <v>335</v>
      </c>
      <c r="K2960">
        <v>0</v>
      </c>
      <c r="L2960">
        <v>261.3</v>
      </c>
    </row>
    <row r="2961" spans="1:12" x14ac:dyDescent="0.25">
      <c r="A2961" t="str">
        <f t="shared" si="656"/>
        <v>89301000</v>
      </c>
      <c r="B2961" t="str">
        <f t="shared" si="646"/>
        <v>06539000</v>
      </c>
      <c r="C2961" t="str">
        <f t="shared" si="652"/>
        <v>06539003</v>
      </c>
      <c r="D2961" t="str">
        <f t="shared" si="653"/>
        <v>813</v>
      </c>
      <c r="E2961" t="str">
        <f t="shared" si="647"/>
        <v>89301171</v>
      </c>
      <c r="F2961" t="str">
        <f t="shared" si="648"/>
        <v>0157036154</v>
      </c>
      <c r="G2961" s="1">
        <v>44610</v>
      </c>
      <c r="H2961" t="str">
        <f>"91175"</f>
        <v>91175</v>
      </c>
      <c r="I2961">
        <v>1</v>
      </c>
      <c r="J2961">
        <v>360</v>
      </c>
      <c r="K2961">
        <v>0</v>
      </c>
      <c r="L2961">
        <v>280.8</v>
      </c>
    </row>
    <row r="2962" spans="1:12" x14ac:dyDescent="0.25">
      <c r="A2962" t="str">
        <f t="shared" si="656"/>
        <v>89301000</v>
      </c>
      <c r="B2962" t="str">
        <f t="shared" si="646"/>
        <v>06539000</v>
      </c>
      <c r="C2962" t="str">
        <f t="shared" si="652"/>
        <v>06539003</v>
      </c>
      <c r="D2962" t="str">
        <f t="shared" si="653"/>
        <v>813</v>
      </c>
      <c r="E2962" t="str">
        <f t="shared" si="647"/>
        <v>89301171</v>
      </c>
      <c r="F2962" t="str">
        <f t="shared" si="648"/>
        <v>0157036154</v>
      </c>
      <c r="G2962" s="1">
        <v>44611</v>
      </c>
      <c r="H2962" t="str">
        <f>"91167"</f>
        <v>91167</v>
      </c>
      <c r="I2962">
        <v>1</v>
      </c>
      <c r="J2962">
        <v>425</v>
      </c>
      <c r="K2962">
        <v>0</v>
      </c>
      <c r="L2962">
        <v>331.5</v>
      </c>
    </row>
    <row r="2963" spans="1:12" x14ac:dyDescent="0.25">
      <c r="A2963" t="str">
        <f t="shared" si="656"/>
        <v>89301000</v>
      </c>
      <c r="B2963" t="str">
        <f t="shared" si="646"/>
        <v>06539000</v>
      </c>
      <c r="C2963" t="str">
        <f t="shared" si="652"/>
        <v>06539003</v>
      </c>
      <c r="D2963" t="str">
        <f t="shared" si="653"/>
        <v>813</v>
      </c>
      <c r="E2963" t="str">
        <f t="shared" si="647"/>
        <v>89301171</v>
      </c>
      <c r="F2963" t="str">
        <f t="shared" si="648"/>
        <v>0157036154</v>
      </c>
      <c r="G2963" s="1">
        <v>44611</v>
      </c>
      <c r="H2963" t="str">
        <f>"91169"</f>
        <v>91169</v>
      </c>
      <c r="I2963">
        <v>1</v>
      </c>
      <c r="J2963">
        <v>425</v>
      </c>
      <c r="K2963">
        <v>0</v>
      </c>
      <c r="L2963">
        <v>331.5</v>
      </c>
    </row>
    <row r="2964" spans="1:12" x14ac:dyDescent="0.25">
      <c r="A2964" t="str">
        <f t="shared" si="656"/>
        <v>89301000</v>
      </c>
      <c r="B2964" t="str">
        <f t="shared" si="646"/>
        <v>06539000</v>
      </c>
      <c r="C2964" t="str">
        <f t="shared" si="652"/>
        <v>06539003</v>
      </c>
      <c r="D2964" t="str">
        <f t="shared" si="653"/>
        <v>813</v>
      </c>
      <c r="E2964" t="str">
        <f t="shared" si="647"/>
        <v>89301171</v>
      </c>
      <c r="F2964" t="str">
        <f t="shared" si="648"/>
        <v>0157036154</v>
      </c>
      <c r="G2964" s="1">
        <v>44610</v>
      </c>
      <c r="H2964" t="str">
        <f>"91167"</f>
        <v>91167</v>
      </c>
      <c r="I2964">
        <v>1</v>
      </c>
      <c r="J2964">
        <v>425</v>
      </c>
      <c r="K2964">
        <v>0</v>
      </c>
      <c r="L2964">
        <v>331.5</v>
      </c>
    </row>
    <row r="2965" spans="1:12" x14ac:dyDescent="0.25">
      <c r="A2965" t="str">
        <f t="shared" si="656"/>
        <v>89301000</v>
      </c>
      <c r="B2965" t="str">
        <f t="shared" si="646"/>
        <v>06539000</v>
      </c>
      <c r="C2965" t="str">
        <f t="shared" si="652"/>
        <v>06539003</v>
      </c>
      <c r="D2965" t="str">
        <f t="shared" si="653"/>
        <v>813</v>
      </c>
      <c r="E2965" t="str">
        <f t="shared" si="647"/>
        <v>89301171</v>
      </c>
      <c r="F2965" t="str">
        <f t="shared" si="648"/>
        <v>0157036154</v>
      </c>
      <c r="G2965" s="1">
        <v>44610</v>
      </c>
      <c r="H2965" t="str">
        <f>"91169"</f>
        <v>91169</v>
      </c>
      <c r="I2965">
        <v>1</v>
      </c>
      <c r="J2965">
        <v>425</v>
      </c>
      <c r="K2965">
        <v>0</v>
      </c>
      <c r="L2965">
        <v>331.5</v>
      </c>
    </row>
    <row r="2966" spans="1:12" x14ac:dyDescent="0.25">
      <c r="A2966" t="str">
        <f t="shared" si="656"/>
        <v>89301000</v>
      </c>
      <c r="B2966" t="str">
        <f t="shared" si="646"/>
        <v>06539000</v>
      </c>
      <c r="C2966" t="str">
        <f t="shared" si="652"/>
        <v>06539003</v>
      </c>
      <c r="D2966" t="str">
        <f t="shared" si="653"/>
        <v>813</v>
      </c>
      <c r="E2966" t="str">
        <f t="shared" si="647"/>
        <v>89301171</v>
      </c>
      <c r="F2966" t="str">
        <f t="shared" si="648"/>
        <v>0157036154</v>
      </c>
      <c r="G2966" s="1">
        <v>44610</v>
      </c>
      <c r="H2966" t="str">
        <f>"91475"</f>
        <v>91475</v>
      </c>
      <c r="I2966">
        <v>1</v>
      </c>
      <c r="J2966">
        <v>206</v>
      </c>
      <c r="K2966">
        <v>0</v>
      </c>
      <c r="L2966">
        <v>160.68</v>
      </c>
    </row>
    <row r="2967" spans="1:12" x14ac:dyDescent="0.25">
      <c r="A2967" t="str">
        <f t="shared" si="656"/>
        <v>89301000</v>
      </c>
      <c r="B2967" t="str">
        <f t="shared" si="646"/>
        <v>06539000</v>
      </c>
      <c r="C2967" t="str">
        <f>"06539001"</f>
        <v>06539001</v>
      </c>
      <c r="D2967" t="str">
        <f>"801"</f>
        <v>801</v>
      </c>
      <c r="E2967" t="str">
        <f t="shared" si="647"/>
        <v>89301171</v>
      </c>
      <c r="F2967" t="str">
        <f t="shared" ref="F2967:F3000" si="657">"440426442"</f>
        <v>440426442</v>
      </c>
      <c r="G2967" s="1">
        <v>44617</v>
      </c>
      <c r="H2967" t="str">
        <f>"81329"</f>
        <v>81329</v>
      </c>
      <c r="I2967">
        <v>1</v>
      </c>
      <c r="J2967">
        <v>16</v>
      </c>
      <c r="K2967">
        <v>0</v>
      </c>
      <c r="L2967">
        <v>12.48</v>
      </c>
    </row>
    <row r="2968" spans="1:12" x14ac:dyDescent="0.25">
      <c r="A2968" t="str">
        <f t="shared" si="656"/>
        <v>89301000</v>
      </c>
      <c r="B2968" t="str">
        <f t="shared" ref="B2968:B3031" si="658">"06539000"</f>
        <v>06539000</v>
      </c>
      <c r="C2968" t="str">
        <f>"06539001"</f>
        <v>06539001</v>
      </c>
      <c r="D2968" t="str">
        <f>"801"</f>
        <v>801</v>
      </c>
      <c r="E2968" t="str">
        <f t="shared" ref="E2968:E3031" si="659">"89301171"</f>
        <v>89301171</v>
      </c>
      <c r="F2968" t="str">
        <f t="shared" si="657"/>
        <v>440426442</v>
      </c>
      <c r="G2968" s="1">
        <v>44617</v>
      </c>
      <c r="H2968" t="str">
        <f>"81331"</f>
        <v>81331</v>
      </c>
      <c r="I2968">
        <v>1</v>
      </c>
      <c r="J2968">
        <v>193</v>
      </c>
      <c r="K2968">
        <v>0</v>
      </c>
      <c r="L2968">
        <v>150.54</v>
      </c>
    </row>
    <row r="2969" spans="1:12" x14ac:dyDescent="0.25">
      <c r="A2969" t="str">
        <f t="shared" si="656"/>
        <v>89301000</v>
      </c>
      <c r="B2969" t="str">
        <f t="shared" si="658"/>
        <v>06539000</v>
      </c>
      <c r="C2969" t="str">
        <f t="shared" ref="C2969:C3000" si="660">"06539003"</f>
        <v>06539003</v>
      </c>
      <c r="D2969" t="str">
        <f t="shared" ref="D2969:D3000" si="661">"813"</f>
        <v>813</v>
      </c>
      <c r="E2969" t="str">
        <f t="shared" si="659"/>
        <v>89301171</v>
      </c>
      <c r="F2969" t="str">
        <f t="shared" si="657"/>
        <v>440426442</v>
      </c>
      <c r="G2969" s="1">
        <v>44620</v>
      </c>
      <c r="H2969" t="str">
        <f>"91439"</f>
        <v>91439</v>
      </c>
      <c r="I2969">
        <v>1</v>
      </c>
      <c r="J2969">
        <v>356</v>
      </c>
      <c r="K2969">
        <v>0</v>
      </c>
      <c r="L2969">
        <v>277.68</v>
      </c>
    </row>
    <row r="2970" spans="1:12" x14ac:dyDescent="0.25">
      <c r="A2970" t="str">
        <f t="shared" si="656"/>
        <v>89301000</v>
      </c>
      <c r="B2970" t="str">
        <f t="shared" si="658"/>
        <v>06539000</v>
      </c>
      <c r="C2970" t="str">
        <f t="shared" si="660"/>
        <v>06539003</v>
      </c>
      <c r="D2970" t="str">
        <f t="shared" si="661"/>
        <v>813</v>
      </c>
      <c r="E2970" t="str">
        <f t="shared" si="659"/>
        <v>89301171</v>
      </c>
      <c r="F2970" t="str">
        <f t="shared" si="657"/>
        <v>440426442</v>
      </c>
      <c r="G2970" s="1">
        <v>44620</v>
      </c>
      <c r="H2970" t="str">
        <f>"91439"</f>
        <v>91439</v>
      </c>
      <c r="I2970">
        <v>1</v>
      </c>
      <c r="J2970">
        <v>356</v>
      </c>
      <c r="K2970">
        <v>0</v>
      </c>
      <c r="L2970">
        <v>277.68</v>
      </c>
    </row>
    <row r="2971" spans="1:12" x14ac:dyDescent="0.25">
      <c r="A2971" t="str">
        <f t="shared" si="656"/>
        <v>89301000</v>
      </c>
      <c r="B2971" t="str">
        <f t="shared" si="658"/>
        <v>06539000</v>
      </c>
      <c r="C2971" t="str">
        <f t="shared" si="660"/>
        <v>06539003</v>
      </c>
      <c r="D2971" t="str">
        <f t="shared" si="661"/>
        <v>813</v>
      </c>
      <c r="E2971" t="str">
        <f t="shared" si="659"/>
        <v>89301171</v>
      </c>
      <c r="F2971" t="str">
        <f t="shared" si="657"/>
        <v>440426442</v>
      </c>
      <c r="G2971" s="1">
        <v>44620</v>
      </c>
      <c r="H2971" t="str">
        <f>"91439"</f>
        <v>91439</v>
      </c>
      <c r="I2971">
        <v>1</v>
      </c>
      <c r="J2971">
        <v>356</v>
      </c>
      <c r="K2971">
        <v>0</v>
      </c>
      <c r="L2971">
        <v>277.68</v>
      </c>
    </row>
    <row r="2972" spans="1:12" x14ac:dyDescent="0.25">
      <c r="A2972" t="str">
        <f t="shared" si="656"/>
        <v>89301000</v>
      </c>
      <c r="B2972" t="str">
        <f t="shared" si="658"/>
        <v>06539000</v>
      </c>
      <c r="C2972" t="str">
        <f t="shared" si="660"/>
        <v>06539003</v>
      </c>
      <c r="D2972" t="str">
        <f t="shared" si="661"/>
        <v>813</v>
      </c>
      <c r="E2972" t="str">
        <f t="shared" si="659"/>
        <v>89301171</v>
      </c>
      <c r="F2972" t="str">
        <f t="shared" si="657"/>
        <v>440426442</v>
      </c>
      <c r="G2972" s="1">
        <v>44620</v>
      </c>
      <c r="H2972" t="str">
        <f>"91439"</f>
        <v>91439</v>
      </c>
      <c r="I2972">
        <v>1</v>
      </c>
      <c r="J2972">
        <v>356</v>
      </c>
      <c r="K2972">
        <v>0</v>
      </c>
      <c r="L2972">
        <v>277.68</v>
      </c>
    </row>
    <row r="2973" spans="1:12" x14ac:dyDescent="0.25">
      <c r="A2973" t="str">
        <f t="shared" si="656"/>
        <v>89301000</v>
      </c>
      <c r="B2973" t="str">
        <f t="shared" si="658"/>
        <v>06539000</v>
      </c>
      <c r="C2973" t="str">
        <f t="shared" si="660"/>
        <v>06539003</v>
      </c>
      <c r="D2973" t="str">
        <f t="shared" si="661"/>
        <v>813</v>
      </c>
      <c r="E2973" t="str">
        <f t="shared" si="659"/>
        <v>89301171</v>
      </c>
      <c r="F2973" t="str">
        <f t="shared" si="657"/>
        <v>440426442</v>
      </c>
      <c r="G2973" s="1">
        <v>44620</v>
      </c>
      <c r="H2973" t="str">
        <f>"91439"</f>
        <v>91439</v>
      </c>
      <c r="I2973">
        <v>2</v>
      </c>
      <c r="J2973">
        <v>712</v>
      </c>
      <c r="K2973">
        <v>0</v>
      </c>
      <c r="L2973">
        <v>555.36</v>
      </c>
    </row>
    <row r="2974" spans="1:12" x14ac:dyDescent="0.25">
      <c r="A2974" t="str">
        <f t="shared" si="656"/>
        <v>89301000</v>
      </c>
      <c r="B2974" t="str">
        <f t="shared" si="658"/>
        <v>06539000</v>
      </c>
      <c r="C2974" t="str">
        <f t="shared" si="660"/>
        <v>06539003</v>
      </c>
      <c r="D2974" t="str">
        <f t="shared" si="661"/>
        <v>813</v>
      </c>
      <c r="E2974" t="str">
        <f t="shared" si="659"/>
        <v>89301171</v>
      </c>
      <c r="F2974" t="str">
        <f t="shared" si="657"/>
        <v>440426442</v>
      </c>
      <c r="G2974" s="1">
        <v>44622</v>
      </c>
      <c r="H2974" t="str">
        <f t="shared" ref="H2974:H2983" si="662">"91413"</f>
        <v>91413</v>
      </c>
      <c r="I2974">
        <v>1</v>
      </c>
      <c r="J2974">
        <v>853</v>
      </c>
      <c r="K2974">
        <v>0</v>
      </c>
      <c r="L2974">
        <v>665.34</v>
      </c>
    </row>
    <row r="2975" spans="1:12" x14ac:dyDescent="0.25">
      <c r="A2975" t="str">
        <f t="shared" si="656"/>
        <v>89301000</v>
      </c>
      <c r="B2975" t="str">
        <f t="shared" si="658"/>
        <v>06539000</v>
      </c>
      <c r="C2975" t="str">
        <f t="shared" si="660"/>
        <v>06539003</v>
      </c>
      <c r="D2975" t="str">
        <f t="shared" si="661"/>
        <v>813</v>
      </c>
      <c r="E2975" t="str">
        <f t="shared" si="659"/>
        <v>89301171</v>
      </c>
      <c r="F2975" t="str">
        <f t="shared" si="657"/>
        <v>440426442</v>
      </c>
      <c r="G2975" s="1">
        <v>44622</v>
      </c>
      <c r="H2975" t="str">
        <f t="shared" si="662"/>
        <v>91413</v>
      </c>
      <c r="I2975">
        <v>1</v>
      </c>
      <c r="J2975">
        <v>853</v>
      </c>
      <c r="K2975">
        <v>0</v>
      </c>
      <c r="L2975">
        <v>665.34</v>
      </c>
    </row>
    <row r="2976" spans="1:12" x14ac:dyDescent="0.25">
      <c r="A2976" t="str">
        <f t="shared" si="656"/>
        <v>89301000</v>
      </c>
      <c r="B2976" t="str">
        <f t="shared" si="658"/>
        <v>06539000</v>
      </c>
      <c r="C2976" t="str">
        <f t="shared" si="660"/>
        <v>06539003</v>
      </c>
      <c r="D2976" t="str">
        <f t="shared" si="661"/>
        <v>813</v>
      </c>
      <c r="E2976" t="str">
        <f t="shared" si="659"/>
        <v>89301171</v>
      </c>
      <c r="F2976" t="str">
        <f t="shared" si="657"/>
        <v>440426442</v>
      </c>
      <c r="G2976" s="1">
        <v>44636</v>
      </c>
      <c r="H2976" t="str">
        <f t="shared" si="662"/>
        <v>91413</v>
      </c>
      <c r="I2976">
        <v>1</v>
      </c>
      <c r="J2976">
        <v>853</v>
      </c>
      <c r="K2976">
        <v>0</v>
      </c>
      <c r="L2976">
        <v>665.34</v>
      </c>
    </row>
    <row r="2977" spans="1:12" x14ac:dyDescent="0.25">
      <c r="A2977" t="str">
        <f t="shared" si="656"/>
        <v>89301000</v>
      </c>
      <c r="B2977" t="str">
        <f t="shared" si="658"/>
        <v>06539000</v>
      </c>
      <c r="C2977" t="str">
        <f t="shared" si="660"/>
        <v>06539003</v>
      </c>
      <c r="D2977" t="str">
        <f t="shared" si="661"/>
        <v>813</v>
      </c>
      <c r="E2977" t="str">
        <f t="shared" si="659"/>
        <v>89301171</v>
      </c>
      <c r="F2977" t="str">
        <f t="shared" si="657"/>
        <v>440426442</v>
      </c>
      <c r="G2977" s="1">
        <v>44636</v>
      </c>
      <c r="H2977" t="str">
        <f t="shared" si="662"/>
        <v>91413</v>
      </c>
      <c r="I2977">
        <v>1</v>
      </c>
      <c r="J2977">
        <v>853</v>
      </c>
      <c r="K2977">
        <v>0</v>
      </c>
      <c r="L2977">
        <v>665.34</v>
      </c>
    </row>
    <row r="2978" spans="1:12" x14ac:dyDescent="0.25">
      <c r="A2978" t="str">
        <f t="shared" si="656"/>
        <v>89301000</v>
      </c>
      <c r="B2978" t="str">
        <f t="shared" si="658"/>
        <v>06539000</v>
      </c>
      <c r="C2978" t="str">
        <f t="shared" si="660"/>
        <v>06539003</v>
      </c>
      <c r="D2978" t="str">
        <f t="shared" si="661"/>
        <v>813</v>
      </c>
      <c r="E2978" t="str">
        <f t="shared" si="659"/>
        <v>89301171</v>
      </c>
      <c r="F2978" t="str">
        <f t="shared" si="657"/>
        <v>440426442</v>
      </c>
      <c r="G2978" s="1">
        <v>44636</v>
      </c>
      <c r="H2978" t="str">
        <f t="shared" si="662"/>
        <v>91413</v>
      </c>
      <c r="I2978">
        <v>1</v>
      </c>
      <c r="J2978">
        <v>853</v>
      </c>
      <c r="K2978">
        <v>0</v>
      </c>
      <c r="L2978">
        <v>665.34</v>
      </c>
    </row>
    <row r="2979" spans="1:12" x14ac:dyDescent="0.25">
      <c r="A2979" t="str">
        <f t="shared" si="656"/>
        <v>89301000</v>
      </c>
      <c r="B2979" t="str">
        <f t="shared" si="658"/>
        <v>06539000</v>
      </c>
      <c r="C2979" t="str">
        <f t="shared" si="660"/>
        <v>06539003</v>
      </c>
      <c r="D2979" t="str">
        <f t="shared" si="661"/>
        <v>813</v>
      </c>
      <c r="E2979" t="str">
        <f t="shared" si="659"/>
        <v>89301171</v>
      </c>
      <c r="F2979" t="str">
        <f t="shared" si="657"/>
        <v>440426442</v>
      </c>
      <c r="G2979" s="1">
        <v>44636</v>
      </c>
      <c r="H2979" t="str">
        <f t="shared" si="662"/>
        <v>91413</v>
      </c>
      <c r="I2979">
        <v>1</v>
      </c>
      <c r="J2979">
        <v>853</v>
      </c>
      <c r="K2979">
        <v>0</v>
      </c>
      <c r="L2979">
        <v>665.34</v>
      </c>
    </row>
    <row r="2980" spans="1:12" x14ac:dyDescent="0.25">
      <c r="A2980" t="str">
        <f t="shared" si="656"/>
        <v>89301000</v>
      </c>
      <c r="B2980" t="str">
        <f t="shared" si="658"/>
        <v>06539000</v>
      </c>
      <c r="C2980" t="str">
        <f t="shared" si="660"/>
        <v>06539003</v>
      </c>
      <c r="D2980" t="str">
        <f t="shared" si="661"/>
        <v>813</v>
      </c>
      <c r="E2980" t="str">
        <f t="shared" si="659"/>
        <v>89301171</v>
      </c>
      <c r="F2980" t="str">
        <f t="shared" si="657"/>
        <v>440426442</v>
      </c>
      <c r="G2980" s="1">
        <v>44636</v>
      </c>
      <c r="H2980" t="str">
        <f t="shared" si="662"/>
        <v>91413</v>
      </c>
      <c r="I2980">
        <v>1</v>
      </c>
      <c r="J2980">
        <v>853</v>
      </c>
      <c r="K2980">
        <v>0</v>
      </c>
      <c r="L2980">
        <v>665.34</v>
      </c>
    </row>
    <row r="2981" spans="1:12" x14ac:dyDescent="0.25">
      <c r="A2981" t="str">
        <f t="shared" si="656"/>
        <v>89301000</v>
      </c>
      <c r="B2981" t="str">
        <f t="shared" si="658"/>
        <v>06539000</v>
      </c>
      <c r="C2981" t="str">
        <f t="shared" si="660"/>
        <v>06539003</v>
      </c>
      <c r="D2981" t="str">
        <f t="shared" si="661"/>
        <v>813</v>
      </c>
      <c r="E2981" t="str">
        <f t="shared" si="659"/>
        <v>89301171</v>
      </c>
      <c r="F2981" t="str">
        <f t="shared" si="657"/>
        <v>440426442</v>
      </c>
      <c r="G2981" s="1">
        <v>44636</v>
      </c>
      <c r="H2981" t="str">
        <f t="shared" si="662"/>
        <v>91413</v>
      </c>
      <c r="I2981">
        <v>1</v>
      </c>
      <c r="J2981">
        <v>853</v>
      </c>
      <c r="K2981">
        <v>0</v>
      </c>
      <c r="L2981">
        <v>665.34</v>
      </c>
    </row>
    <row r="2982" spans="1:12" x14ac:dyDescent="0.25">
      <c r="A2982" t="str">
        <f t="shared" si="656"/>
        <v>89301000</v>
      </c>
      <c r="B2982" t="str">
        <f t="shared" si="658"/>
        <v>06539000</v>
      </c>
      <c r="C2982" t="str">
        <f t="shared" si="660"/>
        <v>06539003</v>
      </c>
      <c r="D2982" t="str">
        <f t="shared" si="661"/>
        <v>813</v>
      </c>
      <c r="E2982" t="str">
        <f t="shared" si="659"/>
        <v>89301171</v>
      </c>
      <c r="F2982" t="str">
        <f t="shared" si="657"/>
        <v>440426442</v>
      </c>
      <c r="G2982" s="1">
        <v>44636</v>
      </c>
      <c r="H2982" t="str">
        <f t="shared" si="662"/>
        <v>91413</v>
      </c>
      <c r="I2982">
        <v>1</v>
      </c>
      <c r="J2982">
        <v>853</v>
      </c>
      <c r="K2982">
        <v>0</v>
      </c>
      <c r="L2982">
        <v>665.34</v>
      </c>
    </row>
    <row r="2983" spans="1:12" x14ac:dyDescent="0.25">
      <c r="A2983" t="str">
        <f t="shared" si="656"/>
        <v>89301000</v>
      </c>
      <c r="B2983" t="str">
        <f t="shared" si="658"/>
        <v>06539000</v>
      </c>
      <c r="C2983" t="str">
        <f t="shared" si="660"/>
        <v>06539003</v>
      </c>
      <c r="D2983" t="str">
        <f t="shared" si="661"/>
        <v>813</v>
      </c>
      <c r="E2983" t="str">
        <f t="shared" si="659"/>
        <v>89301171</v>
      </c>
      <c r="F2983" t="str">
        <f t="shared" si="657"/>
        <v>440426442</v>
      </c>
      <c r="G2983" s="1">
        <v>44636</v>
      </c>
      <c r="H2983" t="str">
        <f t="shared" si="662"/>
        <v>91413</v>
      </c>
      <c r="I2983">
        <v>1</v>
      </c>
      <c r="J2983">
        <v>853</v>
      </c>
      <c r="K2983">
        <v>0</v>
      </c>
      <c r="L2983">
        <v>665.34</v>
      </c>
    </row>
    <row r="2984" spans="1:12" x14ac:dyDescent="0.25">
      <c r="A2984" t="str">
        <f t="shared" si="656"/>
        <v>89301000</v>
      </c>
      <c r="B2984" t="str">
        <f t="shared" si="658"/>
        <v>06539000</v>
      </c>
      <c r="C2984" t="str">
        <f t="shared" si="660"/>
        <v>06539003</v>
      </c>
      <c r="D2984" t="str">
        <f t="shared" si="661"/>
        <v>813</v>
      </c>
      <c r="E2984" t="str">
        <f t="shared" si="659"/>
        <v>89301171</v>
      </c>
      <c r="F2984" t="str">
        <f t="shared" si="657"/>
        <v>440426442</v>
      </c>
      <c r="G2984" s="1">
        <v>44617</v>
      </c>
      <c r="H2984" t="str">
        <f t="shared" ref="H2984:H2989" si="663">"91197"</f>
        <v>91197</v>
      </c>
      <c r="I2984">
        <v>1</v>
      </c>
      <c r="J2984">
        <v>1046</v>
      </c>
      <c r="K2984">
        <v>0</v>
      </c>
      <c r="L2984">
        <v>815.88</v>
      </c>
    </row>
    <row r="2985" spans="1:12" x14ac:dyDescent="0.25">
      <c r="A2985" t="str">
        <f t="shared" si="656"/>
        <v>89301000</v>
      </c>
      <c r="B2985" t="str">
        <f t="shared" si="658"/>
        <v>06539000</v>
      </c>
      <c r="C2985" t="str">
        <f t="shared" si="660"/>
        <v>06539003</v>
      </c>
      <c r="D2985" t="str">
        <f t="shared" si="661"/>
        <v>813</v>
      </c>
      <c r="E2985" t="str">
        <f t="shared" si="659"/>
        <v>89301171</v>
      </c>
      <c r="F2985" t="str">
        <f t="shared" si="657"/>
        <v>440426442</v>
      </c>
      <c r="G2985" s="1">
        <v>44619</v>
      </c>
      <c r="H2985" t="str">
        <f t="shared" si="663"/>
        <v>91197</v>
      </c>
      <c r="I2985">
        <v>1</v>
      </c>
      <c r="J2985">
        <v>1046</v>
      </c>
      <c r="K2985">
        <v>0</v>
      </c>
      <c r="L2985">
        <v>815.88</v>
      </c>
    </row>
    <row r="2986" spans="1:12" x14ac:dyDescent="0.25">
      <c r="A2986" t="str">
        <f t="shared" si="656"/>
        <v>89301000</v>
      </c>
      <c r="B2986" t="str">
        <f t="shared" si="658"/>
        <v>06539000</v>
      </c>
      <c r="C2986" t="str">
        <f t="shared" si="660"/>
        <v>06539003</v>
      </c>
      <c r="D2986" t="str">
        <f t="shared" si="661"/>
        <v>813</v>
      </c>
      <c r="E2986" t="str">
        <f t="shared" si="659"/>
        <v>89301171</v>
      </c>
      <c r="F2986" t="str">
        <f t="shared" si="657"/>
        <v>440426442</v>
      </c>
      <c r="G2986" s="1">
        <v>44619</v>
      </c>
      <c r="H2986" t="str">
        <f t="shared" si="663"/>
        <v>91197</v>
      </c>
      <c r="I2986">
        <v>1</v>
      </c>
      <c r="J2986">
        <v>1046</v>
      </c>
      <c r="K2986">
        <v>0</v>
      </c>
      <c r="L2986">
        <v>815.88</v>
      </c>
    </row>
    <row r="2987" spans="1:12" x14ac:dyDescent="0.25">
      <c r="A2987" t="str">
        <f t="shared" si="656"/>
        <v>89301000</v>
      </c>
      <c r="B2987" t="str">
        <f t="shared" si="658"/>
        <v>06539000</v>
      </c>
      <c r="C2987" t="str">
        <f t="shared" si="660"/>
        <v>06539003</v>
      </c>
      <c r="D2987" t="str">
        <f t="shared" si="661"/>
        <v>813</v>
      </c>
      <c r="E2987" t="str">
        <f t="shared" si="659"/>
        <v>89301171</v>
      </c>
      <c r="F2987" t="str">
        <f t="shared" si="657"/>
        <v>440426442</v>
      </c>
      <c r="G2987" s="1">
        <v>44618</v>
      </c>
      <c r="H2987" t="str">
        <f t="shared" si="663"/>
        <v>91197</v>
      </c>
      <c r="I2987">
        <v>1</v>
      </c>
      <c r="J2987">
        <v>1046</v>
      </c>
      <c r="K2987">
        <v>0</v>
      </c>
      <c r="L2987">
        <v>815.88</v>
      </c>
    </row>
    <row r="2988" spans="1:12" x14ac:dyDescent="0.25">
      <c r="A2988" t="str">
        <f t="shared" si="656"/>
        <v>89301000</v>
      </c>
      <c r="B2988" t="str">
        <f t="shared" si="658"/>
        <v>06539000</v>
      </c>
      <c r="C2988" t="str">
        <f t="shared" si="660"/>
        <v>06539003</v>
      </c>
      <c r="D2988" t="str">
        <f t="shared" si="661"/>
        <v>813</v>
      </c>
      <c r="E2988" t="str">
        <f t="shared" si="659"/>
        <v>89301171</v>
      </c>
      <c r="F2988" t="str">
        <f t="shared" si="657"/>
        <v>440426442</v>
      </c>
      <c r="G2988" s="1">
        <v>44618</v>
      </c>
      <c r="H2988" t="str">
        <f t="shared" si="663"/>
        <v>91197</v>
      </c>
      <c r="I2988">
        <v>1</v>
      </c>
      <c r="J2988">
        <v>1046</v>
      </c>
      <c r="K2988">
        <v>0</v>
      </c>
      <c r="L2988">
        <v>815.88</v>
      </c>
    </row>
    <row r="2989" spans="1:12" x14ac:dyDescent="0.25">
      <c r="A2989" t="str">
        <f t="shared" si="656"/>
        <v>89301000</v>
      </c>
      <c r="B2989" t="str">
        <f t="shared" si="658"/>
        <v>06539000</v>
      </c>
      <c r="C2989" t="str">
        <f t="shared" si="660"/>
        <v>06539003</v>
      </c>
      <c r="D2989" t="str">
        <f t="shared" si="661"/>
        <v>813</v>
      </c>
      <c r="E2989" t="str">
        <f t="shared" si="659"/>
        <v>89301171</v>
      </c>
      <c r="F2989" t="str">
        <f t="shared" si="657"/>
        <v>440426442</v>
      </c>
      <c r="G2989" s="1">
        <v>44617</v>
      </c>
      <c r="H2989" t="str">
        <f t="shared" si="663"/>
        <v>91197</v>
      </c>
      <c r="I2989">
        <v>1</v>
      </c>
      <c r="J2989">
        <v>1046</v>
      </c>
      <c r="K2989">
        <v>0</v>
      </c>
      <c r="L2989">
        <v>815.88</v>
      </c>
    </row>
    <row r="2990" spans="1:12" x14ac:dyDescent="0.25">
      <c r="A2990" t="str">
        <f t="shared" si="656"/>
        <v>89301000</v>
      </c>
      <c r="B2990" t="str">
        <f t="shared" si="658"/>
        <v>06539000</v>
      </c>
      <c r="C2990" t="str">
        <f t="shared" si="660"/>
        <v>06539003</v>
      </c>
      <c r="D2990" t="str">
        <f t="shared" si="661"/>
        <v>813</v>
      </c>
      <c r="E2990" t="str">
        <f t="shared" si="659"/>
        <v>89301171</v>
      </c>
      <c r="F2990" t="str">
        <f t="shared" si="657"/>
        <v>440426442</v>
      </c>
      <c r="G2990" s="1">
        <v>44620</v>
      </c>
      <c r="H2990" t="str">
        <f>"91129"</f>
        <v>91129</v>
      </c>
      <c r="I2990">
        <v>1</v>
      </c>
      <c r="J2990">
        <v>174</v>
      </c>
      <c r="K2990">
        <v>0</v>
      </c>
      <c r="L2990">
        <v>135.72</v>
      </c>
    </row>
    <row r="2991" spans="1:12" x14ac:dyDescent="0.25">
      <c r="A2991" t="str">
        <f t="shared" si="656"/>
        <v>89301000</v>
      </c>
      <c r="B2991" t="str">
        <f t="shared" si="658"/>
        <v>06539000</v>
      </c>
      <c r="C2991" t="str">
        <f t="shared" si="660"/>
        <v>06539003</v>
      </c>
      <c r="D2991" t="str">
        <f t="shared" si="661"/>
        <v>813</v>
      </c>
      <c r="E2991" t="str">
        <f t="shared" si="659"/>
        <v>89301171</v>
      </c>
      <c r="F2991" t="str">
        <f t="shared" si="657"/>
        <v>440426442</v>
      </c>
      <c r="G2991" s="1">
        <v>44620</v>
      </c>
      <c r="H2991" t="str">
        <f>"91131"</f>
        <v>91131</v>
      </c>
      <c r="I2991">
        <v>1</v>
      </c>
      <c r="J2991">
        <v>171</v>
      </c>
      <c r="K2991">
        <v>0</v>
      </c>
      <c r="L2991">
        <v>133.38</v>
      </c>
    </row>
    <row r="2992" spans="1:12" x14ac:dyDescent="0.25">
      <c r="A2992" t="str">
        <f t="shared" si="656"/>
        <v>89301000</v>
      </c>
      <c r="B2992" t="str">
        <f t="shared" si="658"/>
        <v>06539000</v>
      </c>
      <c r="C2992" t="str">
        <f t="shared" si="660"/>
        <v>06539003</v>
      </c>
      <c r="D2992" t="str">
        <f t="shared" si="661"/>
        <v>813</v>
      </c>
      <c r="E2992" t="str">
        <f t="shared" si="659"/>
        <v>89301171</v>
      </c>
      <c r="F2992" t="str">
        <f t="shared" si="657"/>
        <v>440426442</v>
      </c>
      <c r="G2992" s="1">
        <v>44620</v>
      </c>
      <c r="H2992" t="str">
        <f>"91133"</f>
        <v>91133</v>
      </c>
      <c r="I2992">
        <v>1</v>
      </c>
      <c r="J2992">
        <v>176</v>
      </c>
      <c r="K2992">
        <v>0</v>
      </c>
      <c r="L2992">
        <v>137.28</v>
      </c>
    </row>
    <row r="2993" spans="1:12" x14ac:dyDescent="0.25">
      <c r="A2993" t="str">
        <f t="shared" si="656"/>
        <v>89301000</v>
      </c>
      <c r="B2993" t="str">
        <f t="shared" si="658"/>
        <v>06539000</v>
      </c>
      <c r="C2993" t="str">
        <f t="shared" si="660"/>
        <v>06539003</v>
      </c>
      <c r="D2993" t="str">
        <f t="shared" si="661"/>
        <v>813</v>
      </c>
      <c r="E2993" t="str">
        <f t="shared" si="659"/>
        <v>89301171</v>
      </c>
      <c r="F2993" t="str">
        <f t="shared" si="657"/>
        <v>440426442</v>
      </c>
      <c r="G2993" s="1">
        <v>44620</v>
      </c>
      <c r="H2993" t="str">
        <f>"91171"</f>
        <v>91171</v>
      </c>
      <c r="I2993">
        <v>1</v>
      </c>
      <c r="J2993">
        <v>360</v>
      </c>
      <c r="K2993">
        <v>0</v>
      </c>
      <c r="L2993">
        <v>280.8</v>
      </c>
    </row>
    <row r="2994" spans="1:12" x14ac:dyDescent="0.25">
      <c r="A2994" t="str">
        <f t="shared" si="656"/>
        <v>89301000</v>
      </c>
      <c r="B2994" t="str">
        <f t="shared" si="658"/>
        <v>06539000</v>
      </c>
      <c r="C2994" t="str">
        <f t="shared" si="660"/>
        <v>06539003</v>
      </c>
      <c r="D2994" t="str">
        <f t="shared" si="661"/>
        <v>813</v>
      </c>
      <c r="E2994" t="str">
        <f t="shared" si="659"/>
        <v>89301171</v>
      </c>
      <c r="F2994" t="str">
        <f t="shared" si="657"/>
        <v>440426442</v>
      </c>
      <c r="G2994" s="1">
        <v>44617</v>
      </c>
      <c r="H2994" t="str">
        <f>"91173"</f>
        <v>91173</v>
      </c>
      <c r="I2994">
        <v>1</v>
      </c>
      <c r="J2994">
        <v>335</v>
      </c>
      <c r="K2994">
        <v>0</v>
      </c>
      <c r="L2994">
        <v>261.3</v>
      </c>
    </row>
    <row r="2995" spans="1:12" x14ac:dyDescent="0.25">
      <c r="A2995" t="str">
        <f t="shared" si="656"/>
        <v>89301000</v>
      </c>
      <c r="B2995" t="str">
        <f t="shared" si="658"/>
        <v>06539000</v>
      </c>
      <c r="C2995" t="str">
        <f t="shared" si="660"/>
        <v>06539003</v>
      </c>
      <c r="D2995" t="str">
        <f t="shared" si="661"/>
        <v>813</v>
      </c>
      <c r="E2995" t="str">
        <f t="shared" si="659"/>
        <v>89301171</v>
      </c>
      <c r="F2995" t="str">
        <f t="shared" si="657"/>
        <v>440426442</v>
      </c>
      <c r="G2995" s="1">
        <v>44620</v>
      </c>
      <c r="H2995" t="str">
        <f>"91175"</f>
        <v>91175</v>
      </c>
      <c r="I2995">
        <v>1</v>
      </c>
      <c r="J2995">
        <v>360</v>
      </c>
      <c r="K2995">
        <v>0</v>
      </c>
      <c r="L2995">
        <v>280.8</v>
      </c>
    </row>
    <row r="2996" spans="1:12" x14ac:dyDescent="0.25">
      <c r="A2996" t="str">
        <f t="shared" si="656"/>
        <v>89301000</v>
      </c>
      <c r="B2996" t="str">
        <f t="shared" si="658"/>
        <v>06539000</v>
      </c>
      <c r="C2996" t="str">
        <f t="shared" si="660"/>
        <v>06539003</v>
      </c>
      <c r="D2996" t="str">
        <f t="shared" si="661"/>
        <v>813</v>
      </c>
      <c r="E2996" t="str">
        <f t="shared" si="659"/>
        <v>89301171</v>
      </c>
      <c r="F2996" t="str">
        <f t="shared" si="657"/>
        <v>440426442</v>
      </c>
      <c r="G2996" s="1">
        <v>44618</v>
      </c>
      <c r="H2996" t="str">
        <f>"91167"</f>
        <v>91167</v>
      </c>
      <c r="I2996">
        <v>1</v>
      </c>
      <c r="J2996">
        <v>425</v>
      </c>
      <c r="K2996">
        <v>0</v>
      </c>
      <c r="L2996">
        <v>331.5</v>
      </c>
    </row>
    <row r="2997" spans="1:12" x14ac:dyDescent="0.25">
      <c r="A2997" t="str">
        <f t="shared" si="656"/>
        <v>89301000</v>
      </c>
      <c r="B2997" t="str">
        <f t="shared" si="658"/>
        <v>06539000</v>
      </c>
      <c r="C2997" t="str">
        <f t="shared" si="660"/>
        <v>06539003</v>
      </c>
      <c r="D2997" t="str">
        <f t="shared" si="661"/>
        <v>813</v>
      </c>
      <c r="E2997" t="str">
        <f t="shared" si="659"/>
        <v>89301171</v>
      </c>
      <c r="F2997" t="str">
        <f t="shared" si="657"/>
        <v>440426442</v>
      </c>
      <c r="G2997" s="1">
        <v>44618</v>
      </c>
      <c r="H2997" t="str">
        <f>"91169"</f>
        <v>91169</v>
      </c>
      <c r="I2997">
        <v>1</v>
      </c>
      <c r="J2997">
        <v>425</v>
      </c>
      <c r="K2997">
        <v>0</v>
      </c>
      <c r="L2997">
        <v>331.5</v>
      </c>
    </row>
    <row r="2998" spans="1:12" x14ac:dyDescent="0.25">
      <c r="A2998" t="str">
        <f t="shared" si="656"/>
        <v>89301000</v>
      </c>
      <c r="B2998" t="str">
        <f t="shared" si="658"/>
        <v>06539000</v>
      </c>
      <c r="C2998" t="str">
        <f t="shared" si="660"/>
        <v>06539003</v>
      </c>
      <c r="D2998" t="str">
        <f t="shared" si="661"/>
        <v>813</v>
      </c>
      <c r="E2998" t="str">
        <f t="shared" si="659"/>
        <v>89301171</v>
      </c>
      <c r="F2998" t="str">
        <f t="shared" si="657"/>
        <v>440426442</v>
      </c>
      <c r="G2998" s="1">
        <v>44617</v>
      </c>
      <c r="H2998" t="str">
        <f>"91167"</f>
        <v>91167</v>
      </c>
      <c r="I2998">
        <v>1</v>
      </c>
      <c r="J2998">
        <v>425</v>
      </c>
      <c r="K2998">
        <v>0</v>
      </c>
      <c r="L2998">
        <v>331.5</v>
      </c>
    </row>
    <row r="2999" spans="1:12" x14ac:dyDescent="0.25">
      <c r="A2999" t="str">
        <f t="shared" si="656"/>
        <v>89301000</v>
      </c>
      <c r="B2999" t="str">
        <f t="shared" si="658"/>
        <v>06539000</v>
      </c>
      <c r="C2999" t="str">
        <f t="shared" si="660"/>
        <v>06539003</v>
      </c>
      <c r="D2999" t="str">
        <f t="shared" si="661"/>
        <v>813</v>
      </c>
      <c r="E2999" t="str">
        <f t="shared" si="659"/>
        <v>89301171</v>
      </c>
      <c r="F2999" t="str">
        <f t="shared" si="657"/>
        <v>440426442</v>
      </c>
      <c r="G2999" s="1">
        <v>44617</v>
      </c>
      <c r="H2999" t="str">
        <f>"91169"</f>
        <v>91169</v>
      </c>
      <c r="I2999">
        <v>1</v>
      </c>
      <c r="J2999">
        <v>425</v>
      </c>
      <c r="K2999">
        <v>0</v>
      </c>
      <c r="L2999">
        <v>331.5</v>
      </c>
    </row>
    <row r="3000" spans="1:12" x14ac:dyDescent="0.25">
      <c r="A3000" t="str">
        <f t="shared" si="656"/>
        <v>89301000</v>
      </c>
      <c r="B3000" t="str">
        <f t="shared" si="658"/>
        <v>06539000</v>
      </c>
      <c r="C3000" t="str">
        <f t="shared" si="660"/>
        <v>06539003</v>
      </c>
      <c r="D3000" t="str">
        <f t="shared" si="661"/>
        <v>813</v>
      </c>
      <c r="E3000" t="str">
        <f t="shared" si="659"/>
        <v>89301171</v>
      </c>
      <c r="F3000" t="str">
        <f t="shared" si="657"/>
        <v>440426442</v>
      </c>
      <c r="G3000" s="1">
        <v>44617</v>
      </c>
      <c r="H3000" t="str">
        <f>"91475"</f>
        <v>91475</v>
      </c>
      <c r="I3000">
        <v>1</v>
      </c>
      <c r="J3000">
        <v>206</v>
      </c>
      <c r="K3000">
        <v>0</v>
      </c>
      <c r="L3000">
        <v>160.68</v>
      </c>
    </row>
    <row r="3001" spans="1:12" x14ac:dyDescent="0.25">
      <c r="A3001" t="str">
        <f t="shared" si="656"/>
        <v>89301000</v>
      </c>
      <c r="B3001" t="str">
        <f t="shared" si="658"/>
        <v>06539000</v>
      </c>
      <c r="C3001" t="str">
        <f>"06539001"</f>
        <v>06539001</v>
      </c>
      <c r="D3001" t="str">
        <f>"801"</f>
        <v>801</v>
      </c>
      <c r="E3001" t="str">
        <f t="shared" si="659"/>
        <v>89301171</v>
      </c>
      <c r="F3001" t="str">
        <f t="shared" ref="F3001:F3047" si="664">"7353225682"</f>
        <v>7353225682</v>
      </c>
      <c r="G3001" s="1">
        <v>44617</v>
      </c>
      <c r="H3001" t="str">
        <f>"81329"</f>
        <v>81329</v>
      </c>
      <c r="I3001">
        <v>1</v>
      </c>
      <c r="J3001">
        <v>16</v>
      </c>
      <c r="K3001">
        <v>0</v>
      </c>
      <c r="L3001">
        <v>12.48</v>
      </c>
    </row>
    <row r="3002" spans="1:12" x14ac:dyDescent="0.25">
      <c r="A3002" t="str">
        <f t="shared" si="656"/>
        <v>89301000</v>
      </c>
      <c r="B3002" t="str">
        <f t="shared" si="658"/>
        <v>06539000</v>
      </c>
      <c r="C3002" t="str">
        <f>"06539001"</f>
        <v>06539001</v>
      </c>
      <c r="D3002" t="str">
        <f>"801"</f>
        <v>801</v>
      </c>
      <c r="E3002" t="str">
        <f t="shared" si="659"/>
        <v>89301171</v>
      </c>
      <c r="F3002" t="str">
        <f t="shared" si="664"/>
        <v>7353225682</v>
      </c>
      <c r="G3002" s="1">
        <v>44617</v>
      </c>
      <c r="H3002" t="str">
        <f>"81331"</f>
        <v>81331</v>
      </c>
      <c r="I3002">
        <v>1</v>
      </c>
      <c r="J3002">
        <v>193</v>
      </c>
      <c r="K3002">
        <v>0</v>
      </c>
      <c r="L3002">
        <v>150.54</v>
      </c>
    </row>
    <row r="3003" spans="1:12" x14ac:dyDescent="0.25">
      <c r="A3003" t="str">
        <f t="shared" si="656"/>
        <v>89301000</v>
      </c>
      <c r="B3003" t="str">
        <f t="shared" si="658"/>
        <v>06539000</v>
      </c>
      <c r="C3003" t="str">
        <f t="shared" ref="C3003:C3010" si="665">"06539002"</f>
        <v>06539002</v>
      </c>
      <c r="D3003" t="str">
        <f t="shared" ref="D3003:D3010" si="666">"802"</f>
        <v>802</v>
      </c>
      <c r="E3003" t="str">
        <f t="shared" si="659"/>
        <v>89301171</v>
      </c>
      <c r="F3003" t="str">
        <f t="shared" si="664"/>
        <v>7353225682</v>
      </c>
      <c r="G3003" s="1">
        <v>44617</v>
      </c>
      <c r="H3003" t="str">
        <f t="shared" ref="H3003:H3010" si="667">"82097"</f>
        <v>82097</v>
      </c>
      <c r="I3003">
        <v>1</v>
      </c>
      <c r="J3003">
        <v>380</v>
      </c>
      <c r="K3003">
        <v>0</v>
      </c>
      <c r="L3003">
        <v>345.8</v>
      </c>
    </row>
    <row r="3004" spans="1:12" x14ac:dyDescent="0.25">
      <c r="A3004" t="str">
        <f t="shared" si="656"/>
        <v>89301000</v>
      </c>
      <c r="B3004" t="str">
        <f t="shared" si="658"/>
        <v>06539000</v>
      </c>
      <c r="C3004" t="str">
        <f t="shared" si="665"/>
        <v>06539002</v>
      </c>
      <c r="D3004" t="str">
        <f t="shared" si="666"/>
        <v>802</v>
      </c>
      <c r="E3004" t="str">
        <f t="shared" si="659"/>
        <v>89301171</v>
      </c>
      <c r="F3004" t="str">
        <f t="shared" si="664"/>
        <v>7353225682</v>
      </c>
      <c r="G3004" s="1">
        <v>44617</v>
      </c>
      <c r="H3004" t="str">
        <f t="shared" si="667"/>
        <v>82097</v>
      </c>
      <c r="I3004">
        <v>1</v>
      </c>
      <c r="J3004">
        <v>380</v>
      </c>
      <c r="K3004">
        <v>0</v>
      </c>
      <c r="L3004">
        <v>345.8</v>
      </c>
    </row>
    <row r="3005" spans="1:12" x14ac:dyDescent="0.25">
      <c r="A3005" t="str">
        <f t="shared" si="656"/>
        <v>89301000</v>
      </c>
      <c r="B3005" t="str">
        <f t="shared" si="658"/>
        <v>06539000</v>
      </c>
      <c r="C3005" t="str">
        <f t="shared" si="665"/>
        <v>06539002</v>
      </c>
      <c r="D3005" t="str">
        <f t="shared" si="666"/>
        <v>802</v>
      </c>
      <c r="E3005" t="str">
        <f t="shared" si="659"/>
        <v>89301171</v>
      </c>
      <c r="F3005" t="str">
        <f t="shared" si="664"/>
        <v>7353225682</v>
      </c>
      <c r="G3005" s="1">
        <v>44617</v>
      </c>
      <c r="H3005" t="str">
        <f t="shared" si="667"/>
        <v>82097</v>
      </c>
      <c r="I3005">
        <v>1</v>
      </c>
      <c r="J3005">
        <v>380</v>
      </c>
      <c r="K3005">
        <v>0</v>
      </c>
      <c r="L3005">
        <v>345.8</v>
      </c>
    </row>
    <row r="3006" spans="1:12" x14ac:dyDescent="0.25">
      <c r="A3006" t="str">
        <f t="shared" si="656"/>
        <v>89301000</v>
      </c>
      <c r="B3006" t="str">
        <f t="shared" si="658"/>
        <v>06539000</v>
      </c>
      <c r="C3006" t="str">
        <f t="shared" si="665"/>
        <v>06539002</v>
      </c>
      <c r="D3006" t="str">
        <f t="shared" si="666"/>
        <v>802</v>
      </c>
      <c r="E3006" t="str">
        <f t="shared" si="659"/>
        <v>89301171</v>
      </c>
      <c r="F3006" t="str">
        <f t="shared" si="664"/>
        <v>7353225682</v>
      </c>
      <c r="G3006" s="1">
        <v>44617</v>
      </c>
      <c r="H3006" t="str">
        <f t="shared" si="667"/>
        <v>82097</v>
      </c>
      <c r="I3006">
        <v>1</v>
      </c>
      <c r="J3006">
        <v>380</v>
      </c>
      <c r="K3006">
        <v>0</v>
      </c>
      <c r="L3006">
        <v>345.8</v>
      </c>
    </row>
    <row r="3007" spans="1:12" x14ac:dyDescent="0.25">
      <c r="A3007" t="str">
        <f t="shared" si="656"/>
        <v>89301000</v>
      </c>
      <c r="B3007" t="str">
        <f t="shared" si="658"/>
        <v>06539000</v>
      </c>
      <c r="C3007" t="str">
        <f t="shared" si="665"/>
        <v>06539002</v>
      </c>
      <c r="D3007" t="str">
        <f t="shared" si="666"/>
        <v>802</v>
      </c>
      <c r="E3007" t="str">
        <f t="shared" si="659"/>
        <v>89301171</v>
      </c>
      <c r="F3007" t="str">
        <f t="shared" si="664"/>
        <v>7353225682</v>
      </c>
      <c r="G3007" s="1">
        <v>44617</v>
      </c>
      <c r="H3007" t="str">
        <f t="shared" si="667"/>
        <v>82097</v>
      </c>
      <c r="I3007">
        <v>1</v>
      </c>
      <c r="J3007">
        <v>380</v>
      </c>
      <c r="K3007">
        <v>0</v>
      </c>
      <c r="L3007">
        <v>345.8</v>
      </c>
    </row>
    <row r="3008" spans="1:12" x14ac:dyDescent="0.25">
      <c r="A3008" t="str">
        <f t="shared" si="656"/>
        <v>89301000</v>
      </c>
      <c r="B3008" t="str">
        <f t="shared" si="658"/>
        <v>06539000</v>
      </c>
      <c r="C3008" t="str">
        <f t="shared" si="665"/>
        <v>06539002</v>
      </c>
      <c r="D3008" t="str">
        <f t="shared" si="666"/>
        <v>802</v>
      </c>
      <c r="E3008" t="str">
        <f t="shared" si="659"/>
        <v>89301171</v>
      </c>
      <c r="F3008" t="str">
        <f t="shared" si="664"/>
        <v>7353225682</v>
      </c>
      <c r="G3008" s="1">
        <v>44617</v>
      </c>
      <c r="H3008" t="str">
        <f t="shared" si="667"/>
        <v>82097</v>
      </c>
      <c r="I3008">
        <v>1</v>
      </c>
      <c r="J3008">
        <v>380</v>
      </c>
      <c r="K3008">
        <v>0</v>
      </c>
      <c r="L3008">
        <v>345.8</v>
      </c>
    </row>
    <row r="3009" spans="1:12" x14ac:dyDescent="0.25">
      <c r="A3009" t="str">
        <f t="shared" si="656"/>
        <v>89301000</v>
      </c>
      <c r="B3009" t="str">
        <f t="shared" si="658"/>
        <v>06539000</v>
      </c>
      <c r="C3009" t="str">
        <f t="shared" si="665"/>
        <v>06539002</v>
      </c>
      <c r="D3009" t="str">
        <f t="shared" si="666"/>
        <v>802</v>
      </c>
      <c r="E3009" t="str">
        <f t="shared" si="659"/>
        <v>89301171</v>
      </c>
      <c r="F3009" t="str">
        <f t="shared" si="664"/>
        <v>7353225682</v>
      </c>
      <c r="G3009" s="1">
        <v>44617</v>
      </c>
      <c r="H3009" t="str">
        <f t="shared" si="667"/>
        <v>82097</v>
      </c>
      <c r="I3009">
        <v>2</v>
      </c>
      <c r="J3009">
        <v>760</v>
      </c>
      <c r="K3009">
        <v>0</v>
      </c>
      <c r="L3009">
        <v>691.6</v>
      </c>
    </row>
    <row r="3010" spans="1:12" x14ac:dyDescent="0.25">
      <c r="A3010" t="str">
        <f t="shared" ref="A3010:A3073" si="668">"89301000"</f>
        <v>89301000</v>
      </c>
      <c r="B3010" t="str">
        <f t="shared" si="658"/>
        <v>06539000</v>
      </c>
      <c r="C3010" t="str">
        <f t="shared" si="665"/>
        <v>06539002</v>
      </c>
      <c r="D3010" t="str">
        <f t="shared" si="666"/>
        <v>802</v>
      </c>
      <c r="E3010" t="str">
        <f t="shared" si="659"/>
        <v>89301171</v>
      </c>
      <c r="F3010" t="str">
        <f t="shared" si="664"/>
        <v>7353225682</v>
      </c>
      <c r="G3010" s="1">
        <v>44617</v>
      </c>
      <c r="H3010" t="str">
        <f t="shared" si="667"/>
        <v>82097</v>
      </c>
      <c r="I3010">
        <v>2</v>
      </c>
      <c r="J3010">
        <v>760</v>
      </c>
      <c r="K3010">
        <v>0</v>
      </c>
      <c r="L3010">
        <v>691.6</v>
      </c>
    </row>
    <row r="3011" spans="1:12" x14ac:dyDescent="0.25">
      <c r="A3011" t="str">
        <f t="shared" si="668"/>
        <v>89301000</v>
      </c>
      <c r="B3011" t="str">
        <f t="shared" si="658"/>
        <v>06539000</v>
      </c>
      <c r="C3011" t="str">
        <f t="shared" ref="C3011:C3047" si="669">"06539003"</f>
        <v>06539003</v>
      </c>
      <c r="D3011" t="str">
        <f t="shared" ref="D3011:D3047" si="670">"813"</f>
        <v>813</v>
      </c>
      <c r="E3011" t="str">
        <f t="shared" si="659"/>
        <v>89301171</v>
      </c>
      <c r="F3011" t="str">
        <f t="shared" si="664"/>
        <v>7353225682</v>
      </c>
      <c r="G3011" s="1">
        <v>44620</v>
      </c>
      <c r="H3011" t="str">
        <f>"91439"</f>
        <v>91439</v>
      </c>
      <c r="I3011">
        <v>1</v>
      </c>
      <c r="J3011">
        <v>356</v>
      </c>
      <c r="K3011">
        <v>0</v>
      </c>
      <c r="L3011">
        <v>277.68</v>
      </c>
    </row>
    <row r="3012" spans="1:12" x14ac:dyDescent="0.25">
      <c r="A3012" t="str">
        <f t="shared" si="668"/>
        <v>89301000</v>
      </c>
      <c r="B3012" t="str">
        <f t="shared" si="658"/>
        <v>06539000</v>
      </c>
      <c r="C3012" t="str">
        <f t="shared" si="669"/>
        <v>06539003</v>
      </c>
      <c r="D3012" t="str">
        <f t="shared" si="670"/>
        <v>813</v>
      </c>
      <c r="E3012" t="str">
        <f t="shared" si="659"/>
        <v>89301171</v>
      </c>
      <c r="F3012" t="str">
        <f t="shared" si="664"/>
        <v>7353225682</v>
      </c>
      <c r="G3012" s="1">
        <v>44620</v>
      </c>
      <c r="H3012" t="str">
        <f>"91439"</f>
        <v>91439</v>
      </c>
      <c r="I3012">
        <v>1</v>
      </c>
      <c r="J3012">
        <v>356</v>
      </c>
      <c r="K3012">
        <v>0</v>
      </c>
      <c r="L3012">
        <v>277.68</v>
      </c>
    </row>
    <row r="3013" spans="1:12" x14ac:dyDescent="0.25">
      <c r="A3013" t="str">
        <f t="shared" si="668"/>
        <v>89301000</v>
      </c>
      <c r="B3013" t="str">
        <f t="shared" si="658"/>
        <v>06539000</v>
      </c>
      <c r="C3013" t="str">
        <f t="shared" si="669"/>
        <v>06539003</v>
      </c>
      <c r="D3013" t="str">
        <f t="shared" si="670"/>
        <v>813</v>
      </c>
      <c r="E3013" t="str">
        <f t="shared" si="659"/>
        <v>89301171</v>
      </c>
      <c r="F3013" t="str">
        <f t="shared" si="664"/>
        <v>7353225682</v>
      </c>
      <c r="G3013" s="1">
        <v>44620</v>
      </c>
      <c r="H3013" t="str">
        <f>"91439"</f>
        <v>91439</v>
      </c>
      <c r="I3013">
        <v>1</v>
      </c>
      <c r="J3013">
        <v>356</v>
      </c>
      <c r="K3013">
        <v>0</v>
      </c>
      <c r="L3013">
        <v>277.68</v>
      </c>
    </row>
    <row r="3014" spans="1:12" x14ac:dyDescent="0.25">
      <c r="A3014" t="str">
        <f t="shared" si="668"/>
        <v>89301000</v>
      </c>
      <c r="B3014" t="str">
        <f t="shared" si="658"/>
        <v>06539000</v>
      </c>
      <c r="C3014" t="str">
        <f t="shared" si="669"/>
        <v>06539003</v>
      </c>
      <c r="D3014" t="str">
        <f t="shared" si="670"/>
        <v>813</v>
      </c>
      <c r="E3014" t="str">
        <f t="shared" si="659"/>
        <v>89301171</v>
      </c>
      <c r="F3014" t="str">
        <f t="shared" si="664"/>
        <v>7353225682</v>
      </c>
      <c r="G3014" s="1">
        <v>44620</v>
      </c>
      <c r="H3014" t="str">
        <f>"91439"</f>
        <v>91439</v>
      </c>
      <c r="I3014">
        <v>1</v>
      </c>
      <c r="J3014">
        <v>356</v>
      </c>
      <c r="K3014">
        <v>0</v>
      </c>
      <c r="L3014">
        <v>277.68</v>
      </c>
    </row>
    <row r="3015" spans="1:12" x14ac:dyDescent="0.25">
      <c r="A3015" t="str">
        <f t="shared" si="668"/>
        <v>89301000</v>
      </c>
      <c r="B3015" t="str">
        <f t="shared" si="658"/>
        <v>06539000</v>
      </c>
      <c r="C3015" t="str">
        <f t="shared" si="669"/>
        <v>06539003</v>
      </c>
      <c r="D3015" t="str">
        <f t="shared" si="670"/>
        <v>813</v>
      </c>
      <c r="E3015" t="str">
        <f t="shared" si="659"/>
        <v>89301171</v>
      </c>
      <c r="F3015" t="str">
        <f t="shared" si="664"/>
        <v>7353225682</v>
      </c>
      <c r="G3015" s="1">
        <v>44620</v>
      </c>
      <c r="H3015" t="str">
        <f>"91439"</f>
        <v>91439</v>
      </c>
      <c r="I3015">
        <v>2</v>
      </c>
      <c r="J3015">
        <v>712</v>
      </c>
      <c r="K3015">
        <v>0</v>
      </c>
      <c r="L3015">
        <v>555.36</v>
      </c>
    </row>
    <row r="3016" spans="1:12" x14ac:dyDescent="0.25">
      <c r="A3016" t="str">
        <f t="shared" si="668"/>
        <v>89301000</v>
      </c>
      <c r="B3016" t="str">
        <f t="shared" si="658"/>
        <v>06539000</v>
      </c>
      <c r="C3016" t="str">
        <f t="shared" si="669"/>
        <v>06539003</v>
      </c>
      <c r="D3016" t="str">
        <f t="shared" si="670"/>
        <v>813</v>
      </c>
      <c r="E3016" t="str">
        <f t="shared" si="659"/>
        <v>89301171</v>
      </c>
      <c r="F3016" t="str">
        <f t="shared" si="664"/>
        <v>7353225682</v>
      </c>
      <c r="G3016" s="1">
        <v>44622</v>
      </c>
      <c r="H3016" t="str">
        <f t="shared" ref="H3016:H3025" si="671">"91413"</f>
        <v>91413</v>
      </c>
      <c r="I3016">
        <v>1</v>
      </c>
      <c r="J3016">
        <v>853</v>
      </c>
      <c r="K3016">
        <v>0</v>
      </c>
      <c r="L3016">
        <v>665.34</v>
      </c>
    </row>
    <row r="3017" spans="1:12" x14ac:dyDescent="0.25">
      <c r="A3017" t="str">
        <f t="shared" si="668"/>
        <v>89301000</v>
      </c>
      <c r="B3017" t="str">
        <f t="shared" si="658"/>
        <v>06539000</v>
      </c>
      <c r="C3017" t="str">
        <f t="shared" si="669"/>
        <v>06539003</v>
      </c>
      <c r="D3017" t="str">
        <f t="shared" si="670"/>
        <v>813</v>
      </c>
      <c r="E3017" t="str">
        <f t="shared" si="659"/>
        <v>89301171</v>
      </c>
      <c r="F3017" t="str">
        <f t="shared" si="664"/>
        <v>7353225682</v>
      </c>
      <c r="G3017" s="1">
        <v>44622</v>
      </c>
      <c r="H3017" t="str">
        <f t="shared" si="671"/>
        <v>91413</v>
      </c>
      <c r="I3017">
        <v>1</v>
      </c>
      <c r="J3017">
        <v>853</v>
      </c>
      <c r="K3017">
        <v>0</v>
      </c>
      <c r="L3017">
        <v>665.34</v>
      </c>
    </row>
    <row r="3018" spans="1:12" x14ac:dyDescent="0.25">
      <c r="A3018" t="str">
        <f t="shared" si="668"/>
        <v>89301000</v>
      </c>
      <c r="B3018" t="str">
        <f t="shared" si="658"/>
        <v>06539000</v>
      </c>
      <c r="C3018" t="str">
        <f t="shared" si="669"/>
        <v>06539003</v>
      </c>
      <c r="D3018" t="str">
        <f t="shared" si="670"/>
        <v>813</v>
      </c>
      <c r="E3018" t="str">
        <f t="shared" si="659"/>
        <v>89301171</v>
      </c>
      <c r="F3018" t="str">
        <f t="shared" si="664"/>
        <v>7353225682</v>
      </c>
      <c r="G3018" s="1">
        <v>44636</v>
      </c>
      <c r="H3018" t="str">
        <f t="shared" si="671"/>
        <v>91413</v>
      </c>
      <c r="I3018">
        <v>1</v>
      </c>
      <c r="J3018">
        <v>853</v>
      </c>
      <c r="K3018">
        <v>0</v>
      </c>
      <c r="L3018">
        <v>665.34</v>
      </c>
    </row>
    <row r="3019" spans="1:12" x14ac:dyDescent="0.25">
      <c r="A3019" t="str">
        <f t="shared" si="668"/>
        <v>89301000</v>
      </c>
      <c r="B3019" t="str">
        <f t="shared" si="658"/>
        <v>06539000</v>
      </c>
      <c r="C3019" t="str">
        <f t="shared" si="669"/>
        <v>06539003</v>
      </c>
      <c r="D3019" t="str">
        <f t="shared" si="670"/>
        <v>813</v>
      </c>
      <c r="E3019" t="str">
        <f t="shared" si="659"/>
        <v>89301171</v>
      </c>
      <c r="F3019" t="str">
        <f t="shared" si="664"/>
        <v>7353225682</v>
      </c>
      <c r="G3019" s="1">
        <v>44636</v>
      </c>
      <c r="H3019" t="str">
        <f t="shared" si="671"/>
        <v>91413</v>
      </c>
      <c r="I3019">
        <v>1</v>
      </c>
      <c r="J3019">
        <v>853</v>
      </c>
      <c r="K3019">
        <v>0</v>
      </c>
      <c r="L3019">
        <v>665.34</v>
      </c>
    </row>
    <row r="3020" spans="1:12" x14ac:dyDescent="0.25">
      <c r="A3020" t="str">
        <f t="shared" si="668"/>
        <v>89301000</v>
      </c>
      <c r="B3020" t="str">
        <f t="shared" si="658"/>
        <v>06539000</v>
      </c>
      <c r="C3020" t="str">
        <f t="shared" si="669"/>
        <v>06539003</v>
      </c>
      <c r="D3020" t="str">
        <f t="shared" si="670"/>
        <v>813</v>
      </c>
      <c r="E3020" t="str">
        <f t="shared" si="659"/>
        <v>89301171</v>
      </c>
      <c r="F3020" t="str">
        <f t="shared" si="664"/>
        <v>7353225682</v>
      </c>
      <c r="G3020" s="1">
        <v>44636</v>
      </c>
      <c r="H3020" t="str">
        <f t="shared" si="671"/>
        <v>91413</v>
      </c>
      <c r="I3020">
        <v>1</v>
      </c>
      <c r="J3020">
        <v>853</v>
      </c>
      <c r="K3020">
        <v>0</v>
      </c>
      <c r="L3020">
        <v>665.34</v>
      </c>
    </row>
    <row r="3021" spans="1:12" x14ac:dyDescent="0.25">
      <c r="A3021" t="str">
        <f t="shared" si="668"/>
        <v>89301000</v>
      </c>
      <c r="B3021" t="str">
        <f t="shared" si="658"/>
        <v>06539000</v>
      </c>
      <c r="C3021" t="str">
        <f t="shared" si="669"/>
        <v>06539003</v>
      </c>
      <c r="D3021" t="str">
        <f t="shared" si="670"/>
        <v>813</v>
      </c>
      <c r="E3021" t="str">
        <f t="shared" si="659"/>
        <v>89301171</v>
      </c>
      <c r="F3021" t="str">
        <f t="shared" si="664"/>
        <v>7353225682</v>
      </c>
      <c r="G3021" s="1">
        <v>44636</v>
      </c>
      <c r="H3021" t="str">
        <f t="shared" si="671"/>
        <v>91413</v>
      </c>
      <c r="I3021">
        <v>1</v>
      </c>
      <c r="J3021">
        <v>853</v>
      </c>
      <c r="K3021">
        <v>0</v>
      </c>
      <c r="L3021">
        <v>665.34</v>
      </c>
    </row>
    <row r="3022" spans="1:12" x14ac:dyDescent="0.25">
      <c r="A3022" t="str">
        <f t="shared" si="668"/>
        <v>89301000</v>
      </c>
      <c r="B3022" t="str">
        <f t="shared" si="658"/>
        <v>06539000</v>
      </c>
      <c r="C3022" t="str">
        <f t="shared" si="669"/>
        <v>06539003</v>
      </c>
      <c r="D3022" t="str">
        <f t="shared" si="670"/>
        <v>813</v>
      </c>
      <c r="E3022" t="str">
        <f t="shared" si="659"/>
        <v>89301171</v>
      </c>
      <c r="F3022" t="str">
        <f t="shared" si="664"/>
        <v>7353225682</v>
      </c>
      <c r="G3022" s="1">
        <v>44636</v>
      </c>
      <c r="H3022" t="str">
        <f t="shared" si="671"/>
        <v>91413</v>
      </c>
      <c r="I3022">
        <v>1</v>
      </c>
      <c r="J3022">
        <v>853</v>
      </c>
      <c r="K3022">
        <v>0</v>
      </c>
      <c r="L3022">
        <v>665.34</v>
      </c>
    </row>
    <row r="3023" spans="1:12" x14ac:dyDescent="0.25">
      <c r="A3023" t="str">
        <f t="shared" si="668"/>
        <v>89301000</v>
      </c>
      <c r="B3023" t="str">
        <f t="shared" si="658"/>
        <v>06539000</v>
      </c>
      <c r="C3023" t="str">
        <f t="shared" si="669"/>
        <v>06539003</v>
      </c>
      <c r="D3023" t="str">
        <f t="shared" si="670"/>
        <v>813</v>
      </c>
      <c r="E3023" t="str">
        <f t="shared" si="659"/>
        <v>89301171</v>
      </c>
      <c r="F3023" t="str">
        <f t="shared" si="664"/>
        <v>7353225682</v>
      </c>
      <c r="G3023" s="1">
        <v>44636</v>
      </c>
      <c r="H3023" t="str">
        <f t="shared" si="671"/>
        <v>91413</v>
      </c>
      <c r="I3023">
        <v>1</v>
      </c>
      <c r="J3023">
        <v>853</v>
      </c>
      <c r="K3023">
        <v>0</v>
      </c>
      <c r="L3023">
        <v>665.34</v>
      </c>
    </row>
    <row r="3024" spans="1:12" x14ac:dyDescent="0.25">
      <c r="A3024" t="str">
        <f t="shared" si="668"/>
        <v>89301000</v>
      </c>
      <c r="B3024" t="str">
        <f t="shared" si="658"/>
        <v>06539000</v>
      </c>
      <c r="C3024" t="str">
        <f t="shared" si="669"/>
        <v>06539003</v>
      </c>
      <c r="D3024" t="str">
        <f t="shared" si="670"/>
        <v>813</v>
      </c>
      <c r="E3024" t="str">
        <f t="shared" si="659"/>
        <v>89301171</v>
      </c>
      <c r="F3024" t="str">
        <f t="shared" si="664"/>
        <v>7353225682</v>
      </c>
      <c r="G3024" s="1">
        <v>44636</v>
      </c>
      <c r="H3024" t="str">
        <f t="shared" si="671"/>
        <v>91413</v>
      </c>
      <c r="I3024">
        <v>1</v>
      </c>
      <c r="J3024">
        <v>853</v>
      </c>
      <c r="K3024">
        <v>0</v>
      </c>
      <c r="L3024">
        <v>665.34</v>
      </c>
    </row>
    <row r="3025" spans="1:12" x14ac:dyDescent="0.25">
      <c r="A3025" t="str">
        <f t="shared" si="668"/>
        <v>89301000</v>
      </c>
      <c r="B3025" t="str">
        <f t="shared" si="658"/>
        <v>06539000</v>
      </c>
      <c r="C3025" t="str">
        <f t="shared" si="669"/>
        <v>06539003</v>
      </c>
      <c r="D3025" t="str">
        <f t="shared" si="670"/>
        <v>813</v>
      </c>
      <c r="E3025" t="str">
        <f t="shared" si="659"/>
        <v>89301171</v>
      </c>
      <c r="F3025" t="str">
        <f t="shared" si="664"/>
        <v>7353225682</v>
      </c>
      <c r="G3025" s="1">
        <v>44636</v>
      </c>
      <c r="H3025" t="str">
        <f t="shared" si="671"/>
        <v>91413</v>
      </c>
      <c r="I3025">
        <v>1</v>
      </c>
      <c r="J3025">
        <v>853</v>
      </c>
      <c r="K3025">
        <v>0</v>
      </c>
      <c r="L3025">
        <v>665.34</v>
      </c>
    </row>
    <row r="3026" spans="1:12" x14ac:dyDescent="0.25">
      <c r="A3026" t="str">
        <f t="shared" si="668"/>
        <v>89301000</v>
      </c>
      <c r="B3026" t="str">
        <f t="shared" si="658"/>
        <v>06539000</v>
      </c>
      <c r="C3026" t="str">
        <f t="shared" si="669"/>
        <v>06539003</v>
      </c>
      <c r="D3026" t="str">
        <f t="shared" si="670"/>
        <v>813</v>
      </c>
      <c r="E3026" t="str">
        <f t="shared" si="659"/>
        <v>89301171</v>
      </c>
      <c r="F3026" t="str">
        <f t="shared" si="664"/>
        <v>7353225682</v>
      </c>
      <c r="G3026" s="1">
        <v>44617</v>
      </c>
      <c r="H3026" t="str">
        <f t="shared" ref="H3026:H3032" si="672">"91197"</f>
        <v>91197</v>
      </c>
      <c r="I3026">
        <v>1</v>
      </c>
      <c r="J3026">
        <v>1046</v>
      </c>
      <c r="K3026">
        <v>0</v>
      </c>
      <c r="L3026">
        <v>815.88</v>
      </c>
    </row>
    <row r="3027" spans="1:12" x14ac:dyDescent="0.25">
      <c r="A3027" t="str">
        <f t="shared" si="668"/>
        <v>89301000</v>
      </c>
      <c r="B3027" t="str">
        <f t="shared" si="658"/>
        <v>06539000</v>
      </c>
      <c r="C3027" t="str">
        <f t="shared" si="669"/>
        <v>06539003</v>
      </c>
      <c r="D3027" t="str">
        <f t="shared" si="670"/>
        <v>813</v>
      </c>
      <c r="E3027" t="str">
        <f t="shared" si="659"/>
        <v>89301171</v>
      </c>
      <c r="F3027" t="str">
        <f t="shared" si="664"/>
        <v>7353225682</v>
      </c>
      <c r="G3027" s="1">
        <v>44620</v>
      </c>
      <c r="H3027" t="str">
        <f t="shared" si="672"/>
        <v>91197</v>
      </c>
      <c r="I3027">
        <v>1</v>
      </c>
      <c r="J3027">
        <v>1046</v>
      </c>
      <c r="K3027">
        <v>0</v>
      </c>
      <c r="L3027">
        <v>815.88</v>
      </c>
    </row>
    <row r="3028" spans="1:12" x14ac:dyDescent="0.25">
      <c r="A3028" t="str">
        <f t="shared" si="668"/>
        <v>89301000</v>
      </c>
      <c r="B3028" t="str">
        <f t="shared" si="658"/>
        <v>06539000</v>
      </c>
      <c r="C3028" t="str">
        <f t="shared" si="669"/>
        <v>06539003</v>
      </c>
      <c r="D3028" t="str">
        <f t="shared" si="670"/>
        <v>813</v>
      </c>
      <c r="E3028" t="str">
        <f t="shared" si="659"/>
        <v>89301171</v>
      </c>
      <c r="F3028" t="str">
        <f t="shared" si="664"/>
        <v>7353225682</v>
      </c>
      <c r="G3028" s="1">
        <v>44620</v>
      </c>
      <c r="H3028" t="str">
        <f t="shared" si="672"/>
        <v>91197</v>
      </c>
      <c r="I3028">
        <v>1</v>
      </c>
      <c r="J3028">
        <v>1046</v>
      </c>
      <c r="K3028">
        <v>0</v>
      </c>
      <c r="L3028">
        <v>815.88</v>
      </c>
    </row>
    <row r="3029" spans="1:12" x14ac:dyDescent="0.25">
      <c r="A3029" t="str">
        <f t="shared" si="668"/>
        <v>89301000</v>
      </c>
      <c r="B3029" t="str">
        <f t="shared" si="658"/>
        <v>06539000</v>
      </c>
      <c r="C3029" t="str">
        <f t="shared" si="669"/>
        <v>06539003</v>
      </c>
      <c r="D3029" t="str">
        <f t="shared" si="670"/>
        <v>813</v>
      </c>
      <c r="E3029" t="str">
        <f t="shared" si="659"/>
        <v>89301171</v>
      </c>
      <c r="F3029" t="str">
        <f t="shared" si="664"/>
        <v>7353225682</v>
      </c>
      <c r="G3029" s="1">
        <v>44619</v>
      </c>
      <c r="H3029" t="str">
        <f t="shared" si="672"/>
        <v>91197</v>
      </c>
      <c r="I3029">
        <v>1</v>
      </c>
      <c r="J3029">
        <v>1046</v>
      </c>
      <c r="K3029">
        <v>0</v>
      </c>
      <c r="L3029">
        <v>815.88</v>
      </c>
    </row>
    <row r="3030" spans="1:12" x14ac:dyDescent="0.25">
      <c r="A3030" t="str">
        <f t="shared" si="668"/>
        <v>89301000</v>
      </c>
      <c r="B3030" t="str">
        <f t="shared" si="658"/>
        <v>06539000</v>
      </c>
      <c r="C3030" t="str">
        <f t="shared" si="669"/>
        <v>06539003</v>
      </c>
      <c r="D3030" t="str">
        <f t="shared" si="670"/>
        <v>813</v>
      </c>
      <c r="E3030" t="str">
        <f t="shared" si="659"/>
        <v>89301171</v>
      </c>
      <c r="F3030" t="str">
        <f t="shared" si="664"/>
        <v>7353225682</v>
      </c>
      <c r="G3030" s="1">
        <v>44619</v>
      </c>
      <c r="H3030" t="str">
        <f t="shared" si="672"/>
        <v>91197</v>
      </c>
      <c r="I3030">
        <v>1</v>
      </c>
      <c r="J3030">
        <v>1046</v>
      </c>
      <c r="K3030">
        <v>0</v>
      </c>
      <c r="L3030">
        <v>815.88</v>
      </c>
    </row>
    <row r="3031" spans="1:12" x14ac:dyDescent="0.25">
      <c r="A3031" t="str">
        <f t="shared" si="668"/>
        <v>89301000</v>
      </c>
      <c r="B3031" t="str">
        <f t="shared" si="658"/>
        <v>06539000</v>
      </c>
      <c r="C3031" t="str">
        <f t="shared" si="669"/>
        <v>06539003</v>
      </c>
      <c r="D3031" t="str">
        <f t="shared" si="670"/>
        <v>813</v>
      </c>
      <c r="E3031" t="str">
        <f t="shared" si="659"/>
        <v>89301171</v>
      </c>
      <c r="F3031" t="str">
        <f t="shared" si="664"/>
        <v>7353225682</v>
      </c>
      <c r="G3031" s="1">
        <v>44618</v>
      </c>
      <c r="H3031" t="str">
        <f t="shared" si="672"/>
        <v>91197</v>
      </c>
      <c r="I3031">
        <v>1</v>
      </c>
      <c r="J3031">
        <v>1046</v>
      </c>
      <c r="K3031">
        <v>0</v>
      </c>
      <c r="L3031">
        <v>815.88</v>
      </c>
    </row>
    <row r="3032" spans="1:12" x14ac:dyDescent="0.25">
      <c r="A3032" t="str">
        <f t="shared" si="668"/>
        <v>89301000</v>
      </c>
      <c r="B3032" t="str">
        <f t="shared" ref="B3032:B3095" si="673">"06539000"</f>
        <v>06539000</v>
      </c>
      <c r="C3032" t="str">
        <f t="shared" si="669"/>
        <v>06539003</v>
      </c>
      <c r="D3032" t="str">
        <f t="shared" si="670"/>
        <v>813</v>
      </c>
      <c r="E3032" t="str">
        <f t="shared" ref="E3032:E3094" si="674">"89301171"</f>
        <v>89301171</v>
      </c>
      <c r="F3032" t="str">
        <f t="shared" si="664"/>
        <v>7353225682</v>
      </c>
      <c r="G3032" s="1">
        <v>44618</v>
      </c>
      <c r="H3032" t="str">
        <f t="shared" si="672"/>
        <v>91197</v>
      </c>
      <c r="I3032">
        <v>1</v>
      </c>
      <c r="J3032">
        <v>1046</v>
      </c>
      <c r="K3032">
        <v>0</v>
      </c>
      <c r="L3032">
        <v>815.88</v>
      </c>
    </row>
    <row r="3033" spans="1:12" x14ac:dyDescent="0.25">
      <c r="A3033" t="str">
        <f t="shared" si="668"/>
        <v>89301000</v>
      </c>
      <c r="B3033" t="str">
        <f t="shared" si="673"/>
        <v>06539000</v>
      </c>
      <c r="C3033" t="str">
        <f t="shared" si="669"/>
        <v>06539003</v>
      </c>
      <c r="D3033" t="str">
        <f t="shared" si="670"/>
        <v>813</v>
      </c>
      <c r="E3033" t="str">
        <f t="shared" si="674"/>
        <v>89301171</v>
      </c>
      <c r="F3033" t="str">
        <f t="shared" si="664"/>
        <v>7353225682</v>
      </c>
      <c r="G3033" s="1">
        <v>44626</v>
      </c>
      <c r="H3033" t="str">
        <f>"91329"</f>
        <v>91329</v>
      </c>
      <c r="I3033">
        <v>2</v>
      </c>
      <c r="J3033">
        <v>428</v>
      </c>
      <c r="K3033">
        <v>0</v>
      </c>
      <c r="L3033">
        <v>333.84</v>
      </c>
    </row>
    <row r="3034" spans="1:12" x14ac:dyDescent="0.25">
      <c r="A3034" t="str">
        <f t="shared" si="668"/>
        <v>89301000</v>
      </c>
      <c r="B3034" t="str">
        <f t="shared" si="673"/>
        <v>06539000</v>
      </c>
      <c r="C3034" t="str">
        <f t="shared" si="669"/>
        <v>06539003</v>
      </c>
      <c r="D3034" t="str">
        <f t="shared" si="670"/>
        <v>813</v>
      </c>
      <c r="E3034" t="str">
        <f t="shared" si="674"/>
        <v>89301171</v>
      </c>
      <c r="F3034" t="str">
        <f t="shared" si="664"/>
        <v>7353225682</v>
      </c>
      <c r="G3034" s="1">
        <v>44626</v>
      </c>
      <c r="H3034" t="str">
        <f>"91329"</f>
        <v>91329</v>
      </c>
      <c r="I3034">
        <v>2</v>
      </c>
      <c r="J3034">
        <v>428</v>
      </c>
      <c r="K3034">
        <v>0</v>
      </c>
      <c r="L3034">
        <v>333.84</v>
      </c>
    </row>
    <row r="3035" spans="1:12" x14ac:dyDescent="0.25">
      <c r="A3035" t="str">
        <f t="shared" si="668"/>
        <v>89301000</v>
      </c>
      <c r="B3035" t="str">
        <f t="shared" si="673"/>
        <v>06539000</v>
      </c>
      <c r="C3035" t="str">
        <f t="shared" si="669"/>
        <v>06539003</v>
      </c>
      <c r="D3035" t="str">
        <f t="shared" si="670"/>
        <v>813</v>
      </c>
      <c r="E3035" t="str">
        <f t="shared" si="674"/>
        <v>89301171</v>
      </c>
      <c r="F3035" t="str">
        <f t="shared" si="664"/>
        <v>7353225682</v>
      </c>
      <c r="G3035" s="1">
        <v>44626</v>
      </c>
      <c r="H3035" t="str">
        <f>"91329"</f>
        <v>91329</v>
      </c>
      <c r="I3035">
        <v>2</v>
      </c>
      <c r="J3035">
        <v>428</v>
      </c>
      <c r="K3035">
        <v>0</v>
      </c>
      <c r="L3035">
        <v>333.84</v>
      </c>
    </row>
    <row r="3036" spans="1:12" x14ac:dyDescent="0.25">
      <c r="A3036" t="str">
        <f t="shared" si="668"/>
        <v>89301000</v>
      </c>
      <c r="B3036" t="str">
        <f t="shared" si="673"/>
        <v>06539000</v>
      </c>
      <c r="C3036" t="str">
        <f t="shared" si="669"/>
        <v>06539003</v>
      </c>
      <c r="D3036" t="str">
        <f t="shared" si="670"/>
        <v>813</v>
      </c>
      <c r="E3036" t="str">
        <f t="shared" si="674"/>
        <v>89301171</v>
      </c>
      <c r="F3036" t="str">
        <f t="shared" si="664"/>
        <v>7353225682</v>
      </c>
      <c r="G3036" s="1">
        <v>44626</v>
      </c>
      <c r="H3036" t="str">
        <f>"91329"</f>
        <v>91329</v>
      </c>
      <c r="I3036">
        <v>2</v>
      </c>
      <c r="J3036">
        <v>428</v>
      </c>
      <c r="K3036">
        <v>0</v>
      </c>
      <c r="L3036">
        <v>333.84</v>
      </c>
    </row>
    <row r="3037" spans="1:12" x14ac:dyDescent="0.25">
      <c r="A3037" t="str">
        <f t="shared" si="668"/>
        <v>89301000</v>
      </c>
      <c r="B3037" t="str">
        <f t="shared" si="673"/>
        <v>06539000</v>
      </c>
      <c r="C3037" t="str">
        <f t="shared" si="669"/>
        <v>06539003</v>
      </c>
      <c r="D3037" t="str">
        <f t="shared" si="670"/>
        <v>813</v>
      </c>
      <c r="E3037" t="str">
        <f t="shared" si="674"/>
        <v>89301171</v>
      </c>
      <c r="F3037" t="str">
        <f t="shared" si="664"/>
        <v>7353225682</v>
      </c>
      <c r="G3037" s="1">
        <v>44620</v>
      </c>
      <c r="H3037" t="str">
        <f>"91129"</f>
        <v>91129</v>
      </c>
      <c r="I3037">
        <v>1</v>
      </c>
      <c r="J3037">
        <v>174</v>
      </c>
      <c r="K3037">
        <v>0</v>
      </c>
      <c r="L3037">
        <v>135.72</v>
      </c>
    </row>
    <row r="3038" spans="1:12" x14ac:dyDescent="0.25">
      <c r="A3038" t="str">
        <f t="shared" si="668"/>
        <v>89301000</v>
      </c>
      <c r="B3038" t="str">
        <f t="shared" si="673"/>
        <v>06539000</v>
      </c>
      <c r="C3038" t="str">
        <f t="shared" si="669"/>
        <v>06539003</v>
      </c>
      <c r="D3038" t="str">
        <f t="shared" si="670"/>
        <v>813</v>
      </c>
      <c r="E3038" t="str">
        <f t="shared" si="674"/>
        <v>89301171</v>
      </c>
      <c r="F3038" t="str">
        <f t="shared" si="664"/>
        <v>7353225682</v>
      </c>
      <c r="G3038" s="1">
        <v>44620</v>
      </c>
      <c r="H3038" t="str">
        <f>"91131"</f>
        <v>91131</v>
      </c>
      <c r="I3038">
        <v>1</v>
      </c>
      <c r="J3038">
        <v>171</v>
      </c>
      <c r="K3038">
        <v>0</v>
      </c>
      <c r="L3038">
        <v>133.38</v>
      </c>
    </row>
    <row r="3039" spans="1:12" x14ac:dyDescent="0.25">
      <c r="A3039" t="str">
        <f t="shared" si="668"/>
        <v>89301000</v>
      </c>
      <c r="B3039" t="str">
        <f t="shared" si="673"/>
        <v>06539000</v>
      </c>
      <c r="C3039" t="str">
        <f t="shared" si="669"/>
        <v>06539003</v>
      </c>
      <c r="D3039" t="str">
        <f t="shared" si="670"/>
        <v>813</v>
      </c>
      <c r="E3039" t="str">
        <f t="shared" si="674"/>
        <v>89301171</v>
      </c>
      <c r="F3039" t="str">
        <f t="shared" si="664"/>
        <v>7353225682</v>
      </c>
      <c r="G3039" s="1">
        <v>44620</v>
      </c>
      <c r="H3039" t="str">
        <f>"91133"</f>
        <v>91133</v>
      </c>
      <c r="I3039">
        <v>1</v>
      </c>
      <c r="J3039">
        <v>176</v>
      </c>
      <c r="K3039">
        <v>0</v>
      </c>
      <c r="L3039">
        <v>137.28</v>
      </c>
    </row>
    <row r="3040" spans="1:12" x14ac:dyDescent="0.25">
      <c r="A3040" t="str">
        <f t="shared" si="668"/>
        <v>89301000</v>
      </c>
      <c r="B3040" t="str">
        <f t="shared" si="673"/>
        <v>06539000</v>
      </c>
      <c r="C3040" t="str">
        <f t="shared" si="669"/>
        <v>06539003</v>
      </c>
      <c r="D3040" t="str">
        <f t="shared" si="670"/>
        <v>813</v>
      </c>
      <c r="E3040" t="str">
        <f t="shared" si="674"/>
        <v>89301171</v>
      </c>
      <c r="F3040" t="str">
        <f t="shared" si="664"/>
        <v>7353225682</v>
      </c>
      <c r="G3040" s="1">
        <v>44620</v>
      </c>
      <c r="H3040" t="str">
        <f>"91171"</f>
        <v>91171</v>
      </c>
      <c r="I3040">
        <v>1</v>
      </c>
      <c r="J3040">
        <v>360</v>
      </c>
      <c r="K3040">
        <v>0</v>
      </c>
      <c r="L3040">
        <v>280.8</v>
      </c>
    </row>
    <row r="3041" spans="1:12" x14ac:dyDescent="0.25">
      <c r="A3041" t="str">
        <f t="shared" si="668"/>
        <v>89301000</v>
      </c>
      <c r="B3041" t="str">
        <f t="shared" si="673"/>
        <v>06539000</v>
      </c>
      <c r="C3041" t="str">
        <f t="shared" si="669"/>
        <v>06539003</v>
      </c>
      <c r="D3041" t="str">
        <f t="shared" si="670"/>
        <v>813</v>
      </c>
      <c r="E3041" t="str">
        <f t="shared" si="674"/>
        <v>89301171</v>
      </c>
      <c r="F3041" t="str">
        <f t="shared" si="664"/>
        <v>7353225682</v>
      </c>
      <c r="G3041" s="1">
        <v>44617</v>
      </c>
      <c r="H3041" t="str">
        <f>"91173"</f>
        <v>91173</v>
      </c>
      <c r="I3041">
        <v>1</v>
      </c>
      <c r="J3041">
        <v>335</v>
      </c>
      <c r="K3041">
        <v>0</v>
      </c>
      <c r="L3041">
        <v>261.3</v>
      </c>
    </row>
    <row r="3042" spans="1:12" x14ac:dyDescent="0.25">
      <c r="A3042" t="str">
        <f t="shared" si="668"/>
        <v>89301000</v>
      </c>
      <c r="B3042" t="str">
        <f t="shared" si="673"/>
        <v>06539000</v>
      </c>
      <c r="C3042" t="str">
        <f t="shared" si="669"/>
        <v>06539003</v>
      </c>
      <c r="D3042" t="str">
        <f t="shared" si="670"/>
        <v>813</v>
      </c>
      <c r="E3042" t="str">
        <f t="shared" si="674"/>
        <v>89301171</v>
      </c>
      <c r="F3042" t="str">
        <f t="shared" si="664"/>
        <v>7353225682</v>
      </c>
      <c r="G3042" s="1">
        <v>44620</v>
      </c>
      <c r="H3042" t="str">
        <f>"91175"</f>
        <v>91175</v>
      </c>
      <c r="I3042">
        <v>1</v>
      </c>
      <c r="J3042">
        <v>360</v>
      </c>
      <c r="K3042">
        <v>0</v>
      </c>
      <c r="L3042">
        <v>280.8</v>
      </c>
    </row>
    <row r="3043" spans="1:12" x14ac:dyDescent="0.25">
      <c r="A3043" t="str">
        <f t="shared" si="668"/>
        <v>89301000</v>
      </c>
      <c r="B3043" t="str">
        <f t="shared" si="673"/>
        <v>06539000</v>
      </c>
      <c r="C3043" t="str">
        <f t="shared" si="669"/>
        <v>06539003</v>
      </c>
      <c r="D3043" t="str">
        <f t="shared" si="670"/>
        <v>813</v>
      </c>
      <c r="E3043" t="str">
        <f t="shared" si="674"/>
        <v>89301171</v>
      </c>
      <c r="F3043" t="str">
        <f t="shared" si="664"/>
        <v>7353225682</v>
      </c>
      <c r="G3043" s="1">
        <v>44618</v>
      </c>
      <c r="H3043" t="str">
        <f>"91167"</f>
        <v>91167</v>
      </c>
      <c r="I3043">
        <v>1</v>
      </c>
      <c r="J3043">
        <v>425</v>
      </c>
      <c r="K3043">
        <v>0</v>
      </c>
      <c r="L3043">
        <v>331.5</v>
      </c>
    </row>
    <row r="3044" spans="1:12" x14ac:dyDescent="0.25">
      <c r="A3044" t="str">
        <f t="shared" si="668"/>
        <v>89301000</v>
      </c>
      <c r="B3044" t="str">
        <f t="shared" si="673"/>
        <v>06539000</v>
      </c>
      <c r="C3044" t="str">
        <f t="shared" si="669"/>
        <v>06539003</v>
      </c>
      <c r="D3044" t="str">
        <f t="shared" si="670"/>
        <v>813</v>
      </c>
      <c r="E3044" t="str">
        <f t="shared" si="674"/>
        <v>89301171</v>
      </c>
      <c r="F3044" t="str">
        <f t="shared" si="664"/>
        <v>7353225682</v>
      </c>
      <c r="G3044" s="1">
        <v>44618</v>
      </c>
      <c r="H3044" t="str">
        <f>"91169"</f>
        <v>91169</v>
      </c>
      <c r="I3044">
        <v>1</v>
      </c>
      <c r="J3044">
        <v>425</v>
      </c>
      <c r="K3044">
        <v>0</v>
      </c>
      <c r="L3044">
        <v>331.5</v>
      </c>
    </row>
    <row r="3045" spans="1:12" x14ac:dyDescent="0.25">
      <c r="A3045" t="str">
        <f t="shared" si="668"/>
        <v>89301000</v>
      </c>
      <c r="B3045" t="str">
        <f t="shared" si="673"/>
        <v>06539000</v>
      </c>
      <c r="C3045" t="str">
        <f t="shared" si="669"/>
        <v>06539003</v>
      </c>
      <c r="D3045" t="str">
        <f t="shared" si="670"/>
        <v>813</v>
      </c>
      <c r="E3045" t="str">
        <f t="shared" si="674"/>
        <v>89301171</v>
      </c>
      <c r="F3045" t="str">
        <f t="shared" si="664"/>
        <v>7353225682</v>
      </c>
      <c r="G3045" s="1">
        <v>44617</v>
      </c>
      <c r="H3045" t="str">
        <f>"91167"</f>
        <v>91167</v>
      </c>
      <c r="I3045">
        <v>1</v>
      </c>
      <c r="J3045">
        <v>425</v>
      </c>
      <c r="K3045">
        <v>0</v>
      </c>
      <c r="L3045">
        <v>331.5</v>
      </c>
    </row>
    <row r="3046" spans="1:12" x14ac:dyDescent="0.25">
      <c r="A3046" t="str">
        <f t="shared" si="668"/>
        <v>89301000</v>
      </c>
      <c r="B3046" t="str">
        <f t="shared" si="673"/>
        <v>06539000</v>
      </c>
      <c r="C3046" t="str">
        <f t="shared" si="669"/>
        <v>06539003</v>
      </c>
      <c r="D3046" t="str">
        <f t="shared" si="670"/>
        <v>813</v>
      </c>
      <c r="E3046" t="str">
        <f t="shared" si="674"/>
        <v>89301171</v>
      </c>
      <c r="F3046" t="str">
        <f t="shared" si="664"/>
        <v>7353225682</v>
      </c>
      <c r="G3046" s="1">
        <v>44617</v>
      </c>
      <c r="H3046" t="str">
        <f>"91169"</f>
        <v>91169</v>
      </c>
      <c r="I3046">
        <v>1</v>
      </c>
      <c r="J3046">
        <v>425</v>
      </c>
      <c r="K3046">
        <v>0</v>
      </c>
      <c r="L3046">
        <v>331.5</v>
      </c>
    </row>
    <row r="3047" spans="1:12" x14ac:dyDescent="0.25">
      <c r="A3047" t="str">
        <f t="shared" si="668"/>
        <v>89301000</v>
      </c>
      <c r="B3047" t="str">
        <f t="shared" si="673"/>
        <v>06539000</v>
      </c>
      <c r="C3047" t="str">
        <f t="shared" si="669"/>
        <v>06539003</v>
      </c>
      <c r="D3047" t="str">
        <f t="shared" si="670"/>
        <v>813</v>
      </c>
      <c r="E3047" t="str">
        <f t="shared" si="674"/>
        <v>89301171</v>
      </c>
      <c r="F3047" t="str">
        <f t="shared" si="664"/>
        <v>7353225682</v>
      </c>
      <c r="G3047" s="1">
        <v>44617</v>
      </c>
      <c r="H3047" t="str">
        <f>"91475"</f>
        <v>91475</v>
      </c>
      <c r="I3047">
        <v>1</v>
      </c>
      <c r="J3047">
        <v>206</v>
      </c>
      <c r="K3047">
        <v>0</v>
      </c>
      <c r="L3047">
        <v>160.68</v>
      </c>
    </row>
    <row r="3048" spans="1:12" x14ac:dyDescent="0.25">
      <c r="A3048" t="str">
        <f t="shared" si="668"/>
        <v>89301000</v>
      </c>
      <c r="B3048" t="str">
        <f t="shared" si="673"/>
        <v>06539000</v>
      </c>
      <c r="C3048" t="str">
        <f>"06539001"</f>
        <v>06539001</v>
      </c>
      <c r="D3048" t="str">
        <f>"801"</f>
        <v>801</v>
      </c>
      <c r="E3048" t="str">
        <f t="shared" si="674"/>
        <v>89301171</v>
      </c>
      <c r="F3048" t="str">
        <f t="shared" ref="F3048:F3094" si="675">"8160065342"</f>
        <v>8160065342</v>
      </c>
      <c r="G3048" s="1">
        <v>44617</v>
      </c>
      <c r="H3048" t="str">
        <f>"81329"</f>
        <v>81329</v>
      </c>
      <c r="I3048">
        <v>1</v>
      </c>
      <c r="J3048">
        <v>16</v>
      </c>
      <c r="K3048">
        <v>0</v>
      </c>
      <c r="L3048">
        <v>12.48</v>
      </c>
    </row>
    <row r="3049" spans="1:12" x14ac:dyDescent="0.25">
      <c r="A3049" t="str">
        <f t="shared" si="668"/>
        <v>89301000</v>
      </c>
      <c r="B3049" t="str">
        <f t="shared" si="673"/>
        <v>06539000</v>
      </c>
      <c r="C3049" t="str">
        <f>"06539001"</f>
        <v>06539001</v>
      </c>
      <c r="D3049" t="str">
        <f>"801"</f>
        <v>801</v>
      </c>
      <c r="E3049" t="str">
        <f t="shared" si="674"/>
        <v>89301171</v>
      </c>
      <c r="F3049" t="str">
        <f t="shared" si="675"/>
        <v>8160065342</v>
      </c>
      <c r="G3049" s="1">
        <v>44617</v>
      </c>
      <c r="H3049" t="str">
        <f>"81331"</f>
        <v>81331</v>
      </c>
      <c r="I3049">
        <v>1</v>
      </c>
      <c r="J3049">
        <v>193</v>
      </c>
      <c r="K3049">
        <v>0</v>
      </c>
      <c r="L3049">
        <v>150.54</v>
      </c>
    </row>
    <row r="3050" spans="1:12" x14ac:dyDescent="0.25">
      <c r="A3050" t="str">
        <f t="shared" si="668"/>
        <v>89301000</v>
      </c>
      <c r="B3050" t="str">
        <f t="shared" si="673"/>
        <v>06539000</v>
      </c>
      <c r="C3050" t="str">
        <f t="shared" ref="C3050:C3057" si="676">"06539002"</f>
        <v>06539002</v>
      </c>
      <c r="D3050" t="str">
        <f t="shared" ref="D3050:D3057" si="677">"802"</f>
        <v>802</v>
      </c>
      <c r="E3050" t="str">
        <f t="shared" si="674"/>
        <v>89301171</v>
      </c>
      <c r="F3050" t="str">
        <f t="shared" si="675"/>
        <v>8160065342</v>
      </c>
      <c r="G3050" s="1">
        <v>44617</v>
      </c>
      <c r="H3050" t="str">
        <f t="shared" ref="H3050:H3057" si="678">"82097"</f>
        <v>82097</v>
      </c>
      <c r="I3050">
        <v>1</v>
      </c>
      <c r="J3050">
        <v>380</v>
      </c>
      <c r="K3050">
        <v>0</v>
      </c>
      <c r="L3050">
        <v>345.8</v>
      </c>
    </row>
    <row r="3051" spans="1:12" x14ac:dyDescent="0.25">
      <c r="A3051" t="str">
        <f t="shared" si="668"/>
        <v>89301000</v>
      </c>
      <c r="B3051" t="str">
        <f t="shared" si="673"/>
        <v>06539000</v>
      </c>
      <c r="C3051" t="str">
        <f t="shared" si="676"/>
        <v>06539002</v>
      </c>
      <c r="D3051" t="str">
        <f t="shared" si="677"/>
        <v>802</v>
      </c>
      <c r="E3051" t="str">
        <f t="shared" si="674"/>
        <v>89301171</v>
      </c>
      <c r="F3051" t="str">
        <f t="shared" si="675"/>
        <v>8160065342</v>
      </c>
      <c r="G3051" s="1">
        <v>44617</v>
      </c>
      <c r="H3051" t="str">
        <f t="shared" si="678"/>
        <v>82097</v>
      </c>
      <c r="I3051">
        <v>1</v>
      </c>
      <c r="J3051">
        <v>380</v>
      </c>
      <c r="K3051">
        <v>0</v>
      </c>
      <c r="L3051">
        <v>345.8</v>
      </c>
    </row>
    <row r="3052" spans="1:12" x14ac:dyDescent="0.25">
      <c r="A3052" t="str">
        <f t="shared" si="668"/>
        <v>89301000</v>
      </c>
      <c r="B3052" t="str">
        <f t="shared" si="673"/>
        <v>06539000</v>
      </c>
      <c r="C3052" t="str">
        <f t="shared" si="676"/>
        <v>06539002</v>
      </c>
      <c r="D3052" t="str">
        <f t="shared" si="677"/>
        <v>802</v>
      </c>
      <c r="E3052" t="str">
        <f t="shared" si="674"/>
        <v>89301171</v>
      </c>
      <c r="F3052" t="str">
        <f t="shared" si="675"/>
        <v>8160065342</v>
      </c>
      <c r="G3052" s="1">
        <v>44617</v>
      </c>
      <c r="H3052" t="str">
        <f t="shared" si="678"/>
        <v>82097</v>
      </c>
      <c r="I3052">
        <v>1</v>
      </c>
      <c r="J3052">
        <v>380</v>
      </c>
      <c r="K3052">
        <v>0</v>
      </c>
      <c r="L3052">
        <v>345.8</v>
      </c>
    </row>
    <row r="3053" spans="1:12" x14ac:dyDescent="0.25">
      <c r="A3053" t="str">
        <f t="shared" si="668"/>
        <v>89301000</v>
      </c>
      <c r="B3053" t="str">
        <f t="shared" si="673"/>
        <v>06539000</v>
      </c>
      <c r="C3053" t="str">
        <f t="shared" si="676"/>
        <v>06539002</v>
      </c>
      <c r="D3053" t="str">
        <f t="shared" si="677"/>
        <v>802</v>
      </c>
      <c r="E3053" t="str">
        <f t="shared" si="674"/>
        <v>89301171</v>
      </c>
      <c r="F3053" t="str">
        <f t="shared" si="675"/>
        <v>8160065342</v>
      </c>
      <c r="G3053" s="1">
        <v>44617</v>
      </c>
      <c r="H3053" t="str">
        <f t="shared" si="678"/>
        <v>82097</v>
      </c>
      <c r="I3053">
        <v>1</v>
      </c>
      <c r="J3053">
        <v>380</v>
      </c>
      <c r="K3053">
        <v>0</v>
      </c>
      <c r="L3053">
        <v>345.8</v>
      </c>
    </row>
    <row r="3054" spans="1:12" x14ac:dyDescent="0.25">
      <c r="A3054" t="str">
        <f t="shared" si="668"/>
        <v>89301000</v>
      </c>
      <c r="B3054" t="str">
        <f t="shared" si="673"/>
        <v>06539000</v>
      </c>
      <c r="C3054" t="str">
        <f t="shared" si="676"/>
        <v>06539002</v>
      </c>
      <c r="D3054" t="str">
        <f t="shared" si="677"/>
        <v>802</v>
      </c>
      <c r="E3054" t="str">
        <f t="shared" si="674"/>
        <v>89301171</v>
      </c>
      <c r="F3054" t="str">
        <f t="shared" si="675"/>
        <v>8160065342</v>
      </c>
      <c r="G3054" s="1">
        <v>44617</v>
      </c>
      <c r="H3054" t="str">
        <f t="shared" si="678"/>
        <v>82097</v>
      </c>
      <c r="I3054">
        <v>1</v>
      </c>
      <c r="J3054">
        <v>380</v>
      </c>
      <c r="K3054">
        <v>0</v>
      </c>
      <c r="L3054">
        <v>345.8</v>
      </c>
    </row>
    <row r="3055" spans="1:12" x14ac:dyDescent="0.25">
      <c r="A3055" t="str">
        <f t="shared" si="668"/>
        <v>89301000</v>
      </c>
      <c r="B3055" t="str">
        <f t="shared" si="673"/>
        <v>06539000</v>
      </c>
      <c r="C3055" t="str">
        <f t="shared" si="676"/>
        <v>06539002</v>
      </c>
      <c r="D3055" t="str">
        <f t="shared" si="677"/>
        <v>802</v>
      </c>
      <c r="E3055" t="str">
        <f t="shared" si="674"/>
        <v>89301171</v>
      </c>
      <c r="F3055" t="str">
        <f t="shared" si="675"/>
        <v>8160065342</v>
      </c>
      <c r="G3055" s="1">
        <v>44617</v>
      </c>
      <c r="H3055" t="str">
        <f t="shared" si="678"/>
        <v>82097</v>
      </c>
      <c r="I3055">
        <v>1</v>
      </c>
      <c r="J3055">
        <v>380</v>
      </c>
      <c r="K3055">
        <v>0</v>
      </c>
      <c r="L3055">
        <v>345.8</v>
      </c>
    </row>
    <row r="3056" spans="1:12" x14ac:dyDescent="0.25">
      <c r="A3056" t="str">
        <f t="shared" si="668"/>
        <v>89301000</v>
      </c>
      <c r="B3056" t="str">
        <f t="shared" si="673"/>
        <v>06539000</v>
      </c>
      <c r="C3056" t="str">
        <f t="shared" si="676"/>
        <v>06539002</v>
      </c>
      <c r="D3056" t="str">
        <f t="shared" si="677"/>
        <v>802</v>
      </c>
      <c r="E3056" t="str">
        <f t="shared" si="674"/>
        <v>89301171</v>
      </c>
      <c r="F3056" t="str">
        <f t="shared" si="675"/>
        <v>8160065342</v>
      </c>
      <c r="G3056" s="1">
        <v>44617</v>
      </c>
      <c r="H3056" t="str">
        <f t="shared" si="678"/>
        <v>82097</v>
      </c>
      <c r="I3056">
        <v>1</v>
      </c>
      <c r="J3056">
        <v>380</v>
      </c>
      <c r="K3056">
        <v>0</v>
      </c>
      <c r="L3056">
        <v>345.8</v>
      </c>
    </row>
    <row r="3057" spans="1:12" x14ac:dyDescent="0.25">
      <c r="A3057" t="str">
        <f t="shared" si="668"/>
        <v>89301000</v>
      </c>
      <c r="B3057" t="str">
        <f t="shared" si="673"/>
        <v>06539000</v>
      </c>
      <c r="C3057" t="str">
        <f t="shared" si="676"/>
        <v>06539002</v>
      </c>
      <c r="D3057" t="str">
        <f t="shared" si="677"/>
        <v>802</v>
      </c>
      <c r="E3057" t="str">
        <f t="shared" si="674"/>
        <v>89301171</v>
      </c>
      <c r="F3057" t="str">
        <f t="shared" si="675"/>
        <v>8160065342</v>
      </c>
      <c r="G3057" s="1">
        <v>44617</v>
      </c>
      <c r="H3057" t="str">
        <f t="shared" si="678"/>
        <v>82097</v>
      </c>
      <c r="I3057">
        <v>1</v>
      </c>
      <c r="J3057">
        <v>380</v>
      </c>
      <c r="K3057">
        <v>0</v>
      </c>
      <c r="L3057">
        <v>345.8</v>
      </c>
    </row>
    <row r="3058" spans="1:12" x14ac:dyDescent="0.25">
      <c r="A3058" t="str">
        <f t="shared" si="668"/>
        <v>89301000</v>
      </c>
      <c r="B3058" t="str">
        <f t="shared" si="673"/>
        <v>06539000</v>
      </c>
      <c r="C3058" t="str">
        <f t="shared" ref="C3058:C3094" si="679">"06539003"</f>
        <v>06539003</v>
      </c>
      <c r="D3058" t="str">
        <f t="shared" ref="D3058:D3094" si="680">"813"</f>
        <v>813</v>
      </c>
      <c r="E3058" t="str">
        <f t="shared" si="674"/>
        <v>89301171</v>
      </c>
      <c r="F3058" t="str">
        <f t="shared" si="675"/>
        <v>8160065342</v>
      </c>
      <c r="G3058" s="1">
        <v>44620</v>
      </c>
      <c r="H3058" t="str">
        <f>"91439"</f>
        <v>91439</v>
      </c>
      <c r="I3058">
        <v>1</v>
      </c>
      <c r="J3058">
        <v>356</v>
      </c>
      <c r="K3058">
        <v>0</v>
      </c>
      <c r="L3058">
        <v>277.68</v>
      </c>
    </row>
    <row r="3059" spans="1:12" x14ac:dyDescent="0.25">
      <c r="A3059" t="str">
        <f t="shared" si="668"/>
        <v>89301000</v>
      </c>
      <c r="B3059" t="str">
        <f t="shared" si="673"/>
        <v>06539000</v>
      </c>
      <c r="C3059" t="str">
        <f t="shared" si="679"/>
        <v>06539003</v>
      </c>
      <c r="D3059" t="str">
        <f t="shared" si="680"/>
        <v>813</v>
      </c>
      <c r="E3059" t="str">
        <f t="shared" si="674"/>
        <v>89301171</v>
      </c>
      <c r="F3059" t="str">
        <f t="shared" si="675"/>
        <v>8160065342</v>
      </c>
      <c r="G3059" s="1">
        <v>44620</v>
      </c>
      <c r="H3059" t="str">
        <f>"91439"</f>
        <v>91439</v>
      </c>
      <c r="I3059">
        <v>1</v>
      </c>
      <c r="J3059">
        <v>356</v>
      </c>
      <c r="K3059">
        <v>0</v>
      </c>
      <c r="L3059">
        <v>277.68</v>
      </c>
    </row>
    <row r="3060" spans="1:12" x14ac:dyDescent="0.25">
      <c r="A3060" t="str">
        <f t="shared" si="668"/>
        <v>89301000</v>
      </c>
      <c r="B3060" t="str">
        <f t="shared" si="673"/>
        <v>06539000</v>
      </c>
      <c r="C3060" t="str">
        <f t="shared" si="679"/>
        <v>06539003</v>
      </c>
      <c r="D3060" t="str">
        <f t="shared" si="680"/>
        <v>813</v>
      </c>
      <c r="E3060" t="str">
        <f t="shared" si="674"/>
        <v>89301171</v>
      </c>
      <c r="F3060" t="str">
        <f t="shared" si="675"/>
        <v>8160065342</v>
      </c>
      <c r="G3060" s="1">
        <v>44620</v>
      </c>
      <c r="H3060" t="str">
        <f>"91439"</f>
        <v>91439</v>
      </c>
      <c r="I3060">
        <v>1</v>
      </c>
      <c r="J3060">
        <v>356</v>
      </c>
      <c r="K3060">
        <v>0</v>
      </c>
      <c r="L3060">
        <v>277.68</v>
      </c>
    </row>
    <row r="3061" spans="1:12" x14ac:dyDescent="0.25">
      <c r="A3061" t="str">
        <f t="shared" si="668"/>
        <v>89301000</v>
      </c>
      <c r="B3061" t="str">
        <f t="shared" si="673"/>
        <v>06539000</v>
      </c>
      <c r="C3061" t="str">
        <f t="shared" si="679"/>
        <v>06539003</v>
      </c>
      <c r="D3061" t="str">
        <f t="shared" si="680"/>
        <v>813</v>
      </c>
      <c r="E3061" t="str">
        <f t="shared" si="674"/>
        <v>89301171</v>
      </c>
      <c r="F3061" t="str">
        <f t="shared" si="675"/>
        <v>8160065342</v>
      </c>
      <c r="G3061" s="1">
        <v>44620</v>
      </c>
      <c r="H3061" t="str">
        <f>"91439"</f>
        <v>91439</v>
      </c>
      <c r="I3061">
        <v>1</v>
      </c>
      <c r="J3061">
        <v>356</v>
      </c>
      <c r="K3061">
        <v>0</v>
      </c>
      <c r="L3061">
        <v>277.68</v>
      </c>
    </row>
    <row r="3062" spans="1:12" x14ac:dyDescent="0.25">
      <c r="A3062" t="str">
        <f t="shared" si="668"/>
        <v>89301000</v>
      </c>
      <c r="B3062" t="str">
        <f t="shared" si="673"/>
        <v>06539000</v>
      </c>
      <c r="C3062" t="str">
        <f t="shared" si="679"/>
        <v>06539003</v>
      </c>
      <c r="D3062" t="str">
        <f t="shared" si="680"/>
        <v>813</v>
      </c>
      <c r="E3062" t="str">
        <f t="shared" si="674"/>
        <v>89301171</v>
      </c>
      <c r="F3062" t="str">
        <f t="shared" si="675"/>
        <v>8160065342</v>
      </c>
      <c r="G3062" s="1">
        <v>44620</v>
      </c>
      <c r="H3062" t="str">
        <f>"91439"</f>
        <v>91439</v>
      </c>
      <c r="I3062">
        <v>2</v>
      </c>
      <c r="J3062">
        <v>712</v>
      </c>
      <c r="K3062">
        <v>0</v>
      </c>
      <c r="L3062">
        <v>555.36</v>
      </c>
    </row>
    <row r="3063" spans="1:12" x14ac:dyDescent="0.25">
      <c r="A3063" t="str">
        <f t="shared" si="668"/>
        <v>89301000</v>
      </c>
      <c r="B3063" t="str">
        <f t="shared" si="673"/>
        <v>06539000</v>
      </c>
      <c r="C3063" t="str">
        <f t="shared" si="679"/>
        <v>06539003</v>
      </c>
      <c r="D3063" t="str">
        <f t="shared" si="680"/>
        <v>813</v>
      </c>
      <c r="E3063" t="str">
        <f t="shared" si="674"/>
        <v>89301171</v>
      </c>
      <c r="F3063" t="str">
        <f t="shared" si="675"/>
        <v>8160065342</v>
      </c>
      <c r="G3063" s="1">
        <v>44622</v>
      </c>
      <c r="H3063" t="str">
        <f t="shared" ref="H3063:H3072" si="681">"91413"</f>
        <v>91413</v>
      </c>
      <c r="I3063">
        <v>1</v>
      </c>
      <c r="J3063">
        <v>853</v>
      </c>
      <c r="K3063">
        <v>0</v>
      </c>
      <c r="L3063">
        <v>665.34</v>
      </c>
    </row>
    <row r="3064" spans="1:12" x14ac:dyDescent="0.25">
      <c r="A3064" t="str">
        <f t="shared" si="668"/>
        <v>89301000</v>
      </c>
      <c r="B3064" t="str">
        <f t="shared" si="673"/>
        <v>06539000</v>
      </c>
      <c r="C3064" t="str">
        <f t="shared" si="679"/>
        <v>06539003</v>
      </c>
      <c r="D3064" t="str">
        <f t="shared" si="680"/>
        <v>813</v>
      </c>
      <c r="E3064" t="str">
        <f t="shared" si="674"/>
        <v>89301171</v>
      </c>
      <c r="F3064" t="str">
        <f t="shared" si="675"/>
        <v>8160065342</v>
      </c>
      <c r="G3064" s="1">
        <v>44622</v>
      </c>
      <c r="H3064" t="str">
        <f t="shared" si="681"/>
        <v>91413</v>
      </c>
      <c r="I3064">
        <v>1</v>
      </c>
      <c r="J3064">
        <v>853</v>
      </c>
      <c r="K3064">
        <v>0</v>
      </c>
      <c r="L3064">
        <v>665.34</v>
      </c>
    </row>
    <row r="3065" spans="1:12" x14ac:dyDescent="0.25">
      <c r="A3065" t="str">
        <f t="shared" si="668"/>
        <v>89301000</v>
      </c>
      <c r="B3065" t="str">
        <f t="shared" si="673"/>
        <v>06539000</v>
      </c>
      <c r="C3065" t="str">
        <f t="shared" si="679"/>
        <v>06539003</v>
      </c>
      <c r="D3065" t="str">
        <f t="shared" si="680"/>
        <v>813</v>
      </c>
      <c r="E3065" t="str">
        <f t="shared" si="674"/>
        <v>89301171</v>
      </c>
      <c r="F3065" t="str">
        <f t="shared" si="675"/>
        <v>8160065342</v>
      </c>
      <c r="G3065" s="1">
        <v>44636</v>
      </c>
      <c r="H3065" t="str">
        <f t="shared" si="681"/>
        <v>91413</v>
      </c>
      <c r="I3065">
        <v>1</v>
      </c>
      <c r="J3065">
        <v>853</v>
      </c>
      <c r="K3065">
        <v>0</v>
      </c>
      <c r="L3065">
        <v>665.34</v>
      </c>
    </row>
    <row r="3066" spans="1:12" x14ac:dyDescent="0.25">
      <c r="A3066" t="str">
        <f t="shared" si="668"/>
        <v>89301000</v>
      </c>
      <c r="B3066" t="str">
        <f t="shared" si="673"/>
        <v>06539000</v>
      </c>
      <c r="C3066" t="str">
        <f t="shared" si="679"/>
        <v>06539003</v>
      </c>
      <c r="D3066" t="str">
        <f t="shared" si="680"/>
        <v>813</v>
      </c>
      <c r="E3066" t="str">
        <f t="shared" si="674"/>
        <v>89301171</v>
      </c>
      <c r="F3066" t="str">
        <f t="shared" si="675"/>
        <v>8160065342</v>
      </c>
      <c r="G3066" s="1">
        <v>44636</v>
      </c>
      <c r="H3066" t="str">
        <f t="shared" si="681"/>
        <v>91413</v>
      </c>
      <c r="I3066">
        <v>1</v>
      </c>
      <c r="J3066">
        <v>853</v>
      </c>
      <c r="K3066">
        <v>0</v>
      </c>
      <c r="L3066">
        <v>665.34</v>
      </c>
    </row>
    <row r="3067" spans="1:12" x14ac:dyDescent="0.25">
      <c r="A3067" t="str">
        <f t="shared" si="668"/>
        <v>89301000</v>
      </c>
      <c r="B3067" t="str">
        <f t="shared" si="673"/>
        <v>06539000</v>
      </c>
      <c r="C3067" t="str">
        <f t="shared" si="679"/>
        <v>06539003</v>
      </c>
      <c r="D3067" t="str">
        <f t="shared" si="680"/>
        <v>813</v>
      </c>
      <c r="E3067" t="str">
        <f t="shared" si="674"/>
        <v>89301171</v>
      </c>
      <c r="F3067" t="str">
        <f t="shared" si="675"/>
        <v>8160065342</v>
      </c>
      <c r="G3067" s="1">
        <v>44636</v>
      </c>
      <c r="H3067" t="str">
        <f t="shared" si="681"/>
        <v>91413</v>
      </c>
      <c r="I3067">
        <v>1</v>
      </c>
      <c r="J3067">
        <v>853</v>
      </c>
      <c r="K3067">
        <v>0</v>
      </c>
      <c r="L3067">
        <v>665.34</v>
      </c>
    </row>
    <row r="3068" spans="1:12" x14ac:dyDescent="0.25">
      <c r="A3068" t="str">
        <f t="shared" si="668"/>
        <v>89301000</v>
      </c>
      <c r="B3068" t="str">
        <f t="shared" si="673"/>
        <v>06539000</v>
      </c>
      <c r="C3068" t="str">
        <f t="shared" si="679"/>
        <v>06539003</v>
      </c>
      <c r="D3068" t="str">
        <f t="shared" si="680"/>
        <v>813</v>
      </c>
      <c r="E3068" t="str">
        <f t="shared" si="674"/>
        <v>89301171</v>
      </c>
      <c r="F3068" t="str">
        <f t="shared" si="675"/>
        <v>8160065342</v>
      </c>
      <c r="G3068" s="1">
        <v>44636</v>
      </c>
      <c r="H3068" t="str">
        <f t="shared" si="681"/>
        <v>91413</v>
      </c>
      <c r="I3068">
        <v>1</v>
      </c>
      <c r="J3068">
        <v>853</v>
      </c>
      <c r="K3068">
        <v>0</v>
      </c>
      <c r="L3068">
        <v>665.34</v>
      </c>
    </row>
    <row r="3069" spans="1:12" x14ac:dyDescent="0.25">
      <c r="A3069" t="str">
        <f t="shared" si="668"/>
        <v>89301000</v>
      </c>
      <c r="B3069" t="str">
        <f t="shared" si="673"/>
        <v>06539000</v>
      </c>
      <c r="C3069" t="str">
        <f t="shared" si="679"/>
        <v>06539003</v>
      </c>
      <c r="D3069" t="str">
        <f t="shared" si="680"/>
        <v>813</v>
      </c>
      <c r="E3069" t="str">
        <f t="shared" si="674"/>
        <v>89301171</v>
      </c>
      <c r="F3069" t="str">
        <f t="shared" si="675"/>
        <v>8160065342</v>
      </c>
      <c r="G3069" s="1">
        <v>44636</v>
      </c>
      <c r="H3069" t="str">
        <f t="shared" si="681"/>
        <v>91413</v>
      </c>
      <c r="I3069">
        <v>1</v>
      </c>
      <c r="J3069">
        <v>853</v>
      </c>
      <c r="K3069">
        <v>0</v>
      </c>
      <c r="L3069">
        <v>665.34</v>
      </c>
    </row>
    <row r="3070" spans="1:12" x14ac:dyDescent="0.25">
      <c r="A3070" t="str">
        <f t="shared" si="668"/>
        <v>89301000</v>
      </c>
      <c r="B3070" t="str">
        <f t="shared" si="673"/>
        <v>06539000</v>
      </c>
      <c r="C3070" t="str">
        <f t="shared" si="679"/>
        <v>06539003</v>
      </c>
      <c r="D3070" t="str">
        <f t="shared" si="680"/>
        <v>813</v>
      </c>
      <c r="E3070" t="str">
        <f t="shared" si="674"/>
        <v>89301171</v>
      </c>
      <c r="F3070" t="str">
        <f t="shared" si="675"/>
        <v>8160065342</v>
      </c>
      <c r="G3070" s="1">
        <v>44636</v>
      </c>
      <c r="H3070" t="str">
        <f t="shared" si="681"/>
        <v>91413</v>
      </c>
      <c r="I3070">
        <v>1</v>
      </c>
      <c r="J3070">
        <v>853</v>
      </c>
      <c r="K3070">
        <v>0</v>
      </c>
      <c r="L3070">
        <v>665.34</v>
      </c>
    </row>
    <row r="3071" spans="1:12" x14ac:dyDescent="0.25">
      <c r="A3071" t="str">
        <f t="shared" si="668"/>
        <v>89301000</v>
      </c>
      <c r="B3071" t="str">
        <f t="shared" si="673"/>
        <v>06539000</v>
      </c>
      <c r="C3071" t="str">
        <f t="shared" si="679"/>
        <v>06539003</v>
      </c>
      <c r="D3071" t="str">
        <f t="shared" si="680"/>
        <v>813</v>
      </c>
      <c r="E3071" t="str">
        <f t="shared" si="674"/>
        <v>89301171</v>
      </c>
      <c r="F3071" t="str">
        <f t="shared" si="675"/>
        <v>8160065342</v>
      </c>
      <c r="G3071" s="1">
        <v>44636</v>
      </c>
      <c r="H3071" t="str">
        <f t="shared" si="681"/>
        <v>91413</v>
      </c>
      <c r="I3071">
        <v>1</v>
      </c>
      <c r="J3071">
        <v>853</v>
      </c>
      <c r="K3071">
        <v>0</v>
      </c>
      <c r="L3071">
        <v>665.34</v>
      </c>
    </row>
    <row r="3072" spans="1:12" x14ac:dyDescent="0.25">
      <c r="A3072" t="str">
        <f t="shared" si="668"/>
        <v>89301000</v>
      </c>
      <c r="B3072" t="str">
        <f t="shared" si="673"/>
        <v>06539000</v>
      </c>
      <c r="C3072" t="str">
        <f t="shared" si="679"/>
        <v>06539003</v>
      </c>
      <c r="D3072" t="str">
        <f t="shared" si="680"/>
        <v>813</v>
      </c>
      <c r="E3072" t="str">
        <f t="shared" si="674"/>
        <v>89301171</v>
      </c>
      <c r="F3072" t="str">
        <f t="shared" si="675"/>
        <v>8160065342</v>
      </c>
      <c r="G3072" s="1">
        <v>44636</v>
      </c>
      <c r="H3072" t="str">
        <f t="shared" si="681"/>
        <v>91413</v>
      </c>
      <c r="I3072">
        <v>1</v>
      </c>
      <c r="J3072">
        <v>853</v>
      </c>
      <c r="K3072">
        <v>0</v>
      </c>
      <c r="L3072">
        <v>665.34</v>
      </c>
    </row>
    <row r="3073" spans="1:12" x14ac:dyDescent="0.25">
      <c r="A3073" t="str">
        <f t="shared" si="668"/>
        <v>89301000</v>
      </c>
      <c r="B3073" t="str">
        <f t="shared" si="673"/>
        <v>06539000</v>
      </c>
      <c r="C3073" t="str">
        <f t="shared" si="679"/>
        <v>06539003</v>
      </c>
      <c r="D3073" t="str">
        <f t="shared" si="680"/>
        <v>813</v>
      </c>
      <c r="E3073" t="str">
        <f t="shared" si="674"/>
        <v>89301171</v>
      </c>
      <c r="F3073" t="str">
        <f t="shared" si="675"/>
        <v>8160065342</v>
      </c>
      <c r="G3073" s="1">
        <v>44617</v>
      </c>
      <c r="H3073" t="str">
        <f t="shared" ref="H3073:H3079" si="682">"91197"</f>
        <v>91197</v>
      </c>
      <c r="I3073">
        <v>1</v>
      </c>
      <c r="J3073">
        <v>1046</v>
      </c>
      <c r="K3073">
        <v>0</v>
      </c>
      <c r="L3073">
        <v>815.88</v>
      </c>
    </row>
    <row r="3074" spans="1:12" x14ac:dyDescent="0.25">
      <c r="A3074" t="str">
        <f t="shared" ref="A3074:A3137" si="683">"89301000"</f>
        <v>89301000</v>
      </c>
      <c r="B3074" t="str">
        <f t="shared" si="673"/>
        <v>06539000</v>
      </c>
      <c r="C3074" t="str">
        <f t="shared" si="679"/>
        <v>06539003</v>
      </c>
      <c r="D3074" t="str">
        <f t="shared" si="680"/>
        <v>813</v>
      </c>
      <c r="E3074" t="str">
        <f t="shared" si="674"/>
        <v>89301171</v>
      </c>
      <c r="F3074" t="str">
        <f t="shared" si="675"/>
        <v>8160065342</v>
      </c>
      <c r="G3074" s="1">
        <v>44620</v>
      </c>
      <c r="H3074" t="str">
        <f t="shared" si="682"/>
        <v>91197</v>
      </c>
      <c r="I3074">
        <v>1</v>
      </c>
      <c r="J3074">
        <v>1046</v>
      </c>
      <c r="K3074">
        <v>0</v>
      </c>
      <c r="L3074">
        <v>815.88</v>
      </c>
    </row>
    <row r="3075" spans="1:12" x14ac:dyDescent="0.25">
      <c r="A3075" t="str">
        <f t="shared" si="683"/>
        <v>89301000</v>
      </c>
      <c r="B3075" t="str">
        <f t="shared" si="673"/>
        <v>06539000</v>
      </c>
      <c r="C3075" t="str">
        <f t="shared" si="679"/>
        <v>06539003</v>
      </c>
      <c r="D3075" t="str">
        <f t="shared" si="680"/>
        <v>813</v>
      </c>
      <c r="E3075" t="str">
        <f t="shared" si="674"/>
        <v>89301171</v>
      </c>
      <c r="F3075" t="str">
        <f t="shared" si="675"/>
        <v>8160065342</v>
      </c>
      <c r="G3075" s="1">
        <v>44620</v>
      </c>
      <c r="H3075" t="str">
        <f t="shared" si="682"/>
        <v>91197</v>
      </c>
      <c r="I3075">
        <v>1</v>
      </c>
      <c r="J3075">
        <v>1046</v>
      </c>
      <c r="K3075">
        <v>0</v>
      </c>
      <c r="L3075">
        <v>815.88</v>
      </c>
    </row>
    <row r="3076" spans="1:12" x14ac:dyDescent="0.25">
      <c r="A3076" t="str">
        <f t="shared" si="683"/>
        <v>89301000</v>
      </c>
      <c r="B3076" t="str">
        <f t="shared" si="673"/>
        <v>06539000</v>
      </c>
      <c r="C3076" t="str">
        <f t="shared" si="679"/>
        <v>06539003</v>
      </c>
      <c r="D3076" t="str">
        <f t="shared" si="680"/>
        <v>813</v>
      </c>
      <c r="E3076" t="str">
        <f t="shared" si="674"/>
        <v>89301171</v>
      </c>
      <c r="F3076" t="str">
        <f t="shared" si="675"/>
        <v>8160065342</v>
      </c>
      <c r="G3076" s="1">
        <v>44619</v>
      </c>
      <c r="H3076" t="str">
        <f t="shared" si="682"/>
        <v>91197</v>
      </c>
      <c r="I3076">
        <v>1</v>
      </c>
      <c r="J3076">
        <v>1046</v>
      </c>
      <c r="K3076">
        <v>0</v>
      </c>
      <c r="L3076">
        <v>815.88</v>
      </c>
    </row>
    <row r="3077" spans="1:12" x14ac:dyDescent="0.25">
      <c r="A3077" t="str">
        <f t="shared" si="683"/>
        <v>89301000</v>
      </c>
      <c r="B3077" t="str">
        <f t="shared" si="673"/>
        <v>06539000</v>
      </c>
      <c r="C3077" t="str">
        <f t="shared" si="679"/>
        <v>06539003</v>
      </c>
      <c r="D3077" t="str">
        <f t="shared" si="680"/>
        <v>813</v>
      </c>
      <c r="E3077" t="str">
        <f t="shared" si="674"/>
        <v>89301171</v>
      </c>
      <c r="F3077" t="str">
        <f t="shared" si="675"/>
        <v>8160065342</v>
      </c>
      <c r="G3077" s="1">
        <v>44619</v>
      </c>
      <c r="H3077" t="str">
        <f t="shared" si="682"/>
        <v>91197</v>
      </c>
      <c r="I3077">
        <v>1</v>
      </c>
      <c r="J3077">
        <v>1046</v>
      </c>
      <c r="K3077">
        <v>0</v>
      </c>
      <c r="L3077">
        <v>815.88</v>
      </c>
    </row>
    <row r="3078" spans="1:12" x14ac:dyDescent="0.25">
      <c r="A3078" t="str">
        <f t="shared" si="683"/>
        <v>89301000</v>
      </c>
      <c r="B3078" t="str">
        <f t="shared" si="673"/>
        <v>06539000</v>
      </c>
      <c r="C3078" t="str">
        <f t="shared" si="679"/>
        <v>06539003</v>
      </c>
      <c r="D3078" t="str">
        <f t="shared" si="680"/>
        <v>813</v>
      </c>
      <c r="E3078" t="str">
        <f t="shared" si="674"/>
        <v>89301171</v>
      </c>
      <c r="F3078" t="str">
        <f t="shared" si="675"/>
        <v>8160065342</v>
      </c>
      <c r="G3078" s="1">
        <v>44618</v>
      </c>
      <c r="H3078" t="str">
        <f t="shared" si="682"/>
        <v>91197</v>
      </c>
      <c r="I3078">
        <v>1</v>
      </c>
      <c r="J3078">
        <v>1046</v>
      </c>
      <c r="K3078">
        <v>0</v>
      </c>
      <c r="L3078">
        <v>815.88</v>
      </c>
    </row>
    <row r="3079" spans="1:12" x14ac:dyDescent="0.25">
      <c r="A3079" t="str">
        <f t="shared" si="683"/>
        <v>89301000</v>
      </c>
      <c r="B3079" t="str">
        <f t="shared" si="673"/>
        <v>06539000</v>
      </c>
      <c r="C3079" t="str">
        <f t="shared" si="679"/>
        <v>06539003</v>
      </c>
      <c r="D3079" t="str">
        <f t="shared" si="680"/>
        <v>813</v>
      </c>
      <c r="E3079" t="str">
        <f t="shared" si="674"/>
        <v>89301171</v>
      </c>
      <c r="F3079" t="str">
        <f t="shared" si="675"/>
        <v>8160065342</v>
      </c>
      <c r="G3079" s="1">
        <v>44618</v>
      </c>
      <c r="H3079" t="str">
        <f t="shared" si="682"/>
        <v>91197</v>
      </c>
      <c r="I3079">
        <v>1</v>
      </c>
      <c r="J3079">
        <v>1046</v>
      </c>
      <c r="K3079">
        <v>0</v>
      </c>
      <c r="L3079">
        <v>815.88</v>
      </c>
    </row>
    <row r="3080" spans="1:12" x14ac:dyDescent="0.25">
      <c r="A3080" t="str">
        <f t="shared" si="683"/>
        <v>89301000</v>
      </c>
      <c r="B3080" t="str">
        <f t="shared" si="673"/>
        <v>06539000</v>
      </c>
      <c r="C3080" t="str">
        <f t="shared" si="679"/>
        <v>06539003</v>
      </c>
      <c r="D3080" t="str">
        <f t="shared" si="680"/>
        <v>813</v>
      </c>
      <c r="E3080" t="str">
        <f t="shared" si="674"/>
        <v>89301171</v>
      </c>
      <c r="F3080" t="str">
        <f t="shared" si="675"/>
        <v>8160065342</v>
      </c>
      <c r="G3080" s="1">
        <v>44626</v>
      </c>
      <c r="H3080" t="str">
        <f>"91329"</f>
        <v>91329</v>
      </c>
      <c r="I3080">
        <v>2</v>
      </c>
      <c r="J3080">
        <v>428</v>
      </c>
      <c r="K3080">
        <v>0</v>
      </c>
      <c r="L3080">
        <v>333.84</v>
      </c>
    </row>
    <row r="3081" spans="1:12" x14ac:dyDescent="0.25">
      <c r="A3081" t="str">
        <f t="shared" si="683"/>
        <v>89301000</v>
      </c>
      <c r="B3081" t="str">
        <f t="shared" si="673"/>
        <v>06539000</v>
      </c>
      <c r="C3081" t="str">
        <f t="shared" si="679"/>
        <v>06539003</v>
      </c>
      <c r="D3081" t="str">
        <f t="shared" si="680"/>
        <v>813</v>
      </c>
      <c r="E3081" t="str">
        <f t="shared" si="674"/>
        <v>89301171</v>
      </c>
      <c r="F3081" t="str">
        <f t="shared" si="675"/>
        <v>8160065342</v>
      </c>
      <c r="G3081" s="1">
        <v>44626</v>
      </c>
      <c r="H3081" t="str">
        <f>"91329"</f>
        <v>91329</v>
      </c>
      <c r="I3081">
        <v>2</v>
      </c>
      <c r="J3081">
        <v>428</v>
      </c>
      <c r="K3081">
        <v>0</v>
      </c>
      <c r="L3081">
        <v>333.84</v>
      </c>
    </row>
    <row r="3082" spans="1:12" x14ac:dyDescent="0.25">
      <c r="A3082" t="str">
        <f t="shared" si="683"/>
        <v>89301000</v>
      </c>
      <c r="B3082" t="str">
        <f t="shared" si="673"/>
        <v>06539000</v>
      </c>
      <c r="C3082" t="str">
        <f t="shared" si="679"/>
        <v>06539003</v>
      </c>
      <c r="D3082" t="str">
        <f t="shared" si="680"/>
        <v>813</v>
      </c>
      <c r="E3082" t="str">
        <f t="shared" si="674"/>
        <v>89301171</v>
      </c>
      <c r="F3082" t="str">
        <f t="shared" si="675"/>
        <v>8160065342</v>
      </c>
      <c r="G3082" s="1">
        <v>44626</v>
      </c>
      <c r="H3082" t="str">
        <f>"91329"</f>
        <v>91329</v>
      </c>
      <c r="I3082">
        <v>2</v>
      </c>
      <c r="J3082">
        <v>428</v>
      </c>
      <c r="K3082">
        <v>0</v>
      </c>
      <c r="L3082">
        <v>333.84</v>
      </c>
    </row>
    <row r="3083" spans="1:12" x14ac:dyDescent="0.25">
      <c r="A3083" t="str">
        <f t="shared" si="683"/>
        <v>89301000</v>
      </c>
      <c r="B3083" t="str">
        <f t="shared" si="673"/>
        <v>06539000</v>
      </c>
      <c r="C3083" t="str">
        <f t="shared" si="679"/>
        <v>06539003</v>
      </c>
      <c r="D3083" t="str">
        <f t="shared" si="680"/>
        <v>813</v>
      </c>
      <c r="E3083" t="str">
        <f t="shared" si="674"/>
        <v>89301171</v>
      </c>
      <c r="F3083" t="str">
        <f t="shared" si="675"/>
        <v>8160065342</v>
      </c>
      <c r="G3083" s="1">
        <v>44626</v>
      </c>
      <c r="H3083" t="str">
        <f>"91329"</f>
        <v>91329</v>
      </c>
      <c r="I3083">
        <v>2</v>
      </c>
      <c r="J3083">
        <v>428</v>
      </c>
      <c r="K3083">
        <v>0</v>
      </c>
      <c r="L3083">
        <v>333.84</v>
      </c>
    </row>
    <row r="3084" spans="1:12" x14ac:dyDescent="0.25">
      <c r="A3084" t="str">
        <f t="shared" si="683"/>
        <v>89301000</v>
      </c>
      <c r="B3084" t="str">
        <f t="shared" si="673"/>
        <v>06539000</v>
      </c>
      <c r="C3084" t="str">
        <f t="shared" si="679"/>
        <v>06539003</v>
      </c>
      <c r="D3084" t="str">
        <f t="shared" si="680"/>
        <v>813</v>
      </c>
      <c r="E3084" t="str">
        <f t="shared" si="674"/>
        <v>89301171</v>
      </c>
      <c r="F3084" t="str">
        <f t="shared" si="675"/>
        <v>8160065342</v>
      </c>
      <c r="G3084" s="1">
        <v>44620</v>
      </c>
      <c r="H3084" t="str">
        <f>"91129"</f>
        <v>91129</v>
      </c>
      <c r="I3084">
        <v>1</v>
      </c>
      <c r="J3084">
        <v>174</v>
      </c>
      <c r="K3084">
        <v>0</v>
      </c>
      <c r="L3084">
        <v>135.72</v>
      </c>
    </row>
    <row r="3085" spans="1:12" x14ac:dyDescent="0.25">
      <c r="A3085" t="str">
        <f t="shared" si="683"/>
        <v>89301000</v>
      </c>
      <c r="B3085" t="str">
        <f t="shared" si="673"/>
        <v>06539000</v>
      </c>
      <c r="C3085" t="str">
        <f t="shared" si="679"/>
        <v>06539003</v>
      </c>
      <c r="D3085" t="str">
        <f t="shared" si="680"/>
        <v>813</v>
      </c>
      <c r="E3085" t="str">
        <f t="shared" si="674"/>
        <v>89301171</v>
      </c>
      <c r="F3085" t="str">
        <f t="shared" si="675"/>
        <v>8160065342</v>
      </c>
      <c r="G3085" s="1">
        <v>44620</v>
      </c>
      <c r="H3085" t="str">
        <f>"91131"</f>
        <v>91131</v>
      </c>
      <c r="I3085">
        <v>1</v>
      </c>
      <c r="J3085">
        <v>171</v>
      </c>
      <c r="K3085">
        <v>0</v>
      </c>
      <c r="L3085">
        <v>133.38</v>
      </c>
    </row>
    <row r="3086" spans="1:12" x14ac:dyDescent="0.25">
      <c r="A3086" t="str">
        <f t="shared" si="683"/>
        <v>89301000</v>
      </c>
      <c r="B3086" t="str">
        <f t="shared" si="673"/>
        <v>06539000</v>
      </c>
      <c r="C3086" t="str">
        <f t="shared" si="679"/>
        <v>06539003</v>
      </c>
      <c r="D3086" t="str">
        <f t="shared" si="680"/>
        <v>813</v>
      </c>
      <c r="E3086" t="str">
        <f t="shared" si="674"/>
        <v>89301171</v>
      </c>
      <c r="F3086" t="str">
        <f t="shared" si="675"/>
        <v>8160065342</v>
      </c>
      <c r="G3086" s="1">
        <v>44620</v>
      </c>
      <c r="H3086" t="str">
        <f>"91133"</f>
        <v>91133</v>
      </c>
      <c r="I3086">
        <v>1</v>
      </c>
      <c r="J3086">
        <v>176</v>
      </c>
      <c r="K3086">
        <v>0</v>
      </c>
      <c r="L3086">
        <v>137.28</v>
      </c>
    </row>
    <row r="3087" spans="1:12" x14ac:dyDescent="0.25">
      <c r="A3087" t="str">
        <f t="shared" si="683"/>
        <v>89301000</v>
      </c>
      <c r="B3087" t="str">
        <f t="shared" si="673"/>
        <v>06539000</v>
      </c>
      <c r="C3087" t="str">
        <f t="shared" si="679"/>
        <v>06539003</v>
      </c>
      <c r="D3087" t="str">
        <f t="shared" si="680"/>
        <v>813</v>
      </c>
      <c r="E3087" t="str">
        <f t="shared" si="674"/>
        <v>89301171</v>
      </c>
      <c r="F3087" t="str">
        <f t="shared" si="675"/>
        <v>8160065342</v>
      </c>
      <c r="G3087" s="1">
        <v>44620</v>
      </c>
      <c r="H3087" t="str">
        <f>"91171"</f>
        <v>91171</v>
      </c>
      <c r="I3087">
        <v>1</v>
      </c>
      <c r="J3087">
        <v>360</v>
      </c>
      <c r="K3087">
        <v>0</v>
      </c>
      <c r="L3087">
        <v>280.8</v>
      </c>
    </row>
    <row r="3088" spans="1:12" x14ac:dyDescent="0.25">
      <c r="A3088" t="str">
        <f t="shared" si="683"/>
        <v>89301000</v>
      </c>
      <c r="B3088" t="str">
        <f t="shared" si="673"/>
        <v>06539000</v>
      </c>
      <c r="C3088" t="str">
        <f t="shared" si="679"/>
        <v>06539003</v>
      </c>
      <c r="D3088" t="str">
        <f t="shared" si="680"/>
        <v>813</v>
      </c>
      <c r="E3088" t="str">
        <f t="shared" si="674"/>
        <v>89301171</v>
      </c>
      <c r="F3088" t="str">
        <f t="shared" si="675"/>
        <v>8160065342</v>
      </c>
      <c r="G3088" s="1">
        <v>44617</v>
      </c>
      <c r="H3088" t="str">
        <f>"91173"</f>
        <v>91173</v>
      </c>
      <c r="I3088">
        <v>1</v>
      </c>
      <c r="J3088">
        <v>335</v>
      </c>
      <c r="K3088">
        <v>0</v>
      </c>
      <c r="L3088">
        <v>261.3</v>
      </c>
    </row>
    <row r="3089" spans="1:12" x14ac:dyDescent="0.25">
      <c r="A3089" t="str">
        <f t="shared" si="683"/>
        <v>89301000</v>
      </c>
      <c r="B3089" t="str">
        <f t="shared" si="673"/>
        <v>06539000</v>
      </c>
      <c r="C3089" t="str">
        <f t="shared" si="679"/>
        <v>06539003</v>
      </c>
      <c r="D3089" t="str">
        <f t="shared" si="680"/>
        <v>813</v>
      </c>
      <c r="E3089" t="str">
        <f t="shared" si="674"/>
        <v>89301171</v>
      </c>
      <c r="F3089" t="str">
        <f t="shared" si="675"/>
        <v>8160065342</v>
      </c>
      <c r="G3089" s="1">
        <v>44620</v>
      </c>
      <c r="H3089" t="str">
        <f>"91175"</f>
        <v>91175</v>
      </c>
      <c r="I3089">
        <v>1</v>
      </c>
      <c r="J3089">
        <v>360</v>
      </c>
      <c r="K3089">
        <v>0</v>
      </c>
      <c r="L3089">
        <v>280.8</v>
      </c>
    </row>
    <row r="3090" spans="1:12" x14ac:dyDescent="0.25">
      <c r="A3090" t="str">
        <f t="shared" si="683"/>
        <v>89301000</v>
      </c>
      <c r="B3090" t="str">
        <f t="shared" si="673"/>
        <v>06539000</v>
      </c>
      <c r="C3090" t="str">
        <f t="shared" si="679"/>
        <v>06539003</v>
      </c>
      <c r="D3090" t="str">
        <f t="shared" si="680"/>
        <v>813</v>
      </c>
      <c r="E3090" t="str">
        <f t="shared" si="674"/>
        <v>89301171</v>
      </c>
      <c r="F3090" t="str">
        <f t="shared" si="675"/>
        <v>8160065342</v>
      </c>
      <c r="G3090" s="1">
        <v>44618</v>
      </c>
      <c r="H3090" t="str">
        <f>"91167"</f>
        <v>91167</v>
      </c>
      <c r="I3090">
        <v>1</v>
      </c>
      <c r="J3090">
        <v>425</v>
      </c>
      <c r="K3090">
        <v>0</v>
      </c>
      <c r="L3090">
        <v>331.5</v>
      </c>
    </row>
    <row r="3091" spans="1:12" x14ac:dyDescent="0.25">
      <c r="A3091" t="str">
        <f t="shared" si="683"/>
        <v>89301000</v>
      </c>
      <c r="B3091" t="str">
        <f t="shared" si="673"/>
        <v>06539000</v>
      </c>
      <c r="C3091" t="str">
        <f t="shared" si="679"/>
        <v>06539003</v>
      </c>
      <c r="D3091" t="str">
        <f t="shared" si="680"/>
        <v>813</v>
      </c>
      <c r="E3091" t="str">
        <f t="shared" si="674"/>
        <v>89301171</v>
      </c>
      <c r="F3091" t="str">
        <f t="shared" si="675"/>
        <v>8160065342</v>
      </c>
      <c r="G3091" s="1">
        <v>44618</v>
      </c>
      <c r="H3091" t="str">
        <f>"91169"</f>
        <v>91169</v>
      </c>
      <c r="I3091">
        <v>1</v>
      </c>
      <c r="J3091">
        <v>425</v>
      </c>
      <c r="K3091">
        <v>0</v>
      </c>
      <c r="L3091">
        <v>331.5</v>
      </c>
    </row>
    <row r="3092" spans="1:12" x14ac:dyDescent="0.25">
      <c r="A3092" t="str">
        <f t="shared" si="683"/>
        <v>89301000</v>
      </c>
      <c r="B3092" t="str">
        <f t="shared" si="673"/>
        <v>06539000</v>
      </c>
      <c r="C3092" t="str">
        <f t="shared" si="679"/>
        <v>06539003</v>
      </c>
      <c r="D3092" t="str">
        <f t="shared" si="680"/>
        <v>813</v>
      </c>
      <c r="E3092" t="str">
        <f t="shared" si="674"/>
        <v>89301171</v>
      </c>
      <c r="F3092" t="str">
        <f t="shared" si="675"/>
        <v>8160065342</v>
      </c>
      <c r="G3092" s="1">
        <v>44617</v>
      </c>
      <c r="H3092" t="str">
        <f>"91167"</f>
        <v>91167</v>
      </c>
      <c r="I3092">
        <v>1</v>
      </c>
      <c r="J3092">
        <v>425</v>
      </c>
      <c r="K3092">
        <v>0</v>
      </c>
      <c r="L3092">
        <v>331.5</v>
      </c>
    </row>
    <row r="3093" spans="1:12" x14ac:dyDescent="0.25">
      <c r="A3093" t="str">
        <f t="shared" si="683"/>
        <v>89301000</v>
      </c>
      <c r="B3093" t="str">
        <f t="shared" si="673"/>
        <v>06539000</v>
      </c>
      <c r="C3093" t="str">
        <f t="shared" si="679"/>
        <v>06539003</v>
      </c>
      <c r="D3093" t="str">
        <f t="shared" si="680"/>
        <v>813</v>
      </c>
      <c r="E3093" t="str">
        <f t="shared" si="674"/>
        <v>89301171</v>
      </c>
      <c r="F3093" t="str">
        <f t="shared" si="675"/>
        <v>8160065342</v>
      </c>
      <c r="G3093" s="1">
        <v>44617</v>
      </c>
      <c r="H3093" t="str">
        <f>"91169"</f>
        <v>91169</v>
      </c>
      <c r="I3093">
        <v>1</v>
      </c>
      <c r="J3093">
        <v>425</v>
      </c>
      <c r="K3093">
        <v>0</v>
      </c>
      <c r="L3093">
        <v>331.5</v>
      </c>
    </row>
    <row r="3094" spans="1:12" x14ac:dyDescent="0.25">
      <c r="A3094" t="str">
        <f t="shared" si="683"/>
        <v>89301000</v>
      </c>
      <c r="B3094" t="str">
        <f t="shared" si="673"/>
        <v>06539000</v>
      </c>
      <c r="C3094" t="str">
        <f t="shared" si="679"/>
        <v>06539003</v>
      </c>
      <c r="D3094" t="str">
        <f t="shared" si="680"/>
        <v>813</v>
      </c>
      <c r="E3094" t="str">
        <f t="shared" si="674"/>
        <v>89301171</v>
      </c>
      <c r="F3094" t="str">
        <f t="shared" si="675"/>
        <v>8160065342</v>
      </c>
      <c r="G3094" s="1">
        <v>44617</v>
      </c>
      <c r="H3094" t="str">
        <f>"91475"</f>
        <v>91475</v>
      </c>
      <c r="I3094">
        <v>1</v>
      </c>
      <c r="J3094">
        <v>206</v>
      </c>
      <c r="K3094">
        <v>0</v>
      </c>
      <c r="L3094">
        <v>160.68</v>
      </c>
    </row>
    <row r="3095" spans="1:12" x14ac:dyDescent="0.25">
      <c r="A3095" t="str">
        <f t="shared" si="683"/>
        <v>89301000</v>
      </c>
      <c r="B3095" t="str">
        <f t="shared" si="673"/>
        <v>06539000</v>
      </c>
      <c r="C3095" t="str">
        <f>"06539001"</f>
        <v>06539001</v>
      </c>
      <c r="D3095" t="str">
        <f>"801"</f>
        <v>801</v>
      </c>
      <c r="E3095" t="str">
        <f>"89301172"</f>
        <v>89301172</v>
      </c>
      <c r="F3095" t="str">
        <f>"7112105308"</f>
        <v>7112105308</v>
      </c>
      <c r="G3095" s="1">
        <v>44623</v>
      </c>
      <c r="H3095" t="str">
        <f>"81705"</f>
        <v>81705</v>
      </c>
      <c r="I3095">
        <v>1</v>
      </c>
      <c r="J3095">
        <v>346</v>
      </c>
      <c r="K3095">
        <v>0</v>
      </c>
      <c r="L3095">
        <v>269.88</v>
      </c>
    </row>
    <row r="3096" spans="1:12" x14ac:dyDescent="0.25">
      <c r="A3096" t="str">
        <f t="shared" si="683"/>
        <v>89301000</v>
      </c>
      <c r="B3096" t="str">
        <f t="shared" ref="B3096:B3159" si="684">"06539000"</f>
        <v>06539000</v>
      </c>
      <c r="C3096" t="str">
        <f>"06539001"</f>
        <v>06539001</v>
      </c>
      <c r="D3096" t="str">
        <f>"801"</f>
        <v>801</v>
      </c>
      <c r="E3096" t="str">
        <f>"89301172"</f>
        <v>89301172</v>
      </c>
      <c r="F3096" t="str">
        <f>"7112105308"</f>
        <v>7112105308</v>
      </c>
      <c r="G3096" s="1">
        <v>44624</v>
      </c>
      <c r="H3096" t="str">
        <f>"81705"</f>
        <v>81705</v>
      </c>
      <c r="I3096">
        <v>1</v>
      </c>
      <c r="J3096">
        <v>346</v>
      </c>
      <c r="K3096">
        <v>0</v>
      </c>
      <c r="L3096">
        <v>269.88</v>
      </c>
    </row>
    <row r="3097" spans="1:12" x14ac:dyDescent="0.25">
      <c r="A3097" t="str">
        <f t="shared" si="683"/>
        <v>89301000</v>
      </c>
      <c r="B3097" t="str">
        <f t="shared" si="684"/>
        <v>06539000</v>
      </c>
      <c r="C3097" t="str">
        <f t="shared" ref="C3097:C3128" si="685">"06539003"</f>
        <v>06539003</v>
      </c>
      <c r="D3097" t="str">
        <f t="shared" ref="D3097:D3128" si="686">"813"</f>
        <v>813</v>
      </c>
      <c r="E3097" t="str">
        <f>"89301172"</f>
        <v>89301172</v>
      </c>
      <c r="F3097" t="str">
        <f>"7112105308"</f>
        <v>7112105308</v>
      </c>
      <c r="G3097" s="1">
        <v>44624</v>
      </c>
      <c r="H3097" t="str">
        <f>"91329"</f>
        <v>91329</v>
      </c>
      <c r="I3097">
        <v>2</v>
      </c>
      <c r="J3097">
        <v>428</v>
      </c>
      <c r="K3097">
        <v>0</v>
      </c>
      <c r="L3097">
        <v>333.84</v>
      </c>
    </row>
    <row r="3098" spans="1:12" x14ac:dyDescent="0.25">
      <c r="A3098" t="str">
        <f t="shared" si="683"/>
        <v>89301000</v>
      </c>
      <c r="B3098" t="str">
        <f t="shared" si="684"/>
        <v>06539000</v>
      </c>
      <c r="C3098" t="str">
        <f t="shared" si="685"/>
        <v>06539003</v>
      </c>
      <c r="D3098" t="str">
        <f t="shared" si="686"/>
        <v>813</v>
      </c>
      <c r="E3098" t="str">
        <f>"89301172"</f>
        <v>89301172</v>
      </c>
      <c r="F3098" t="str">
        <f>"7112105308"</f>
        <v>7112105308</v>
      </c>
      <c r="G3098" s="1">
        <v>44617</v>
      </c>
      <c r="H3098" t="str">
        <f>"91475"</f>
        <v>91475</v>
      </c>
      <c r="I3098">
        <v>1</v>
      </c>
      <c r="J3098">
        <v>206</v>
      </c>
      <c r="K3098">
        <v>0</v>
      </c>
      <c r="L3098">
        <v>160.68</v>
      </c>
    </row>
    <row r="3099" spans="1:12" x14ac:dyDescent="0.25">
      <c r="A3099" t="str">
        <f t="shared" si="683"/>
        <v>89301000</v>
      </c>
      <c r="B3099" t="str">
        <f t="shared" si="684"/>
        <v>06539000</v>
      </c>
      <c r="C3099" t="str">
        <f t="shared" si="685"/>
        <v>06539003</v>
      </c>
      <c r="D3099" t="str">
        <f t="shared" si="686"/>
        <v>813</v>
      </c>
      <c r="E3099" t="str">
        <f t="shared" ref="E3099:E3130" si="687">"89301101"</f>
        <v>89301101</v>
      </c>
      <c r="F3099" t="str">
        <f t="shared" ref="F3099:F3130" si="688">"0456075279"</f>
        <v>0456075279</v>
      </c>
      <c r="G3099" s="1">
        <v>44624</v>
      </c>
      <c r="H3099" t="str">
        <f>"91411"</f>
        <v>91411</v>
      </c>
      <c r="I3099">
        <v>1</v>
      </c>
      <c r="J3099">
        <v>1600</v>
      </c>
      <c r="K3099">
        <v>0</v>
      </c>
      <c r="L3099">
        <v>1248</v>
      </c>
    </row>
    <row r="3100" spans="1:12" x14ac:dyDescent="0.25">
      <c r="A3100" t="str">
        <f t="shared" si="683"/>
        <v>89301000</v>
      </c>
      <c r="B3100" t="str">
        <f t="shared" si="684"/>
        <v>06539000</v>
      </c>
      <c r="C3100" t="str">
        <f t="shared" si="685"/>
        <v>06539003</v>
      </c>
      <c r="D3100" t="str">
        <f t="shared" si="686"/>
        <v>813</v>
      </c>
      <c r="E3100" t="str">
        <f t="shared" si="687"/>
        <v>89301101</v>
      </c>
      <c r="F3100" t="str">
        <f t="shared" si="688"/>
        <v>0456075279</v>
      </c>
      <c r="G3100" s="1">
        <v>44624</v>
      </c>
      <c r="H3100" t="str">
        <f>"91329"</f>
        <v>91329</v>
      </c>
      <c r="I3100">
        <v>2</v>
      </c>
      <c r="J3100">
        <v>428</v>
      </c>
      <c r="K3100">
        <v>0</v>
      </c>
      <c r="L3100">
        <v>333.84</v>
      </c>
    </row>
    <row r="3101" spans="1:12" x14ac:dyDescent="0.25">
      <c r="A3101" t="str">
        <f t="shared" si="683"/>
        <v>89301000</v>
      </c>
      <c r="B3101" t="str">
        <f t="shared" si="684"/>
        <v>06539000</v>
      </c>
      <c r="C3101" t="str">
        <f t="shared" si="685"/>
        <v>06539003</v>
      </c>
      <c r="D3101" t="str">
        <f t="shared" si="686"/>
        <v>813</v>
      </c>
      <c r="E3101" t="str">
        <f t="shared" si="687"/>
        <v>89301101</v>
      </c>
      <c r="F3101" t="str">
        <f t="shared" si="688"/>
        <v>0456075279</v>
      </c>
      <c r="G3101" s="1">
        <v>44624</v>
      </c>
      <c r="H3101" t="str">
        <f>"91495"</f>
        <v>91495</v>
      </c>
      <c r="I3101">
        <v>1</v>
      </c>
      <c r="J3101">
        <v>592</v>
      </c>
      <c r="K3101">
        <v>0</v>
      </c>
      <c r="L3101">
        <v>461.76</v>
      </c>
    </row>
    <row r="3102" spans="1:12" x14ac:dyDescent="0.25">
      <c r="A3102" t="str">
        <f t="shared" si="683"/>
        <v>89301000</v>
      </c>
      <c r="B3102" t="str">
        <f t="shared" si="684"/>
        <v>06539000</v>
      </c>
      <c r="C3102" t="str">
        <f t="shared" si="685"/>
        <v>06539003</v>
      </c>
      <c r="D3102" t="str">
        <f t="shared" si="686"/>
        <v>813</v>
      </c>
      <c r="E3102" t="str">
        <f t="shared" si="687"/>
        <v>89301101</v>
      </c>
      <c r="F3102" t="str">
        <f t="shared" si="688"/>
        <v>0456075279</v>
      </c>
      <c r="G3102" s="1">
        <v>44624</v>
      </c>
      <c r="H3102" t="str">
        <f t="shared" ref="H3102:H3116" si="689">"91329"</f>
        <v>91329</v>
      </c>
      <c r="I3102">
        <v>2</v>
      </c>
      <c r="J3102">
        <v>428</v>
      </c>
      <c r="K3102">
        <v>0</v>
      </c>
      <c r="L3102">
        <v>333.84</v>
      </c>
    </row>
    <row r="3103" spans="1:12" x14ac:dyDescent="0.25">
      <c r="A3103" t="str">
        <f t="shared" si="683"/>
        <v>89301000</v>
      </c>
      <c r="B3103" t="str">
        <f t="shared" si="684"/>
        <v>06539000</v>
      </c>
      <c r="C3103" t="str">
        <f t="shared" si="685"/>
        <v>06539003</v>
      </c>
      <c r="D3103" t="str">
        <f t="shared" si="686"/>
        <v>813</v>
      </c>
      <c r="E3103" t="str">
        <f t="shared" si="687"/>
        <v>89301101</v>
      </c>
      <c r="F3103" t="str">
        <f t="shared" si="688"/>
        <v>0456075279</v>
      </c>
      <c r="G3103" s="1">
        <v>44624</v>
      </c>
      <c r="H3103" t="str">
        <f t="shared" si="689"/>
        <v>91329</v>
      </c>
      <c r="I3103">
        <v>2</v>
      </c>
      <c r="J3103">
        <v>428</v>
      </c>
      <c r="K3103">
        <v>0</v>
      </c>
      <c r="L3103">
        <v>333.84</v>
      </c>
    </row>
    <row r="3104" spans="1:12" x14ac:dyDescent="0.25">
      <c r="A3104" t="str">
        <f t="shared" si="683"/>
        <v>89301000</v>
      </c>
      <c r="B3104" t="str">
        <f t="shared" si="684"/>
        <v>06539000</v>
      </c>
      <c r="C3104" t="str">
        <f t="shared" si="685"/>
        <v>06539003</v>
      </c>
      <c r="D3104" t="str">
        <f t="shared" si="686"/>
        <v>813</v>
      </c>
      <c r="E3104" t="str">
        <f t="shared" si="687"/>
        <v>89301101</v>
      </c>
      <c r="F3104" t="str">
        <f t="shared" si="688"/>
        <v>0456075279</v>
      </c>
      <c r="G3104" s="1">
        <v>44624</v>
      </c>
      <c r="H3104" t="str">
        <f t="shared" si="689"/>
        <v>91329</v>
      </c>
      <c r="I3104">
        <v>2</v>
      </c>
      <c r="J3104">
        <v>428</v>
      </c>
      <c r="K3104">
        <v>0</v>
      </c>
      <c r="L3104">
        <v>333.84</v>
      </c>
    </row>
    <row r="3105" spans="1:12" x14ac:dyDescent="0.25">
      <c r="A3105" t="str">
        <f t="shared" si="683"/>
        <v>89301000</v>
      </c>
      <c r="B3105" t="str">
        <f t="shared" si="684"/>
        <v>06539000</v>
      </c>
      <c r="C3105" t="str">
        <f t="shared" si="685"/>
        <v>06539003</v>
      </c>
      <c r="D3105" t="str">
        <f t="shared" si="686"/>
        <v>813</v>
      </c>
      <c r="E3105" t="str">
        <f t="shared" si="687"/>
        <v>89301101</v>
      </c>
      <c r="F3105" t="str">
        <f t="shared" si="688"/>
        <v>0456075279</v>
      </c>
      <c r="G3105" s="1">
        <v>44624</v>
      </c>
      <c r="H3105" t="str">
        <f t="shared" si="689"/>
        <v>91329</v>
      </c>
      <c r="I3105">
        <v>2</v>
      </c>
      <c r="J3105">
        <v>428</v>
      </c>
      <c r="K3105">
        <v>0</v>
      </c>
      <c r="L3105">
        <v>333.84</v>
      </c>
    </row>
    <row r="3106" spans="1:12" x14ac:dyDescent="0.25">
      <c r="A3106" t="str">
        <f t="shared" si="683"/>
        <v>89301000</v>
      </c>
      <c r="B3106" t="str">
        <f t="shared" si="684"/>
        <v>06539000</v>
      </c>
      <c r="C3106" t="str">
        <f t="shared" si="685"/>
        <v>06539003</v>
      </c>
      <c r="D3106" t="str">
        <f t="shared" si="686"/>
        <v>813</v>
      </c>
      <c r="E3106" t="str">
        <f t="shared" si="687"/>
        <v>89301101</v>
      </c>
      <c r="F3106" t="str">
        <f t="shared" si="688"/>
        <v>0456075279</v>
      </c>
      <c r="G3106" s="1">
        <v>44624</v>
      </c>
      <c r="H3106" t="str">
        <f t="shared" si="689"/>
        <v>91329</v>
      </c>
      <c r="I3106">
        <v>2</v>
      </c>
      <c r="J3106">
        <v>428</v>
      </c>
      <c r="K3106">
        <v>0</v>
      </c>
      <c r="L3106">
        <v>333.84</v>
      </c>
    </row>
    <row r="3107" spans="1:12" x14ac:dyDescent="0.25">
      <c r="A3107" t="str">
        <f t="shared" si="683"/>
        <v>89301000</v>
      </c>
      <c r="B3107" t="str">
        <f t="shared" si="684"/>
        <v>06539000</v>
      </c>
      <c r="C3107" t="str">
        <f t="shared" si="685"/>
        <v>06539003</v>
      </c>
      <c r="D3107" t="str">
        <f t="shared" si="686"/>
        <v>813</v>
      </c>
      <c r="E3107" t="str">
        <f t="shared" si="687"/>
        <v>89301101</v>
      </c>
      <c r="F3107" t="str">
        <f t="shared" si="688"/>
        <v>0456075279</v>
      </c>
      <c r="G3107" s="1">
        <v>44624</v>
      </c>
      <c r="H3107" t="str">
        <f t="shared" si="689"/>
        <v>91329</v>
      </c>
      <c r="I3107">
        <v>2</v>
      </c>
      <c r="J3107">
        <v>428</v>
      </c>
      <c r="K3107">
        <v>0</v>
      </c>
      <c r="L3107">
        <v>333.84</v>
      </c>
    </row>
    <row r="3108" spans="1:12" x14ac:dyDescent="0.25">
      <c r="A3108" t="str">
        <f t="shared" si="683"/>
        <v>89301000</v>
      </c>
      <c r="B3108" t="str">
        <f t="shared" si="684"/>
        <v>06539000</v>
      </c>
      <c r="C3108" t="str">
        <f t="shared" si="685"/>
        <v>06539003</v>
      </c>
      <c r="D3108" t="str">
        <f t="shared" si="686"/>
        <v>813</v>
      </c>
      <c r="E3108" t="str">
        <f t="shared" si="687"/>
        <v>89301101</v>
      </c>
      <c r="F3108" t="str">
        <f t="shared" si="688"/>
        <v>0456075279</v>
      </c>
      <c r="G3108" s="1">
        <v>44624</v>
      </c>
      <c r="H3108" t="str">
        <f t="shared" si="689"/>
        <v>91329</v>
      </c>
      <c r="I3108">
        <v>2</v>
      </c>
      <c r="J3108">
        <v>428</v>
      </c>
      <c r="K3108">
        <v>0</v>
      </c>
      <c r="L3108">
        <v>333.84</v>
      </c>
    </row>
    <row r="3109" spans="1:12" x14ac:dyDescent="0.25">
      <c r="A3109" t="str">
        <f t="shared" si="683"/>
        <v>89301000</v>
      </c>
      <c r="B3109" t="str">
        <f t="shared" si="684"/>
        <v>06539000</v>
      </c>
      <c r="C3109" t="str">
        <f t="shared" si="685"/>
        <v>06539003</v>
      </c>
      <c r="D3109" t="str">
        <f t="shared" si="686"/>
        <v>813</v>
      </c>
      <c r="E3109" t="str">
        <f t="shared" si="687"/>
        <v>89301101</v>
      </c>
      <c r="F3109" t="str">
        <f t="shared" si="688"/>
        <v>0456075279</v>
      </c>
      <c r="G3109" s="1">
        <v>44624</v>
      </c>
      <c r="H3109" t="str">
        <f t="shared" si="689"/>
        <v>91329</v>
      </c>
      <c r="I3109">
        <v>2</v>
      </c>
      <c r="J3109">
        <v>428</v>
      </c>
      <c r="K3109">
        <v>0</v>
      </c>
      <c r="L3109">
        <v>333.84</v>
      </c>
    </row>
    <row r="3110" spans="1:12" x14ac:dyDescent="0.25">
      <c r="A3110" t="str">
        <f t="shared" si="683"/>
        <v>89301000</v>
      </c>
      <c r="B3110" t="str">
        <f t="shared" si="684"/>
        <v>06539000</v>
      </c>
      <c r="C3110" t="str">
        <f t="shared" si="685"/>
        <v>06539003</v>
      </c>
      <c r="D3110" t="str">
        <f t="shared" si="686"/>
        <v>813</v>
      </c>
      <c r="E3110" t="str">
        <f t="shared" si="687"/>
        <v>89301101</v>
      </c>
      <c r="F3110" t="str">
        <f t="shared" si="688"/>
        <v>0456075279</v>
      </c>
      <c r="G3110" s="1">
        <v>44624</v>
      </c>
      <c r="H3110" t="str">
        <f t="shared" si="689"/>
        <v>91329</v>
      </c>
      <c r="I3110">
        <v>2</v>
      </c>
      <c r="J3110">
        <v>428</v>
      </c>
      <c r="K3110">
        <v>0</v>
      </c>
      <c r="L3110">
        <v>333.84</v>
      </c>
    </row>
    <row r="3111" spans="1:12" x14ac:dyDescent="0.25">
      <c r="A3111" t="str">
        <f t="shared" si="683"/>
        <v>89301000</v>
      </c>
      <c r="B3111" t="str">
        <f t="shared" si="684"/>
        <v>06539000</v>
      </c>
      <c r="C3111" t="str">
        <f t="shared" si="685"/>
        <v>06539003</v>
      </c>
      <c r="D3111" t="str">
        <f t="shared" si="686"/>
        <v>813</v>
      </c>
      <c r="E3111" t="str">
        <f t="shared" si="687"/>
        <v>89301101</v>
      </c>
      <c r="F3111" t="str">
        <f t="shared" si="688"/>
        <v>0456075279</v>
      </c>
      <c r="G3111" s="1">
        <v>44624</v>
      </c>
      <c r="H3111" t="str">
        <f t="shared" si="689"/>
        <v>91329</v>
      </c>
      <c r="I3111">
        <v>2</v>
      </c>
      <c r="J3111">
        <v>428</v>
      </c>
      <c r="K3111">
        <v>0</v>
      </c>
      <c r="L3111">
        <v>333.84</v>
      </c>
    </row>
    <row r="3112" spans="1:12" x14ac:dyDescent="0.25">
      <c r="A3112" t="str">
        <f t="shared" si="683"/>
        <v>89301000</v>
      </c>
      <c r="B3112" t="str">
        <f t="shared" si="684"/>
        <v>06539000</v>
      </c>
      <c r="C3112" t="str">
        <f t="shared" si="685"/>
        <v>06539003</v>
      </c>
      <c r="D3112" t="str">
        <f t="shared" si="686"/>
        <v>813</v>
      </c>
      <c r="E3112" t="str">
        <f t="shared" si="687"/>
        <v>89301101</v>
      </c>
      <c r="F3112" t="str">
        <f t="shared" si="688"/>
        <v>0456075279</v>
      </c>
      <c r="G3112" s="1">
        <v>44624</v>
      </c>
      <c r="H3112" t="str">
        <f t="shared" si="689"/>
        <v>91329</v>
      </c>
      <c r="I3112">
        <v>2</v>
      </c>
      <c r="J3112">
        <v>428</v>
      </c>
      <c r="K3112">
        <v>0</v>
      </c>
      <c r="L3112">
        <v>333.84</v>
      </c>
    </row>
    <row r="3113" spans="1:12" x14ac:dyDescent="0.25">
      <c r="A3113" t="str">
        <f t="shared" si="683"/>
        <v>89301000</v>
      </c>
      <c r="B3113" t="str">
        <f t="shared" si="684"/>
        <v>06539000</v>
      </c>
      <c r="C3113" t="str">
        <f t="shared" si="685"/>
        <v>06539003</v>
      </c>
      <c r="D3113" t="str">
        <f t="shared" si="686"/>
        <v>813</v>
      </c>
      <c r="E3113" t="str">
        <f t="shared" si="687"/>
        <v>89301101</v>
      </c>
      <c r="F3113" t="str">
        <f t="shared" si="688"/>
        <v>0456075279</v>
      </c>
      <c r="G3113" s="1">
        <v>44624</v>
      </c>
      <c r="H3113" t="str">
        <f t="shared" si="689"/>
        <v>91329</v>
      </c>
      <c r="I3113">
        <v>2</v>
      </c>
      <c r="J3113">
        <v>428</v>
      </c>
      <c r="K3113">
        <v>0</v>
      </c>
      <c r="L3113">
        <v>333.84</v>
      </c>
    </row>
    <row r="3114" spans="1:12" x14ac:dyDescent="0.25">
      <c r="A3114" t="str">
        <f t="shared" si="683"/>
        <v>89301000</v>
      </c>
      <c r="B3114" t="str">
        <f t="shared" si="684"/>
        <v>06539000</v>
      </c>
      <c r="C3114" t="str">
        <f t="shared" si="685"/>
        <v>06539003</v>
      </c>
      <c r="D3114" t="str">
        <f t="shared" si="686"/>
        <v>813</v>
      </c>
      <c r="E3114" t="str">
        <f t="shared" si="687"/>
        <v>89301101</v>
      </c>
      <c r="F3114" t="str">
        <f t="shared" si="688"/>
        <v>0456075279</v>
      </c>
      <c r="G3114" s="1">
        <v>44624</v>
      </c>
      <c r="H3114" t="str">
        <f t="shared" si="689"/>
        <v>91329</v>
      </c>
      <c r="I3114">
        <v>2</v>
      </c>
      <c r="J3114">
        <v>428</v>
      </c>
      <c r="K3114">
        <v>0</v>
      </c>
      <c r="L3114">
        <v>333.84</v>
      </c>
    </row>
    <row r="3115" spans="1:12" x14ac:dyDescent="0.25">
      <c r="A3115" t="str">
        <f t="shared" si="683"/>
        <v>89301000</v>
      </c>
      <c r="B3115" t="str">
        <f t="shared" si="684"/>
        <v>06539000</v>
      </c>
      <c r="C3115" t="str">
        <f t="shared" si="685"/>
        <v>06539003</v>
      </c>
      <c r="D3115" t="str">
        <f t="shared" si="686"/>
        <v>813</v>
      </c>
      <c r="E3115" t="str">
        <f t="shared" si="687"/>
        <v>89301101</v>
      </c>
      <c r="F3115" t="str">
        <f t="shared" si="688"/>
        <v>0456075279</v>
      </c>
      <c r="G3115" s="1">
        <v>44624</v>
      </c>
      <c r="H3115" t="str">
        <f t="shared" si="689"/>
        <v>91329</v>
      </c>
      <c r="I3115">
        <v>2</v>
      </c>
      <c r="J3115">
        <v>428</v>
      </c>
      <c r="K3115">
        <v>0</v>
      </c>
      <c r="L3115">
        <v>333.84</v>
      </c>
    </row>
    <row r="3116" spans="1:12" x14ac:dyDescent="0.25">
      <c r="A3116" t="str">
        <f t="shared" si="683"/>
        <v>89301000</v>
      </c>
      <c r="B3116" t="str">
        <f t="shared" si="684"/>
        <v>06539000</v>
      </c>
      <c r="C3116" t="str">
        <f t="shared" si="685"/>
        <v>06539003</v>
      </c>
      <c r="D3116" t="str">
        <f t="shared" si="686"/>
        <v>813</v>
      </c>
      <c r="E3116" t="str">
        <f t="shared" si="687"/>
        <v>89301101</v>
      </c>
      <c r="F3116" t="str">
        <f t="shared" si="688"/>
        <v>0456075279</v>
      </c>
      <c r="G3116" s="1">
        <v>44624</v>
      </c>
      <c r="H3116" t="str">
        <f t="shared" si="689"/>
        <v>91329</v>
      </c>
      <c r="I3116">
        <v>2</v>
      </c>
      <c r="J3116">
        <v>428</v>
      </c>
      <c r="K3116">
        <v>0</v>
      </c>
      <c r="L3116">
        <v>333.84</v>
      </c>
    </row>
    <row r="3117" spans="1:12" x14ac:dyDescent="0.25">
      <c r="A3117" t="str">
        <f t="shared" si="683"/>
        <v>89301000</v>
      </c>
      <c r="B3117" t="str">
        <f t="shared" si="684"/>
        <v>06539000</v>
      </c>
      <c r="C3117" t="str">
        <f t="shared" si="685"/>
        <v>06539003</v>
      </c>
      <c r="D3117" t="str">
        <f t="shared" si="686"/>
        <v>813</v>
      </c>
      <c r="E3117" t="str">
        <f t="shared" si="687"/>
        <v>89301101</v>
      </c>
      <c r="F3117" t="str">
        <f t="shared" si="688"/>
        <v>0456075279</v>
      </c>
      <c r="G3117" s="1">
        <v>44624</v>
      </c>
      <c r="H3117" t="str">
        <f t="shared" ref="H3117:H3151" si="690">"91411"</f>
        <v>91411</v>
      </c>
      <c r="I3117">
        <v>1</v>
      </c>
      <c r="J3117">
        <v>1600</v>
      </c>
      <c r="K3117">
        <v>0</v>
      </c>
      <c r="L3117">
        <v>1248</v>
      </c>
    </row>
    <row r="3118" spans="1:12" x14ac:dyDescent="0.25">
      <c r="A3118" t="str">
        <f t="shared" si="683"/>
        <v>89301000</v>
      </c>
      <c r="B3118" t="str">
        <f t="shared" si="684"/>
        <v>06539000</v>
      </c>
      <c r="C3118" t="str">
        <f t="shared" si="685"/>
        <v>06539003</v>
      </c>
      <c r="D3118" t="str">
        <f t="shared" si="686"/>
        <v>813</v>
      </c>
      <c r="E3118" t="str">
        <f t="shared" si="687"/>
        <v>89301101</v>
      </c>
      <c r="F3118" t="str">
        <f t="shared" si="688"/>
        <v>0456075279</v>
      </c>
      <c r="G3118" s="1">
        <v>44624</v>
      </c>
      <c r="H3118" t="str">
        <f t="shared" si="690"/>
        <v>91411</v>
      </c>
      <c r="I3118">
        <v>1</v>
      </c>
      <c r="J3118">
        <v>1600</v>
      </c>
      <c r="K3118">
        <v>0</v>
      </c>
      <c r="L3118">
        <v>1248</v>
      </c>
    </row>
    <row r="3119" spans="1:12" x14ac:dyDescent="0.25">
      <c r="A3119" t="str">
        <f t="shared" si="683"/>
        <v>89301000</v>
      </c>
      <c r="B3119" t="str">
        <f t="shared" si="684"/>
        <v>06539000</v>
      </c>
      <c r="C3119" t="str">
        <f t="shared" si="685"/>
        <v>06539003</v>
      </c>
      <c r="D3119" t="str">
        <f t="shared" si="686"/>
        <v>813</v>
      </c>
      <c r="E3119" t="str">
        <f t="shared" si="687"/>
        <v>89301101</v>
      </c>
      <c r="F3119" t="str">
        <f t="shared" si="688"/>
        <v>0456075279</v>
      </c>
      <c r="G3119" s="1">
        <v>44624</v>
      </c>
      <c r="H3119" t="str">
        <f t="shared" si="690"/>
        <v>91411</v>
      </c>
      <c r="I3119">
        <v>1</v>
      </c>
      <c r="J3119">
        <v>1600</v>
      </c>
      <c r="K3119">
        <v>0</v>
      </c>
      <c r="L3119">
        <v>1248</v>
      </c>
    </row>
    <row r="3120" spans="1:12" x14ac:dyDescent="0.25">
      <c r="A3120" t="str">
        <f t="shared" si="683"/>
        <v>89301000</v>
      </c>
      <c r="B3120" t="str">
        <f t="shared" si="684"/>
        <v>06539000</v>
      </c>
      <c r="C3120" t="str">
        <f t="shared" si="685"/>
        <v>06539003</v>
      </c>
      <c r="D3120" t="str">
        <f t="shared" si="686"/>
        <v>813</v>
      </c>
      <c r="E3120" t="str">
        <f t="shared" si="687"/>
        <v>89301101</v>
      </c>
      <c r="F3120" t="str">
        <f t="shared" si="688"/>
        <v>0456075279</v>
      </c>
      <c r="G3120" s="1">
        <v>44624</v>
      </c>
      <c r="H3120" t="str">
        <f t="shared" si="690"/>
        <v>91411</v>
      </c>
      <c r="I3120">
        <v>1</v>
      </c>
      <c r="J3120">
        <v>1600</v>
      </c>
      <c r="K3120">
        <v>0</v>
      </c>
      <c r="L3120">
        <v>1248</v>
      </c>
    </row>
    <row r="3121" spans="1:12" x14ac:dyDescent="0.25">
      <c r="A3121" t="str">
        <f t="shared" si="683"/>
        <v>89301000</v>
      </c>
      <c r="B3121" t="str">
        <f t="shared" si="684"/>
        <v>06539000</v>
      </c>
      <c r="C3121" t="str">
        <f t="shared" si="685"/>
        <v>06539003</v>
      </c>
      <c r="D3121" t="str">
        <f t="shared" si="686"/>
        <v>813</v>
      </c>
      <c r="E3121" t="str">
        <f t="shared" si="687"/>
        <v>89301101</v>
      </c>
      <c r="F3121" t="str">
        <f t="shared" si="688"/>
        <v>0456075279</v>
      </c>
      <c r="G3121" s="1">
        <v>44624</v>
      </c>
      <c r="H3121" t="str">
        <f t="shared" si="690"/>
        <v>91411</v>
      </c>
      <c r="I3121">
        <v>1</v>
      </c>
      <c r="J3121">
        <v>1600</v>
      </c>
      <c r="K3121">
        <v>0</v>
      </c>
      <c r="L3121">
        <v>1248</v>
      </c>
    </row>
    <row r="3122" spans="1:12" x14ac:dyDescent="0.25">
      <c r="A3122" t="str">
        <f t="shared" si="683"/>
        <v>89301000</v>
      </c>
      <c r="B3122" t="str">
        <f t="shared" si="684"/>
        <v>06539000</v>
      </c>
      <c r="C3122" t="str">
        <f t="shared" si="685"/>
        <v>06539003</v>
      </c>
      <c r="D3122" t="str">
        <f t="shared" si="686"/>
        <v>813</v>
      </c>
      <c r="E3122" t="str">
        <f t="shared" si="687"/>
        <v>89301101</v>
      </c>
      <c r="F3122" t="str">
        <f t="shared" si="688"/>
        <v>0456075279</v>
      </c>
      <c r="G3122" s="1">
        <v>44624</v>
      </c>
      <c r="H3122" t="str">
        <f t="shared" si="690"/>
        <v>91411</v>
      </c>
      <c r="I3122">
        <v>1</v>
      </c>
      <c r="J3122">
        <v>1600</v>
      </c>
      <c r="K3122">
        <v>0</v>
      </c>
      <c r="L3122">
        <v>1248</v>
      </c>
    </row>
    <row r="3123" spans="1:12" x14ac:dyDescent="0.25">
      <c r="A3123" t="str">
        <f t="shared" si="683"/>
        <v>89301000</v>
      </c>
      <c r="B3123" t="str">
        <f t="shared" si="684"/>
        <v>06539000</v>
      </c>
      <c r="C3123" t="str">
        <f t="shared" si="685"/>
        <v>06539003</v>
      </c>
      <c r="D3123" t="str">
        <f t="shared" si="686"/>
        <v>813</v>
      </c>
      <c r="E3123" t="str">
        <f t="shared" si="687"/>
        <v>89301101</v>
      </c>
      <c r="F3123" t="str">
        <f t="shared" si="688"/>
        <v>0456075279</v>
      </c>
      <c r="G3123" s="1">
        <v>44624</v>
      </c>
      <c r="H3123" t="str">
        <f t="shared" si="690"/>
        <v>91411</v>
      </c>
      <c r="I3123">
        <v>1</v>
      </c>
      <c r="J3123">
        <v>1600</v>
      </c>
      <c r="K3123">
        <v>0</v>
      </c>
      <c r="L3123">
        <v>1248</v>
      </c>
    </row>
    <row r="3124" spans="1:12" x14ac:dyDescent="0.25">
      <c r="A3124" t="str">
        <f t="shared" si="683"/>
        <v>89301000</v>
      </c>
      <c r="B3124" t="str">
        <f t="shared" si="684"/>
        <v>06539000</v>
      </c>
      <c r="C3124" t="str">
        <f t="shared" si="685"/>
        <v>06539003</v>
      </c>
      <c r="D3124" t="str">
        <f t="shared" si="686"/>
        <v>813</v>
      </c>
      <c r="E3124" t="str">
        <f t="shared" si="687"/>
        <v>89301101</v>
      </c>
      <c r="F3124" t="str">
        <f t="shared" si="688"/>
        <v>0456075279</v>
      </c>
      <c r="G3124" s="1">
        <v>44624</v>
      </c>
      <c r="H3124" t="str">
        <f t="shared" si="690"/>
        <v>91411</v>
      </c>
      <c r="I3124">
        <v>1</v>
      </c>
      <c r="J3124">
        <v>1600</v>
      </c>
      <c r="K3124">
        <v>0</v>
      </c>
      <c r="L3124">
        <v>1248</v>
      </c>
    </row>
    <row r="3125" spans="1:12" x14ac:dyDescent="0.25">
      <c r="A3125" t="str">
        <f t="shared" si="683"/>
        <v>89301000</v>
      </c>
      <c r="B3125" t="str">
        <f t="shared" si="684"/>
        <v>06539000</v>
      </c>
      <c r="C3125" t="str">
        <f t="shared" si="685"/>
        <v>06539003</v>
      </c>
      <c r="D3125" t="str">
        <f t="shared" si="686"/>
        <v>813</v>
      </c>
      <c r="E3125" t="str">
        <f t="shared" si="687"/>
        <v>89301101</v>
      </c>
      <c r="F3125" t="str">
        <f t="shared" si="688"/>
        <v>0456075279</v>
      </c>
      <c r="G3125" s="1">
        <v>44624</v>
      </c>
      <c r="H3125" t="str">
        <f t="shared" si="690"/>
        <v>91411</v>
      </c>
      <c r="I3125">
        <v>1</v>
      </c>
      <c r="J3125">
        <v>1600</v>
      </c>
      <c r="K3125">
        <v>0</v>
      </c>
      <c r="L3125">
        <v>1248</v>
      </c>
    </row>
    <row r="3126" spans="1:12" x14ac:dyDescent="0.25">
      <c r="A3126" t="str">
        <f t="shared" si="683"/>
        <v>89301000</v>
      </c>
      <c r="B3126" t="str">
        <f t="shared" si="684"/>
        <v>06539000</v>
      </c>
      <c r="C3126" t="str">
        <f t="shared" si="685"/>
        <v>06539003</v>
      </c>
      <c r="D3126" t="str">
        <f t="shared" si="686"/>
        <v>813</v>
      </c>
      <c r="E3126" t="str">
        <f t="shared" si="687"/>
        <v>89301101</v>
      </c>
      <c r="F3126" t="str">
        <f t="shared" si="688"/>
        <v>0456075279</v>
      </c>
      <c r="G3126" s="1">
        <v>44624</v>
      </c>
      <c r="H3126" t="str">
        <f t="shared" si="690"/>
        <v>91411</v>
      </c>
      <c r="I3126">
        <v>1</v>
      </c>
      <c r="J3126">
        <v>1600</v>
      </c>
      <c r="K3126">
        <v>0</v>
      </c>
      <c r="L3126">
        <v>1248</v>
      </c>
    </row>
    <row r="3127" spans="1:12" x14ac:dyDescent="0.25">
      <c r="A3127" t="str">
        <f t="shared" si="683"/>
        <v>89301000</v>
      </c>
      <c r="B3127" t="str">
        <f t="shared" si="684"/>
        <v>06539000</v>
      </c>
      <c r="C3127" t="str">
        <f t="shared" si="685"/>
        <v>06539003</v>
      </c>
      <c r="D3127" t="str">
        <f t="shared" si="686"/>
        <v>813</v>
      </c>
      <c r="E3127" t="str">
        <f t="shared" si="687"/>
        <v>89301101</v>
      </c>
      <c r="F3127" t="str">
        <f t="shared" si="688"/>
        <v>0456075279</v>
      </c>
      <c r="G3127" s="1">
        <v>44624</v>
      </c>
      <c r="H3127" t="str">
        <f t="shared" si="690"/>
        <v>91411</v>
      </c>
      <c r="I3127">
        <v>1</v>
      </c>
      <c r="J3127">
        <v>1600</v>
      </c>
      <c r="K3127">
        <v>0</v>
      </c>
      <c r="L3127">
        <v>1248</v>
      </c>
    </row>
    <row r="3128" spans="1:12" x14ac:dyDescent="0.25">
      <c r="A3128" t="str">
        <f t="shared" si="683"/>
        <v>89301000</v>
      </c>
      <c r="B3128" t="str">
        <f t="shared" si="684"/>
        <v>06539000</v>
      </c>
      <c r="C3128" t="str">
        <f t="shared" si="685"/>
        <v>06539003</v>
      </c>
      <c r="D3128" t="str">
        <f t="shared" si="686"/>
        <v>813</v>
      </c>
      <c r="E3128" t="str">
        <f t="shared" si="687"/>
        <v>89301101</v>
      </c>
      <c r="F3128" t="str">
        <f t="shared" si="688"/>
        <v>0456075279</v>
      </c>
      <c r="G3128" s="1">
        <v>44624</v>
      </c>
      <c r="H3128" t="str">
        <f t="shared" si="690"/>
        <v>91411</v>
      </c>
      <c r="I3128">
        <v>1</v>
      </c>
      <c r="J3128">
        <v>1600</v>
      </c>
      <c r="K3128">
        <v>0</v>
      </c>
      <c r="L3128">
        <v>1248</v>
      </c>
    </row>
    <row r="3129" spans="1:12" x14ac:dyDescent="0.25">
      <c r="A3129" t="str">
        <f t="shared" si="683"/>
        <v>89301000</v>
      </c>
      <c r="B3129" t="str">
        <f t="shared" si="684"/>
        <v>06539000</v>
      </c>
      <c r="C3129" t="str">
        <f t="shared" ref="C3129:C3152" si="691">"06539003"</f>
        <v>06539003</v>
      </c>
      <c r="D3129" t="str">
        <f t="shared" ref="D3129:D3152" si="692">"813"</f>
        <v>813</v>
      </c>
      <c r="E3129" t="str">
        <f t="shared" si="687"/>
        <v>89301101</v>
      </c>
      <c r="F3129" t="str">
        <f t="shared" si="688"/>
        <v>0456075279</v>
      </c>
      <c r="G3129" s="1">
        <v>44624</v>
      </c>
      <c r="H3129" t="str">
        <f t="shared" si="690"/>
        <v>91411</v>
      </c>
      <c r="I3129">
        <v>1</v>
      </c>
      <c r="J3129">
        <v>1600</v>
      </c>
      <c r="K3129">
        <v>0</v>
      </c>
      <c r="L3129">
        <v>1248</v>
      </c>
    </row>
    <row r="3130" spans="1:12" x14ac:dyDescent="0.25">
      <c r="A3130" t="str">
        <f t="shared" si="683"/>
        <v>89301000</v>
      </c>
      <c r="B3130" t="str">
        <f t="shared" si="684"/>
        <v>06539000</v>
      </c>
      <c r="C3130" t="str">
        <f t="shared" si="691"/>
        <v>06539003</v>
      </c>
      <c r="D3130" t="str">
        <f t="shared" si="692"/>
        <v>813</v>
      </c>
      <c r="E3130" t="str">
        <f t="shared" si="687"/>
        <v>89301101</v>
      </c>
      <c r="F3130" t="str">
        <f t="shared" si="688"/>
        <v>0456075279</v>
      </c>
      <c r="G3130" s="1">
        <v>44624</v>
      </c>
      <c r="H3130" t="str">
        <f t="shared" si="690"/>
        <v>91411</v>
      </c>
      <c r="I3130">
        <v>1</v>
      </c>
      <c r="J3130">
        <v>1600</v>
      </c>
      <c r="K3130">
        <v>0</v>
      </c>
      <c r="L3130">
        <v>1248</v>
      </c>
    </row>
    <row r="3131" spans="1:12" x14ac:dyDescent="0.25">
      <c r="A3131" t="str">
        <f t="shared" si="683"/>
        <v>89301000</v>
      </c>
      <c r="B3131" t="str">
        <f t="shared" si="684"/>
        <v>06539000</v>
      </c>
      <c r="C3131" t="str">
        <f t="shared" si="691"/>
        <v>06539003</v>
      </c>
      <c r="D3131" t="str">
        <f t="shared" si="692"/>
        <v>813</v>
      </c>
      <c r="E3131" t="str">
        <f t="shared" ref="E3131:E3152" si="693">"89301101"</f>
        <v>89301101</v>
      </c>
      <c r="F3131" t="str">
        <f t="shared" ref="F3131:F3152" si="694">"0456075279"</f>
        <v>0456075279</v>
      </c>
      <c r="G3131" s="1">
        <v>44624</v>
      </c>
      <c r="H3131" t="str">
        <f t="shared" si="690"/>
        <v>91411</v>
      </c>
      <c r="I3131">
        <v>1</v>
      </c>
      <c r="J3131">
        <v>1600</v>
      </c>
      <c r="K3131">
        <v>0</v>
      </c>
      <c r="L3131">
        <v>1248</v>
      </c>
    </row>
    <row r="3132" spans="1:12" x14ac:dyDescent="0.25">
      <c r="A3132" t="str">
        <f t="shared" si="683"/>
        <v>89301000</v>
      </c>
      <c r="B3132" t="str">
        <f t="shared" si="684"/>
        <v>06539000</v>
      </c>
      <c r="C3132" t="str">
        <f t="shared" si="691"/>
        <v>06539003</v>
      </c>
      <c r="D3132" t="str">
        <f t="shared" si="692"/>
        <v>813</v>
      </c>
      <c r="E3132" t="str">
        <f t="shared" si="693"/>
        <v>89301101</v>
      </c>
      <c r="F3132" t="str">
        <f t="shared" si="694"/>
        <v>0456075279</v>
      </c>
      <c r="G3132" s="1">
        <v>44624</v>
      </c>
      <c r="H3132" t="str">
        <f t="shared" si="690"/>
        <v>91411</v>
      </c>
      <c r="I3132">
        <v>1</v>
      </c>
      <c r="J3132">
        <v>1600</v>
      </c>
      <c r="K3132">
        <v>0</v>
      </c>
      <c r="L3132">
        <v>1248</v>
      </c>
    </row>
    <row r="3133" spans="1:12" x14ac:dyDescent="0.25">
      <c r="A3133" t="str">
        <f t="shared" si="683"/>
        <v>89301000</v>
      </c>
      <c r="B3133" t="str">
        <f t="shared" si="684"/>
        <v>06539000</v>
      </c>
      <c r="C3133" t="str">
        <f t="shared" si="691"/>
        <v>06539003</v>
      </c>
      <c r="D3133" t="str">
        <f t="shared" si="692"/>
        <v>813</v>
      </c>
      <c r="E3133" t="str">
        <f t="shared" si="693"/>
        <v>89301101</v>
      </c>
      <c r="F3133" t="str">
        <f t="shared" si="694"/>
        <v>0456075279</v>
      </c>
      <c r="G3133" s="1">
        <v>44624</v>
      </c>
      <c r="H3133" t="str">
        <f t="shared" si="690"/>
        <v>91411</v>
      </c>
      <c r="I3133">
        <v>1</v>
      </c>
      <c r="J3133">
        <v>1600</v>
      </c>
      <c r="K3133">
        <v>0</v>
      </c>
      <c r="L3133">
        <v>1248</v>
      </c>
    </row>
    <row r="3134" spans="1:12" x14ac:dyDescent="0.25">
      <c r="A3134" t="str">
        <f t="shared" si="683"/>
        <v>89301000</v>
      </c>
      <c r="B3134" t="str">
        <f t="shared" si="684"/>
        <v>06539000</v>
      </c>
      <c r="C3134" t="str">
        <f t="shared" si="691"/>
        <v>06539003</v>
      </c>
      <c r="D3134" t="str">
        <f t="shared" si="692"/>
        <v>813</v>
      </c>
      <c r="E3134" t="str">
        <f t="shared" si="693"/>
        <v>89301101</v>
      </c>
      <c r="F3134" t="str">
        <f t="shared" si="694"/>
        <v>0456075279</v>
      </c>
      <c r="G3134" s="1">
        <v>44624</v>
      </c>
      <c r="H3134" t="str">
        <f t="shared" si="690"/>
        <v>91411</v>
      </c>
      <c r="I3134">
        <v>1</v>
      </c>
      <c r="J3134">
        <v>1600</v>
      </c>
      <c r="K3134">
        <v>0</v>
      </c>
      <c r="L3134">
        <v>1248</v>
      </c>
    </row>
    <row r="3135" spans="1:12" x14ac:dyDescent="0.25">
      <c r="A3135" t="str">
        <f t="shared" si="683"/>
        <v>89301000</v>
      </c>
      <c r="B3135" t="str">
        <f t="shared" si="684"/>
        <v>06539000</v>
      </c>
      <c r="C3135" t="str">
        <f t="shared" si="691"/>
        <v>06539003</v>
      </c>
      <c r="D3135" t="str">
        <f t="shared" si="692"/>
        <v>813</v>
      </c>
      <c r="E3135" t="str">
        <f t="shared" si="693"/>
        <v>89301101</v>
      </c>
      <c r="F3135" t="str">
        <f t="shared" si="694"/>
        <v>0456075279</v>
      </c>
      <c r="G3135" s="1">
        <v>44625</v>
      </c>
      <c r="H3135" t="str">
        <f t="shared" si="690"/>
        <v>91411</v>
      </c>
      <c r="I3135">
        <v>1</v>
      </c>
      <c r="J3135">
        <v>1600</v>
      </c>
      <c r="K3135">
        <v>0</v>
      </c>
      <c r="L3135">
        <v>1248</v>
      </c>
    </row>
    <row r="3136" spans="1:12" x14ac:dyDescent="0.25">
      <c r="A3136" t="str">
        <f t="shared" si="683"/>
        <v>89301000</v>
      </c>
      <c r="B3136" t="str">
        <f t="shared" si="684"/>
        <v>06539000</v>
      </c>
      <c r="C3136" t="str">
        <f t="shared" si="691"/>
        <v>06539003</v>
      </c>
      <c r="D3136" t="str">
        <f t="shared" si="692"/>
        <v>813</v>
      </c>
      <c r="E3136" t="str">
        <f t="shared" si="693"/>
        <v>89301101</v>
      </c>
      <c r="F3136" t="str">
        <f t="shared" si="694"/>
        <v>0456075279</v>
      </c>
      <c r="G3136" s="1">
        <v>44625</v>
      </c>
      <c r="H3136" t="str">
        <f t="shared" si="690"/>
        <v>91411</v>
      </c>
      <c r="I3136">
        <v>1</v>
      </c>
      <c r="J3136">
        <v>1600</v>
      </c>
      <c r="K3136">
        <v>0</v>
      </c>
      <c r="L3136">
        <v>1248</v>
      </c>
    </row>
    <row r="3137" spans="1:12" x14ac:dyDescent="0.25">
      <c r="A3137" t="str">
        <f t="shared" si="683"/>
        <v>89301000</v>
      </c>
      <c r="B3137" t="str">
        <f t="shared" si="684"/>
        <v>06539000</v>
      </c>
      <c r="C3137" t="str">
        <f t="shared" si="691"/>
        <v>06539003</v>
      </c>
      <c r="D3137" t="str">
        <f t="shared" si="692"/>
        <v>813</v>
      </c>
      <c r="E3137" t="str">
        <f t="shared" si="693"/>
        <v>89301101</v>
      </c>
      <c r="F3137" t="str">
        <f t="shared" si="694"/>
        <v>0456075279</v>
      </c>
      <c r="G3137" s="1">
        <v>44625</v>
      </c>
      <c r="H3137" t="str">
        <f t="shared" si="690"/>
        <v>91411</v>
      </c>
      <c r="I3137">
        <v>1</v>
      </c>
      <c r="J3137">
        <v>1600</v>
      </c>
      <c r="K3137">
        <v>0</v>
      </c>
      <c r="L3137">
        <v>1248</v>
      </c>
    </row>
    <row r="3138" spans="1:12" x14ac:dyDescent="0.25">
      <c r="A3138" t="str">
        <f t="shared" ref="A3138:A3201" si="695">"89301000"</f>
        <v>89301000</v>
      </c>
      <c r="B3138" t="str">
        <f t="shared" si="684"/>
        <v>06539000</v>
      </c>
      <c r="C3138" t="str">
        <f t="shared" si="691"/>
        <v>06539003</v>
      </c>
      <c r="D3138" t="str">
        <f t="shared" si="692"/>
        <v>813</v>
      </c>
      <c r="E3138" t="str">
        <f t="shared" si="693"/>
        <v>89301101</v>
      </c>
      <c r="F3138" t="str">
        <f t="shared" si="694"/>
        <v>0456075279</v>
      </c>
      <c r="G3138" s="1">
        <v>44625</v>
      </c>
      <c r="H3138" t="str">
        <f t="shared" si="690"/>
        <v>91411</v>
      </c>
      <c r="I3138">
        <v>1</v>
      </c>
      <c r="J3138">
        <v>1600</v>
      </c>
      <c r="K3138">
        <v>0</v>
      </c>
      <c r="L3138">
        <v>1248</v>
      </c>
    </row>
    <row r="3139" spans="1:12" x14ac:dyDescent="0.25">
      <c r="A3139" t="str">
        <f t="shared" si="695"/>
        <v>89301000</v>
      </c>
      <c r="B3139" t="str">
        <f t="shared" si="684"/>
        <v>06539000</v>
      </c>
      <c r="C3139" t="str">
        <f t="shared" si="691"/>
        <v>06539003</v>
      </c>
      <c r="D3139" t="str">
        <f t="shared" si="692"/>
        <v>813</v>
      </c>
      <c r="E3139" t="str">
        <f t="shared" si="693"/>
        <v>89301101</v>
      </c>
      <c r="F3139" t="str">
        <f t="shared" si="694"/>
        <v>0456075279</v>
      </c>
      <c r="G3139" s="1">
        <v>44625</v>
      </c>
      <c r="H3139" t="str">
        <f t="shared" si="690"/>
        <v>91411</v>
      </c>
      <c r="I3139">
        <v>1</v>
      </c>
      <c r="J3139">
        <v>1600</v>
      </c>
      <c r="K3139">
        <v>0</v>
      </c>
      <c r="L3139">
        <v>1248</v>
      </c>
    </row>
    <row r="3140" spans="1:12" x14ac:dyDescent="0.25">
      <c r="A3140" t="str">
        <f t="shared" si="695"/>
        <v>89301000</v>
      </c>
      <c r="B3140" t="str">
        <f t="shared" si="684"/>
        <v>06539000</v>
      </c>
      <c r="C3140" t="str">
        <f t="shared" si="691"/>
        <v>06539003</v>
      </c>
      <c r="D3140" t="str">
        <f t="shared" si="692"/>
        <v>813</v>
      </c>
      <c r="E3140" t="str">
        <f t="shared" si="693"/>
        <v>89301101</v>
      </c>
      <c r="F3140" t="str">
        <f t="shared" si="694"/>
        <v>0456075279</v>
      </c>
      <c r="G3140" s="1">
        <v>44625</v>
      </c>
      <c r="H3140" t="str">
        <f t="shared" si="690"/>
        <v>91411</v>
      </c>
      <c r="I3140">
        <v>1</v>
      </c>
      <c r="J3140">
        <v>1600</v>
      </c>
      <c r="K3140">
        <v>0</v>
      </c>
      <c r="L3140">
        <v>1248</v>
      </c>
    </row>
    <row r="3141" spans="1:12" x14ac:dyDescent="0.25">
      <c r="A3141" t="str">
        <f t="shared" si="695"/>
        <v>89301000</v>
      </c>
      <c r="B3141" t="str">
        <f t="shared" si="684"/>
        <v>06539000</v>
      </c>
      <c r="C3141" t="str">
        <f t="shared" si="691"/>
        <v>06539003</v>
      </c>
      <c r="D3141" t="str">
        <f t="shared" si="692"/>
        <v>813</v>
      </c>
      <c r="E3141" t="str">
        <f t="shared" si="693"/>
        <v>89301101</v>
      </c>
      <c r="F3141" t="str">
        <f t="shared" si="694"/>
        <v>0456075279</v>
      </c>
      <c r="G3141" s="1">
        <v>44625</v>
      </c>
      <c r="H3141" t="str">
        <f t="shared" si="690"/>
        <v>91411</v>
      </c>
      <c r="I3141">
        <v>1</v>
      </c>
      <c r="J3141">
        <v>1600</v>
      </c>
      <c r="K3141">
        <v>0</v>
      </c>
      <c r="L3141">
        <v>1248</v>
      </c>
    </row>
    <row r="3142" spans="1:12" x14ac:dyDescent="0.25">
      <c r="A3142" t="str">
        <f t="shared" si="695"/>
        <v>89301000</v>
      </c>
      <c r="B3142" t="str">
        <f t="shared" si="684"/>
        <v>06539000</v>
      </c>
      <c r="C3142" t="str">
        <f t="shared" si="691"/>
        <v>06539003</v>
      </c>
      <c r="D3142" t="str">
        <f t="shared" si="692"/>
        <v>813</v>
      </c>
      <c r="E3142" t="str">
        <f t="shared" si="693"/>
        <v>89301101</v>
      </c>
      <c r="F3142" t="str">
        <f t="shared" si="694"/>
        <v>0456075279</v>
      </c>
      <c r="G3142" s="1">
        <v>44625</v>
      </c>
      <c r="H3142" t="str">
        <f t="shared" si="690"/>
        <v>91411</v>
      </c>
      <c r="I3142">
        <v>1</v>
      </c>
      <c r="J3142">
        <v>1600</v>
      </c>
      <c r="K3142">
        <v>0</v>
      </c>
      <c r="L3142">
        <v>1248</v>
      </c>
    </row>
    <row r="3143" spans="1:12" x14ac:dyDescent="0.25">
      <c r="A3143" t="str">
        <f t="shared" si="695"/>
        <v>89301000</v>
      </c>
      <c r="B3143" t="str">
        <f t="shared" si="684"/>
        <v>06539000</v>
      </c>
      <c r="C3143" t="str">
        <f t="shared" si="691"/>
        <v>06539003</v>
      </c>
      <c r="D3143" t="str">
        <f t="shared" si="692"/>
        <v>813</v>
      </c>
      <c r="E3143" t="str">
        <f t="shared" si="693"/>
        <v>89301101</v>
      </c>
      <c r="F3143" t="str">
        <f t="shared" si="694"/>
        <v>0456075279</v>
      </c>
      <c r="G3143" s="1">
        <v>44625</v>
      </c>
      <c r="H3143" t="str">
        <f t="shared" si="690"/>
        <v>91411</v>
      </c>
      <c r="I3143">
        <v>1</v>
      </c>
      <c r="J3143">
        <v>1600</v>
      </c>
      <c r="K3143">
        <v>0</v>
      </c>
      <c r="L3143">
        <v>1248</v>
      </c>
    </row>
    <row r="3144" spans="1:12" x14ac:dyDescent="0.25">
      <c r="A3144" t="str">
        <f t="shared" si="695"/>
        <v>89301000</v>
      </c>
      <c r="B3144" t="str">
        <f t="shared" si="684"/>
        <v>06539000</v>
      </c>
      <c r="C3144" t="str">
        <f t="shared" si="691"/>
        <v>06539003</v>
      </c>
      <c r="D3144" t="str">
        <f t="shared" si="692"/>
        <v>813</v>
      </c>
      <c r="E3144" t="str">
        <f t="shared" si="693"/>
        <v>89301101</v>
      </c>
      <c r="F3144" t="str">
        <f t="shared" si="694"/>
        <v>0456075279</v>
      </c>
      <c r="G3144" s="1">
        <v>44625</v>
      </c>
      <c r="H3144" t="str">
        <f t="shared" si="690"/>
        <v>91411</v>
      </c>
      <c r="I3144">
        <v>1</v>
      </c>
      <c r="J3144">
        <v>1600</v>
      </c>
      <c r="K3144">
        <v>0</v>
      </c>
      <c r="L3144">
        <v>1248</v>
      </c>
    </row>
    <row r="3145" spans="1:12" x14ac:dyDescent="0.25">
      <c r="A3145" t="str">
        <f t="shared" si="695"/>
        <v>89301000</v>
      </c>
      <c r="B3145" t="str">
        <f t="shared" si="684"/>
        <v>06539000</v>
      </c>
      <c r="C3145" t="str">
        <f t="shared" si="691"/>
        <v>06539003</v>
      </c>
      <c r="D3145" t="str">
        <f t="shared" si="692"/>
        <v>813</v>
      </c>
      <c r="E3145" t="str">
        <f t="shared" si="693"/>
        <v>89301101</v>
      </c>
      <c r="F3145" t="str">
        <f t="shared" si="694"/>
        <v>0456075279</v>
      </c>
      <c r="G3145" s="1">
        <v>44625</v>
      </c>
      <c r="H3145" t="str">
        <f t="shared" si="690"/>
        <v>91411</v>
      </c>
      <c r="I3145">
        <v>1</v>
      </c>
      <c r="J3145">
        <v>1600</v>
      </c>
      <c r="K3145">
        <v>0</v>
      </c>
      <c r="L3145">
        <v>1248</v>
      </c>
    </row>
    <row r="3146" spans="1:12" x14ac:dyDescent="0.25">
      <c r="A3146" t="str">
        <f t="shared" si="695"/>
        <v>89301000</v>
      </c>
      <c r="B3146" t="str">
        <f t="shared" si="684"/>
        <v>06539000</v>
      </c>
      <c r="C3146" t="str">
        <f t="shared" si="691"/>
        <v>06539003</v>
      </c>
      <c r="D3146" t="str">
        <f t="shared" si="692"/>
        <v>813</v>
      </c>
      <c r="E3146" t="str">
        <f t="shared" si="693"/>
        <v>89301101</v>
      </c>
      <c r="F3146" t="str">
        <f t="shared" si="694"/>
        <v>0456075279</v>
      </c>
      <c r="G3146" s="1">
        <v>44625</v>
      </c>
      <c r="H3146" t="str">
        <f t="shared" si="690"/>
        <v>91411</v>
      </c>
      <c r="I3146">
        <v>1</v>
      </c>
      <c r="J3146">
        <v>1600</v>
      </c>
      <c r="K3146">
        <v>0</v>
      </c>
      <c r="L3146">
        <v>1248</v>
      </c>
    </row>
    <row r="3147" spans="1:12" x14ac:dyDescent="0.25">
      <c r="A3147" t="str">
        <f t="shared" si="695"/>
        <v>89301000</v>
      </c>
      <c r="B3147" t="str">
        <f t="shared" si="684"/>
        <v>06539000</v>
      </c>
      <c r="C3147" t="str">
        <f t="shared" si="691"/>
        <v>06539003</v>
      </c>
      <c r="D3147" t="str">
        <f t="shared" si="692"/>
        <v>813</v>
      </c>
      <c r="E3147" t="str">
        <f t="shared" si="693"/>
        <v>89301101</v>
      </c>
      <c r="F3147" t="str">
        <f t="shared" si="694"/>
        <v>0456075279</v>
      </c>
      <c r="G3147" s="1">
        <v>44625</v>
      </c>
      <c r="H3147" t="str">
        <f t="shared" si="690"/>
        <v>91411</v>
      </c>
      <c r="I3147">
        <v>1</v>
      </c>
      <c r="J3147">
        <v>1600</v>
      </c>
      <c r="K3147">
        <v>0</v>
      </c>
      <c r="L3147">
        <v>1248</v>
      </c>
    </row>
    <row r="3148" spans="1:12" x14ac:dyDescent="0.25">
      <c r="A3148" t="str">
        <f t="shared" si="695"/>
        <v>89301000</v>
      </c>
      <c r="B3148" t="str">
        <f t="shared" si="684"/>
        <v>06539000</v>
      </c>
      <c r="C3148" t="str">
        <f t="shared" si="691"/>
        <v>06539003</v>
      </c>
      <c r="D3148" t="str">
        <f t="shared" si="692"/>
        <v>813</v>
      </c>
      <c r="E3148" t="str">
        <f t="shared" si="693"/>
        <v>89301101</v>
      </c>
      <c r="F3148" t="str">
        <f t="shared" si="694"/>
        <v>0456075279</v>
      </c>
      <c r="G3148" s="1">
        <v>44625</v>
      </c>
      <c r="H3148" t="str">
        <f t="shared" si="690"/>
        <v>91411</v>
      </c>
      <c r="I3148">
        <v>1</v>
      </c>
      <c r="J3148">
        <v>1600</v>
      </c>
      <c r="K3148">
        <v>0</v>
      </c>
      <c r="L3148">
        <v>1248</v>
      </c>
    </row>
    <row r="3149" spans="1:12" x14ac:dyDescent="0.25">
      <c r="A3149" t="str">
        <f t="shared" si="695"/>
        <v>89301000</v>
      </c>
      <c r="B3149" t="str">
        <f t="shared" si="684"/>
        <v>06539000</v>
      </c>
      <c r="C3149" t="str">
        <f t="shared" si="691"/>
        <v>06539003</v>
      </c>
      <c r="D3149" t="str">
        <f t="shared" si="692"/>
        <v>813</v>
      </c>
      <c r="E3149" t="str">
        <f t="shared" si="693"/>
        <v>89301101</v>
      </c>
      <c r="F3149" t="str">
        <f t="shared" si="694"/>
        <v>0456075279</v>
      </c>
      <c r="G3149" s="1">
        <v>44625</v>
      </c>
      <c r="H3149" t="str">
        <f t="shared" si="690"/>
        <v>91411</v>
      </c>
      <c r="I3149">
        <v>1</v>
      </c>
      <c r="J3149">
        <v>1600</v>
      </c>
      <c r="K3149">
        <v>0</v>
      </c>
      <c r="L3149">
        <v>1248</v>
      </c>
    </row>
    <row r="3150" spans="1:12" x14ac:dyDescent="0.25">
      <c r="A3150" t="str">
        <f t="shared" si="695"/>
        <v>89301000</v>
      </c>
      <c r="B3150" t="str">
        <f t="shared" si="684"/>
        <v>06539000</v>
      </c>
      <c r="C3150" t="str">
        <f t="shared" si="691"/>
        <v>06539003</v>
      </c>
      <c r="D3150" t="str">
        <f t="shared" si="692"/>
        <v>813</v>
      </c>
      <c r="E3150" t="str">
        <f t="shared" si="693"/>
        <v>89301101</v>
      </c>
      <c r="F3150" t="str">
        <f t="shared" si="694"/>
        <v>0456075279</v>
      </c>
      <c r="G3150" s="1">
        <v>44625</v>
      </c>
      <c r="H3150" t="str">
        <f t="shared" si="690"/>
        <v>91411</v>
      </c>
      <c r="I3150">
        <v>1</v>
      </c>
      <c r="J3150">
        <v>1600</v>
      </c>
      <c r="K3150">
        <v>0</v>
      </c>
      <c r="L3150">
        <v>1248</v>
      </c>
    </row>
    <row r="3151" spans="1:12" x14ac:dyDescent="0.25">
      <c r="A3151" t="str">
        <f t="shared" si="695"/>
        <v>89301000</v>
      </c>
      <c r="B3151" t="str">
        <f t="shared" si="684"/>
        <v>06539000</v>
      </c>
      <c r="C3151" t="str">
        <f t="shared" si="691"/>
        <v>06539003</v>
      </c>
      <c r="D3151" t="str">
        <f t="shared" si="692"/>
        <v>813</v>
      </c>
      <c r="E3151" t="str">
        <f t="shared" si="693"/>
        <v>89301101</v>
      </c>
      <c r="F3151" t="str">
        <f t="shared" si="694"/>
        <v>0456075279</v>
      </c>
      <c r="G3151" s="1">
        <v>44625</v>
      </c>
      <c r="H3151" t="str">
        <f t="shared" si="690"/>
        <v>91411</v>
      </c>
      <c r="I3151">
        <v>1</v>
      </c>
      <c r="J3151">
        <v>1600</v>
      </c>
      <c r="K3151">
        <v>0</v>
      </c>
      <c r="L3151">
        <v>1248</v>
      </c>
    </row>
    <row r="3152" spans="1:12" x14ac:dyDescent="0.25">
      <c r="A3152" t="str">
        <f t="shared" si="695"/>
        <v>89301000</v>
      </c>
      <c r="B3152" t="str">
        <f t="shared" si="684"/>
        <v>06539000</v>
      </c>
      <c r="C3152" t="str">
        <f t="shared" si="691"/>
        <v>06539003</v>
      </c>
      <c r="D3152" t="str">
        <f t="shared" si="692"/>
        <v>813</v>
      </c>
      <c r="E3152" t="str">
        <f t="shared" si="693"/>
        <v>89301101</v>
      </c>
      <c r="F3152" t="str">
        <f t="shared" si="694"/>
        <v>0456075279</v>
      </c>
      <c r="G3152" s="1">
        <v>44624</v>
      </c>
      <c r="H3152" t="str">
        <f>"91475"</f>
        <v>91475</v>
      </c>
      <c r="I3152">
        <v>1</v>
      </c>
      <c r="J3152">
        <v>206</v>
      </c>
      <c r="K3152">
        <v>0</v>
      </c>
      <c r="L3152">
        <v>160.68</v>
      </c>
    </row>
    <row r="3153" spans="1:12" x14ac:dyDescent="0.25">
      <c r="A3153" t="str">
        <f t="shared" si="695"/>
        <v>89301000</v>
      </c>
      <c r="B3153" t="str">
        <f t="shared" si="684"/>
        <v>06539000</v>
      </c>
      <c r="C3153" t="str">
        <f>"06539001"</f>
        <v>06539001</v>
      </c>
      <c r="D3153" t="str">
        <f>"801"</f>
        <v>801</v>
      </c>
      <c r="E3153" t="str">
        <f t="shared" ref="E3153:E3184" si="696">"89301171"</f>
        <v>89301171</v>
      </c>
      <c r="F3153" t="str">
        <f t="shared" ref="F3153:F3186" si="697">"6755220670"</f>
        <v>6755220670</v>
      </c>
      <c r="G3153" s="1">
        <v>44624</v>
      </c>
      <c r="H3153" t="str">
        <f>"81329"</f>
        <v>81329</v>
      </c>
      <c r="I3153">
        <v>1</v>
      </c>
      <c r="J3153">
        <v>16</v>
      </c>
      <c r="K3153">
        <v>0</v>
      </c>
      <c r="L3153">
        <v>12.48</v>
      </c>
    </row>
    <row r="3154" spans="1:12" x14ac:dyDescent="0.25">
      <c r="A3154" t="str">
        <f t="shared" si="695"/>
        <v>89301000</v>
      </c>
      <c r="B3154" t="str">
        <f t="shared" si="684"/>
        <v>06539000</v>
      </c>
      <c r="C3154" t="str">
        <f>"06539001"</f>
        <v>06539001</v>
      </c>
      <c r="D3154" t="str">
        <f>"801"</f>
        <v>801</v>
      </c>
      <c r="E3154" t="str">
        <f t="shared" si="696"/>
        <v>89301171</v>
      </c>
      <c r="F3154" t="str">
        <f t="shared" si="697"/>
        <v>6755220670</v>
      </c>
      <c r="G3154" s="1">
        <v>44624</v>
      </c>
      <c r="H3154" t="str">
        <f>"81331"</f>
        <v>81331</v>
      </c>
      <c r="I3154">
        <v>1</v>
      </c>
      <c r="J3154">
        <v>193</v>
      </c>
      <c r="K3154">
        <v>0</v>
      </c>
      <c r="L3154">
        <v>150.54</v>
      </c>
    </row>
    <row r="3155" spans="1:12" x14ac:dyDescent="0.25">
      <c r="A3155" t="str">
        <f t="shared" si="695"/>
        <v>89301000</v>
      </c>
      <c r="B3155" t="str">
        <f t="shared" si="684"/>
        <v>06539000</v>
      </c>
      <c r="C3155" t="str">
        <f t="shared" ref="C3155:C3186" si="698">"06539003"</f>
        <v>06539003</v>
      </c>
      <c r="D3155" t="str">
        <f t="shared" ref="D3155:D3186" si="699">"813"</f>
        <v>813</v>
      </c>
      <c r="E3155" t="str">
        <f t="shared" si="696"/>
        <v>89301171</v>
      </c>
      <c r="F3155" t="str">
        <f t="shared" si="697"/>
        <v>6755220670</v>
      </c>
      <c r="G3155" s="1">
        <v>44628</v>
      </c>
      <c r="H3155" t="str">
        <f>"91439"</f>
        <v>91439</v>
      </c>
      <c r="I3155">
        <v>1</v>
      </c>
      <c r="J3155">
        <v>356</v>
      </c>
      <c r="K3155">
        <v>0</v>
      </c>
      <c r="L3155">
        <v>277.68</v>
      </c>
    </row>
    <row r="3156" spans="1:12" x14ac:dyDescent="0.25">
      <c r="A3156" t="str">
        <f t="shared" si="695"/>
        <v>89301000</v>
      </c>
      <c r="B3156" t="str">
        <f t="shared" si="684"/>
        <v>06539000</v>
      </c>
      <c r="C3156" t="str">
        <f t="shared" si="698"/>
        <v>06539003</v>
      </c>
      <c r="D3156" t="str">
        <f t="shared" si="699"/>
        <v>813</v>
      </c>
      <c r="E3156" t="str">
        <f t="shared" si="696"/>
        <v>89301171</v>
      </c>
      <c r="F3156" t="str">
        <f t="shared" si="697"/>
        <v>6755220670</v>
      </c>
      <c r="G3156" s="1">
        <v>44628</v>
      </c>
      <c r="H3156" t="str">
        <f>"91439"</f>
        <v>91439</v>
      </c>
      <c r="I3156">
        <v>1</v>
      </c>
      <c r="J3156">
        <v>356</v>
      </c>
      <c r="K3156">
        <v>0</v>
      </c>
      <c r="L3156">
        <v>277.68</v>
      </c>
    </row>
    <row r="3157" spans="1:12" x14ac:dyDescent="0.25">
      <c r="A3157" t="str">
        <f t="shared" si="695"/>
        <v>89301000</v>
      </c>
      <c r="B3157" t="str">
        <f t="shared" si="684"/>
        <v>06539000</v>
      </c>
      <c r="C3157" t="str">
        <f t="shared" si="698"/>
        <v>06539003</v>
      </c>
      <c r="D3157" t="str">
        <f t="shared" si="699"/>
        <v>813</v>
      </c>
      <c r="E3157" t="str">
        <f t="shared" si="696"/>
        <v>89301171</v>
      </c>
      <c r="F3157" t="str">
        <f t="shared" si="697"/>
        <v>6755220670</v>
      </c>
      <c r="G3157" s="1">
        <v>44628</v>
      </c>
      <c r="H3157" t="str">
        <f>"91439"</f>
        <v>91439</v>
      </c>
      <c r="I3157">
        <v>1</v>
      </c>
      <c r="J3157">
        <v>356</v>
      </c>
      <c r="K3157">
        <v>0</v>
      </c>
      <c r="L3157">
        <v>277.68</v>
      </c>
    </row>
    <row r="3158" spans="1:12" x14ac:dyDescent="0.25">
      <c r="A3158" t="str">
        <f t="shared" si="695"/>
        <v>89301000</v>
      </c>
      <c r="B3158" t="str">
        <f t="shared" si="684"/>
        <v>06539000</v>
      </c>
      <c r="C3158" t="str">
        <f t="shared" si="698"/>
        <v>06539003</v>
      </c>
      <c r="D3158" t="str">
        <f t="shared" si="699"/>
        <v>813</v>
      </c>
      <c r="E3158" t="str">
        <f t="shared" si="696"/>
        <v>89301171</v>
      </c>
      <c r="F3158" t="str">
        <f t="shared" si="697"/>
        <v>6755220670</v>
      </c>
      <c r="G3158" s="1">
        <v>44628</v>
      </c>
      <c r="H3158" t="str">
        <f>"91439"</f>
        <v>91439</v>
      </c>
      <c r="I3158">
        <v>1</v>
      </c>
      <c r="J3158">
        <v>356</v>
      </c>
      <c r="K3158">
        <v>0</v>
      </c>
      <c r="L3158">
        <v>277.68</v>
      </c>
    </row>
    <row r="3159" spans="1:12" x14ac:dyDescent="0.25">
      <c r="A3159" t="str">
        <f t="shared" si="695"/>
        <v>89301000</v>
      </c>
      <c r="B3159" t="str">
        <f t="shared" si="684"/>
        <v>06539000</v>
      </c>
      <c r="C3159" t="str">
        <f t="shared" si="698"/>
        <v>06539003</v>
      </c>
      <c r="D3159" t="str">
        <f t="shared" si="699"/>
        <v>813</v>
      </c>
      <c r="E3159" t="str">
        <f t="shared" si="696"/>
        <v>89301171</v>
      </c>
      <c r="F3159" t="str">
        <f t="shared" si="697"/>
        <v>6755220670</v>
      </c>
      <c r="G3159" s="1">
        <v>44628</v>
      </c>
      <c r="H3159" t="str">
        <f>"91439"</f>
        <v>91439</v>
      </c>
      <c r="I3159">
        <v>2</v>
      </c>
      <c r="J3159">
        <v>712</v>
      </c>
      <c r="K3159">
        <v>0</v>
      </c>
      <c r="L3159">
        <v>555.36</v>
      </c>
    </row>
    <row r="3160" spans="1:12" x14ac:dyDescent="0.25">
      <c r="A3160" t="str">
        <f t="shared" si="695"/>
        <v>89301000</v>
      </c>
      <c r="B3160" t="str">
        <f t="shared" ref="B3160:B3223" si="700">"06539000"</f>
        <v>06539000</v>
      </c>
      <c r="C3160" t="str">
        <f t="shared" si="698"/>
        <v>06539003</v>
      </c>
      <c r="D3160" t="str">
        <f t="shared" si="699"/>
        <v>813</v>
      </c>
      <c r="E3160" t="str">
        <f t="shared" si="696"/>
        <v>89301171</v>
      </c>
      <c r="F3160" t="str">
        <f t="shared" si="697"/>
        <v>6755220670</v>
      </c>
      <c r="G3160" s="1">
        <v>44629</v>
      </c>
      <c r="H3160" t="str">
        <f t="shared" ref="H3160:H3169" si="701">"91413"</f>
        <v>91413</v>
      </c>
      <c r="I3160">
        <v>1</v>
      </c>
      <c r="J3160">
        <v>853</v>
      </c>
      <c r="K3160">
        <v>0</v>
      </c>
      <c r="L3160">
        <v>665.34</v>
      </c>
    </row>
    <row r="3161" spans="1:12" x14ac:dyDescent="0.25">
      <c r="A3161" t="str">
        <f t="shared" si="695"/>
        <v>89301000</v>
      </c>
      <c r="B3161" t="str">
        <f t="shared" si="700"/>
        <v>06539000</v>
      </c>
      <c r="C3161" t="str">
        <f t="shared" si="698"/>
        <v>06539003</v>
      </c>
      <c r="D3161" t="str">
        <f t="shared" si="699"/>
        <v>813</v>
      </c>
      <c r="E3161" t="str">
        <f t="shared" si="696"/>
        <v>89301171</v>
      </c>
      <c r="F3161" t="str">
        <f t="shared" si="697"/>
        <v>6755220670</v>
      </c>
      <c r="G3161" s="1">
        <v>44629</v>
      </c>
      <c r="H3161" t="str">
        <f t="shared" si="701"/>
        <v>91413</v>
      </c>
      <c r="I3161">
        <v>1</v>
      </c>
      <c r="J3161">
        <v>853</v>
      </c>
      <c r="K3161">
        <v>0</v>
      </c>
      <c r="L3161">
        <v>665.34</v>
      </c>
    </row>
    <row r="3162" spans="1:12" x14ac:dyDescent="0.25">
      <c r="A3162" t="str">
        <f t="shared" si="695"/>
        <v>89301000</v>
      </c>
      <c r="B3162" t="str">
        <f t="shared" si="700"/>
        <v>06539000</v>
      </c>
      <c r="C3162" t="str">
        <f t="shared" si="698"/>
        <v>06539003</v>
      </c>
      <c r="D3162" t="str">
        <f t="shared" si="699"/>
        <v>813</v>
      </c>
      <c r="E3162" t="str">
        <f t="shared" si="696"/>
        <v>89301171</v>
      </c>
      <c r="F3162" t="str">
        <f t="shared" si="697"/>
        <v>6755220670</v>
      </c>
      <c r="G3162" s="1">
        <v>44641</v>
      </c>
      <c r="H3162" t="str">
        <f t="shared" si="701"/>
        <v>91413</v>
      </c>
      <c r="I3162">
        <v>1</v>
      </c>
      <c r="J3162">
        <v>853</v>
      </c>
      <c r="K3162">
        <v>0</v>
      </c>
      <c r="L3162">
        <v>665.34</v>
      </c>
    </row>
    <row r="3163" spans="1:12" x14ac:dyDescent="0.25">
      <c r="A3163" t="str">
        <f t="shared" si="695"/>
        <v>89301000</v>
      </c>
      <c r="B3163" t="str">
        <f t="shared" si="700"/>
        <v>06539000</v>
      </c>
      <c r="C3163" t="str">
        <f t="shared" si="698"/>
        <v>06539003</v>
      </c>
      <c r="D3163" t="str">
        <f t="shared" si="699"/>
        <v>813</v>
      </c>
      <c r="E3163" t="str">
        <f t="shared" si="696"/>
        <v>89301171</v>
      </c>
      <c r="F3163" t="str">
        <f t="shared" si="697"/>
        <v>6755220670</v>
      </c>
      <c r="G3163" s="1">
        <v>44641</v>
      </c>
      <c r="H3163" t="str">
        <f t="shared" si="701"/>
        <v>91413</v>
      </c>
      <c r="I3163">
        <v>1</v>
      </c>
      <c r="J3163">
        <v>853</v>
      </c>
      <c r="K3163">
        <v>0</v>
      </c>
      <c r="L3163">
        <v>665.34</v>
      </c>
    </row>
    <row r="3164" spans="1:12" x14ac:dyDescent="0.25">
      <c r="A3164" t="str">
        <f t="shared" si="695"/>
        <v>89301000</v>
      </c>
      <c r="B3164" t="str">
        <f t="shared" si="700"/>
        <v>06539000</v>
      </c>
      <c r="C3164" t="str">
        <f t="shared" si="698"/>
        <v>06539003</v>
      </c>
      <c r="D3164" t="str">
        <f t="shared" si="699"/>
        <v>813</v>
      </c>
      <c r="E3164" t="str">
        <f t="shared" si="696"/>
        <v>89301171</v>
      </c>
      <c r="F3164" t="str">
        <f t="shared" si="697"/>
        <v>6755220670</v>
      </c>
      <c r="G3164" s="1">
        <v>44641</v>
      </c>
      <c r="H3164" t="str">
        <f t="shared" si="701"/>
        <v>91413</v>
      </c>
      <c r="I3164">
        <v>1</v>
      </c>
      <c r="J3164">
        <v>853</v>
      </c>
      <c r="K3164">
        <v>0</v>
      </c>
      <c r="L3164">
        <v>665.34</v>
      </c>
    </row>
    <row r="3165" spans="1:12" x14ac:dyDescent="0.25">
      <c r="A3165" t="str">
        <f t="shared" si="695"/>
        <v>89301000</v>
      </c>
      <c r="B3165" t="str">
        <f t="shared" si="700"/>
        <v>06539000</v>
      </c>
      <c r="C3165" t="str">
        <f t="shared" si="698"/>
        <v>06539003</v>
      </c>
      <c r="D3165" t="str">
        <f t="shared" si="699"/>
        <v>813</v>
      </c>
      <c r="E3165" t="str">
        <f t="shared" si="696"/>
        <v>89301171</v>
      </c>
      <c r="F3165" t="str">
        <f t="shared" si="697"/>
        <v>6755220670</v>
      </c>
      <c r="G3165" s="1">
        <v>44641</v>
      </c>
      <c r="H3165" t="str">
        <f t="shared" si="701"/>
        <v>91413</v>
      </c>
      <c r="I3165">
        <v>1</v>
      </c>
      <c r="J3165">
        <v>853</v>
      </c>
      <c r="K3165">
        <v>0</v>
      </c>
      <c r="L3165">
        <v>665.34</v>
      </c>
    </row>
    <row r="3166" spans="1:12" x14ac:dyDescent="0.25">
      <c r="A3166" t="str">
        <f t="shared" si="695"/>
        <v>89301000</v>
      </c>
      <c r="B3166" t="str">
        <f t="shared" si="700"/>
        <v>06539000</v>
      </c>
      <c r="C3166" t="str">
        <f t="shared" si="698"/>
        <v>06539003</v>
      </c>
      <c r="D3166" t="str">
        <f t="shared" si="699"/>
        <v>813</v>
      </c>
      <c r="E3166" t="str">
        <f t="shared" si="696"/>
        <v>89301171</v>
      </c>
      <c r="F3166" t="str">
        <f t="shared" si="697"/>
        <v>6755220670</v>
      </c>
      <c r="G3166" s="1">
        <v>44641</v>
      </c>
      <c r="H3166" t="str">
        <f t="shared" si="701"/>
        <v>91413</v>
      </c>
      <c r="I3166">
        <v>1</v>
      </c>
      <c r="J3166">
        <v>853</v>
      </c>
      <c r="K3166">
        <v>0</v>
      </c>
      <c r="L3166">
        <v>665.34</v>
      </c>
    </row>
    <row r="3167" spans="1:12" x14ac:dyDescent="0.25">
      <c r="A3167" t="str">
        <f t="shared" si="695"/>
        <v>89301000</v>
      </c>
      <c r="B3167" t="str">
        <f t="shared" si="700"/>
        <v>06539000</v>
      </c>
      <c r="C3167" t="str">
        <f t="shared" si="698"/>
        <v>06539003</v>
      </c>
      <c r="D3167" t="str">
        <f t="shared" si="699"/>
        <v>813</v>
      </c>
      <c r="E3167" t="str">
        <f t="shared" si="696"/>
        <v>89301171</v>
      </c>
      <c r="F3167" t="str">
        <f t="shared" si="697"/>
        <v>6755220670</v>
      </c>
      <c r="G3167" s="1">
        <v>44641</v>
      </c>
      <c r="H3167" t="str">
        <f t="shared" si="701"/>
        <v>91413</v>
      </c>
      <c r="I3167">
        <v>1</v>
      </c>
      <c r="J3167">
        <v>853</v>
      </c>
      <c r="K3167">
        <v>0</v>
      </c>
      <c r="L3167">
        <v>665.34</v>
      </c>
    </row>
    <row r="3168" spans="1:12" x14ac:dyDescent="0.25">
      <c r="A3168" t="str">
        <f t="shared" si="695"/>
        <v>89301000</v>
      </c>
      <c r="B3168" t="str">
        <f t="shared" si="700"/>
        <v>06539000</v>
      </c>
      <c r="C3168" t="str">
        <f t="shared" si="698"/>
        <v>06539003</v>
      </c>
      <c r="D3168" t="str">
        <f t="shared" si="699"/>
        <v>813</v>
      </c>
      <c r="E3168" t="str">
        <f t="shared" si="696"/>
        <v>89301171</v>
      </c>
      <c r="F3168" t="str">
        <f t="shared" si="697"/>
        <v>6755220670</v>
      </c>
      <c r="G3168" s="1">
        <v>44641</v>
      </c>
      <c r="H3168" t="str">
        <f t="shared" si="701"/>
        <v>91413</v>
      </c>
      <c r="I3168">
        <v>1</v>
      </c>
      <c r="J3168">
        <v>853</v>
      </c>
      <c r="K3168">
        <v>0</v>
      </c>
      <c r="L3168">
        <v>665.34</v>
      </c>
    </row>
    <row r="3169" spans="1:12" x14ac:dyDescent="0.25">
      <c r="A3169" t="str">
        <f t="shared" si="695"/>
        <v>89301000</v>
      </c>
      <c r="B3169" t="str">
        <f t="shared" si="700"/>
        <v>06539000</v>
      </c>
      <c r="C3169" t="str">
        <f t="shared" si="698"/>
        <v>06539003</v>
      </c>
      <c r="D3169" t="str">
        <f t="shared" si="699"/>
        <v>813</v>
      </c>
      <c r="E3169" t="str">
        <f t="shared" si="696"/>
        <v>89301171</v>
      </c>
      <c r="F3169" t="str">
        <f t="shared" si="697"/>
        <v>6755220670</v>
      </c>
      <c r="G3169" s="1">
        <v>44641</v>
      </c>
      <c r="H3169" t="str">
        <f t="shared" si="701"/>
        <v>91413</v>
      </c>
      <c r="I3169">
        <v>1</v>
      </c>
      <c r="J3169">
        <v>853</v>
      </c>
      <c r="K3169">
        <v>0</v>
      </c>
      <c r="L3169">
        <v>665.34</v>
      </c>
    </row>
    <row r="3170" spans="1:12" x14ac:dyDescent="0.25">
      <c r="A3170" t="str">
        <f t="shared" si="695"/>
        <v>89301000</v>
      </c>
      <c r="B3170" t="str">
        <f t="shared" si="700"/>
        <v>06539000</v>
      </c>
      <c r="C3170" t="str">
        <f t="shared" si="698"/>
        <v>06539003</v>
      </c>
      <c r="D3170" t="str">
        <f t="shared" si="699"/>
        <v>813</v>
      </c>
      <c r="E3170" t="str">
        <f t="shared" si="696"/>
        <v>89301171</v>
      </c>
      <c r="F3170" t="str">
        <f t="shared" si="697"/>
        <v>6755220670</v>
      </c>
      <c r="G3170" s="1">
        <v>44624</v>
      </c>
      <c r="H3170" t="str">
        <f t="shared" ref="H3170:H3175" si="702">"91197"</f>
        <v>91197</v>
      </c>
      <c r="I3170">
        <v>1</v>
      </c>
      <c r="J3170">
        <v>1046</v>
      </c>
      <c r="K3170">
        <v>0</v>
      </c>
      <c r="L3170">
        <v>815.88</v>
      </c>
    </row>
    <row r="3171" spans="1:12" x14ac:dyDescent="0.25">
      <c r="A3171" t="str">
        <f t="shared" si="695"/>
        <v>89301000</v>
      </c>
      <c r="B3171" t="str">
        <f t="shared" si="700"/>
        <v>06539000</v>
      </c>
      <c r="C3171" t="str">
        <f t="shared" si="698"/>
        <v>06539003</v>
      </c>
      <c r="D3171" t="str">
        <f t="shared" si="699"/>
        <v>813</v>
      </c>
      <c r="E3171" t="str">
        <f t="shared" si="696"/>
        <v>89301171</v>
      </c>
      <c r="F3171" t="str">
        <f t="shared" si="697"/>
        <v>6755220670</v>
      </c>
      <c r="G3171" s="1">
        <v>44626</v>
      </c>
      <c r="H3171" t="str">
        <f t="shared" si="702"/>
        <v>91197</v>
      </c>
      <c r="I3171">
        <v>1</v>
      </c>
      <c r="J3171">
        <v>1046</v>
      </c>
      <c r="K3171">
        <v>0</v>
      </c>
      <c r="L3171">
        <v>815.88</v>
      </c>
    </row>
    <row r="3172" spans="1:12" x14ac:dyDescent="0.25">
      <c r="A3172" t="str">
        <f t="shared" si="695"/>
        <v>89301000</v>
      </c>
      <c r="B3172" t="str">
        <f t="shared" si="700"/>
        <v>06539000</v>
      </c>
      <c r="C3172" t="str">
        <f t="shared" si="698"/>
        <v>06539003</v>
      </c>
      <c r="D3172" t="str">
        <f t="shared" si="699"/>
        <v>813</v>
      </c>
      <c r="E3172" t="str">
        <f t="shared" si="696"/>
        <v>89301171</v>
      </c>
      <c r="F3172" t="str">
        <f t="shared" si="697"/>
        <v>6755220670</v>
      </c>
      <c r="G3172" s="1">
        <v>44626</v>
      </c>
      <c r="H3172" t="str">
        <f t="shared" si="702"/>
        <v>91197</v>
      </c>
      <c r="I3172">
        <v>1</v>
      </c>
      <c r="J3172">
        <v>1046</v>
      </c>
      <c r="K3172">
        <v>0</v>
      </c>
      <c r="L3172">
        <v>815.88</v>
      </c>
    </row>
    <row r="3173" spans="1:12" x14ac:dyDescent="0.25">
      <c r="A3173" t="str">
        <f t="shared" si="695"/>
        <v>89301000</v>
      </c>
      <c r="B3173" t="str">
        <f t="shared" si="700"/>
        <v>06539000</v>
      </c>
      <c r="C3173" t="str">
        <f t="shared" si="698"/>
        <v>06539003</v>
      </c>
      <c r="D3173" t="str">
        <f t="shared" si="699"/>
        <v>813</v>
      </c>
      <c r="E3173" t="str">
        <f t="shared" si="696"/>
        <v>89301171</v>
      </c>
      <c r="F3173" t="str">
        <f t="shared" si="697"/>
        <v>6755220670</v>
      </c>
      <c r="G3173" s="1">
        <v>44625</v>
      </c>
      <c r="H3173" t="str">
        <f t="shared" si="702"/>
        <v>91197</v>
      </c>
      <c r="I3173">
        <v>1</v>
      </c>
      <c r="J3173">
        <v>1046</v>
      </c>
      <c r="K3173">
        <v>0</v>
      </c>
      <c r="L3173">
        <v>815.88</v>
      </c>
    </row>
    <row r="3174" spans="1:12" x14ac:dyDescent="0.25">
      <c r="A3174" t="str">
        <f t="shared" si="695"/>
        <v>89301000</v>
      </c>
      <c r="B3174" t="str">
        <f t="shared" si="700"/>
        <v>06539000</v>
      </c>
      <c r="C3174" t="str">
        <f t="shared" si="698"/>
        <v>06539003</v>
      </c>
      <c r="D3174" t="str">
        <f t="shared" si="699"/>
        <v>813</v>
      </c>
      <c r="E3174" t="str">
        <f t="shared" si="696"/>
        <v>89301171</v>
      </c>
      <c r="F3174" t="str">
        <f t="shared" si="697"/>
        <v>6755220670</v>
      </c>
      <c r="G3174" s="1">
        <v>44625</v>
      </c>
      <c r="H3174" t="str">
        <f t="shared" si="702"/>
        <v>91197</v>
      </c>
      <c r="I3174">
        <v>1</v>
      </c>
      <c r="J3174">
        <v>1046</v>
      </c>
      <c r="K3174">
        <v>0</v>
      </c>
      <c r="L3174">
        <v>815.88</v>
      </c>
    </row>
    <row r="3175" spans="1:12" x14ac:dyDescent="0.25">
      <c r="A3175" t="str">
        <f t="shared" si="695"/>
        <v>89301000</v>
      </c>
      <c r="B3175" t="str">
        <f t="shared" si="700"/>
        <v>06539000</v>
      </c>
      <c r="C3175" t="str">
        <f t="shared" si="698"/>
        <v>06539003</v>
      </c>
      <c r="D3175" t="str">
        <f t="shared" si="699"/>
        <v>813</v>
      </c>
      <c r="E3175" t="str">
        <f t="shared" si="696"/>
        <v>89301171</v>
      </c>
      <c r="F3175" t="str">
        <f t="shared" si="697"/>
        <v>6755220670</v>
      </c>
      <c r="G3175" s="1">
        <v>44624</v>
      </c>
      <c r="H3175" t="str">
        <f t="shared" si="702"/>
        <v>91197</v>
      </c>
      <c r="I3175">
        <v>1</v>
      </c>
      <c r="J3175">
        <v>1046</v>
      </c>
      <c r="K3175">
        <v>0</v>
      </c>
      <c r="L3175">
        <v>815.88</v>
      </c>
    </row>
    <row r="3176" spans="1:12" x14ac:dyDescent="0.25">
      <c r="A3176" t="str">
        <f t="shared" si="695"/>
        <v>89301000</v>
      </c>
      <c r="B3176" t="str">
        <f t="shared" si="700"/>
        <v>06539000</v>
      </c>
      <c r="C3176" t="str">
        <f t="shared" si="698"/>
        <v>06539003</v>
      </c>
      <c r="D3176" t="str">
        <f t="shared" si="699"/>
        <v>813</v>
      </c>
      <c r="E3176" t="str">
        <f t="shared" si="696"/>
        <v>89301171</v>
      </c>
      <c r="F3176" t="str">
        <f t="shared" si="697"/>
        <v>6755220670</v>
      </c>
      <c r="G3176" s="1">
        <v>44624</v>
      </c>
      <c r="H3176" t="str">
        <f>"91129"</f>
        <v>91129</v>
      </c>
      <c r="I3176">
        <v>1</v>
      </c>
      <c r="J3176">
        <v>174</v>
      </c>
      <c r="K3176">
        <v>0</v>
      </c>
      <c r="L3176">
        <v>135.72</v>
      </c>
    </row>
    <row r="3177" spans="1:12" x14ac:dyDescent="0.25">
      <c r="A3177" t="str">
        <f t="shared" si="695"/>
        <v>89301000</v>
      </c>
      <c r="B3177" t="str">
        <f t="shared" si="700"/>
        <v>06539000</v>
      </c>
      <c r="C3177" t="str">
        <f t="shared" si="698"/>
        <v>06539003</v>
      </c>
      <c r="D3177" t="str">
        <f t="shared" si="699"/>
        <v>813</v>
      </c>
      <c r="E3177" t="str">
        <f t="shared" si="696"/>
        <v>89301171</v>
      </c>
      <c r="F3177" t="str">
        <f t="shared" si="697"/>
        <v>6755220670</v>
      </c>
      <c r="G3177" s="1">
        <v>44624</v>
      </c>
      <c r="H3177" t="str">
        <f>"91131"</f>
        <v>91131</v>
      </c>
      <c r="I3177">
        <v>1</v>
      </c>
      <c r="J3177">
        <v>171</v>
      </c>
      <c r="K3177">
        <v>0</v>
      </c>
      <c r="L3177">
        <v>133.38</v>
      </c>
    </row>
    <row r="3178" spans="1:12" x14ac:dyDescent="0.25">
      <c r="A3178" t="str">
        <f t="shared" si="695"/>
        <v>89301000</v>
      </c>
      <c r="B3178" t="str">
        <f t="shared" si="700"/>
        <v>06539000</v>
      </c>
      <c r="C3178" t="str">
        <f t="shared" si="698"/>
        <v>06539003</v>
      </c>
      <c r="D3178" t="str">
        <f t="shared" si="699"/>
        <v>813</v>
      </c>
      <c r="E3178" t="str">
        <f t="shared" si="696"/>
        <v>89301171</v>
      </c>
      <c r="F3178" t="str">
        <f t="shared" si="697"/>
        <v>6755220670</v>
      </c>
      <c r="G3178" s="1">
        <v>44624</v>
      </c>
      <c r="H3178" t="str">
        <f>"91133"</f>
        <v>91133</v>
      </c>
      <c r="I3178">
        <v>1</v>
      </c>
      <c r="J3178">
        <v>176</v>
      </c>
      <c r="K3178">
        <v>0</v>
      </c>
      <c r="L3178">
        <v>137.28</v>
      </c>
    </row>
    <row r="3179" spans="1:12" x14ac:dyDescent="0.25">
      <c r="A3179" t="str">
        <f t="shared" si="695"/>
        <v>89301000</v>
      </c>
      <c r="B3179" t="str">
        <f t="shared" si="700"/>
        <v>06539000</v>
      </c>
      <c r="C3179" t="str">
        <f t="shared" si="698"/>
        <v>06539003</v>
      </c>
      <c r="D3179" t="str">
        <f t="shared" si="699"/>
        <v>813</v>
      </c>
      <c r="E3179" t="str">
        <f t="shared" si="696"/>
        <v>89301171</v>
      </c>
      <c r="F3179" t="str">
        <f t="shared" si="697"/>
        <v>6755220670</v>
      </c>
      <c r="G3179" s="1">
        <v>44624</v>
      </c>
      <c r="H3179" t="str">
        <f>"91171"</f>
        <v>91171</v>
      </c>
      <c r="I3179">
        <v>1</v>
      </c>
      <c r="J3179">
        <v>360</v>
      </c>
      <c r="K3179">
        <v>0</v>
      </c>
      <c r="L3179">
        <v>280.8</v>
      </c>
    </row>
    <row r="3180" spans="1:12" x14ac:dyDescent="0.25">
      <c r="A3180" t="str">
        <f t="shared" si="695"/>
        <v>89301000</v>
      </c>
      <c r="B3180" t="str">
        <f t="shared" si="700"/>
        <v>06539000</v>
      </c>
      <c r="C3180" t="str">
        <f t="shared" si="698"/>
        <v>06539003</v>
      </c>
      <c r="D3180" t="str">
        <f t="shared" si="699"/>
        <v>813</v>
      </c>
      <c r="E3180" t="str">
        <f t="shared" si="696"/>
        <v>89301171</v>
      </c>
      <c r="F3180" t="str">
        <f t="shared" si="697"/>
        <v>6755220670</v>
      </c>
      <c r="G3180" s="1">
        <v>44624</v>
      </c>
      <c r="H3180" t="str">
        <f>"91173"</f>
        <v>91173</v>
      </c>
      <c r="I3180">
        <v>1</v>
      </c>
      <c r="J3180">
        <v>335</v>
      </c>
      <c r="K3180">
        <v>0</v>
      </c>
      <c r="L3180">
        <v>261.3</v>
      </c>
    </row>
    <row r="3181" spans="1:12" x14ac:dyDescent="0.25">
      <c r="A3181" t="str">
        <f t="shared" si="695"/>
        <v>89301000</v>
      </c>
      <c r="B3181" t="str">
        <f t="shared" si="700"/>
        <v>06539000</v>
      </c>
      <c r="C3181" t="str">
        <f t="shared" si="698"/>
        <v>06539003</v>
      </c>
      <c r="D3181" t="str">
        <f t="shared" si="699"/>
        <v>813</v>
      </c>
      <c r="E3181" t="str">
        <f t="shared" si="696"/>
        <v>89301171</v>
      </c>
      <c r="F3181" t="str">
        <f t="shared" si="697"/>
        <v>6755220670</v>
      </c>
      <c r="G3181" s="1">
        <v>44624</v>
      </c>
      <c r="H3181" t="str">
        <f>"91175"</f>
        <v>91175</v>
      </c>
      <c r="I3181">
        <v>1</v>
      </c>
      <c r="J3181">
        <v>360</v>
      </c>
      <c r="K3181">
        <v>0</v>
      </c>
      <c r="L3181">
        <v>280.8</v>
      </c>
    </row>
    <row r="3182" spans="1:12" x14ac:dyDescent="0.25">
      <c r="A3182" t="str">
        <f t="shared" si="695"/>
        <v>89301000</v>
      </c>
      <c r="B3182" t="str">
        <f t="shared" si="700"/>
        <v>06539000</v>
      </c>
      <c r="C3182" t="str">
        <f t="shared" si="698"/>
        <v>06539003</v>
      </c>
      <c r="D3182" t="str">
        <f t="shared" si="699"/>
        <v>813</v>
      </c>
      <c r="E3182" t="str">
        <f t="shared" si="696"/>
        <v>89301171</v>
      </c>
      <c r="F3182" t="str">
        <f t="shared" si="697"/>
        <v>6755220670</v>
      </c>
      <c r="G3182" s="1">
        <v>44625</v>
      </c>
      <c r="H3182" t="str">
        <f>"91167"</f>
        <v>91167</v>
      </c>
      <c r="I3182">
        <v>1</v>
      </c>
      <c r="J3182">
        <v>425</v>
      </c>
      <c r="K3182">
        <v>0</v>
      </c>
      <c r="L3182">
        <v>331.5</v>
      </c>
    </row>
    <row r="3183" spans="1:12" x14ac:dyDescent="0.25">
      <c r="A3183" t="str">
        <f t="shared" si="695"/>
        <v>89301000</v>
      </c>
      <c r="B3183" t="str">
        <f t="shared" si="700"/>
        <v>06539000</v>
      </c>
      <c r="C3183" t="str">
        <f t="shared" si="698"/>
        <v>06539003</v>
      </c>
      <c r="D3183" t="str">
        <f t="shared" si="699"/>
        <v>813</v>
      </c>
      <c r="E3183" t="str">
        <f t="shared" si="696"/>
        <v>89301171</v>
      </c>
      <c r="F3183" t="str">
        <f t="shared" si="697"/>
        <v>6755220670</v>
      </c>
      <c r="G3183" s="1">
        <v>44625</v>
      </c>
      <c r="H3183" t="str">
        <f>"91169"</f>
        <v>91169</v>
      </c>
      <c r="I3183">
        <v>1</v>
      </c>
      <c r="J3183">
        <v>425</v>
      </c>
      <c r="K3183">
        <v>0</v>
      </c>
      <c r="L3183">
        <v>331.5</v>
      </c>
    </row>
    <row r="3184" spans="1:12" x14ac:dyDescent="0.25">
      <c r="A3184" t="str">
        <f t="shared" si="695"/>
        <v>89301000</v>
      </c>
      <c r="B3184" t="str">
        <f t="shared" si="700"/>
        <v>06539000</v>
      </c>
      <c r="C3184" t="str">
        <f t="shared" si="698"/>
        <v>06539003</v>
      </c>
      <c r="D3184" t="str">
        <f t="shared" si="699"/>
        <v>813</v>
      </c>
      <c r="E3184" t="str">
        <f t="shared" si="696"/>
        <v>89301171</v>
      </c>
      <c r="F3184" t="str">
        <f t="shared" si="697"/>
        <v>6755220670</v>
      </c>
      <c r="G3184" s="1">
        <v>44624</v>
      </c>
      <c r="H3184" t="str">
        <f>"91167"</f>
        <v>91167</v>
      </c>
      <c r="I3184">
        <v>1</v>
      </c>
      <c r="J3184">
        <v>425</v>
      </c>
      <c r="K3184">
        <v>0</v>
      </c>
      <c r="L3184">
        <v>331.5</v>
      </c>
    </row>
    <row r="3185" spans="1:12" x14ac:dyDescent="0.25">
      <c r="A3185" t="str">
        <f t="shared" si="695"/>
        <v>89301000</v>
      </c>
      <c r="B3185" t="str">
        <f t="shared" si="700"/>
        <v>06539000</v>
      </c>
      <c r="C3185" t="str">
        <f t="shared" si="698"/>
        <v>06539003</v>
      </c>
      <c r="D3185" t="str">
        <f t="shared" si="699"/>
        <v>813</v>
      </c>
      <c r="E3185" t="str">
        <f t="shared" ref="E3185:E3216" si="703">"89301171"</f>
        <v>89301171</v>
      </c>
      <c r="F3185" t="str">
        <f t="shared" si="697"/>
        <v>6755220670</v>
      </c>
      <c r="G3185" s="1">
        <v>44624</v>
      </c>
      <c r="H3185" t="str">
        <f>"91169"</f>
        <v>91169</v>
      </c>
      <c r="I3185">
        <v>1</v>
      </c>
      <c r="J3185">
        <v>425</v>
      </c>
      <c r="K3185">
        <v>0</v>
      </c>
      <c r="L3185">
        <v>331.5</v>
      </c>
    </row>
    <row r="3186" spans="1:12" x14ac:dyDescent="0.25">
      <c r="A3186" t="str">
        <f t="shared" si="695"/>
        <v>89301000</v>
      </c>
      <c r="B3186" t="str">
        <f t="shared" si="700"/>
        <v>06539000</v>
      </c>
      <c r="C3186" t="str">
        <f t="shared" si="698"/>
        <v>06539003</v>
      </c>
      <c r="D3186" t="str">
        <f t="shared" si="699"/>
        <v>813</v>
      </c>
      <c r="E3186" t="str">
        <f t="shared" si="703"/>
        <v>89301171</v>
      </c>
      <c r="F3186" t="str">
        <f t="shared" si="697"/>
        <v>6755220670</v>
      </c>
      <c r="G3186" s="1">
        <v>44624</v>
      </c>
      <c r="H3186" t="str">
        <f>"91475"</f>
        <v>91475</v>
      </c>
      <c r="I3186">
        <v>1</v>
      </c>
      <c r="J3186">
        <v>206</v>
      </c>
      <c r="K3186">
        <v>0</v>
      </c>
      <c r="L3186">
        <v>160.68</v>
      </c>
    </row>
    <row r="3187" spans="1:12" x14ac:dyDescent="0.25">
      <c r="A3187" t="str">
        <f t="shared" si="695"/>
        <v>89301000</v>
      </c>
      <c r="B3187" t="str">
        <f t="shared" si="700"/>
        <v>06539000</v>
      </c>
      <c r="C3187" t="str">
        <f>"06539001"</f>
        <v>06539001</v>
      </c>
      <c r="D3187" t="str">
        <f>"801"</f>
        <v>801</v>
      </c>
      <c r="E3187" t="str">
        <f t="shared" si="703"/>
        <v>89301171</v>
      </c>
      <c r="F3187" t="str">
        <f t="shared" ref="F3187:F3233" si="704">"8611075770"</f>
        <v>8611075770</v>
      </c>
      <c r="G3187" s="1">
        <v>44631</v>
      </c>
      <c r="H3187" t="str">
        <f>"81329"</f>
        <v>81329</v>
      </c>
      <c r="I3187">
        <v>1</v>
      </c>
      <c r="J3187">
        <v>16</v>
      </c>
      <c r="K3187">
        <v>0</v>
      </c>
      <c r="L3187">
        <v>12.48</v>
      </c>
    </row>
    <row r="3188" spans="1:12" x14ac:dyDescent="0.25">
      <c r="A3188" t="str">
        <f t="shared" si="695"/>
        <v>89301000</v>
      </c>
      <c r="B3188" t="str">
        <f t="shared" si="700"/>
        <v>06539000</v>
      </c>
      <c r="C3188" t="str">
        <f>"06539001"</f>
        <v>06539001</v>
      </c>
      <c r="D3188" t="str">
        <f>"801"</f>
        <v>801</v>
      </c>
      <c r="E3188" t="str">
        <f t="shared" si="703"/>
        <v>89301171</v>
      </c>
      <c r="F3188" t="str">
        <f t="shared" si="704"/>
        <v>8611075770</v>
      </c>
      <c r="G3188" s="1">
        <v>44631</v>
      </c>
      <c r="H3188" t="str">
        <f>"81331"</f>
        <v>81331</v>
      </c>
      <c r="I3188">
        <v>1</v>
      </c>
      <c r="J3188">
        <v>193</v>
      </c>
      <c r="K3188">
        <v>0</v>
      </c>
      <c r="L3188">
        <v>150.54</v>
      </c>
    </row>
    <row r="3189" spans="1:12" x14ac:dyDescent="0.25">
      <c r="A3189" t="str">
        <f t="shared" si="695"/>
        <v>89301000</v>
      </c>
      <c r="B3189" t="str">
        <f t="shared" si="700"/>
        <v>06539000</v>
      </c>
      <c r="C3189" t="str">
        <f t="shared" ref="C3189:C3196" si="705">"06539002"</f>
        <v>06539002</v>
      </c>
      <c r="D3189" t="str">
        <f t="shared" ref="D3189:D3196" si="706">"802"</f>
        <v>802</v>
      </c>
      <c r="E3189" t="str">
        <f t="shared" si="703"/>
        <v>89301171</v>
      </c>
      <c r="F3189" t="str">
        <f t="shared" si="704"/>
        <v>8611075770</v>
      </c>
      <c r="G3189" s="1">
        <v>44631</v>
      </c>
      <c r="H3189" t="str">
        <f t="shared" ref="H3189:H3196" si="707">"82097"</f>
        <v>82097</v>
      </c>
      <c r="I3189">
        <v>1</v>
      </c>
      <c r="J3189">
        <v>380</v>
      </c>
      <c r="K3189">
        <v>0</v>
      </c>
      <c r="L3189">
        <v>345.8</v>
      </c>
    </row>
    <row r="3190" spans="1:12" x14ac:dyDescent="0.25">
      <c r="A3190" t="str">
        <f t="shared" si="695"/>
        <v>89301000</v>
      </c>
      <c r="B3190" t="str">
        <f t="shared" si="700"/>
        <v>06539000</v>
      </c>
      <c r="C3190" t="str">
        <f t="shared" si="705"/>
        <v>06539002</v>
      </c>
      <c r="D3190" t="str">
        <f t="shared" si="706"/>
        <v>802</v>
      </c>
      <c r="E3190" t="str">
        <f t="shared" si="703"/>
        <v>89301171</v>
      </c>
      <c r="F3190" t="str">
        <f t="shared" si="704"/>
        <v>8611075770</v>
      </c>
      <c r="G3190" s="1">
        <v>44631</v>
      </c>
      <c r="H3190" t="str">
        <f t="shared" si="707"/>
        <v>82097</v>
      </c>
      <c r="I3190">
        <v>1</v>
      </c>
      <c r="J3190">
        <v>380</v>
      </c>
      <c r="K3190">
        <v>0</v>
      </c>
      <c r="L3190">
        <v>345.8</v>
      </c>
    </row>
    <row r="3191" spans="1:12" x14ac:dyDescent="0.25">
      <c r="A3191" t="str">
        <f t="shared" si="695"/>
        <v>89301000</v>
      </c>
      <c r="B3191" t="str">
        <f t="shared" si="700"/>
        <v>06539000</v>
      </c>
      <c r="C3191" t="str">
        <f t="shared" si="705"/>
        <v>06539002</v>
      </c>
      <c r="D3191" t="str">
        <f t="shared" si="706"/>
        <v>802</v>
      </c>
      <c r="E3191" t="str">
        <f t="shared" si="703"/>
        <v>89301171</v>
      </c>
      <c r="F3191" t="str">
        <f t="shared" si="704"/>
        <v>8611075770</v>
      </c>
      <c r="G3191" s="1">
        <v>44631</v>
      </c>
      <c r="H3191" t="str">
        <f t="shared" si="707"/>
        <v>82097</v>
      </c>
      <c r="I3191">
        <v>1</v>
      </c>
      <c r="J3191">
        <v>380</v>
      </c>
      <c r="K3191">
        <v>0</v>
      </c>
      <c r="L3191">
        <v>345.8</v>
      </c>
    </row>
    <row r="3192" spans="1:12" x14ac:dyDescent="0.25">
      <c r="A3192" t="str">
        <f t="shared" si="695"/>
        <v>89301000</v>
      </c>
      <c r="B3192" t="str">
        <f t="shared" si="700"/>
        <v>06539000</v>
      </c>
      <c r="C3192" t="str">
        <f t="shared" si="705"/>
        <v>06539002</v>
      </c>
      <c r="D3192" t="str">
        <f t="shared" si="706"/>
        <v>802</v>
      </c>
      <c r="E3192" t="str">
        <f t="shared" si="703"/>
        <v>89301171</v>
      </c>
      <c r="F3192" t="str">
        <f t="shared" si="704"/>
        <v>8611075770</v>
      </c>
      <c r="G3192" s="1">
        <v>44631</v>
      </c>
      <c r="H3192" t="str">
        <f t="shared" si="707"/>
        <v>82097</v>
      </c>
      <c r="I3192">
        <v>1</v>
      </c>
      <c r="J3192">
        <v>380</v>
      </c>
      <c r="K3192">
        <v>0</v>
      </c>
      <c r="L3192">
        <v>345.8</v>
      </c>
    </row>
    <row r="3193" spans="1:12" x14ac:dyDescent="0.25">
      <c r="A3193" t="str">
        <f t="shared" si="695"/>
        <v>89301000</v>
      </c>
      <c r="B3193" t="str">
        <f t="shared" si="700"/>
        <v>06539000</v>
      </c>
      <c r="C3193" t="str">
        <f t="shared" si="705"/>
        <v>06539002</v>
      </c>
      <c r="D3193" t="str">
        <f t="shared" si="706"/>
        <v>802</v>
      </c>
      <c r="E3193" t="str">
        <f t="shared" si="703"/>
        <v>89301171</v>
      </c>
      <c r="F3193" t="str">
        <f t="shared" si="704"/>
        <v>8611075770</v>
      </c>
      <c r="G3193" s="1">
        <v>44631</v>
      </c>
      <c r="H3193" t="str">
        <f t="shared" si="707"/>
        <v>82097</v>
      </c>
      <c r="I3193">
        <v>1</v>
      </c>
      <c r="J3193">
        <v>380</v>
      </c>
      <c r="K3193">
        <v>0</v>
      </c>
      <c r="L3193">
        <v>345.8</v>
      </c>
    </row>
    <row r="3194" spans="1:12" x14ac:dyDescent="0.25">
      <c r="A3194" t="str">
        <f t="shared" si="695"/>
        <v>89301000</v>
      </c>
      <c r="B3194" t="str">
        <f t="shared" si="700"/>
        <v>06539000</v>
      </c>
      <c r="C3194" t="str">
        <f t="shared" si="705"/>
        <v>06539002</v>
      </c>
      <c r="D3194" t="str">
        <f t="shared" si="706"/>
        <v>802</v>
      </c>
      <c r="E3194" t="str">
        <f t="shared" si="703"/>
        <v>89301171</v>
      </c>
      <c r="F3194" t="str">
        <f t="shared" si="704"/>
        <v>8611075770</v>
      </c>
      <c r="G3194" s="1">
        <v>44631</v>
      </c>
      <c r="H3194" t="str">
        <f t="shared" si="707"/>
        <v>82097</v>
      </c>
      <c r="I3194">
        <v>1</v>
      </c>
      <c r="J3194">
        <v>380</v>
      </c>
      <c r="K3194">
        <v>0</v>
      </c>
      <c r="L3194">
        <v>345.8</v>
      </c>
    </row>
    <row r="3195" spans="1:12" x14ac:dyDescent="0.25">
      <c r="A3195" t="str">
        <f t="shared" si="695"/>
        <v>89301000</v>
      </c>
      <c r="B3195" t="str">
        <f t="shared" si="700"/>
        <v>06539000</v>
      </c>
      <c r="C3195" t="str">
        <f t="shared" si="705"/>
        <v>06539002</v>
      </c>
      <c r="D3195" t="str">
        <f t="shared" si="706"/>
        <v>802</v>
      </c>
      <c r="E3195" t="str">
        <f t="shared" si="703"/>
        <v>89301171</v>
      </c>
      <c r="F3195" t="str">
        <f t="shared" si="704"/>
        <v>8611075770</v>
      </c>
      <c r="G3195" s="1">
        <v>44631</v>
      </c>
      <c r="H3195" t="str">
        <f t="shared" si="707"/>
        <v>82097</v>
      </c>
      <c r="I3195">
        <v>1</v>
      </c>
      <c r="J3195">
        <v>380</v>
      </c>
      <c r="K3195">
        <v>0</v>
      </c>
      <c r="L3195">
        <v>345.8</v>
      </c>
    </row>
    <row r="3196" spans="1:12" x14ac:dyDescent="0.25">
      <c r="A3196" t="str">
        <f t="shared" si="695"/>
        <v>89301000</v>
      </c>
      <c r="B3196" t="str">
        <f t="shared" si="700"/>
        <v>06539000</v>
      </c>
      <c r="C3196" t="str">
        <f t="shared" si="705"/>
        <v>06539002</v>
      </c>
      <c r="D3196" t="str">
        <f t="shared" si="706"/>
        <v>802</v>
      </c>
      <c r="E3196" t="str">
        <f t="shared" si="703"/>
        <v>89301171</v>
      </c>
      <c r="F3196" t="str">
        <f t="shared" si="704"/>
        <v>8611075770</v>
      </c>
      <c r="G3196" s="1">
        <v>44631</v>
      </c>
      <c r="H3196" t="str">
        <f t="shared" si="707"/>
        <v>82097</v>
      </c>
      <c r="I3196">
        <v>1</v>
      </c>
      <c r="J3196">
        <v>380</v>
      </c>
      <c r="K3196">
        <v>0</v>
      </c>
      <c r="L3196">
        <v>345.8</v>
      </c>
    </row>
    <row r="3197" spans="1:12" x14ac:dyDescent="0.25">
      <c r="A3197" t="str">
        <f t="shared" si="695"/>
        <v>89301000</v>
      </c>
      <c r="B3197" t="str">
        <f t="shared" si="700"/>
        <v>06539000</v>
      </c>
      <c r="C3197" t="str">
        <f t="shared" ref="C3197:C3233" si="708">"06539003"</f>
        <v>06539003</v>
      </c>
      <c r="D3197" t="str">
        <f t="shared" ref="D3197:D3233" si="709">"813"</f>
        <v>813</v>
      </c>
      <c r="E3197" t="str">
        <f t="shared" si="703"/>
        <v>89301171</v>
      </c>
      <c r="F3197" t="str">
        <f t="shared" si="704"/>
        <v>8611075770</v>
      </c>
      <c r="G3197" s="1">
        <v>44635</v>
      </c>
      <c r="H3197" t="str">
        <f>"91439"</f>
        <v>91439</v>
      </c>
      <c r="I3197">
        <v>1</v>
      </c>
      <c r="J3197">
        <v>356</v>
      </c>
      <c r="K3197">
        <v>0</v>
      </c>
      <c r="L3197">
        <v>277.68</v>
      </c>
    </row>
    <row r="3198" spans="1:12" x14ac:dyDescent="0.25">
      <c r="A3198" t="str">
        <f t="shared" si="695"/>
        <v>89301000</v>
      </c>
      <c r="B3198" t="str">
        <f t="shared" si="700"/>
        <v>06539000</v>
      </c>
      <c r="C3198" t="str">
        <f t="shared" si="708"/>
        <v>06539003</v>
      </c>
      <c r="D3198" t="str">
        <f t="shared" si="709"/>
        <v>813</v>
      </c>
      <c r="E3198" t="str">
        <f t="shared" si="703"/>
        <v>89301171</v>
      </c>
      <c r="F3198" t="str">
        <f t="shared" si="704"/>
        <v>8611075770</v>
      </c>
      <c r="G3198" s="1">
        <v>44635</v>
      </c>
      <c r="H3198" t="str">
        <f>"91439"</f>
        <v>91439</v>
      </c>
      <c r="I3198">
        <v>1</v>
      </c>
      <c r="J3198">
        <v>356</v>
      </c>
      <c r="K3198">
        <v>0</v>
      </c>
      <c r="L3198">
        <v>277.68</v>
      </c>
    </row>
    <row r="3199" spans="1:12" x14ac:dyDescent="0.25">
      <c r="A3199" t="str">
        <f t="shared" si="695"/>
        <v>89301000</v>
      </c>
      <c r="B3199" t="str">
        <f t="shared" si="700"/>
        <v>06539000</v>
      </c>
      <c r="C3199" t="str">
        <f t="shared" si="708"/>
        <v>06539003</v>
      </c>
      <c r="D3199" t="str">
        <f t="shared" si="709"/>
        <v>813</v>
      </c>
      <c r="E3199" t="str">
        <f t="shared" si="703"/>
        <v>89301171</v>
      </c>
      <c r="F3199" t="str">
        <f t="shared" si="704"/>
        <v>8611075770</v>
      </c>
      <c r="G3199" s="1">
        <v>44635</v>
      </c>
      <c r="H3199" t="str">
        <f>"91439"</f>
        <v>91439</v>
      </c>
      <c r="I3199">
        <v>1</v>
      </c>
      <c r="J3199">
        <v>356</v>
      </c>
      <c r="K3199">
        <v>0</v>
      </c>
      <c r="L3199">
        <v>277.68</v>
      </c>
    </row>
    <row r="3200" spans="1:12" x14ac:dyDescent="0.25">
      <c r="A3200" t="str">
        <f t="shared" si="695"/>
        <v>89301000</v>
      </c>
      <c r="B3200" t="str">
        <f t="shared" si="700"/>
        <v>06539000</v>
      </c>
      <c r="C3200" t="str">
        <f t="shared" si="708"/>
        <v>06539003</v>
      </c>
      <c r="D3200" t="str">
        <f t="shared" si="709"/>
        <v>813</v>
      </c>
      <c r="E3200" t="str">
        <f t="shared" si="703"/>
        <v>89301171</v>
      </c>
      <c r="F3200" t="str">
        <f t="shared" si="704"/>
        <v>8611075770</v>
      </c>
      <c r="G3200" s="1">
        <v>44635</v>
      </c>
      <c r="H3200" t="str">
        <f>"91439"</f>
        <v>91439</v>
      </c>
      <c r="I3200">
        <v>1</v>
      </c>
      <c r="J3200">
        <v>356</v>
      </c>
      <c r="K3200">
        <v>0</v>
      </c>
      <c r="L3200">
        <v>277.68</v>
      </c>
    </row>
    <row r="3201" spans="1:12" x14ac:dyDescent="0.25">
      <c r="A3201" t="str">
        <f t="shared" si="695"/>
        <v>89301000</v>
      </c>
      <c r="B3201" t="str">
        <f t="shared" si="700"/>
        <v>06539000</v>
      </c>
      <c r="C3201" t="str">
        <f t="shared" si="708"/>
        <v>06539003</v>
      </c>
      <c r="D3201" t="str">
        <f t="shared" si="709"/>
        <v>813</v>
      </c>
      <c r="E3201" t="str">
        <f t="shared" si="703"/>
        <v>89301171</v>
      </c>
      <c r="F3201" t="str">
        <f t="shared" si="704"/>
        <v>8611075770</v>
      </c>
      <c r="G3201" s="1">
        <v>44635</v>
      </c>
      <c r="H3201" t="str">
        <f>"91439"</f>
        <v>91439</v>
      </c>
      <c r="I3201">
        <v>2</v>
      </c>
      <c r="J3201">
        <v>712</v>
      </c>
      <c r="K3201">
        <v>0</v>
      </c>
      <c r="L3201">
        <v>555.36</v>
      </c>
    </row>
    <row r="3202" spans="1:12" x14ac:dyDescent="0.25">
      <c r="A3202" t="str">
        <f t="shared" ref="A3202:A3265" si="710">"89301000"</f>
        <v>89301000</v>
      </c>
      <c r="B3202" t="str">
        <f t="shared" si="700"/>
        <v>06539000</v>
      </c>
      <c r="C3202" t="str">
        <f t="shared" si="708"/>
        <v>06539003</v>
      </c>
      <c r="D3202" t="str">
        <f t="shared" si="709"/>
        <v>813</v>
      </c>
      <c r="E3202" t="str">
        <f t="shared" si="703"/>
        <v>89301171</v>
      </c>
      <c r="F3202" t="str">
        <f t="shared" si="704"/>
        <v>8611075770</v>
      </c>
      <c r="G3202" s="1">
        <v>44636</v>
      </c>
      <c r="H3202" t="str">
        <f t="shared" ref="H3202:H3211" si="711">"91413"</f>
        <v>91413</v>
      </c>
      <c r="I3202">
        <v>1</v>
      </c>
      <c r="J3202">
        <v>853</v>
      </c>
      <c r="K3202">
        <v>0</v>
      </c>
      <c r="L3202">
        <v>665.34</v>
      </c>
    </row>
    <row r="3203" spans="1:12" x14ac:dyDescent="0.25">
      <c r="A3203" t="str">
        <f t="shared" si="710"/>
        <v>89301000</v>
      </c>
      <c r="B3203" t="str">
        <f t="shared" si="700"/>
        <v>06539000</v>
      </c>
      <c r="C3203" t="str">
        <f t="shared" si="708"/>
        <v>06539003</v>
      </c>
      <c r="D3203" t="str">
        <f t="shared" si="709"/>
        <v>813</v>
      </c>
      <c r="E3203" t="str">
        <f t="shared" si="703"/>
        <v>89301171</v>
      </c>
      <c r="F3203" t="str">
        <f t="shared" si="704"/>
        <v>8611075770</v>
      </c>
      <c r="G3203" s="1">
        <v>44636</v>
      </c>
      <c r="H3203" t="str">
        <f t="shared" si="711"/>
        <v>91413</v>
      </c>
      <c r="I3203">
        <v>1</v>
      </c>
      <c r="J3203">
        <v>853</v>
      </c>
      <c r="K3203">
        <v>0</v>
      </c>
      <c r="L3203">
        <v>665.34</v>
      </c>
    </row>
    <row r="3204" spans="1:12" x14ac:dyDescent="0.25">
      <c r="A3204" t="str">
        <f t="shared" si="710"/>
        <v>89301000</v>
      </c>
      <c r="B3204" t="str">
        <f t="shared" si="700"/>
        <v>06539000</v>
      </c>
      <c r="C3204" t="str">
        <f t="shared" si="708"/>
        <v>06539003</v>
      </c>
      <c r="D3204" t="str">
        <f t="shared" si="709"/>
        <v>813</v>
      </c>
      <c r="E3204" t="str">
        <f t="shared" si="703"/>
        <v>89301171</v>
      </c>
      <c r="F3204" t="str">
        <f t="shared" si="704"/>
        <v>8611075770</v>
      </c>
      <c r="G3204" s="1">
        <v>44643</v>
      </c>
      <c r="H3204" t="str">
        <f t="shared" si="711"/>
        <v>91413</v>
      </c>
      <c r="I3204">
        <v>1</v>
      </c>
      <c r="J3204">
        <v>853</v>
      </c>
      <c r="K3204">
        <v>0</v>
      </c>
      <c r="L3204">
        <v>665.34</v>
      </c>
    </row>
    <row r="3205" spans="1:12" x14ac:dyDescent="0.25">
      <c r="A3205" t="str">
        <f t="shared" si="710"/>
        <v>89301000</v>
      </c>
      <c r="B3205" t="str">
        <f t="shared" si="700"/>
        <v>06539000</v>
      </c>
      <c r="C3205" t="str">
        <f t="shared" si="708"/>
        <v>06539003</v>
      </c>
      <c r="D3205" t="str">
        <f t="shared" si="709"/>
        <v>813</v>
      </c>
      <c r="E3205" t="str">
        <f t="shared" si="703"/>
        <v>89301171</v>
      </c>
      <c r="F3205" t="str">
        <f t="shared" si="704"/>
        <v>8611075770</v>
      </c>
      <c r="G3205" s="1">
        <v>44643</v>
      </c>
      <c r="H3205" t="str">
        <f t="shared" si="711"/>
        <v>91413</v>
      </c>
      <c r="I3205">
        <v>1</v>
      </c>
      <c r="J3205">
        <v>853</v>
      </c>
      <c r="K3205">
        <v>0</v>
      </c>
      <c r="L3205">
        <v>665.34</v>
      </c>
    </row>
    <row r="3206" spans="1:12" x14ac:dyDescent="0.25">
      <c r="A3206" t="str">
        <f t="shared" si="710"/>
        <v>89301000</v>
      </c>
      <c r="B3206" t="str">
        <f t="shared" si="700"/>
        <v>06539000</v>
      </c>
      <c r="C3206" t="str">
        <f t="shared" si="708"/>
        <v>06539003</v>
      </c>
      <c r="D3206" t="str">
        <f t="shared" si="709"/>
        <v>813</v>
      </c>
      <c r="E3206" t="str">
        <f t="shared" si="703"/>
        <v>89301171</v>
      </c>
      <c r="F3206" t="str">
        <f t="shared" si="704"/>
        <v>8611075770</v>
      </c>
      <c r="G3206" s="1">
        <v>44643</v>
      </c>
      <c r="H3206" t="str">
        <f t="shared" si="711"/>
        <v>91413</v>
      </c>
      <c r="I3206">
        <v>1</v>
      </c>
      <c r="J3206">
        <v>853</v>
      </c>
      <c r="K3206">
        <v>0</v>
      </c>
      <c r="L3206">
        <v>665.34</v>
      </c>
    </row>
    <row r="3207" spans="1:12" x14ac:dyDescent="0.25">
      <c r="A3207" t="str">
        <f t="shared" si="710"/>
        <v>89301000</v>
      </c>
      <c r="B3207" t="str">
        <f t="shared" si="700"/>
        <v>06539000</v>
      </c>
      <c r="C3207" t="str">
        <f t="shared" si="708"/>
        <v>06539003</v>
      </c>
      <c r="D3207" t="str">
        <f t="shared" si="709"/>
        <v>813</v>
      </c>
      <c r="E3207" t="str">
        <f t="shared" si="703"/>
        <v>89301171</v>
      </c>
      <c r="F3207" t="str">
        <f t="shared" si="704"/>
        <v>8611075770</v>
      </c>
      <c r="G3207" s="1">
        <v>44643</v>
      </c>
      <c r="H3207" t="str">
        <f t="shared" si="711"/>
        <v>91413</v>
      </c>
      <c r="I3207">
        <v>1</v>
      </c>
      <c r="J3207">
        <v>853</v>
      </c>
      <c r="K3207">
        <v>0</v>
      </c>
      <c r="L3207">
        <v>665.34</v>
      </c>
    </row>
    <row r="3208" spans="1:12" x14ac:dyDescent="0.25">
      <c r="A3208" t="str">
        <f t="shared" si="710"/>
        <v>89301000</v>
      </c>
      <c r="B3208" t="str">
        <f t="shared" si="700"/>
        <v>06539000</v>
      </c>
      <c r="C3208" t="str">
        <f t="shared" si="708"/>
        <v>06539003</v>
      </c>
      <c r="D3208" t="str">
        <f t="shared" si="709"/>
        <v>813</v>
      </c>
      <c r="E3208" t="str">
        <f t="shared" si="703"/>
        <v>89301171</v>
      </c>
      <c r="F3208" t="str">
        <f t="shared" si="704"/>
        <v>8611075770</v>
      </c>
      <c r="G3208" s="1">
        <v>44643</v>
      </c>
      <c r="H3208" t="str">
        <f t="shared" si="711"/>
        <v>91413</v>
      </c>
      <c r="I3208">
        <v>1</v>
      </c>
      <c r="J3208">
        <v>853</v>
      </c>
      <c r="K3208">
        <v>0</v>
      </c>
      <c r="L3208">
        <v>665.34</v>
      </c>
    </row>
    <row r="3209" spans="1:12" x14ac:dyDescent="0.25">
      <c r="A3209" t="str">
        <f t="shared" si="710"/>
        <v>89301000</v>
      </c>
      <c r="B3209" t="str">
        <f t="shared" si="700"/>
        <v>06539000</v>
      </c>
      <c r="C3209" t="str">
        <f t="shared" si="708"/>
        <v>06539003</v>
      </c>
      <c r="D3209" t="str">
        <f t="shared" si="709"/>
        <v>813</v>
      </c>
      <c r="E3209" t="str">
        <f t="shared" si="703"/>
        <v>89301171</v>
      </c>
      <c r="F3209" t="str">
        <f t="shared" si="704"/>
        <v>8611075770</v>
      </c>
      <c r="G3209" s="1">
        <v>44643</v>
      </c>
      <c r="H3209" t="str">
        <f t="shared" si="711"/>
        <v>91413</v>
      </c>
      <c r="I3209">
        <v>1</v>
      </c>
      <c r="J3209">
        <v>853</v>
      </c>
      <c r="K3209">
        <v>0</v>
      </c>
      <c r="L3209">
        <v>665.34</v>
      </c>
    </row>
    <row r="3210" spans="1:12" x14ac:dyDescent="0.25">
      <c r="A3210" t="str">
        <f t="shared" si="710"/>
        <v>89301000</v>
      </c>
      <c r="B3210" t="str">
        <f t="shared" si="700"/>
        <v>06539000</v>
      </c>
      <c r="C3210" t="str">
        <f t="shared" si="708"/>
        <v>06539003</v>
      </c>
      <c r="D3210" t="str">
        <f t="shared" si="709"/>
        <v>813</v>
      </c>
      <c r="E3210" t="str">
        <f t="shared" si="703"/>
        <v>89301171</v>
      </c>
      <c r="F3210" t="str">
        <f t="shared" si="704"/>
        <v>8611075770</v>
      </c>
      <c r="G3210" s="1">
        <v>44643</v>
      </c>
      <c r="H3210" t="str">
        <f t="shared" si="711"/>
        <v>91413</v>
      </c>
      <c r="I3210">
        <v>1</v>
      </c>
      <c r="J3210">
        <v>853</v>
      </c>
      <c r="K3210">
        <v>0</v>
      </c>
      <c r="L3210">
        <v>665.34</v>
      </c>
    </row>
    <row r="3211" spans="1:12" x14ac:dyDescent="0.25">
      <c r="A3211" t="str">
        <f t="shared" si="710"/>
        <v>89301000</v>
      </c>
      <c r="B3211" t="str">
        <f t="shared" si="700"/>
        <v>06539000</v>
      </c>
      <c r="C3211" t="str">
        <f t="shared" si="708"/>
        <v>06539003</v>
      </c>
      <c r="D3211" t="str">
        <f t="shared" si="709"/>
        <v>813</v>
      </c>
      <c r="E3211" t="str">
        <f t="shared" si="703"/>
        <v>89301171</v>
      </c>
      <c r="F3211" t="str">
        <f t="shared" si="704"/>
        <v>8611075770</v>
      </c>
      <c r="G3211" s="1">
        <v>44643</v>
      </c>
      <c r="H3211" t="str">
        <f t="shared" si="711"/>
        <v>91413</v>
      </c>
      <c r="I3211">
        <v>1</v>
      </c>
      <c r="J3211">
        <v>853</v>
      </c>
      <c r="K3211">
        <v>0</v>
      </c>
      <c r="L3211">
        <v>665.34</v>
      </c>
    </row>
    <row r="3212" spans="1:12" x14ac:dyDescent="0.25">
      <c r="A3212" t="str">
        <f t="shared" si="710"/>
        <v>89301000</v>
      </c>
      <c r="B3212" t="str">
        <f t="shared" si="700"/>
        <v>06539000</v>
      </c>
      <c r="C3212" t="str">
        <f t="shared" si="708"/>
        <v>06539003</v>
      </c>
      <c r="D3212" t="str">
        <f t="shared" si="709"/>
        <v>813</v>
      </c>
      <c r="E3212" t="str">
        <f t="shared" si="703"/>
        <v>89301171</v>
      </c>
      <c r="F3212" t="str">
        <f t="shared" si="704"/>
        <v>8611075770</v>
      </c>
      <c r="G3212" s="1">
        <v>44631</v>
      </c>
      <c r="H3212" t="str">
        <f t="shared" ref="H3212:H3218" si="712">"91197"</f>
        <v>91197</v>
      </c>
      <c r="I3212">
        <v>1</v>
      </c>
      <c r="J3212">
        <v>1046</v>
      </c>
      <c r="K3212">
        <v>0</v>
      </c>
      <c r="L3212">
        <v>815.88</v>
      </c>
    </row>
    <row r="3213" spans="1:12" x14ac:dyDescent="0.25">
      <c r="A3213" t="str">
        <f t="shared" si="710"/>
        <v>89301000</v>
      </c>
      <c r="B3213" t="str">
        <f t="shared" si="700"/>
        <v>06539000</v>
      </c>
      <c r="C3213" t="str">
        <f t="shared" si="708"/>
        <v>06539003</v>
      </c>
      <c r="D3213" t="str">
        <f t="shared" si="709"/>
        <v>813</v>
      </c>
      <c r="E3213" t="str">
        <f t="shared" si="703"/>
        <v>89301171</v>
      </c>
      <c r="F3213" t="str">
        <f t="shared" si="704"/>
        <v>8611075770</v>
      </c>
      <c r="G3213" s="1">
        <v>44634</v>
      </c>
      <c r="H3213" t="str">
        <f t="shared" si="712"/>
        <v>91197</v>
      </c>
      <c r="I3213">
        <v>1</v>
      </c>
      <c r="J3213">
        <v>1046</v>
      </c>
      <c r="K3213">
        <v>0</v>
      </c>
      <c r="L3213">
        <v>815.88</v>
      </c>
    </row>
    <row r="3214" spans="1:12" x14ac:dyDescent="0.25">
      <c r="A3214" t="str">
        <f t="shared" si="710"/>
        <v>89301000</v>
      </c>
      <c r="B3214" t="str">
        <f t="shared" si="700"/>
        <v>06539000</v>
      </c>
      <c r="C3214" t="str">
        <f t="shared" si="708"/>
        <v>06539003</v>
      </c>
      <c r="D3214" t="str">
        <f t="shared" si="709"/>
        <v>813</v>
      </c>
      <c r="E3214" t="str">
        <f t="shared" si="703"/>
        <v>89301171</v>
      </c>
      <c r="F3214" t="str">
        <f t="shared" si="704"/>
        <v>8611075770</v>
      </c>
      <c r="G3214" s="1">
        <v>44634</v>
      </c>
      <c r="H3214" t="str">
        <f t="shared" si="712"/>
        <v>91197</v>
      </c>
      <c r="I3214">
        <v>1</v>
      </c>
      <c r="J3214">
        <v>1046</v>
      </c>
      <c r="K3214">
        <v>0</v>
      </c>
      <c r="L3214">
        <v>815.88</v>
      </c>
    </row>
    <row r="3215" spans="1:12" x14ac:dyDescent="0.25">
      <c r="A3215" t="str">
        <f t="shared" si="710"/>
        <v>89301000</v>
      </c>
      <c r="B3215" t="str">
        <f t="shared" si="700"/>
        <v>06539000</v>
      </c>
      <c r="C3215" t="str">
        <f t="shared" si="708"/>
        <v>06539003</v>
      </c>
      <c r="D3215" t="str">
        <f t="shared" si="709"/>
        <v>813</v>
      </c>
      <c r="E3215" t="str">
        <f t="shared" si="703"/>
        <v>89301171</v>
      </c>
      <c r="F3215" t="str">
        <f t="shared" si="704"/>
        <v>8611075770</v>
      </c>
      <c r="G3215" s="1">
        <v>44633</v>
      </c>
      <c r="H3215" t="str">
        <f t="shared" si="712"/>
        <v>91197</v>
      </c>
      <c r="I3215">
        <v>1</v>
      </c>
      <c r="J3215">
        <v>1046</v>
      </c>
      <c r="K3215">
        <v>0</v>
      </c>
      <c r="L3215">
        <v>815.88</v>
      </c>
    </row>
    <row r="3216" spans="1:12" x14ac:dyDescent="0.25">
      <c r="A3216" t="str">
        <f t="shared" si="710"/>
        <v>89301000</v>
      </c>
      <c r="B3216" t="str">
        <f t="shared" si="700"/>
        <v>06539000</v>
      </c>
      <c r="C3216" t="str">
        <f t="shared" si="708"/>
        <v>06539003</v>
      </c>
      <c r="D3216" t="str">
        <f t="shared" si="709"/>
        <v>813</v>
      </c>
      <c r="E3216" t="str">
        <f t="shared" si="703"/>
        <v>89301171</v>
      </c>
      <c r="F3216" t="str">
        <f t="shared" si="704"/>
        <v>8611075770</v>
      </c>
      <c r="G3216" s="1">
        <v>44633</v>
      </c>
      <c r="H3216" t="str">
        <f t="shared" si="712"/>
        <v>91197</v>
      </c>
      <c r="I3216">
        <v>1</v>
      </c>
      <c r="J3216">
        <v>1046</v>
      </c>
      <c r="K3216">
        <v>0</v>
      </c>
      <c r="L3216">
        <v>815.88</v>
      </c>
    </row>
    <row r="3217" spans="1:12" x14ac:dyDescent="0.25">
      <c r="A3217" t="str">
        <f t="shared" si="710"/>
        <v>89301000</v>
      </c>
      <c r="B3217" t="str">
        <f t="shared" si="700"/>
        <v>06539000</v>
      </c>
      <c r="C3217" t="str">
        <f t="shared" si="708"/>
        <v>06539003</v>
      </c>
      <c r="D3217" t="str">
        <f t="shared" si="709"/>
        <v>813</v>
      </c>
      <c r="E3217" t="str">
        <f t="shared" ref="E3217:E3248" si="713">"89301171"</f>
        <v>89301171</v>
      </c>
      <c r="F3217" t="str">
        <f t="shared" si="704"/>
        <v>8611075770</v>
      </c>
      <c r="G3217" s="1">
        <v>44632</v>
      </c>
      <c r="H3217" t="str">
        <f t="shared" si="712"/>
        <v>91197</v>
      </c>
      <c r="I3217">
        <v>1</v>
      </c>
      <c r="J3217">
        <v>1046</v>
      </c>
      <c r="K3217">
        <v>0</v>
      </c>
      <c r="L3217">
        <v>815.88</v>
      </c>
    </row>
    <row r="3218" spans="1:12" x14ac:dyDescent="0.25">
      <c r="A3218" t="str">
        <f t="shared" si="710"/>
        <v>89301000</v>
      </c>
      <c r="B3218" t="str">
        <f t="shared" si="700"/>
        <v>06539000</v>
      </c>
      <c r="C3218" t="str">
        <f t="shared" si="708"/>
        <v>06539003</v>
      </c>
      <c r="D3218" t="str">
        <f t="shared" si="709"/>
        <v>813</v>
      </c>
      <c r="E3218" t="str">
        <f t="shared" si="713"/>
        <v>89301171</v>
      </c>
      <c r="F3218" t="str">
        <f t="shared" si="704"/>
        <v>8611075770</v>
      </c>
      <c r="G3218" s="1">
        <v>44632</v>
      </c>
      <c r="H3218" t="str">
        <f t="shared" si="712"/>
        <v>91197</v>
      </c>
      <c r="I3218">
        <v>1</v>
      </c>
      <c r="J3218">
        <v>1046</v>
      </c>
      <c r="K3218">
        <v>0</v>
      </c>
      <c r="L3218">
        <v>815.88</v>
      </c>
    </row>
    <row r="3219" spans="1:12" x14ac:dyDescent="0.25">
      <c r="A3219" t="str">
        <f t="shared" si="710"/>
        <v>89301000</v>
      </c>
      <c r="B3219" t="str">
        <f t="shared" si="700"/>
        <v>06539000</v>
      </c>
      <c r="C3219" t="str">
        <f t="shared" si="708"/>
        <v>06539003</v>
      </c>
      <c r="D3219" t="str">
        <f t="shared" si="709"/>
        <v>813</v>
      </c>
      <c r="E3219" t="str">
        <f t="shared" si="713"/>
        <v>89301171</v>
      </c>
      <c r="F3219" t="str">
        <f t="shared" si="704"/>
        <v>8611075770</v>
      </c>
      <c r="G3219" s="1">
        <v>44635</v>
      </c>
      <c r="H3219" t="str">
        <f>"91329"</f>
        <v>91329</v>
      </c>
      <c r="I3219">
        <v>2</v>
      </c>
      <c r="J3219">
        <v>428</v>
      </c>
      <c r="K3219">
        <v>0</v>
      </c>
      <c r="L3219">
        <v>333.84</v>
      </c>
    </row>
    <row r="3220" spans="1:12" x14ac:dyDescent="0.25">
      <c r="A3220" t="str">
        <f t="shared" si="710"/>
        <v>89301000</v>
      </c>
      <c r="B3220" t="str">
        <f t="shared" si="700"/>
        <v>06539000</v>
      </c>
      <c r="C3220" t="str">
        <f t="shared" si="708"/>
        <v>06539003</v>
      </c>
      <c r="D3220" t="str">
        <f t="shared" si="709"/>
        <v>813</v>
      </c>
      <c r="E3220" t="str">
        <f t="shared" si="713"/>
        <v>89301171</v>
      </c>
      <c r="F3220" t="str">
        <f t="shared" si="704"/>
        <v>8611075770</v>
      </c>
      <c r="G3220" s="1">
        <v>44635</v>
      </c>
      <c r="H3220" t="str">
        <f>"91329"</f>
        <v>91329</v>
      </c>
      <c r="I3220">
        <v>2</v>
      </c>
      <c r="J3220">
        <v>428</v>
      </c>
      <c r="K3220">
        <v>0</v>
      </c>
      <c r="L3220">
        <v>333.84</v>
      </c>
    </row>
    <row r="3221" spans="1:12" x14ac:dyDescent="0.25">
      <c r="A3221" t="str">
        <f t="shared" si="710"/>
        <v>89301000</v>
      </c>
      <c r="B3221" t="str">
        <f t="shared" si="700"/>
        <v>06539000</v>
      </c>
      <c r="C3221" t="str">
        <f t="shared" si="708"/>
        <v>06539003</v>
      </c>
      <c r="D3221" t="str">
        <f t="shared" si="709"/>
        <v>813</v>
      </c>
      <c r="E3221" t="str">
        <f t="shared" si="713"/>
        <v>89301171</v>
      </c>
      <c r="F3221" t="str">
        <f t="shared" si="704"/>
        <v>8611075770</v>
      </c>
      <c r="G3221" s="1">
        <v>44635</v>
      </c>
      <c r="H3221" t="str">
        <f>"91329"</f>
        <v>91329</v>
      </c>
      <c r="I3221">
        <v>2</v>
      </c>
      <c r="J3221">
        <v>428</v>
      </c>
      <c r="K3221">
        <v>0</v>
      </c>
      <c r="L3221">
        <v>333.84</v>
      </c>
    </row>
    <row r="3222" spans="1:12" x14ac:dyDescent="0.25">
      <c r="A3222" t="str">
        <f t="shared" si="710"/>
        <v>89301000</v>
      </c>
      <c r="B3222" t="str">
        <f t="shared" si="700"/>
        <v>06539000</v>
      </c>
      <c r="C3222" t="str">
        <f t="shared" si="708"/>
        <v>06539003</v>
      </c>
      <c r="D3222" t="str">
        <f t="shared" si="709"/>
        <v>813</v>
      </c>
      <c r="E3222" t="str">
        <f t="shared" si="713"/>
        <v>89301171</v>
      </c>
      <c r="F3222" t="str">
        <f t="shared" si="704"/>
        <v>8611075770</v>
      </c>
      <c r="G3222" s="1">
        <v>44635</v>
      </c>
      <c r="H3222" t="str">
        <f>"91329"</f>
        <v>91329</v>
      </c>
      <c r="I3222">
        <v>2</v>
      </c>
      <c r="J3222">
        <v>428</v>
      </c>
      <c r="K3222">
        <v>0</v>
      </c>
      <c r="L3222">
        <v>333.84</v>
      </c>
    </row>
    <row r="3223" spans="1:12" x14ac:dyDescent="0.25">
      <c r="A3223" t="str">
        <f t="shared" si="710"/>
        <v>89301000</v>
      </c>
      <c r="B3223" t="str">
        <f t="shared" si="700"/>
        <v>06539000</v>
      </c>
      <c r="C3223" t="str">
        <f t="shared" si="708"/>
        <v>06539003</v>
      </c>
      <c r="D3223" t="str">
        <f t="shared" si="709"/>
        <v>813</v>
      </c>
      <c r="E3223" t="str">
        <f t="shared" si="713"/>
        <v>89301171</v>
      </c>
      <c r="F3223" t="str">
        <f t="shared" si="704"/>
        <v>8611075770</v>
      </c>
      <c r="G3223" s="1">
        <v>44634</v>
      </c>
      <c r="H3223" t="str">
        <f>"91129"</f>
        <v>91129</v>
      </c>
      <c r="I3223">
        <v>1</v>
      </c>
      <c r="J3223">
        <v>174</v>
      </c>
      <c r="K3223">
        <v>0</v>
      </c>
      <c r="L3223">
        <v>135.72</v>
      </c>
    </row>
    <row r="3224" spans="1:12" x14ac:dyDescent="0.25">
      <c r="A3224" t="str">
        <f t="shared" si="710"/>
        <v>89301000</v>
      </c>
      <c r="B3224" t="str">
        <f t="shared" ref="B3224:B3280" si="714">"06539000"</f>
        <v>06539000</v>
      </c>
      <c r="C3224" t="str">
        <f t="shared" si="708"/>
        <v>06539003</v>
      </c>
      <c r="D3224" t="str">
        <f t="shared" si="709"/>
        <v>813</v>
      </c>
      <c r="E3224" t="str">
        <f t="shared" si="713"/>
        <v>89301171</v>
      </c>
      <c r="F3224" t="str">
        <f t="shared" si="704"/>
        <v>8611075770</v>
      </c>
      <c r="G3224" s="1">
        <v>44634</v>
      </c>
      <c r="H3224" t="str">
        <f>"91131"</f>
        <v>91131</v>
      </c>
      <c r="I3224">
        <v>1</v>
      </c>
      <c r="J3224">
        <v>171</v>
      </c>
      <c r="K3224">
        <v>0</v>
      </c>
      <c r="L3224">
        <v>133.38</v>
      </c>
    </row>
    <row r="3225" spans="1:12" x14ac:dyDescent="0.25">
      <c r="A3225" t="str">
        <f t="shared" si="710"/>
        <v>89301000</v>
      </c>
      <c r="B3225" t="str">
        <f t="shared" si="714"/>
        <v>06539000</v>
      </c>
      <c r="C3225" t="str">
        <f t="shared" si="708"/>
        <v>06539003</v>
      </c>
      <c r="D3225" t="str">
        <f t="shared" si="709"/>
        <v>813</v>
      </c>
      <c r="E3225" t="str">
        <f t="shared" si="713"/>
        <v>89301171</v>
      </c>
      <c r="F3225" t="str">
        <f t="shared" si="704"/>
        <v>8611075770</v>
      </c>
      <c r="G3225" s="1">
        <v>44634</v>
      </c>
      <c r="H3225" t="str">
        <f>"91133"</f>
        <v>91133</v>
      </c>
      <c r="I3225">
        <v>1</v>
      </c>
      <c r="J3225">
        <v>176</v>
      </c>
      <c r="K3225">
        <v>0</v>
      </c>
      <c r="L3225">
        <v>137.28</v>
      </c>
    </row>
    <row r="3226" spans="1:12" x14ac:dyDescent="0.25">
      <c r="A3226" t="str">
        <f t="shared" si="710"/>
        <v>89301000</v>
      </c>
      <c r="B3226" t="str">
        <f t="shared" si="714"/>
        <v>06539000</v>
      </c>
      <c r="C3226" t="str">
        <f t="shared" si="708"/>
        <v>06539003</v>
      </c>
      <c r="D3226" t="str">
        <f t="shared" si="709"/>
        <v>813</v>
      </c>
      <c r="E3226" t="str">
        <f t="shared" si="713"/>
        <v>89301171</v>
      </c>
      <c r="F3226" t="str">
        <f t="shared" si="704"/>
        <v>8611075770</v>
      </c>
      <c r="G3226" s="1">
        <v>44634</v>
      </c>
      <c r="H3226" t="str">
        <f>"91171"</f>
        <v>91171</v>
      </c>
      <c r="I3226">
        <v>1</v>
      </c>
      <c r="J3226">
        <v>360</v>
      </c>
      <c r="K3226">
        <v>0</v>
      </c>
      <c r="L3226">
        <v>280.8</v>
      </c>
    </row>
    <row r="3227" spans="1:12" x14ac:dyDescent="0.25">
      <c r="A3227" t="str">
        <f t="shared" si="710"/>
        <v>89301000</v>
      </c>
      <c r="B3227" t="str">
        <f t="shared" si="714"/>
        <v>06539000</v>
      </c>
      <c r="C3227" t="str">
        <f t="shared" si="708"/>
        <v>06539003</v>
      </c>
      <c r="D3227" t="str">
        <f t="shared" si="709"/>
        <v>813</v>
      </c>
      <c r="E3227" t="str">
        <f t="shared" si="713"/>
        <v>89301171</v>
      </c>
      <c r="F3227" t="str">
        <f t="shared" si="704"/>
        <v>8611075770</v>
      </c>
      <c r="G3227" s="1">
        <v>44631</v>
      </c>
      <c r="H3227" t="str">
        <f>"91173"</f>
        <v>91173</v>
      </c>
      <c r="I3227">
        <v>1</v>
      </c>
      <c r="J3227">
        <v>335</v>
      </c>
      <c r="K3227">
        <v>0</v>
      </c>
      <c r="L3227">
        <v>261.3</v>
      </c>
    </row>
    <row r="3228" spans="1:12" x14ac:dyDescent="0.25">
      <c r="A3228" t="str">
        <f t="shared" si="710"/>
        <v>89301000</v>
      </c>
      <c r="B3228" t="str">
        <f t="shared" si="714"/>
        <v>06539000</v>
      </c>
      <c r="C3228" t="str">
        <f t="shared" si="708"/>
        <v>06539003</v>
      </c>
      <c r="D3228" t="str">
        <f t="shared" si="709"/>
        <v>813</v>
      </c>
      <c r="E3228" t="str">
        <f t="shared" si="713"/>
        <v>89301171</v>
      </c>
      <c r="F3228" t="str">
        <f t="shared" si="704"/>
        <v>8611075770</v>
      </c>
      <c r="G3228" s="1">
        <v>44634</v>
      </c>
      <c r="H3228" t="str">
        <f>"91175"</f>
        <v>91175</v>
      </c>
      <c r="I3228">
        <v>1</v>
      </c>
      <c r="J3228">
        <v>360</v>
      </c>
      <c r="K3228">
        <v>0</v>
      </c>
      <c r="L3228">
        <v>280.8</v>
      </c>
    </row>
    <row r="3229" spans="1:12" x14ac:dyDescent="0.25">
      <c r="A3229" t="str">
        <f t="shared" si="710"/>
        <v>89301000</v>
      </c>
      <c r="B3229" t="str">
        <f t="shared" si="714"/>
        <v>06539000</v>
      </c>
      <c r="C3229" t="str">
        <f t="shared" si="708"/>
        <v>06539003</v>
      </c>
      <c r="D3229" t="str">
        <f t="shared" si="709"/>
        <v>813</v>
      </c>
      <c r="E3229" t="str">
        <f t="shared" si="713"/>
        <v>89301171</v>
      </c>
      <c r="F3229" t="str">
        <f t="shared" si="704"/>
        <v>8611075770</v>
      </c>
      <c r="G3229" s="1">
        <v>44632</v>
      </c>
      <c r="H3229" t="str">
        <f>"91167"</f>
        <v>91167</v>
      </c>
      <c r="I3229">
        <v>1</v>
      </c>
      <c r="J3229">
        <v>425</v>
      </c>
      <c r="K3229">
        <v>0</v>
      </c>
      <c r="L3229">
        <v>331.5</v>
      </c>
    </row>
    <row r="3230" spans="1:12" x14ac:dyDescent="0.25">
      <c r="A3230" t="str">
        <f t="shared" si="710"/>
        <v>89301000</v>
      </c>
      <c r="B3230" t="str">
        <f t="shared" si="714"/>
        <v>06539000</v>
      </c>
      <c r="C3230" t="str">
        <f t="shared" si="708"/>
        <v>06539003</v>
      </c>
      <c r="D3230" t="str">
        <f t="shared" si="709"/>
        <v>813</v>
      </c>
      <c r="E3230" t="str">
        <f t="shared" si="713"/>
        <v>89301171</v>
      </c>
      <c r="F3230" t="str">
        <f t="shared" si="704"/>
        <v>8611075770</v>
      </c>
      <c r="G3230" s="1">
        <v>44632</v>
      </c>
      <c r="H3230" t="str">
        <f>"91169"</f>
        <v>91169</v>
      </c>
      <c r="I3230">
        <v>1</v>
      </c>
      <c r="J3230">
        <v>425</v>
      </c>
      <c r="K3230">
        <v>0</v>
      </c>
      <c r="L3230">
        <v>331.5</v>
      </c>
    </row>
    <row r="3231" spans="1:12" x14ac:dyDescent="0.25">
      <c r="A3231" t="str">
        <f t="shared" si="710"/>
        <v>89301000</v>
      </c>
      <c r="B3231" t="str">
        <f t="shared" si="714"/>
        <v>06539000</v>
      </c>
      <c r="C3231" t="str">
        <f t="shared" si="708"/>
        <v>06539003</v>
      </c>
      <c r="D3231" t="str">
        <f t="shared" si="709"/>
        <v>813</v>
      </c>
      <c r="E3231" t="str">
        <f t="shared" si="713"/>
        <v>89301171</v>
      </c>
      <c r="F3231" t="str">
        <f t="shared" si="704"/>
        <v>8611075770</v>
      </c>
      <c r="G3231" s="1">
        <v>44631</v>
      </c>
      <c r="H3231" t="str">
        <f>"91167"</f>
        <v>91167</v>
      </c>
      <c r="I3231">
        <v>1</v>
      </c>
      <c r="J3231">
        <v>425</v>
      </c>
      <c r="K3231">
        <v>0</v>
      </c>
      <c r="L3231">
        <v>331.5</v>
      </c>
    </row>
    <row r="3232" spans="1:12" x14ac:dyDescent="0.25">
      <c r="A3232" t="str">
        <f t="shared" si="710"/>
        <v>89301000</v>
      </c>
      <c r="B3232" t="str">
        <f t="shared" si="714"/>
        <v>06539000</v>
      </c>
      <c r="C3232" t="str">
        <f t="shared" si="708"/>
        <v>06539003</v>
      </c>
      <c r="D3232" t="str">
        <f t="shared" si="709"/>
        <v>813</v>
      </c>
      <c r="E3232" t="str">
        <f t="shared" si="713"/>
        <v>89301171</v>
      </c>
      <c r="F3232" t="str">
        <f t="shared" si="704"/>
        <v>8611075770</v>
      </c>
      <c r="G3232" s="1">
        <v>44631</v>
      </c>
      <c r="H3232" t="str">
        <f>"91169"</f>
        <v>91169</v>
      </c>
      <c r="I3232">
        <v>1</v>
      </c>
      <c r="J3232">
        <v>425</v>
      </c>
      <c r="K3232">
        <v>0</v>
      </c>
      <c r="L3232">
        <v>331.5</v>
      </c>
    </row>
    <row r="3233" spans="1:12" x14ac:dyDescent="0.25">
      <c r="A3233" t="str">
        <f t="shared" si="710"/>
        <v>89301000</v>
      </c>
      <c r="B3233" t="str">
        <f t="shared" si="714"/>
        <v>06539000</v>
      </c>
      <c r="C3233" t="str">
        <f t="shared" si="708"/>
        <v>06539003</v>
      </c>
      <c r="D3233" t="str">
        <f t="shared" si="709"/>
        <v>813</v>
      </c>
      <c r="E3233" t="str">
        <f t="shared" si="713"/>
        <v>89301171</v>
      </c>
      <c r="F3233" t="str">
        <f t="shared" si="704"/>
        <v>8611075770</v>
      </c>
      <c r="G3233" s="1">
        <v>44631</v>
      </c>
      <c r="H3233" t="str">
        <f>"91475"</f>
        <v>91475</v>
      </c>
      <c r="I3233">
        <v>1</v>
      </c>
      <c r="J3233">
        <v>206</v>
      </c>
      <c r="K3233">
        <v>0</v>
      </c>
      <c r="L3233">
        <v>160.68</v>
      </c>
    </row>
    <row r="3234" spans="1:12" x14ac:dyDescent="0.25">
      <c r="A3234" t="str">
        <f t="shared" si="710"/>
        <v>89301000</v>
      </c>
      <c r="B3234" t="str">
        <f t="shared" si="714"/>
        <v>06539000</v>
      </c>
      <c r="C3234" t="str">
        <f>"06539001"</f>
        <v>06539001</v>
      </c>
      <c r="D3234" t="str">
        <f>"801"</f>
        <v>801</v>
      </c>
      <c r="E3234" t="str">
        <f t="shared" si="713"/>
        <v>89301171</v>
      </c>
      <c r="F3234" t="str">
        <f t="shared" ref="F3234:F3280" si="715">"9159096144"</f>
        <v>9159096144</v>
      </c>
      <c r="G3234" s="1">
        <v>44631</v>
      </c>
      <c r="H3234" t="str">
        <f>"81329"</f>
        <v>81329</v>
      </c>
      <c r="I3234">
        <v>1</v>
      </c>
      <c r="J3234">
        <v>16</v>
      </c>
      <c r="K3234">
        <v>0</v>
      </c>
      <c r="L3234">
        <v>12.48</v>
      </c>
    </row>
    <row r="3235" spans="1:12" x14ac:dyDescent="0.25">
      <c r="A3235" t="str">
        <f t="shared" si="710"/>
        <v>89301000</v>
      </c>
      <c r="B3235" t="str">
        <f t="shared" si="714"/>
        <v>06539000</v>
      </c>
      <c r="C3235" t="str">
        <f>"06539001"</f>
        <v>06539001</v>
      </c>
      <c r="D3235" t="str">
        <f>"801"</f>
        <v>801</v>
      </c>
      <c r="E3235" t="str">
        <f t="shared" si="713"/>
        <v>89301171</v>
      </c>
      <c r="F3235" t="str">
        <f t="shared" si="715"/>
        <v>9159096144</v>
      </c>
      <c r="G3235" s="1">
        <v>44631</v>
      </c>
      <c r="H3235" t="str">
        <f>"81331"</f>
        <v>81331</v>
      </c>
      <c r="I3235">
        <v>1</v>
      </c>
      <c r="J3235">
        <v>193</v>
      </c>
      <c r="K3235">
        <v>0</v>
      </c>
      <c r="L3235">
        <v>150.54</v>
      </c>
    </row>
    <row r="3236" spans="1:12" x14ac:dyDescent="0.25">
      <c r="A3236" t="str">
        <f t="shared" si="710"/>
        <v>89301000</v>
      </c>
      <c r="B3236" t="str">
        <f t="shared" si="714"/>
        <v>06539000</v>
      </c>
      <c r="C3236" t="str">
        <f t="shared" ref="C3236:C3243" si="716">"06539002"</f>
        <v>06539002</v>
      </c>
      <c r="D3236" t="str">
        <f t="shared" ref="D3236:D3243" si="717">"802"</f>
        <v>802</v>
      </c>
      <c r="E3236" t="str">
        <f t="shared" si="713"/>
        <v>89301171</v>
      </c>
      <c r="F3236" t="str">
        <f t="shared" si="715"/>
        <v>9159096144</v>
      </c>
      <c r="G3236" s="1">
        <v>44631</v>
      </c>
      <c r="H3236" t="str">
        <f t="shared" ref="H3236:H3243" si="718">"82097"</f>
        <v>82097</v>
      </c>
      <c r="I3236">
        <v>1</v>
      </c>
      <c r="J3236">
        <v>380</v>
      </c>
      <c r="K3236">
        <v>0</v>
      </c>
      <c r="L3236">
        <v>345.8</v>
      </c>
    </row>
    <row r="3237" spans="1:12" x14ac:dyDescent="0.25">
      <c r="A3237" t="str">
        <f t="shared" si="710"/>
        <v>89301000</v>
      </c>
      <c r="B3237" t="str">
        <f t="shared" si="714"/>
        <v>06539000</v>
      </c>
      <c r="C3237" t="str">
        <f t="shared" si="716"/>
        <v>06539002</v>
      </c>
      <c r="D3237" t="str">
        <f t="shared" si="717"/>
        <v>802</v>
      </c>
      <c r="E3237" t="str">
        <f t="shared" si="713"/>
        <v>89301171</v>
      </c>
      <c r="F3237" t="str">
        <f t="shared" si="715"/>
        <v>9159096144</v>
      </c>
      <c r="G3237" s="1">
        <v>44631</v>
      </c>
      <c r="H3237" t="str">
        <f t="shared" si="718"/>
        <v>82097</v>
      </c>
      <c r="I3237">
        <v>1</v>
      </c>
      <c r="J3237">
        <v>380</v>
      </c>
      <c r="K3237">
        <v>0</v>
      </c>
      <c r="L3237">
        <v>345.8</v>
      </c>
    </row>
    <row r="3238" spans="1:12" x14ac:dyDescent="0.25">
      <c r="A3238" t="str">
        <f t="shared" si="710"/>
        <v>89301000</v>
      </c>
      <c r="B3238" t="str">
        <f t="shared" si="714"/>
        <v>06539000</v>
      </c>
      <c r="C3238" t="str">
        <f t="shared" si="716"/>
        <v>06539002</v>
      </c>
      <c r="D3238" t="str">
        <f t="shared" si="717"/>
        <v>802</v>
      </c>
      <c r="E3238" t="str">
        <f t="shared" si="713"/>
        <v>89301171</v>
      </c>
      <c r="F3238" t="str">
        <f t="shared" si="715"/>
        <v>9159096144</v>
      </c>
      <c r="G3238" s="1">
        <v>44631</v>
      </c>
      <c r="H3238" t="str">
        <f t="shared" si="718"/>
        <v>82097</v>
      </c>
      <c r="I3238">
        <v>1</v>
      </c>
      <c r="J3238">
        <v>380</v>
      </c>
      <c r="K3238">
        <v>0</v>
      </c>
      <c r="L3238">
        <v>345.8</v>
      </c>
    </row>
    <row r="3239" spans="1:12" x14ac:dyDescent="0.25">
      <c r="A3239" t="str">
        <f t="shared" si="710"/>
        <v>89301000</v>
      </c>
      <c r="B3239" t="str">
        <f t="shared" si="714"/>
        <v>06539000</v>
      </c>
      <c r="C3239" t="str">
        <f t="shared" si="716"/>
        <v>06539002</v>
      </c>
      <c r="D3239" t="str">
        <f t="shared" si="717"/>
        <v>802</v>
      </c>
      <c r="E3239" t="str">
        <f t="shared" si="713"/>
        <v>89301171</v>
      </c>
      <c r="F3239" t="str">
        <f t="shared" si="715"/>
        <v>9159096144</v>
      </c>
      <c r="G3239" s="1">
        <v>44631</v>
      </c>
      <c r="H3239" t="str">
        <f t="shared" si="718"/>
        <v>82097</v>
      </c>
      <c r="I3239">
        <v>1</v>
      </c>
      <c r="J3239">
        <v>380</v>
      </c>
      <c r="K3239">
        <v>0</v>
      </c>
      <c r="L3239">
        <v>345.8</v>
      </c>
    </row>
    <row r="3240" spans="1:12" x14ac:dyDescent="0.25">
      <c r="A3240" t="str">
        <f t="shared" si="710"/>
        <v>89301000</v>
      </c>
      <c r="B3240" t="str">
        <f t="shared" si="714"/>
        <v>06539000</v>
      </c>
      <c r="C3240" t="str">
        <f t="shared" si="716"/>
        <v>06539002</v>
      </c>
      <c r="D3240" t="str">
        <f t="shared" si="717"/>
        <v>802</v>
      </c>
      <c r="E3240" t="str">
        <f t="shared" si="713"/>
        <v>89301171</v>
      </c>
      <c r="F3240" t="str">
        <f t="shared" si="715"/>
        <v>9159096144</v>
      </c>
      <c r="G3240" s="1">
        <v>44631</v>
      </c>
      <c r="H3240" t="str">
        <f t="shared" si="718"/>
        <v>82097</v>
      </c>
      <c r="I3240">
        <v>1</v>
      </c>
      <c r="J3240">
        <v>380</v>
      </c>
      <c r="K3240">
        <v>0</v>
      </c>
      <c r="L3240">
        <v>345.8</v>
      </c>
    </row>
    <row r="3241" spans="1:12" x14ac:dyDescent="0.25">
      <c r="A3241" t="str">
        <f t="shared" si="710"/>
        <v>89301000</v>
      </c>
      <c r="B3241" t="str">
        <f t="shared" si="714"/>
        <v>06539000</v>
      </c>
      <c r="C3241" t="str">
        <f t="shared" si="716"/>
        <v>06539002</v>
      </c>
      <c r="D3241" t="str">
        <f t="shared" si="717"/>
        <v>802</v>
      </c>
      <c r="E3241" t="str">
        <f t="shared" si="713"/>
        <v>89301171</v>
      </c>
      <c r="F3241" t="str">
        <f t="shared" si="715"/>
        <v>9159096144</v>
      </c>
      <c r="G3241" s="1">
        <v>44631</v>
      </c>
      <c r="H3241" t="str">
        <f t="shared" si="718"/>
        <v>82097</v>
      </c>
      <c r="I3241">
        <v>1</v>
      </c>
      <c r="J3241">
        <v>380</v>
      </c>
      <c r="K3241">
        <v>0</v>
      </c>
      <c r="L3241">
        <v>345.8</v>
      </c>
    </row>
    <row r="3242" spans="1:12" x14ac:dyDescent="0.25">
      <c r="A3242" t="str">
        <f t="shared" si="710"/>
        <v>89301000</v>
      </c>
      <c r="B3242" t="str">
        <f t="shared" si="714"/>
        <v>06539000</v>
      </c>
      <c r="C3242" t="str">
        <f t="shared" si="716"/>
        <v>06539002</v>
      </c>
      <c r="D3242" t="str">
        <f t="shared" si="717"/>
        <v>802</v>
      </c>
      <c r="E3242" t="str">
        <f t="shared" si="713"/>
        <v>89301171</v>
      </c>
      <c r="F3242" t="str">
        <f t="shared" si="715"/>
        <v>9159096144</v>
      </c>
      <c r="G3242" s="1">
        <v>44631</v>
      </c>
      <c r="H3242" t="str">
        <f t="shared" si="718"/>
        <v>82097</v>
      </c>
      <c r="I3242">
        <v>1</v>
      </c>
      <c r="J3242">
        <v>380</v>
      </c>
      <c r="K3242">
        <v>0</v>
      </c>
      <c r="L3242">
        <v>345.8</v>
      </c>
    </row>
    <row r="3243" spans="1:12" x14ac:dyDescent="0.25">
      <c r="A3243" t="str">
        <f t="shared" si="710"/>
        <v>89301000</v>
      </c>
      <c r="B3243" t="str">
        <f t="shared" si="714"/>
        <v>06539000</v>
      </c>
      <c r="C3243" t="str">
        <f t="shared" si="716"/>
        <v>06539002</v>
      </c>
      <c r="D3243" t="str">
        <f t="shared" si="717"/>
        <v>802</v>
      </c>
      <c r="E3243" t="str">
        <f t="shared" si="713"/>
        <v>89301171</v>
      </c>
      <c r="F3243" t="str">
        <f t="shared" si="715"/>
        <v>9159096144</v>
      </c>
      <c r="G3243" s="1">
        <v>44631</v>
      </c>
      <c r="H3243" t="str">
        <f t="shared" si="718"/>
        <v>82097</v>
      </c>
      <c r="I3243">
        <v>1</v>
      </c>
      <c r="J3243">
        <v>380</v>
      </c>
      <c r="K3243">
        <v>0</v>
      </c>
      <c r="L3243">
        <v>345.8</v>
      </c>
    </row>
    <row r="3244" spans="1:12" x14ac:dyDescent="0.25">
      <c r="A3244" t="str">
        <f t="shared" si="710"/>
        <v>89301000</v>
      </c>
      <c r="B3244" t="str">
        <f t="shared" si="714"/>
        <v>06539000</v>
      </c>
      <c r="C3244" t="str">
        <f t="shared" ref="C3244:C3280" si="719">"06539003"</f>
        <v>06539003</v>
      </c>
      <c r="D3244" t="str">
        <f t="shared" ref="D3244:D3280" si="720">"813"</f>
        <v>813</v>
      </c>
      <c r="E3244" t="str">
        <f t="shared" si="713"/>
        <v>89301171</v>
      </c>
      <c r="F3244" t="str">
        <f t="shared" si="715"/>
        <v>9159096144</v>
      </c>
      <c r="G3244" s="1">
        <v>44635</v>
      </c>
      <c r="H3244" t="str">
        <f>"91439"</f>
        <v>91439</v>
      </c>
      <c r="I3244">
        <v>1</v>
      </c>
      <c r="J3244">
        <v>356</v>
      </c>
      <c r="K3244">
        <v>0</v>
      </c>
      <c r="L3244">
        <v>277.68</v>
      </c>
    </row>
    <row r="3245" spans="1:12" x14ac:dyDescent="0.25">
      <c r="A3245" t="str">
        <f t="shared" si="710"/>
        <v>89301000</v>
      </c>
      <c r="B3245" t="str">
        <f t="shared" si="714"/>
        <v>06539000</v>
      </c>
      <c r="C3245" t="str">
        <f t="shared" si="719"/>
        <v>06539003</v>
      </c>
      <c r="D3245" t="str">
        <f t="shared" si="720"/>
        <v>813</v>
      </c>
      <c r="E3245" t="str">
        <f t="shared" si="713"/>
        <v>89301171</v>
      </c>
      <c r="F3245" t="str">
        <f t="shared" si="715"/>
        <v>9159096144</v>
      </c>
      <c r="G3245" s="1">
        <v>44635</v>
      </c>
      <c r="H3245" t="str">
        <f>"91439"</f>
        <v>91439</v>
      </c>
      <c r="I3245">
        <v>1</v>
      </c>
      <c r="J3245">
        <v>356</v>
      </c>
      <c r="K3245">
        <v>0</v>
      </c>
      <c r="L3245">
        <v>277.68</v>
      </c>
    </row>
    <row r="3246" spans="1:12" x14ac:dyDescent="0.25">
      <c r="A3246" t="str">
        <f t="shared" si="710"/>
        <v>89301000</v>
      </c>
      <c r="B3246" t="str">
        <f t="shared" si="714"/>
        <v>06539000</v>
      </c>
      <c r="C3246" t="str">
        <f t="shared" si="719"/>
        <v>06539003</v>
      </c>
      <c r="D3246" t="str">
        <f t="shared" si="720"/>
        <v>813</v>
      </c>
      <c r="E3246" t="str">
        <f t="shared" si="713"/>
        <v>89301171</v>
      </c>
      <c r="F3246" t="str">
        <f t="shared" si="715"/>
        <v>9159096144</v>
      </c>
      <c r="G3246" s="1">
        <v>44635</v>
      </c>
      <c r="H3246" t="str">
        <f>"91439"</f>
        <v>91439</v>
      </c>
      <c r="I3246">
        <v>1</v>
      </c>
      <c r="J3246">
        <v>356</v>
      </c>
      <c r="K3246">
        <v>0</v>
      </c>
      <c r="L3246">
        <v>277.68</v>
      </c>
    </row>
    <row r="3247" spans="1:12" x14ac:dyDescent="0.25">
      <c r="A3247" t="str">
        <f t="shared" si="710"/>
        <v>89301000</v>
      </c>
      <c r="B3247" t="str">
        <f t="shared" si="714"/>
        <v>06539000</v>
      </c>
      <c r="C3247" t="str">
        <f t="shared" si="719"/>
        <v>06539003</v>
      </c>
      <c r="D3247" t="str">
        <f t="shared" si="720"/>
        <v>813</v>
      </c>
      <c r="E3247" t="str">
        <f t="shared" si="713"/>
        <v>89301171</v>
      </c>
      <c r="F3247" t="str">
        <f t="shared" si="715"/>
        <v>9159096144</v>
      </c>
      <c r="G3247" s="1">
        <v>44635</v>
      </c>
      <c r="H3247" t="str">
        <f>"91439"</f>
        <v>91439</v>
      </c>
      <c r="I3247">
        <v>1</v>
      </c>
      <c r="J3247">
        <v>356</v>
      </c>
      <c r="K3247">
        <v>0</v>
      </c>
      <c r="L3247">
        <v>277.68</v>
      </c>
    </row>
    <row r="3248" spans="1:12" x14ac:dyDescent="0.25">
      <c r="A3248" t="str">
        <f t="shared" si="710"/>
        <v>89301000</v>
      </c>
      <c r="B3248" t="str">
        <f t="shared" si="714"/>
        <v>06539000</v>
      </c>
      <c r="C3248" t="str">
        <f t="shared" si="719"/>
        <v>06539003</v>
      </c>
      <c r="D3248" t="str">
        <f t="shared" si="720"/>
        <v>813</v>
      </c>
      <c r="E3248" t="str">
        <f t="shared" si="713"/>
        <v>89301171</v>
      </c>
      <c r="F3248" t="str">
        <f t="shared" si="715"/>
        <v>9159096144</v>
      </c>
      <c r="G3248" s="1">
        <v>44635</v>
      </c>
      <c r="H3248" t="str">
        <f>"91439"</f>
        <v>91439</v>
      </c>
      <c r="I3248">
        <v>2</v>
      </c>
      <c r="J3248">
        <v>712</v>
      </c>
      <c r="K3248">
        <v>0</v>
      </c>
      <c r="L3248">
        <v>555.36</v>
      </c>
    </row>
    <row r="3249" spans="1:12" x14ac:dyDescent="0.25">
      <c r="A3249" t="str">
        <f t="shared" si="710"/>
        <v>89301000</v>
      </c>
      <c r="B3249" t="str">
        <f t="shared" si="714"/>
        <v>06539000</v>
      </c>
      <c r="C3249" t="str">
        <f t="shared" si="719"/>
        <v>06539003</v>
      </c>
      <c r="D3249" t="str">
        <f t="shared" si="720"/>
        <v>813</v>
      </c>
      <c r="E3249" t="str">
        <f t="shared" ref="E3249:E3280" si="721">"89301171"</f>
        <v>89301171</v>
      </c>
      <c r="F3249" t="str">
        <f t="shared" si="715"/>
        <v>9159096144</v>
      </c>
      <c r="G3249" s="1">
        <v>44636</v>
      </c>
      <c r="H3249" t="str">
        <f t="shared" ref="H3249:H3258" si="722">"91413"</f>
        <v>91413</v>
      </c>
      <c r="I3249">
        <v>1</v>
      </c>
      <c r="J3249">
        <v>853</v>
      </c>
      <c r="K3249">
        <v>0</v>
      </c>
      <c r="L3249">
        <v>665.34</v>
      </c>
    </row>
    <row r="3250" spans="1:12" x14ac:dyDescent="0.25">
      <c r="A3250" t="str">
        <f t="shared" si="710"/>
        <v>89301000</v>
      </c>
      <c r="B3250" t="str">
        <f t="shared" si="714"/>
        <v>06539000</v>
      </c>
      <c r="C3250" t="str">
        <f t="shared" si="719"/>
        <v>06539003</v>
      </c>
      <c r="D3250" t="str">
        <f t="shared" si="720"/>
        <v>813</v>
      </c>
      <c r="E3250" t="str">
        <f t="shared" si="721"/>
        <v>89301171</v>
      </c>
      <c r="F3250" t="str">
        <f t="shared" si="715"/>
        <v>9159096144</v>
      </c>
      <c r="G3250" s="1">
        <v>44636</v>
      </c>
      <c r="H3250" t="str">
        <f t="shared" si="722"/>
        <v>91413</v>
      </c>
      <c r="I3250">
        <v>1</v>
      </c>
      <c r="J3250">
        <v>853</v>
      </c>
      <c r="K3250">
        <v>0</v>
      </c>
      <c r="L3250">
        <v>665.34</v>
      </c>
    </row>
    <row r="3251" spans="1:12" x14ac:dyDescent="0.25">
      <c r="A3251" t="str">
        <f t="shared" si="710"/>
        <v>89301000</v>
      </c>
      <c r="B3251" t="str">
        <f t="shared" si="714"/>
        <v>06539000</v>
      </c>
      <c r="C3251" t="str">
        <f t="shared" si="719"/>
        <v>06539003</v>
      </c>
      <c r="D3251" t="str">
        <f t="shared" si="720"/>
        <v>813</v>
      </c>
      <c r="E3251" t="str">
        <f t="shared" si="721"/>
        <v>89301171</v>
      </c>
      <c r="F3251" t="str">
        <f t="shared" si="715"/>
        <v>9159096144</v>
      </c>
      <c r="G3251" s="1">
        <v>44643</v>
      </c>
      <c r="H3251" t="str">
        <f t="shared" si="722"/>
        <v>91413</v>
      </c>
      <c r="I3251">
        <v>1</v>
      </c>
      <c r="J3251">
        <v>853</v>
      </c>
      <c r="K3251">
        <v>0</v>
      </c>
      <c r="L3251">
        <v>665.34</v>
      </c>
    </row>
    <row r="3252" spans="1:12" x14ac:dyDescent="0.25">
      <c r="A3252" t="str">
        <f t="shared" si="710"/>
        <v>89301000</v>
      </c>
      <c r="B3252" t="str">
        <f t="shared" si="714"/>
        <v>06539000</v>
      </c>
      <c r="C3252" t="str">
        <f t="shared" si="719"/>
        <v>06539003</v>
      </c>
      <c r="D3252" t="str">
        <f t="shared" si="720"/>
        <v>813</v>
      </c>
      <c r="E3252" t="str">
        <f t="shared" si="721"/>
        <v>89301171</v>
      </c>
      <c r="F3252" t="str">
        <f t="shared" si="715"/>
        <v>9159096144</v>
      </c>
      <c r="G3252" s="1">
        <v>44643</v>
      </c>
      <c r="H3252" t="str">
        <f t="shared" si="722"/>
        <v>91413</v>
      </c>
      <c r="I3252">
        <v>1</v>
      </c>
      <c r="J3252">
        <v>853</v>
      </c>
      <c r="K3252">
        <v>0</v>
      </c>
      <c r="L3252">
        <v>665.34</v>
      </c>
    </row>
    <row r="3253" spans="1:12" x14ac:dyDescent="0.25">
      <c r="A3253" t="str">
        <f t="shared" si="710"/>
        <v>89301000</v>
      </c>
      <c r="B3253" t="str">
        <f t="shared" si="714"/>
        <v>06539000</v>
      </c>
      <c r="C3253" t="str">
        <f t="shared" si="719"/>
        <v>06539003</v>
      </c>
      <c r="D3253" t="str">
        <f t="shared" si="720"/>
        <v>813</v>
      </c>
      <c r="E3253" t="str">
        <f t="shared" si="721"/>
        <v>89301171</v>
      </c>
      <c r="F3253" t="str">
        <f t="shared" si="715"/>
        <v>9159096144</v>
      </c>
      <c r="G3253" s="1">
        <v>44643</v>
      </c>
      <c r="H3253" t="str">
        <f t="shared" si="722"/>
        <v>91413</v>
      </c>
      <c r="I3253">
        <v>1</v>
      </c>
      <c r="J3253">
        <v>853</v>
      </c>
      <c r="K3253">
        <v>0</v>
      </c>
      <c r="L3253">
        <v>665.34</v>
      </c>
    </row>
    <row r="3254" spans="1:12" x14ac:dyDescent="0.25">
      <c r="A3254" t="str">
        <f t="shared" si="710"/>
        <v>89301000</v>
      </c>
      <c r="B3254" t="str">
        <f t="shared" si="714"/>
        <v>06539000</v>
      </c>
      <c r="C3254" t="str">
        <f t="shared" si="719"/>
        <v>06539003</v>
      </c>
      <c r="D3254" t="str">
        <f t="shared" si="720"/>
        <v>813</v>
      </c>
      <c r="E3254" t="str">
        <f t="shared" si="721"/>
        <v>89301171</v>
      </c>
      <c r="F3254" t="str">
        <f t="shared" si="715"/>
        <v>9159096144</v>
      </c>
      <c r="G3254" s="1">
        <v>44643</v>
      </c>
      <c r="H3254" t="str">
        <f t="shared" si="722"/>
        <v>91413</v>
      </c>
      <c r="I3254">
        <v>1</v>
      </c>
      <c r="J3254">
        <v>853</v>
      </c>
      <c r="K3254">
        <v>0</v>
      </c>
      <c r="L3254">
        <v>665.34</v>
      </c>
    </row>
    <row r="3255" spans="1:12" x14ac:dyDescent="0.25">
      <c r="A3255" t="str">
        <f t="shared" si="710"/>
        <v>89301000</v>
      </c>
      <c r="B3255" t="str">
        <f t="shared" si="714"/>
        <v>06539000</v>
      </c>
      <c r="C3255" t="str">
        <f t="shared" si="719"/>
        <v>06539003</v>
      </c>
      <c r="D3255" t="str">
        <f t="shared" si="720"/>
        <v>813</v>
      </c>
      <c r="E3255" t="str">
        <f t="shared" si="721"/>
        <v>89301171</v>
      </c>
      <c r="F3255" t="str">
        <f t="shared" si="715"/>
        <v>9159096144</v>
      </c>
      <c r="G3255" s="1">
        <v>44643</v>
      </c>
      <c r="H3255" t="str">
        <f t="shared" si="722"/>
        <v>91413</v>
      </c>
      <c r="I3255">
        <v>1</v>
      </c>
      <c r="J3255">
        <v>853</v>
      </c>
      <c r="K3255">
        <v>0</v>
      </c>
      <c r="L3255">
        <v>665.34</v>
      </c>
    </row>
    <row r="3256" spans="1:12" x14ac:dyDescent="0.25">
      <c r="A3256" t="str">
        <f t="shared" si="710"/>
        <v>89301000</v>
      </c>
      <c r="B3256" t="str">
        <f t="shared" si="714"/>
        <v>06539000</v>
      </c>
      <c r="C3256" t="str">
        <f t="shared" si="719"/>
        <v>06539003</v>
      </c>
      <c r="D3256" t="str">
        <f t="shared" si="720"/>
        <v>813</v>
      </c>
      <c r="E3256" t="str">
        <f t="shared" si="721"/>
        <v>89301171</v>
      </c>
      <c r="F3256" t="str">
        <f t="shared" si="715"/>
        <v>9159096144</v>
      </c>
      <c r="G3256" s="1">
        <v>44643</v>
      </c>
      <c r="H3256" t="str">
        <f t="shared" si="722"/>
        <v>91413</v>
      </c>
      <c r="I3256">
        <v>1</v>
      </c>
      <c r="J3256">
        <v>853</v>
      </c>
      <c r="K3256">
        <v>0</v>
      </c>
      <c r="L3256">
        <v>665.34</v>
      </c>
    </row>
    <row r="3257" spans="1:12" x14ac:dyDescent="0.25">
      <c r="A3257" t="str">
        <f t="shared" si="710"/>
        <v>89301000</v>
      </c>
      <c r="B3257" t="str">
        <f t="shared" si="714"/>
        <v>06539000</v>
      </c>
      <c r="C3257" t="str">
        <f t="shared" si="719"/>
        <v>06539003</v>
      </c>
      <c r="D3257" t="str">
        <f t="shared" si="720"/>
        <v>813</v>
      </c>
      <c r="E3257" t="str">
        <f t="shared" si="721"/>
        <v>89301171</v>
      </c>
      <c r="F3257" t="str">
        <f t="shared" si="715"/>
        <v>9159096144</v>
      </c>
      <c r="G3257" s="1">
        <v>44643</v>
      </c>
      <c r="H3257" t="str">
        <f t="shared" si="722"/>
        <v>91413</v>
      </c>
      <c r="I3257">
        <v>1</v>
      </c>
      <c r="J3257">
        <v>853</v>
      </c>
      <c r="K3257">
        <v>0</v>
      </c>
      <c r="L3257">
        <v>665.34</v>
      </c>
    </row>
    <row r="3258" spans="1:12" x14ac:dyDescent="0.25">
      <c r="A3258" t="str">
        <f t="shared" si="710"/>
        <v>89301000</v>
      </c>
      <c r="B3258" t="str">
        <f t="shared" si="714"/>
        <v>06539000</v>
      </c>
      <c r="C3258" t="str">
        <f t="shared" si="719"/>
        <v>06539003</v>
      </c>
      <c r="D3258" t="str">
        <f t="shared" si="720"/>
        <v>813</v>
      </c>
      <c r="E3258" t="str">
        <f t="shared" si="721"/>
        <v>89301171</v>
      </c>
      <c r="F3258" t="str">
        <f t="shared" si="715"/>
        <v>9159096144</v>
      </c>
      <c r="G3258" s="1">
        <v>44643</v>
      </c>
      <c r="H3258" t="str">
        <f t="shared" si="722"/>
        <v>91413</v>
      </c>
      <c r="I3258">
        <v>1</v>
      </c>
      <c r="J3258">
        <v>853</v>
      </c>
      <c r="K3258">
        <v>0</v>
      </c>
      <c r="L3258">
        <v>665.34</v>
      </c>
    </row>
    <row r="3259" spans="1:12" x14ac:dyDescent="0.25">
      <c r="A3259" t="str">
        <f t="shared" si="710"/>
        <v>89301000</v>
      </c>
      <c r="B3259" t="str">
        <f t="shared" si="714"/>
        <v>06539000</v>
      </c>
      <c r="C3259" t="str">
        <f t="shared" si="719"/>
        <v>06539003</v>
      </c>
      <c r="D3259" t="str">
        <f t="shared" si="720"/>
        <v>813</v>
      </c>
      <c r="E3259" t="str">
        <f t="shared" si="721"/>
        <v>89301171</v>
      </c>
      <c r="F3259" t="str">
        <f t="shared" si="715"/>
        <v>9159096144</v>
      </c>
      <c r="G3259" s="1">
        <v>44631</v>
      </c>
      <c r="H3259" t="str">
        <f t="shared" ref="H3259:H3265" si="723">"91197"</f>
        <v>91197</v>
      </c>
      <c r="I3259">
        <v>1</v>
      </c>
      <c r="J3259">
        <v>1046</v>
      </c>
      <c r="K3259">
        <v>0</v>
      </c>
      <c r="L3259">
        <v>815.88</v>
      </c>
    </row>
    <row r="3260" spans="1:12" x14ac:dyDescent="0.25">
      <c r="A3260" t="str">
        <f t="shared" si="710"/>
        <v>89301000</v>
      </c>
      <c r="B3260" t="str">
        <f t="shared" si="714"/>
        <v>06539000</v>
      </c>
      <c r="C3260" t="str">
        <f t="shared" si="719"/>
        <v>06539003</v>
      </c>
      <c r="D3260" t="str">
        <f t="shared" si="720"/>
        <v>813</v>
      </c>
      <c r="E3260" t="str">
        <f t="shared" si="721"/>
        <v>89301171</v>
      </c>
      <c r="F3260" t="str">
        <f t="shared" si="715"/>
        <v>9159096144</v>
      </c>
      <c r="G3260" s="1">
        <v>44634</v>
      </c>
      <c r="H3260" t="str">
        <f t="shared" si="723"/>
        <v>91197</v>
      </c>
      <c r="I3260">
        <v>1</v>
      </c>
      <c r="J3260">
        <v>1046</v>
      </c>
      <c r="K3260">
        <v>0</v>
      </c>
      <c r="L3260">
        <v>815.88</v>
      </c>
    </row>
    <row r="3261" spans="1:12" x14ac:dyDescent="0.25">
      <c r="A3261" t="str">
        <f t="shared" si="710"/>
        <v>89301000</v>
      </c>
      <c r="B3261" t="str">
        <f t="shared" si="714"/>
        <v>06539000</v>
      </c>
      <c r="C3261" t="str">
        <f t="shared" si="719"/>
        <v>06539003</v>
      </c>
      <c r="D3261" t="str">
        <f t="shared" si="720"/>
        <v>813</v>
      </c>
      <c r="E3261" t="str">
        <f t="shared" si="721"/>
        <v>89301171</v>
      </c>
      <c r="F3261" t="str">
        <f t="shared" si="715"/>
        <v>9159096144</v>
      </c>
      <c r="G3261" s="1">
        <v>44634</v>
      </c>
      <c r="H3261" t="str">
        <f t="shared" si="723"/>
        <v>91197</v>
      </c>
      <c r="I3261">
        <v>1</v>
      </c>
      <c r="J3261">
        <v>1046</v>
      </c>
      <c r="K3261">
        <v>0</v>
      </c>
      <c r="L3261">
        <v>815.88</v>
      </c>
    </row>
    <row r="3262" spans="1:12" x14ac:dyDescent="0.25">
      <c r="A3262" t="str">
        <f t="shared" si="710"/>
        <v>89301000</v>
      </c>
      <c r="B3262" t="str">
        <f t="shared" si="714"/>
        <v>06539000</v>
      </c>
      <c r="C3262" t="str">
        <f t="shared" si="719"/>
        <v>06539003</v>
      </c>
      <c r="D3262" t="str">
        <f t="shared" si="720"/>
        <v>813</v>
      </c>
      <c r="E3262" t="str">
        <f t="shared" si="721"/>
        <v>89301171</v>
      </c>
      <c r="F3262" t="str">
        <f t="shared" si="715"/>
        <v>9159096144</v>
      </c>
      <c r="G3262" s="1">
        <v>44633</v>
      </c>
      <c r="H3262" t="str">
        <f t="shared" si="723"/>
        <v>91197</v>
      </c>
      <c r="I3262">
        <v>1</v>
      </c>
      <c r="J3262">
        <v>1046</v>
      </c>
      <c r="K3262">
        <v>0</v>
      </c>
      <c r="L3262">
        <v>815.88</v>
      </c>
    </row>
    <row r="3263" spans="1:12" x14ac:dyDescent="0.25">
      <c r="A3263" t="str">
        <f t="shared" si="710"/>
        <v>89301000</v>
      </c>
      <c r="B3263" t="str">
        <f t="shared" si="714"/>
        <v>06539000</v>
      </c>
      <c r="C3263" t="str">
        <f t="shared" si="719"/>
        <v>06539003</v>
      </c>
      <c r="D3263" t="str">
        <f t="shared" si="720"/>
        <v>813</v>
      </c>
      <c r="E3263" t="str">
        <f t="shared" si="721"/>
        <v>89301171</v>
      </c>
      <c r="F3263" t="str">
        <f t="shared" si="715"/>
        <v>9159096144</v>
      </c>
      <c r="G3263" s="1">
        <v>44633</v>
      </c>
      <c r="H3263" t="str">
        <f t="shared" si="723"/>
        <v>91197</v>
      </c>
      <c r="I3263">
        <v>1</v>
      </c>
      <c r="J3263">
        <v>1046</v>
      </c>
      <c r="K3263">
        <v>0</v>
      </c>
      <c r="L3263">
        <v>815.88</v>
      </c>
    </row>
    <row r="3264" spans="1:12" x14ac:dyDescent="0.25">
      <c r="A3264" t="str">
        <f t="shared" si="710"/>
        <v>89301000</v>
      </c>
      <c r="B3264" t="str">
        <f t="shared" si="714"/>
        <v>06539000</v>
      </c>
      <c r="C3264" t="str">
        <f t="shared" si="719"/>
        <v>06539003</v>
      </c>
      <c r="D3264" t="str">
        <f t="shared" si="720"/>
        <v>813</v>
      </c>
      <c r="E3264" t="str">
        <f t="shared" si="721"/>
        <v>89301171</v>
      </c>
      <c r="F3264" t="str">
        <f t="shared" si="715"/>
        <v>9159096144</v>
      </c>
      <c r="G3264" s="1">
        <v>44632</v>
      </c>
      <c r="H3264" t="str">
        <f t="shared" si="723"/>
        <v>91197</v>
      </c>
      <c r="I3264">
        <v>1</v>
      </c>
      <c r="J3264">
        <v>1046</v>
      </c>
      <c r="K3264">
        <v>0</v>
      </c>
      <c r="L3264">
        <v>815.88</v>
      </c>
    </row>
    <row r="3265" spans="1:12" x14ac:dyDescent="0.25">
      <c r="A3265" t="str">
        <f t="shared" si="710"/>
        <v>89301000</v>
      </c>
      <c r="B3265" t="str">
        <f t="shared" si="714"/>
        <v>06539000</v>
      </c>
      <c r="C3265" t="str">
        <f t="shared" si="719"/>
        <v>06539003</v>
      </c>
      <c r="D3265" t="str">
        <f t="shared" si="720"/>
        <v>813</v>
      </c>
      <c r="E3265" t="str">
        <f t="shared" si="721"/>
        <v>89301171</v>
      </c>
      <c r="F3265" t="str">
        <f t="shared" si="715"/>
        <v>9159096144</v>
      </c>
      <c r="G3265" s="1">
        <v>44632</v>
      </c>
      <c r="H3265" t="str">
        <f t="shared" si="723"/>
        <v>91197</v>
      </c>
      <c r="I3265">
        <v>1</v>
      </c>
      <c r="J3265">
        <v>1046</v>
      </c>
      <c r="K3265">
        <v>0</v>
      </c>
      <c r="L3265">
        <v>815.88</v>
      </c>
    </row>
    <row r="3266" spans="1:12" x14ac:dyDescent="0.25">
      <c r="A3266" t="str">
        <f t="shared" ref="A3266:A3329" si="724">"89301000"</f>
        <v>89301000</v>
      </c>
      <c r="B3266" t="str">
        <f t="shared" si="714"/>
        <v>06539000</v>
      </c>
      <c r="C3266" t="str">
        <f t="shared" si="719"/>
        <v>06539003</v>
      </c>
      <c r="D3266" t="str">
        <f t="shared" si="720"/>
        <v>813</v>
      </c>
      <c r="E3266" t="str">
        <f t="shared" si="721"/>
        <v>89301171</v>
      </c>
      <c r="F3266" t="str">
        <f t="shared" si="715"/>
        <v>9159096144</v>
      </c>
      <c r="G3266" s="1">
        <v>44635</v>
      </c>
      <c r="H3266" t="str">
        <f>"91329"</f>
        <v>91329</v>
      </c>
      <c r="I3266">
        <v>2</v>
      </c>
      <c r="J3266">
        <v>428</v>
      </c>
      <c r="K3266">
        <v>0</v>
      </c>
      <c r="L3266">
        <v>333.84</v>
      </c>
    </row>
    <row r="3267" spans="1:12" x14ac:dyDescent="0.25">
      <c r="A3267" t="str">
        <f t="shared" si="724"/>
        <v>89301000</v>
      </c>
      <c r="B3267" t="str">
        <f t="shared" si="714"/>
        <v>06539000</v>
      </c>
      <c r="C3267" t="str">
        <f t="shared" si="719"/>
        <v>06539003</v>
      </c>
      <c r="D3267" t="str">
        <f t="shared" si="720"/>
        <v>813</v>
      </c>
      <c r="E3267" t="str">
        <f t="shared" si="721"/>
        <v>89301171</v>
      </c>
      <c r="F3267" t="str">
        <f t="shared" si="715"/>
        <v>9159096144</v>
      </c>
      <c r="G3267" s="1">
        <v>44635</v>
      </c>
      <c r="H3267" t="str">
        <f>"91329"</f>
        <v>91329</v>
      </c>
      <c r="I3267">
        <v>2</v>
      </c>
      <c r="J3267">
        <v>428</v>
      </c>
      <c r="K3267">
        <v>0</v>
      </c>
      <c r="L3267">
        <v>333.84</v>
      </c>
    </row>
    <row r="3268" spans="1:12" x14ac:dyDescent="0.25">
      <c r="A3268" t="str">
        <f t="shared" si="724"/>
        <v>89301000</v>
      </c>
      <c r="B3268" t="str">
        <f t="shared" si="714"/>
        <v>06539000</v>
      </c>
      <c r="C3268" t="str">
        <f t="shared" si="719"/>
        <v>06539003</v>
      </c>
      <c r="D3268" t="str">
        <f t="shared" si="720"/>
        <v>813</v>
      </c>
      <c r="E3268" t="str">
        <f t="shared" si="721"/>
        <v>89301171</v>
      </c>
      <c r="F3268" t="str">
        <f t="shared" si="715"/>
        <v>9159096144</v>
      </c>
      <c r="G3268" s="1">
        <v>44635</v>
      </c>
      <c r="H3268" t="str">
        <f>"91329"</f>
        <v>91329</v>
      </c>
      <c r="I3268">
        <v>2</v>
      </c>
      <c r="J3268">
        <v>428</v>
      </c>
      <c r="K3268">
        <v>0</v>
      </c>
      <c r="L3268">
        <v>333.84</v>
      </c>
    </row>
    <row r="3269" spans="1:12" x14ac:dyDescent="0.25">
      <c r="A3269" t="str">
        <f t="shared" si="724"/>
        <v>89301000</v>
      </c>
      <c r="B3269" t="str">
        <f t="shared" si="714"/>
        <v>06539000</v>
      </c>
      <c r="C3269" t="str">
        <f t="shared" si="719"/>
        <v>06539003</v>
      </c>
      <c r="D3269" t="str">
        <f t="shared" si="720"/>
        <v>813</v>
      </c>
      <c r="E3269" t="str">
        <f t="shared" si="721"/>
        <v>89301171</v>
      </c>
      <c r="F3269" t="str">
        <f t="shared" si="715"/>
        <v>9159096144</v>
      </c>
      <c r="G3269" s="1">
        <v>44635</v>
      </c>
      <c r="H3269" t="str">
        <f>"91329"</f>
        <v>91329</v>
      </c>
      <c r="I3269">
        <v>2</v>
      </c>
      <c r="J3269">
        <v>428</v>
      </c>
      <c r="K3269">
        <v>0</v>
      </c>
      <c r="L3269">
        <v>333.84</v>
      </c>
    </row>
    <row r="3270" spans="1:12" x14ac:dyDescent="0.25">
      <c r="A3270" t="str">
        <f t="shared" si="724"/>
        <v>89301000</v>
      </c>
      <c r="B3270" t="str">
        <f t="shared" si="714"/>
        <v>06539000</v>
      </c>
      <c r="C3270" t="str">
        <f t="shared" si="719"/>
        <v>06539003</v>
      </c>
      <c r="D3270" t="str">
        <f t="shared" si="720"/>
        <v>813</v>
      </c>
      <c r="E3270" t="str">
        <f t="shared" si="721"/>
        <v>89301171</v>
      </c>
      <c r="F3270" t="str">
        <f t="shared" si="715"/>
        <v>9159096144</v>
      </c>
      <c r="G3270" s="1">
        <v>44634</v>
      </c>
      <c r="H3270" t="str">
        <f>"91129"</f>
        <v>91129</v>
      </c>
      <c r="I3270">
        <v>1</v>
      </c>
      <c r="J3270">
        <v>174</v>
      </c>
      <c r="K3270">
        <v>0</v>
      </c>
      <c r="L3270">
        <v>135.72</v>
      </c>
    </row>
    <row r="3271" spans="1:12" x14ac:dyDescent="0.25">
      <c r="A3271" t="str">
        <f t="shared" si="724"/>
        <v>89301000</v>
      </c>
      <c r="B3271" t="str">
        <f t="shared" si="714"/>
        <v>06539000</v>
      </c>
      <c r="C3271" t="str">
        <f t="shared" si="719"/>
        <v>06539003</v>
      </c>
      <c r="D3271" t="str">
        <f t="shared" si="720"/>
        <v>813</v>
      </c>
      <c r="E3271" t="str">
        <f t="shared" si="721"/>
        <v>89301171</v>
      </c>
      <c r="F3271" t="str">
        <f t="shared" si="715"/>
        <v>9159096144</v>
      </c>
      <c r="G3271" s="1">
        <v>44634</v>
      </c>
      <c r="H3271" t="str">
        <f>"91131"</f>
        <v>91131</v>
      </c>
      <c r="I3271">
        <v>1</v>
      </c>
      <c r="J3271">
        <v>171</v>
      </c>
      <c r="K3271">
        <v>0</v>
      </c>
      <c r="L3271">
        <v>133.38</v>
      </c>
    </row>
    <row r="3272" spans="1:12" x14ac:dyDescent="0.25">
      <c r="A3272" t="str">
        <f t="shared" si="724"/>
        <v>89301000</v>
      </c>
      <c r="B3272" t="str">
        <f t="shared" si="714"/>
        <v>06539000</v>
      </c>
      <c r="C3272" t="str">
        <f t="shared" si="719"/>
        <v>06539003</v>
      </c>
      <c r="D3272" t="str">
        <f t="shared" si="720"/>
        <v>813</v>
      </c>
      <c r="E3272" t="str">
        <f t="shared" si="721"/>
        <v>89301171</v>
      </c>
      <c r="F3272" t="str">
        <f t="shared" si="715"/>
        <v>9159096144</v>
      </c>
      <c r="G3272" s="1">
        <v>44634</v>
      </c>
      <c r="H3272" t="str">
        <f>"91133"</f>
        <v>91133</v>
      </c>
      <c r="I3272">
        <v>1</v>
      </c>
      <c r="J3272">
        <v>176</v>
      </c>
      <c r="K3272">
        <v>0</v>
      </c>
      <c r="L3272">
        <v>137.28</v>
      </c>
    </row>
    <row r="3273" spans="1:12" x14ac:dyDescent="0.25">
      <c r="A3273" t="str">
        <f t="shared" si="724"/>
        <v>89301000</v>
      </c>
      <c r="B3273" t="str">
        <f t="shared" si="714"/>
        <v>06539000</v>
      </c>
      <c r="C3273" t="str">
        <f t="shared" si="719"/>
        <v>06539003</v>
      </c>
      <c r="D3273" t="str">
        <f t="shared" si="720"/>
        <v>813</v>
      </c>
      <c r="E3273" t="str">
        <f t="shared" si="721"/>
        <v>89301171</v>
      </c>
      <c r="F3273" t="str">
        <f t="shared" si="715"/>
        <v>9159096144</v>
      </c>
      <c r="G3273" s="1">
        <v>44634</v>
      </c>
      <c r="H3273" t="str">
        <f>"91171"</f>
        <v>91171</v>
      </c>
      <c r="I3273">
        <v>1</v>
      </c>
      <c r="J3273">
        <v>360</v>
      </c>
      <c r="K3273">
        <v>0</v>
      </c>
      <c r="L3273">
        <v>280.8</v>
      </c>
    </row>
    <row r="3274" spans="1:12" x14ac:dyDescent="0.25">
      <c r="A3274" t="str">
        <f t="shared" si="724"/>
        <v>89301000</v>
      </c>
      <c r="B3274" t="str">
        <f t="shared" si="714"/>
        <v>06539000</v>
      </c>
      <c r="C3274" t="str">
        <f t="shared" si="719"/>
        <v>06539003</v>
      </c>
      <c r="D3274" t="str">
        <f t="shared" si="720"/>
        <v>813</v>
      </c>
      <c r="E3274" t="str">
        <f t="shared" si="721"/>
        <v>89301171</v>
      </c>
      <c r="F3274" t="str">
        <f t="shared" si="715"/>
        <v>9159096144</v>
      </c>
      <c r="G3274" s="1">
        <v>44631</v>
      </c>
      <c r="H3274" t="str">
        <f>"91173"</f>
        <v>91173</v>
      </c>
      <c r="I3274">
        <v>1</v>
      </c>
      <c r="J3274">
        <v>335</v>
      </c>
      <c r="K3274">
        <v>0</v>
      </c>
      <c r="L3274">
        <v>261.3</v>
      </c>
    </row>
    <row r="3275" spans="1:12" x14ac:dyDescent="0.25">
      <c r="A3275" t="str">
        <f t="shared" si="724"/>
        <v>89301000</v>
      </c>
      <c r="B3275" t="str">
        <f t="shared" si="714"/>
        <v>06539000</v>
      </c>
      <c r="C3275" t="str">
        <f t="shared" si="719"/>
        <v>06539003</v>
      </c>
      <c r="D3275" t="str">
        <f t="shared" si="720"/>
        <v>813</v>
      </c>
      <c r="E3275" t="str">
        <f t="shared" si="721"/>
        <v>89301171</v>
      </c>
      <c r="F3275" t="str">
        <f t="shared" si="715"/>
        <v>9159096144</v>
      </c>
      <c r="G3275" s="1">
        <v>44634</v>
      </c>
      <c r="H3275" t="str">
        <f>"91175"</f>
        <v>91175</v>
      </c>
      <c r="I3275">
        <v>1</v>
      </c>
      <c r="J3275">
        <v>360</v>
      </c>
      <c r="K3275">
        <v>0</v>
      </c>
      <c r="L3275">
        <v>280.8</v>
      </c>
    </row>
    <row r="3276" spans="1:12" x14ac:dyDescent="0.25">
      <c r="A3276" t="str">
        <f t="shared" si="724"/>
        <v>89301000</v>
      </c>
      <c r="B3276" t="str">
        <f t="shared" si="714"/>
        <v>06539000</v>
      </c>
      <c r="C3276" t="str">
        <f t="shared" si="719"/>
        <v>06539003</v>
      </c>
      <c r="D3276" t="str">
        <f t="shared" si="720"/>
        <v>813</v>
      </c>
      <c r="E3276" t="str">
        <f t="shared" si="721"/>
        <v>89301171</v>
      </c>
      <c r="F3276" t="str">
        <f t="shared" si="715"/>
        <v>9159096144</v>
      </c>
      <c r="G3276" s="1">
        <v>44632</v>
      </c>
      <c r="H3276" t="str">
        <f>"91167"</f>
        <v>91167</v>
      </c>
      <c r="I3276">
        <v>1</v>
      </c>
      <c r="J3276">
        <v>425</v>
      </c>
      <c r="K3276">
        <v>0</v>
      </c>
      <c r="L3276">
        <v>331.5</v>
      </c>
    </row>
    <row r="3277" spans="1:12" x14ac:dyDescent="0.25">
      <c r="A3277" t="str">
        <f t="shared" si="724"/>
        <v>89301000</v>
      </c>
      <c r="B3277" t="str">
        <f t="shared" si="714"/>
        <v>06539000</v>
      </c>
      <c r="C3277" t="str">
        <f t="shared" si="719"/>
        <v>06539003</v>
      </c>
      <c r="D3277" t="str">
        <f t="shared" si="720"/>
        <v>813</v>
      </c>
      <c r="E3277" t="str">
        <f t="shared" si="721"/>
        <v>89301171</v>
      </c>
      <c r="F3277" t="str">
        <f t="shared" si="715"/>
        <v>9159096144</v>
      </c>
      <c r="G3277" s="1">
        <v>44632</v>
      </c>
      <c r="H3277" t="str">
        <f>"91169"</f>
        <v>91169</v>
      </c>
      <c r="I3277">
        <v>1</v>
      </c>
      <c r="J3277">
        <v>425</v>
      </c>
      <c r="K3277">
        <v>0</v>
      </c>
      <c r="L3277">
        <v>331.5</v>
      </c>
    </row>
    <row r="3278" spans="1:12" x14ac:dyDescent="0.25">
      <c r="A3278" t="str">
        <f t="shared" si="724"/>
        <v>89301000</v>
      </c>
      <c r="B3278" t="str">
        <f t="shared" si="714"/>
        <v>06539000</v>
      </c>
      <c r="C3278" t="str">
        <f t="shared" si="719"/>
        <v>06539003</v>
      </c>
      <c r="D3278" t="str">
        <f t="shared" si="720"/>
        <v>813</v>
      </c>
      <c r="E3278" t="str">
        <f t="shared" si="721"/>
        <v>89301171</v>
      </c>
      <c r="F3278" t="str">
        <f t="shared" si="715"/>
        <v>9159096144</v>
      </c>
      <c r="G3278" s="1">
        <v>44631</v>
      </c>
      <c r="H3278" t="str">
        <f>"91167"</f>
        <v>91167</v>
      </c>
      <c r="I3278">
        <v>1</v>
      </c>
      <c r="J3278">
        <v>425</v>
      </c>
      <c r="K3278">
        <v>0</v>
      </c>
      <c r="L3278">
        <v>331.5</v>
      </c>
    </row>
    <row r="3279" spans="1:12" x14ac:dyDescent="0.25">
      <c r="A3279" t="str">
        <f t="shared" si="724"/>
        <v>89301000</v>
      </c>
      <c r="B3279" t="str">
        <f t="shared" si="714"/>
        <v>06539000</v>
      </c>
      <c r="C3279" t="str">
        <f t="shared" si="719"/>
        <v>06539003</v>
      </c>
      <c r="D3279" t="str">
        <f t="shared" si="720"/>
        <v>813</v>
      </c>
      <c r="E3279" t="str">
        <f t="shared" si="721"/>
        <v>89301171</v>
      </c>
      <c r="F3279" t="str">
        <f t="shared" si="715"/>
        <v>9159096144</v>
      </c>
      <c r="G3279" s="1">
        <v>44631</v>
      </c>
      <c r="H3279" t="str">
        <f>"91169"</f>
        <v>91169</v>
      </c>
      <c r="I3279">
        <v>1</v>
      </c>
      <c r="J3279">
        <v>425</v>
      </c>
      <c r="K3279">
        <v>0</v>
      </c>
      <c r="L3279">
        <v>331.5</v>
      </c>
    </row>
    <row r="3280" spans="1:12" x14ac:dyDescent="0.25">
      <c r="A3280" t="str">
        <f t="shared" si="724"/>
        <v>89301000</v>
      </c>
      <c r="B3280" t="str">
        <f t="shared" si="714"/>
        <v>06539000</v>
      </c>
      <c r="C3280" t="str">
        <f t="shared" si="719"/>
        <v>06539003</v>
      </c>
      <c r="D3280" t="str">
        <f t="shared" si="720"/>
        <v>813</v>
      </c>
      <c r="E3280" t="str">
        <f t="shared" si="721"/>
        <v>89301171</v>
      </c>
      <c r="F3280" t="str">
        <f t="shared" si="715"/>
        <v>9159096144</v>
      </c>
      <c r="G3280" s="1">
        <v>44631</v>
      </c>
      <c r="H3280" t="str">
        <f>"91475"</f>
        <v>91475</v>
      </c>
      <c r="I3280">
        <v>1</v>
      </c>
      <c r="J3280">
        <v>206</v>
      </c>
      <c r="K3280">
        <v>0</v>
      </c>
      <c r="L3280">
        <v>160.68</v>
      </c>
    </row>
    <row r="3281" spans="1:12" x14ac:dyDescent="0.25">
      <c r="A3281" t="str">
        <f t="shared" si="724"/>
        <v>89301000</v>
      </c>
      <c r="B3281" t="str">
        <f>"92002000"</f>
        <v>92002000</v>
      </c>
      <c r="C3281" t="str">
        <f>"92002175"</f>
        <v>92002175</v>
      </c>
      <c r="D3281" t="str">
        <f>"809"</f>
        <v>809</v>
      </c>
      <c r="E3281" t="str">
        <f>"89301212"</f>
        <v>89301212</v>
      </c>
      <c r="F3281" t="str">
        <f>"396206437"</f>
        <v>396206437</v>
      </c>
      <c r="G3281" s="1">
        <v>44624</v>
      </c>
      <c r="H3281" t="str">
        <f>"89180"</f>
        <v>89180</v>
      </c>
      <c r="I3281">
        <v>1</v>
      </c>
      <c r="J3281">
        <v>376</v>
      </c>
      <c r="K3281">
        <v>0</v>
      </c>
      <c r="L3281">
        <v>526.4</v>
      </c>
    </row>
    <row r="3282" spans="1:12" x14ac:dyDescent="0.25">
      <c r="A3282" t="str">
        <f t="shared" si="724"/>
        <v>89301000</v>
      </c>
      <c r="B3282" t="str">
        <f>"92002000"</f>
        <v>92002000</v>
      </c>
      <c r="C3282" t="str">
        <f>"92002175"</f>
        <v>92002175</v>
      </c>
      <c r="D3282" t="str">
        <f>"809"</f>
        <v>809</v>
      </c>
      <c r="E3282" t="str">
        <f>"89301212"</f>
        <v>89301212</v>
      </c>
      <c r="F3282" t="str">
        <f>"396206437"</f>
        <v>396206437</v>
      </c>
      <c r="G3282" s="1">
        <v>44624</v>
      </c>
      <c r="H3282" t="str">
        <f>"89512"</f>
        <v>89512</v>
      </c>
      <c r="I3282">
        <v>1</v>
      </c>
      <c r="J3282">
        <v>277</v>
      </c>
      <c r="K3282">
        <v>0</v>
      </c>
      <c r="L3282">
        <v>387.8</v>
      </c>
    </row>
    <row r="3283" spans="1:12" x14ac:dyDescent="0.25">
      <c r="A3283" t="str">
        <f t="shared" si="724"/>
        <v>89301000</v>
      </c>
      <c r="B3283" t="str">
        <f>"92002000"</f>
        <v>92002000</v>
      </c>
      <c r="C3283" t="str">
        <f>"92002175"</f>
        <v>92002175</v>
      </c>
      <c r="D3283" t="str">
        <f>"809"</f>
        <v>809</v>
      </c>
      <c r="E3283" t="str">
        <f>"89301212"</f>
        <v>89301212</v>
      </c>
      <c r="F3283" t="str">
        <f>"5656022119"</f>
        <v>5656022119</v>
      </c>
      <c r="G3283" s="1">
        <v>44637</v>
      </c>
      <c r="H3283" t="str">
        <f>"89180"</f>
        <v>89180</v>
      </c>
      <c r="I3283">
        <v>2</v>
      </c>
      <c r="J3283">
        <v>752</v>
      </c>
      <c r="K3283">
        <v>0</v>
      </c>
      <c r="L3283">
        <v>1052.8</v>
      </c>
    </row>
    <row r="3284" spans="1:12" x14ac:dyDescent="0.25">
      <c r="A3284" t="str">
        <f t="shared" si="724"/>
        <v>89301000</v>
      </c>
      <c r="B3284" t="str">
        <f t="shared" ref="B3284:B3289" si="725">"05002000"</f>
        <v>05002000</v>
      </c>
      <c r="C3284" t="str">
        <f t="shared" ref="C3284:C3289" si="726">"05002174"</f>
        <v>05002174</v>
      </c>
      <c r="D3284" t="str">
        <f t="shared" ref="D3284:D3290" si="727">"802"</f>
        <v>802</v>
      </c>
      <c r="E3284" t="str">
        <f t="shared" ref="E3284:E3289" si="728">"89301172"</f>
        <v>89301172</v>
      </c>
      <c r="F3284" t="str">
        <f>"7457165353"</f>
        <v>7457165353</v>
      </c>
      <c r="G3284" s="1">
        <v>44574</v>
      </c>
      <c r="H3284" t="str">
        <f t="shared" ref="H3284:H3289" si="729">"85115"</f>
        <v>85115</v>
      </c>
      <c r="I3284">
        <v>1</v>
      </c>
      <c r="J3284">
        <v>2423</v>
      </c>
      <c r="K3284">
        <v>0</v>
      </c>
      <c r="L3284">
        <v>2204.9299999999998</v>
      </c>
    </row>
    <row r="3285" spans="1:12" x14ac:dyDescent="0.25">
      <c r="A3285" t="str">
        <f t="shared" si="724"/>
        <v>89301000</v>
      </c>
      <c r="B3285" t="str">
        <f t="shared" si="725"/>
        <v>05002000</v>
      </c>
      <c r="C3285" t="str">
        <f t="shared" si="726"/>
        <v>05002174</v>
      </c>
      <c r="D3285" t="str">
        <f t="shared" si="727"/>
        <v>802</v>
      </c>
      <c r="E3285" t="str">
        <f t="shared" si="728"/>
        <v>89301172</v>
      </c>
      <c r="F3285" t="str">
        <f>"8159254488"</f>
        <v>8159254488</v>
      </c>
      <c r="G3285" s="1">
        <v>44585</v>
      </c>
      <c r="H3285" t="str">
        <f t="shared" si="729"/>
        <v>85115</v>
      </c>
      <c r="I3285">
        <v>1</v>
      </c>
      <c r="J3285">
        <v>2423</v>
      </c>
      <c r="K3285">
        <v>0</v>
      </c>
      <c r="L3285">
        <v>2204.9299999999998</v>
      </c>
    </row>
    <row r="3286" spans="1:12" x14ac:dyDescent="0.25">
      <c r="A3286" t="str">
        <f t="shared" si="724"/>
        <v>89301000</v>
      </c>
      <c r="B3286" t="str">
        <f t="shared" si="725"/>
        <v>05002000</v>
      </c>
      <c r="C3286" t="str">
        <f t="shared" si="726"/>
        <v>05002174</v>
      </c>
      <c r="D3286" t="str">
        <f t="shared" si="727"/>
        <v>802</v>
      </c>
      <c r="E3286" t="str">
        <f t="shared" si="728"/>
        <v>89301172</v>
      </c>
      <c r="F3286" t="str">
        <f>"8312055686"</f>
        <v>8312055686</v>
      </c>
      <c r="G3286" s="1">
        <v>44585</v>
      </c>
      <c r="H3286" t="str">
        <f t="shared" si="729"/>
        <v>85115</v>
      </c>
      <c r="I3286">
        <v>1</v>
      </c>
      <c r="J3286">
        <v>2423</v>
      </c>
      <c r="K3286">
        <v>0</v>
      </c>
      <c r="L3286">
        <v>2204.9299999999998</v>
      </c>
    </row>
    <row r="3287" spans="1:12" x14ac:dyDescent="0.25">
      <c r="A3287" t="str">
        <f t="shared" si="724"/>
        <v>89301000</v>
      </c>
      <c r="B3287" t="str">
        <f t="shared" si="725"/>
        <v>05002000</v>
      </c>
      <c r="C3287" t="str">
        <f t="shared" si="726"/>
        <v>05002174</v>
      </c>
      <c r="D3287" t="str">
        <f t="shared" si="727"/>
        <v>802</v>
      </c>
      <c r="E3287" t="str">
        <f t="shared" si="728"/>
        <v>89301172</v>
      </c>
      <c r="F3287" t="str">
        <f>"7056275754"</f>
        <v>7056275754</v>
      </c>
      <c r="G3287" s="1">
        <v>44613</v>
      </c>
      <c r="H3287" t="str">
        <f t="shared" si="729"/>
        <v>85115</v>
      </c>
      <c r="I3287">
        <v>1</v>
      </c>
      <c r="J3287">
        <v>2423</v>
      </c>
      <c r="K3287">
        <v>0</v>
      </c>
      <c r="L3287">
        <v>2204.9299999999998</v>
      </c>
    </row>
    <row r="3288" spans="1:12" x14ac:dyDescent="0.25">
      <c r="A3288" t="str">
        <f t="shared" si="724"/>
        <v>89301000</v>
      </c>
      <c r="B3288" t="str">
        <f t="shared" si="725"/>
        <v>05002000</v>
      </c>
      <c r="C3288" t="str">
        <f t="shared" si="726"/>
        <v>05002174</v>
      </c>
      <c r="D3288" t="str">
        <f t="shared" si="727"/>
        <v>802</v>
      </c>
      <c r="E3288" t="str">
        <f t="shared" si="728"/>
        <v>89301172</v>
      </c>
      <c r="F3288" t="str">
        <f>"7703084488"</f>
        <v>7703084488</v>
      </c>
      <c r="G3288" s="1">
        <v>44613</v>
      </c>
      <c r="H3288" t="str">
        <f t="shared" si="729"/>
        <v>85115</v>
      </c>
      <c r="I3288">
        <v>1</v>
      </c>
      <c r="J3288">
        <v>2423</v>
      </c>
      <c r="K3288">
        <v>0</v>
      </c>
      <c r="L3288">
        <v>2204.9299999999998</v>
      </c>
    </row>
    <row r="3289" spans="1:12" x14ac:dyDescent="0.25">
      <c r="A3289" t="str">
        <f t="shared" si="724"/>
        <v>89301000</v>
      </c>
      <c r="B3289" t="str">
        <f t="shared" si="725"/>
        <v>05002000</v>
      </c>
      <c r="C3289" t="str">
        <f t="shared" si="726"/>
        <v>05002174</v>
      </c>
      <c r="D3289" t="str">
        <f t="shared" si="727"/>
        <v>802</v>
      </c>
      <c r="E3289" t="str">
        <f t="shared" si="728"/>
        <v>89301172</v>
      </c>
      <c r="F3289" t="str">
        <f>"9154176141"</f>
        <v>9154176141</v>
      </c>
      <c r="G3289" s="1">
        <v>44600</v>
      </c>
      <c r="H3289" t="str">
        <f t="shared" si="729"/>
        <v>85115</v>
      </c>
      <c r="I3289">
        <v>1</v>
      </c>
      <c r="J3289">
        <v>2423</v>
      </c>
      <c r="K3289">
        <v>0</v>
      </c>
      <c r="L3289">
        <v>2204.9299999999998</v>
      </c>
    </row>
    <row r="3290" spans="1:12" x14ac:dyDescent="0.25">
      <c r="A3290" t="str">
        <f t="shared" si="724"/>
        <v>89301000</v>
      </c>
      <c r="B3290" t="str">
        <f>"89670000"</f>
        <v>89670000</v>
      </c>
      <c r="C3290" t="str">
        <f>"89670200"</f>
        <v>89670200</v>
      </c>
      <c r="D3290" t="str">
        <f t="shared" si="727"/>
        <v>802</v>
      </c>
      <c r="E3290" t="str">
        <f>"89301082"</f>
        <v>89301082</v>
      </c>
      <c r="F3290" t="str">
        <f>"8854206229"</f>
        <v>8854206229</v>
      </c>
      <c r="G3290" s="1">
        <v>44634</v>
      </c>
      <c r="H3290" t="str">
        <f>"09119"</f>
        <v>09119</v>
      </c>
      <c r="I3290">
        <v>1</v>
      </c>
      <c r="J3290">
        <v>42</v>
      </c>
      <c r="K3290">
        <v>0</v>
      </c>
      <c r="L3290">
        <v>38.22</v>
      </c>
    </row>
    <row r="3291" spans="1:12" x14ac:dyDescent="0.25">
      <c r="A3291" t="str">
        <f t="shared" si="724"/>
        <v>89301000</v>
      </c>
      <c r="B3291" t="str">
        <f t="shared" ref="B3291:B3322" si="730">"89383000"</f>
        <v>89383000</v>
      </c>
      <c r="C3291" t="str">
        <f t="shared" ref="C3291:C3322" si="731">"89383002"</f>
        <v>89383002</v>
      </c>
      <c r="D3291" t="str">
        <f t="shared" ref="D3291:D3322" si="732">"809"</f>
        <v>809</v>
      </c>
      <c r="E3291" t="str">
        <f t="shared" ref="E3291:E3306" si="733">"89301212"</f>
        <v>89301212</v>
      </c>
      <c r="F3291" t="str">
        <f>"6055192099"</f>
        <v>6055192099</v>
      </c>
      <c r="G3291" s="1">
        <v>44600</v>
      </c>
      <c r="H3291" t="str">
        <f>"89180"</f>
        <v>89180</v>
      </c>
      <c r="I3291">
        <v>2</v>
      </c>
      <c r="J3291">
        <v>752</v>
      </c>
      <c r="K3291">
        <v>0</v>
      </c>
      <c r="L3291">
        <v>1052.8</v>
      </c>
    </row>
    <row r="3292" spans="1:12" x14ac:dyDescent="0.25">
      <c r="A3292" t="str">
        <f t="shared" si="724"/>
        <v>89301000</v>
      </c>
      <c r="B3292" t="str">
        <f t="shared" si="730"/>
        <v>89383000</v>
      </c>
      <c r="C3292" t="str">
        <f t="shared" si="731"/>
        <v>89383002</v>
      </c>
      <c r="D3292" t="str">
        <f t="shared" si="732"/>
        <v>809</v>
      </c>
      <c r="E3292" t="str">
        <f t="shared" si="733"/>
        <v>89301212</v>
      </c>
      <c r="F3292" t="str">
        <f>"6055192099"</f>
        <v>6055192099</v>
      </c>
      <c r="G3292" s="1">
        <v>44600</v>
      </c>
      <c r="H3292" t="str">
        <f>"89512"</f>
        <v>89512</v>
      </c>
      <c r="I3292">
        <v>1</v>
      </c>
      <c r="J3292">
        <v>277</v>
      </c>
      <c r="K3292">
        <v>0</v>
      </c>
      <c r="L3292">
        <v>387.8</v>
      </c>
    </row>
    <row r="3293" spans="1:12" x14ac:dyDescent="0.25">
      <c r="A3293" t="str">
        <f t="shared" si="724"/>
        <v>89301000</v>
      </c>
      <c r="B3293" t="str">
        <f t="shared" si="730"/>
        <v>89383000</v>
      </c>
      <c r="C3293" t="str">
        <f t="shared" si="731"/>
        <v>89383002</v>
      </c>
      <c r="D3293" t="str">
        <f t="shared" si="732"/>
        <v>809</v>
      </c>
      <c r="E3293" t="str">
        <f t="shared" si="733"/>
        <v>89301212</v>
      </c>
      <c r="F3293" t="str">
        <f>"6055192099"</f>
        <v>6055192099</v>
      </c>
      <c r="G3293" s="1">
        <v>44600</v>
      </c>
      <c r="H3293" t="str">
        <f>"89513"</f>
        <v>89513</v>
      </c>
      <c r="I3293">
        <v>1</v>
      </c>
      <c r="J3293">
        <v>371</v>
      </c>
      <c r="K3293">
        <v>0</v>
      </c>
      <c r="L3293">
        <v>519.4</v>
      </c>
    </row>
    <row r="3294" spans="1:12" x14ac:dyDescent="0.25">
      <c r="A3294" t="str">
        <f t="shared" si="724"/>
        <v>89301000</v>
      </c>
      <c r="B3294" t="str">
        <f t="shared" si="730"/>
        <v>89383000</v>
      </c>
      <c r="C3294" t="str">
        <f t="shared" si="731"/>
        <v>89383002</v>
      </c>
      <c r="D3294" t="str">
        <f t="shared" si="732"/>
        <v>809</v>
      </c>
      <c r="E3294" t="str">
        <f t="shared" si="733"/>
        <v>89301212</v>
      </c>
      <c r="F3294" t="str">
        <f>"6055192099"</f>
        <v>6055192099</v>
      </c>
      <c r="G3294" s="1">
        <v>44600</v>
      </c>
      <c r="H3294" t="str">
        <f>"89514"</f>
        <v>89514</v>
      </c>
      <c r="I3294">
        <v>1</v>
      </c>
      <c r="J3294">
        <v>371</v>
      </c>
      <c r="K3294">
        <v>0</v>
      </c>
      <c r="L3294">
        <v>519.4</v>
      </c>
    </row>
    <row r="3295" spans="1:12" x14ac:dyDescent="0.25">
      <c r="A3295" t="str">
        <f t="shared" si="724"/>
        <v>89301000</v>
      </c>
      <c r="B3295" t="str">
        <f t="shared" si="730"/>
        <v>89383000</v>
      </c>
      <c r="C3295" t="str">
        <f t="shared" si="731"/>
        <v>89383002</v>
      </c>
      <c r="D3295" t="str">
        <f t="shared" si="732"/>
        <v>809</v>
      </c>
      <c r="E3295" t="str">
        <f t="shared" si="733"/>
        <v>89301212</v>
      </c>
      <c r="F3295" t="str">
        <f>"8153115399"</f>
        <v>8153115399</v>
      </c>
      <c r="G3295" s="1">
        <v>44634</v>
      </c>
      <c r="H3295" t="str">
        <f>"89512"</f>
        <v>89512</v>
      </c>
      <c r="I3295">
        <v>1</v>
      </c>
      <c r="J3295">
        <v>277</v>
      </c>
      <c r="K3295">
        <v>0</v>
      </c>
      <c r="L3295">
        <v>387.8</v>
      </c>
    </row>
    <row r="3296" spans="1:12" x14ac:dyDescent="0.25">
      <c r="A3296" t="str">
        <f t="shared" si="724"/>
        <v>89301000</v>
      </c>
      <c r="B3296" t="str">
        <f t="shared" si="730"/>
        <v>89383000</v>
      </c>
      <c r="C3296" t="str">
        <f t="shared" si="731"/>
        <v>89383002</v>
      </c>
      <c r="D3296" t="str">
        <f t="shared" si="732"/>
        <v>809</v>
      </c>
      <c r="E3296" t="str">
        <f t="shared" si="733"/>
        <v>89301212</v>
      </c>
      <c r="F3296" t="str">
        <f>"8153115399"</f>
        <v>8153115399</v>
      </c>
      <c r="G3296" s="1">
        <v>44634</v>
      </c>
      <c r="H3296" t="str">
        <f>"89513"</f>
        <v>89513</v>
      </c>
      <c r="I3296">
        <v>1</v>
      </c>
      <c r="J3296">
        <v>371</v>
      </c>
      <c r="K3296">
        <v>0</v>
      </c>
      <c r="L3296">
        <v>519.4</v>
      </c>
    </row>
    <row r="3297" spans="1:12" x14ac:dyDescent="0.25">
      <c r="A3297" t="str">
        <f t="shared" si="724"/>
        <v>89301000</v>
      </c>
      <c r="B3297" t="str">
        <f t="shared" si="730"/>
        <v>89383000</v>
      </c>
      <c r="C3297" t="str">
        <f t="shared" si="731"/>
        <v>89383002</v>
      </c>
      <c r="D3297" t="str">
        <f t="shared" si="732"/>
        <v>809</v>
      </c>
      <c r="E3297" t="str">
        <f t="shared" si="733"/>
        <v>89301212</v>
      </c>
      <c r="F3297" t="str">
        <f>"8153115399"</f>
        <v>8153115399</v>
      </c>
      <c r="G3297" s="1">
        <v>44634</v>
      </c>
      <c r="H3297" t="str">
        <f>"89514"</f>
        <v>89514</v>
      </c>
      <c r="I3297">
        <v>1</v>
      </c>
      <c r="J3297">
        <v>371</v>
      </c>
      <c r="K3297">
        <v>0</v>
      </c>
      <c r="L3297">
        <v>519.4</v>
      </c>
    </row>
    <row r="3298" spans="1:12" x14ac:dyDescent="0.25">
      <c r="A3298" t="str">
        <f t="shared" si="724"/>
        <v>89301000</v>
      </c>
      <c r="B3298" t="str">
        <f t="shared" si="730"/>
        <v>89383000</v>
      </c>
      <c r="C3298" t="str">
        <f t="shared" si="731"/>
        <v>89383002</v>
      </c>
      <c r="D3298" t="str">
        <f t="shared" si="732"/>
        <v>809</v>
      </c>
      <c r="E3298" t="str">
        <f t="shared" si="733"/>
        <v>89301212</v>
      </c>
      <c r="F3298" t="str">
        <f>"6957195311"</f>
        <v>6957195311</v>
      </c>
      <c r="G3298" s="1">
        <v>44635</v>
      </c>
      <c r="H3298" t="str">
        <f>"89513"</f>
        <v>89513</v>
      </c>
      <c r="I3298">
        <v>1</v>
      </c>
      <c r="J3298">
        <v>371</v>
      </c>
      <c r="K3298">
        <v>0</v>
      </c>
      <c r="L3298">
        <v>519.4</v>
      </c>
    </row>
    <row r="3299" spans="1:12" x14ac:dyDescent="0.25">
      <c r="A3299" t="str">
        <f t="shared" si="724"/>
        <v>89301000</v>
      </c>
      <c r="B3299" t="str">
        <f t="shared" si="730"/>
        <v>89383000</v>
      </c>
      <c r="C3299" t="str">
        <f t="shared" si="731"/>
        <v>89383002</v>
      </c>
      <c r="D3299" t="str">
        <f t="shared" si="732"/>
        <v>809</v>
      </c>
      <c r="E3299" t="str">
        <f t="shared" si="733"/>
        <v>89301212</v>
      </c>
      <c r="F3299" t="str">
        <f>"6957195311"</f>
        <v>6957195311</v>
      </c>
      <c r="G3299" s="1">
        <v>44635</v>
      </c>
      <c r="H3299" t="str">
        <f>"89514"</f>
        <v>89514</v>
      </c>
      <c r="I3299">
        <v>1</v>
      </c>
      <c r="J3299">
        <v>371</v>
      </c>
      <c r="K3299">
        <v>0</v>
      </c>
      <c r="L3299">
        <v>519.4</v>
      </c>
    </row>
    <row r="3300" spans="1:12" x14ac:dyDescent="0.25">
      <c r="A3300" t="str">
        <f t="shared" si="724"/>
        <v>89301000</v>
      </c>
      <c r="B3300" t="str">
        <f t="shared" si="730"/>
        <v>89383000</v>
      </c>
      <c r="C3300" t="str">
        <f t="shared" si="731"/>
        <v>89383002</v>
      </c>
      <c r="D3300" t="str">
        <f t="shared" si="732"/>
        <v>809</v>
      </c>
      <c r="E3300" t="str">
        <f t="shared" si="733"/>
        <v>89301212</v>
      </c>
      <c r="F3300" t="str">
        <f>"7356115371"</f>
        <v>7356115371</v>
      </c>
      <c r="G3300" s="1">
        <v>44635</v>
      </c>
      <c r="H3300" t="str">
        <f>"89180"</f>
        <v>89180</v>
      </c>
      <c r="I3300">
        <v>2</v>
      </c>
      <c r="J3300">
        <v>752</v>
      </c>
      <c r="K3300">
        <v>0</v>
      </c>
      <c r="L3300">
        <v>1052.8</v>
      </c>
    </row>
    <row r="3301" spans="1:12" x14ac:dyDescent="0.25">
      <c r="A3301" t="str">
        <f t="shared" si="724"/>
        <v>89301000</v>
      </c>
      <c r="B3301" t="str">
        <f t="shared" si="730"/>
        <v>89383000</v>
      </c>
      <c r="C3301" t="str">
        <f t="shared" si="731"/>
        <v>89383002</v>
      </c>
      <c r="D3301" t="str">
        <f t="shared" si="732"/>
        <v>809</v>
      </c>
      <c r="E3301" t="str">
        <f t="shared" si="733"/>
        <v>89301212</v>
      </c>
      <c r="F3301" t="str">
        <f>"7356115371"</f>
        <v>7356115371</v>
      </c>
      <c r="G3301" s="1">
        <v>44635</v>
      </c>
      <c r="H3301" t="str">
        <f>"89512"</f>
        <v>89512</v>
      </c>
      <c r="I3301">
        <v>1</v>
      </c>
      <c r="J3301">
        <v>277</v>
      </c>
      <c r="K3301">
        <v>0</v>
      </c>
      <c r="L3301">
        <v>387.8</v>
      </c>
    </row>
    <row r="3302" spans="1:12" x14ac:dyDescent="0.25">
      <c r="A3302" t="str">
        <f t="shared" si="724"/>
        <v>89301000</v>
      </c>
      <c r="B3302" t="str">
        <f t="shared" si="730"/>
        <v>89383000</v>
      </c>
      <c r="C3302" t="str">
        <f t="shared" si="731"/>
        <v>89383002</v>
      </c>
      <c r="D3302" t="str">
        <f t="shared" si="732"/>
        <v>809</v>
      </c>
      <c r="E3302" t="str">
        <f t="shared" si="733"/>
        <v>89301212</v>
      </c>
      <c r="F3302" t="str">
        <f>"6958085332"</f>
        <v>6958085332</v>
      </c>
      <c r="G3302" s="1">
        <v>44635</v>
      </c>
      <c r="H3302" t="str">
        <f>"89512"</f>
        <v>89512</v>
      </c>
      <c r="I3302">
        <v>1</v>
      </c>
      <c r="J3302">
        <v>277</v>
      </c>
      <c r="K3302">
        <v>0</v>
      </c>
      <c r="L3302">
        <v>387.8</v>
      </c>
    </row>
    <row r="3303" spans="1:12" x14ac:dyDescent="0.25">
      <c r="A3303" t="str">
        <f t="shared" si="724"/>
        <v>89301000</v>
      </c>
      <c r="B3303" t="str">
        <f t="shared" si="730"/>
        <v>89383000</v>
      </c>
      <c r="C3303" t="str">
        <f t="shared" si="731"/>
        <v>89383002</v>
      </c>
      <c r="D3303" t="str">
        <f t="shared" si="732"/>
        <v>809</v>
      </c>
      <c r="E3303" t="str">
        <f t="shared" si="733"/>
        <v>89301212</v>
      </c>
      <c r="F3303" t="str">
        <f>"8751085783"</f>
        <v>8751085783</v>
      </c>
      <c r="G3303" s="1">
        <v>44636</v>
      </c>
      <c r="H3303" t="str">
        <f>"89512"</f>
        <v>89512</v>
      </c>
      <c r="I3303">
        <v>1</v>
      </c>
      <c r="J3303">
        <v>277</v>
      </c>
      <c r="K3303">
        <v>0</v>
      </c>
      <c r="L3303">
        <v>387.8</v>
      </c>
    </row>
    <row r="3304" spans="1:12" x14ac:dyDescent="0.25">
      <c r="A3304" t="str">
        <f t="shared" si="724"/>
        <v>89301000</v>
      </c>
      <c r="B3304" t="str">
        <f t="shared" si="730"/>
        <v>89383000</v>
      </c>
      <c r="C3304" t="str">
        <f t="shared" si="731"/>
        <v>89383002</v>
      </c>
      <c r="D3304" t="str">
        <f t="shared" si="732"/>
        <v>809</v>
      </c>
      <c r="E3304" t="str">
        <f t="shared" si="733"/>
        <v>89301212</v>
      </c>
      <c r="F3304" t="str">
        <f>"495701147"</f>
        <v>495701147</v>
      </c>
      <c r="G3304" s="1">
        <v>44637</v>
      </c>
      <c r="H3304" t="str">
        <f>"89180"</f>
        <v>89180</v>
      </c>
      <c r="I3304">
        <v>2</v>
      </c>
      <c r="J3304">
        <v>752</v>
      </c>
      <c r="K3304">
        <v>0</v>
      </c>
      <c r="L3304">
        <v>1052.8</v>
      </c>
    </row>
    <row r="3305" spans="1:12" x14ac:dyDescent="0.25">
      <c r="A3305" t="str">
        <f t="shared" si="724"/>
        <v>89301000</v>
      </c>
      <c r="B3305" t="str">
        <f t="shared" si="730"/>
        <v>89383000</v>
      </c>
      <c r="C3305" t="str">
        <f t="shared" si="731"/>
        <v>89383002</v>
      </c>
      <c r="D3305" t="str">
        <f t="shared" si="732"/>
        <v>809</v>
      </c>
      <c r="E3305" t="str">
        <f t="shared" si="733"/>
        <v>89301212</v>
      </c>
      <c r="F3305" t="str">
        <f>"375703412"</f>
        <v>375703412</v>
      </c>
      <c r="G3305" s="1">
        <v>44637</v>
      </c>
      <c r="H3305" t="str">
        <f>"89180"</f>
        <v>89180</v>
      </c>
      <c r="I3305">
        <v>2</v>
      </c>
      <c r="J3305">
        <v>752</v>
      </c>
      <c r="K3305">
        <v>0</v>
      </c>
      <c r="L3305">
        <v>1052.8</v>
      </c>
    </row>
    <row r="3306" spans="1:12" x14ac:dyDescent="0.25">
      <c r="A3306" t="str">
        <f t="shared" si="724"/>
        <v>89301000</v>
      </c>
      <c r="B3306" t="str">
        <f t="shared" si="730"/>
        <v>89383000</v>
      </c>
      <c r="C3306" t="str">
        <f t="shared" si="731"/>
        <v>89383002</v>
      </c>
      <c r="D3306" t="str">
        <f t="shared" si="732"/>
        <v>809</v>
      </c>
      <c r="E3306" t="str">
        <f t="shared" si="733"/>
        <v>89301212</v>
      </c>
      <c r="F3306" t="str">
        <f>"375703412"</f>
        <v>375703412</v>
      </c>
      <c r="G3306" s="1">
        <v>44637</v>
      </c>
      <c r="H3306" t="str">
        <f>"89512"</f>
        <v>89512</v>
      </c>
      <c r="I3306">
        <v>1</v>
      </c>
      <c r="J3306">
        <v>277</v>
      </c>
      <c r="K3306">
        <v>0</v>
      </c>
      <c r="L3306">
        <v>387.8</v>
      </c>
    </row>
    <row r="3307" spans="1:12" x14ac:dyDescent="0.25">
      <c r="A3307" t="str">
        <f t="shared" si="724"/>
        <v>89301000</v>
      </c>
      <c r="B3307" t="str">
        <f t="shared" si="730"/>
        <v>89383000</v>
      </c>
      <c r="C3307" t="str">
        <f t="shared" si="731"/>
        <v>89383002</v>
      </c>
      <c r="D3307" t="str">
        <f t="shared" si="732"/>
        <v>809</v>
      </c>
      <c r="E3307" t="str">
        <f>"89301042"</f>
        <v>89301042</v>
      </c>
      <c r="F3307" t="str">
        <f>"7852105679"</f>
        <v>7852105679</v>
      </c>
      <c r="G3307" s="1">
        <v>44637</v>
      </c>
      <c r="H3307" t="str">
        <f>"89180"</f>
        <v>89180</v>
      </c>
      <c r="I3307">
        <v>1</v>
      </c>
      <c r="J3307">
        <v>376</v>
      </c>
      <c r="K3307">
        <v>0</v>
      </c>
      <c r="L3307">
        <v>526.4</v>
      </c>
    </row>
    <row r="3308" spans="1:12" x14ac:dyDescent="0.25">
      <c r="A3308" t="str">
        <f t="shared" si="724"/>
        <v>89301000</v>
      </c>
      <c r="B3308" t="str">
        <f t="shared" si="730"/>
        <v>89383000</v>
      </c>
      <c r="C3308" t="str">
        <f t="shared" si="731"/>
        <v>89383002</v>
      </c>
      <c r="D3308" t="str">
        <f t="shared" si="732"/>
        <v>809</v>
      </c>
      <c r="E3308" t="str">
        <f>"89301042"</f>
        <v>89301042</v>
      </c>
      <c r="F3308" t="str">
        <f>"7852105679"</f>
        <v>7852105679</v>
      </c>
      <c r="G3308" s="1">
        <v>44637</v>
      </c>
      <c r="H3308" t="str">
        <f>"89512"</f>
        <v>89512</v>
      </c>
      <c r="I3308">
        <v>1</v>
      </c>
      <c r="J3308">
        <v>277</v>
      </c>
      <c r="K3308">
        <v>0</v>
      </c>
      <c r="L3308">
        <v>387.8</v>
      </c>
    </row>
    <row r="3309" spans="1:12" x14ac:dyDescent="0.25">
      <c r="A3309" t="str">
        <f t="shared" si="724"/>
        <v>89301000</v>
      </c>
      <c r="B3309" t="str">
        <f t="shared" si="730"/>
        <v>89383000</v>
      </c>
      <c r="C3309" t="str">
        <f t="shared" si="731"/>
        <v>89383002</v>
      </c>
      <c r="D3309" t="str">
        <f t="shared" si="732"/>
        <v>809</v>
      </c>
      <c r="E3309" t="str">
        <f t="shared" ref="E3309:E3325" si="734">"89301212"</f>
        <v>89301212</v>
      </c>
      <c r="F3309" t="str">
        <f>"6754050072"</f>
        <v>6754050072</v>
      </c>
      <c r="G3309" s="1">
        <v>44637</v>
      </c>
      <c r="H3309" t="str">
        <f>"89513"</f>
        <v>89513</v>
      </c>
      <c r="I3309">
        <v>1</v>
      </c>
      <c r="J3309">
        <v>371</v>
      </c>
      <c r="K3309">
        <v>0</v>
      </c>
      <c r="L3309">
        <v>519.4</v>
      </c>
    </row>
    <row r="3310" spans="1:12" x14ac:dyDescent="0.25">
      <c r="A3310" t="str">
        <f t="shared" si="724"/>
        <v>89301000</v>
      </c>
      <c r="B3310" t="str">
        <f t="shared" si="730"/>
        <v>89383000</v>
      </c>
      <c r="C3310" t="str">
        <f t="shared" si="731"/>
        <v>89383002</v>
      </c>
      <c r="D3310" t="str">
        <f t="shared" si="732"/>
        <v>809</v>
      </c>
      <c r="E3310" t="str">
        <f t="shared" si="734"/>
        <v>89301212</v>
      </c>
      <c r="F3310" t="str">
        <f>"6754050072"</f>
        <v>6754050072</v>
      </c>
      <c r="G3310" s="1">
        <v>44637</v>
      </c>
      <c r="H3310" t="str">
        <f>"89514"</f>
        <v>89514</v>
      </c>
      <c r="I3310">
        <v>1</v>
      </c>
      <c r="J3310">
        <v>371</v>
      </c>
      <c r="K3310">
        <v>0</v>
      </c>
      <c r="L3310">
        <v>519.4</v>
      </c>
    </row>
    <row r="3311" spans="1:12" x14ac:dyDescent="0.25">
      <c r="A3311" t="str">
        <f t="shared" si="724"/>
        <v>89301000</v>
      </c>
      <c r="B3311" t="str">
        <f t="shared" si="730"/>
        <v>89383000</v>
      </c>
      <c r="C3311" t="str">
        <f t="shared" si="731"/>
        <v>89383002</v>
      </c>
      <c r="D3311" t="str">
        <f t="shared" si="732"/>
        <v>809</v>
      </c>
      <c r="E3311" t="str">
        <f t="shared" si="734"/>
        <v>89301212</v>
      </c>
      <c r="F3311" t="str">
        <f>"6754050072"</f>
        <v>6754050072</v>
      </c>
      <c r="G3311" s="1">
        <v>44637</v>
      </c>
      <c r="H3311" t="str">
        <f>"89180"</f>
        <v>89180</v>
      </c>
      <c r="I3311">
        <v>1</v>
      </c>
      <c r="J3311">
        <v>376</v>
      </c>
      <c r="K3311">
        <v>0</v>
      </c>
      <c r="L3311">
        <v>526.4</v>
      </c>
    </row>
    <row r="3312" spans="1:12" x14ac:dyDescent="0.25">
      <c r="A3312" t="str">
        <f t="shared" si="724"/>
        <v>89301000</v>
      </c>
      <c r="B3312" t="str">
        <f t="shared" si="730"/>
        <v>89383000</v>
      </c>
      <c r="C3312" t="str">
        <f t="shared" si="731"/>
        <v>89383002</v>
      </c>
      <c r="D3312" t="str">
        <f t="shared" si="732"/>
        <v>809</v>
      </c>
      <c r="E3312" t="str">
        <f t="shared" si="734"/>
        <v>89301212</v>
      </c>
      <c r="F3312" t="str">
        <f>"7151195315"</f>
        <v>7151195315</v>
      </c>
      <c r="G3312" s="1">
        <v>44638</v>
      </c>
      <c r="H3312" t="str">
        <f>"89512"</f>
        <v>89512</v>
      </c>
      <c r="I3312">
        <v>1</v>
      </c>
      <c r="J3312">
        <v>277</v>
      </c>
      <c r="K3312">
        <v>0</v>
      </c>
      <c r="L3312">
        <v>387.8</v>
      </c>
    </row>
    <row r="3313" spans="1:12" x14ac:dyDescent="0.25">
      <c r="A3313" t="str">
        <f t="shared" si="724"/>
        <v>89301000</v>
      </c>
      <c r="B3313" t="str">
        <f t="shared" si="730"/>
        <v>89383000</v>
      </c>
      <c r="C3313" t="str">
        <f t="shared" si="731"/>
        <v>89383002</v>
      </c>
      <c r="D3313" t="str">
        <f t="shared" si="732"/>
        <v>809</v>
      </c>
      <c r="E3313" t="str">
        <f t="shared" si="734"/>
        <v>89301212</v>
      </c>
      <c r="F3313" t="str">
        <f t="shared" ref="F3313:F3320" si="735">"5553281987"</f>
        <v>5553281987</v>
      </c>
      <c r="G3313" s="1">
        <v>44636</v>
      </c>
      <c r="H3313" t="str">
        <f>"89313"</f>
        <v>89313</v>
      </c>
      <c r="I3313">
        <v>1</v>
      </c>
      <c r="J3313">
        <v>406</v>
      </c>
      <c r="K3313">
        <v>0</v>
      </c>
      <c r="L3313">
        <v>568.4</v>
      </c>
    </row>
    <row r="3314" spans="1:12" x14ac:dyDescent="0.25">
      <c r="A3314" t="str">
        <f t="shared" si="724"/>
        <v>89301000</v>
      </c>
      <c r="B3314" t="str">
        <f t="shared" si="730"/>
        <v>89383000</v>
      </c>
      <c r="C3314" t="str">
        <f t="shared" si="731"/>
        <v>89383002</v>
      </c>
      <c r="D3314" t="str">
        <f t="shared" si="732"/>
        <v>809</v>
      </c>
      <c r="E3314" t="str">
        <f t="shared" si="734"/>
        <v>89301212</v>
      </c>
      <c r="F3314" t="str">
        <f t="shared" si="735"/>
        <v>5553281987</v>
      </c>
      <c r="G3314" s="1">
        <v>44636</v>
      </c>
      <c r="H3314" t="str">
        <f>"09233"</f>
        <v>09233</v>
      </c>
      <c r="I3314">
        <v>1</v>
      </c>
      <c r="J3314">
        <v>99</v>
      </c>
      <c r="K3314">
        <v>0</v>
      </c>
      <c r="L3314">
        <v>138.6</v>
      </c>
    </row>
    <row r="3315" spans="1:12" x14ac:dyDescent="0.25">
      <c r="A3315" t="str">
        <f t="shared" si="724"/>
        <v>89301000</v>
      </c>
      <c r="B3315" t="str">
        <f t="shared" si="730"/>
        <v>89383000</v>
      </c>
      <c r="C3315" t="str">
        <f t="shared" si="731"/>
        <v>89383002</v>
      </c>
      <c r="D3315" t="str">
        <f t="shared" si="732"/>
        <v>809</v>
      </c>
      <c r="E3315" t="str">
        <f t="shared" si="734"/>
        <v>89301212</v>
      </c>
      <c r="F3315" t="str">
        <f t="shared" si="735"/>
        <v>5553281987</v>
      </c>
      <c r="G3315" s="1">
        <v>44636</v>
      </c>
      <c r="H3315" t="str">
        <f>"89515"</f>
        <v>89515</v>
      </c>
      <c r="I3315">
        <v>1</v>
      </c>
      <c r="J3315">
        <v>339</v>
      </c>
      <c r="K3315">
        <v>0</v>
      </c>
      <c r="L3315">
        <v>474.6</v>
      </c>
    </row>
    <row r="3316" spans="1:12" x14ac:dyDescent="0.25">
      <c r="A3316" t="str">
        <f t="shared" si="724"/>
        <v>89301000</v>
      </c>
      <c r="B3316" t="str">
        <f t="shared" si="730"/>
        <v>89383000</v>
      </c>
      <c r="C3316" t="str">
        <f t="shared" si="731"/>
        <v>89383002</v>
      </c>
      <c r="D3316" t="str">
        <f t="shared" si="732"/>
        <v>809</v>
      </c>
      <c r="E3316" t="str">
        <f t="shared" si="734"/>
        <v>89301212</v>
      </c>
      <c r="F3316" t="str">
        <f t="shared" si="735"/>
        <v>5553281987</v>
      </c>
      <c r="G3316" s="1">
        <v>44636</v>
      </c>
      <c r="H3316" t="str">
        <f>"89512"</f>
        <v>89512</v>
      </c>
      <c r="I3316">
        <v>1</v>
      </c>
      <c r="J3316">
        <v>277</v>
      </c>
      <c r="K3316">
        <v>0</v>
      </c>
      <c r="L3316">
        <v>387.8</v>
      </c>
    </row>
    <row r="3317" spans="1:12" x14ac:dyDescent="0.25">
      <c r="A3317" t="str">
        <f t="shared" si="724"/>
        <v>89301000</v>
      </c>
      <c r="B3317" t="str">
        <f t="shared" si="730"/>
        <v>89383000</v>
      </c>
      <c r="C3317" t="str">
        <f t="shared" si="731"/>
        <v>89383002</v>
      </c>
      <c r="D3317" t="str">
        <f t="shared" si="732"/>
        <v>809</v>
      </c>
      <c r="E3317" t="str">
        <f t="shared" si="734"/>
        <v>89301212</v>
      </c>
      <c r="F3317" t="str">
        <f t="shared" si="735"/>
        <v>5553281987</v>
      </c>
      <c r="G3317" s="1">
        <v>44636</v>
      </c>
      <c r="H3317" t="str">
        <f>"0225891"</f>
        <v>0225891</v>
      </c>
      <c r="I3317">
        <v>0.05</v>
      </c>
      <c r="K3317">
        <v>18.39</v>
      </c>
      <c r="L3317">
        <v>18.39</v>
      </c>
    </row>
    <row r="3318" spans="1:12" x14ac:dyDescent="0.25">
      <c r="A3318" t="str">
        <f t="shared" si="724"/>
        <v>89301000</v>
      </c>
      <c r="B3318" t="str">
        <f t="shared" si="730"/>
        <v>89383000</v>
      </c>
      <c r="C3318" t="str">
        <f t="shared" si="731"/>
        <v>89383002</v>
      </c>
      <c r="D3318" t="str">
        <f t="shared" si="732"/>
        <v>809</v>
      </c>
      <c r="E3318" t="str">
        <f t="shared" si="734"/>
        <v>89301212</v>
      </c>
      <c r="F3318" t="str">
        <f t="shared" si="735"/>
        <v>5553281987</v>
      </c>
      <c r="G3318" s="1">
        <v>44636</v>
      </c>
      <c r="H3318" t="str">
        <f>"0142908"</f>
        <v>0142908</v>
      </c>
      <c r="I3318">
        <v>1</v>
      </c>
      <c r="K3318">
        <v>910</v>
      </c>
      <c r="L3318">
        <v>910</v>
      </c>
    </row>
    <row r="3319" spans="1:12" x14ac:dyDescent="0.25">
      <c r="A3319" t="str">
        <f t="shared" si="724"/>
        <v>89301000</v>
      </c>
      <c r="B3319" t="str">
        <f t="shared" si="730"/>
        <v>89383000</v>
      </c>
      <c r="C3319" t="str">
        <f t="shared" si="731"/>
        <v>89383002</v>
      </c>
      <c r="D3319" t="str">
        <f t="shared" si="732"/>
        <v>809</v>
      </c>
      <c r="E3319" t="str">
        <f t="shared" si="734"/>
        <v>89301212</v>
      </c>
      <c r="F3319" t="str">
        <f t="shared" si="735"/>
        <v>5553281987</v>
      </c>
      <c r="G3319" s="1">
        <v>44636</v>
      </c>
      <c r="H3319" t="str">
        <f>"89513"</f>
        <v>89513</v>
      </c>
      <c r="I3319">
        <v>1</v>
      </c>
      <c r="J3319">
        <v>371</v>
      </c>
      <c r="K3319">
        <v>0</v>
      </c>
      <c r="L3319">
        <v>519.4</v>
      </c>
    </row>
    <row r="3320" spans="1:12" x14ac:dyDescent="0.25">
      <c r="A3320" t="str">
        <f t="shared" si="724"/>
        <v>89301000</v>
      </c>
      <c r="B3320" t="str">
        <f t="shared" si="730"/>
        <v>89383000</v>
      </c>
      <c r="C3320" t="str">
        <f t="shared" si="731"/>
        <v>89383002</v>
      </c>
      <c r="D3320" t="str">
        <f t="shared" si="732"/>
        <v>809</v>
      </c>
      <c r="E3320" t="str">
        <f t="shared" si="734"/>
        <v>89301212</v>
      </c>
      <c r="F3320" t="str">
        <f t="shared" si="735"/>
        <v>5553281987</v>
      </c>
      <c r="G3320" s="1">
        <v>44636</v>
      </c>
      <c r="H3320" t="str">
        <f>"89514"</f>
        <v>89514</v>
      </c>
      <c r="I3320">
        <v>1</v>
      </c>
      <c r="J3320">
        <v>371</v>
      </c>
      <c r="K3320">
        <v>0</v>
      </c>
      <c r="L3320">
        <v>519.4</v>
      </c>
    </row>
    <row r="3321" spans="1:12" x14ac:dyDescent="0.25">
      <c r="A3321" t="str">
        <f t="shared" si="724"/>
        <v>89301000</v>
      </c>
      <c r="B3321" t="str">
        <f t="shared" si="730"/>
        <v>89383000</v>
      </c>
      <c r="C3321" t="str">
        <f t="shared" si="731"/>
        <v>89383002</v>
      </c>
      <c r="D3321" t="str">
        <f t="shared" si="732"/>
        <v>809</v>
      </c>
      <c r="E3321" t="str">
        <f t="shared" si="734"/>
        <v>89301212</v>
      </c>
      <c r="F3321" t="str">
        <f>"5753100045"</f>
        <v>5753100045</v>
      </c>
      <c r="G3321" s="1">
        <v>44641</v>
      </c>
      <c r="H3321" t="str">
        <f>"89180"</f>
        <v>89180</v>
      </c>
      <c r="I3321">
        <v>2</v>
      </c>
      <c r="J3321">
        <v>752</v>
      </c>
      <c r="K3321">
        <v>0</v>
      </c>
      <c r="L3321">
        <v>1052.8</v>
      </c>
    </row>
    <row r="3322" spans="1:12" x14ac:dyDescent="0.25">
      <c r="A3322" t="str">
        <f t="shared" si="724"/>
        <v>89301000</v>
      </c>
      <c r="B3322" t="str">
        <f t="shared" si="730"/>
        <v>89383000</v>
      </c>
      <c r="C3322" t="str">
        <f t="shared" si="731"/>
        <v>89383002</v>
      </c>
      <c r="D3322" t="str">
        <f t="shared" si="732"/>
        <v>809</v>
      </c>
      <c r="E3322" t="str">
        <f t="shared" si="734"/>
        <v>89301212</v>
      </c>
      <c r="F3322" t="str">
        <f>"5753100045"</f>
        <v>5753100045</v>
      </c>
      <c r="G3322" s="1">
        <v>44641</v>
      </c>
      <c r="H3322" t="str">
        <f>"89512"</f>
        <v>89512</v>
      </c>
      <c r="I3322">
        <v>1</v>
      </c>
      <c r="J3322">
        <v>277</v>
      </c>
      <c r="K3322">
        <v>0</v>
      </c>
      <c r="L3322">
        <v>387.8</v>
      </c>
    </row>
    <row r="3323" spans="1:12" x14ac:dyDescent="0.25">
      <c r="A3323" t="str">
        <f t="shared" si="724"/>
        <v>89301000</v>
      </c>
      <c r="B3323" t="str">
        <f t="shared" ref="B3323:B3350" si="736">"89383000"</f>
        <v>89383000</v>
      </c>
      <c r="C3323" t="str">
        <f t="shared" ref="C3323:C3350" si="737">"89383002"</f>
        <v>89383002</v>
      </c>
      <c r="D3323" t="str">
        <f t="shared" ref="D3323:D3354" si="738">"809"</f>
        <v>809</v>
      </c>
      <c r="E3323" t="str">
        <f t="shared" si="734"/>
        <v>89301212</v>
      </c>
      <c r="F3323" t="str">
        <f>"5753100045"</f>
        <v>5753100045</v>
      </c>
      <c r="G3323" s="1">
        <v>44641</v>
      </c>
      <c r="H3323" t="str">
        <f>"89513"</f>
        <v>89513</v>
      </c>
      <c r="I3323">
        <v>1</v>
      </c>
      <c r="J3323">
        <v>371</v>
      </c>
      <c r="K3323">
        <v>0</v>
      </c>
      <c r="L3323">
        <v>519.4</v>
      </c>
    </row>
    <row r="3324" spans="1:12" x14ac:dyDescent="0.25">
      <c r="A3324" t="str">
        <f t="shared" si="724"/>
        <v>89301000</v>
      </c>
      <c r="B3324" t="str">
        <f t="shared" si="736"/>
        <v>89383000</v>
      </c>
      <c r="C3324" t="str">
        <f t="shared" si="737"/>
        <v>89383002</v>
      </c>
      <c r="D3324" t="str">
        <f t="shared" si="738"/>
        <v>809</v>
      </c>
      <c r="E3324" t="str">
        <f t="shared" si="734"/>
        <v>89301212</v>
      </c>
      <c r="F3324" t="str">
        <f>"5753100045"</f>
        <v>5753100045</v>
      </c>
      <c r="G3324" s="1">
        <v>44641</v>
      </c>
      <c r="H3324" t="str">
        <f>"89514"</f>
        <v>89514</v>
      </c>
      <c r="I3324">
        <v>1</v>
      </c>
      <c r="J3324">
        <v>371</v>
      </c>
      <c r="K3324">
        <v>0</v>
      </c>
      <c r="L3324">
        <v>519.4</v>
      </c>
    </row>
    <row r="3325" spans="1:12" x14ac:dyDescent="0.25">
      <c r="A3325" t="str">
        <f t="shared" si="724"/>
        <v>89301000</v>
      </c>
      <c r="B3325" t="str">
        <f t="shared" si="736"/>
        <v>89383000</v>
      </c>
      <c r="C3325" t="str">
        <f t="shared" si="737"/>
        <v>89383002</v>
      </c>
      <c r="D3325" t="str">
        <f t="shared" si="738"/>
        <v>809</v>
      </c>
      <c r="E3325" t="str">
        <f t="shared" si="734"/>
        <v>89301212</v>
      </c>
      <c r="F3325" t="str">
        <f>"7752055729"</f>
        <v>7752055729</v>
      </c>
      <c r="G3325" s="1">
        <v>44641</v>
      </c>
      <c r="H3325" t="str">
        <f>"89512"</f>
        <v>89512</v>
      </c>
      <c r="I3325">
        <v>1</v>
      </c>
      <c r="J3325">
        <v>277</v>
      </c>
      <c r="K3325">
        <v>0</v>
      </c>
      <c r="L3325">
        <v>387.8</v>
      </c>
    </row>
    <row r="3326" spans="1:12" x14ac:dyDescent="0.25">
      <c r="A3326" t="str">
        <f t="shared" si="724"/>
        <v>89301000</v>
      </c>
      <c r="B3326" t="str">
        <f t="shared" si="736"/>
        <v>89383000</v>
      </c>
      <c r="C3326" t="str">
        <f t="shared" si="737"/>
        <v>89383002</v>
      </c>
      <c r="D3326" t="str">
        <f t="shared" si="738"/>
        <v>809</v>
      </c>
      <c r="E3326" t="str">
        <f>"89301215"</f>
        <v>89301215</v>
      </c>
      <c r="F3326" t="str">
        <f>"9454206179"</f>
        <v>9454206179</v>
      </c>
      <c r="G3326" s="1">
        <v>44642</v>
      </c>
      <c r="H3326" t="str">
        <f>"89512"</f>
        <v>89512</v>
      </c>
      <c r="I3326">
        <v>1</v>
      </c>
      <c r="J3326">
        <v>277</v>
      </c>
      <c r="K3326">
        <v>0</v>
      </c>
      <c r="L3326">
        <v>387.8</v>
      </c>
    </row>
    <row r="3327" spans="1:12" x14ac:dyDescent="0.25">
      <c r="A3327" t="str">
        <f t="shared" si="724"/>
        <v>89301000</v>
      </c>
      <c r="B3327" t="str">
        <f t="shared" si="736"/>
        <v>89383000</v>
      </c>
      <c r="C3327" t="str">
        <f t="shared" si="737"/>
        <v>89383002</v>
      </c>
      <c r="D3327" t="str">
        <f t="shared" si="738"/>
        <v>809</v>
      </c>
      <c r="E3327" t="str">
        <f t="shared" ref="E3327:E3341" si="739">"89301212"</f>
        <v>89301212</v>
      </c>
      <c r="F3327" t="str">
        <f>"6252280067"</f>
        <v>6252280067</v>
      </c>
      <c r="G3327" s="1">
        <v>44643</v>
      </c>
      <c r="H3327" t="str">
        <f>"89513"</f>
        <v>89513</v>
      </c>
      <c r="I3327">
        <v>1</v>
      </c>
      <c r="J3327">
        <v>371</v>
      </c>
      <c r="K3327">
        <v>0</v>
      </c>
      <c r="L3327">
        <v>519.4</v>
      </c>
    </row>
    <row r="3328" spans="1:12" x14ac:dyDescent="0.25">
      <c r="A3328" t="str">
        <f t="shared" si="724"/>
        <v>89301000</v>
      </c>
      <c r="B3328" t="str">
        <f t="shared" si="736"/>
        <v>89383000</v>
      </c>
      <c r="C3328" t="str">
        <f t="shared" si="737"/>
        <v>89383002</v>
      </c>
      <c r="D3328" t="str">
        <f t="shared" si="738"/>
        <v>809</v>
      </c>
      <c r="E3328" t="str">
        <f t="shared" si="739"/>
        <v>89301212</v>
      </c>
      <c r="F3328" t="str">
        <f>"6252280067"</f>
        <v>6252280067</v>
      </c>
      <c r="G3328" s="1">
        <v>44643</v>
      </c>
      <c r="H3328" t="str">
        <f>"89514"</f>
        <v>89514</v>
      </c>
      <c r="I3328">
        <v>1</v>
      </c>
      <c r="J3328">
        <v>371</v>
      </c>
      <c r="K3328">
        <v>0</v>
      </c>
      <c r="L3328">
        <v>519.4</v>
      </c>
    </row>
    <row r="3329" spans="1:12" x14ac:dyDescent="0.25">
      <c r="A3329" t="str">
        <f t="shared" si="724"/>
        <v>89301000</v>
      </c>
      <c r="B3329" t="str">
        <f t="shared" si="736"/>
        <v>89383000</v>
      </c>
      <c r="C3329" t="str">
        <f t="shared" si="737"/>
        <v>89383002</v>
      </c>
      <c r="D3329" t="str">
        <f t="shared" si="738"/>
        <v>809</v>
      </c>
      <c r="E3329" t="str">
        <f t="shared" si="739"/>
        <v>89301212</v>
      </c>
      <c r="F3329" t="str">
        <f>"8059114415"</f>
        <v>8059114415</v>
      </c>
      <c r="G3329" s="1">
        <v>44643</v>
      </c>
      <c r="H3329" t="str">
        <f>"89180"</f>
        <v>89180</v>
      </c>
      <c r="I3329">
        <v>1</v>
      </c>
      <c r="J3329">
        <v>376</v>
      </c>
      <c r="K3329">
        <v>0</v>
      </c>
      <c r="L3329">
        <v>526.4</v>
      </c>
    </row>
    <row r="3330" spans="1:12" x14ac:dyDescent="0.25">
      <c r="A3330" t="str">
        <f t="shared" ref="A3330:A3393" si="740">"89301000"</f>
        <v>89301000</v>
      </c>
      <c r="B3330" t="str">
        <f t="shared" si="736"/>
        <v>89383000</v>
      </c>
      <c r="C3330" t="str">
        <f t="shared" si="737"/>
        <v>89383002</v>
      </c>
      <c r="D3330" t="str">
        <f t="shared" si="738"/>
        <v>809</v>
      </c>
      <c r="E3330" t="str">
        <f t="shared" si="739"/>
        <v>89301212</v>
      </c>
      <c r="F3330" t="str">
        <f>"8059114415"</f>
        <v>8059114415</v>
      </c>
      <c r="G3330" s="1">
        <v>44643</v>
      </c>
      <c r="H3330" t="str">
        <f>"89512"</f>
        <v>89512</v>
      </c>
      <c r="I3330">
        <v>1</v>
      </c>
      <c r="J3330">
        <v>277</v>
      </c>
      <c r="K3330">
        <v>0</v>
      </c>
      <c r="L3330">
        <v>387.8</v>
      </c>
    </row>
    <row r="3331" spans="1:12" x14ac:dyDescent="0.25">
      <c r="A3331" t="str">
        <f t="shared" si="740"/>
        <v>89301000</v>
      </c>
      <c r="B3331" t="str">
        <f t="shared" si="736"/>
        <v>89383000</v>
      </c>
      <c r="C3331" t="str">
        <f t="shared" si="737"/>
        <v>89383002</v>
      </c>
      <c r="D3331" t="str">
        <f t="shared" si="738"/>
        <v>809</v>
      </c>
      <c r="E3331" t="str">
        <f t="shared" si="739"/>
        <v>89301212</v>
      </c>
      <c r="F3331" t="str">
        <f>"8161201675"</f>
        <v>8161201675</v>
      </c>
      <c r="G3331" s="1">
        <v>44643</v>
      </c>
      <c r="H3331" t="str">
        <f>"89512"</f>
        <v>89512</v>
      </c>
      <c r="I3331">
        <v>1</v>
      </c>
      <c r="J3331">
        <v>277</v>
      </c>
      <c r="K3331">
        <v>0</v>
      </c>
      <c r="L3331">
        <v>387.8</v>
      </c>
    </row>
    <row r="3332" spans="1:12" x14ac:dyDescent="0.25">
      <c r="A3332" t="str">
        <f t="shared" si="740"/>
        <v>89301000</v>
      </c>
      <c r="B3332" t="str">
        <f t="shared" si="736"/>
        <v>89383000</v>
      </c>
      <c r="C3332" t="str">
        <f t="shared" si="737"/>
        <v>89383002</v>
      </c>
      <c r="D3332" t="str">
        <f t="shared" si="738"/>
        <v>809</v>
      </c>
      <c r="E3332" t="str">
        <f t="shared" si="739"/>
        <v>89301212</v>
      </c>
      <c r="F3332" t="str">
        <f>"5751260295"</f>
        <v>5751260295</v>
      </c>
      <c r="G3332" s="1">
        <v>44645</v>
      </c>
      <c r="H3332" t="str">
        <f>"89513"</f>
        <v>89513</v>
      </c>
      <c r="I3332">
        <v>1</v>
      </c>
      <c r="J3332">
        <v>371</v>
      </c>
      <c r="K3332">
        <v>0</v>
      </c>
      <c r="L3332">
        <v>519.4</v>
      </c>
    </row>
    <row r="3333" spans="1:12" x14ac:dyDescent="0.25">
      <c r="A3333" t="str">
        <f t="shared" si="740"/>
        <v>89301000</v>
      </c>
      <c r="B3333" t="str">
        <f t="shared" si="736"/>
        <v>89383000</v>
      </c>
      <c r="C3333" t="str">
        <f t="shared" si="737"/>
        <v>89383002</v>
      </c>
      <c r="D3333" t="str">
        <f t="shared" si="738"/>
        <v>809</v>
      </c>
      <c r="E3333" t="str">
        <f t="shared" si="739"/>
        <v>89301212</v>
      </c>
      <c r="F3333" t="str">
        <f>"5751260295"</f>
        <v>5751260295</v>
      </c>
      <c r="G3333" s="1">
        <v>44645</v>
      </c>
      <c r="H3333" t="str">
        <f>"89514"</f>
        <v>89514</v>
      </c>
      <c r="I3333">
        <v>1</v>
      </c>
      <c r="J3333">
        <v>371</v>
      </c>
      <c r="K3333">
        <v>0</v>
      </c>
      <c r="L3333">
        <v>519.4</v>
      </c>
    </row>
    <row r="3334" spans="1:12" x14ac:dyDescent="0.25">
      <c r="A3334" t="str">
        <f t="shared" si="740"/>
        <v>89301000</v>
      </c>
      <c r="B3334" t="str">
        <f t="shared" si="736"/>
        <v>89383000</v>
      </c>
      <c r="C3334" t="str">
        <f t="shared" si="737"/>
        <v>89383002</v>
      </c>
      <c r="D3334" t="str">
        <f t="shared" si="738"/>
        <v>809</v>
      </c>
      <c r="E3334" t="str">
        <f t="shared" si="739"/>
        <v>89301212</v>
      </c>
      <c r="F3334" t="str">
        <f t="shared" ref="F3334:F3339" si="741">"7752055729"</f>
        <v>7752055729</v>
      </c>
      <c r="G3334" s="1">
        <v>44643</v>
      </c>
      <c r="H3334" t="str">
        <f>"89313"</f>
        <v>89313</v>
      </c>
      <c r="I3334">
        <v>1</v>
      </c>
      <c r="J3334">
        <v>406</v>
      </c>
      <c r="K3334">
        <v>0</v>
      </c>
      <c r="L3334">
        <v>568.4</v>
      </c>
    </row>
    <row r="3335" spans="1:12" x14ac:dyDescent="0.25">
      <c r="A3335" t="str">
        <f t="shared" si="740"/>
        <v>89301000</v>
      </c>
      <c r="B3335" t="str">
        <f t="shared" si="736"/>
        <v>89383000</v>
      </c>
      <c r="C3335" t="str">
        <f t="shared" si="737"/>
        <v>89383002</v>
      </c>
      <c r="D3335" t="str">
        <f t="shared" si="738"/>
        <v>809</v>
      </c>
      <c r="E3335" t="str">
        <f t="shared" si="739"/>
        <v>89301212</v>
      </c>
      <c r="F3335" t="str">
        <f t="shared" si="741"/>
        <v>7752055729</v>
      </c>
      <c r="G3335" s="1">
        <v>44643</v>
      </c>
      <c r="H3335" t="str">
        <f>"09233"</f>
        <v>09233</v>
      </c>
      <c r="I3335">
        <v>1</v>
      </c>
      <c r="J3335">
        <v>99</v>
      </c>
      <c r="K3335">
        <v>0</v>
      </c>
      <c r="L3335">
        <v>138.6</v>
      </c>
    </row>
    <row r="3336" spans="1:12" x14ac:dyDescent="0.25">
      <c r="A3336" t="str">
        <f t="shared" si="740"/>
        <v>89301000</v>
      </c>
      <c r="B3336" t="str">
        <f t="shared" si="736"/>
        <v>89383000</v>
      </c>
      <c r="C3336" t="str">
        <f t="shared" si="737"/>
        <v>89383002</v>
      </c>
      <c r="D3336" t="str">
        <f t="shared" si="738"/>
        <v>809</v>
      </c>
      <c r="E3336" t="str">
        <f t="shared" si="739"/>
        <v>89301212</v>
      </c>
      <c r="F3336" t="str">
        <f t="shared" si="741"/>
        <v>7752055729</v>
      </c>
      <c r="G3336" s="1">
        <v>44643</v>
      </c>
      <c r="H3336" t="str">
        <f>"89515"</f>
        <v>89515</v>
      </c>
      <c r="I3336">
        <v>1</v>
      </c>
      <c r="J3336">
        <v>339</v>
      </c>
      <c r="K3336">
        <v>0</v>
      </c>
      <c r="L3336">
        <v>474.6</v>
      </c>
    </row>
    <row r="3337" spans="1:12" x14ac:dyDescent="0.25">
      <c r="A3337" t="str">
        <f t="shared" si="740"/>
        <v>89301000</v>
      </c>
      <c r="B3337" t="str">
        <f t="shared" si="736"/>
        <v>89383000</v>
      </c>
      <c r="C3337" t="str">
        <f t="shared" si="737"/>
        <v>89383002</v>
      </c>
      <c r="D3337" t="str">
        <f t="shared" si="738"/>
        <v>809</v>
      </c>
      <c r="E3337" t="str">
        <f t="shared" si="739"/>
        <v>89301212</v>
      </c>
      <c r="F3337" t="str">
        <f t="shared" si="741"/>
        <v>7752055729</v>
      </c>
      <c r="G3337" s="1">
        <v>44643</v>
      </c>
      <c r="H3337" t="str">
        <f>"89512"</f>
        <v>89512</v>
      </c>
      <c r="I3337">
        <v>1</v>
      </c>
      <c r="J3337">
        <v>277</v>
      </c>
      <c r="K3337">
        <v>0</v>
      </c>
      <c r="L3337">
        <v>387.8</v>
      </c>
    </row>
    <row r="3338" spans="1:12" x14ac:dyDescent="0.25">
      <c r="A3338" t="str">
        <f t="shared" si="740"/>
        <v>89301000</v>
      </c>
      <c r="B3338" t="str">
        <f t="shared" si="736"/>
        <v>89383000</v>
      </c>
      <c r="C3338" t="str">
        <f t="shared" si="737"/>
        <v>89383002</v>
      </c>
      <c r="D3338" t="str">
        <f t="shared" si="738"/>
        <v>809</v>
      </c>
      <c r="E3338" t="str">
        <f t="shared" si="739"/>
        <v>89301212</v>
      </c>
      <c r="F3338" t="str">
        <f t="shared" si="741"/>
        <v>7752055729</v>
      </c>
      <c r="G3338" s="1">
        <v>44643</v>
      </c>
      <c r="H3338" t="str">
        <f>"0225891"</f>
        <v>0225891</v>
      </c>
      <c r="I3338">
        <v>0.05</v>
      </c>
      <c r="K3338">
        <v>18.39</v>
      </c>
      <c r="L3338">
        <v>18.39</v>
      </c>
    </row>
    <row r="3339" spans="1:12" x14ac:dyDescent="0.25">
      <c r="A3339" t="str">
        <f t="shared" si="740"/>
        <v>89301000</v>
      </c>
      <c r="B3339" t="str">
        <f t="shared" si="736"/>
        <v>89383000</v>
      </c>
      <c r="C3339" t="str">
        <f t="shared" si="737"/>
        <v>89383002</v>
      </c>
      <c r="D3339" t="str">
        <f t="shared" si="738"/>
        <v>809</v>
      </c>
      <c r="E3339" t="str">
        <f t="shared" si="739"/>
        <v>89301212</v>
      </c>
      <c r="F3339" t="str">
        <f t="shared" si="741"/>
        <v>7752055729</v>
      </c>
      <c r="G3339" s="1">
        <v>44643</v>
      </c>
      <c r="H3339" t="str">
        <f>"0142908"</f>
        <v>0142908</v>
      </c>
      <c r="I3339">
        <v>1</v>
      </c>
      <c r="K3339">
        <v>910</v>
      </c>
      <c r="L3339">
        <v>910</v>
      </c>
    </row>
    <row r="3340" spans="1:12" x14ac:dyDescent="0.25">
      <c r="A3340" t="str">
        <f t="shared" si="740"/>
        <v>89301000</v>
      </c>
      <c r="B3340" t="str">
        <f t="shared" si="736"/>
        <v>89383000</v>
      </c>
      <c r="C3340" t="str">
        <f t="shared" si="737"/>
        <v>89383002</v>
      </c>
      <c r="D3340" t="str">
        <f t="shared" si="738"/>
        <v>809</v>
      </c>
      <c r="E3340" t="str">
        <f t="shared" si="739"/>
        <v>89301212</v>
      </c>
      <c r="F3340" t="str">
        <f>"535303056"</f>
        <v>535303056</v>
      </c>
      <c r="G3340" s="1">
        <v>44648</v>
      </c>
      <c r="H3340" t="str">
        <f>"89180"</f>
        <v>89180</v>
      </c>
      <c r="I3340">
        <v>2</v>
      </c>
      <c r="J3340">
        <v>752</v>
      </c>
      <c r="K3340">
        <v>0</v>
      </c>
      <c r="L3340">
        <v>1052.8</v>
      </c>
    </row>
    <row r="3341" spans="1:12" x14ac:dyDescent="0.25">
      <c r="A3341" t="str">
        <f t="shared" si="740"/>
        <v>89301000</v>
      </c>
      <c r="B3341" t="str">
        <f t="shared" si="736"/>
        <v>89383000</v>
      </c>
      <c r="C3341" t="str">
        <f t="shared" si="737"/>
        <v>89383002</v>
      </c>
      <c r="D3341" t="str">
        <f t="shared" si="738"/>
        <v>809</v>
      </c>
      <c r="E3341" t="str">
        <f t="shared" si="739"/>
        <v>89301212</v>
      </c>
      <c r="F3341" t="str">
        <f>"535303056"</f>
        <v>535303056</v>
      </c>
      <c r="G3341" s="1">
        <v>44648</v>
      </c>
      <c r="H3341" t="str">
        <f>"89512"</f>
        <v>89512</v>
      </c>
      <c r="I3341">
        <v>1</v>
      </c>
      <c r="J3341">
        <v>277</v>
      </c>
      <c r="K3341">
        <v>0</v>
      </c>
      <c r="L3341">
        <v>387.8</v>
      </c>
    </row>
    <row r="3342" spans="1:12" x14ac:dyDescent="0.25">
      <c r="A3342" t="str">
        <f t="shared" si="740"/>
        <v>89301000</v>
      </c>
      <c r="B3342" t="str">
        <f t="shared" si="736"/>
        <v>89383000</v>
      </c>
      <c r="C3342" t="str">
        <f t="shared" si="737"/>
        <v>89383002</v>
      </c>
      <c r="D3342" t="str">
        <f t="shared" si="738"/>
        <v>809</v>
      </c>
      <c r="E3342" t="str">
        <f>"89301292"</f>
        <v>89301292</v>
      </c>
      <c r="F3342" t="str">
        <f>"9502225733"</f>
        <v>9502225733</v>
      </c>
      <c r="G3342" s="1">
        <v>44648</v>
      </c>
      <c r="H3342" t="str">
        <f>"89512"</f>
        <v>89512</v>
      </c>
      <c r="I3342">
        <v>1</v>
      </c>
      <c r="J3342">
        <v>277</v>
      </c>
      <c r="K3342">
        <v>0</v>
      </c>
      <c r="L3342">
        <v>387.8</v>
      </c>
    </row>
    <row r="3343" spans="1:12" x14ac:dyDescent="0.25">
      <c r="A3343" t="str">
        <f t="shared" si="740"/>
        <v>89301000</v>
      </c>
      <c r="B3343" t="str">
        <f t="shared" si="736"/>
        <v>89383000</v>
      </c>
      <c r="C3343" t="str">
        <f t="shared" si="737"/>
        <v>89383002</v>
      </c>
      <c r="D3343" t="str">
        <f t="shared" si="738"/>
        <v>809</v>
      </c>
      <c r="E3343" t="str">
        <f>"89301042"</f>
        <v>89301042</v>
      </c>
      <c r="F3343" t="str">
        <f>"406127437"</f>
        <v>406127437</v>
      </c>
      <c r="G3343" s="1">
        <v>44651</v>
      </c>
      <c r="H3343" t="str">
        <f>"89513"</f>
        <v>89513</v>
      </c>
      <c r="I3343">
        <v>1</v>
      </c>
      <c r="J3343">
        <v>371</v>
      </c>
      <c r="K3343">
        <v>0</v>
      </c>
      <c r="L3343">
        <v>519.4</v>
      </c>
    </row>
    <row r="3344" spans="1:12" x14ac:dyDescent="0.25">
      <c r="A3344" t="str">
        <f t="shared" si="740"/>
        <v>89301000</v>
      </c>
      <c r="B3344" t="str">
        <f t="shared" si="736"/>
        <v>89383000</v>
      </c>
      <c r="C3344" t="str">
        <f t="shared" si="737"/>
        <v>89383002</v>
      </c>
      <c r="D3344" t="str">
        <f t="shared" si="738"/>
        <v>809</v>
      </c>
      <c r="E3344" t="str">
        <f>"89301042"</f>
        <v>89301042</v>
      </c>
      <c r="F3344" t="str">
        <f>"406127437"</f>
        <v>406127437</v>
      </c>
      <c r="G3344" s="1">
        <v>44651</v>
      </c>
      <c r="H3344" t="str">
        <f>"89514"</f>
        <v>89514</v>
      </c>
      <c r="I3344">
        <v>1</v>
      </c>
      <c r="J3344">
        <v>371</v>
      </c>
      <c r="K3344">
        <v>0</v>
      </c>
      <c r="L3344">
        <v>519.4</v>
      </c>
    </row>
    <row r="3345" spans="1:12" x14ac:dyDescent="0.25">
      <c r="A3345" t="str">
        <f t="shared" si="740"/>
        <v>89301000</v>
      </c>
      <c r="B3345" t="str">
        <f t="shared" si="736"/>
        <v>89383000</v>
      </c>
      <c r="C3345" t="str">
        <f t="shared" si="737"/>
        <v>89383002</v>
      </c>
      <c r="D3345" t="str">
        <f t="shared" si="738"/>
        <v>809</v>
      </c>
      <c r="E3345" t="str">
        <f t="shared" ref="E3345:E3350" si="742">"89301212"</f>
        <v>89301212</v>
      </c>
      <c r="F3345" t="str">
        <f t="shared" ref="F3345:F3350" si="743">"7456205339"</f>
        <v>7456205339</v>
      </c>
      <c r="G3345" s="1">
        <v>44650</v>
      </c>
      <c r="H3345" t="str">
        <f>"89313"</f>
        <v>89313</v>
      </c>
      <c r="I3345">
        <v>1</v>
      </c>
      <c r="J3345">
        <v>406</v>
      </c>
      <c r="K3345">
        <v>0</v>
      </c>
      <c r="L3345">
        <v>568.4</v>
      </c>
    </row>
    <row r="3346" spans="1:12" x14ac:dyDescent="0.25">
      <c r="A3346" t="str">
        <f t="shared" si="740"/>
        <v>89301000</v>
      </c>
      <c r="B3346" t="str">
        <f t="shared" si="736"/>
        <v>89383000</v>
      </c>
      <c r="C3346" t="str">
        <f t="shared" si="737"/>
        <v>89383002</v>
      </c>
      <c r="D3346" t="str">
        <f t="shared" si="738"/>
        <v>809</v>
      </c>
      <c r="E3346" t="str">
        <f t="shared" si="742"/>
        <v>89301212</v>
      </c>
      <c r="F3346" t="str">
        <f t="shared" si="743"/>
        <v>7456205339</v>
      </c>
      <c r="G3346" s="1">
        <v>44650</v>
      </c>
      <c r="H3346" t="str">
        <f>"09233"</f>
        <v>09233</v>
      </c>
      <c r="I3346">
        <v>1</v>
      </c>
      <c r="J3346">
        <v>99</v>
      </c>
      <c r="K3346">
        <v>0</v>
      </c>
      <c r="L3346">
        <v>138.6</v>
      </c>
    </row>
    <row r="3347" spans="1:12" x14ac:dyDescent="0.25">
      <c r="A3347" t="str">
        <f t="shared" si="740"/>
        <v>89301000</v>
      </c>
      <c r="B3347" t="str">
        <f t="shared" si="736"/>
        <v>89383000</v>
      </c>
      <c r="C3347" t="str">
        <f t="shared" si="737"/>
        <v>89383002</v>
      </c>
      <c r="D3347" t="str">
        <f t="shared" si="738"/>
        <v>809</v>
      </c>
      <c r="E3347" t="str">
        <f t="shared" si="742"/>
        <v>89301212</v>
      </c>
      <c r="F3347" t="str">
        <f t="shared" si="743"/>
        <v>7456205339</v>
      </c>
      <c r="G3347" s="1">
        <v>44650</v>
      </c>
      <c r="H3347" t="str">
        <f>"89512"</f>
        <v>89512</v>
      </c>
      <c r="I3347">
        <v>1</v>
      </c>
      <c r="J3347">
        <v>277</v>
      </c>
      <c r="K3347">
        <v>0</v>
      </c>
      <c r="L3347">
        <v>387.8</v>
      </c>
    </row>
    <row r="3348" spans="1:12" x14ac:dyDescent="0.25">
      <c r="A3348" t="str">
        <f t="shared" si="740"/>
        <v>89301000</v>
      </c>
      <c r="B3348" t="str">
        <f t="shared" si="736"/>
        <v>89383000</v>
      </c>
      <c r="C3348" t="str">
        <f t="shared" si="737"/>
        <v>89383002</v>
      </c>
      <c r="D3348" t="str">
        <f t="shared" si="738"/>
        <v>809</v>
      </c>
      <c r="E3348" t="str">
        <f t="shared" si="742"/>
        <v>89301212</v>
      </c>
      <c r="F3348" t="str">
        <f t="shared" si="743"/>
        <v>7456205339</v>
      </c>
      <c r="G3348" s="1">
        <v>44650</v>
      </c>
      <c r="H3348" t="str">
        <f>"89180"</f>
        <v>89180</v>
      </c>
      <c r="I3348">
        <v>1</v>
      </c>
      <c r="J3348">
        <v>376</v>
      </c>
      <c r="K3348">
        <v>0</v>
      </c>
      <c r="L3348">
        <v>526.4</v>
      </c>
    </row>
    <row r="3349" spans="1:12" x14ac:dyDescent="0.25">
      <c r="A3349" t="str">
        <f t="shared" si="740"/>
        <v>89301000</v>
      </c>
      <c r="B3349" t="str">
        <f t="shared" si="736"/>
        <v>89383000</v>
      </c>
      <c r="C3349" t="str">
        <f t="shared" si="737"/>
        <v>89383002</v>
      </c>
      <c r="D3349" t="str">
        <f t="shared" si="738"/>
        <v>809</v>
      </c>
      <c r="E3349" t="str">
        <f t="shared" si="742"/>
        <v>89301212</v>
      </c>
      <c r="F3349" t="str">
        <f t="shared" si="743"/>
        <v>7456205339</v>
      </c>
      <c r="G3349" s="1">
        <v>44650</v>
      </c>
      <c r="H3349" t="str">
        <f>"0225891"</f>
        <v>0225891</v>
      </c>
      <c r="I3349">
        <v>0.05</v>
      </c>
      <c r="K3349">
        <v>18.39</v>
      </c>
      <c r="L3349">
        <v>18.39</v>
      </c>
    </row>
    <row r="3350" spans="1:12" x14ac:dyDescent="0.25">
      <c r="A3350" t="str">
        <f t="shared" si="740"/>
        <v>89301000</v>
      </c>
      <c r="B3350" t="str">
        <f t="shared" si="736"/>
        <v>89383000</v>
      </c>
      <c r="C3350" t="str">
        <f t="shared" si="737"/>
        <v>89383002</v>
      </c>
      <c r="D3350" t="str">
        <f t="shared" si="738"/>
        <v>809</v>
      </c>
      <c r="E3350" t="str">
        <f t="shared" si="742"/>
        <v>89301212</v>
      </c>
      <c r="F3350" t="str">
        <f t="shared" si="743"/>
        <v>7456205339</v>
      </c>
      <c r="G3350" s="1">
        <v>44650</v>
      </c>
      <c r="H3350" t="str">
        <f>"0082502"</f>
        <v>0082502</v>
      </c>
      <c r="I3350">
        <v>1</v>
      </c>
      <c r="K3350">
        <v>2093</v>
      </c>
      <c r="L3350">
        <v>2093</v>
      </c>
    </row>
    <row r="3351" spans="1:12" x14ac:dyDescent="0.25">
      <c r="A3351" t="str">
        <f t="shared" si="740"/>
        <v>89301000</v>
      </c>
      <c r="B3351" t="str">
        <f>"78915000"</f>
        <v>78915000</v>
      </c>
      <c r="C3351" t="str">
        <f>"78915001"</f>
        <v>78915001</v>
      </c>
      <c r="D3351" t="str">
        <f t="shared" si="738"/>
        <v>809</v>
      </c>
      <c r="E3351" t="str">
        <f>"89301112"</f>
        <v>89301112</v>
      </c>
      <c r="F3351" t="str">
        <f>"8212224471"</f>
        <v>8212224471</v>
      </c>
      <c r="G3351" s="1">
        <v>44568</v>
      </c>
      <c r="H3351" t="str">
        <f>"09569"</f>
        <v>09569</v>
      </c>
      <c r="I3351">
        <v>1</v>
      </c>
      <c r="J3351">
        <v>0</v>
      </c>
      <c r="K3351">
        <v>0</v>
      </c>
      <c r="L3351">
        <v>0</v>
      </c>
    </row>
    <row r="3352" spans="1:12" x14ac:dyDescent="0.25">
      <c r="A3352" t="str">
        <f t="shared" si="740"/>
        <v>89301000</v>
      </c>
      <c r="B3352" t="str">
        <f>"78915000"</f>
        <v>78915000</v>
      </c>
      <c r="C3352" t="str">
        <f>"78915001"</f>
        <v>78915001</v>
      </c>
      <c r="D3352" t="str">
        <f t="shared" si="738"/>
        <v>809</v>
      </c>
      <c r="E3352" t="str">
        <f>"89301112"</f>
        <v>89301112</v>
      </c>
      <c r="F3352" t="str">
        <f>"8212224471"</f>
        <v>8212224471</v>
      </c>
      <c r="G3352" s="1">
        <v>44568</v>
      </c>
      <c r="H3352" t="str">
        <f>"89713"</f>
        <v>89713</v>
      </c>
      <c r="I3352">
        <v>1</v>
      </c>
      <c r="J3352">
        <v>5362</v>
      </c>
      <c r="K3352">
        <v>0</v>
      </c>
      <c r="L3352">
        <v>3217.2</v>
      </c>
    </row>
    <row r="3353" spans="1:12" x14ac:dyDescent="0.25">
      <c r="A3353" t="str">
        <f t="shared" si="740"/>
        <v>89301000</v>
      </c>
      <c r="B3353" t="str">
        <f t="shared" ref="B3353:B3397" si="744">"89383000"</f>
        <v>89383000</v>
      </c>
      <c r="C3353" t="str">
        <f t="shared" ref="C3353:C3397" si="745">"89383002"</f>
        <v>89383002</v>
      </c>
      <c r="D3353" t="str">
        <f t="shared" si="738"/>
        <v>809</v>
      </c>
      <c r="E3353" t="str">
        <f>"89301212"</f>
        <v>89301212</v>
      </c>
      <c r="F3353" t="str">
        <f>"6859081218"</f>
        <v>6859081218</v>
      </c>
      <c r="G3353" s="1">
        <v>44652</v>
      </c>
      <c r="H3353" t="str">
        <f>"89513"</f>
        <v>89513</v>
      </c>
      <c r="I3353">
        <v>1</v>
      </c>
      <c r="J3353">
        <v>371</v>
      </c>
      <c r="K3353">
        <v>0</v>
      </c>
      <c r="L3353">
        <v>519.4</v>
      </c>
    </row>
    <row r="3354" spans="1:12" x14ac:dyDescent="0.25">
      <c r="A3354" t="str">
        <f t="shared" si="740"/>
        <v>89301000</v>
      </c>
      <c r="B3354" t="str">
        <f t="shared" si="744"/>
        <v>89383000</v>
      </c>
      <c r="C3354" t="str">
        <f t="shared" si="745"/>
        <v>89383002</v>
      </c>
      <c r="D3354" t="str">
        <f t="shared" si="738"/>
        <v>809</v>
      </c>
      <c r="E3354" t="str">
        <f>"89301212"</f>
        <v>89301212</v>
      </c>
      <c r="F3354" t="str">
        <f>"6859081218"</f>
        <v>6859081218</v>
      </c>
      <c r="G3354" s="1">
        <v>44652</v>
      </c>
      <c r="H3354" t="str">
        <f>"89514"</f>
        <v>89514</v>
      </c>
      <c r="I3354">
        <v>1</v>
      </c>
      <c r="J3354">
        <v>371</v>
      </c>
      <c r="K3354">
        <v>0</v>
      </c>
      <c r="L3354">
        <v>519.4</v>
      </c>
    </row>
    <row r="3355" spans="1:12" x14ac:dyDescent="0.25">
      <c r="A3355" t="str">
        <f t="shared" si="740"/>
        <v>89301000</v>
      </c>
      <c r="B3355" t="str">
        <f t="shared" si="744"/>
        <v>89383000</v>
      </c>
      <c r="C3355" t="str">
        <f t="shared" si="745"/>
        <v>89383002</v>
      </c>
      <c r="D3355" t="str">
        <f t="shared" ref="D3355:D3386" si="746">"809"</f>
        <v>809</v>
      </c>
      <c r="E3355" t="str">
        <f>"89301212"</f>
        <v>89301212</v>
      </c>
      <c r="F3355" t="str">
        <f>"455601460"</f>
        <v>455601460</v>
      </c>
      <c r="G3355" s="1">
        <v>44658</v>
      </c>
      <c r="H3355" t="str">
        <f>"89180"</f>
        <v>89180</v>
      </c>
      <c r="I3355">
        <v>2</v>
      </c>
      <c r="J3355">
        <v>752</v>
      </c>
      <c r="K3355">
        <v>0</v>
      </c>
      <c r="L3355">
        <v>1052.8</v>
      </c>
    </row>
    <row r="3356" spans="1:12" x14ac:dyDescent="0.25">
      <c r="A3356" t="str">
        <f t="shared" si="740"/>
        <v>89301000</v>
      </c>
      <c r="B3356" t="str">
        <f t="shared" si="744"/>
        <v>89383000</v>
      </c>
      <c r="C3356" t="str">
        <f t="shared" si="745"/>
        <v>89383002</v>
      </c>
      <c r="D3356" t="str">
        <f t="shared" si="746"/>
        <v>809</v>
      </c>
      <c r="E3356" t="str">
        <f>"89301212"</f>
        <v>89301212</v>
      </c>
      <c r="F3356" t="str">
        <f>"455601460"</f>
        <v>455601460</v>
      </c>
      <c r="G3356" s="1">
        <v>44658</v>
      </c>
      <c r="H3356" t="str">
        <f>"89512"</f>
        <v>89512</v>
      </c>
      <c r="I3356">
        <v>1</v>
      </c>
      <c r="J3356">
        <v>277</v>
      </c>
      <c r="K3356">
        <v>0</v>
      </c>
      <c r="L3356">
        <v>387.8</v>
      </c>
    </row>
    <row r="3357" spans="1:12" x14ac:dyDescent="0.25">
      <c r="A3357" t="str">
        <f t="shared" si="740"/>
        <v>89301000</v>
      </c>
      <c r="B3357" t="str">
        <f t="shared" si="744"/>
        <v>89383000</v>
      </c>
      <c r="C3357" t="str">
        <f t="shared" si="745"/>
        <v>89383002</v>
      </c>
      <c r="D3357" t="str">
        <f t="shared" si="746"/>
        <v>809</v>
      </c>
      <c r="E3357" t="str">
        <f>"89301045"</f>
        <v>89301045</v>
      </c>
      <c r="F3357" t="str">
        <f>"6960165762"</f>
        <v>6960165762</v>
      </c>
      <c r="G3357" s="1">
        <v>44665</v>
      </c>
      <c r="H3357" t="str">
        <f>"89513"</f>
        <v>89513</v>
      </c>
      <c r="I3357">
        <v>1</v>
      </c>
      <c r="J3357">
        <v>371</v>
      </c>
      <c r="K3357">
        <v>0</v>
      </c>
      <c r="L3357">
        <v>519.4</v>
      </c>
    </row>
    <row r="3358" spans="1:12" x14ac:dyDescent="0.25">
      <c r="A3358" t="str">
        <f t="shared" si="740"/>
        <v>89301000</v>
      </c>
      <c r="B3358" t="str">
        <f t="shared" si="744"/>
        <v>89383000</v>
      </c>
      <c r="C3358" t="str">
        <f t="shared" si="745"/>
        <v>89383002</v>
      </c>
      <c r="D3358" t="str">
        <f t="shared" si="746"/>
        <v>809</v>
      </c>
      <c r="E3358" t="str">
        <f>"89301045"</f>
        <v>89301045</v>
      </c>
      <c r="F3358" t="str">
        <f>"6960165762"</f>
        <v>6960165762</v>
      </c>
      <c r="G3358" s="1">
        <v>44665</v>
      </c>
      <c r="H3358" t="str">
        <f>"89514"</f>
        <v>89514</v>
      </c>
      <c r="I3358">
        <v>1</v>
      </c>
      <c r="J3358">
        <v>371</v>
      </c>
      <c r="K3358">
        <v>0</v>
      </c>
      <c r="L3358">
        <v>519.4</v>
      </c>
    </row>
    <row r="3359" spans="1:12" x14ac:dyDescent="0.25">
      <c r="A3359" t="str">
        <f t="shared" si="740"/>
        <v>89301000</v>
      </c>
      <c r="B3359" t="str">
        <f t="shared" si="744"/>
        <v>89383000</v>
      </c>
      <c r="C3359" t="str">
        <f t="shared" si="745"/>
        <v>89383002</v>
      </c>
      <c r="D3359" t="str">
        <f t="shared" si="746"/>
        <v>809</v>
      </c>
      <c r="E3359" t="str">
        <f t="shared" ref="E3359:E3379" si="747">"89301212"</f>
        <v>89301212</v>
      </c>
      <c r="F3359" t="str">
        <f>"6501090299"</f>
        <v>6501090299</v>
      </c>
      <c r="G3359" s="1">
        <v>44670</v>
      </c>
      <c r="H3359" t="str">
        <f>"89512"</f>
        <v>89512</v>
      </c>
      <c r="I3359">
        <v>1</v>
      </c>
      <c r="J3359">
        <v>277</v>
      </c>
      <c r="K3359">
        <v>0</v>
      </c>
      <c r="L3359">
        <v>387.8</v>
      </c>
    </row>
    <row r="3360" spans="1:12" x14ac:dyDescent="0.25">
      <c r="A3360" t="str">
        <f t="shared" si="740"/>
        <v>89301000</v>
      </c>
      <c r="B3360" t="str">
        <f t="shared" si="744"/>
        <v>89383000</v>
      </c>
      <c r="C3360" t="str">
        <f t="shared" si="745"/>
        <v>89383002</v>
      </c>
      <c r="D3360" t="str">
        <f t="shared" si="746"/>
        <v>809</v>
      </c>
      <c r="E3360" t="str">
        <f t="shared" si="747"/>
        <v>89301212</v>
      </c>
      <c r="F3360" t="str">
        <f>"6255100148"</f>
        <v>6255100148</v>
      </c>
      <c r="G3360" s="1">
        <v>44663</v>
      </c>
      <c r="H3360" t="str">
        <f>"89311"</f>
        <v>89311</v>
      </c>
      <c r="I3360">
        <v>1</v>
      </c>
      <c r="J3360">
        <v>936</v>
      </c>
      <c r="K3360">
        <v>0</v>
      </c>
      <c r="L3360">
        <v>1310.4000000000001</v>
      </c>
    </row>
    <row r="3361" spans="1:12" x14ac:dyDescent="0.25">
      <c r="A3361" t="str">
        <f t="shared" si="740"/>
        <v>89301000</v>
      </c>
      <c r="B3361" t="str">
        <f t="shared" si="744"/>
        <v>89383000</v>
      </c>
      <c r="C3361" t="str">
        <f t="shared" si="745"/>
        <v>89383002</v>
      </c>
      <c r="D3361" t="str">
        <f t="shared" si="746"/>
        <v>809</v>
      </c>
      <c r="E3361" t="str">
        <f t="shared" si="747"/>
        <v>89301212</v>
      </c>
      <c r="F3361" t="str">
        <f>"6255100148"</f>
        <v>6255100148</v>
      </c>
      <c r="G3361" s="1">
        <v>44663</v>
      </c>
      <c r="H3361" t="str">
        <f>"89512"</f>
        <v>89512</v>
      </c>
      <c r="I3361">
        <v>1</v>
      </c>
      <c r="J3361">
        <v>277</v>
      </c>
      <c r="K3361">
        <v>0</v>
      </c>
      <c r="L3361">
        <v>387.8</v>
      </c>
    </row>
    <row r="3362" spans="1:12" x14ac:dyDescent="0.25">
      <c r="A3362" t="str">
        <f t="shared" si="740"/>
        <v>89301000</v>
      </c>
      <c r="B3362" t="str">
        <f t="shared" si="744"/>
        <v>89383000</v>
      </c>
      <c r="C3362" t="str">
        <f t="shared" si="745"/>
        <v>89383002</v>
      </c>
      <c r="D3362" t="str">
        <f t="shared" si="746"/>
        <v>809</v>
      </c>
      <c r="E3362" t="str">
        <f t="shared" si="747"/>
        <v>89301212</v>
      </c>
      <c r="F3362" t="str">
        <f>"6854110274"</f>
        <v>6854110274</v>
      </c>
      <c r="G3362" s="1">
        <v>44671</v>
      </c>
      <c r="H3362" t="str">
        <f>"89512"</f>
        <v>89512</v>
      </c>
      <c r="I3362">
        <v>1</v>
      </c>
      <c r="J3362">
        <v>277</v>
      </c>
      <c r="K3362">
        <v>0</v>
      </c>
      <c r="L3362">
        <v>387.8</v>
      </c>
    </row>
    <row r="3363" spans="1:12" x14ac:dyDescent="0.25">
      <c r="A3363" t="str">
        <f t="shared" si="740"/>
        <v>89301000</v>
      </c>
      <c r="B3363" t="str">
        <f t="shared" si="744"/>
        <v>89383000</v>
      </c>
      <c r="C3363" t="str">
        <f t="shared" si="745"/>
        <v>89383002</v>
      </c>
      <c r="D3363" t="str">
        <f t="shared" si="746"/>
        <v>809</v>
      </c>
      <c r="E3363" t="str">
        <f t="shared" si="747"/>
        <v>89301212</v>
      </c>
      <c r="F3363" t="str">
        <f>"7758205334"</f>
        <v>7758205334</v>
      </c>
      <c r="G3363" s="1">
        <v>44671</v>
      </c>
      <c r="H3363" t="str">
        <f>"89180"</f>
        <v>89180</v>
      </c>
      <c r="I3363">
        <v>2</v>
      </c>
      <c r="J3363">
        <v>752</v>
      </c>
      <c r="K3363">
        <v>0</v>
      </c>
      <c r="L3363">
        <v>1052.8</v>
      </c>
    </row>
    <row r="3364" spans="1:12" x14ac:dyDescent="0.25">
      <c r="A3364" t="str">
        <f t="shared" si="740"/>
        <v>89301000</v>
      </c>
      <c r="B3364" t="str">
        <f t="shared" si="744"/>
        <v>89383000</v>
      </c>
      <c r="C3364" t="str">
        <f t="shared" si="745"/>
        <v>89383002</v>
      </c>
      <c r="D3364" t="str">
        <f t="shared" si="746"/>
        <v>809</v>
      </c>
      <c r="E3364" t="str">
        <f t="shared" si="747"/>
        <v>89301212</v>
      </c>
      <c r="F3364" t="str">
        <f>"7758205334"</f>
        <v>7758205334</v>
      </c>
      <c r="G3364" s="1">
        <v>44671</v>
      </c>
      <c r="H3364" t="str">
        <f>"89512"</f>
        <v>89512</v>
      </c>
      <c r="I3364">
        <v>1</v>
      </c>
      <c r="J3364">
        <v>277</v>
      </c>
      <c r="K3364">
        <v>0</v>
      </c>
      <c r="L3364">
        <v>387.8</v>
      </c>
    </row>
    <row r="3365" spans="1:12" x14ac:dyDescent="0.25">
      <c r="A3365" t="str">
        <f t="shared" si="740"/>
        <v>89301000</v>
      </c>
      <c r="B3365" t="str">
        <f t="shared" si="744"/>
        <v>89383000</v>
      </c>
      <c r="C3365" t="str">
        <f t="shared" si="745"/>
        <v>89383002</v>
      </c>
      <c r="D3365" t="str">
        <f t="shared" si="746"/>
        <v>809</v>
      </c>
      <c r="E3365" t="str">
        <f t="shared" si="747"/>
        <v>89301212</v>
      </c>
      <c r="F3365" t="str">
        <f>"5652041967"</f>
        <v>5652041967</v>
      </c>
      <c r="G3365" s="1">
        <v>44672</v>
      </c>
      <c r="H3365" t="str">
        <f>"89180"</f>
        <v>89180</v>
      </c>
      <c r="I3365">
        <v>2</v>
      </c>
      <c r="J3365">
        <v>752</v>
      </c>
      <c r="K3365">
        <v>0</v>
      </c>
      <c r="L3365">
        <v>1052.8</v>
      </c>
    </row>
    <row r="3366" spans="1:12" x14ac:dyDescent="0.25">
      <c r="A3366" t="str">
        <f t="shared" si="740"/>
        <v>89301000</v>
      </c>
      <c r="B3366" t="str">
        <f t="shared" si="744"/>
        <v>89383000</v>
      </c>
      <c r="C3366" t="str">
        <f t="shared" si="745"/>
        <v>89383002</v>
      </c>
      <c r="D3366" t="str">
        <f t="shared" si="746"/>
        <v>809</v>
      </c>
      <c r="E3366" t="str">
        <f t="shared" si="747"/>
        <v>89301212</v>
      </c>
      <c r="F3366" t="str">
        <f>"5652041967"</f>
        <v>5652041967</v>
      </c>
      <c r="G3366" s="1">
        <v>44672</v>
      </c>
      <c r="H3366" t="str">
        <f>"89512"</f>
        <v>89512</v>
      </c>
      <c r="I3366">
        <v>1</v>
      </c>
      <c r="J3366">
        <v>277</v>
      </c>
      <c r="K3366">
        <v>0</v>
      </c>
      <c r="L3366">
        <v>387.8</v>
      </c>
    </row>
    <row r="3367" spans="1:12" x14ac:dyDescent="0.25">
      <c r="A3367" t="str">
        <f t="shared" si="740"/>
        <v>89301000</v>
      </c>
      <c r="B3367" t="str">
        <f t="shared" si="744"/>
        <v>89383000</v>
      </c>
      <c r="C3367" t="str">
        <f t="shared" si="745"/>
        <v>89383002</v>
      </c>
      <c r="D3367" t="str">
        <f t="shared" si="746"/>
        <v>809</v>
      </c>
      <c r="E3367" t="str">
        <f t="shared" si="747"/>
        <v>89301212</v>
      </c>
      <c r="F3367" t="str">
        <f>"7460014463"</f>
        <v>7460014463</v>
      </c>
      <c r="G3367" s="1">
        <v>44672</v>
      </c>
      <c r="H3367" t="str">
        <f>"89512"</f>
        <v>89512</v>
      </c>
      <c r="I3367">
        <v>1</v>
      </c>
      <c r="J3367">
        <v>277</v>
      </c>
      <c r="K3367">
        <v>0</v>
      </c>
      <c r="L3367">
        <v>387.8</v>
      </c>
    </row>
    <row r="3368" spans="1:12" x14ac:dyDescent="0.25">
      <c r="A3368" t="str">
        <f t="shared" si="740"/>
        <v>89301000</v>
      </c>
      <c r="B3368" t="str">
        <f t="shared" si="744"/>
        <v>89383000</v>
      </c>
      <c r="C3368" t="str">
        <f t="shared" si="745"/>
        <v>89383002</v>
      </c>
      <c r="D3368" t="str">
        <f t="shared" si="746"/>
        <v>809</v>
      </c>
      <c r="E3368" t="str">
        <f t="shared" si="747"/>
        <v>89301212</v>
      </c>
      <c r="F3368" t="str">
        <f>"505620157"</f>
        <v>505620157</v>
      </c>
      <c r="G3368" s="1">
        <v>44672</v>
      </c>
      <c r="H3368" t="str">
        <f>"89180"</f>
        <v>89180</v>
      </c>
      <c r="I3368">
        <v>2</v>
      </c>
      <c r="J3368">
        <v>752</v>
      </c>
      <c r="K3368">
        <v>0</v>
      </c>
      <c r="L3368">
        <v>1052.8</v>
      </c>
    </row>
    <row r="3369" spans="1:12" x14ac:dyDescent="0.25">
      <c r="A3369" t="str">
        <f t="shared" si="740"/>
        <v>89301000</v>
      </c>
      <c r="B3369" t="str">
        <f t="shared" si="744"/>
        <v>89383000</v>
      </c>
      <c r="C3369" t="str">
        <f t="shared" si="745"/>
        <v>89383002</v>
      </c>
      <c r="D3369" t="str">
        <f t="shared" si="746"/>
        <v>809</v>
      </c>
      <c r="E3369" t="str">
        <f t="shared" si="747"/>
        <v>89301212</v>
      </c>
      <c r="F3369" t="str">
        <f>"505620157"</f>
        <v>505620157</v>
      </c>
      <c r="G3369" s="1">
        <v>44672</v>
      </c>
      <c r="H3369" t="str">
        <f>"89512"</f>
        <v>89512</v>
      </c>
      <c r="I3369">
        <v>1</v>
      </c>
      <c r="J3369">
        <v>277</v>
      </c>
      <c r="K3369">
        <v>0</v>
      </c>
      <c r="L3369">
        <v>387.8</v>
      </c>
    </row>
    <row r="3370" spans="1:12" x14ac:dyDescent="0.25">
      <c r="A3370" t="str">
        <f t="shared" si="740"/>
        <v>89301000</v>
      </c>
      <c r="B3370" t="str">
        <f t="shared" si="744"/>
        <v>89383000</v>
      </c>
      <c r="C3370" t="str">
        <f t="shared" si="745"/>
        <v>89383002</v>
      </c>
      <c r="D3370" t="str">
        <f t="shared" si="746"/>
        <v>809</v>
      </c>
      <c r="E3370" t="str">
        <f t="shared" si="747"/>
        <v>89301212</v>
      </c>
      <c r="F3370" t="str">
        <f>"505620157"</f>
        <v>505620157</v>
      </c>
      <c r="G3370" s="1">
        <v>44672</v>
      </c>
      <c r="H3370" t="str">
        <f>"89513"</f>
        <v>89513</v>
      </c>
      <c r="I3370">
        <v>1</v>
      </c>
      <c r="J3370">
        <v>371</v>
      </c>
      <c r="K3370">
        <v>0</v>
      </c>
      <c r="L3370">
        <v>519.4</v>
      </c>
    </row>
    <row r="3371" spans="1:12" x14ac:dyDescent="0.25">
      <c r="A3371" t="str">
        <f t="shared" si="740"/>
        <v>89301000</v>
      </c>
      <c r="B3371" t="str">
        <f t="shared" si="744"/>
        <v>89383000</v>
      </c>
      <c r="C3371" t="str">
        <f t="shared" si="745"/>
        <v>89383002</v>
      </c>
      <c r="D3371" t="str">
        <f t="shared" si="746"/>
        <v>809</v>
      </c>
      <c r="E3371" t="str">
        <f t="shared" si="747"/>
        <v>89301212</v>
      </c>
      <c r="F3371" t="str">
        <f>"505620157"</f>
        <v>505620157</v>
      </c>
      <c r="G3371" s="1">
        <v>44672</v>
      </c>
      <c r="H3371" t="str">
        <f>"89514"</f>
        <v>89514</v>
      </c>
      <c r="I3371">
        <v>1</v>
      </c>
      <c r="J3371">
        <v>371</v>
      </c>
      <c r="K3371">
        <v>0</v>
      </c>
      <c r="L3371">
        <v>519.4</v>
      </c>
    </row>
    <row r="3372" spans="1:12" x14ac:dyDescent="0.25">
      <c r="A3372" t="str">
        <f t="shared" si="740"/>
        <v>89301000</v>
      </c>
      <c r="B3372" t="str">
        <f t="shared" si="744"/>
        <v>89383000</v>
      </c>
      <c r="C3372" t="str">
        <f t="shared" si="745"/>
        <v>89383002</v>
      </c>
      <c r="D3372" t="str">
        <f t="shared" si="746"/>
        <v>809</v>
      </c>
      <c r="E3372" t="str">
        <f t="shared" si="747"/>
        <v>89301212</v>
      </c>
      <c r="F3372" t="str">
        <f>"7553205352"</f>
        <v>7553205352</v>
      </c>
      <c r="G3372" s="1">
        <v>44673</v>
      </c>
      <c r="H3372" t="str">
        <f>"89512"</f>
        <v>89512</v>
      </c>
      <c r="I3372">
        <v>1</v>
      </c>
      <c r="J3372">
        <v>277</v>
      </c>
      <c r="K3372">
        <v>0</v>
      </c>
      <c r="L3372">
        <v>387.8</v>
      </c>
    </row>
    <row r="3373" spans="1:12" x14ac:dyDescent="0.25">
      <c r="A3373" t="str">
        <f t="shared" si="740"/>
        <v>89301000</v>
      </c>
      <c r="B3373" t="str">
        <f t="shared" si="744"/>
        <v>89383000</v>
      </c>
      <c r="C3373" t="str">
        <f t="shared" si="745"/>
        <v>89383002</v>
      </c>
      <c r="D3373" t="str">
        <f t="shared" si="746"/>
        <v>809</v>
      </c>
      <c r="E3373" t="str">
        <f t="shared" si="747"/>
        <v>89301212</v>
      </c>
      <c r="F3373" t="str">
        <f>"7553205352"</f>
        <v>7553205352</v>
      </c>
      <c r="G3373" s="1">
        <v>44673</v>
      </c>
      <c r="H3373" t="str">
        <f>"89180"</f>
        <v>89180</v>
      </c>
      <c r="I3373">
        <v>1</v>
      </c>
      <c r="J3373">
        <v>376</v>
      </c>
      <c r="K3373">
        <v>0</v>
      </c>
      <c r="L3373">
        <v>526.4</v>
      </c>
    </row>
    <row r="3374" spans="1:12" x14ac:dyDescent="0.25">
      <c r="A3374" t="str">
        <f t="shared" si="740"/>
        <v>89301000</v>
      </c>
      <c r="B3374" t="str">
        <f t="shared" si="744"/>
        <v>89383000</v>
      </c>
      <c r="C3374" t="str">
        <f t="shared" si="745"/>
        <v>89383002</v>
      </c>
      <c r="D3374" t="str">
        <f t="shared" si="746"/>
        <v>809</v>
      </c>
      <c r="E3374" t="str">
        <f t="shared" si="747"/>
        <v>89301212</v>
      </c>
      <c r="F3374" t="str">
        <f>"7553205352"</f>
        <v>7553205352</v>
      </c>
      <c r="G3374" s="1">
        <v>44673</v>
      </c>
      <c r="H3374" t="str">
        <f>"89513"</f>
        <v>89513</v>
      </c>
      <c r="I3374">
        <v>1</v>
      </c>
      <c r="J3374">
        <v>371</v>
      </c>
      <c r="K3374">
        <v>0</v>
      </c>
      <c r="L3374">
        <v>519.4</v>
      </c>
    </row>
    <row r="3375" spans="1:12" x14ac:dyDescent="0.25">
      <c r="A3375" t="str">
        <f t="shared" si="740"/>
        <v>89301000</v>
      </c>
      <c r="B3375" t="str">
        <f t="shared" si="744"/>
        <v>89383000</v>
      </c>
      <c r="C3375" t="str">
        <f t="shared" si="745"/>
        <v>89383002</v>
      </c>
      <c r="D3375" t="str">
        <f t="shared" si="746"/>
        <v>809</v>
      </c>
      <c r="E3375" t="str">
        <f t="shared" si="747"/>
        <v>89301212</v>
      </c>
      <c r="F3375" t="str">
        <f>"7553205352"</f>
        <v>7553205352</v>
      </c>
      <c r="G3375" s="1">
        <v>44673</v>
      </c>
      <c r="H3375" t="str">
        <f>"89514"</f>
        <v>89514</v>
      </c>
      <c r="I3375">
        <v>1</v>
      </c>
      <c r="J3375">
        <v>371</v>
      </c>
      <c r="K3375">
        <v>0</v>
      </c>
      <c r="L3375">
        <v>519.4</v>
      </c>
    </row>
    <row r="3376" spans="1:12" x14ac:dyDescent="0.25">
      <c r="A3376" t="str">
        <f t="shared" si="740"/>
        <v>89301000</v>
      </c>
      <c r="B3376" t="str">
        <f t="shared" si="744"/>
        <v>89383000</v>
      </c>
      <c r="C3376" t="str">
        <f t="shared" si="745"/>
        <v>89383002</v>
      </c>
      <c r="D3376" t="str">
        <f t="shared" si="746"/>
        <v>809</v>
      </c>
      <c r="E3376" t="str">
        <f t="shared" si="747"/>
        <v>89301212</v>
      </c>
      <c r="F3376" t="str">
        <f>"5454160184"</f>
        <v>5454160184</v>
      </c>
      <c r="G3376" s="1">
        <v>44673</v>
      </c>
      <c r="H3376" t="str">
        <f>"89180"</f>
        <v>89180</v>
      </c>
      <c r="I3376">
        <v>2</v>
      </c>
      <c r="J3376">
        <v>752</v>
      </c>
      <c r="K3376">
        <v>0</v>
      </c>
      <c r="L3376">
        <v>1052.8</v>
      </c>
    </row>
    <row r="3377" spans="1:12" x14ac:dyDescent="0.25">
      <c r="A3377" t="str">
        <f t="shared" si="740"/>
        <v>89301000</v>
      </c>
      <c r="B3377" t="str">
        <f t="shared" si="744"/>
        <v>89383000</v>
      </c>
      <c r="C3377" t="str">
        <f t="shared" si="745"/>
        <v>89383002</v>
      </c>
      <c r="D3377" t="str">
        <f t="shared" si="746"/>
        <v>809</v>
      </c>
      <c r="E3377" t="str">
        <f t="shared" si="747"/>
        <v>89301212</v>
      </c>
      <c r="F3377" t="str">
        <f>"5454160184"</f>
        <v>5454160184</v>
      </c>
      <c r="G3377" s="1">
        <v>44673</v>
      </c>
      <c r="H3377" t="str">
        <f>"89512"</f>
        <v>89512</v>
      </c>
      <c r="I3377">
        <v>1</v>
      </c>
      <c r="J3377">
        <v>277</v>
      </c>
      <c r="K3377">
        <v>0</v>
      </c>
      <c r="L3377">
        <v>387.8</v>
      </c>
    </row>
    <row r="3378" spans="1:12" x14ac:dyDescent="0.25">
      <c r="A3378" t="str">
        <f t="shared" si="740"/>
        <v>89301000</v>
      </c>
      <c r="B3378" t="str">
        <f t="shared" si="744"/>
        <v>89383000</v>
      </c>
      <c r="C3378" t="str">
        <f t="shared" si="745"/>
        <v>89383002</v>
      </c>
      <c r="D3378" t="str">
        <f t="shared" si="746"/>
        <v>809</v>
      </c>
      <c r="E3378" t="str">
        <f t="shared" si="747"/>
        <v>89301212</v>
      </c>
      <c r="F3378" t="str">
        <f>"5454160184"</f>
        <v>5454160184</v>
      </c>
      <c r="G3378" s="1">
        <v>44673</v>
      </c>
      <c r="H3378" t="str">
        <f>"89513"</f>
        <v>89513</v>
      </c>
      <c r="I3378">
        <v>1</v>
      </c>
      <c r="J3378">
        <v>371</v>
      </c>
      <c r="K3378">
        <v>0</v>
      </c>
      <c r="L3378">
        <v>519.4</v>
      </c>
    </row>
    <row r="3379" spans="1:12" x14ac:dyDescent="0.25">
      <c r="A3379" t="str">
        <f t="shared" si="740"/>
        <v>89301000</v>
      </c>
      <c r="B3379" t="str">
        <f t="shared" si="744"/>
        <v>89383000</v>
      </c>
      <c r="C3379" t="str">
        <f t="shared" si="745"/>
        <v>89383002</v>
      </c>
      <c r="D3379" t="str">
        <f t="shared" si="746"/>
        <v>809</v>
      </c>
      <c r="E3379" t="str">
        <f t="shared" si="747"/>
        <v>89301212</v>
      </c>
      <c r="F3379" t="str">
        <f>"5454160184"</f>
        <v>5454160184</v>
      </c>
      <c r="G3379" s="1">
        <v>44673</v>
      </c>
      <c r="H3379" t="str">
        <f>"89514"</f>
        <v>89514</v>
      </c>
      <c r="I3379">
        <v>1</v>
      </c>
      <c r="J3379">
        <v>371</v>
      </c>
      <c r="K3379">
        <v>0</v>
      </c>
      <c r="L3379">
        <v>519.4</v>
      </c>
    </row>
    <row r="3380" spans="1:12" x14ac:dyDescent="0.25">
      <c r="A3380" t="str">
        <f t="shared" si="740"/>
        <v>89301000</v>
      </c>
      <c r="B3380" t="str">
        <f t="shared" si="744"/>
        <v>89383000</v>
      </c>
      <c r="C3380" t="str">
        <f t="shared" si="745"/>
        <v>89383002</v>
      </c>
      <c r="D3380" t="str">
        <f t="shared" si="746"/>
        <v>809</v>
      </c>
      <c r="E3380" t="str">
        <f>"89301045"</f>
        <v>89301045</v>
      </c>
      <c r="F3380" t="str">
        <f>"8954135960"</f>
        <v>8954135960</v>
      </c>
      <c r="G3380" s="1">
        <v>44676</v>
      </c>
      <c r="H3380" t="str">
        <f>"89512"</f>
        <v>89512</v>
      </c>
      <c r="I3380">
        <v>1</v>
      </c>
      <c r="J3380">
        <v>277</v>
      </c>
      <c r="K3380">
        <v>0</v>
      </c>
      <c r="L3380">
        <v>387.8</v>
      </c>
    </row>
    <row r="3381" spans="1:12" x14ac:dyDescent="0.25">
      <c r="A3381" t="str">
        <f t="shared" si="740"/>
        <v>89301000</v>
      </c>
      <c r="B3381" t="str">
        <f t="shared" si="744"/>
        <v>89383000</v>
      </c>
      <c r="C3381" t="str">
        <f t="shared" si="745"/>
        <v>89383002</v>
      </c>
      <c r="D3381" t="str">
        <f t="shared" si="746"/>
        <v>809</v>
      </c>
      <c r="E3381" t="str">
        <f>"89301045"</f>
        <v>89301045</v>
      </c>
      <c r="F3381" t="str">
        <f>"8954135960"</f>
        <v>8954135960</v>
      </c>
      <c r="G3381" s="1">
        <v>44676</v>
      </c>
      <c r="H3381" t="str">
        <f>"89180"</f>
        <v>89180</v>
      </c>
      <c r="I3381">
        <v>1</v>
      </c>
      <c r="J3381">
        <v>376</v>
      </c>
      <c r="K3381">
        <v>0</v>
      </c>
      <c r="L3381">
        <v>526.4</v>
      </c>
    </row>
    <row r="3382" spans="1:12" x14ac:dyDescent="0.25">
      <c r="A3382" t="str">
        <f t="shared" si="740"/>
        <v>89301000</v>
      </c>
      <c r="B3382" t="str">
        <f t="shared" si="744"/>
        <v>89383000</v>
      </c>
      <c r="C3382" t="str">
        <f t="shared" si="745"/>
        <v>89383002</v>
      </c>
      <c r="D3382" t="str">
        <f t="shared" si="746"/>
        <v>809</v>
      </c>
      <c r="E3382" t="str">
        <f t="shared" ref="E3382:E3390" si="748">"89301212"</f>
        <v>89301212</v>
      </c>
      <c r="F3382" t="str">
        <f t="shared" ref="F3382:F3388" si="749">"5858110940"</f>
        <v>5858110940</v>
      </c>
      <c r="G3382" s="1">
        <v>44678</v>
      </c>
      <c r="H3382" t="str">
        <f>"89313"</f>
        <v>89313</v>
      </c>
      <c r="I3382">
        <v>1</v>
      </c>
      <c r="J3382">
        <v>406</v>
      </c>
      <c r="K3382">
        <v>0</v>
      </c>
      <c r="L3382">
        <v>568.4</v>
      </c>
    </row>
    <row r="3383" spans="1:12" x14ac:dyDescent="0.25">
      <c r="A3383" t="str">
        <f t="shared" si="740"/>
        <v>89301000</v>
      </c>
      <c r="B3383" t="str">
        <f t="shared" si="744"/>
        <v>89383000</v>
      </c>
      <c r="C3383" t="str">
        <f t="shared" si="745"/>
        <v>89383002</v>
      </c>
      <c r="D3383" t="str">
        <f t="shared" si="746"/>
        <v>809</v>
      </c>
      <c r="E3383" t="str">
        <f t="shared" si="748"/>
        <v>89301212</v>
      </c>
      <c r="F3383" t="str">
        <f t="shared" si="749"/>
        <v>5858110940</v>
      </c>
      <c r="G3383" s="1">
        <v>44678</v>
      </c>
      <c r="H3383" t="str">
        <f>"09233"</f>
        <v>09233</v>
      </c>
      <c r="I3383">
        <v>1</v>
      </c>
      <c r="J3383">
        <v>99</v>
      </c>
      <c r="K3383">
        <v>0</v>
      </c>
      <c r="L3383">
        <v>138.6</v>
      </c>
    </row>
    <row r="3384" spans="1:12" x14ac:dyDescent="0.25">
      <c r="A3384" t="str">
        <f t="shared" si="740"/>
        <v>89301000</v>
      </c>
      <c r="B3384" t="str">
        <f t="shared" si="744"/>
        <v>89383000</v>
      </c>
      <c r="C3384" t="str">
        <f t="shared" si="745"/>
        <v>89383002</v>
      </c>
      <c r="D3384" t="str">
        <f t="shared" si="746"/>
        <v>809</v>
      </c>
      <c r="E3384" t="str">
        <f t="shared" si="748"/>
        <v>89301212</v>
      </c>
      <c r="F3384" t="str">
        <f t="shared" si="749"/>
        <v>5858110940</v>
      </c>
      <c r="G3384" s="1">
        <v>44678</v>
      </c>
      <c r="H3384" t="str">
        <f>"89515"</f>
        <v>89515</v>
      </c>
      <c r="I3384">
        <v>1</v>
      </c>
      <c r="J3384">
        <v>339</v>
      </c>
      <c r="K3384">
        <v>0</v>
      </c>
      <c r="L3384">
        <v>474.6</v>
      </c>
    </row>
    <row r="3385" spans="1:12" x14ac:dyDescent="0.25">
      <c r="A3385" t="str">
        <f t="shared" si="740"/>
        <v>89301000</v>
      </c>
      <c r="B3385" t="str">
        <f t="shared" si="744"/>
        <v>89383000</v>
      </c>
      <c r="C3385" t="str">
        <f t="shared" si="745"/>
        <v>89383002</v>
      </c>
      <c r="D3385" t="str">
        <f t="shared" si="746"/>
        <v>809</v>
      </c>
      <c r="E3385" t="str">
        <f t="shared" si="748"/>
        <v>89301212</v>
      </c>
      <c r="F3385" t="str">
        <f t="shared" si="749"/>
        <v>5858110940</v>
      </c>
      <c r="G3385" s="1">
        <v>44678</v>
      </c>
      <c r="H3385" t="str">
        <f>"89512"</f>
        <v>89512</v>
      </c>
      <c r="I3385">
        <v>1</v>
      </c>
      <c r="J3385">
        <v>277</v>
      </c>
      <c r="K3385">
        <v>0</v>
      </c>
      <c r="L3385">
        <v>387.8</v>
      </c>
    </row>
    <row r="3386" spans="1:12" x14ac:dyDescent="0.25">
      <c r="A3386" t="str">
        <f t="shared" si="740"/>
        <v>89301000</v>
      </c>
      <c r="B3386" t="str">
        <f t="shared" si="744"/>
        <v>89383000</v>
      </c>
      <c r="C3386" t="str">
        <f t="shared" si="745"/>
        <v>89383002</v>
      </c>
      <c r="D3386" t="str">
        <f t="shared" si="746"/>
        <v>809</v>
      </c>
      <c r="E3386" t="str">
        <f t="shared" si="748"/>
        <v>89301212</v>
      </c>
      <c r="F3386" t="str">
        <f t="shared" si="749"/>
        <v>5858110940</v>
      </c>
      <c r="G3386" s="1">
        <v>44678</v>
      </c>
      <c r="H3386" t="str">
        <f>"09572"</f>
        <v>09572</v>
      </c>
      <c r="I3386">
        <v>1</v>
      </c>
      <c r="J3386">
        <v>0</v>
      </c>
      <c r="K3386">
        <v>0</v>
      </c>
      <c r="L3386">
        <v>0</v>
      </c>
    </row>
    <row r="3387" spans="1:12" x14ac:dyDescent="0.25">
      <c r="A3387" t="str">
        <f t="shared" si="740"/>
        <v>89301000</v>
      </c>
      <c r="B3387" t="str">
        <f t="shared" si="744"/>
        <v>89383000</v>
      </c>
      <c r="C3387" t="str">
        <f t="shared" si="745"/>
        <v>89383002</v>
      </c>
      <c r="D3387" t="str">
        <f t="shared" ref="D3387:D3418" si="750">"809"</f>
        <v>809</v>
      </c>
      <c r="E3387" t="str">
        <f t="shared" si="748"/>
        <v>89301212</v>
      </c>
      <c r="F3387" t="str">
        <f t="shared" si="749"/>
        <v>5858110940</v>
      </c>
      <c r="G3387" s="1">
        <v>44678</v>
      </c>
      <c r="H3387" t="str">
        <f>"0225891"</f>
        <v>0225891</v>
      </c>
      <c r="I3387">
        <v>0.1</v>
      </c>
      <c r="K3387">
        <v>36.770000000000003</v>
      </c>
      <c r="L3387">
        <v>36.770000000000003</v>
      </c>
    </row>
    <row r="3388" spans="1:12" x14ac:dyDescent="0.25">
      <c r="A3388" t="str">
        <f t="shared" si="740"/>
        <v>89301000</v>
      </c>
      <c r="B3388" t="str">
        <f t="shared" si="744"/>
        <v>89383000</v>
      </c>
      <c r="C3388" t="str">
        <f t="shared" si="745"/>
        <v>89383002</v>
      </c>
      <c r="D3388" t="str">
        <f t="shared" si="750"/>
        <v>809</v>
      </c>
      <c r="E3388" t="str">
        <f t="shared" si="748"/>
        <v>89301212</v>
      </c>
      <c r="F3388" t="str">
        <f t="shared" si="749"/>
        <v>5858110940</v>
      </c>
      <c r="G3388" s="1">
        <v>44678</v>
      </c>
      <c r="H3388" t="str">
        <f>"0142908"</f>
        <v>0142908</v>
      </c>
      <c r="I3388">
        <v>3</v>
      </c>
      <c r="K3388">
        <v>2730</v>
      </c>
      <c r="L3388">
        <v>2730</v>
      </c>
    </row>
    <row r="3389" spans="1:12" x14ac:dyDescent="0.25">
      <c r="A3389" t="str">
        <f t="shared" si="740"/>
        <v>89301000</v>
      </c>
      <c r="B3389" t="str">
        <f t="shared" si="744"/>
        <v>89383000</v>
      </c>
      <c r="C3389" t="str">
        <f t="shared" si="745"/>
        <v>89383002</v>
      </c>
      <c r="D3389" t="str">
        <f t="shared" si="750"/>
        <v>809</v>
      </c>
      <c r="E3389" t="str">
        <f t="shared" si="748"/>
        <v>89301212</v>
      </c>
      <c r="F3389" t="str">
        <f>"5861161482"</f>
        <v>5861161482</v>
      </c>
      <c r="G3389" s="1">
        <v>44679</v>
      </c>
      <c r="H3389" t="str">
        <f>"89513"</f>
        <v>89513</v>
      </c>
      <c r="I3389">
        <v>1</v>
      </c>
      <c r="J3389">
        <v>371</v>
      </c>
      <c r="K3389">
        <v>0</v>
      </c>
      <c r="L3389">
        <v>519.4</v>
      </c>
    </row>
    <row r="3390" spans="1:12" x14ac:dyDescent="0.25">
      <c r="A3390" t="str">
        <f t="shared" si="740"/>
        <v>89301000</v>
      </c>
      <c r="B3390" t="str">
        <f t="shared" si="744"/>
        <v>89383000</v>
      </c>
      <c r="C3390" t="str">
        <f t="shared" si="745"/>
        <v>89383002</v>
      </c>
      <c r="D3390" t="str">
        <f t="shared" si="750"/>
        <v>809</v>
      </c>
      <c r="E3390" t="str">
        <f t="shared" si="748"/>
        <v>89301212</v>
      </c>
      <c r="F3390" t="str">
        <f>"5861161482"</f>
        <v>5861161482</v>
      </c>
      <c r="G3390" s="1">
        <v>44679</v>
      </c>
      <c r="H3390" t="str">
        <f>"89514"</f>
        <v>89514</v>
      </c>
      <c r="I3390">
        <v>1</v>
      </c>
      <c r="J3390">
        <v>371</v>
      </c>
      <c r="K3390">
        <v>0</v>
      </c>
      <c r="L3390">
        <v>519.4</v>
      </c>
    </row>
    <row r="3391" spans="1:12" x14ac:dyDescent="0.25">
      <c r="A3391" t="str">
        <f t="shared" si="740"/>
        <v>89301000</v>
      </c>
      <c r="B3391" t="str">
        <f t="shared" si="744"/>
        <v>89383000</v>
      </c>
      <c r="C3391" t="str">
        <f t="shared" si="745"/>
        <v>89383002</v>
      </c>
      <c r="D3391" t="str">
        <f t="shared" si="750"/>
        <v>809</v>
      </c>
      <c r="E3391" t="str">
        <f>"89301215"</f>
        <v>89301215</v>
      </c>
      <c r="F3391" t="str">
        <f>"6453161198"</f>
        <v>6453161198</v>
      </c>
      <c r="G3391" s="1">
        <v>44679</v>
      </c>
      <c r="H3391" t="str">
        <f>"89513"</f>
        <v>89513</v>
      </c>
      <c r="I3391">
        <v>1</v>
      </c>
      <c r="J3391">
        <v>371</v>
      </c>
      <c r="K3391">
        <v>0</v>
      </c>
      <c r="L3391">
        <v>519.4</v>
      </c>
    </row>
    <row r="3392" spans="1:12" x14ac:dyDescent="0.25">
      <c r="A3392" t="str">
        <f t="shared" si="740"/>
        <v>89301000</v>
      </c>
      <c r="B3392" t="str">
        <f t="shared" si="744"/>
        <v>89383000</v>
      </c>
      <c r="C3392" t="str">
        <f t="shared" si="745"/>
        <v>89383002</v>
      </c>
      <c r="D3392" t="str">
        <f t="shared" si="750"/>
        <v>809</v>
      </c>
      <c r="E3392" t="str">
        <f>"89301215"</f>
        <v>89301215</v>
      </c>
      <c r="F3392" t="str">
        <f>"6453161198"</f>
        <v>6453161198</v>
      </c>
      <c r="G3392" s="1">
        <v>44679</v>
      </c>
      <c r="H3392" t="str">
        <f>"89514"</f>
        <v>89514</v>
      </c>
      <c r="I3392">
        <v>1</v>
      </c>
      <c r="J3392">
        <v>371</v>
      </c>
      <c r="K3392">
        <v>0</v>
      </c>
      <c r="L3392">
        <v>519.4</v>
      </c>
    </row>
    <row r="3393" spans="1:12" x14ac:dyDescent="0.25">
      <c r="A3393" t="str">
        <f t="shared" si="740"/>
        <v>89301000</v>
      </c>
      <c r="B3393" t="str">
        <f t="shared" si="744"/>
        <v>89383000</v>
      </c>
      <c r="C3393" t="str">
        <f t="shared" si="745"/>
        <v>89383002</v>
      </c>
      <c r="D3393" t="str">
        <f t="shared" si="750"/>
        <v>809</v>
      </c>
      <c r="E3393" t="str">
        <f>"89301042"</f>
        <v>89301042</v>
      </c>
      <c r="F3393" t="str">
        <f>"7557205304"</f>
        <v>7557205304</v>
      </c>
      <c r="G3393" s="1">
        <v>44680</v>
      </c>
      <c r="H3393" t="str">
        <f>"89180"</f>
        <v>89180</v>
      </c>
      <c r="I3393">
        <v>2</v>
      </c>
      <c r="J3393">
        <v>752</v>
      </c>
      <c r="K3393">
        <v>0</v>
      </c>
      <c r="L3393">
        <v>1052.8</v>
      </c>
    </row>
    <row r="3394" spans="1:12" x14ac:dyDescent="0.25">
      <c r="A3394" t="str">
        <f t="shared" ref="A3394:A3457" si="751">"89301000"</f>
        <v>89301000</v>
      </c>
      <c r="B3394" t="str">
        <f t="shared" si="744"/>
        <v>89383000</v>
      </c>
      <c r="C3394" t="str">
        <f t="shared" si="745"/>
        <v>89383002</v>
      </c>
      <c r="D3394" t="str">
        <f t="shared" si="750"/>
        <v>809</v>
      </c>
      <c r="E3394" t="str">
        <f>"89301042"</f>
        <v>89301042</v>
      </c>
      <c r="F3394" t="str">
        <f>"7557205304"</f>
        <v>7557205304</v>
      </c>
      <c r="G3394" s="1">
        <v>44680</v>
      </c>
      <c r="H3394" t="str">
        <f>"89512"</f>
        <v>89512</v>
      </c>
      <c r="I3394">
        <v>1</v>
      </c>
      <c r="J3394">
        <v>277</v>
      </c>
      <c r="K3394">
        <v>0</v>
      </c>
      <c r="L3394">
        <v>387.8</v>
      </c>
    </row>
    <row r="3395" spans="1:12" x14ac:dyDescent="0.25">
      <c r="A3395" t="str">
        <f t="shared" si="751"/>
        <v>89301000</v>
      </c>
      <c r="B3395" t="str">
        <f t="shared" si="744"/>
        <v>89383000</v>
      </c>
      <c r="C3395" t="str">
        <f t="shared" si="745"/>
        <v>89383002</v>
      </c>
      <c r="D3395" t="str">
        <f t="shared" si="750"/>
        <v>809</v>
      </c>
      <c r="E3395" t="str">
        <f>"89301042"</f>
        <v>89301042</v>
      </c>
      <c r="F3395" t="str">
        <f>"7557205304"</f>
        <v>7557205304</v>
      </c>
      <c r="G3395" s="1">
        <v>44680</v>
      </c>
      <c r="H3395" t="str">
        <f>"89513"</f>
        <v>89513</v>
      </c>
      <c r="I3395">
        <v>1</v>
      </c>
      <c r="J3395">
        <v>371</v>
      </c>
      <c r="K3395">
        <v>0</v>
      </c>
      <c r="L3395">
        <v>519.4</v>
      </c>
    </row>
    <row r="3396" spans="1:12" x14ac:dyDescent="0.25">
      <c r="A3396" t="str">
        <f t="shared" si="751"/>
        <v>89301000</v>
      </c>
      <c r="B3396" t="str">
        <f t="shared" si="744"/>
        <v>89383000</v>
      </c>
      <c r="C3396" t="str">
        <f t="shared" si="745"/>
        <v>89383002</v>
      </c>
      <c r="D3396" t="str">
        <f t="shared" si="750"/>
        <v>809</v>
      </c>
      <c r="E3396" t="str">
        <f>"89301042"</f>
        <v>89301042</v>
      </c>
      <c r="F3396" t="str">
        <f>"7557205304"</f>
        <v>7557205304</v>
      </c>
      <c r="G3396" s="1">
        <v>44680</v>
      </c>
      <c r="H3396" t="str">
        <f>"89514"</f>
        <v>89514</v>
      </c>
      <c r="I3396">
        <v>1</v>
      </c>
      <c r="J3396">
        <v>371</v>
      </c>
      <c r="K3396">
        <v>0</v>
      </c>
      <c r="L3396">
        <v>519.4</v>
      </c>
    </row>
    <row r="3397" spans="1:12" x14ac:dyDescent="0.25">
      <c r="A3397" t="str">
        <f t="shared" si="751"/>
        <v>89301000</v>
      </c>
      <c r="B3397" t="str">
        <f t="shared" si="744"/>
        <v>89383000</v>
      </c>
      <c r="C3397" t="str">
        <f t="shared" si="745"/>
        <v>89383002</v>
      </c>
      <c r="D3397" t="str">
        <f t="shared" si="750"/>
        <v>809</v>
      </c>
      <c r="E3397" t="str">
        <f>"89301045"</f>
        <v>89301045</v>
      </c>
      <c r="F3397" t="str">
        <f>"8257165356"</f>
        <v>8257165356</v>
      </c>
      <c r="G3397" s="1">
        <v>44680</v>
      </c>
      <c r="H3397" t="str">
        <f>"89512"</f>
        <v>89512</v>
      </c>
      <c r="I3397">
        <v>1</v>
      </c>
      <c r="J3397">
        <v>277</v>
      </c>
      <c r="K3397">
        <v>0</v>
      </c>
      <c r="L3397">
        <v>387.8</v>
      </c>
    </row>
    <row r="3398" spans="1:12" x14ac:dyDescent="0.25">
      <c r="A3398" t="str">
        <f t="shared" si="751"/>
        <v>89301000</v>
      </c>
      <c r="B3398" t="str">
        <f>"83556000"</f>
        <v>83556000</v>
      </c>
      <c r="C3398" t="str">
        <f>"83556001"</f>
        <v>83556001</v>
      </c>
      <c r="D3398" t="str">
        <f t="shared" si="750"/>
        <v>809</v>
      </c>
      <c r="E3398" t="str">
        <f>"89301037"</f>
        <v>89301037</v>
      </c>
      <c r="F3398" t="str">
        <f>"7007134717"</f>
        <v>7007134717</v>
      </c>
      <c r="G3398" s="1">
        <v>44663</v>
      </c>
      <c r="H3398" t="str">
        <f>"89312"</f>
        <v>89312</v>
      </c>
      <c r="I3398">
        <v>3</v>
      </c>
      <c r="J3398">
        <v>906</v>
      </c>
      <c r="K3398">
        <v>0</v>
      </c>
      <c r="L3398">
        <v>951.3</v>
      </c>
    </row>
    <row r="3399" spans="1:12" x14ac:dyDescent="0.25">
      <c r="A3399" t="str">
        <f t="shared" si="751"/>
        <v>89301000</v>
      </c>
      <c r="B3399" t="str">
        <f t="shared" ref="B3399:B3435" si="752">"78915000"</f>
        <v>78915000</v>
      </c>
      <c r="C3399" t="str">
        <f t="shared" ref="C3399:C3435" si="753">"78915001"</f>
        <v>78915001</v>
      </c>
      <c r="D3399" t="str">
        <f t="shared" si="750"/>
        <v>809</v>
      </c>
      <c r="E3399" t="str">
        <f>"89301312"</f>
        <v>89301312</v>
      </c>
      <c r="F3399" t="str">
        <f>"0052295705"</f>
        <v>0052295705</v>
      </c>
      <c r="G3399" s="1">
        <v>44672</v>
      </c>
      <c r="H3399" t="str">
        <f>"09567"</f>
        <v>09567</v>
      </c>
      <c r="I3399">
        <v>1</v>
      </c>
      <c r="J3399">
        <v>0</v>
      </c>
      <c r="K3399">
        <v>0</v>
      </c>
      <c r="L3399">
        <v>0</v>
      </c>
    </row>
    <row r="3400" spans="1:12" x14ac:dyDescent="0.25">
      <c r="A3400" t="str">
        <f t="shared" si="751"/>
        <v>89301000</v>
      </c>
      <c r="B3400" t="str">
        <f t="shared" si="752"/>
        <v>78915000</v>
      </c>
      <c r="C3400" t="str">
        <f t="shared" si="753"/>
        <v>78915001</v>
      </c>
      <c r="D3400" t="str">
        <f t="shared" si="750"/>
        <v>809</v>
      </c>
      <c r="E3400" t="str">
        <f>"89301312"</f>
        <v>89301312</v>
      </c>
      <c r="F3400" t="str">
        <f>"0052295705"</f>
        <v>0052295705</v>
      </c>
      <c r="G3400" s="1">
        <v>44672</v>
      </c>
      <c r="H3400" t="str">
        <f>"89713"</f>
        <v>89713</v>
      </c>
      <c r="I3400">
        <v>1</v>
      </c>
      <c r="J3400">
        <v>5362</v>
      </c>
      <c r="K3400">
        <v>0</v>
      </c>
      <c r="L3400">
        <v>3217.2</v>
      </c>
    </row>
    <row r="3401" spans="1:12" x14ac:dyDescent="0.25">
      <c r="A3401" t="str">
        <f t="shared" si="751"/>
        <v>89301000</v>
      </c>
      <c r="B3401" t="str">
        <f t="shared" si="752"/>
        <v>78915000</v>
      </c>
      <c r="C3401" t="str">
        <f t="shared" si="753"/>
        <v>78915001</v>
      </c>
      <c r="D3401" t="str">
        <f t="shared" si="750"/>
        <v>809</v>
      </c>
      <c r="E3401" t="str">
        <f>"89301292"</f>
        <v>89301292</v>
      </c>
      <c r="F3401" t="str">
        <f>"0206115701"</f>
        <v>0206115701</v>
      </c>
      <c r="G3401" s="1">
        <v>44681</v>
      </c>
      <c r="H3401" t="str">
        <f>"09567"</f>
        <v>09567</v>
      </c>
      <c r="I3401">
        <v>1</v>
      </c>
      <c r="J3401">
        <v>0</v>
      </c>
      <c r="K3401">
        <v>0</v>
      </c>
      <c r="L3401">
        <v>0</v>
      </c>
    </row>
    <row r="3402" spans="1:12" x14ac:dyDescent="0.25">
      <c r="A3402" t="str">
        <f t="shared" si="751"/>
        <v>89301000</v>
      </c>
      <c r="B3402" t="str">
        <f t="shared" si="752"/>
        <v>78915000</v>
      </c>
      <c r="C3402" t="str">
        <f t="shared" si="753"/>
        <v>78915001</v>
      </c>
      <c r="D3402" t="str">
        <f t="shared" si="750"/>
        <v>809</v>
      </c>
      <c r="E3402" t="str">
        <f>"89301292"</f>
        <v>89301292</v>
      </c>
      <c r="F3402" t="str">
        <f>"0206115701"</f>
        <v>0206115701</v>
      </c>
      <c r="G3402" s="1">
        <v>44681</v>
      </c>
      <c r="H3402" t="str">
        <f>"89713"</f>
        <v>89713</v>
      </c>
      <c r="I3402">
        <v>1</v>
      </c>
      <c r="J3402">
        <v>5362</v>
      </c>
      <c r="K3402">
        <v>0</v>
      </c>
      <c r="L3402">
        <v>3217.2</v>
      </c>
    </row>
    <row r="3403" spans="1:12" x14ac:dyDescent="0.25">
      <c r="A3403" t="str">
        <f t="shared" si="751"/>
        <v>89301000</v>
      </c>
      <c r="B3403" t="str">
        <f t="shared" si="752"/>
        <v>78915000</v>
      </c>
      <c r="C3403" t="str">
        <f t="shared" si="753"/>
        <v>78915001</v>
      </c>
      <c r="D3403" t="str">
        <f t="shared" si="750"/>
        <v>809</v>
      </c>
      <c r="E3403" t="str">
        <f>"89301062"</f>
        <v>89301062</v>
      </c>
      <c r="F3403" t="str">
        <f>"530803071"</f>
        <v>530803071</v>
      </c>
      <c r="G3403" s="1">
        <v>44656</v>
      </c>
      <c r="H3403" t="str">
        <f>"89713"</f>
        <v>89713</v>
      </c>
      <c r="I3403">
        <v>1</v>
      </c>
      <c r="J3403">
        <v>5362</v>
      </c>
      <c r="K3403">
        <v>0</v>
      </c>
      <c r="L3403">
        <v>3217.2</v>
      </c>
    </row>
    <row r="3404" spans="1:12" x14ac:dyDescent="0.25">
      <c r="A3404" t="str">
        <f t="shared" si="751"/>
        <v>89301000</v>
      </c>
      <c r="B3404" t="str">
        <f t="shared" si="752"/>
        <v>78915000</v>
      </c>
      <c r="C3404" t="str">
        <f t="shared" si="753"/>
        <v>78915001</v>
      </c>
      <c r="D3404" t="str">
        <f t="shared" si="750"/>
        <v>809</v>
      </c>
      <c r="E3404" t="str">
        <f>"89301062"</f>
        <v>89301062</v>
      </c>
      <c r="F3404" t="str">
        <f>"530803071"</f>
        <v>530803071</v>
      </c>
      <c r="G3404" s="1">
        <v>44656</v>
      </c>
      <c r="H3404" t="str">
        <f>"89725"</f>
        <v>89725</v>
      </c>
      <c r="I3404">
        <v>1</v>
      </c>
      <c r="J3404">
        <v>2839</v>
      </c>
      <c r="K3404">
        <v>0</v>
      </c>
      <c r="L3404">
        <v>1703.4</v>
      </c>
    </row>
    <row r="3405" spans="1:12" x14ac:dyDescent="0.25">
      <c r="A3405" t="str">
        <f t="shared" si="751"/>
        <v>89301000</v>
      </c>
      <c r="B3405" t="str">
        <f t="shared" si="752"/>
        <v>78915000</v>
      </c>
      <c r="C3405" t="str">
        <f t="shared" si="753"/>
        <v>78915001</v>
      </c>
      <c r="D3405" t="str">
        <f t="shared" si="750"/>
        <v>809</v>
      </c>
      <c r="E3405" t="str">
        <f>"89301062"</f>
        <v>89301062</v>
      </c>
      <c r="F3405" t="str">
        <f>"6552272155"</f>
        <v>6552272155</v>
      </c>
      <c r="G3405" s="1">
        <v>44662</v>
      </c>
      <c r="H3405" t="str">
        <f>"89713"</f>
        <v>89713</v>
      </c>
      <c r="I3405">
        <v>1</v>
      </c>
      <c r="J3405">
        <v>5362</v>
      </c>
      <c r="K3405">
        <v>0</v>
      </c>
      <c r="L3405">
        <v>3217.2</v>
      </c>
    </row>
    <row r="3406" spans="1:12" x14ac:dyDescent="0.25">
      <c r="A3406" t="str">
        <f t="shared" si="751"/>
        <v>89301000</v>
      </c>
      <c r="B3406" t="str">
        <f t="shared" si="752"/>
        <v>78915000</v>
      </c>
      <c r="C3406" t="str">
        <f t="shared" si="753"/>
        <v>78915001</v>
      </c>
      <c r="D3406" t="str">
        <f t="shared" si="750"/>
        <v>809</v>
      </c>
      <c r="E3406" t="str">
        <f>"89301062"</f>
        <v>89301062</v>
      </c>
      <c r="F3406" t="str">
        <f>"6552272155"</f>
        <v>6552272155</v>
      </c>
      <c r="G3406" s="1">
        <v>44662</v>
      </c>
      <c r="H3406" t="str">
        <f>"89725"</f>
        <v>89725</v>
      </c>
      <c r="I3406">
        <v>1</v>
      </c>
      <c r="J3406">
        <v>2839</v>
      </c>
      <c r="K3406">
        <v>0</v>
      </c>
      <c r="L3406">
        <v>1703.4</v>
      </c>
    </row>
    <row r="3407" spans="1:12" x14ac:dyDescent="0.25">
      <c r="A3407" t="str">
        <f t="shared" si="751"/>
        <v>89301000</v>
      </c>
      <c r="B3407" t="str">
        <f t="shared" si="752"/>
        <v>78915000</v>
      </c>
      <c r="C3407" t="str">
        <f t="shared" si="753"/>
        <v>78915001</v>
      </c>
      <c r="D3407" t="str">
        <f t="shared" si="750"/>
        <v>809</v>
      </c>
      <c r="E3407" t="str">
        <f>"89301606"</f>
        <v>89301606</v>
      </c>
      <c r="F3407" t="str">
        <f>"6608201314"</f>
        <v>6608201314</v>
      </c>
      <c r="G3407" s="1">
        <v>44656</v>
      </c>
      <c r="H3407" t="str">
        <f>"89713"</f>
        <v>89713</v>
      </c>
      <c r="I3407">
        <v>1</v>
      </c>
      <c r="J3407">
        <v>5362</v>
      </c>
      <c r="K3407">
        <v>0</v>
      </c>
      <c r="L3407">
        <v>3217.2</v>
      </c>
    </row>
    <row r="3408" spans="1:12" x14ac:dyDescent="0.25">
      <c r="A3408" t="str">
        <f t="shared" si="751"/>
        <v>89301000</v>
      </c>
      <c r="B3408" t="str">
        <f t="shared" si="752"/>
        <v>78915000</v>
      </c>
      <c r="C3408" t="str">
        <f t="shared" si="753"/>
        <v>78915001</v>
      </c>
      <c r="D3408" t="str">
        <f t="shared" si="750"/>
        <v>809</v>
      </c>
      <c r="E3408" t="str">
        <f>"89301606"</f>
        <v>89301606</v>
      </c>
      <c r="F3408" t="str">
        <f>"6608201314"</f>
        <v>6608201314</v>
      </c>
      <c r="G3408" s="1">
        <v>44656</v>
      </c>
      <c r="H3408" t="str">
        <f>"89725"</f>
        <v>89725</v>
      </c>
      <c r="I3408">
        <v>1</v>
      </c>
      <c r="J3408">
        <v>2839</v>
      </c>
      <c r="K3408">
        <v>0</v>
      </c>
      <c r="L3408">
        <v>1703.4</v>
      </c>
    </row>
    <row r="3409" spans="1:12" x14ac:dyDescent="0.25">
      <c r="A3409" t="str">
        <f t="shared" si="751"/>
        <v>89301000</v>
      </c>
      <c r="B3409" t="str">
        <f t="shared" si="752"/>
        <v>78915000</v>
      </c>
      <c r="C3409" t="str">
        <f t="shared" si="753"/>
        <v>78915001</v>
      </c>
      <c r="D3409" t="str">
        <f t="shared" si="750"/>
        <v>809</v>
      </c>
      <c r="E3409" t="str">
        <f>"89301062"</f>
        <v>89301062</v>
      </c>
      <c r="F3409" t="str">
        <f>"6959235316"</f>
        <v>6959235316</v>
      </c>
      <c r="G3409" s="1">
        <v>44678</v>
      </c>
      <c r="H3409" t="str">
        <f>"89713"</f>
        <v>89713</v>
      </c>
      <c r="I3409">
        <v>1</v>
      </c>
      <c r="J3409">
        <v>5362</v>
      </c>
      <c r="K3409">
        <v>0</v>
      </c>
      <c r="L3409">
        <v>3217.2</v>
      </c>
    </row>
    <row r="3410" spans="1:12" x14ac:dyDescent="0.25">
      <c r="A3410" t="str">
        <f t="shared" si="751"/>
        <v>89301000</v>
      </c>
      <c r="B3410" t="str">
        <f t="shared" si="752"/>
        <v>78915000</v>
      </c>
      <c r="C3410" t="str">
        <f t="shared" si="753"/>
        <v>78915001</v>
      </c>
      <c r="D3410" t="str">
        <f t="shared" si="750"/>
        <v>809</v>
      </c>
      <c r="E3410" t="str">
        <f>"89301062"</f>
        <v>89301062</v>
      </c>
      <c r="F3410" t="str">
        <f>"6959235316"</f>
        <v>6959235316</v>
      </c>
      <c r="G3410" s="1">
        <v>44678</v>
      </c>
      <c r="H3410" t="str">
        <f>"89725"</f>
        <v>89725</v>
      </c>
      <c r="I3410">
        <v>1</v>
      </c>
      <c r="J3410">
        <v>2839</v>
      </c>
      <c r="K3410">
        <v>0</v>
      </c>
      <c r="L3410">
        <v>1703.4</v>
      </c>
    </row>
    <row r="3411" spans="1:12" x14ac:dyDescent="0.25">
      <c r="A3411" t="str">
        <f t="shared" si="751"/>
        <v>89301000</v>
      </c>
      <c r="B3411" t="str">
        <f t="shared" si="752"/>
        <v>78915000</v>
      </c>
      <c r="C3411" t="str">
        <f t="shared" si="753"/>
        <v>78915001</v>
      </c>
      <c r="D3411" t="str">
        <f t="shared" si="750"/>
        <v>809</v>
      </c>
      <c r="E3411" t="str">
        <f>"89301062"</f>
        <v>89301062</v>
      </c>
      <c r="F3411" t="str">
        <f>"6959235316"</f>
        <v>6959235316</v>
      </c>
      <c r="G3411" s="1">
        <v>44678</v>
      </c>
      <c r="H3411" t="str">
        <f>"0207733"</f>
        <v>0207733</v>
      </c>
      <c r="I3411">
        <v>1</v>
      </c>
      <c r="K3411">
        <v>2590.5300000000002</v>
      </c>
      <c r="L3411">
        <v>2590.5300000000002</v>
      </c>
    </row>
    <row r="3412" spans="1:12" x14ac:dyDescent="0.25">
      <c r="A3412" t="str">
        <f t="shared" si="751"/>
        <v>89301000</v>
      </c>
      <c r="B3412" t="str">
        <f t="shared" si="752"/>
        <v>78915000</v>
      </c>
      <c r="C3412" t="str">
        <f t="shared" si="753"/>
        <v>78915001</v>
      </c>
      <c r="D3412" t="str">
        <f t="shared" si="750"/>
        <v>809</v>
      </c>
      <c r="E3412" t="str">
        <f>"89301045"</f>
        <v>89301045</v>
      </c>
      <c r="F3412" t="str">
        <f>"6960165762"</f>
        <v>6960165762</v>
      </c>
      <c r="G3412" s="1">
        <v>44671</v>
      </c>
      <c r="H3412" t="str">
        <f>"89715"</f>
        <v>89715</v>
      </c>
      <c r="I3412">
        <v>1</v>
      </c>
      <c r="J3412">
        <v>5474</v>
      </c>
      <c r="K3412">
        <v>0</v>
      </c>
      <c r="L3412">
        <v>3284.4</v>
      </c>
    </row>
    <row r="3413" spans="1:12" x14ac:dyDescent="0.25">
      <c r="A3413" t="str">
        <f t="shared" si="751"/>
        <v>89301000</v>
      </c>
      <c r="B3413" t="str">
        <f t="shared" si="752"/>
        <v>78915000</v>
      </c>
      <c r="C3413" t="str">
        <f t="shared" si="753"/>
        <v>78915001</v>
      </c>
      <c r="D3413" t="str">
        <f t="shared" si="750"/>
        <v>809</v>
      </c>
      <c r="E3413" t="str">
        <f>"89301045"</f>
        <v>89301045</v>
      </c>
      <c r="F3413" t="str">
        <f>"6960165762"</f>
        <v>6960165762</v>
      </c>
      <c r="G3413" s="1">
        <v>44671</v>
      </c>
      <c r="H3413" t="str">
        <f>"89725"</f>
        <v>89725</v>
      </c>
      <c r="I3413">
        <v>1</v>
      </c>
      <c r="J3413">
        <v>2839</v>
      </c>
      <c r="K3413">
        <v>0</v>
      </c>
      <c r="L3413">
        <v>1703.4</v>
      </c>
    </row>
    <row r="3414" spans="1:12" x14ac:dyDescent="0.25">
      <c r="A3414" t="str">
        <f t="shared" si="751"/>
        <v>89301000</v>
      </c>
      <c r="B3414" t="str">
        <f t="shared" si="752"/>
        <v>78915000</v>
      </c>
      <c r="C3414" t="str">
        <f t="shared" si="753"/>
        <v>78915001</v>
      </c>
      <c r="D3414" t="str">
        <f t="shared" si="750"/>
        <v>809</v>
      </c>
      <c r="E3414" t="str">
        <f>"89301045"</f>
        <v>89301045</v>
      </c>
      <c r="F3414" t="str">
        <f>"6960165762"</f>
        <v>6960165762</v>
      </c>
      <c r="G3414" s="1">
        <v>44671</v>
      </c>
      <c r="H3414" t="str">
        <f>"0207733"</f>
        <v>0207733</v>
      </c>
      <c r="I3414">
        <v>1.4</v>
      </c>
      <c r="K3414">
        <v>3626.74</v>
      </c>
      <c r="L3414">
        <v>3626.74</v>
      </c>
    </row>
    <row r="3415" spans="1:12" x14ac:dyDescent="0.25">
      <c r="A3415" t="str">
        <f t="shared" si="751"/>
        <v>89301000</v>
      </c>
      <c r="B3415" t="str">
        <f t="shared" si="752"/>
        <v>78915000</v>
      </c>
      <c r="C3415" t="str">
        <f t="shared" si="753"/>
        <v>78915001</v>
      </c>
      <c r="D3415" t="str">
        <f t="shared" si="750"/>
        <v>809</v>
      </c>
      <c r="E3415" t="str">
        <f>"89301112"</f>
        <v>89301112</v>
      </c>
      <c r="F3415" t="str">
        <f>"7609134456"</f>
        <v>7609134456</v>
      </c>
      <c r="G3415" s="1">
        <v>44676</v>
      </c>
      <c r="H3415" t="str">
        <f>"09569"</f>
        <v>09569</v>
      </c>
      <c r="I3415">
        <v>1</v>
      </c>
      <c r="J3415">
        <v>0</v>
      </c>
      <c r="K3415">
        <v>0</v>
      </c>
      <c r="L3415">
        <v>0</v>
      </c>
    </row>
    <row r="3416" spans="1:12" x14ac:dyDescent="0.25">
      <c r="A3416" t="str">
        <f t="shared" si="751"/>
        <v>89301000</v>
      </c>
      <c r="B3416" t="str">
        <f t="shared" si="752"/>
        <v>78915000</v>
      </c>
      <c r="C3416" t="str">
        <f t="shared" si="753"/>
        <v>78915001</v>
      </c>
      <c r="D3416" t="str">
        <f t="shared" si="750"/>
        <v>809</v>
      </c>
      <c r="E3416" t="str">
        <f>"89301112"</f>
        <v>89301112</v>
      </c>
      <c r="F3416" t="str">
        <f>"7609134456"</f>
        <v>7609134456</v>
      </c>
      <c r="G3416" s="1">
        <v>44676</v>
      </c>
      <c r="H3416" t="str">
        <f>"89713"</f>
        <v>89713</v>
      </c>
      <c r="I3416">
        <v>1</v>
      </c>
      <c r="J3416">
        <v>5362</v>
      </c>
      <c r="K3416">
        <v>0</v>
      </c>
      <c r="L3416">
        <v>3217.2</v>
      </c>
    </row>
    <row r="3417" spans="1:12" x14ac:dyDescent="0.25">
      <c r="A3417" t="str">
        <f t="shared" si="751"/>
        <v>89301000</v>
      </c>
      <c r="B3417" t="str">
        <f t="shared" si="752"/>
        <v>78915000</v>
      </c>
      <c r="C3417" t="str">
        <f t="shared" si="753"/>
        <v>78915001</v>
      </c>
      <c r="D3417" t="str">
        <f t="shared" si="750"/>
        <v>809</v>
      </c>
      <c r="E3417" t="str">
        <f>"89301112"</f>
        <v>89301112</v>
      </c>
      <c r="F3417" t="str">
        <f>"7752075353"</f>
        <v>7752075353</v>
      </c>
      <c r="G3417" s="1">
        <v>44680</v>
      </c>
      <c r="H3417" t="str">
        <f>"09569"</f>
        <v>09569</v>
      </c>
      <c r="I3417">
        <v>1</v>
      </c>
      <c r="J3417">
        <v>0</v>
      </c>
      <c r="K3417">
        <v>0</v>
      </c>
      <c r="L3417">
        <v>0</v>
      </c>
    </row>
    <row r="3418" spans="1:12" x14ac:dyDescent="0.25">
      <c r="A3418" t="str">
        <f t="shared" si="751"/>
        <v>89301000</v>
      </c>
      <c r="B3418" t="str">
        <f t="shared" si="752"/>
        <v>78915000</v>
      </c>
      <c r="C3418" t="str">
        <f t="shared" si="753"/>
        <v>78915001</v>
      </c>
      <c r="D3418" t="str">
        <f t="shared" si="750"/>
        <v>809</v>
      </c>
      <c r="E3418" t="str">
        <f>"89301112"</f>
        <v>89301112</v>
      </c>
      <c r="F3418" t="str">
        <f>"7752075353"</f>
        <v>7752075353</v>
      </c>
      <c r="G3418" s="1">
        <v>44680</v>
      </c>
      <c r="H3418" t="str">
        <f>"89713"</f>
        <v>89713</v>
      </c>
      <c r="I3418">
        <v>1</v>
      </c>
      <c r="J3418">
        <v>5362</v>
      </c>
      <c r="K3418">
        <v>0</v>
      </c>
      <c r="L3418">
        <v>3217.2</v>
      </c>
    </row>
    <row r="3419" spans="1:12" x14ac:dyDescent="0.25">
      <c r="A3419" t="str">
        <f t="shared" si="751"/>
        <v>89301000</v>
      </c>
      <c r="B3419" t="str">
        <f t="shared" si="752"/>
        <v>78915000</v>
      </c>
      <c r="C3419" t="str">
        <f t="shared" si="753"/>
        <v>78915001</v>
      </c>
      <c r="D3419" t="str">
        <f t="shared" ref="D3419:D3450" si="754">"809"</f>
        <v>809</v>
      </c>
      <c r="E3419" t="str">
        <f>"89301212"</f>
        <v>89301212</v>
      </c>
      <c r="F3419" t="str">
        <f>"7758205334"</f>
        <v>7758205334</v>
      </c>
      <c r="G3419" s="1">
        <v>44678</v>
      </c>
      <c r="H3419" t="str">
        <f>"89715"</f>
        <v>89715</v>
      </c>
      <c r="I3419">
        <v>1</v>
      </c>
      <c r="J3419">
        <v>5474</v>
      </c>
      <c r="K3419">
        <v>0</v>
      </c>
      <c r="L3419">
        <v>3284.4</v>
      </c>
    </row>
    <row r="3420" spans="1:12" x14ac:dyDescent="0.25">
      <c r="A3420" t="str">
        <f t="shared" si="751"/>
        <v>89301000</v>
      </c>
      <c r="B3420" t="str">
        <f t="shared" si="752"/>
        <v>78915000</v>
      </c>
      <c r="C3420" t="str">
        <f t="shared" si="753"/>
        <v>78915001</v>
      </c>
      <c r="D3420" t="str">
        <f t="shared" si="754"/>
        <v>809</v>
      </c>
      <c r="E3420" t="str">
        <f>"89301212"</f>
        <v>89301212</v>
      </c>
      <c r="F3420" t="str">
        <f>"7758205334"</f>
        <v>7758205334</v>
      </c>
      <c r="G3420" s="1">
        <v>44678</v>
      </c>
      <c r="H3420" t="str">
        <f>"89725"</f>
        <v>89725</v>
      </c>
      <c r="I3420">
        <v>1</v>
      </c>
      <c r="J3420">
        <v>2839</v>
      </c>
      <c r="K3420">
        <v>0</v>
      </c>
      <c r="L3420">
        <v>1703.4</v>
      </c>
    </row>
    <row r="3421" spans="1:12" x14ac:dyDescent="0.25">
      <c r="A3421" t="str">
        <f t="shared" si="751"/>
        <v>89301000</v>
      </c>
      <c r="B3421" t="str">
        <f t="shared" si="752"/>
        <v>78915000</v>
      </c>
      <c r="C3421" t="str">
        <f t="shared" si="753"/>
        <v>78915001</v>
      </c>
      <c r="D3421" t="str">
        <f t="shared" si="754"/>
        <v>809</v>
      </c>
      <c r="E3421" t="str">
        <f>"89301212"</f>
        <v>89301212</v>
      </c>
      <c r="F3421" t="str">
        <f>"7758205334"</f>
        <v>7758205334</v>
      </c>
      <c r="G3421" s="1">
        <v>44678</v>
      </c>
      <c r="H3421" t="str">
        <f>"0207733"</f>
        <v>0207733</v>
      </c>
      <c r="I3421">
        <v>1</v>
      </c>
      <c r="K3421">
        <v>2590.5300000000002</v>
      </c>
      <c r="L3421">
        <v>2590.5300000000002</v>
      </c>
    </row>
    <row r="3422" spans="1:12" x14ac:dyDescent="0.25">
      <c r="A3422" t="str">
        <f t="shared" si="751"/>
        <v>89301000</v>
      </c>
      <c r="B3422" t="str">
        <f t="shared" si="752"/>
        <v>78915000</v>
      </c>
      <c r="C3422" t="str">
        <f t="shared" si="753"/>
        <v>78915001</v>
      </c>
      <c r="D3422" t="str">
        <f t="shared" si="754"/>
        <v>809</v>
      </c>
      <c r="E3422" t="str">
        <f>"89301292"</f>
        <v>89301292</v>
      </c>
      <c r="F3422" t="str">
        <f>"8253069924"</f>
        <v>8253069924</v>
      </c>
      <c r="G3422" s="1">
        <v>44660</v>
      </c>
      <c r="H3422" t="str">
        <f>"89715"</f>
        <v>89715</v>
      </c>
      <c r="I3422">
        <v>1</v>
      </c>
      <c r="J3422">
        <v>5474</v>
      </c>
      <c r="K3422">
        <v>0</v>
      </c>
      <c r="L3422">
        <v>3284.4</v>
      </c>
    </row>
    <row r="3423" spans="1:12" x14ac:dyDescent="0.25">
      <c r="A3423" t="str">
        <f t="shared" si="751"/>
        <v>89301000</v>
      </c>
      <c r="B3423" t="str">
        <f t="shared" si="752"/>
        <v>78915000</v>
      </c>
      <c r="C3423" t="str">
        <f t="shared" si="753"/>
        <v>78915001</v>
      </c>
      <c r="D3423" t="str">
        <f t="shared" si="754"/>
        <v>809</v>
      </c>
      <c r="E3423" t="str">
        <f>"89301292"</f>
        <v>89301292</v>
      </c>
      <c r="F3423" t="str">
        <f>"8253069924"</f>
        <v>8253069924</v>
      </c>
      <c r="G3423" s="1">
        <v>44660</v>
      </c>
      <c r="H3423" t="str">
        <f>"89725"</f>
        <v>89725</v>
      </c>
      <c r="I3423">
        <v>1</v>
      </c>
      <c r="J3423">
        <v>2839</v>
      </c>
      <c r="K3423">
        <v>0</v>
      </c>
      <c r="L3423">
        <v>1703.4</v>
      </c>
    </row>
    <row r="3424" spans="1:12" x14ac:dyDescent="0.25">
      <c r="A3424" t="str">
        <f t="shared" si="751"/>
        <v>89301000</v>
      </c>
      <c r="B3424" t="str">
        <f t="shared" si="752"/>
        <v>78915000</v>
      </c>
      <c r="C3424" t="str">
        <f t="shared" si="753"/>
        <v>78915001</v>
      </c>
      <c r="D3424" t="str">
        <f t="shared" si="754"/>
        <v>809</v>
      </c>
      <c r="E3424" t="str">
        <f>"89301292"</f>
        <v>89301292</v>
      </c>
      <c r="F3424" t="str">
        <f>"8253069924"</f>
        <v>8253069924</v>
      </c>
      <c r="G3424" s="1">
        <v>44660</v>
      </c>
      <c r="H3424" t="str">
        <f>"0207733"</f>
        <v>0207733</v>
      </c>
      <c r="I3424">
        <v>1</v>
      </c>
      <c r="K3424">
        <v>2590.5300000000002</v>
      </c>
      <c r="L3424">
        <v>2590.5300000000002</v>
      </c>
    </row>
    <row r="3425" spans="1:12" x14ac:dyDescent="0.25">
      <c r="A3425" t="str">
        <f t="shared" si="751"/>
        <v>89301000</v>
      </c>
      <c r="B3425" t="str">
        <f t="shared" si="752"/>
        <v>78915000</v>
      </c>
      <c r="C3425" t="str">
        <f t="shared" si="753"/>
        <v>78915001</v>
      </c>
      <c r="D3425" t="str">
        <f t="shared" si="754"/>
        <v>809</v>
      </c>
      <c r="E3425" t="str">
        <f>"89301062"</f>
        <v>89301062</v>
      </c>
      <c r="F3425" t="str">
        <f>"8751215990"</f>
        <v>8751215990</v>
      </c>
      <c r="G3425" s="1">
        <v>44677</v>
      </c>
      <c r="H3425" t="str">
        <f>"89715"</f>
        <v>89715</v>
      </c>
      <c r="I3425">
        <v>1</v>
      </c>
      <c r="J3425">
        <v>5474</v>
      </c>
      <c r="K3425">
        <v>0</v>
      </c>
      <c r="L3425">
        <v>3284.4</v>
      </c>
    </row>
    <row r="3426" spans="1:12" x14ac:dyDescent="0.25">
      <c r="A3426" t="str">
        <f t="shared" si="751"/>
        <v>89301000</v>
      </c>
      <c r="B3426" t="str">
        <f t="shared" si="752"/>
        <v>78915000</v>
      </c>
      <c r="C3426" t="str">
        <f t="shared" si="753"/>
        <v>78915001</v>
      </c>
      <c r="D3426" t="str">
        <f t="shared" si="754"/>
        <v>809</v>
      </c>
      <c r="E3426" t="str">
        <f>"89301062"</f>
        <v>89301062</v>
      </c>
      <c r="F3426" t="str">
        <f>"8751215990"</f>
        <v>8751215990</v>
      </c>
      <c r="G3426" s="1">
        <v>44677</v>
      </c>
      <c r="H3426" t="str">
        <f>"89725"</f>
        <v>89725</v>
      </c>
      <c r="I3426">
        <v>1</v>
      </c>
      <c r="J3426">
        <v>2839</v>
      </c>
      <c r="K3426">
        <v>0</v>
      </c>
      <c r="L3426">
        <v>1703.4</v>
      </c>
    </row>
    <row r="3427" spans="1:12" x14ac:dyDescent="0.25">
      <c r="A3427" t="str">
        <f t="shared" si="751"/>
        <v>89301000</v>
      </c>
      <c r="B3427" t="str">
        <f t="shared" si="752"/>
        <v>78915000</v>
      </c>
      <c r="C3427" t="str">
        <f t="shared" si="753"/>
        <v>78915001</v>
      </c>
      <c r="D3427" t="str">
        <f t="shared" si="754"/>
        <v>809</v>
      </c>
      <c r="E3427" t="str">
        <f>"89301062"</f>
        <v>89301062</v>
      </c>
      <c r="F3427" t="str">
        <f>"8751215990"</f>
        <v>8751215990</v>
      </c>
      <c r="G3427" s="1">
        <v>44677</v>
      </c>
      <c r="H3427" t="str">
        <f>"0207733"</f>
        <v>0207733</v>
      </c>
      <c r="I3427">
        <v>1.06</v>
      </c>
      <c r="K3427">
        <v>2745.96</v>
      </c>
      <c r="L3427">
        <v>2745.96</v>
      </c>
    </row>
    <row r="3428" spans="1:12" x14ac:dyDescent="0.25">
      <c r="A3428" t="str">
        <f t="shared" si="751"/>
        <v>89301000</v>
      </c>
      <c r="B3428" t="str">
        <f t="shared" si="752"/>
        <v>78915000</v>
      </c>
      <c r="C3428" t="str">
        <f t="shared" si="753"/>
        <v>78915001</v>
      </c>
      <c r="D3428" t="str">
        <f t="shared" si="754"/>
        <v>809</v>
      </c>
      <c r="E3428" t="str">
        <f>"89301112"</f>
        <v>89301112</v>
      </c>
      <c r="F3428" t="str">
        <f>"9306025707"</f>
        <v>9306025707</v>
      </c>
      <c r="G3428" s="1">
        <v>44652</v>
      </c>
      <c r="H3428" t="str">
        <f>"09567"</f>
        <v>09567</v>
      </c>
      <c r="I3428">
        <v>1</v>
      </c>
      <c r="J3428">
        <v>0</v>
      </c>
      <c r="K3428">
        <v>0</v>
      </c>
      <c r="L3428">
        <v>0</v>
      </c>
    </row>
    <row r="3429" spans="1:12" x14ac:dyDescent="0.25">
      <c r="A3429" t="str">
        <f t="shared" si="751"/>
        <v>89301000</v>
      </c>
      <c r="B3429" t="str">
        <f t="shared" si="752"/>
        <v>78915000</v>
      </c>
      <c r="C3429" t="str">
        <f t="shared" si="753"/>
        <v>78915001</v>
      </c>
      <c r="D3429" t="str">
        <f t="shared" si="754"/>
        <v>809</v>
      </c>
      <c r="E3429" t="str">
        <f>"89301112"</f>
        <v>89301112</v>
      </c>
      <c r="F3429" t="str">
        <f>"9306025707"</f>
        <v>9306025707</v>
      </c>
      <c r="G3429" s="1">
        <v>44652</v>
      </c>
      <c r="H3429" t="str">
        <f>"89713"</f>
        <v>89713</v>
      </c>
      <c r="I3429">
        <v>1</v>
      </c>
      <c r="J3429">
        <v>5362</v>
      </c>
      <c r="K3429">
        <v>0</v>
      </c>
      <c r="L3429">
        <v>3217.2</v>
      </c>
    </row>
    <row r="3430" spans="1:12" x14ac:dyDescent="0.25">
      <c r="A3430" t="str">
        <f t="shared" si="751"/>
        <v>89301000</v>
      </c>
      <c r="B3430" t="str">
        <f t="shared" si="752"/>
        <v>78915000</v>
      </c>
      <c r="C3430" t="str">
        <f t="shared" si="753"/>
        <v>78915001</v>
      </c>
      <c r="D3430" t="str">
        <f t="shared" si="754"/>
        <v>809</v>
      </c>
      <c r="E3430" t="str">
        <f>"89301172"</f>
        <v>89301172</v>
      </c>
      <c r="F3430" t="str">
        <f>"9755045729"</f>
        <v>9755045729</v>
      </c>
      <c r="G3430" s="1">
        <v>44656</v>
      </c>
      <c r="H3430" t="str">
        <f>"89713"</f>
        <v>89713</v>
      </c>
      <c r="I3430">
        <v>2</v>
      </c>
      <c r="J3430">
        <v>10724</v>
      </c>
      <c r="K3430">
        <v>0</v>
      </c>
      <c r="L3430">
        <v>6434.4</v>
      </c>
    </row>
    <row r="3431" spans="1:12" x14ac:dyDescent="0.25">
      <c r="A3431" t="str">
        <f t="shared" si="751"/>
        <v>89301000</v>
      </c>
      <c r="B3431" t="str">
        <f t="shared" si="752"/>
        <v>78915000</v>
      </c>
      <c r="C3431" t="str">
        <f t="shared" si="753"/>
        <v>78915001</v>
      </c>
      <c r="D3431" t="str">
        <f t="shared" si="754"/>
        <v>809</v>
      </c>
      <c r="E3431" t="str">
        <f>"89301172"</f>
        <v>89301172</v>
      </c>
      <c r="F3431" t="str">
        <f>"9755045729"</f>
        <v>9755045729</v>
      </c>
      <c r="G3431" s="1">
        <v>44656</v>
      </c>
      <c r="H3431" t="str">
        <f>"89725"</f>
        <v>89725</v>
      </c>
      <c r="I3431">
        <v>1</v>
      </c>
      <c r="J3431">
        <v>2839</v>
      </c>
      <c r="K3431">
        <v>0</v>
      </c>
      <c r="L3431">
        <v>1703.4</v>
      </c>
    </row>
    <row r="3432" spans="1:12" x14ac:dyDescent="0.25">
      <c r="A3432" t="str">
        <f t="shared" si="751"/>
        <v>89301000</v>
      </c>
      <c r="B3432" t="str">
        <f t="shared" si="752"/>
        <v>78915000</v>
      </c>
      <c r="C3432" t="str">
        <f t="shared" si="753"/>
        <v>78915001</v>
      </c>
      <c r="D3432" t="str">
        <f t="shared" si="754"/>
        <v>809</v>
      </c>
      <c r="E3432" t="str">
        <f>"89301112"</f>
        <v>89301112</v>
      </c>
      <c r="F3432" t="str">
        <f>"9852273772"</f>
        <v>9852273772</v>
      </c>
      <c r="G3432" s="1">
        <v>44676</v>
      </c>
      <c r="H3432" t="str">
        <f>"09569"</f>
        <v>09569</v>
      </c>
      <c r="I3432">
        <v>1</v>
      </c>
      <c r="J3432">
        <v>0</v>
      </c>
      <c r="K3432">
        <v>0</v>
      </c>
      <c r="L3432">
        <v>0</v>
      </c>
    </row>
    <row r="3433" spans="1:12" x14ac:dyDescent="0.25">
      <c r="A3433" t="str">
        <f t="shared" si="751"/>
        <v>89301000</v>
      </c>
      <c r="B3433" t="str">
        <f t="shared" si="752"/>
        <v>78915000</v>
      </c>
      <c r="C3433" t="str">
        <f t="shared" si="753"/>
        <v>78915001</v>
      </c>
      <c r="D3433" t="str">
        <f t="shared" si="754"/>
        <v>809</v>
      </c>
      <c r="E3433" t="str">
        <f>"89301112"</f>
        <v>89301112</v>
      </c>
      <c r="F3433" t="str">
        <f>"9852273772"</f>
        <v>9852273772</v>
      </c>
      <c r="G3433" s="1">
        <v>44676</v>
      </c>
      <c r="H3433" t="str">
        <f>"89713"</f>
        <v>89713</v>
      </c>
      <c r="I3433">
        <v>1</v>
      </c>
      <c r="J3433">
        <v>5362</v>
      </c>
      <c r="K3433">
        <v>0</v>
      </c>
      <c r="L3433">
        <v>3217.2</v>
      </c>
    </row>
    <row r="3434" spans="1:12" x14ac:dyDescent="0.25">
      <c r="A3434" t="str">
        <f t="shared" si="751"/>
        <v>89301000</v>
      </c>
      <c r="B3434" t="str">
        <f t="shared" si="752"/>
        <v>78915000</v>
      </c>
      <c r="C3434" t="str">
        <f t="shared" si="753"/>
        <v>78915001</v>
      </c>
      <c r="D3434" t="str">
        <f t="shared" si="754"/>
        <v>809</v>
      </c>
      <c r="E3434" t="str">
        <f>"89301112"</f>
        <v>89301112</v>
      </c>
      <c r="F3434" t="str">
        <f>"9902114849"</f>
        <v>9902114849</v>
      </c>
      <c r="G3434" s="1">
        <v>44659</v>
      </c>
      <c r="H3434" t="str">
        <f>"09567"</f>
        <v>09567</v>
      </c>
      <c r="I3434">
        <v>1</v>
      </c>
      <c r="J3434">
        <v>0</v>
      </c>
      <c r="K3434">
        <v>0</v>
      </c>
      <c r="L3434">
        <v>0</v>
      </c>
    </row>
    <row r="3435" spans="1:12" x14ac:dyDescent="0.25">
      <c r="A3435" t="str">
        <f t="shared" si="751"/>
        <v>89301000</v>
      </c>
      <c r="B3435" t="str">
        <f t="shared" si="752"/>
        <v>78915000</v>
      </c>
      <c r="C3435" t="str">
        <f t="shared" si="753"/>
        <v>78915001</v>
      </c>
      <c r="D3435" t="str">
        <f t="shared" si="754"/>
        <v>809</v>
      </c>
      <c r="E3435" t="str">
        <f>"89301112"</f>
        <v>89301112</v>
      </c>
      <c r="F3435" t="str">
        <f>"9902114849"</f>
        <v>9902114849</v>
      </c>
      <c r="G3435" s="1">
        <v>44659</v>
      </c>
      <c r="H3435" t="str">
        <f>"89713"</f>
        <v>89713</v>
      </c>
      <c r="I3435">
        <v>1</v>
      </c>
      <c r="J3435">
        <v>5362</v>
      </c>
      <c r="K3435">
        <v>0</v>
      </c>
      <c r="L3435">
        <v>3217.2</v>
      </c>
    </row>
    <row r="3436" spans="1:12" x14ac:dyDescent="0.25">
      <c r="A3436" t="str">
        <f t="shared" si="751"/>
        <v>89301000</v>
      </c>
      <c r="B3436" t="str">
        <f t="shared" ref="B3436:C3455" si="755">"89063000"</f>
        <v>89063000</v>
      </c>
      <c r="C3436" t="str">
        <f t="shared" si="755"/>
        <v>89063000</v>
      </c>
      <c r="D3436" t="str">
        <f t="shared" si="754"/>
        <v>809</v>
      </c>
      <c r="E3436" t="str">
        <f>"89301037"</f>
        <v>89301037</v>
      </c>
      <c r="F3436" t="str">
        <f>"405113442"</f>
        <v>405113442</v>
      </c>
      <c r="G3436" s="1">
        <v>44652</v>
      </c>
      <c r="H3436" t="str">
        <f t="shared" ref="H3436:H3467" si="756">"89312"</f>
        <v>89312</v>
      </c>
      <c r="I3436">
        <v>3</v>
      </c>
      <c r="J3436">
        <v>906</v>
      </c>
      <c r="K3436">
        <v>0</v>
      </c>
      <c r="L3436">
        <v>951.3</v>
      </c>
    </row>
    <row r="3437" spans="1:12" x14ac:dyDescent="0.25">
      <c r="A3437" t="str">
        <f t="shared" si="751"/>
        <v>89301000</v>
      </c>
      <c r="B3437" t="str">
        <f t="shared" si="755"/>
        <v>89063000</v>
      </c>
      <c r="C3437" t="str">
        <f t="shared" si="755"/>
        <v>89063000</v>
      </c>
      <c r="D3437" t="str">
        <f t="shared" si="754"/>
        <v>809</v>
      </c>
      <c r="E3437" t="str">
        <f>"89301032"</f>
        <v>89301032</v>
      </c>
      <c r="F3437" t="str">
        <f>"7861265390"</f>
        <v>7861265390</v>
      </c>
      <c r="G3437" s="1">
        <v>44652</v>
      </c>
      <c r="H3437" t="str">
        <f t="shared" si="756"/>
        <v>89312</v>
      </c>
      <c r="I3437">
        <v>3</v>
      </c>
      <c r="J3437">
        <v>906</v>
      </c>
      <c r="K3437">
        <v>0</v>
      </c>
      <c r="L3437">
        <v>951.3</v>
      </c>
    </row>
    <row r="3438" spans="1:12" x14ac:dyDescent="0.25">
      <c r="A3438" t="str">
        <f t="shared" si="751"/>
        <v>89301000</v>
      </c>
      <c r="B3438" t="str">
        <f t="shared" si="755"/>
        <v>89063000</v>
      </c>
      <c r="C3438" t="str">
        <f t="shared" si="755"/>
        <v>89063000</v>
      </c>
      <c r="D3438" t="str">
        <f t="shared" si="754"/>
        <v>809</v>
      </c>
      <c r="E3438" t="str">
        <f>"89301212"</f>
        <v>89301212</v>
      </c>
      <c r="F3438" t="str">
        <f>"6602221186"</f>
        <v>6602221186</v>
      </c>
      <c r="G3438" s="1">
        <v>44652</v>
      </c>
      <c r="H3438" t="str">
        <f t="shared" si="756"/>
        <v>89312</v>
      </c>
      <c r="I3438">
        <v>3</v>
      </c>
      <c r="J3438">
        <v>906</v>
      </c>
      <c r="K3438">
        <v>0</v>
      </c>
      <c r="L3438">
        <v>951.3</v>
      </c>
    </row>
    <row r="3439" spans="1:12" x14ac:dyDescent="0.25">
      <c r="A3439" t="str">
        <f t="shared" si="751"/>
        <v>89301000</v>
      </c>
      <c r="B3439" t="str">
        <f t="shared" si="755"/>
        <v>89063000</v>
      </c>
      <c r="C3439" t="str">
        <f t="shared" si="755"/>
        <v>89063000</v>
      </c>
      <c r="D3439" t="str">
        <f t="shared" si="754"/>
        <v>809</v>
      </c>
      <c r="E3439" t="str">
        <f>"89301037"</f>
        <v>89301037</v>
      </c>
      <c r="F3439" t="str">
        <f>"5457302389"</f>
        <v>5457302389</v>
      </c>
      <c r="G3439" s="1">
        <v>44655</v>
      </c>
      <c r="H3439" t="str">
        <f t="shared" si="756"/>
        <v>89312</v>
      </c>
      <c r="I3439">
        <v>3</v>
      </c>
      <c r="J3439">
        <v>906</v>
      </c>
      <c r="K3439">
        <v>0</v>
      </c>
      <c r="L3439">
        <v>951.3</v>
      </c>
    </row>
    <row r="3440" spans="1:12" x14ac:dyDescent="0.25">
      <c r="A3440" t="str">
        <f t="shared" si="751"/>
        <v>89301000</v>
      </c>
      <c r="B3440" t="str">
        <f t="shared" si="755"/>
        <v>89063000</v>
      </c>
      <c r="C3440" t="str">
        <f t="shared" si="755"/>
        <v>89063000</v>
      </c>
      <c r="D3440" t="str">
        <f t="shared" si="754"/>
        <v>809</v>
      </c>
      <c r="E3440" t="str">
        <f>"89301037"</f>
        <v>89301037</v>
      </c>
      <c r="F3440" t="str">
        <f>"6151181091"</f>
        <v>6151181091</v>
      </c>
      <c r="G3440" s="1">
        <v>44655</v>
      </c>
      <c r="H3440" t="str">
        <f t="shared" si="756"/>
        <v>89312</v>
      </c>
      <c r="I3440">
        <v>3</v>
      </c>
      <c r="J3440">
        <v>906</v>
      </c>
      <c r="K3440">
        <v>0</v>
      </c>
      <c r="L3440">
        <v>951.3</v>
      </c>
    </row>
    <row r="3441" spans="1:12" x14ac:dyDescent="0.25">
      <c r="A3441" t="str">
        <f t="shared" si="751"/>
        <v>89301000</v>
      </c>
      <c r="B3441" t="str">
        <f t="shared" si="755"/>
        <v>89063000</v>
      </c>
      <c r="C3441" t="str">
        <f t="shared" si="755"/>
        <v>89063000</v>
      </c>
      <c r="D3441" t="str">
        <f t="shared" si="754"/>
        <v>809</v>
      </c>
      <c r="E3441" t="str">
        <f>"89301037"</f>
        <v>89301037</v>
      </c>
      <c r="F3441" t="str">
        <f>"5556161644"</f>
        <v>5556161644</v>
      </c>
      <c r="G3441" s="1">
        <v>44655</v>
      </c>
      <c r="H3441" t="str">
        <f t="shared" si="756"/>
        <v>89312</v>
      </c>
      <c r="I3441">
        <v>3</v>
      </c>
      <c r="J3441">
        <v>906</v>
      </c>
      <c r="K3441">
        <v>0</v>
      </c>
      <c r="L3441">
        <v>951.3</v>
      </c>
    </row>
    <row r="3442" spans="1:12" x14ac:dyDescent="0.25">
      <c r="A3442" t="str">
        <f t="shared" si="751"/>
        <v>89301000</v>
      </c>
      <c r="B3442" t="str">
        <f t="shared" si="755"/>
        <v>89063000</v>
      </c>
      <c r="C3442" t="str">
        <f t="shared" si="755"/>
        <v>89063000</v>
      </c>
      <c r="D3442" t="str">
        <f t="shared" si="754"/>
        <v>809</v>
      </c>
      <c r="E3442" t="str">
        <f>"89301037"</f>
        <v>89301037</v>
      </c>
      <c r="F3442" t="str">
        <f>"8702235817"</f>
        <v>8702235817</v>
      </c>
      <c r="G3442" s="1">
        <v>44655</v>
      </c>
      <c r="H3442" t="str">
        <f t="shared" si="756"/>
        <v>89312</v>
      </c>
      <c r="I3442">
        <v>3</v>
      </c>
      <c r="J3442">
        <v>906</v>
      </c>
      <c r="K3442">
        <v>0</v>
      </c>
      <c r="L3442">
        <v>951.3</v>
      </c>
    </row>
    <row r="3443" spans="1:12" x14ac:dyDescent="0.25">
      <c r="A3443" t="str">
        <f t="shared" si="751"/>
        <v>89301000</v>
      </c>
      <c r="B3443" t="str">
        <f t="shared" si="755"/>
        <v>89063000</v>
      </c>
      <c r="C3443" t="str">
        <f t="shared" si="755"/>
        <v>89063000</v>
      </c>
      <c r="D3443" t="str">
        <f t="shared" si="754"/>
        <v>809</v>
      </c>
      <c r="E3443" t="str">
        <f>"89301102"</f>
        <v>89301102</v>
      </c>
      <c r="F3443" t="str">
        <f>"1458070383"</f>
        <v>1458070383</v>
      </c>
      <c r="G3443" s="1">
        <v>44655</v>
      </c>
      <c r="H3443" t="str">
        <f t="shared" si="756"/>
        <v>89312</v>
      </c>
      <c r="I3443">
        <v>1</v>
      </c>
      <c r="J3443">
        <v>302</v>
      </c>
      <c r="K3443">
        <v>0</v>
      </c>
      <c r="L3443">
        <v>317.10000000000002</v>
      </c>
    </row>
    <row r="3444" spans="1:12" x14ac:dyDescent="0.25">
      <c r="A3444" t="str">
        <f t="shared" si="751"/>
        <v>89301000</v>
      </c>
      <c r="B3444" t="str">
        <f t="shared" si="755"/>
        <v>89063000</v>
      </c>
      <c r="C3444" t="str">
        <f t="shared" si="755"/>
        <v>89063000</v>
      </c>
      <c r="D3444" t="str">
        <f t="shared" si="754"/>
        <v>809</v>
      </c>
      <c r="E3444" t="str">
        <f>"89301037"</f>
        <v>89301037</v>
      </c>
      <c r="F3444" t="str">
        <f>"435301427"</f>
        <v>435301427</v>
      </c>
      <c r="G3444" s="1">
        <v>44656</v>
      </c>
      <c r="H3444" t="str">
        <f t="shared" si="756"/>
        <v>89312</v>
      </c>
      <c r="I3444">
        <v>3</v>
      </c>
      <c r="J3444">
        <v>906</v>
      </c>
      <c r="K3444">
        <v>0</v>
      </c>
      <c r="L3444">
        <v>951.3</v>
      </c>
    </row>
    <row r="3445" spans="1:12" x14ac:dyDescent="0.25">
      <c r="A3445" t="str">
        <f t="shared" si="751"/>
        <v>89301000</v>
      </c>
      <c r="B3445" t="str">
        <f t="shared" si="755"/>
        <v>89063000</v>
      </c>
      <c r="C3445" t="str">
        <f t="shared" si="755"/>
        <v>89063000</v>
      </c>
      <c r="D3445" t="str">
        <f t="shared" si="754"/>
        <v>809</v>
      </c>
      <c r="E3445" t="str">
        <f>"89301037"</f>
        <v>89301037</v>
      </c>
      <c r="F3445" t="str">
        <f>"6358071874"</f>
        <v>6358071874</v>
      </c>
      <c r="G3445" s="1">
        <v>44656</v>
      </c>
      <c r="H3445" t="str">
        <f t="shared" si="756"/>
        <v>89312</v>
      </c>
      <c r="I3445">
        <v>3</v>
      </c>
      <c r="J3445">
        <v>906</v>
      </c>
      <c r="K3445">
        <v>0</v>
      </c>
      <c r="L3445">
        <v>951.3</v>
      </c>
    </row>
    <row r="3446" spans="1:12" x14ac:dyDescent="0.25">
      <c r="A3446" t="str">
        <f t="shared" si="751"/>
        <v>89301000</v>
      </c>
      <c r="B3446" t="str">
        <f t="shared" si="755"/>
        <v>89063000</v>
      </c>
      <c r="C3446" t="str">
        <f t="shared" si="755"/>
        <v>89063000</v>
      </c>
      <c r="D3446" t="str">
        <f t="shared" si="754"/>
        <v>809</v>
      </c>
      <c r="E3446" t="str">
        <f>"89301102"</f>
        <v>89301102</v>
      </c>
      <c r="F3446" t="str">
        <f>"0712286157"</f>
        <v>0712286157</v>
      </c>
      <c r="G3446" s="1">
        <v>44657</v>
      </c>
      <c r="H3446" t="str">
        <f t="shared" si="756"/>
        <v>89312</v>
      </c>
      <c r="I3446">
        <v>1</v>
      </c>
      <c r="J3446">
        <v>302</v>
      </c>
      <c r="K3446">
        <v>0</v>
      </c>
      <c r="L3446">
        <v>317.10000000000002</v>
      </c>
    </row>
    <row r="3447" spans="1:12" x14ac:dyDescent="0.25">
      <c r="A3447" t="str">
        <f t="shared" si="751"/>
        <v>89301000</v>
      </c>
      <c r="B3447" t="str">
        <f t="shared" si="755"/>
        <v>89063000</v>
      </c>
      <c r="C3447" t="str">
        <f t="shared" si="755"/>
        <v>89063000</v>
      </c>
      <c r="D3447" t="str">
        <f t="shared" si="754"/>
        <v>809</v>
      </c>
      <c r="E3447" t="str">
        <f>"89301036"</f>
        <v>89301036</v>
      </c>
      <c r="F3447" t="str">
        <f>"6711210550"</f>
        <v>6711210550</v>
      </c>
      <c r="G3447" s="1">
        <v>44657</v>
      </c>
      <c r="H3447" t="str">
        <f t="shared" si="756"/>
        <v>89312</v>
      </c>
      <c r="I3447">
        <v>3</v>
      </c>
      <c r="J3447">
        <v>906</v>
      </c>
      <c r="K3447">
        <v>0</v>
      </c>
      <c r="L3447">
        <v>951.3</v>
      </c>
    </row>
    <row r="3448" spans="1:12" x14ac:dyDescent="0.25">
      <c r="A3448" t="str">
        <f t="shared" si="751"/>
        <v>89301000</v>
      </c>
      <c r="B3448" t="str">
        <f t="shared" si="755"/>
        <v>89063000</v>
      </c>
      <c r="C3448" t="str">
        <f t="shared" si="755"/>
        <v>89063000</v>
      </c>
      <c r="D3448" t="str">
        <f t="shared" si="754"/>
        <v>809</v>
      </c>
      <c r="E3448" t="str">
        <f>"89301037"</f>
        <v>89301037</v>
      </c>
      <c r="F3448" t="str">
        <f>"5905221564"</f>
        <v>5905221564</v>
      </c>
      <c r="G3448" s="1">
        <v>44658</v>
      </c>
      <c r="H3448" t="str">
        <f t="shared" si="756"/>
        <v>89312</v>
      </c>
      <c r="I3448">
        <v>3</v>
      </c>
      <c r="J3448">
        <v>906</v>
      </c>
      <c r="K3448">
        <v>0</v>
      </c>
      <c r="L3448">
        <v>951.3</v>
      </c>
    </row>
    <row r="3449" spans="1:12" x14ac:dyDescent="0.25">
      <c r="A3449" t="str">
        <f t="shared" si="751"/>
        <v>89301000</v>
      </c>
      <c r="B3449" t="str">
        <f t="shared" si="755"/>
        <v>89063000</v>
      </c>
      <c r="C3449" t="str">
        <f t="shared" si="755"/>
        <v>89063000</v>
      </c>
      <c r="D3449" t="str">
        <f t="shared" si="754"/>
        <v>809</v>
      </c>
      <c r="E3449" t="str">
        <f>"89301039"</f>
        <v>89301039</v>
      </c>
      <c r="F3449" t="str">
        <f>"455908409"</f>
        <v>455908409</v>
      </c>
      <c r="G3449" s="1">
        <v>44658</v>
      </c>
      <c r="H3449" t="str">
        <f t="shared" si="756"/>
        <v>89312</v>
      </c>
      <c r="I3449">
        <v>3</v>
      </c>
      <c r="J3449">
        <v>906</v>
      </c>
      <c r="K3449">
        <v>0</v>
      </c>
      <c r="L3449">
        <v>951.3</v>
      </c>
    </row>
    <row r="3450" spans="1:12" x14ac:dyDescent="0.25">
      <c r="A3450" t="str">
        <f t="shared" si="751"/>
        <v>89301000</v>
      </c>
      <c r="B3450" t="str">
        <f t="shared" si="755"/>
        <v>89063000</v>
      </c>
      <c r="C3450" t="str">
        <f t="shared" si="755"/>
        <v>89063000</v>
      </c>
      <c r="D3450" t="str">
        <f t="shared" si="754"/>
        <v>809</v>
      </c>
      <c r="E3450" t="str">
        <f>"89301082"</f>
        <v>89301082</v>
      </c>
      <c r="F3450" t="str">
        <f>"495610051"</f>
        <v>495610051</v>
      </c>
      <c r="G3450" s="1">
        <v>44658</v>
      </c>
      <c r="H3450" t="str">
        <f t="shared" si="756"/>
        <v>89312</v>
      </c>
      <c r="I3450">
        <v>3</v>
      </c>
      <c r="J3450">
        <v>906</v>
      </c>
      <c r="K3450">
        <v>0</v>
      </c>
      <c r="L3450">
        <v>951.3</v>
      </c>
    </row>
    <row r="3451" spans="1:12" x14ac:dyDescent="0.25">
      <c r="A3451" t="str">
        <f t="shared" si="751"/>
        <v>89301000</v>
      </c>
      <c r="B3451" t="str">
        <f t="shared" si="755"/>
        <v>89063000</v>
      </c>
      <c r="C3451" t="str">
        <f t="shared" si="755"/>
        <v>89063000</v>
      </c>
      <c r="D3451" t="str">
        <f t="shared" ref="D3451:D3484" si="757">"809"</f>
        <v>809</v>
      </c>
      <c r="E3451" t="str">
        <f>"89301102"</f>
        <v>89301102</v>
      </c>
      <c r="F3451" t="str">
        <f>"0862255999"</f>
        <v>0862255999</v>
      </c>
      <c r="G3451" s="1">
        <v>44658</v>
      </c>
      <c r="H3451" t="str">
        <f t="shared" si="756"/>
        <v>89312</v>
      </c>
      <c r="I3451">
        <v>1</v>
      </c>
      <c r="J3451">
        <v>302</v>
      </c>
      <c r="K3451">
        <v>0</v>
      </c>
      <c r="L3451">
        <v>317.10000000000002</v>
      </c>
    </row>
    <row r="3452" spans="1:12" x14ac:dyDescent="0.25">
      <c r="A3452" t="str">
        <f t="shared" si="751"/>
        <v>89301000</v>
      </c>
      <c r="B3452" t="str">
        <f t="shared" si="755"/>
        <v>89063000</v>
      </c>
      <c r="C3452" t="str">
        <f t="shared" si="755"/>
        <v>89063000</v>
      </c>
      <c r="D3452" t="str">
        <f t="shared" si="757"/>
        <v>809</v>
      </c>
      <c r="E3452" t="str">
        <f>"89301036"</f>
        <v>89301036</v>
      </c>
      <c r="F3452" t="str">
        <f>"5455140526"</f>
        <v>5455140526</v>
      </c>
      <c r="G3452" s="1">
        <v>44658</v>
      </c>
      <c r="H3452" t="str">
        <f t="shared" si="756"/>
        <v>89312</v>
      </c>
      <c r="I3452">
        <v>3</v>
      </c>
      <c r="J3452">
        <v>906</v>
      </c>
      <c r="K3452">
        <v>0</v>
      </c>
      <c r="L3452">
        <v>951.3</v>
      </c>
    </row>
    <row r="3453" spans="1:12" x14ac:dyDescent="0.25">
      <c r="A3453" t="str">
        <f t="shared" si="751"/>
        <v>89301000</v>
      </c>
      <c r="B3453" t="str">
        <f t="shared" si="755"/>
        <v>89063000</v>
      </c>
      <c r="C3453" t="str">
        <f t="shared" si="755"/>
        <v>89063000</v>
      </c>
      <c r="D3453" t="str">
        <f t="shared" si="757"/>
        <v>809</v>
      </c>
      <c r="E3453" t="str">
        <f t="shared" ref="E3453:E3461" si="758">"89301037"</f>
        <v>89301037</v>
      </c>
      <c r="F3453" t="str">
        <f>"7901085368"</f>
        <v>7901085368</v>
      </c>
      <c r="G3453" s="1">
        <v>44659</v>
      </c>
      <c r="H3453" t="str">
        <f t="shared" si="756"/>
        <v>89312</v>
      </c>
      <c r="I3453">
        <v>3</v>
      </c>
      <c r="J3453">
        <v>906</v>
      </c>
      <c r="K3453">
        <v>0</v>
      </c>
      <c r="L3453">
        <v>951.3</v>
      </c>
    </row>
    <row r="3454" spans="1:12" x14ac:dyDescent="0.25">
      <c r="A3454" t="str">
        <f t="shared" si="751"/>
        <v>89301000</v>
      </c>
      <c r="B3454" t="str">
        <f t="shared" si="755"/>
        <v>89063000</v>
      </c>
      <c r="C3454" t="str">
        <f t="shared" si="755"/>
        <v>89063000</v>
      </c>
      <c r="D3454" t="str">
        <f t="shared" si="757"/>
        <v>809</v>
      </c>
      <c r="E3454" t="str">
        <f t="shared" si="758"/>
        <v>89301037</v>
      </c>
      <c r="F3454" t="str">
        <f>"7859035778"</f>
        <v>7859035778</v>
      </c>
      <c r="G3454" s="1">
        <v>44659</v>
      </c>
      <c r="H3454" t="str">
        <f t="shared" si="756"/>
        <v>89312</v>
      </c>
      <c r="I3454">
        <v>3</v>
      </c>
      <c r="J3454">
        <v>906</v>
      </c>
      <c r="K3454">
        <v>0</v>
      </c>
      <c r="L3454">
        <v>951.3</v>
      </c>
    </row>
    <row r="3455" spans="1:12" x14ac:dyDescent="0.25">
      <c r="A3455" t="str">
        <f t="shared" si="751"/>
        <v>89301000</v>
      </c>
      <c r="B3455" t="str">
        <f t="shared" si="755"/>
        <v>89063000</v>
      </c>
      <c r="C3455" t="str">
        <f t="shared" si="755"/>
        <v>89063000</v>
      </c>
      <c r="D3455" t="str">
        <f t="shared" si="757"/>
        <v>809</v>
      </c>
      <c r="E3455" t="str">
        <f t="shared" si="758"/>
        <v>89301037</v>
      </c>
      <c r="F3455" t="str">
        <f>"8412084461"</f>
        <v>8412084461</v>
      </c>
      <c r="G3455" s="1">
        <v>44659</v>
      </c>
      <c r="H3455" t="str">
        <f t="shared" si="756"/>
        <v>89312</v>
      </c>
      <c r="I3455">
        <v>3</v>
      </c>
      <c r="J3455">
        <v>906</v>
      </c>
      <c r="K3455">
        <v>0</v>
      </c>
      <c r="L3455">
        <v>951.3</v>
      </c>
    </row>
    <row r="3456" spans="1:12" x14ac:dyDescent="0.25">
      <c r="A3456" t="str">
        <f t="shared" si="751"/>
        <v>89301000</v>
      </c>
      <c r="B3456" t="str">
        <f t="shared" ref="B3456:C3475" si="759">"89063000"</f>
        <v>89063000</v>
      </c>
      <c r="C3456" t="str">
        <f t="shared" si="759"/>
        <v>89063000</v>
      </c>
      <c r="D3456" t="str">
        <f t="shared" si="757"/>
        <v>809</v>
      </c>
      <c r="E3456" t="str">
        <f t="shared" si="758"/>
        <v>89301037</v>
      </c>
      <c r="F3456" t="str">
        <f>"5762210322"</f>
        <v>5762210322</v>
      </c>
      <c r="G3456" s="1">
        <v>44659</v>
      </c>
      <c r="H3456" t="str">
        <f t="shared" si="756"/>
        <v>89312</v>
      </c>
      <c r="I3456">
        <v>3</v>
      </c>
      <c r="J3456">
        <v>906</v>
      </c>
      <c r="K3456">
        <v>0</v>
      </c>
      <c r="L3456">
        <v>951.3</v>
      </c>
    </row>
    <row r="3457" spans="1:12" x14ac:dyDescent="0.25">
      <c r="A3457" t="str">
        <f t="shared" si="751"/>
        <v>89301000</v>
      </c>
      <c r="B3457" t="str">
        <f t="shared" si="759"/>
        <v>89063000</v>
      </c>
      <c r="C3457" t="str">
        <f t="shared" si="759"/>
        <v>89063000</v>
      </c>
      <c r="D3457" t="str">
        <f t="shared" si="757"/>
        <v>809</v>
      </c>
      <c r="E3457" t="str">
        <f t="shared" si="758"/>
        <v>89301037</v>
      </c>
      <c r="F3457" t="str">
        <f>"7258245313"</f>
        <v>7258245313</v>
      </c>
      <c r="G3457" s="1">
        <v>44659</v>
      </c>
      <c r="H3457" t="str">
        <f t="shared" si="756"/>
        <v>89312</v>
      </c>
      <c r="I3457">
        <v>3</v>
      </c>
      <c r="J3457">
        <v>906</v>
      </c>
      <c r="K3457">
        <v>0</v>
      </c>
      <c r="L3457">
        <v>951.3</v>
      </c>
    </row>
    <row r="3458" spans="1:12" x14ac:dyDescent="0.25">
      <c r="A3458" t="str">
        <f t="shared" ref="A3458:A3521" si="760">"89301000"</f>
        <v>89301000</v>
      </c>
      <c r="B3458" t="str">
        <f t="shared" si="759"/>
        <v>89063000</v>
      </c>
      <c r="C3458" t="str">
        <f t="shared" si="759"/>
        <v>89063000</v>
      </c>
      <c r="D3458" t="str">
        <f t="shared" si="757"/>
        <v>809</v>
      </c>
      <c r="E3458" t="str">
        <f t="shared" si="758"/>
        <v>89301037</v>
      </c>
      <c r="F3458" t="str">
        <f>"455519404"</f>
        <v>455519404</v>
      </c>
      <c r="G3458" s="1">
        <v>44659</v>
      </c>
      <c r="H3458" t="str">
        <f t="shared" si="756"/>
        <v>89312</v>
      </c>
      <c r="I3458">
        <v>3</v>
      </c>
      <c r="J3458">
        <v>906</v>
      </c>
      <c r="K3458">
        <v>0</v>
      </c>
      <c r="L3458">
        <v>951.3</v>
      </c>
    </row>
    <row r="3459" spans="1:12" x14ac:dyDescent="0.25">
      <c r="A3459" t="str">
        <f t="shared" si="760"/>
        <v>89301000</v>
      </c>
      <c r="B3459" t="str">
        <f t="shared" si="759"/>
        <v>89063000</v>
      </c>
      <c r="C3459" t="str">
        <f t="shared" si="759"/>
        <v>89063000</v>
      </c>
      <c r="D3459" t="str">
        <f t="shared" si="757"/>
        <v>809</v>
      </c>
      <c r="E3459" t="str">
        <f t="shared" si="758"/>
        <v>89301037</v>
      </c>
      <c r="F3459" t="str">
        <f>"6957075312"</f>
        <v>6957075312</v>
      </c>
      <c r="G3459" s="1">
        <v>44662</v>
      </c>
      <c r="H3459" t="str">
        <f t="shared" si="756"/>
        <v>89312</v>
      </c>
      <c r="I3459">
        <v>3</v>
      </c>
      <c r="J3459">
        <v>906</v>
      </c>
      <c r="K3459">
        <v>0</v>
      </c>
      <c r="L3459">
        <v>951.3</v>
      </c>
    </row>
    <row r="3460" spans="1:12" x14ac:dyDescent="0.25">
      <c r="A3460" t="str">
        <f t="shared" si="760"/>
        <v>89301000</v>
      </c>
      <c r="B3460" t="str">
        <f t="shared" si="759"/>
        <v>89063000</v>
      </c>
      <c r="C3460" t="str">
        <f t="shared" si="759"/>
        <v>89063000</v>
      </c>
      <c r="D3460" t="str">
        <f t="shared" si="757"/>
        <v>809</v>
      </c>
      <c r="E3460" t="str">
        <f t="shared" si="758"/>
        <v>89301037</v>
      </c>
      <c r="F3460" t="str">
        <f>"7753025346"</f>
        <v>7753025346</v>
      </c>
      <c r="G3460" s="1">
        <v>44662</v>
      </c>
      <c r="H3460" t="str">
        <f t="shared" si="756"/>
        <v>89312</v>
      </c>
      <c r="I3460">
        <v>3</v>
      </c>
      <c r="J3460">
        <v>906</v>
      </c>
      <c r="K3460">
        <v>0</v>
      </c>
      <c r="L3460">
        <v>951.3</v>
      </c>
    </row>
    <row r="3461" spans="1:12" x14ac:dyDescent="0.25">
      <c r="A3461" t="str">
        <f t="shared" si="760"/>
        <v>89301000</v>
      </c>
      <c r="B3461" t="str">
        <f t="shared" si="759"/>
        <v>89063000</v>
      </c>
      <c r="C3461" t="str">
        <f t="shared" si="759"/>
        <v>89063000</v>
      </c>
      <c r="D3461" t="str">
        <f t="shared" si="757"/>
        <v>809</v>
      </c>
      <c r="E3461" t="str">
        <f t="shared" si="758"/>
        <v>89301037</v>
      </c>
      <c r="F3461" t="str">
        <f>"5906020593"</f>
        <v>5906020593</v>
      </c>
      <c r="G3461" s="1">
        <v>44662</v>
      </c>
      <c r="H3461" t="str">
        <f t="shared" si="756"/>
        <v>89312</v>
      </c>
      <c r="I3461">
        <v>3</v>
      </c>
      <c r="J3461">
        <v>906</v>
      </c>
      <c r="K3461">
        <v>0</v>
      </c>
      <c r="L3461">
        <v>951.3</v>
      </c>
    </row>
    <row r="3462" spans="1:12" x14ac:dyDescent="0.25">
      <c r="A3462" t="str">
        <f t="shared" si="760"/>
        <v>89301000</v>
      </c>
      <c r="B3462" t="str">
        <f t="shared" si="759"/>
        <v>89063000</v>
      </c>
      <c r="C3462" t="str">
        <f t="shared" si="759"/>
        <v>89063000</v>
      </c>
      <c r="D3462" t="str">
        <f t="shared" si="757"/>
        <v>809</v>
      </c>
      <c r="E3462" t="str">
        <f>"89301036"</f>
        <v>89301036</v>
      </c>
      <c r="F3462" t="str">
        <f>"505327099"</f>
        <v>505327099</v>
      </c>
      <c r="G3462" s="1">
        <v>44662</v>
      </c>
      <c r="H3462" t="str">
        <f t="shared" si="756"/>
        <v>89312</v>
      </c>
      <c r="I3462">
        <v>3</v>
      </c>
      <c r="J3462">
        <v>906</v>
      </c>
      <c r="K3462">
        <v>0</v>
      </c>
      <c r="L3462">
        <v>951.3</v>
      </c>
    </row>
    <row r="3463" spans="1:12" x14ac:dyDescent="0.25">
      <c r="A3463" t="str">
        <f t="shared" si="760"/>
        <v>89301000</v>
      </c>
      <c r="B3463" t="str">
        <f t="shared" si="759"/>
        <v>89063000</v>
      </c>
      <c r="C3463" t="str">
        <f t="shared" si="759"/>
        <v>89063000</v>
      </c>
      <c r="D3463" t="str">
        <f t="shared" si="757"/>
        <v>809</v>
      </c>
      <c r="E3463" t="str">
        <f>"89301036"</f>
        <v>89301036</v>
      </c>
      <c r="F3463" t="str">
        <f>"535321081"</f>
        <v>535321081</v>
      </c>
      <c r="G3463" s="1">
        <v>44663</v>
      </c>
      <c r="H3463" t="str">
        <f t="shared" si="756"/>
        <v>89312</v>
      </c>
      <c r="I3463">
        <v>3</v>
      </c>
      <c r="J3463">
        <v>906</v>
      </c>
      <c r="K3463">
        <v>0</v>
      </c>
      <c r="L3463">
        <v>951.3</v>
      </c>
    </row>
    <row r="3464" spans="1:12" x14ac:dyDescent="0.25">
      <c r="A3464" t="str">
        <f t="shared" si="760"/>
        <v>89301000</v>
      </c>
      <c r="B3464" t="str">
        <f t="shared" si="759"/>
        <v>89063000</v>
      </c>
      <c r="C3464" t="str">
        <f t="shared" si="759"/>
        <v>89063000</v>
      </c>
      <c r="D3464" t="str">
        <f t="shared" si="757"/>
        <v>809</v>
      </c>
      <c r="E3464" t="str">
        <f>"89301162"</f>
        <v>89301162</v>
      </c>
      <c r="F3464" t="str">
        <f>"6006080058"</f>
        <v>6006080058</v>
      </c>
      <c r="G3464" s="1">
        <v>44663</v>
      </c>
      <c r="H3464" t="str">
        <f t="shared" si="756"/>
        <v>89312</v>
      </c>
      <c r="I3464">
        <v>3</v>
      </c>
      <c r="J3464">
        <v>906</v>
      </c>
      <c r="K3464">
        <v>0</v>
      </c>
      <c r="L3464">
        <v>951.3</v>
      </c>
    </row>
    <row r="3465" spans="1:12" x14ac:dyDescent="0.25">
      <c r="A3465" t="str">
        <f t="shared" si="760"/>
        <v>89301000</v>
      </c>
      <c r="B3465" t="str">
        <f t="shared" si="759"/>
        <v>89063000</v>
      </c>
      <c r="C3465" t="str">
        <f t="shared" si="759"/>
        <v>89063000</v>
      </c>
      <c r="D3465" t="str">
        <f t="shared" si="757"/>
        <v>809</v>
      </c>
      <c r="E3465" t="str">
        <f>"89301037"</f>
        <v>89301037</v>
      </c>
      <c r="F3465" t="str">
        <f>"5562171824"</f>
        <v>5562171824</v>
      </c>
      <c r="G3465" s="1">
        <v>44663</v>
      </c>
      <c r="H3465" t="str">
        <f t="shared" si="756"/>
        <v>89312</v>
      </c>
      <c r="I3465">
        <v>3</v>
      </c>
      <c r="J3465">
        <v>906</v>
      </c>
      <c r="K3465">
        <v>0</v>
      </c>
      <c r="L3465">
        <v>951.3</v>
      </c>
    </row>
    <row r="3466" spans="1:12" x14ac:dyDescent="0.25">
      <c r="A3466" t="str">
        <f t="shared" si="760"/>
        <v>89301000</v>
      </c>
      <c r="B3466" t="str">
        <f t="shared" si="759"/>
        <v>89063000</v>
      </c>
      <c r="C3466" t="str">
        <f t="shared" si="759"/>
        <v>89063000</v>
      </c>
      <c r="D3466" t="str">
        <f t="shared" si="757"/>
        <v>809</v>
      </c>
      <c r="E3466" t="str">
        <f>"89301212"</f>
        <v>89301212</v>
      </c>
      <c r="F3466" t="str">
        <f>"6957265348"</f>
        <v>6957265348</v>
      </c>
      <c r="G3466" s="1">
        <v>44664</v>
      </c>
      <c r="H3466" t="str">
        <f t="shared" si="756"/>
        <v>89312</v>
      </c>
      <c r="I3466">
        <v>3</v>
      </c>
      <c r="J3466">
        <v>906</v>
      </c>
      <c r="K3466">
        <v>0</v>
      </c>
      <c r="L3466">
        <v>951.3</v>
      </c>
    </row>
    <row r="3467" spans="1:12" x14ac:dyDescent="0.25">
      <c r="A3467" t="str">
        <f t="shared" si="760"/>
        <v>89301000</v>
      </c>
      <c r="B3467" t="str">
        <f t="shared" si="759"/>
        <v>89063000</v>
      </c>
      <c r="C3467" t="str">
        <f t="shared" si="759"/>
        <v>89063000</v>
      </c>
      <c r="D3467" t="str">
        <f t="shared" si="757"/>
        <v>809</v>
      </c>
      <c r="E3467" t="str">
        <f>"89301322"</f>
        <v>89301322</v>
      </c>
      <c r="F3467" t="str">
        <f>"5455060435"</f>
        <v>5455060435</v>
      </c>
      <c r="G3467" s="1">
        <v>44665</v>
      </c>
      <c r="H3467" t="str">
        <f t="shared" si="756"/>
        <v>89312</v>
      </c>
      <c r="I3467">
        <v>3</v>
      </c>
      <c r="J3467">
        <v>906</v>
      </c>
      <c r="K3467">
        <v>0</v>
      </c>
      <c r="L3467">
        <v>951.3</v>
      </c>
    </row>
    <row r="3468" spans="1:12" x14ac:dyDescent="0.25">
      <c r="A3468" t="str">
        <f t="shared" si="760"/>
        <v>89301000</v>
      </c>
      <c r="B3468" t="str">
        <f t="shared" si="759"/>
        <v>89063000</v>
      </c>
      <c r="C3468" t="str">
        <f t="shared" si="759"/>
        <v>89063000</v>
      </c>
      <c r="D3468" t="str">
        <f t="shared" si="757"/>
        <v>809</v>
      </c>
      <c r="E3468" t="str">
        <f>"89301037"</f>
        <v>89301037</v>
      </c>
      <c r="F3468" t="str">
        <f>"396010423"</f>
        <v>396010423</v>
      </c>
      <c r="G3468" s="1">
        <v>44670</v>
      </c>
      <c r="H3468" t="str">
        <f t="shared" ref="H3468:H3484" si="761">"89312"</f>
        <v>89312</v>
      </c>
      <c r="I3468">
        <v>3</v>
      </c>
      <c r="J3468">
        <v>906</v>
      </c>
      <c r="K3468">
        <v>0</v>
      </c>
      <c r="L3468">
        <v>951.3</v>
      </c>
    </row>
    <row r="3469" spans="1:12" x14ac:dyDescent="0.25">
      <c r="A3469" t="str">
        <f t="shared" si="760"/>
        <v>89301000</v>
      </c>
      <c r="B3469" t="str">
        <f t="shared" si="759"/>
        <v>89063000</v>
      </c>
      <c r="C3469" t="str">
        <f t="shared" si="759"/>
        <v>89063000</v>
      </c>
      <c r="D3469" t="str">
        <f t="shared" si="757"/>
        <v>809</v>
      </c>
      <c r="E3469" t="str">
        <f>"89301037"</f>
        <v>89301037</v>
      </c>
      <c r="F3469" t="str">
        <f>"535424031"</f>
        <v>535424031</v>
      </c>
      <c r="G3469" s="1">
        <v>44670</v>
      </c>
      <c r="H3469" t="str">
        <f t="shared" si="761"/>
        <v>89312</v>
      </c>
      <c r="I3469">
        <v>3</v>
      </c>
      <c r="J3469">
        <v>906</v>
      </c>
      <c r="K3469">
        <v>0</v>
      </c>
      <c r="L3469">
        <v>951.3</v>
      </c>
    </row>
    <row r="3470" spans="1:12" x14ac:dyDescent="0.25">
      <c r="A3470" t="str">
        <f t="shared" si="760"/>
        <v>89301000</v>
      </c>
      <c r="B3470" t="str">
        <f t="shared" si="759"/>
        <v>89063000</v>
      </c>
      <c r="C3470" t="str">
        <f t="shared" si="759"/>
        <v>89063000</v>
      </c>
      <c r="D3470" t="str">
        <f t="shared" si="757"/>
        <v>809</v>
      </c>
      <c r="E3470" t="str">
        <f>"89301037"</f>
        <v>89301037</v>
      </c>
      <c r="F3470" t="str">
        <f>"486001112"</f>
        <v>486001112</v>
      </c>
      <c r="G3470" s="1">
        <v>44670</v>
      </c>
      <c r="H3470" t="str">
        <f t="shared" si="761"/>
        <v>89312</v>
      </c>
      <c r="I3470">
        <v>3</v>
      </c>
      <c r="J3470">
        <v>906</v>
      </c>
      <c r="K3470">
        <v>0</v>
      </c>
      <c r="L3470">
        <v>951.3</v>
      </c>
    </row>
    <row r="3471" spans="1:12" x14ac:dyDescent="0.25">
      <c r="A3471" t="str">
        <f t="shared" si="760"/>
        <v>89301000</v>
      </c>
      <c r="B3471" t="str">
        <f t="shared" si="759"/>
        <v>89063000</v>
      </c>
      <c r="C3471" t="str">
        <f t="shared" si="759"/>
        <v>89063000</v>
      </c>
      <c r="D3471" t="str">
        <f t="shared" si="757"/>
        <v>809</v>
      </c>
      <c r="E3471" t="str">
        <f>"89301037"</f>
        <v>89301037</v>
      </c>
      <c r="F3471" t="str">
        <f>"476109422"</f>
        <v>476109422</v>
      </c>
      <c r="G3471" s="1">
        <v>44671</v>
      </c>
      <c r="H3471" t="str">
        <f t="shared" si="761"/>
        <v>89312</v>
      </c>
      <c r="I3471">
        <v>3</v>
      </c>
      <c r="J3471">
        <v>906</v>
      </c>
      <c r="K3471">
        <v>0</v>
      </c>
      <c r="L3471">
        <v>951.3</v>
      </c>
    </row>
    <row r="3472" spans="1:12" x14ac:dyDescent="0.25">
      <c r="A3472" t="str">
        <f t="shared" si="760"/>
        <v>89301000</v>
      </c>
      <c r="B3472" t="str">
        <f t="shared" si="759"/>
        <v>89063000</v>
      </c>
      <c r="C3472" t="str">
        <f t="shared" si="759"/>
        <v>89063000</v>
      </c>
      <c r="D3472" t="str">
        <f t="shared" si="757"/>
        <v>809</v>
      </c>
      <c r="E3472" t="str">
        <f>"89301322"</f>
        <v>89301322</v>
      </c>
      <c r="F3472" t="str">
        <f>"465425403"</f>
        <v>465425403</v>
      </c>
      <c r="G3472" s="1">
        <v>44673</v>
      </c>
      <c r="H3472" t="str">
        <f t="shared" si="761"/>
        <v>89312</v>
      </c>
      <c r="I3472">
        <v>3</v>
      </c>
      <c r="J3472">
        <v>906</v>
      </c>
      <c r="K3472">
        <v>0</v>
      </c>
      <c r="L3472">
        <v>951.3</v>
      </c>
    </row>
    <row r="3473" spans="1:12" x14ac:dyDescent="0.25">
      <c r="A3473" t="str">
        <f t="shared" si="760"/>
        <v>89301000</v>
      </c>
      <c r="B3473" t="str">
        <f t="shared" si="759"/>
        <v>89063000</v>
      </c>
      <c r="C3473" t="str">
        <f t="shared" si="759"/>
        <v>89063000</v>
      </c>
      <c r="D3473" t="str">
        <f t="shared" si="757"/>
        <v>809</v>
      </c>
      <c r="E3473" t="str">
        <f>"89301037"</f>
        <v>89301037</v>
      </c>
      <c r="F3473" t="str">
        <f>"6854010361"</f>
        <v>6854010361</v>
      </c>
      <c r="G3473" s="1">
        <v>44673</v>
      </c>
      <c r="H3473" t="str">
        <f t="shared" si="761"/>
        <v>89312</v>
      </c>
      <c r="I3473">
        <v>3</v>
      </c>
      <c r="J3473">
        <v>906</v>
      </c>
      <c r="K3473">
        <v>0</v>
      </c>
      <c r="L3473">
        <v>951.3</v>
      </c>
    </row>
    <row r="3474" spans="1:12" x14ac:dyDescent="0.25">
      <c r="A3474" t="str">
        <f t="shared" si="760"/>
        <v>89301000</v>
      </c>
      <c r="B3474" t="str">
        <f t="shared" si="759"/>
        <v>89063000</v>
      </c>
      <c r="C3474" t="str">
        <f t="shared" si="759"/>
        <v>89063000</v>
      </c>
      <c r="D3474" t="str">
        <f t="shared" si="757"/>
        <v>809</v>
      </c>
      <c r="E3474" t="str">
        <f>"89301037"</f>
        <v>89301037</v>
      </c>
      <c r="F3474" t="str">
        <f>"7361215345"</f>
        <v>7361215345</v>
      </c>
      <c r="G3474" s="1">
        <v>44673</v>
      </c>
      <c r="H3474" t="str">
        <f t="shared" si="761"/>
        <v>89312</v>
      </c>
      <c r="I3474">
        <v>3</v>
      </c>
      <c r="J3474">
        <v>906</v>
      </c>
      <c r="K3474">
        <v>0</v>
      </c>
      <c r="L3474">
        <v>951.3</v>
      </c>
    </row>
    <row r="3475" spans="1:12" x14ac:dyDescent="0.25">
      <c r="A3475" t="str">
        <f t="shared" si="760"/>
        <v>89301000</v>
      </c>
      <c r="B3475" t="str">
        <f t="shared" si="759"/>
        <v>89063000</v>
      </c>
      <c r="C3475" t="str">
        <f t="shared" si="759"/>
        <v>89063000</v>
      </c>
      <c r="D3475" t="str">
        <f t="shared" si="757"/>
        <v>809</v>
      </c>
      <c r="E3475" t="str">
        <f>"89301037"</f>
        <v>89301037</v>
      </c>
      <c r="F3475" t="str">
        <f>"9905265711"</f>
        <v>9905265711</v>
      </c>
      <c r="G3475" s="1">
        <v>44673</v>
      </c>
      <c r="H3475" t="str">
        <f t="shared" si="761"/>
        <v>89312</v>
      </c>
      <c r="I3475">
        <v>3</v>
      </c>
      <c r="J3475">
        <v>906</v>
      </c>
      <c r="K3475">
        <v>0</v>
      </c>
      <c r="L3475">
        <v>951.3</v>
      </c>
    </row>
    <row r="3476" spans="1:12" x14ac:dyDescent="0.25">
      <c r="A3476" t="str">
        <f t="shared" si="760"/>
        <v>89301000</v>
      </c>
      <c r="B3476" t="str">
        <f t="shared" ref="B3476:C3484" si="762">"89063000"</f>
        <v>89063000</v>
      </c>
      <c r="C3476" t="str">
        <f t="shared" si="762"/>
        <v>89063000</v>
      </c>
      <c r="D3476" t="str">
        <f t="shared" si="757"/>
        <v>809</v>
      </c>
      <c r="E3476" t="str">
        <f>"89301036"</f>
        <v>89301036</v>
      </c>
      <c r="F3476" t="str">
        <f>"8658124915"</f>
        <v>8658124915</v>
      </c>
      <c r="G3476" s="1">
        <v>44677</v>
      </c>
      <c r="H3476" t="str">
        <f t="shared" si="761"/>
        <v>89312</v>
      </c>
      <c r="I3476">
        <v>3</v>
      </c>
      <c r="J3476">
        <v>906</v>
      </c>
      <c r="K3476">
        <v>0</v>
      </c>
      <c r="L3476">
        <v>951.3</v>
      </c>
    </row>
    <row r="3477" spans="1:12" x14ac:dyDescent="0.25">
      <c r="A3477" t="str">
        <f t="shared" si="760"/>
        <v>89301000</v>
      </c>
      <c r="B3477" t="str">
        <f t="shared" si="762"/>
        <v>89063000</v>
      </c>
      <c r="C3477" t="str">
        <f t="shared" si="762"/>
        <v>89063000</v>
      </c>
      <c r="D3477" t="str">
        <f t="shared" si="757"/>
        <v>809</v>
      </c>
      <c r="E3477" t="str">
        <f>"89301037"</f>
        <v>89301037</v>
      </c>
      <c r="F3477" t="str">
        <f>"455212414"</f>
        <v>455212414</v>
      </c>
      <c r="G3477" s="1">
        <v>44677</v>
      </c>
      <c r="H3477" t="str">
        <f t="shared" si="761"/>
        <v>89312</v>
      </c>
      <c r="I3477">
        <v>3</v>
      </c>
      <c r="J3477">
        <v>906</v>
      </c>
      <c r="K3477">
        <v>0</v>
      </c>
      <c r="L3477">
        <v>951.3</v>
      </c>
    </row>
    <row r="3478" spans="1:12" x14ac:dyDescent="0.25">
      <c r="A3478" t="str">
        <f t="shared" si="760"/>
        <v>89301000</v>
      </c>
      <c r="B3478" t="str">
        <f t="shared" si="762"/>
        <v>89063000</v>
      </c>
      <c r="C3478" t="str">
        <f t="shared" si="762"/>
        <v>89063000</v>
      </c>
      <c r="D3478" t="str">
        <f t="shared" si="757"/>
        <v>809</v>
      </c>
      <c r="E3478" t="str">
        <f>"89301037"</f>
        <v>89301037</v>
      </c>
      <c r="F3478" t="str">
        <f>"385920007"</f>
        <v>385920007</v>
      </c>
      <c r="G3478" s="1">
        <v>44678</v>
      </c>
      <c r="H3478" t="str">
        <f t="shared" si="761"/>
        <v>89312</v>
      </c>
      <c r="I3478">
        <v>3</v>
      </c>
      <c r="J3478">
        <v>906</v>
      </c>
      <c r="K3478">
        <v>0</v>
      </c>
      <c r="L3478">
        <v>951.3</v>
      </c>
    </row>
    <row r="3479" spans="1:12" x14ac:dyDescent="0.25">
      <c r="A3479" t="str">
        <f t="shared" si="760"/>
        <v>89301000</v>
      </c>
      <c r="B3479" t="str">
        <f t="shared" si="762"/>
        <v>89063000</v>
      </c>
      <c r="C3479" t="str">
        <f t="shared" si="762"/>
        <v>89063000</v>
      </c>
      <c r="D3479" t="str">
        <f t="shared" si="757"/>
        <v>809</v>
      </c>
      <c r="E3479" t="str">
        <f>"89301037"</f>
        <v>89301037</v>
      </c>
      <c r="F3479" t="str">
        <f>"7156155754"</f>
        <v>7156155754</v>
      </c>
      <c r="G3479" s="1">
        <v>44678</v>
      </c>
      <c r="H3479" t="str">
        <f t="shared" si="761"/>
        <v>89312</v>
      </c>
      <c r="I3479">
        <v>3</v>
      </c>
      <c r="J3479">
        <v>906</v>
      </c>
      <c r="K3479">
        <v>0</v>
      </c>
      <c r="L3479">
        <v>951.3</v>
      </c>
    </row>
    <row r="3480" spans="1:12" x14ac:dyDescent="0.25">
      <c r="A3480" t="str">
        <f t="shared" si="760"/>
        <v>89301000</v>
      </c>
      <c r="B3480" t="str">
        <f t="shared" si="762"/>
        <v>89063000</v>
      </c>
      <c r="C3480" t="str">
        <f t="shared" si="762"/>
        <v>89063000</v>
      </c>
      <c r="D3480" t="str">
        <f t="shared" si="757"/>
        <v>809</v>
      </c>
      <c r="E3480" t="str">
        <f>"89301162"</f>
        <v>89301162</v>
      </c>
      <c r="F3480" t="str">
        <f>"7158081766"</f>
        <v>7158081766</v>
      </c>
      <c r="G3480" s="1">
        <v>44679</v>
      </c>
      <c r="H3480" t="str">
        <f t="shared" si="761"/>
        <v>89312</v>
      </c>
      <c r="I3480">
        <v>3</v>
      </c>
      <c r="J3480">
        <v>906</v>
      </c>
      <c r="K3480">
        <v>0</v>
      </c>
      <c r="L3480">
        <v>951.3</v>
      </c>
    </row>
    <row r="3481" spans="1:12" x14ac:dyDescent="0.25">
      <c r="A3481" t="str">
        <f t="shared" si="760"/>
        <v>89301000</v>
      </c>
      <c r="B3481" t="str">
        <f t="shared" si="762"/>
        <v>89063000</v>
      </c>
      <c r="C3481" t="str">
        <f t="shared" si="762"/>
        <v>89063000</v>
      </c>
      <c r="D3481" t="str">
        <f t="shared" si="757"/>
        <v>809</v>
      </c>
      <c r="E3481" t="str">
        <f>"89301037"</f>
        <v>89301037</v>
      </c>
      <c r="F3481" t="str">
        <f>"500629168"</f>
        <v>500629168</v>
      </c>
      <c r="G3481" s="1">
        <v>44679</v>
      </c>
      <c r="H3481" t="str">
        <f t="shared" si="761"/>
        <v>89312</v>
      </c>
      <c r="I3481">
        <v>3</v>
      </c>
      <c r="J3481">
        <v>906</v>
      </c>
      <c r="K3481">
        <v>0</v>
      </c>
      <c r="L3481">
        <v>951.3</v>
      </c>
    </row>
    <row r="3482" spans="1:12" x14ac:dyDescent="0.25">
      <c r="A3482" t="str">
        <f t="shared" si="760"/>
        <v>89301000</v>
      </c>
      <c r="B3482" t="str">
        <f t="shared" si="762"/>
        <v>89063000</v>
      </c>
      <c r="C3482" t="str">
        <f t="shared" si="762"/>
        <v>89063000</v>
      </c>
      <c r="D3482" t="str">
        <f t="shared" si="757"/>
        <v>809</v>
      </c>
      <c r="E3482" t="str">
        <f>"89301037"</f>
        <v>89301037</v>
      </c>
      <c r="F3482" t="str">
        <f>"5751116283"</f>
        <v>5751116283</v>
      </c>
      <c r="G3482" s="1">
        <v>44680</v>
      </c>
      <c r="H3482" t="str">
        <f t="shared" si="761"/>
        <v>89312</v>
      </c>
      <c r="I3482">
        <v>3</v>
      </c>
      <c r="J3482">
        <v>906</v>
      </c>
      <c r="K3482">
        <v>0</v>
      </c>
      <c r="L3482">
        <v>951.3</v>
      </c>
    </row>
    <row r="3483" spans="1:12" x14ac:dyDescent="0.25">
      <c r="A3483" t="str">
        <f t="shared" si="760"/>
        <v>89301000</v>
      </c>
      <c r="B3483" t="str">
        <f t="shared" si="762"/>
        <v>89063000</v>
      </c>
      <c r="C3483" t="str">
        <f t="shared" si="762"/>
        <v>89063000</v>
      </c>
      <c r="D3483" t="str">
        <f t="shared" si="757"/>
        <v>809</v>
      </c>
      <c r="E3483" t="str">
        <f>"89301036"</f>
        <v>89301036</v>
      </c>
      <c r="F3483" t="str">
        <f>"490608011"</f>
        <v>490608011</v>
      </c>
      <c r="G3483" s="1">
        <v>44680</v>
      </c>
      <c r="H3483" t="str">
        <f t="shared" si="761"/>
        <v>89312</v>
      </c>
      <c r="I3483">
        <v>3</v>
      </c>
      <c r="J3483">
        <v>906</v>
      </c>
      <c r="K3483">
        <v>0</v>
      </c>
      <c r="L3483">
        <v>951.3</v>
      </c>
    </row>
    <row r="3484" spans="1:12" x14ac:dyDescent="0.25">
      <c r="A3484" t="str">
        <f t="shared" si="760"/>
        <v>89301000</v>
      </c>
      <c r="B3484" t="str">
        <f t="shared" si="762"/>
        <v>89063000</v>
      </c>
      <c r="C3484" t="str">
        <f t="shared" si="762"/>
        <v>89063000</v>
      </c>
      <c r="D3484" t="str">
        <f t="shared" si="757"/>
        <v>809</v>
      </c>
      <c r="E3484" t="str">
        <f>"89301037"</f>
        <v>89301037</v>
      </c>
      <c r="F3484" t="str">
        <f>"435703427"</f>
        <v>435703427</v>
      </c>
      <c r="G3484" s="1">
        <v>44680</v>
      </c>
      <c r="H3484" t="str">
        <f t="shared" si="761"/>
        <v>89312</v>
      </c>
      <c r="I3484">
        <v>3</v>
      </c>
      <c r="J3484">
        <v>906</v>
      </c>
      <c r="K3484">
        <v>0</v>
      </c>
      <c r="L3484">
        <v>951.3</v>
      </c>
    </row>
    <row r="3485" spans="1:12" x14ac:dyDescent="0.25">
      <c r="A3485" t="str">
        <f t="shared" si="760"/>
        <v>89301000</v>
      </c>
      <c r="B3485" t="str">
        <f t="shared" ref="B3485:C3488" si="763">"92503000"</f>
        <v>92503000</v>
      </c>
      <c r="C3485" t="str">
        <f t="shared" si="763"/>
        <v>92503000</v>
      </c>
      <c r="D3485" t="str">
        <f>"807"</f>
        <v>807</v>
      </c>
      <c r="E3485" t="str">
        <f>"89301082"</f>
        <v>89301082</v>
      </c>
      <c r="F3485" t="str">
        <f>"0858135267"</f>
        <v>0858135267</v>
      </c>
      <c r="G3485" s="1">
        <v>44656</v>
      </c>
      <c r="H3485" t="str">
        <f>"87433"</f>
        <v>87433</v>
      </c>
      <c r="I3485">
        <v>1</v>
      </c>
      <c r="J3485">
        <v>41</v>
      </c>
      <c r="K3485">
        <v>0</v>
      </c>
      <c r="L3485">
        <v>31.98</v>
      </c>
    </row>
    <row r="3486" spans="1:12" x14ac:dyDescent="0.25">
      <c r="A3486" t="str">
        <f t="shared" si="760"/>
        <v>89301000</v>
      </c>
      <c r="B3486" t="str">
        <f t="shared" si="763"/>
        <v>92503000</v>
      </c>
      <c r="C3486" t="str">
        <f t="shared" si="763"/>
        <v>92503000</v>
      </c>
      <c r="D3486" t="str">
        <f>"807"</f>
        <v>807</v>
      </c>
      <c r="E3486" t="str">
        <f>"89301082"</f>
        <v>89301082</v>
      </c>
      <c r="F3486" t="str">
        <f>"0858135267"</f>
        <v>0858135267</v>
      </c>
      <c r="G3486" s="1">
        <v>44656</v>
      </c>
      <c r="H3486" t="str">
        <f>"87519"</f>
        <v>87519</v>
      </c>
      <c r="I3486">
        <v>1</v>
      </c>
      <c r="J3486">
        <v>310</v>
      </c>
      <c r="K3486">
        <v>0</v>
      </c>
      <c r="L3486">
        <v>241.8</v>
      </c>
    </row>
    <row r="3487" spans="1:12" x14ac:dyDescent="0.25">
      <c r="A3487" t="str">
        <f t="shared" si="760"/>
        <v>89301000</v>
      </c>
      <c r="B3487" t="str">
        <f t="shared" si="763"/>
        <v>92503000</v>
      </c>
      <c r="C3487" t="str">
        <f t="shared" si="763"/>
        <v>92503000</v>
      </c>
      <c r="D3487" t="str">
        <f>"807"</f>
        <v>807</v>
      </c>
      <c r="E3487" t="str">
        <f>"89301082"</f>
        <v>89301082</v>
      </c>
      <c r="F3487" t="str">
        <f>"0956273241"</f>
        <v>0956273241</v>
      </c>
      <c r="G3487" s="1">
        <v>44656</v>
      </c>
      <c r="H3487" t="str">
        <f>"87433"</f>
        <v>87433</v>
      </c>
      <c r="I3487">
        <v>1</v>
      </c>
      <c r="J3487">
        <v>41</v>
      </c>
      <c r="K3487">
        <v>0</v>
      </c>
      <c r="L3487">
        <v>31.98</v>
      </c>
    </row>
    <row r="3488" spans="1:12" x14ac:dyDescent="0.25">
      <c r="A3488" t="str">
        <f t="shared" si="760"/>
        <v>89301000</v>
      </c>
      <c r="B3488" t="str">
        <f t="shared" si="763"/>
        <v>92503000</v>
      </c>
      <c r="C3488" t="str">
        <f t="shared" si="763"/>
        <v>92503000</v>
      </c>
      <c r="D3488" t="str">
        <f>"807"</f>
        <v>807</v>
      </c>
      <c r="E3488" t="str">
        <f>"89301082"</f>
        <v>89301082</v>
      </c>
      <c r="F3488" t="str">
        <f>"0956273241"</f>
        <v>0956273241</v>
      </c>
      <c r="G3488" s="1">
        <v>44656</v>
      </c>
      <c r="H3488" t="str">
        <f>"87519"</f>
        <v>87519</v>
      </c>
      <c r="I3488">
        <v>1</v>
      </c>
      <c r="J3488">
        <v>310</v>
      </c>
      <c r="K3488">
        <v>0</v>
      </c>
      <c r="L3488">
        <v>241.8</v>
      </c>
    </row>
    <row r="3489" spans="1:12" x14ac:dyDescent="0.25">
      <c r="A3489" t="str">
        <f t="shared" si="760"/>
        <v>89301000</v>
      </c>
      <c r="B3489" t="str">
        <f>"93482000"</f>
        <v>93482000</v>
      </c>
      <c r="C3489" t="str">
        <f>"93482001"</f>
        <v>93482001</v>
      </c>
      <c r="D3489" t="str">
        <f t="shared" ref="D3489:D3534" si="764">"809"</f>
        <v>809</v>
      </c>
      <c r="E3489" t="str">
        <f>"89301202"</f>
        <v>89301202</v>
      </c>
      <c r="F3489" t="str">
        <f>"5753081862"</f>
        <v>5753081862</v>
      </c>
      <c r="G3489" s="1">
        <v>44662</v>
      </c>
      <c r="H3489" t="str">
        <f>"89127"</f>
        <v>89127</v>
      </c>
      <c r="I3489">
        <v>2</v>
      </c>
      <c r="J3489">
        <v>476</v>
      </c>
      <c r="K3489">
        <v>0</v>
      </c>
      <c r="L3489">
        <v>666.4</v>
      </c>
    </row>
    <row r="3490" spans="1:12" x14ac:dyDescent="0.25">
      <c r="A3490" t="str">
        <f t="shared" si="760"/>
        <v>89301000</v>
      </c>
      <c r="B3490" t="str">
        <f t="shared" ref="B3490:B3521" si="765">"78051000"</f>
        <v>78051000</v>
      </c>
      <c r="C3490" t="str">
        <f t="shared" ref="C3490:C3534" si="766">"78051004"</f>
        <v>78051004</v>
      </c>
      <c r="D3490" t="str">
        <f t="shared" si="764"/>
        <v>809</v>
      </c>
      <c r="E3490" t="str">
        <f t="shared" ref="E3490:E3521" si="767">"89301062"</f>
        <v>89301062</v>
      </c>
      <c r="F3490" t="str">
        <f>"7062095315"</f>
        <v>7062095315</v>
      </c>
      <c r="G3490" s="1">
        <v>44656</v>
      </c>
      <c r="H3490" t="str">
        <f>"89311"</f>
        <v>89311</v>
      </c>
      <c r="I3490">
        <v>1</v>
      </c>
      <c r="J3490">
        <v>936</v>
      </c>
      <c r="K3490">
        <v>0</v>
      </c>
      <c r="L3490">
        <v>1310.4000000000001</v>
      </c>
    </row>
    <row r="3491" spans="1:12" x14ac:dyDescent="0.25">
      <c r="A3491" t="str">
        <f t="shared" si="760"/>
        <v>89301000</v>
      </c>
      <c r="B3491" t="str">
        <f t="shared" si="765"/>
        <v>78051000</v>
      </c>
      <c r="C3491" t="str">
        <f t="shared" si="766"/>
        <v>78051004</v>
      </c>
      <c r="D3491" t="str">
        <f t="shared" si="764"/>
        <v>809</v>
      </c>
      <c r="E3491" t="str">
        <f t="shared" si="767"/>
        <v>89301062</v>
      </c>
      <c r="F3491" t="str">
        <f>"7062095315"</f>
        <v>7062095315</v>
      </c>
      <c r="G3491" s="1">
        <v>44656</v>
      </c>
      <c r="H3491" t="str">
        <f>"0090044"</f>
        <v>0090044</v>
      </c>
      <c r="I3491">
        <v>1</v>
      </c>
      <c r="K3491">
        <v>16.8</v>
      </c>
      <c r="L3491">
        <v>16.8</v>
      </c>
    </row>
    <row r="3492" spans="1:12" x14ac:dyDescent="0.25">
      <c r="A3492" t="str">
        <f t="shared" si="760"/>
        <v>89301000</v>
      </c>
      <c r="B3492" t="str">
        <f t="shared" si="765"/>
        <v>78051000</v>
      </c>
      <c r="C3492" t="str">
        <f t="shared" si="766"/>
        <v>78051004</v>
      </c>
      <c r="D3492" t="str">
        <f t="shared" si="764"/>
        <v>809</v>
      </c>
      <c r="E3492" t="str">
        <f t="shared" si="767"/>
        <v>89301062</v>
      </c>
      <c r="F3492" t="str">
        <f>"7062095315"</f>
        <v>7062095315</v>
      </c>
      <c r="G3492" s="1">
        <v>44656</v>
      </c>
      <c r="H3492" t="str">
        <f>"0225891"</f>
        <v>0225891</v>
      </c>
      <c r="I3492">
        <v>0.2</v>
      </c>
      <c r="K3492">
        <v>73.540000000000006</v>
      </c>
      <c r="L3492">
        <v>73.540000000000006</v>
      </c>
    </row>
    <row r="3493" spans="1:12" x14ac:dyDescent="0.25">
      <c r="A3493" t="str">
        <f t="shared" si="760"/>
        <v>89301000</v>
      </c>
      <c r="B3493" t="str">
        <f t="shared" si="765"/>
        <v>78051000</v>
      </c>
      <c r="C3493" t="str">
        <f t="shared" si="766"/>
        <v>78051004</v>
      </c>
      <c r="D3493" t="str">
        <f t="shared" si="764"/>
        <v>809</v>
      </c>
      <c r="E3493" t="str">
        <f t="shared" si="767"/>
        <v>89301062</v>
      </c>
      <c r="F3493" t="str">
        <f>"7062095315"</f>
        <v>7062095315</v>
      </c>
      <c r="G3493" s="1">
        <v>44656</v>
      </c>
      <c r="H3493" t="str">
        <f>"0096251"</f>
        <v>0096251</v>
      </c>
      <c r="I3493">
        <v>0.17</v>
      </c>
      <c r="K3493">
        <v>198.83</v>
      </c>
      <c r="L3493">
        <v>198.83</v>
      </c>
    </row>
    <row r="3494" spans="1:12" x14ac:dyDescent="0.25">
      <c r="A3494" t="str">
        <f t="shared" si="760"/>
        <v>89301000</v>
      </c>
      <c r="B3494" t="str">
        <f t="shared" si="765"/>
        <v>78051000</v>
      </c>
      <c r="C3494" t="str">
        <f t="shared" si="766"/>
        <v>78051004</v>
      </c>
      <c r="D3494" t="str">
        <f t="shared" si="764"/>
        <v>809</v>
      </c>
      <c r="E3494" t="str">
        <f t="shared" si="767"/>
        <v>89301062</v>
      </c>
      <c r="F3494" t="str">
        <f>"7062095315"</f>
        <v>7062095315</v>
      </c>
      <c r="G3494" s="1">
        <v>44656</v>
      </c>
      <c r="H3494" t="str">
        <f>"0098943"</f>
        <v>0098943</v>
      </c>
      <c r="I3494">
        <v>1</v>
      </c>
      <c r="K3494">
        <v>293.81</v>
      </c>
      <c r="L3494">
        <v>293.81</v>
      </c>
    </row>
    <row r="3495" spans="1:12" x14ac:dyDescent="0.25">
      <c r="A3495" t="str">
        <f t="shared" si="760"/>
        <v>89301000</v>
      </c>
      <c r="B3495" t="str">
        <f t="shared" si="765"/>
        <v>78051000</v>
      </c>
      <c r="C3495" t="str">
        <f t="shared" si="766"/>
        <v>78051004</v>
      </c>
      <c r="D3495" t="str">
        <f t="shared" si="764"/>
        <v>809</v>
      </c>
      <c r="E3495" t="str">
        <f t="shared" si="767"/>
        <v>89301062</v>
      </c>
      <c r="F3495" t="str">
        <f>"5559190956"</f>
        <v>5559190956</v>
      </c>
      <c r="G3495" s="1">
        <v>44656</v>
      </c>
      <c r="H3495" t="str">
        <f>"89311"</f>
        <v>89311</v>
      </c>
      <c r="I3495">
        <v>1</v>
      </c>
      <c r="J3495">
        <v>936</v>
      </c>
      <c r="K3495">
        <v>0</v>
      </c>
      <c r="L3495">
        <v>1310.4000000000001</v>
      </c>
    </row>
    <row r="3496" spans="1:12" x14ac:dyDescent="0.25">
      <c r="A3496" t="str">
        <f t="shared" si="760"/>
        <v>89301000</v>
      </c>
      <c r="B3496" t="str">
        <f t="shared" si="765"/>
        <v>78051000</v>
      </c>
      <c r="C3496" t="str">
        <f t="shared" si="766"/>
        <v>78051004</v>
      </c>
      <c r="D3496" t="str">
        <f t="shared" si="764"/>
        <v>809</v>
      </c>
      <c r="E3496" t="str">
        <f t="shared" si="767"/>
        <v>89301062</v>
      </c>
      <c r="F3496" t="str">
        <f>"5559190956"</f>
        <v>5559190956</v>
      </c>
      <c r="G3496" s="1">
        <v>44656</v>
      </c>
      <c r="H3496" t="str">
        <f>"0090044"</f>
        <v>0090044</v>
      </c>
      <c r="I3496">
        <v>1</v>
      </c>
      <c r="K3496">
        <v>16.8</v>
      </c>
      <c r="L3496">
        <v>16.8</v>
      </c>
    </row>
    <row r="3497" spans="1:12" x14ac:dyDescent="0.25">
      <c r="A3497" t="str">
        <f t="shared" si="760"/>
        <v>89301000</v>
      </c>
      <c r="B3497" t="str">
        <f t="shared" si="765"/>
        <v>78051000</v>
      </c>
      <c r="C3497" t="str">
        <f t="shared" si="766"/>
        <v>78051004</v>
      </c>
      <c r="D3497" t="str">
        <f t="shared" si="764"/>
        <v>809</v>
      </c>
      <c r="E3497" t="str">
        <f t="shared" si="767"/>
        <v>89301062</v>
      </c>
      <c r="F3497" t="str">
        <f>"5559190956"</f>
        <v>5559190956</v>
      </c>
      <c r="G3497" s="1">
        <v>44656</v>
      </c>
      <c r="H3497" t="str">
        <f>"0225891"</f>
        <v>0225891</v>
      </c>
      <c r="I3497">
        <v>0.2</v>
      </c>
      <c r="K3497">
        <v>73.540000000000006</v>
      </c>
      <c r="L3497">
        <v>73.540000000000006</v>
      </c>
    </row>
    <row r="3498" spans="1:12" x14ac:dyDescent="0.25">
      <c r="A3498" t="str">
        <f t="shared" si="760"/>
        <v>89301000</v>
      </c>
      <c r="B3498" t="str">
        <f t="shared" si="765"/>
        <v>78051000</v>
      </c>
      <c r="C3498" t="str">
        <f t="shared" si="766"/>
        <v>78051004</v>
      </c>
      <c r="D3498" t="str">
        <f t="shared" si="764"/>
        <v>809</v>
      </c>
      <c r="E3498" t="str">
        <f t="shared" si="767"/>
        <v>89301062</v>
      </c>
      <c r="F3498" t="str">
        <f>"5559190956"</f>
        <v>5559190956</v>
      </c>
      <c r="G3498" s="1">
        <v>44656</v>
      </c>
      <c r="H3498" t="str">
        <f>"0096251"</f>
        <v>0096251</v>
      </c>
      <c r="I3498">
        <v>0.17</v>
      </c>
      <c r="K3498">
        <v>198.83</v>
      </c>
      <c r="L3498">
        <v>198.83</v>
      </c>
    </row>
    <row r="3499" spans="1:12" x14ac:dyDescent="0.25">
      <c r="A3499" t="str">
        <f t="shared" si="760"/>
        <v>89301000</v>
      </c>
      <c r="B3499" t="str">
        <f t="shared" si="765"/>
        <v>78051000</v>
      </c>
      <c r="C3499" t="str">
        <f t="shared" si="766"/>
        <v>78051004</v>
      </c>
      <c r="D3499" t="str">
        <f t="shared" si="764"/>
        <v>809</v>
      </c>
      <c r="E3499" t="str">
        <f t="shared" si="767"/>
        <v>89301062</v>
      </c>
      <c r="F3499" t="str">
        <f>"5559190956"</f>
        <v>5559190956</v>
      </c>
      <c r="G3499" s="1">
        <v>44656</v>
      </c>
      <c r="H3499" t="str">
        <f>"0098943"</f>
        <v>0098943</v>
      </c>
      <c r="I3499">
        <v>1</v>
      </c>
      <c r="K3499">
        <v>293.81</v>
      </c>
      <c r="L3499">
        <v>293.81</v>
      </c>
    </row>
    <row r="3500" spans="1:12" x14ac:dyDescent="0.25">
      <c r="A3500" t="str">
        <f t="shared" si="760"/>
        <v>89301000</v>
      </c>
      <c r="B3500" t="str">
        <f t="shared" si="765"/>
        <v>78051000</v>
      </c>
      <c r="C3500" t="str">
        <f t="shared" si="766"/>
        <v>78051004</v>
      </c>
      <c r="D3500" t="str">
        <f t="shared" si="764"/>
        <v>809</v>
      </c>
      <c r="E3500" t="str">
        <f t="shared" si="767"/>
        <v>89301062</v>
      </c>
      <c r="F3500" t="str">
        <f>"6256170426"</f>
        <v>6256170426</v>
      </c>
      <c r="G3500" s="1">
        <v>44656</v>
      </c>
      <c r="H3500" t="str">
        <f>"89311"</f>
        <v>89311</v>
      </c>
      <c r="I3500">
        <v>1</v>
      </c>
      <c r="J3500">
        <v>936</v>
      </c>
      <c r="K3500">
        <v>0</v>
      </c>
      <c r="L3500">
        <v>1310.4000000000001</v>
      </c>
    </row>
    <row r="3501" spans="1:12" x14ac:dyDescent="0.25">
      <c r="A3501" t="str">
        <f t="shared" si="760"/>
        <v>89301000</v>
      </c>
      <c r="B3501" t="str">
        <f t="shared" si="765"/>
        <v>78051000</v>
      </c>
      <c r="C3501" t="str">
        <f t="shared" si="766"/>
        <v>78051004</v>
      </c>
      <c r="D3501" t="str">
        <f t="shared" si="764"/>
        <v>809</v>
      </c>
      <c r="E3501" t="str">
        <f t="shared" si="767"/>
        <v>89301062</v>
      </c>
      <c r="F3501" t="str">
        <f>"6256170426"</f>
        <v>6256170426</v>
      </c>
      <c r="G3501" s="1">
        <v>44656</v>
      </c>
      <c r="H3501" t="str">
        <f>"0090044"</f>
        <v>0090044</v>
      </c>
      <c r="I3501">
        <v>1</v>
      </c>
      <c r="K3501">
        <v>16.8</v>
      </c>
      <c r="L3501">
        <v>16.8</v>
      </c>
    </row>
    <row r="3502" spans="1:12" x14ac:dyDescent="0.25">
      <c r="A3502" t="str">
        <f t="shared" si="760"/>
        <v>89301000</v>
      </c>
      <c r="B3502" t="str">
        <f t="shared" si="765"/>
        <v>78051000</v>
      </c>
      <c r="C3502" t="str">
        <f t="shared" si="766"/>
        <v>78051004</v>
      </c>
      <c r="D3502" t="str">
        <f t="shared" si="764"/>
        <v>809</v>
      </c>
      <c r="E3502" t="str">
        <f t="shared" si="767"/>
        <v>89301062</v>
      </c>
      <c r="F3502" t="str">
        <f>"6256170426"</f>
        <v>6256170426</v>
      </c>
      <c r="G3502" s="1">
        <v>44656</v>
      </c>
      <c r="H3502" t="str">
        <f>"0225891"</f>
        <v>0225891</v>
      </c>
      <c r="I3502">
        <v>0.2</v>
      </c>
      <c r="K3502">
        <v>73.540000000000006</v>
      </c>
      <c r="L3502">
        <v>73.540000000000006</v>
      </c>
    </row>
    <row r="3503" spans="1:12" x14ac:dyDescent="0.25">
      <c r="A3503" t="str">
        <f t="shared" si="760"/>
        <v>89301000</v>
      </c>
      <c r="B3503" t="str">
        <f t="shared" si="765"/>
        <v>78051000</v>
      </c>
      <c r="C3503" t="str">
        <f t="shared" si="766"/>
        <v>78051004</v>
      </c>
      <c r="D3503" t="str">
        <f t="shared" si="764"/>
        <v>809</v>
      </c>
      <c r="E3503" t="str">
        <f t="shared" si="767"/>
        <v>89301062</v>
      </c>
      <c r="F3503" t="str">
        <f>"6256170426"</f>
        <v>6256170426</v>
      </c>
      <c r="G3503" s="1">
        <v>44656</v>
      </c>
      <c r="H3503" t="str">
        <f>"0096251"</f>
        <v>0096251</v>
      </c>
      <c r="I3503">
        <v>0.17</v>
      </c>
      <c r="K3503">
        <v>198.83</v>
      </c>
      <c r="L3503">
        <v>198.83</v>
      </c>
    </row>
    <row r="3504" spans="1:12" x14ac:dyDescent="0.25">
      <c r="A3504" t="str">
        <f t="shared" si="760"/>
        <v>89301000</v>
      </c>
      <c r="B3504" t="str">
        <f t="shared" si="765"/>
        <v>78051000</v>
      </c>
      <c r="C3504" t="str">
        <f t="shared" si="766"/>
        <v>78051004</v>
      </c>
      <c r="D3504" t="str">
        <f t="shared" si="764"/>
        <v>809</v>
      </c>
      <c r="E3504" t="str">
        <f t="shared" si="767"/>
        <v>89301062</v>
      </c>
      <c r="F3504" t="str">
        <f>"6256170426"</f>
        <v>6256170426</v>
      </c>
      <c r="G3504" s="1">
        <v>44656</v>
      </c>
      <c r="H3504" t="str">
        <f>"0098943"</f>
        <v>0098943</v>
      </c>
      <c r="I3504">
        <v>1</v>
      </c>
      <c r="K3504">
        <v>293.81</v>
      </c>
      <c r="L3504">
        <v>293.81</v>
      </c>
    </row>
    <row r="3505" spans="1:12" x14ac:dyDescent="0.25">
      <c r="A3505" t="str">
        <f t="shared" si="760"/>
        <v>89301000</v>
      </c>
      <c r="B3505" t="str">
        <f t="shared" si="765"/>
        <v>78051000</v>
      </c>
      <c r="C3505" t="str">
        <f t="shared" si="766"/>
        <v>78051004</v>
      </c>
      <c r="D3505" t="str">
        <f t="shared" si="764"/>
        <v>809</v>
      </c>
      <c r="E3505" t="str">
        <f t="shared" si="767"/>
        <v>89301062</v>
      </c>
      <c r="F3505" t="str">
        <f>"6201201644"</f>
        <v>6201201644</v>
      </c>
      <c r="G3505" s="1">
        <v>44656</v>
      </c>
      <c r="H3505" t="str">
        <f>"89311"</f>
        <v>89311</v>
      </c>
      <c r="I3505">
        <v>1</v>
      </c>
      <c r="J3505">
        <v>936</v>
      </c>
      <c r="K3505">
        <v>0</v>
      </c>
      <c r="L3505">
        <v>1310.4000000000001</v>
      </c>
    </row>
    <row r="3506" spans="1:12" x14ac:dyDescent="0.25">
      <c r="A3506" t="str">
        <f t="shared" si="760"/>
        <v>89301000</v>
      </c>
      <c r="B3506" t="str">
        <f t="shared" si="765"/>
        <v>78051000</v>
      </c>
      <c r="C3506" t="str">
        <f t="shared" si="766"/>
        <v>78051004</v>
      </c>
      <c r="D3506" t="str">
        <f t="shared" si="764"/>
        <v>809</v>
      </c>
      <c r="E3506" t="str">
        <f t="shared" si="767"/>
        <v>89301062</v>
      </c>
      <c r="F3506" t="str">
        <f>"6201201644"</f>
        <v>6201201644</v>
      </c>
      <c r="G3506" s="1">
        <v>44656</v>
      </c>
      <c r="H3506" t="str">
        <f>"0090044"</f>
        <v>0090044</v>
      </c>
      <c r="I3506">
        <v>1</v>
      </c>
      <c r="K3506">
        <v>16.8</v>
      </c>
      <c r="L3506">
        <v>16.8</v>
      </c>
    </row>
    <row r="3507" spans="1:12" x14ac:dyDescent="0.25">
      <c r="A3507" t="str">
        <f t="shared" si="760"/>
        <v>89301000</v>
      </c>
      <c r="B3507" t="str">
        <f t="shared" si="765"/>
        <v>78051000</v>
      </c>
      <c r="C3507" t="str">
        <f t="shared" si="766"/>
        <v>78051004</v>
      </c>
      <c r="D3507" t="str">
        <f t="shared" si="764"/>
        <v>809</v>
      </c>
      <c r="E3507" t="str">
        <f t="shared" si="767"/>
        <v>89301062</v>
      </c>
      <c r="F3507" t="str">
        <f>"6201201644"</f>
        <v>6201201644</v>
      </c>
      <c r="G3507" s="1">
        <v>44656</v>
      </c>
      <c r="H3507" t="str">
        <f>"0225891"</f>
        <v>0225891</v>
      </c>
      <c r="I3507">
        <v>0.2</v>
      </c>
      <c r="K3507">
        <v>73.540000000000006</v>
      </c>
      <c r="L3507">
        <v>73.540000000000006</v>
      </c>
    </row>
    <row r="3508" spans="1:12" x14ac:dyDescent="0.25">
      <c r="A3508" t="str">
        <f t="shared" si="760"/>
        <v>89301000</v>
      </c>
      <c r="B3508" t="str">
        <f t="shared" si="765"/>
        <v>78051000</v>
      </c>
      <c r="C3508" t="str">
        <f t="shared" si="766"/>
        <v>78051004</v>
      </c>
      <c r="D3508" t="str">
        <f t="shared" si="764"/>
        <v>809</v>
      </c>
      <c r="E3508" t="str">
        <f t="shared" si="767"/>
        <v>89301062</v>
      </c>
      <c r="F3508" t="str">
        <f>"6201201644"</f>
        <v>6201201644</v>
      </c>
      <c r="G3508" s="1">
        <v>44656</v>
      </c>
      <c r="H3508" t="str">
        <f>"0096251"</f>
        <v>0096251</v>
      </c>
      <c r="I3508">
        <v>0.17</v>
      </c>
      <c r="K3508">
        <v>198.83</v>
      </c>
      <c r="L3508">
        <v>198.83</v>
      </c>
    </row>
    <row r="3509" spans="1:12" x14ac:dyDescent="0.25">
      <c r="A3509" t="str">
        <f t="shared" si="760"/>
        <v>89301000</v>
      </c>
      <c r="B3509" t="str">
        <f t="shared" si="765"/>
        <v>78051000</v>
      </c>
      <c r="C3509" t="str">
        <f t="shared" si="766"/>
        <v>78051004</v>
      </c>
      <c r="D3509" t="str">
        <f t="shared" si="764"/>
        <v>809</v>
      </c>
      <c r="E3509" t="str">
        <f t="shared" si="767"/>
        <v>89301062</v>
      </c>
      <c r="F3509" t="str">
        <f>"6201201644"</f>
        <v>6201201644</v>
      </c>
      <c r="G3509" s="1">
        <v>44656</v>
      </c>
      <c r="H3509" t="str">
        <f>"0098943"</f>
        <v>0098943</v>
      </c>
      <c r="I3509">
        <v>1</v>
      </c>
      <c r="K3509">
        <v>293.81</v>
      </c>
      <c r="L3509">
        <v>293.81</v>
      </c>
    </row>
    <row r="3510" spans="1:12" x14ac:dyDescent="0.25">
      <c r="A3510" t="str">
        <f t="shared" si="760"/>
        <v>89301000</v>
      </c>
      <c r="B3510" t="str">
        <f t="shared" si="765"/>
        <v>78051000</v>
      </c>
      <c r="C3510" t="str">
        <f t="shared" si="766"/>
        <v>78051004</v>
      </c>
      <c r="D3510" t="str">
        <f t="shared" si="764"/>
        <v>809</v>
      </c>
      <c r="E3510" t="str">
        <f t="shared" si="767"/>
        <v>89301062</v>
      </c>
      <c r="F3510" t="str">
        <f>"7309185323"</f>
        <v>7309185323</v>
      </c>
      <c r="G3510" s="1">
        <v>44664</v>
      </c>
      <c r="H3510" t="str">
        <f>"89311"</f>
        <v>89311</v>
      </c>
      <c r="I3510">
        <v>1</v>
      </c>
      <c r="J3510">
        <v>936</v>
      </c>
      <c r="K3510">
        <v>0</v>
      </c>
      <c r="L3510">
        <v>1310.4000000000001</v>
      </c>
    </row>
    <row r="3511" spans="1:12" x14ac:dyDescent="0.25">
      <c r="A3511" t="str">
        <f t="shared" si="760"/>
        <v>89301000</v>
      </c>
      <c r="B3511" t="str">
        <f t="shared" si="765"/>
        <v>78051000</v>
      </c>
      <c r="C3511" t="str">
        <f t="shared" si="766"/>
        <v>78051004</v>
      </c>
      <c r="D3511" t="str">
        <f t="shared" si="764"/>
        <v>809</v>
      </c>
      <c r="E3511" t="str">
        <f t="shared" si="767"/>
        <v>89301062</v>
      </c>
      <c r="F3511" t="str">
        <f>"7309185323"</f>
        <v>7309185323</v>
      </c>
      <c r="G3511" s="1">
        <v>44664</v>
      </c>
      <c r="H3511" t="str">
        <f>"0090044"</f>
        <v>0090044</v>
      </c>
      <c r="I3511">
        <v>1</v>
      </c>
      <c r="K3511">
        <v>16.8</v>
      </c>
      <c r="L3511">
        <v>16.8</v>
      </c>
    </row>
    <row r="3512" spans="1:12" x14ac:dyDescent="0.25">
      <c r="A3512" t="str">
        <f t="shared" si="760"/>
        <v>89301000</v>
      </c>
      <c r="B3512" t="str">
        <f t="shared" si="765"/>
        <v>78051000</v>
      </c>
      <c r="C3512" t="str">
        <f t="shared" si="766"/>
        <v>78051004</v>
      </c>
      <c r="D3512" t="str">
        <f t="shared" si="764"/>
        <v>809</v>
      </c>
      <c r="E3512" t="str">
        <f t="shared" si="767"/>
        <v>89301062</v>
      </c>
      <c r="F3512" t="str">
        <f>"7309185323"</f>
        <v>7309185323</v>
      </c>
      <c r="G3512" s="1">
        <v>44664</v>
      </c>
      <c r="H3512" t="str">
        <f>"0225891"</f>
        <v>0225891</v>
      </c>
      <c r="I3512">
        <v>0.2</v>
      </c>
      <c r="K3512">
        <v>73.540000000000006</v>
      </c>
      <c r="L3512">
        <v>73.540000000000006</v>
      </c>
    </row>
    <row r="3513" spans="1:12" x14ac:dyDescent="0.25">
      <c r="A3513" t="str">
        <f t="shared" si="760"/>
        <v>89301000</v>
      </c>
      <c r="B3513" t="str">
        <f t="shared" si="765"/>
        <v>78051000</v>
      </c>
      <c r="C3513" t="str">
        <f t="shared" si="766"/>
        <v>78051004</v>
      </c>
      <c r="D3513" t="str">
        <f t="shared" si="764"/>
        <v>809</v>
      </c>
      <c r="E3513" t="str">
        <f t="shared" si="767"/>
        <v>89301062</v>
      </c>
      <c r="F3513" t="str">
        <f>"7309185323"</f>
        <v>7309185323</v>
      </c>
      <c r="G3513" s="1">
        <v>44664</v>
      </c>
      <c r="H3513" t="str">
        <f>"0096251"</f>
        <v>0096251</v>
      </c>
      <c r="I3513">
        <v>0.17</v>
      </c>
      <c r="K3513">
        <v>198.83</v>
      </c>
      <c r="L3513">
        <v>198.83</v>
      </c>
    </row>
    <row r="3514" spans="1:12" x14ac:dyDescent="0.25">
      <c r="A3514" t="str">
        <f t="shared" si="760"/>
        <v>89301000</v>
      </c>
      <c r="B3514" t="str">
        <f t="shared" si="765"/>
        <v>78051000</v>
      </c>
      <c r="C3514" t="str">
        <f t="shared" si="766"/>
        <v>78051004</v>
      </c>
      <c r="D3514" t="str">
        <f t="shared" si="764"/>
        <v>809</v>
      </c>
      <c r="E3514" t="str">
        <f t="shared" si="767"/>
        <v>89301062</v>
      </c>
      <c r="F3514" t="str">
        <f>"7309185323"</f>
        <v>7309185323</v>
      </c>
      <c r="G3514" s="1">
        <v>44664</v>
      </c>
      <c r="H3514" t="str">
        <f>"0098943"</f>
        <v>0098943</v>
      </c>
      <c r="I3514">
        <v>1</v>
      </c>
      <c r="K3514">
        <v>293.81</v>
      </c>
      <c r="L3514">
        <v>293.81</v>
      </c>
    </row>
    <row r="3515" spans="1:12" x14ac:dyDescent="0.25">
      <c r="A3515" t="str">
        <f t="shared" si="760"/>
        <v>89301000</v>
      </c>
      <c r="B3515" t="str">
        <f t="shared" si="765"/>
        <v>78051000</v>
      </c>
      <c r="C3515" t="str">
        <f t="shared" si="766"/>
        <v>78051004</v>
      </c>
      <c r="D3515" t="str">
        <f t="shared" si="764"/>
        <v>809</v>
      </c>
      <c r="E3515" t="str">
        <f t="shared" si="767"/>
        <v>89301062</v>
      </c>
      <c r="F3515" t="str">
        <f>"6803252159"</f>
        <v>6803252159</v>
      </c>
      <c r="G3515" s="1">
        <v>44664</v>
      </c>
      <c r="H3515" t="str">
        <f>"89311"</f>
        <v>89311</v>
      </c>
      <c r="I3515">
        <v>1</v>
      </c>
      <c r="J3515">
        <v>936</v>
      </c>
      <c r="K3515">
        <v>0</v>
      </c>
      <c r="L3515">
        <v>1310.4000000000001</v>
      </c>
    </row>
    <row r="3516" spans="1:12" x14ac:dyDescent="0.25">
      <c r="A3516" t="str">
        <f t="shared" si="760"/>
        <v>89301000</v>
      </c>
      <c r="B3516" t="str">
        <f t="shared" si="765"/>
        <v>78051000</v>
      </c>
      <c r="C3516" t="str">
        <f t="shared" si="766"/>
        <v>78051004</v>
      </c>
      <c r="D3516" t="str">
        <f t="shared" si="764"/>
        <v>809</v>
      </c>
      <c r="E3516" t="str">
        <f t="shared" si="767"/>
        <v>89301062</v>
      </c>
      <c r="F3516" t="str">
        <f>"6803252159"</f>
        <v>6803252159</v>
      </c>
      <c r="G3516" s="1">
        <v>44664</v>
      </c>
      <c r="H3516" t="str">
        <f>"0090044"</f>
        <v>0090044</v>
      </c>
      <c r="I3516">
        <v>1</v>
      </c>
      <c r="K3516">
        <v>16.8</v>
      </c>
      <c r="L3516">
        <v>16.8</v>
      </c>
    </row>
    <row r="3517" spans="1:12" x14ac:dyDescent="0.25">
      <c r="A3517" t="str">
        <f t="shared" si="760"/>
        <v>89301000</v>
      </c>
      <c r="B3517" t="str">
        <f t="shared" si="765"/>
        <v>78051000</v>
      </c>
      <c r="C3517" t="str">
        <f t="shared" si="766"/>
        <v>78051004</v>
      </c>
      <c r="D3517" t="str">
        <f t="shared" si="764"/>
        <v>809</v>
      </c>
      <c r="E3517" t="str">
        <f t="shared" si="767"/>
        <v>89301062</v>
      </c>
      <c r="F3517" t="str">
        <f>"6803252159"</f>
        <v>6803252159</v>
      </c>
      <c r="G3517" s="1">
        <v>44664</v>
      </c>
      <c r="H3517" t="str">
        <f>"0225891"</f>
        <v>0225891</v>
      </c>
      <c r="I3517">
        <v>0.2</v>
      </c>
      <c r="K3517">
        <v>73.540000000000006</v>
      </c>
      <c r="L3517">
        <v>73.540000000000006</v>
      </c>
    </row>
    <row r="3518" spans="1:12" x14ac:dyDescent="0.25">
      <c r="A3518" t="str">
        <f t="shared" si="760"/>
        <v>89301000</v>
      </c>
      <c r="B3518" t="str">
        <f t="shared" si="765"/>
        <v>78051000</v>
      </c>
      <c r="C3518" t="str">
        <f t="shared" si="766"/>
        <v>78051004</v>
      </c>
      <c r="D3518" t="str">
        <f t="shared" si="764"/>
        <v>809</v>
      </c>
      <c r="E3518" t="str">
        <f t="shared" si="767"/>
        <v>89301062</v>
      </c>
      <c r="F3518" t="str">
        <f>"6803252159"</f>
        <v>6803252159</v>
      </c>
      <c r="G3518" s="1">
        <v>44664</v>
      </c>
      <c r="H3518" t="str">
        <f>"0096251"</f>
        <v>0096251</v>
      </c>
      <c r="I3518">
        <v>0.17</v>
      </c>
      <c r="K3518">
        <v>198.83</v>
      </c>
      <c r="L3518">
        <v>198.83</v>
      </c>
    </row>
    <row r="3519" spans="1:12" x14ac:dyDescent="0.25">
      <c r="A3519" t="str">
        <f t="shared" si="760"/>
        <v>89301000</v>
      </c>
      <c r="B3519" t="str">
        <f t="shared" si="765"/>
        <v>78051000</v>
      </c>
      <c r="C3519" t="str">
        <f t="shared" si="766"/>
        <v>78051004</v>
      </c>
      <c r="D3519" t="str">
        <f t="shared" si="764"/>
        <v>809</v>
      </c>
      <c r="E3519" t="str">
        <f t="shared" si="767"/>
        <v>89301062</v>
      </c>
      <c r="F3519" t="str">
        <f>"6803252159"</f>
        <v>6803252159</v>
      </c>
      <c r="G3519" s="1">
        <v>44664</v>
      </c>
      <c r="H3519" t="str">
        <f>"0098943"</f>
        <v>0098943</v>
      </c>
      <c r="I3519">
        <v>1</v>
      </c>
      <c r="K3519">
        <v>293.81</v>
      </c>
      <c r="L3519">
        <v>293.81</v>
      </c>
    </row>
    <row r="3520" spans="1:12" x14ac:dyDescent="0.25">
      <c r="A3520" t="str">
        <f t="shared" si="760"/>
        <v>89301000</v>
      </c>
      <c r="B3520" t="str">
        <f t="shared" si="765"/>
        <v>78051000</v>
      </c>
      <c r="C3520" t="str">
        <f t="shared" si="766"/>
        <v>78051004</v>
      </c>
      <c r="D3520" t="str">
        <f t="shared" si="764"/>
        <v>809</v>
      </c>
      <c r="E3520" t="str">
        <f t="shared" si="767"/>
        <v>89301062</v>
      </c>
      <c r="F3520" t="str">
        <f>"8204254322"</f>
        <v>8204254322</v>
      </c>
      <c r="G3520" s="1">
        <v>44664</v>
      </c>
      <c r="H3520" t="str">
        <f>"89311"</f>
        <v>89311</v>
      </c>
      <c r="I3520">
        <v>1</v>
      </c>
      <c r="J3520">
        <v>936</v>
      </c>
      <c r="K3520">
        <v>0</v>
      </c>
      <c r="L3520">
        <v>1310.4000000000001</v>
      </c>
    </row>
    <row r="3521" spans="1:12" x14ac:dyDescent="0.25">
      <c r="A3521" t="str">
        <f t="shared" si="760"/>
        <v>89301000</v>
      </c>
      <c r="B3521" t="str">
        <f t="shared" si="765"/>
        <v>78051000</v>
      </c>
      <c r="C3521" t="str">
        <f t="shared" si="766"/>
        <v>78051004</v>
      </c>
      <c r="D3521" t="str">
        <f t="shared" si="764"/>
        <v>809</v>
      </c>
      <c r="E3521" t="str">
        <f t="shared" si="767"/>
        <v>89301062</v>
      </c>
      <c r="F3521" t="str">
        <f>"8204254322"</f>
        <v>8204254322</v>
      </c>
      <c r="G3521" s="1">
        <v>44664</v>
      </c>
      <c r="H3521" t="str">
        <f>"0090044"</f>
        <v>0090044</v>
      </c>
      <c r="I3521">
        <v>1</v>
      </c>
      <c r="K3521">
        <v>16.8</v>
      </c>
      <c r="L3521">
        <v>16.8</v>
      </c>
    </row>
    <row r="3522" spans="1:12" x14ac:dyDescent="0.25">
      <c r="A3522" t="str">
        <f t="shared" ref="A3522:A3585" si="768">"89301000"</f>
        <v>89301000</v>
      </c>
      <c r="B3522" t="str">
        <f t="shared" ref="B3522:B3543" si="769">"78051000"</f>
        <v>78051000</v>
      </c>
      <c r="C3522" t="str">
        <f t="shared" si="766"/>
        <v>78051004</v>
      </c>
      <c r="D3522" t="str">
        <f t="shared" si="764"/>
        <v>809</v>
      </c>
      <c r="E3522" t="str">
        <f t="shared" ref="E3522:E3543" si="770">"89301062"</f>
        <v>89301062</v>
      </c>
      <c r="F3522" t="str">
        <f>"8204254322"</f>
        <v>8204254322</v>
      </c>
      <c r="G3522" s="1">
        <v>44664</v>
      </c>
      <c r="H3522" t="str">
        <f>"0225891"</f>
        <v>0225891</v>
      </c>
      <c r="I3522">
        <v>0.2</v>
      </c>
      <c r="K3522">
        <v>73.540000000000006</v>
      </c>
      <c r="L3522">
        <v>73.540000000000006</v>
      </c>
    </row>
    <row r="3523" spans="1:12" x14ac:dyDescent="0.25">
      <c r="A3523" t="str">
        <f t="shared" si="768"/>
        <v>89301000</v>
      </c>
      <c r="B3523" t="str">
        <f t="shared" si="769"/>
        <v>78051000</v>
      </c>
      <c r="C3523" t="str">
        <f t="shared" si="766"/>
        <v>78051004</v>
      </c>
      <c r="D3523" t="str">
        <f t="shared" si="764"/>
        <v>809</v>
      </c>
      <c r="E3523" t="str">
        <f t="shared" si="770"/>
        <v>89301062</v>
      </c>
      <c r="F3523" t="str">
        <f>"8204254322"</f>
        <v>8204254322</v>
      </c>
      <c r="G3523" s="1">
        <v>44664</v>
      </c>
      <c r="H3523" t="str">
        <f>"0096251"</f>
        <v>0096251</v>
      </c>
      <c r="I3523">
        <v>0.17</v>
      </c>
      <c r="K3523">
        <v>198.83</v>
      </c>
      <c r="L3523">
        <v>198.83</v>
      </c>
    </row>
    <row r="3524" spans="1:12" x14ac:dyDescent="0.25">
      <c r="A3524" t="str">
        <f t="shared" si="768"/>
        <v>89301000</v>
      </c>
      <c r="B3524" t="str">
        <f t="shared" si="769"/>
        <v>78051000</v>
      </c>
      <c r="C3524" t="str">
        <f t="shared" si="766"/>
        <v>78051004</v>
      </c>
      <c r="D3524" t="str">
        <f t="shared" si="764"/>
        <v>809</v>
      </c>
      <c r="E3524" t="str">
        <f t="shared" si="770"/>
        <v>89301062</v>
      </c>
      <c r="F3524" t="str">
        <f>"8204254322"</f>
        <v>8204254322</v>
      </c>
      <c r="G3524" s="1">
        <v>44664</v>
      </c>
      <c r="H3524" t="str">
        <f>"0098943"</f>
        <v>0098943</v>
      </c>
      <c r="I3524">
        <v>1</v>
      </c>
      <c r="K3524">
        <v>293.81</v>
      </c>
      <c r="L3524">
        <v>293.81</v>
      </c>
    </row>
    <row r="3525" spans="1:12" x14ac:dyDescent="0.25">
      <c r="A3525" t="str">
        <f t="shared" si="768"/>
        <v>89301000</v>
      </c>
      <c r="B3525" t="str">
        <f t="shared" si="769"/>
        <v>78051000</v>
      </c>
      <c r="C3525" t="str">
        <f t="shared" si="766"/>
        <v>78051004</v>
      </c>
      <c r="D3525" t="str">
        <f t="shared" si="764"/>
        <v>809</v>
      </c>
      <c r="E3525" t="str">
        <f t="shared" si="770"/>
        <v>89301062</v>
      </c>
      <c r="F3525" t="str">
        <f>"7962075396"</f>
        <v>7962075396</v>
      </c>
      <c r="G3525" s="1">
        <v>44678</v>
      </c>
      <c r="H3525" t="str">
        <f>"89311"</f>
        <v>89311</v>
      </c>
      <c r="I3525">
        <v>1</v>
      </c>
      <c r="J3525">
        <v>936</v>
      </c>
      <c r="K3525">
        <v>0</v>
      </c>
      <c r="L3525">
        <v>1310.4000000000001</v>
      </c>
    </row>
    <row r="3526" spans="1:12" x14ac:dyDescent="0.25">
      <c r="A3526" t="str">
        <f t="shared" si="768"/>
        <v>89301000</v>
      </c>
      <c r="B3526" t="str">
        <f t="shared" si="769"/>
        <v>78051000</v>
      </c>
      <c r="C3526" t="str">
        <f t="shared" si="766"/>
        <v>78051004</v>
      </c>
      <c r="D3526" t="str">
        <f t="shared" si="764"/>
        <v>809</v>
      </c>
      <c r="E3526" t="str">
        <f t="shared" si="770"/>
        <v>89301062</v>
      </c>
      <c r="F3526" t="str">
        <f>"7962075396"</f>
        <v>7962075396</v>
      </c>
      <c r="G3526" s="1">
        <v>44678</v>
      </c>
      <c r="H3526" t="str">
        <f>"0090044"</f>
        <v>0090044</v>
      </c>
      <c r="I3526">
        <v>1</v>
      </c>
      <c r="K3526">
        <v>16.8</v>
      </c>
      <c r="L3526">
        <v>16.8</v>
      </c>
    </row>
    <row r="3527" spans="1:12" x14ac:dyDescent="0.25">
      <c r="A3527" t="str">
        <f t="shared" si="768"/>
        <v>89301000</v>
      </c>
      <c r="B3527" t="str">
        <f t="shared" si="769"/>
        <v>78051000</v>
      </c>
      <c r="C3527" t="str">
        <f t="shared" si="766"/>
        <v>78051004</v>
      </c>
      <c r="D3527" t="str">
        <f t="shared" si="764"/>
        <v>809</v>
      </c>
      <c r="E3527" t="str">
        <f t="shared" si="770"/>
        <v>89301062</v>
      </c>
      <c r="F3527" t="str">
        <f>"7962075396"</f>
        <v>7962075396</v>
      </c>
      <c r="G3527" s="1">
        <v>44678</v>
      </c>
      <c r="H3527" t="str">
        <f>"0225891"</f>
        <v>0225891</v>
      </c>
      <c r="I3527">
        <v>0.2</v>
      </c>
      <c r="K3527">
        <v>73.540000000000006</v>
      </c>
      <c r="L3527">
        <v>73.540000000000006</v>
      </c>
    </row>
    <row r="3528" spans="1:12" x14ac:dyDescent="0.25">
      <c r="A3528" t="str">
        <f t="shared" si="768"/>
        <v>89301000</v>
      </c>
      <c r="B3528" t="str">
        <f t="shared" si="769"/>
        <v>78051000</v>
      </c>
      <c r="C3528" t="str">
        <f t="shared" si="766"/>
        <v>78051004</v>
      </c>
      <c r="D3528" t="str">
        <f t="shared" si="764"/>
        <v>809</v>
      </c>
      <c r="E3528" t="str">
        <f t="shared" si="770"/>
        <v>89301062</v>
      </c>
      <c r="F3528" t="str">
        <f>"7962075396"</f>
        <v>7962075396</v>
      </c>
      <c r="G3528" s="1">
        <v>44678</v>
      </c>
      <c r="H3528" t="str">
        <f>"0096251"</f>
        <v>0096251</v>
      </c>
      <c r="I3528">
        <v>0.17</v>
      </c>
      <c r="K3528">
        <v>198.83</v>
      </c>
      <c r="L3528">
        <v>198.83</v>
      </c>
    </row>
    <row r="3529" spans="1:12" x14ac:dyDescent="0.25">
      <c r="A3529" t="str">
        <f t="shared" si="768"/>
        <v>89301000</v>
      </c>
      <c r="B3529" t="str">
        <f t="shared" si="769"/>
        <v>78051000</v>
      </c>
      <c r="C3529" t="str">
        <f t="shared" si="766"/>
        <v>78051004</v>
      </c>
      <c r="D3529" t="str">
        <f t="shared" si="764"/>
        <v>809</v>
      </c>
      <c r="E3529" t="str">
        <f t="shared" si="770"/>
        <v>89301062</v>
      </c>
      <c r="F3529" t="str">
        <f>"7962075396"</f>
        <v>7962075396</v>
      </c>
      <c r="G3529" s="1">
        <v>44678</v>
      </c>
      <c r="H3529" t="str">
        <f>"0098943"</f>
        <v>0098943</v>
      </c>
      <c r="I3529">
        <v>1</v>
      </c>
      <c r="K3529">
        <v>293.81</v>
      </c>
      <c r="L3529">
        <v>293.81</v>
      </c>
    </row>
    <row r="3530" spans="1:12" x14ac:dyDescent="0.25">
      <c r="A3530" t="str">
        <f t="shared" si="768"/>
        <v>89301000</v>
      </c>
      <c r="B3530" t="str">
        <f t="shared" si="769"/>
        <v>78051000</v>
      </c>
      <c r="C3530" t="str">
        <f t="shared" si="766"/>
        <v>78051004</v>
      </c>
      <c r="D3530" t="str">
        <f t="shared" si="764"/>
        <v>809</v>
      </c>
      <c r="E3530" t="str">
        <f t="shared" si="770"/>
        <v>89301062</v>
      </c>
      <c r="F3530" t="str">
        <f>"525504041"</f>
        <v>525504041</v>
      </c>
      <c r="G3530" s="1">
        <v>44678</v>
      </c>
      <c r="H3530" t="str">
        <f>"89311"</f>
        <v>89311</v>
      </c>
      <c r="I3530">
        <v>1</v>
      </c>
      <c r="J3530">
        <v>936</v>
      </c>
      <c r="K3530">
        <v>0</v>
      </c>
      <c r="L3530">
        <v>1310.4000000000001</v>
      </c>
    </row>
    <row r="3531" spans="1:12" x14ac:dyDescent="0.25">
      <c r="A3531" t="str">
        <f t="shared" si="768"/>
        <v>89301000</v>
      </c>
      <c r="B3531" t="str">
        <f t="shared" si="769"/>
        <v>78051000</v>
      </c>
      <c r="C3531" t="str">
        <f t="shared" si="766"/>
        <v>78051004</v>
      </c>
      <c r="D3531" t="str">
        <f t="shared" si="764"/>
        <v>809</v>
      </c>
      <c r="E3531" t="str">
        <f t="shared" si="770"/>
        <v>89301062</v>
      </c>
      <c r="F3531" t="str">
        <f>"525504041"</f>
        <v>525504041</v>
      </c>
      <c r="G3531" s="1">
        <v>44678</v>
      </c>
      <c r="H3531" t="str">
        <f>"0090044"</f>
        <v>0090044</v>
      </c>
      <c r="I3531">
        <v>1</v>
      </c>
      <c r="K3531">
        <v>16.8</v>
      </c>
      <c r="L3531">
        <v>16.8</v>
      </c>
    </row>
    <row r="3532" spans="1:12" x14ac:dyDescent="0.25">
      <c r="A3532" t="str">
        <f t="shared" si="768"/>
        <v>89301000</v>
      </c>
      <c r="B3532" t="str">
        <f t="shared" si="769"/>
        <v>78051000</v>
      </c>
      <c r="C3532" t="str">
        <f t="shared" si="766"/>
        <v>78051004</v>
      </c>
      <c r="D3532" t="str">
        <f t="shared" si="764"/>
        <v>809</v>
      </c>
      <c r="E3532" t="str">
        <f t="shared" si="770"/>
        <v>89301062</v>
      </c>
      <c r="F3532" t="str">
        <f>"525504041"</f>
        <v>525504041</v>
      </c>
      <c r="G3532" s="1">
        <v>44678</v>
      </c>
      <c r="H3532" t="str">
        <f>"0225891"</f>
        <v>0225891</v>
      </c>
      <c r="I3532">
        <v>0.2</v>
      </c>
      <c r="K3532">
        <v>73.540000000000006</v>
      </c>
      <c r="L3532">
        <v>73.540000000000006</v>
      </c>
    </row>
    <row r="3533" spans="1:12" x14ac:dyDescent="0.25">
      <c r="A3533" t="str">
        <f t="shared" si="768"/>
        <v>89301000</v>
      </c>
      <c r="B3533" t="str">
        <f t="shared" si="769"/>
        <v>78051000</v>
      </c>
      <c r="C3533" t="str">
        <f t="shared" si="766"/>
        <v>78051004</v>
      </c>
      <c r="D3533" t="str">
        <f t="shared" si="764"/>
        <v>809</v>
      </c>
      <c r="E3533" t="str">
        <f t="shared" si="770"/>
        <v>89301062</v>
      </c>
      <c r="F3533" t="str">
        <f>"525504041"</f>
        <v>525504041</v>
      </c>
      <c r="G3533" s="1">
        <v>44678</v>
      </c>
      <c r="H3533" t="str">
        <f>"0096251"</f>
        <v>0096251</v>
      </c>
      <c r="I3533">
        <v>0.17</v>
      </c>
      <c r="K3533">
        <v>198.83</v>
      </c>
      <c r="L3533">
        <v>198.83</v>
      </c>
    </row>
    <row r="3534" spans="1:12" x14ac:dyDescent="0.25">
      <c r="A3534" t="str">
        <f t="shared" si="768"/>
        <v>89301000</v>
      </c>
      <c r="B3534" t="str">
        <f t="shared" si="769"/>
        <v>78051000</v>
      </c>
      <c r="C3534" t="str">
        <f t="shared" si="766"/>
        <v>78051004</v>
      </c>
      <c r="D3534" t="str">
        <f t="shared" si="764"/>
        <v>809</v>
      </c>
      <c r="E3534" t="str">
        <f t="shared" si="770"/>
        <v>89301062</v>
      </c>
      <c r="F3534" t="str">
        <f>"525504041"</f>
        <v>525504041</v>
      </c>
      <c r="G3534" s="1">
        <v>44678</v>
      </c>
      <c r="H3534" t="str">
        <f>"0098943"</f>
        <v>0098943</v>
      </c>
      <c r="I3534">
        <v>1</v>
      </c>
      <c r="K3534">
        <v>293.81</v>
      </c>
      <c r="L3534">
        <v>293.81</v>
      </c>
    </row>
    <row r="3535" spans="1:12" x14ac:dyDescent="0.25">
      <c r="A3535" t="str">
        <f t="shared" si="768"/>
        <v>89301000</v>
      </c>
      <c r="B3535" t="str">
        <f t="shared" si="769"/>
        <v>78051000</v>
      </c>
      <c r="C3535" t="str">
        <f t="shared" ref="C3535:C3543" si="771">"78051017"</f>
        <v>78051017</v>
      </c>
      <c r="D3535" t="str">
        <f t="shared" ref="D3535:D3543" si="772">"810"</f>
        <v>810</v>
      </c>
      <c r="E3535" t="str">
        <f t="shared" si="770"/>
        <v>89301062</v>
      </c>
      <c r="F3535" t="str">
        <f>"7062095315"</f>
        <v>7062095315</v>
      </c>
      <c r="G3535" s="1">
        <v>44656</v>
      </c>
      <c r="H3535" t="str">
        <f t="shared" ref="H3535:H3543" si="773">"89615"</f>
        <v>89615</v>
      </c>
      <c r="I3535">
        <v>1</v>
      </c>
      <c r="J3535">
        <v>2170</v>
      </c>
      <c r="K3535">
        <v>0</v>
      </c>
      <c r="L3535">
        <v>1302</v>
      </c>
    </row>
    <row r="3536" spans="1:12" x14ac:dyDescent="0.25">
      <c r="A3536" t="str">
        <f t="shared" si="768"/>
        <v>89301000</v>
      </c>
      <c r="B3536" t="str">
        <f t="shared" si="769"/>
        <v>78051000</v>
      </c>
      <c r="C3536" t="str">
        <f t="shared" si="771"/>
        <v>78051017</v>
      </c>
      <c r="D3536" t="str">
        <f t="shared" si="772"/>
        <v>810</v>
      </c>
      <c r="E3536" t="str">
        <f t="shared" si="770"/>
        <v>89301062</v>
      </c>
      <c r="F3536" t="str">
        <f>"5559190956"</f>
        <v>5559190956</v>
      </c>
      <c r="G3536" s="1">
        <v>44656</v>
      </c>
      <c r="H3536" t="str">
        <f t="shared" si="773"/>
        <v>89615</v>
      </c>
      <c r="I3536">
        <v>1</v>
      </c>
      <c r="J3536">
        <v>2170</v>
      </c>
      <c r="K3536">
        <v>0</v>
      </c>
      <c r="L3536">
        <v>1302</v>
      </c>
    </row>
    <row r="3537" spans="1:12" x14ac:dyDescent="0.25">
      <c r="A3537" t="str">
        <f t="shared" si="768"/>
        <v>89301000</v>
      </c>
      <c r="B3537" t="str">
        <f t="shared" si="769"/>
        <v>78051000</v>
      </c>
      <c r="C3537" t="str">
        <f t="shared" si="771"/>
        <v>78051017</v>
      </c>
      <c r="D3537" t="str">
        <f t="shared" si="772"/>
        <v>810</v>
      </c>
      <c r="E3537" t="str">
        <f t="shared" si="770"/>
        <v>89301062</v>
      </c>
      <c r="F3537" t="str">
        <f>"6256170426"</f>
        <v>6256170426</v>
      </c>
      <c r="G3537" s="1">
        <v>44656</v>
      </c>
      <c r="H3537" t="str">
        <f t="shared" si="773"/>
        <v>89615</v>
      </c>
      <c r="I3537">
        <v>1</v>
      </c>
      <c r="J3537">
        <v>2170</v>
      </c>
      <c r="K3537">
        <v>0</v>
      </c>
      <c r="L3537">
        <v>1302</v>
      </c>
    </row>
    <row r="3538" spans="1:12" x14ac:dyDescent="0.25">
      <c r="A3538" t="str">
        <f t="shared" si="768"/>
        <v>89301000</v>
      </c>
      <c r="B3538" t="str">
        <f t="shared" si="769"/>
        <v>78051000</v>
      </c>
      <c r="C3538" t="str">
        <f t="shared" si="771"/>
        <v>78051017</v>
      </c>
      <c r="D3538" t="str">
        <f t="shared" si="772"/>
        <v>810</v>
      </c>
      <c r="E3538" t="str">
        <f t="shared" si="770"/>
        <v>89301062</v>
      </c>
      <c r="F3538" t="str">
        <f>"6201201644"</f>
        <v>6201201644</v>
      </c>
      <c r="G3538" s="1">
        <v>44656</v>
      </c>
      <c r="H3538" t="str">
        <f t="shared" si="773"/>
        <v>89615</v>
      </c>
      <c r="I3538">
        <v>1</v>
      </c>
      <c r="J3538">
        <v>2170</v>
      </c>
      <c r="K3538">
        <v>0</v>
      </c>
      <c r="L3538">
        <v>1302</v>
      </c>
    </row>
    <row r="3539" spans="1:12" x14ac:dyDescent="0.25">
      <c r="A3539" t="str">
        <f t="shared" si="768"/>
        <v>89301000</v>
      </c>
      <c r="B3539" t="str">
        <f t="shared" si="769"/>
        <v>78051000</v>
      </c>
      <c r="C3539" t="str">
        <f t="shared" si="771"/>
        <v>78051017</v>
      </c>
      <c r="D3539" t="str">
        <f t="shared" si="772"/>
        <v>810</v>
      </c>
      <c r="E3539" t="str">
        <f t="shared" si="770"/>
        <v>89301062</v>
      </c>
      <c r="F3539" t="str">
        <f>"7309185323"</f>
        <v>7309185323</v>
      </c>
      <c r="G3539" s="1">
        <v>44664</v>
      </c>
      <c r="H3539" t="str">
        <f t="shared" si="773"/>
        <v>89615</v>
      </c>
      <c r="I3539">
        <v>1</v>
      </c>
      <c r="J3539">
        <v>2170</v>
      </c>
      <c r="K3539">
        <v>0</v>
      </c>
      <c r="L3539">
        <v>1302</v>
      </c>
    </row>
    <row r="3540" spans="1:12" x14ac:dyDescent="0.25">
      <c r="A3540" t="str">
        <f t="shared" si="768"/>
        <v>89301000</v>
      </c>
      <c r="B3540" t="str">
        <f t="shared" si="769"/>
        <v>78051000</v>
      </c>
      <c r="C3540" t="str">
        <f t="shared" si="771"/>
        <v>78051017</v>
      </c>
      <c r="D3540" t="str">
        <f t="shared" si="772"/>
        <v>810</v>
      </c>
      <c r="E3540" t="str">
        <f t="shared" si="770"/>
        <v>89301062</v>
      </c>
      <c r="F3540" t="str">
        <f>"6803252159"</f>
        <v>6803252159</v>
      </c>
      <c r="G3540" s="1">
        <v>44664</v>
      </c>
      <c r="H3540" t="str">
        <f t="shared" si="773"/>
        <v>89615</v>
      </c>
      <c r="I3540">
        <v>1</v>
      </c>
      <c r="J3540">
        <v>2170</v>
      </c>
      <c r="K3540">
        <v>0</v>
      </c>
      <c r="L3540">
        <v>1302</v>
      </c>
    </row>
    <row r="3541" spans="1:12" x14ac:dyDescent="0.25">
      <c r="A3541" t="str">
        <f t="shared" si="768"/>
        <v>89301000</v>
      </c>
      <c r="B3541" t="str">
        <f t="shared" si="769"/>
        <v>78051000</v>
      </c>
      <c r="C3541" t="str">
        <f t="shared" si="771"/>
        <v>78051017</v>
      </c>
      <c r="D3541" t="str">
        <f t="shared" si="772"/>
        <v>810</v>
      </c>
      <c r="E3541" t="str">
        <f t="shared" si="770"/>
        <v>89301062</v>
      </c>
      <c r="F3541" t="str">
        <f>"8204254322"</f>
        <v>8204254322</v>
      </c>
      <c r="G3541" s="1">
        <v>44664</v>
      </c>
      <c r="H3541" t="str">
        <f t="shared" si="773"/>
        <v>89615</v>
      </c>
      <c r="I3541">
        <v>1</v>
      </c>
      <c r="J3541">
        <v>2170</v>
      </c>
      <c r="K3541">
        <v>0</v>
      </c>
      <c r="L3541">
        <v>1302</v>
      </c>
    </row>
    <row r="3542" spans="1:12" x14ac:dyDescent="0.25">
      <c r="A3542" t="str">
        <f t="shared" si="768"/>
        <v>89301000</v>
      </c>
      <c r="B3542" t="str">
        <f t="shared" si="769"/>
        <v>78051000</v>
      </c>
      <c r="C3542" t="str">
        <f t="shared" si="771"/>
        <v>78051017</v>
      </c>
      <c r="D3542" t="str">
        <f t="shared" si="772"/>
        <v>810</v>
      </c>
      <c r="E3542" t="str">
        <f t="shared" si="770"/>
        <v>89301062</v>
      </c>
      <c r="F3542" t="str">
        <f>"7962075396"</f>
        <v>7962075396</v>
      </c>
      <c r="G3542" s="1">
        <v>44678</v>
      </c>
      <c r="H3542" t="str">
        <f t="shared" si="773"/>
        <v>89615</v>
      </c>
      <c r="I3542">
        <v>1</v>
      </c>
      <c r="J3542">
        <v>2170</v>
      </c>
      <c r="K3542">
        <v>0</v>
      </c>
      <c r="L3542">
        <v>1302</v>
      </c>
    </row>
    <row r="3543" spans="1:12" x14ac:dyDescent="0.25">
      <c r="A3543" t="str">
        <f t="shared" si="768"/>
        <v>89301000</v>
      </c>
      <c r="B3543" t="str">
        <f t="shared" si="769"/>
        <v>78051000</v>
      </c>
      <c r="C3543" t="str">
        <f t="shared" si="771"/>
        <v>78051017</v>
      </c>
      <c r="D3543" t="str">
        <f t="shared" si="772"/>
        <v>810</v>
      </c>
      <c r="E3543" t="str">
        <f t="shared" si="770"/>
        <v>89301062</v>
      </c>
      <c r="F3543" t="str">
        <f>"525504041"</f>
        <v>525504041</v>
      </c>
      <c r="G3543" s="1">
        <v>44678</v>
      </c>
      <c r="H3543" t="str">
        <f t="shared" si="773"/>
        <v>89615</v>
      </c>
      <c r="I3543">
        <v>1</v>
      </c>
      <c r="J3543">
        <v>2170</v>
      </c>
      <c r="K3543">
        <v>0</v>
      </c>
      <c r="L3543">
        <v>1302</v>
      </c>
    </row>
    <row r="3544" spans="1:12" x14ac:dyDescent="0.25">
      <c r="A3544" t="str">
        <f t="shared" si="768"/>
        <v>89301000</v>
      </c>
      <c r="B3544" t="str">
        <f t="shared" ref="B3544:B3563" si="774">"86240000"</f>
        <v>86240000</v>
      </c>
      <c r="C3544" t="str">
        <f t="shared" ref="C3544:C3561" si="775">"86240002"</f>
        <v>86240002</v>
      </c>
      <c r="D3544" t="str">
        <f t="shared" ref="D3544:D3561" si="776">"801"</f>
        <v>801</v>
      </c>
      <c r="E3544" t="str">
        <f t="shared" ref="E3544:E3563" si="777">"89301167"</f>
        <v>89301167</v>
      </c>
      <c r="F3544" t="str">
        <f t="shared" ref="F3544:F3563" si="778">"5461103197"</f>
        <v>5461103197</v>
      </c>
      <c r="G3544" s="1">
        <v>44665</v>
      </c>
      <c r="H3544" t="str">
        <f>"81593"</f>
        <v>81593</v>
      </c>
      <c r="I3544">
        <v>1</v>
      </c>
      <c r="J3544">
        <v>22</v>
      </c>
      <c r="K3544">
        <v>0</v>
      </c>
      <c r="L3544">
        <v>17.16</v>
      </c>
    </row>
    <row r="3545" spans="1:12" x14ac:dyDescent="0.25">
      <c r="A3545" t="str">
        <f t="shared" si="768"/>
        <v>89301000</v>
      </c>
      <c r="B3545" t="str">
        <f t="shared" si="774"/>
        <v>86240000</v>
      </c>
      <c r="C3545" t="str">
        <f t="shared" si="775"/>
        <v>86240002</v>
      </c>
      <c r="D3545" t="str">
        <f t="shared" si="776"/>
        <v>801</v>
      </c>
      <c r="E3545" t="str">
        <f t="shared" si="777"/>
        <v>89301167</v>
      </c>
      <c r="F3545" t="str">
        <f t="shared" si="778"/>
        <v>5461103197</v>
      </c>
      <c r="G3545" s="1">
        <v>44665</v>
      </c>
      <c r="H3545" t="str">
        <f>"81393"</f>
        <v>81393</v>
      </c>
      <c r="I3545">
        <v>1</v>
      </c>
      <c r="J3545">
        <v>24</v>
      </c>
      <c r="K3545">
        <v>0</v>
      </c>
      <c r="L3545">
        <v>18.72</v>
      </c>
    </row>
    <row r="3546" spans="1:12" x14ac:dyDescent="0.25">
      <c r="A3546" t="str">
        <f t="shared" si="768"/>
        <v>89301000</v>
      </c>
      <c r="B3546" t="str">
        <f t="shared" si="774"/>
        <v>86240000</v>
      </c>
      <c r="C3546" t="str">
        <f t="shared" si="775"/>
        <v>86240002</v>
      </c>
      <c r="D3546" t="str">
        <f t="shared" si="776"/>
        <v>801</v>
      </c>
      <c r="E3546" t="str">
        <f t="shared" si="777"/>
        <v>89301167</v>
      </c>
      <c r="F3546" t="str">
        <f t="shared" si="778"/>
        <v>5461103197</v>
      </c>
      <c r="G3546" s="1">
        <v>44665</v>
      </c>
      <c r="H3546" t="str">
        <f>"81469"</f>
        <v>81469</v>
      </c>
      <c r="I3546">
        <v>1</v>
      </c>
      <c r="J3546">
        <v>16</v>
      </c>
      <c r="K3546">
        <v>0</v>
      </c>
      <c r="L3546">
        <v>12.48</v>
      </c>
    </row>
    <row r="3547" spans="1:12" x14ac:dyDescent="0.25">
      <c r="A3547" t="str">
        <f t="shared" si="768"/>
        <v>89301000</v>
      </c>
      <c r="B3547" t="str">
        <f t="shared" si="774"/>
        <v>86240000</v>
      </c>
      <c r="C3547" t="str">
        <f t="shared" si="775"/>
        <v>86240002</v>
      </c>
      <c r="D3547" t="str">
        <f t="shared" si="776"/>
        <v>801</v>
      </c>
      <c r="E3547" t="str">
        <f t="shared" si="777"/>
        <v>89301167</v>
      </c>
      <c r="F3547" t="str">
        <f t="shared" si="778"/>
        <v>5461103197</v>
      </c>
      <c r="G3547" s="1">
        <v>44665</v>
      </c>
      <c r="H3547" t="str">
        <f>"81625"</f>
        <v>81625</v>
      </c>
      <c r="I3547">
        <v>1</v>
      </c>
      <c r="J3547">
        <v>20</v>
      </c>
      <c r="K3547">
        <v>0</v>
      </c>
      <c r="L3547">
        <v>15.6</v>
      </c>
    </row>
    <row r="3548" spans="1:12" x14ac:dyDescent="0.25">
      <c r="A3548" t="str">
        <f t="shared" si="768"/>
        <v>89301000</v>
      </c>
      <c r="B3548" t="str">
        <f t="shared" si="774"/>
        <v>86240000</v>
      </c>
      <c r="C3548" t="str">
        <f t="shared" si="775"/>
        <v>86240002</v>
      </c>
      <c r="D3548" t="str">
        <f t="shared" si="776"/>
        <v>801</v>
      </c>
      <c r="E3548" t="str">
        <f t="shared" si="777"/>
        <v>89301167</v>
      </c>
      <c r="F3548" t="str">
        <f t="shared" si="778"/>
        <v>5461103197</v>
      </c>
      <c r="G3548" s="1">
        <v>44665</v>
      </c>
      <c r="H3548" t="str">
        <f>"81621"</f>
        <v>81621</v>
      </c>
      <c r="I3548">
        <v>1</v>
      </c>
      <c r="J3548">
        <v>19</v>
      </c>
      <c r="K3548">
        <v>0</v>
      </c>
      <c r="L3548">
        <v>14.82</v>
      </c>
    </row>
    <row r="3549" spans="1:12" x14ac:dyDescent="0.25">
      <c r="A3549" t="str">
        <f t="shared" si="768"/>
        <v>89301000</v>
      </c>
      <c r="B3549" t="str">
        <f t="shared" si="774"/>
        <v>86240000</v>
      </c>
      <c r="C3549" t="str">
        <f t="shared" si="775"/>
        <v>86240002</v>
      </c>
      <c r="D3549" t="str">
        <f t="shared" si="776"/>
        <v>801</v>
      </c>
      <c r="E3549" t="str">
        <f t="shared" si="777"/>
        <v>89301167</v>
      </c>
      <c r="F3549" t="str">
        <f t="shared" si="778"/>
        <v>5461103197</v>
      </c>
      <c r="G3549" s="1">
        <v>44665</v>
      </c>
      <c r="H3549" t="str">
        <f>"81523"</f>
        <v>81523</v>
      </c>
      <c r="I3549">
        <v>1</v>
      </c>
      <c r="J3549">
        <v>23</v>
      </c>
      <c r="K3549">
        <v>0</v>
      </c>
      <c r="L3549">
        <v>17.940000000000001</v>
      </c>
    </row>
    <row r="3550" spans="1:12" x14ac:dyDescent="0.25">
      <c r="A3550" t="str">
        <f t="shared" si="768"/>
        <v>89301000</v>
      </c>
      <c r="B3550" t="str">
        <f t="shared" si="774"/>
        <v>86240000</v>
      </c>
      <c r="C3550" t="str">
        <f t="shared" si="775"/>
        <v>86240002</v>
      </c>
      <c r="D3550" t="str">
        <f t="shared" si="776"/>
        <v>801</v>
      </c>
      <c r="E3550" t="str">
        <f t="shared" si="777"/>
        <v>89301167</v>
      </c>
      <c r="F3550" t="str">
        <f t="shared" si="778"/>
        <v>5461103197</v>
      </c>
      <c r="G3550" s="1">
        <v>44665</v>
      </c>
      <c r="H3550" t="str">
        <f>"81329"</f>
        <v>81329</v>
      </c>
      <c r="I3550">
        <v>1</v>
      </c>
      <c r="J3550">
        <v>16</v>
      </c>
      <c r="K3550">
        <v>0</v>
      </c>
      <c r="L3550">
        <v>12.48</v>
      </c>
    </row>
    <row r="3551" spans="1:12" x14ac:dyDescent="0.25">
      <c r="A3551" t="str">
        <f t="shared" si="768"/>
        <v>89301000</v>
      </c>
      <c r="B3551" t="str">
        <f t="shared" si="774"/>
        <v>86240000</v>
      </c>
      <c r="C3551" t="str">
        <f t="shared" si="775"/>
        <v>86240002</v>
      </c>
      <c r="D3551" t="str">
        <f t="shared" si="776"/>
        <v>801</v>
      </c>
      <c r="E3551" t="str">
        <f t="shared" si="777"/>
        <v>89301167</v>
      </c>
      <c r="F3551" t="str">
        <f t="shared" si="778"/>
        <v>5461103197</v>
      </c>
      <c r="G3551" s="1">
        <v>44665</v>
      </c>
      <c r="H3551" t="str">
        <f>"81439"</f>
        <v>81439</v>
      </c>
      <c r="I3551">
        <v>1</v>
      </c>
      <c r="J3551">
        <v>16</v>
      </c>
      <c r="K3551">
        <v>0</v>
      </c>
      <c r="L3551">
        <v>12.48</v>
      </c>
    </row>
    <row r="3552" spans="1:12" x14ac:dyDescent="0.25">
      <c r="A3552" t="str">
        <f t="shared" si="768"/>
        <v>89301000</v>
      </c>
      <c r="B3552" t="str">
        <f t="shared" si="774"/>
        <v>86240000</v>
      </c>
      <c r="C3552" t="str">
        <f t="shared" si="775"/>
        <v>86240002</v>
      </c>
      <c r="D3552" t="str">
        <f t="shared" si="776"/>
        <v>801</v>
      </c>
      <c r="E3552" t="str">
        <f t="shared" si="777"/>
        <v>89301167</v>
      </c>
      <c r="F3552" t="str">
        <f t="shared" si="778"/>
        <v>5461103197</v>
      </c>
      <c r="G3552" s="1">
        <v>44665</v>
      </c>
      <c r="H3552" t="str">
        <f>"81361"</f>
        <v>81361</v>
      </c>
      <c r="I3552">
        <v>1</v>
      </c>
      <c r="J3552">
        <v>17</v>
      </c>
      <c r="K3552">
        <v>0</v>
      </c>
      <c r="L3552">
        <v>13.26</v>
      </c>
    </row>
    <row r="3553" spans="1:12" x14ac:dyDescent="0.25">
      <c r="A3553" t="str">
        <f t="shared" si="768"/>
        <v>89301000</v>
      </c>
      <c r="B3553" t="str">
        <f t="shared" si="774"/>
        <v>86240000</v>
      </c>
      <c r="C3553" t="str">
        <f t="shared" si="775"/>
        <v>86240002</v>
      </c>
      <c r="D3553" t="str">
        <f t="shared" si="776"/>
        <v>801</v>
      </c>
      <c r="E3553" t="str">
        <f t="shared" si="777"/>
        <v>89301167</v>
      </c>
      <c r="F3553" t="str">
        <f t="shared" si="778"/>
        <v>5461103197</v>
      </c>
      <c r="G3553" s="1">
        <v>44665</v>
      </c>
      <c r="H3553" t="str">
        <f>"81337"</f>
        <v>81337</v>
      </c>
      <c r="I3553">
        <v>1</v>
      </c>
      <c r="J3553">
        <v>19</v>
      </c>
      <c r="K3553">
        <v>0</v>
      </c>
      <c r="L3553">
        <v>14.82</v>
      </c>
    </row>
    <row r="3554" spans="1:12" x14ac:dyDescent="0.25">
      <c r="A3554" t="str">
        <f t="shared" si="768"/>
        <v>89301000</v>
      </c>
      <c r="B3554" t="str">
        <f t="shared" si="774"/>
        <v>86240000</v>
      </c>
      <c r="C3554" t="str">
        <f t="shared" si="775"/>
        <v>86240002</v>
      </c>
      <c r="D3554" t="str">
        <f t="shared" si="776"/>
        <v>801</v>
      </c>
      <c r="E3554" t="str">
        <f t="shared" si="777"/>
        <v>89301167</v>
      </c>
      <c r="F3554" t="str">
        <f t="shared" si="778"/>
        <v>5461103197</v>
      </c>
      <c r="G3554" s="1">
        <v>44665</v>
      </c>
      <c r="H3554" t="str">
        <f>"81357"</f>
        <v>81357</v>
      </c>
      <c r="I3554">
        <v>1</v>
      </c>
      <c r="J3554">
        <v>19</v>
      </c>
      <c r="K3554">
        <v>0</v>
      </c>
      <c r="L3554">
        <v>14.82</v>
      </c>
    </row>
    <row r="3555" spans="1:12" x14ac:dyDescent="0.25">
      <c r="A3555" t="str">
        <f t="shared" si="768"/>
        <v>89301000</v>
      </c>
      <c r="B3555" t="str">
        <f t="shared" si="774"/>
        <v>86240000</v>
      </c>
      <c r="C3555" t="str">
        <f t="shared" si="775"/>
        <v>86240002</v>
      </c>
      <c r="D3555" t="str">
        <f t="shared" si="776"/>
        <v>801</v>
      </c>
      <c r="E3555" t="str">
        <f t="shared" si="777"/>
        <v>89301167</v>
      </c>
      <c r="F3555" t="str">
        <f t="shared" si="778"/>
        <v>5461103197</v>
      </c>
      <c r="G3555" s="1">
        <v>44665</v>
      </c>
      <c r="H3555" t="str">
        <f>"81435"</f>
        <v>81435</v>
      </c>
      <c r="I3555">
        <v>1</v>
      </c>
      <c r="J3555">
        <v>22</v>
      </c>
      <c r="K3555">
        <v>0</v>
      </c>
      <c r="L3555">
        <v>17.16</v>
      </c>
    </row>
    <row r="3556" spans="1:12" x14ac:dyDescent="0.25">
      <c r="A3556" t="str">
        <f t="shared" si="768"/>
        <v>89301000</v>
      </c>
      <c r="B3556" t="str">
        <f t="shared" si="774"/>
        <v>86240000</v>
      </c>
      <c r="C3556" t="str">
        <f t="shared" si="775"/>
        <v>86240002</v>
      </c>
      <c r="D3556" t="str">
        <f t="shared" si="776"/>
        <v>801</v>
      </c>
      <c r="E3556" t="str">
        <f t="shared" si="777"/>
        <v>89301167</v>
      </c>
      <c r="F3556" t="str">
        <f t="shared" si="778"/>
        <v>5461103197</v>
      </c>
      <c r="G3556" s="1">
        <v>44665</v>
      </c>
      <c r="H3556" t="str">
        <f>"81421"</f>
        <v>81421</v>
      </c>
      <c r="I3556">
        <v>1</v>
      </c>
      <c r="J3556">
        <v>19</v>
      </c>
      <c r="K3556">
        <v>0</v>
      </c>
      <c r="L3556">
        <v>14.82</v>
      </c>
    </row>
    <row r="3557" spans="1:12" x14ac:dyDescent="0.25">
      <c r="A3557" t="str">
        <f t="shared" si="768"/>
        <v>89301000</v>
      </c>
      <c r="B3557" t="str">
        <f t="shared" si="774"/>
        <v>86240000</v>
      </c>
      <c r="C3557" t="str">
        <f t="shared" si="775"/>
        <v>86240002</v>
      </c>
      <c r="D3557" t="str">
        <f t="shared" si="776"/>
        <v>801</v>
      </c>
      <c r="E3557" t="str">
        <f t="shared" si="777"/>
        <v>89301167</v>
      </c>
      <c r="F3557" t="str">
        <f t="shared" si="778"/>
        <v>5461103197</v>
      </c>
      <c r="G3557" s="1">
        <v>44665</v>
      </c>
      <c r="H3557" t="str">
        <f>"81499"</f>
        <v>81499</v>
      </c>
      <c r="I3557">
        <v>1</v>
      </c>
      <c r="J3557">
        <v>18</v>
      </c>
      <c r="K3557">
        <v>0</v>
      </c>
      <c r="L3557">
        <v>14.04</v>
      </c>
    </row>
    <row r="3558" spans="1:12" x14ac:dyDescent="0.25">
      <c r="A3558" t="str">
        <f t="shared" si="768"/>
        <v>89301000</v>
      </c>
      <c r="B3558" t="str">
        <f t="shared" si="774"/>
        <v>86240000</v>
      </c>
      <c r="C3558" t="str">
        <f t="shared" si="775"/>
        <v>86240002</v>
      </c>
      <c r="D3558" t="str">
        <f t="shared" si="776"/>
        <v>801</v>
      </c>
      <c r="E3558" t="str">
        <f t="shared" si="777"/>
        <v>89301167</v>
      </c>
      <c r="F3558" t="str">
        <f t="shared" si="778"/>
        <v>5461103197</v>
      </c>
      <c r="G3558" s="1">
        <v>44665</v>
      </c>
      <c r="H3558" t="str">
        <f>"81383"</f>
        <v>81383</v>
      </c>
      <c r="I3558">
        <v>1</v>
      </c>
      <c r="J3558">
        <v>23</v>
      </c>
      <c r="K3558">
        <v>0</v>
      </c>
      <c r="L3558">
        <v>17.940000000000001</v>
      </c>
    </row>
    <row r="3559" spans="1:12" x14ac:dyDescent="0.25">
      <c r="A3559" t="str">
        <f t="shared" si="768"/>
        <v>89301000</v>
      </c>
      <c r="B3559" t="str">
        <f t="shared" si="774"/>
        <v>86240000</v>
      </c>
      <c r="C3559" t="str">
        <f t="shared" si="775"/>
        <v>86240002</v>
      </c>
      <c r="D3559" t="str">
        <f t="shared" si="776"/>
        <v>801</v>
      </c>
      <c r="E3559" t="str">
        <f t="shared" si="777"/>
        <v>89301167</v>
      </c>
      <c r="F3559" t="str">
        <f t="shared" si="778"/>
        <v>5461103197</v>
      </c>
      <c r="G3559" s="1">
        <v>44665</v>
      </c>
      <c r="H3559" t="str">
        <f>"81249"</f>
        <v>81249</v>
      </c>
      <c r="I3559">
        <v>1</v>
      </c>
      <c r="J3559">
        <v>333</v>
      </c>
      <c r="K3559">
        <v>0</v>
      </c>
      <c r="L3559">
        <v>259.74</v>
      </c>
    </row>
    <row r="3560" spans="1:12" x14ac:dyDescent="0.25">
      <c r="A3560" t="str">
        <f t="shared" si="768"/>
        <v>89301000</v>
      </c>
      <c r="B3560" t="str">
        <f t="shared" si="774"/>
        <v>86240000</v>
      </c>
      <c r="C3560" t="str">
        <f t="shared" si="775"/>
        <v>86240002</v>
      </c>
      <c r="D3560" t="str">
        <f t="shared" si="776"/>
        <v>801</v>
      </c>
      <c r="E3560" t="str">
        <f t="shared" si="777"/>
        <v>89301167</v>
      </c>
      <c r="F3560" t="str">
        <f t="shared" si="778"/>
        <v>5461103197</v>
      </c>
      <c r="G3560" s="1">
        <v>44665</v>
      </c>
      <c r="H3560" t="str">
        <f>"97111"</f>
        <v>97111</v>
      </c>
      <c r="I3560">
        <v>1</v>
      </c>
      <c r="J3560">
        <v>18</v>
      </c>
      <c r="K3560">
        <v>0</v>
      </c>
      <c r="L3560">
        <v>14.04</v>
      </c>
    </row>
    <row r="3561" spans="1:12" x14ac:dyDescent="0.25">
      <c r="A3561" t="str">
        <f t="shared" si="768"/>
        <v>89301000</v>
      </c>
      <c r="B3561" t="str">
        <f t="shared" si="774"/>
        <v>86240000</v>
      </c>
      <c r="C3561" t="str">
        <f t="shared" si="775"/>
        <v>86240002</v>
      </c>
      <c r="D3561" t="str">
        <f t="shared" si="776"/>
        <v>801</v>
      </c>
      <c r="E3561" t="str">
        <f t="shared" si="777"/>
        <v>89301167</v>
      </c>
      <c r="F3561" t="str">
        <f t="shared" si="778"/>
        <v>5461103197</v>
      </c>
      <c r="G3561" s="1">
        <v>44665</v>
      </c>
      <c r="H3561" t="str">
        <f>"09119"</f>
        <v>09119</v>
      </c>
      <c r="I3561">
        <v>1</v>
      </c>
      <c r="J3561">
        <v>42</v>
      </c>
      <c r="K3561">
        <v>0</v>
      </c>
      <c r="L3561">
        <v>32.76</v>
      </c>
    </row>
    <row r="3562" spans="1:12" x14ac:dyDescent="0.25">
      <c r="A3562" t="str">
        <f t="shared" si="768"/>
        <v>89301000</v>
      </c>
      <c r="B3562" t="str">
        <f t="shared" si="774"/>
        <v>86240000</v>
      </c>
      <c r="C3562" t="str">
        <f>"86240006"</f>
        <v>86240006</v>
      </c>
      <c r="D3562" t="str">
        <f>"813"</f>
        <v>813</v>
      </c>
      <c r="E3562" t="str">
        <f t="shared" si="777"/>
        <v>89301167</v>
      </c>
      <c r="F3562" t="str">
        <f t="shared" si="778"/>
        <v>5461103197</v>
      </c>
      <c r="G3562" s="1">
        <v>44665</v>
      </c>
      <c r="H3562" t="str">
        <f>"91153"</f>
        <v>91153</v>
      </c>
      <c r="I3562">
        <v>1</v>
      </c>
      <c r="J3562">
        <v>152</v>
      </c>
      <c r="K3562">
        <v>0</v>
      </c>
      <c r="L3562">
        <v>118.56</v>
      </c>
    </row>
    <row r="3563" spans="1:12" x14ac:dyDescent="0.25">
      <c r="A3563" t="str">
        <f t="shared" si="768"/>
        <v>89301000</v>
      </c>
      <c r="B3563" t="str">
        <f t="shared" si="774"/>
        <v>86240000</v>
      </c>
      <c r="C3563" t="str">
        <f>"86240003"</f>
        <v>86240003</v>
      </c>
      <c r="D3563" t="str">
        <f>"818"</f>
        <v>818</v>
      </c>
      <c r="E3563" t="str">
        <f t="shared" si="777"/>
        <v>89301167</v>
      </c>
      <c r="F3563" t="str">
        <f t="shared" si="778"/>
        <v>5461103197</v>
      </c>
      <c r="G3563" s="1">
        <v>44665</v>
      </c>
      <c r="H3563" t="str">
        <f>"96167"</f>
        <v>96167</v>
      </c>
      <c r="I3563">
        <v>1</v>
      </c>
      <c r="J3563">
        <v>67</v>
      </c>
      <c r="K3563">
        <v>0</v>
      </c>
      <c r="L3563">
        <v>60.97</v>
      </c>
    </row>
    <row r="3564" spans="1:12" x14ac:dyDescent="0.25">
      <c r="A3564" t="str">
        <f t="shared" si="768"/>
        <v>89301000</v>
      </c>
      <c r="B3564" t="str">
        <f t="shared" ref="B3564:C3573" si="779">"89345401"</f>
        <v>89345401</v>
      </c>
      <c r="C3564" t="str">
        <f t="shared" si="779"/>
        <v>89345401</v>
      </c>
      <c r="D3564" t="str">
        <f t="shared" ref="D3564:D3573" si="780">"809"</f>
        <v>809</v>
      </c>
      <c r="E3564" t="str">
        <f>"89301607"</f>
        <v>89301607</v>
      </c>
      <c r="F3564" t="str">
        <f>"466218409"</f>
        <v>466218409</v>
      </c>
      <c r="G3564" s="1">
        <v>44671</v>
      </c>
      <c r="H3564" t="str">
        <f>"89119"</f>
        <v>89119</v>
      </c>
      <c r="I3564">
        <v>1</v>
      </c>
      <c r="J3564">
        <v>200</v>
      </c>
      <c r="K3564">
        <v>0</v>
      </c>
      <c r="L3564">
        <v>280</v>
      </c>
    </row>
    <row r="3565" spans="1:12" x14ac:dyDescent="0.25">
      <c r="A3565" t="str">
        <f t="shared" si="768"/>
        <v>89301000</v>
      </c>
      <c r="B3565" t="str">
        <f t="shared" si="779"/>
        <v>89345401</v>
      </c>
      <c r="C3565" t="str">
        <f t="shared" si="779"/>
        <v>89345401</v>
      </c>
      <c r="D3565" t="str">
        <f t="shared" si="780"/>
        <v>809</v>
      </c>
      <c r="E3565" t="str">
        <f>"89301032"</f>
        <v>89301032</v>
      </c>
      <c r="F3565" t="str">
        <f>"8059165334"</f>
        <v>8059165334</v>
      </c>
      <c r="G3565" s="1">
        <v>44658</v>
      </c>
      <c r="H3565" t="str">
        <f>"89513"</f>
        <v>89513</v>
      </c>
      <c r="I3565">
        <v>1</v>
      </c>
      <c r="J3565">
        <v>371</v>
      </c>
      <c r="K3565">
        <v>0</v>
      </c>
      <c r="L3565">
        <v>519.4</v>
      </c>
    </row>
    <row r="3566" spans="1:12" x14ac:dyDescent="0.25">
      <c r="A3566" t="str">
        <f t="shared" si="768"/>
        <v>89301000</v>
      </c>
      <c r="B3566" t="str">
        <f t="shared" si="779"/>
        <v>89345401</v>
      </c>
      <c r="C3566" t="str">
        <f t="shared" si="779"/>
        <v>89345401</v>
      </c>
      <c r="D3566" t="str">
        <f t="shared" si="780"/>
        <v>809</v>
      </c>
      <c r="E3566" t="str">
        <f>"89301032"</f>
        <v>89301032</v>
      </c>
      <c r="F3566" t="str">
        <f>"8059165334"</f>
        <v>8059165334</v>
      </c>
      <c r="G3566" s="1">
        <v>44658</v>
      </c>
      <c r="H3566" t="str">
        <f>"89514"</f>
        <v>89514</v>
      </c>
      <c r="I3566">
        <v>1</v>
      </c>
      <c r="J3566">
        <v>371</v>
      </c>
      <c r="K3566">
        <v>0</v>
      </c>
      <c r="L3566">
        <v>519.4</v>
      </c>
    </row>
    <row r="3567" spans="1:12" x14ac:dyDescent="0.25">
      <c r="A3567" t="str">
        <f t="shared" si="768"/>
        <v>89301000</v>
      </c>
      <c r="B3567" t="str">
        <f t="shared" si="779"/>
        <v>89345401</v>
      </c>
      <c r="C3567" t="str">
        <f t="shared" si="779"/>
        <v>89345401</v>
      </c>
      <c r="D3567" t="str">
        <f t="shared" si="780"/>
        <v>809</v>
      </c>
      <c r="E3567" t="str">
        <f>"89301202"</f>
        <v>89301202</v>
      </c>
      <c r="F3567" t="str">
        <f>"501205210"</f>
        <v>501205210</v>
      </c>
      <c r="G3567" s="1">
        <v>44662</v>
      </c>
      <c r="H3567" t="str">
        <f>"89513"</f>
        <v>89513</v>
      </c>
      <c r="I3567">
        <v>1</v>
      </c>
      <c r="J3567">
        <v>371</v>
      </c>
      <c r="K3567">
        <v>0</v>
      </c>
      <c r="L3567">
        <v>519.4</v>
      </c>
    </row>
    <row r="3568" spans="1:12" x14ac:dyDescent="0.25">
      <c r="A3568" t="str">
        <f t="shared" si="768"/>
        <v>89301000</v>
      </c>
      <c r="B3568" t="str">
        <f t="shared" si="779"/>
        <v>89345401</v>
      </c>
      <c r="C3568" t="str">
        <f t="shared" si="779"/>
        <v>89345401</v>
      </c>
      <c r="D3568" t="str">
        <f t="shared" si="780"/>
        <v>809</v>
      </c>
      <c r="E3568" t="str">
        <f>"89301202"</f>
        <v>89301202</v>
      </c>
      <c r="F3568" t="str">
        <f>"501205210"</f>
        <v>501205210</v>
      </c>
      <c r="G3568" s="1">
        <v>44662</v>
      </c>
      <c r="H3568" t="str">
        <f>"89514"</f>
        <v>89514</v>
      </c>
      <c r="I3568">
        <v>1</v>
      </c>
      <c r="J3568">
        <v>371</v>
      </c>
      <c r="K3568">
        <v>0</v>
      </c>
      <c r="L3568">
        <v>519.4</v>
      </c>
    </row>
    <row r="3569" spans="1:12" x14ac:dyDescent="0.25">
      <c r="A3569" t="str">
        <f t="shared" si="768"/>
        <v>89301000</v>
      </c>
      <c r="B3569" t="str">
        <f t="shared" si="779"/>
        <v>89345401</v>
      </c>
      <c r="C3569" t="str">
        <f t="shared" si="779"/>
        <v>89345401</v>
      </c>
      <c r="D3569" t="str">
        <f t="shared" si="780"/>
        <v>809</v>
      </c>
      <c r="E3569" t="str">
        <f>"89301202"</f>
        <v>89301202</v>
      </c>
      <c r="F3569" t="str">
        <f>"501205210"</f>
        <v>501205210</v>
      </c>
      <c r="G3569" s="1">
        <v>44662</v>
      </c>
      <c r="H3569" t="str">
        <f>"09137"</f>
        <v>09137</v>
      </c>
      <c r="I3569">
        <v>1</v>
      </c>
      <c r="J3569">
        <v>231</v>
      </c>
      <c r="K3569">
        <v>0</v>
      </c>
      <c r="L3569">
        <v>323.39999999999998</v>
      </c>
    </row>
    <row r="3570" spans="1:12" x14ac:dyDescent="0.25">
      <c r="A3570" t="str">
        <f t="shared" si="768"/>
        <v>89301000</v>
      </c>
      <c r="B3570" t="str">
        <f t="shared" si="779"/>
        <v>89345401</v>
      </c>
      <c r="C3570" t="str">
        <f t="shared" si="779"/>
        <v>89345401</v>
      </c>
      <c r="D3570" t="str">
        <f t="shared" si="780"/>
        <v>809</v>
      </c>
      <c r="E3570" t="str">
        <f>"89301212"</f>
        <v>89301212</v>
      </c>
      <c r="F3570" t="str">
        <f>"495521001"</f>
        <v>495521001</v>
      </c>
      <c r="G3570" s="1">
        <v>44670</v>
      </c>
      <c r="H3570" t="str">
        <f>"89513"</f>
        <v>89513</v>
      </c>
      <c r="I3570">
        <v>1</v>
      </c>
      <c r="J3570">
        <v>371</v>
      </c>
      <c r="K3570">
        <v>0</v>
      </c>
      <c r="L3570">
        <v>519.4</v>
      </c>
    </row>
    <row r="3571" spans="1:12" x14ac:dyDescent="0.25">
      <c r="A3571" t="str">
        <f t="shared" si="768"/>
        <v>89301000</v>
      </c>
      <c r="B3571" t="str">
        <f t="shared" si="779"/>
        <v>89345401</v>
      </c>
      <c r="C3571" t="str">
        <f t="shared" si="779"/>
        <v>89345401</v>
      </c>
      <c r="D3571" t="str">
        <f t="shared" si="780"/>
        <v>809</v>
      </c>
      <c r="E3571" t="str">
        <f>"89301212"</f>
        <v>89301212</v>
      </c>
      <c r="F3571" t="str">
        <f>"495521001"</f>
        <v>495521001</v>
      </c>
      <c r="G3571" s="1">
        <v>44670</v>
      </c>
      <c r="H3571" t="str">
        <f>"89514"</f>
        <v>89514</v>
      </c>
      <c r="I3571">
        <v>1</v>
      </c>
      <c r="J3571">
        <v>371</v>
      </c>
      <c r="K3571">
        <v>0</v>
      </c>
      <c r="L3571">
        <v>519.4</v>
      </c>
    </row>
    <row r="3572" spans="1:12" x14ac:dyDescent="0.25">
      <c r="A3572" t="str">
        <f t="shared" si="768"/>
        <v>89301000</v>
      </c>
      <c r="B3572" t="str">
        <f t="shared" si="779"/>
        <v>89345401</v>
      </c>
      <c r="C3572" t="str">
        <f t="shared" si="779"/>
        <v>89345401</v>
      </c>
      <c r="D3572" t="str">
        <f t="shared" si="780"/>
        <v>809</v>
      </c>
      <c r="E3572" t="str">
        <f>"89301212"</f>
        <v>89301212</v>
      </c>
      <c r="F3572" t="str">
        <f>"495521001"</f>
        <v>495521001</v>
      </c>
      <c r="G3572" s="1">
        <v>44670</v>
      </c>
      <c r="H3572" t="str">
        <f>"09137"</f>
        <v>09137</v>
      </c>
      <c r="I3572">
        <v>1</v>
      </c>
      <c r="J3572">
        <v>231</v>
      </c>
      <c r="K3572">
        <v>0</v>
      </c>
      <c r="L3572">
        <v>323.39999999999998</v>
      </c>
    </row>
    <row r="3573" spans="1:12" x14ac:dyDescent="0.25">
      <c r="A3573" t="str">
        <f t="shared" si="768"/>
        <v>89301000</v>
      </c>
      <c r="B3573" t="str">
        <f t="shared" si="779"/>
        <v>89345401</v>
      </c>
      <c r="C3573" t="str">
        <f t="shared" si="779"/>
        <v>89345401</v>
      </c>
      <c r="D3573" t="str">
        <f t="shared" si="780"/>
        <v>809</v>
      </c>
      <c r="E3573" t="str">
        <f>"89301212"</f>
        <v>89301212</v>
      </c>
      <c r="F3573" t="str">
        <f>"7251235376"</f>
        <v>7251235376</v>
      </c>
      <c r="G3573" s="1">
        <v>44658</v>
      </c>
      <c r="H3573" t="str">
        <f>"09137"</f>
        <v>09137</v>
      </c>
      <c r="I3573">
        <v>1</v>
      </c>
      <c r="J3573">
        <v>231</v>
      </c>
      <c r="K3573">
        <v>0</v>
      </c>
      <c r="L3573">
        <v>323.39999999999998</v>
      </c>
    </row>
    <row r="3574" spans="1:12" x14ac:dyDescent="0.25">
      <c r="A3574" t="str">
        <f t="shared" si="768"/>
        <v>89301000</v>
      </c>
      <c r="B3574" t="str">
        <f t="shared" ref="B3574:B3586" si="781">"91866000"</f>
        <v>91866000</v>
      </c>
      <c r="C3574" t="str">
        <f t="shared" ref="C3574:C3583" si="782">"91866313"</f>
        <v>91866313</v>
      </c>
      <c r="D3574" t="str">
        <f t="shared" ref="D3574:D3583" si="783">"802"</f>
        <v>802</v>
      </c>
      <c r="E3574" t="str">
        <f t="shared" ref="E3574:E3579" si="784">"89301108"</f>
        <v>89301108</v>
      </c>
      <c r="F3574" t="str">
        <f>"0812223247"</f>
        <v>0812223247</v>
      </c>
      <c r="G3574" s="1">
        <v>44658</v>
      </c>
      <c r="H3574" t="str">
        <f t="shared" ref="H3574:H3579" si="785">"82079"</f>
        <v>82079</v>
      </c>
      <c r="I3574">
        <v>1</v>
      </c>
      <c r="J3574">
        <v>332</v>
      </c>
      <c r="K3574">
        <v>0</v>
      </c>
      <c r="L3574">
        <v>302.12</v>
      </c>
    </row>
    <row r="3575" spans="1:12" x14ac:dyDescent="0.25">
      <c r="A3575" t="str">
        <f t="shared" si="768"/>
        <v>89301000</v>
      </c>
      <c r="B3575" t="str">
        <f t="shared" si="781"/>
        <v>91866000</v>
      </c>
      <c r="C3575" t="str">
        <f t="shared" si="782"/>
        <v>91866313</v>
      </c>
      <c r="D3575" t="str">
        <f t="shared" si="783"/>
        <v>802</v>
      </c>
      <c r="E3575" t="str">
        <f t="shared" si="784"/>
        <v>89301108</v>
      </c>
      <c r="F3575" t="str">
        <f>"0812223247"</f>
        <v>0812223247</v>
      </c>
      <c r="G3575" s="1">
        <v>44658</v>
      </c>
      <c r="H3575" t="str">
        <f t="shared" si="785"/>
        <v>82079</v>
      </c>
      <c r="I3575">
        <v>1</v>
      </c>
      <c r="J3575">
        <v>332</v>
      </c>
      <c r="K3575">
        <v>0</v>
      </c>
      <c r="L3575">
        <v>302.12</v>
      </c>
    </row>
    <row r="3576" spans="1:12" x14ac:dyDescent="0.25">
      <c r="A3576" t="str">
        <f t="shared" si="768"/>
        <v>89301000</v>
      </c>
      <c r="B3576" t="str">
        <f t="shared" si="781"/>
        <v>91866000</v>
      </c>
      <c r="C3576" t="str">
        <f t="shared" si="782"/>
        <v>91866313</v>
      </c>
      <c r="D3576" t="str">
        <f t="shared" si="783"/>
        <v>802</v>
      </c>
      <c r="E3576" t="str">
        <f t="shared" si="784"/>
        <v>89301108</v>
      </c>
      <c r="F3576" t="str">
        <f>"0812223247"</f>
        <v>0812223247</v>
      </c>
      <c r="G3576" s="1">
        <v>44658</v>
      </c>
      <c r="H3576" t="str">
        <f t="shared" si="785"/>
        <v>82079</v>
      </c>
      <c r="I3576">
        <v>1</v>
      </c>
      <c r="J3576">
        <v>332</v>
      </c>
      <c r="K3576">
        <v>0</v>
      </c>
      <c r="L3576">
        <v>302.12</v>
      </c>
    </row>
    <row r="3577" spans="1:12" x14ac:dyDescent="0.25">
      <c r="A3577" t="str">
        <f t="shared" si="768"/>
        <v>89301000</v>
      </c>
      <c r="B3577" t="str">
        <f t="shared" si="781"/>
        <v>91866000</v>
      </c>
      <c r="C3577" t="str">
        <f t="shared" si="782"/>
        <v>91866313</v>
      </c>
      <c r="D3577" t="str">
        <f t="shared" si="783"/>
        <v>802</v>
      </c>
      <c r="E3577" t="str">
        <f t="shared" si="784"/>
        <v>89301108</v>
      </c>
      <c r="F3577" t="str">
        <f>"0905076590"</f>
        <v>0905076590</v>
      </c>
      <c r="G3577" s="1">
        <v>44658</v>
      </c>
      <c r="H3577" t="str">
        <f t="shared" si="785"/>
        <v>82079</v>
      </c>
      <c r="I3577">
        <v>1</v>
      </c>
      <c r="J3577">
        <v>332</v>
      </c>
      <c r="K3577">
        <v>0</v>
      </c>
      <c r="L3577">
        <v>302.12</v>
      </c>
    </row>
    <row r="3578" spans="1:12" x14ac:dyDescent="0.25">
      <c r="A3578" t="str">
        <f t="shared" si="768"/>
        <v>89301000</v>
      </c>
      <c r="B3578" t="str">
        <f t="shared" si="781"/>
        <v>91866000</v>
      </c>
      <c r="C3578" t="str">
        <f t="shared" si="782"/>
        <v>91866313</v>
      </c>
      <c r="D3578" t="str">
        <f t="shared" si="783"/>
        <v>802</v>
      </c>
      <c r="E3578" t="str">
        <f t="shared" si="784"/>
        <v>89301108</v>
      </c>
      <c r="F3578" t="str">
        <f>"0905076590"</f>
        <v>0905076590</v>
      </c>
      <c r="G3578" s="1">
        <v>44658</v>
      </c>
      <c r="H3578" t="str">
        <f t="shared" si="785"/>
        <v>82079</v>
      </c>
      <c r="I3578">
        <v>1</v>
      </c>
      <c r="J3578">
        <v>332</v>
      </c>
      <c r="K3578">
        <v>0</v>
      </c>
      <c r="L3578">
        <v>302.12</v>
      </c>
    </row>
    <row r="3579" spans="1:12" x14ac:dyDescent="0.25">
      <c r="A3579" t="str">
        <f t="shared" si="768"/>
        <v>89301000</v>
      </c>
      <c r="B3579" t="str">
        <f t="shared" si="781"/>
        <v>91866000</v>
      </c>
      <c r="C3579" t="str">
        <f t="shared" si="782"/>
        <v>91866313</v>
      </c>
      <c r="D3579" t="str">
        <f t="shared" si="783"/>
        <v>802</v>
      </c>
      <c r="E3579" t="str">
        <f t="shared" si="784"/>
        <v>89301108</v>
      </c>
      <c r="F3579" t="str">
        <f>"0905076590"</f>
        <v>0905076590</v>
      </c>
      <c r="G3579" s="1">
        <v>44658</v>
      </c>
      <c r="H3579" t="str">
        <f t="shared" si="785"/>
        <v>82079</v>
      </c>
      <c r="I3579">
        <v>1</v>
      </c>
      <c r="J3579">
        <v>332</v>
      </c>
      <c r="K3579">
        <v>0</v>
      </c>
      <c r="L3579">
        <v>302.12</v>
      </c>
    </row>
    <row r="3580" spans="1:12" x14ac:dyDescent="0.25">
      <c r="A3580" t="str">
        <f t="shared" si="768"/>
        <v>89301000</v>
      </c>
      <c r="B3580" t="str">
        <f t="shared" si="781"/>
        <v>91866000</v>
      </c>
      <c r="C3580" t="str">
        <f t="shared" si="782"/>
        <v>91866313</v>
      </c>
      <c r="D3580" t="str">
        <f t="shared" si="783"/>
        <v>802</v>
      </c>
      <c r="E3580" t="str">
        <f t="shared" ref="E3580:E3586" si="786">"89301132"</f>
        <v>89301132</v>
      </c>
      <c r="F3580" t="str">
        <f t="shared" ref="F3580:F3586" si="787">"6759060462"</f>
        <v>6759060462</v>
      </c>
      <c r="G3580" s="1">
        <v>44662</v>
      </c>
      <c r="H3580" t="str">
        <f>"82113"</f>
        <v>82113</v>
      </c>
      <c r="I3580">
        <v>2</v>
      </c>
      <c r="J3580">
        <v>724</v>
      </c>
      <c r="K3580">
        <v>0</v>
      </c>
      <c r="L3580">
        <v>658.84</v>
      </c>
    </row>
    <row r="3581" spans="1:12" x14ac:dyDescent="0.25">
      <c r="A3581" t="str">
        <f t="shared" si="768"/>
        <v>89301000</v>
      </c>
      <c r="B3581" t="str">
        <f t="shared" si="781"/>
        <v>91866000</v>
      </c>
      <c r="C3581" t="str">
        <f t="shared" si="782"/>
        <v>91866313</v>
      </c>
      <c r="D3581" t="str">
        <f t="shared" si="783"/>
        <v>802</v>
      </c>
      <c r="E3581" t="str">
        <f t="shared" si="786"/>
        <v>89301132</v>
      </c>
      <c r="F3581" t="str">
        <f t="shared" si="787"/>
        <v>6759060462</v>
      </c>
      <c r="G3581" s="1">
        <v>44662</v>
      </c>
      <c r="H3581" t="str">
        <f>"82113"</f>
        <v>82113</v>
      </c>
      <c r="I3581">
        <v>2</v>
      </c>
      <c r="J3581">
        <v>724</v>
      </c>
      <c r="K3581">
        <v>0</v>
      </c>
      <c r="L3581">
        <v>658.84</v>
      </c>
    </row>
    <row r="3582" spans="1:12" x14ac:dyDescent="0.25">
      <c r="A3582" t="str">
        <f t="shared" si="768"/>
        <v>89301000</v>
      </c>
      <c r="B3582" t="str">
        <f t="shared" si="781"/>
        <v>91866000</v>
      </c>
      <c r="C3582" t="str">
        <f t="shared" si="782"/>
        <v>91866313</v>
      </c>
      <c r="D3582" t="str">
        <f t="shared" si="783"/>
        <v>802</v>
      </c>
      <c r="E3582" t="str">
        <f t="shared" si="786"/>
        <v>89301132</v>
      </c>
      <c r="F3582" t="str">
        <f t="shared" si="787"/>
        <v>6759060462</v>
      </c>
      <c r="G3582" s="1">
        <v>44657</v>
      </c>
      <c r="H3582" t="str">
        <f>"82079"</f>
        <v>82079</v>
      </c>
      <c r="I3582">
        <v>1</v>
      </c>
      <c r="J3582">
        <v>332</v>
      </c>
      <c r="K3582">
        <v>0</v>
      </c>
      <c r="L3582">
        <v>302.12</v>
      </c>
    </row>
    <row r="3583" spans="1:12" x14ac:dyDescent="0.25">
      <c r="A3583" t="str">
        <f t="shared" si="768"/>
        <v>89301000</v>
      </c>
      <c r="B3583" t="str">
        <f t="shared" si="781"/>
        <v>91866000</v>
      </c>
      <c r="C3583" t="str">
        <f t="shared" si="782"/>
        <v>91866313</v>
      </c>
      <c r="D3583" t="str">
        <f t="shared" si="783"/>
        <v>802</v>
      </c>
      <c r="E3583" t="str">
        <f t="shared" si="786"/>
        <v>89301132</v>
      </c>
      <c r="F3583" t="str">
        <f t="shared" si="787"/>
        <v>6759060462</v>
      </c>
      <c r="G3583" s="1">
        <v>44657</v>
      </c>
      <c r="H3583" t="str">
        <f>"82079"</f>
        <v>82079</v>
      </c>
      <c r="I3583">
        <v>1</v>
      </c>
      <c r="J3583">
        <v>332</v>
      </c>
      <c r="K3583">
        <v>0</v>
      </c>
      <c r="L3583">
        <v>302.12</v>
      </c>
    </row>
    <row r="3584" spans="1:12" x14ac:dyDescent="0.25">
      <c r="A3584" t="str">
        <f t="shared" si="768"/>
        <v>89301000</v>
      </c>
      <c r="B3584" t="str">
        <f t="shared" si="781"/>
        <v>91866000</v>
      </c>
      <c r="C3584" t="str">
        <f>"91866321"</f>
        <v>91866321</v>
      </c>
      <c r="D3584" t="str">
        <f>"813"</f>
        <v>813</v>
      </c>
      <c r="E3584" t="str">
        <f t="shared" si="786"/>
        <v>89301132</v>
      </c>
      <c r="F3584" t="str">
        <f t="shared" si="787"/>
        <v>6759060462</v>
      </c>
      <c r="G3584" s="1">
        <v>44657</v>
      </c>
      <c r="H3584" t="str">
        <f>"97111"</f>
        <v>97111</v>
      </c>
      <c r="I3584">
        <v>1</v>
      </c>
      <c r="J3584">
        <v>18</v>
      </c>
      <c r="K3584">
        <v>0</v>
      </c>
      <c r="L3584">
        <v>14.04</v>
      </c>
    </row>
    <row r="3585" spans="1:12" x14ac:dyDescent="0.25">
      <c r="A3585" t="str">
        <f t="shared" si="768"/>
        <v>89301000</v>
      </c>
      <c r="B3585" t="str">
        <f t="shared" si="781"/>
        <v>91866000</v>
      </c>
      <c r="C3585" t="str">
        <f>"91866321"</f>
        <v>91866321</v>
      </c>
      <c r="D3585" t="str">
        <f>"813"</f>
        <v>813</v>
      </c>
      <c r="E3585" t="str">
        <f t="shared" si="786"/>
        <v>89301132</v>
      </c>
      <c r="F3585" t="str">
        <f t="shared" si="787"/>
        <v>6759060462</v>
      </c>
      <c r="G3585" s="1">
        <v>44657</v>
      </c>
      <c r="H3585" t="str">
        <f>"91411"</f>
        <v>91411</v>
      </c>
      <c r="I3585">
        <v>1</v>
      </c>
      <c r="J3585">
        <v>1600</v>
      </c>
      <c r="K3585">
        <v>0</v>
      </c>
      <c r="L3585">
        <v>1248</v>
      </c>
    </row>
    <row r="3586" spans="1:12" x14ac:dyDescent="0.25">
      <c r="A3586" t="str">
        <f t="shared" ref="A3586:A3649" si="788">"89301000"</f>
        <v>89301000</v>
      </c>
      <c r="B3586" t="str">
        <f t="shared" si="781"/>
        <v>91866000</v>
      </c>
      <c r="C3586" t="str">
        <f>"91866321"</f>
        <v>91866321</v>
      </c>
      <c r="D3586" t="str">
        <f>"813"</f>
        <v>813</v>
      </c>
      <c r="E3586" t="str">
        <f t="shared" si="786"/>
        <v>89301132</v>
      </c>
      <c r="F3586" t="str">
        <f t="shared" si="787"/>
        <v>6759060462</v>
      </c>
      <c r="G3586" s="1">
        <v>44657</v>
      </c>
      <c r="H3586" t="str">
        <f>"91411"</f>
        <v>91411</v>
      </c>
      <c r="I3586">
        <v>1</v>
      </c>
      <c r="J3586">
        <v>1600</v>
      </c>
      <c r="K3586">
        <v>0</v>
      </c>
      <c r="L3586">
        <v>1248</v>
      </c>
    </row>
    <row r="3587" spans="1:12" x14ac:dyDescent="0.25">
      <c r="A3587" t="str">
        <f t="shared" si="788"/>
        <v>89301000</v>
      </c>
      <c r="B3587" t="str">
        <f>"78934000"</f>
        <v>78934000</v>
      </c>
      <c r="C3587" t="str">
        <f>"78934001"</f>
        <v>78934001</v>
      </c>
      <c r="D3587" t="str">
        <f>"809"</f>
        <v>809</v>
      </c>
      <c r="E3587" t="str">
        <f>"89301152"</f>
        <v>89301152</v>
      </c>
      <c r="F3587" t="str">
        <f>"7858033524"</f>
        <v>7858033524</v>
      </c>
      <c r="G3587" s="1">
        <v>44670</v>
      </c>
      <c r="H3587" t="str">
        <f>"89131"</f>
        <v>89131</v>
      </c>
      <c r="I3587">
        <v>1</v>
      </c>
      <c r="J3587">
        <v>187</v>
      </c>
      <c r="K3587">
        <v>0</v>
      </c>
      <c r="L3587">
        <v>261.8</v>
      </c>
    </row>
    <row r="3588" spans="1:12" x14ac:dyDescent="0.25">
      <c r="A3588" t="str">
        <f t="shared" si="788"/>
        <v>89301000</v>
      </c>
      <c r="B3588" t="str">
        <f>"93699000"</f>
        <v>93699000</v>
      </c>
      <c r="C3588" t="str">
        <f>"93699001"</f>
        <v>93699001</v>
      </c>
      <c r="D3588" t="str">
        <f>"809"</f>
        <v>809</v>
      </c>
      <c r="E3588" t="str">
        <f>"89301055"</f>
        <v>89301055</v>
      </c>
      <c r="F3588" t="str">
        <f>"5806190170"</f>
        <v>5806190170</v>
      </c>
      <c r="G3588" s="1">
        <v>44671</v>
      </c>
      <c r="H3588" t="str">
        <f>"89131"</f>
        <v>89131</v>
      </c>
      <c r="I3588">
        <v>2</v>
      </c>
      <c r="J3588">
        <v>374</v>
      </c>
      <c r="K3588">
        <v>0</v>
      </c>
      <c r="L3588">
        <v>523.6</v>
      </c>
    </row>
    <row r="3589" spans="1:12" x14ac:dyDescent="0.25">
      <c r="A3589" t="str">
        <f t="shared" si="788"/>
        <v>89301000</v>
      </c>
      <c r="B3589" t="str">
        <f>"92327000"</f>
        <v>92327000</v>
      </c>
      <c r="C3589" t="str">
        <f>"92327000"</f>
        <v>92327000</v>
      </c>
      <c r="D3589" t="str">
        <f>"809"</f>
        <v>809</v>
      </c>
      <c r="E3589" t="str">
        <f>"89301212"</f>
        <v>89301212</v>
      </c>
      <c r="F3589" t="str">
        <f>"6952055374"</f>
        <v>6952055374</v>
      </c>
      <c r="G3589" s="1">
        <v>44671</v>
      </c>
      <c r="H3589" t="str">
        <f>"89513"</f>
        <v>89513</v>
      </c>
      <c r="I3589">
        <v>1</v>
      </c>
      <c r="J3589">
        <v>371</v>
      </c>
      <c r="K3589">
        <v>0</v>
      </c>
      <c r="L3589">
        <v>519.4</v>
      </c>
    </row>
    <row r="3590" spans="1:12" x14ac:dyDescent="0.25">
      <c r="A3590" t="str">
        <f t="shared" si="788"/>
        <v>89301000</v>
      </c>
      <c r="B3590" t="str">
        <f>"92327000"</f>
        <v>92327000</v>
      </c>
      <c r="C3590" t="str">
        <f>"92327000"</f>
        <v>92327000</v>
      </c>
      <c r="D3590" t="str">
        <f>"809"</f>
        <v>809</v>
      </c>
      <c r="E3590" t="str">
        <f>"89301212"</f>
        <v>89301212</v>
      </c>
      <c r="F3590" t="str">
        <f>"6952055374"</f>
        <v>6952055374</v>
      </c>
      <c r="G3590" s="1">
        <v>44671</v>
      </c>
      <c r="H3590" t="str">
        <f>"89514"</f>
        <v>89514</v>
      </c>
      <c r="I3590">
        <v>1</v>
      </c>
      <c r="J3590">
        <v>371</v>
      </c>
      <c r="K3590">
        <v>0</v>
      </c>
      <c r="L3590">
        <v>519.4</v>
      </c>
    </row>
    <row r="3591" spans="1:12" x14ac:dyDescent="0.25">
      <c r="A3591" t="str">
        <f t="shared" si="788"/>
        <v>89301000</v>
      </c>
      <c r="B3591" t="str">
        <f>"89100260"</f>
        <v>89100260</v>
      </c>
      <c r="C3591" t="str">
        <f>"89100261"</f>
        <v>89100261</v>
      </c>
      <c r="D3591" t="str">
        <f>"809"</f>
        <v>809</v>
      </c>
      <c r="E3591" t="str">
        <f>"89301172"</f>
        <v>89301172</v>
      </c>
      <c r="F3591" t="str">
        <f>"7151155352"</f>
        <v>7151155352</v>
      </c>
      <c r="G3591" s="1">
        <v>44676</v>
      </c>
      <c r="H3591" t="str">
        <f>"89117"</f>
        <v>89117</v>
      </c>
      <c r="I3591">
        <v>1</v>
      </c>
      <c r="J3591">
        <v>168</v>
      </c>
      <c r="K3591">
        <v>0</v>
      </c>
      <c r="L3591">
        <v>235.2</v>
      </c>
    </row>
    <row r="3592" spans="1:12" x14ac:dyDescent="0.25">
      <c r="A3592" t="str">
        <f t="shared" si="788"/>
        <v>89301000</v>
      </c>
      <c r="B3592" t="str">
        <f t="shared" ref="B3592:B3623" si="789">"72077000"</f>
        <v>72077000</v>
      </c>
      <c r="C3592" t="str">
        <f t="shared" ref="C3592:C3623" si="790">"72077001"</f>
        <v>72077001</v>
      </c>
      <c r="D3592" t="str">
        <f t="shared" ref="D3592:D3623" si="791">"813"</f>
        <v>813</v>
      </c>
      <c r="E3592" t="str">
        <f t="shared" ref="E3592:E3623" si="792">"89301152"</f>
        <v>89301152</v>
      </c>
      <c r="F3592" t="str">
        <f>"8752165807"</f>
        <v>8752165807</v>
      </c>
      <c r="G3592" s="1">
        <v>44658</v>
      </c>
      <c r="H3592" t="str">
        <f>"91219"</f>
        <v>91219</v>
      </c>
      <c r="I3592">
        <v>1</v>
      </c>
      <c r="J3592">
        <v>342</v>
      </c>
      <c r="K3592">
        <v>0</v>
      </c>
      <c r="L3592">
        <v>266.76</v>
      </c>
    </row>
    <row r="3593" spans="1:12" x14ac:dyDescent="0.25">
      <c r="A3593" t="str">
        <f t="shared" si="788"/>
        <v>89301000</v>
      </c>
      <c r="B3593" t="str">
        <f t="shared" si="789"/>
        <v>72077000</v>
      </c>
      <c r="C3593" t="str">
        <f t="shared" si="790"/>
        <v>72077001</v>
      </c>
      <c r="D3593" t="str">
        <f t="shared" si="791"/>
        <v>813</v>
      </c>
      <c r="E3593" t="str">
        <f t="shared" si="792"/>
        <v>89301152</v>
      </c>
      <c r="F3593" t="str">
        <f>"8752165807"</f>
        <v>8752165807</v>
      </c>
      <c r="G3593" s="1">
        <v>44658</v>
      </c>
      <c r="H3593" t="str">
        <f>"91219"</f>
        <v>91219</v>
      </c>
      <c r="I3593">
        <v>1</v>
      </c>
      <c r="J3593">
        <v>342</v>
      </c>
      <c r="K3593">
        <v>0</v>
      </c>
      <c r="L3593">
        <v>266.76</v>
      </c>
    </row>
    <row r="3594" spans="1:12" x14ac:dyDescent="0.25">
      <c r="A3594" t="str">
        <f t="shared" si="788"/>
        <v>89301000</v>
      </c>
      <c r="B3594" t="str">
        <f t="shared" si="789"/>
        <v>72077000</v>
      </c>
      <c r="C3594" t="str">
        <f t="shared" si="790"/>
        <v>72077001</v>
      </c>
      <c r="D3594" t="str">
        <f t="shared" si="791"/>
        <v>813</v>
      </c>
      <c r="E3594" t="str">
        <f t="shared" si="792"/>
        <v>89301152</v>
      </c>
      <c r="F3594" t="str">
        <f>"8752165807"</f>
        <v>8752165807</v>
      </c>
      <c r="G3594" s="1">
        <v>44658</v>
      </c>
      <c r="H3594" t="str">
        <f>"91219"</f>
        <v>91219</v>
      </c>
      <c r="I3594">
        <v>1</v>
      </c>
      <c r="J3594">
        <v>342</v>
      </c>
      <c r="K3594">
        <v>0</v>
      </c>
      <c r="L3594">
        <v>266.76</v>
      </c>
    </row>
    <row r="3595" spans="1:12" x14ac:dyDescent="0.25">
      <c r="A3595" t="str">
        <f t="shared" si="788"/>
        <v>89301000</v>
      </c>
      <c r="B3595" t="str">
        <f t="shared" si="789"/>
        <v>72077000</v>
      </c>
      <c r="C3595" t="str">
        <f t="shared" si="790"/>
        <v>72077001</v>
      </c>
      <c r="D3595" t="str">
        <f t="shared" si="791"/>
        <v>813</v>
      </c>
      <c r="E3595" t="str">
        <f t="shared" si="792"/>
        <v>89301152</v>
      </c>
      <c r="F3595" t="str">
        <f>"8752165807"</f>
        <v>8752165807</v>
      </c>
      <c r="G3595" s="1">
        <v>44658</v>
      </c>
      <c r="H3595" t="str">
        <f>"91219"</f>
        <v>91219</v>
      </c>
      <c r="I3595">
        <v>1</v>
      </c>
      <c r="J3595">
        <v>342</v>
      </c>
      <c r="K3595">
        <v>0</v>
      </c>
      <c r="L3595">
        <v>266.76</v>
      </c>
    </row>
    <row r="3596" spans="1:12" x14ac:dyDescent="0.25">
      <c r="A3596" t="str">
        <f t="shared" si="788"/>
        <v>89301000</v>
      </c>
      <c r="B3596" t="str">
        <f t="shared" si="789"/>
        <v>72077000</v>
      </c>
      <c r="C3596" t="str">
        <f t="shared" si="790"/>
        <v>72077001</v>
      </c>
      <c r="D3596" t="str">
        <f t="shared" si="791"/>
        <v>813</v>
      </c>
      <c r="E3596" t="str">
        <f t="shared" si="792"/>
        <v>89301152</v>
      </c>
      <c r="F3596" t="str">
        <f>"470215404"</f>
        <v>470215404</v>
      </c>
      <c r="G3596" s="1">
        <v>44655</v>
      </c>
      <c r="H3596" t="str">
        <f>"91219"</f>
        <v>91219</v>
      </c>
      <c r="I3596">
        <v>1</v>
      </c>
      <c r="J3596">
        <v>342</v>
      </c>
      <c r="K3596">
        <v>0</v>
      </c>
      <c r="L3596">
        <v>266.76</v>
      </c>
    </row>
    <row r="3597" spans="1:12" x14ac:dyDescent="0.25">
      <c r="A3597" t="str">
        <f t="shared" si="788"/>
        <v>89301000</v>
      </c>
      <c r="B3597" t="str">
        <f t="shared" si="789"/>
        <v>72077000</v>
      </c>
      <c r="C3597" t="str">
        <f t="shared" si="790"/>
        <v>72077001</v>
      </c>
      <c r="D3597" t="str">
        <f t="shared" si="791"/>
        <v>813</v>
      </c>
      <c r="E3597" t="str">
        <f t="shared" si="792"/>
        <v>89301152</v>
      </c>
      <c r="F3597" t="str">
        <f>"9356255370"</f>
        <v>9356255370</v>
      </c>
      <c r="G3597" s="1">
        <v>44652</v>
      </c>
      <c r="H3597" t="str">
        <f>"91197"</f>
        <v>91197</v>
      </c>
      <c r="I3597">
        <v>1</v>
      </c>
      <c r="J3597">
        <v>1046</v>
      </c>
      <c r="K3597">
        <v>0</v>
      </c>
      <c r="L3597">
        <v>815.88</v>
      </c>
    </row>
    <row r="3598" spans="1:12" x14ac:dyDescent="0.25">
      <c r="A3598" t="str">
        <f t="shared" si="788"/>
        <v>89301000</v>
      </c>
      <c r="B3598" t="str">
        <f t="shared" si="789"/>
        <v>72077000</v>
      </c>
      <c r="C3598" t="str">
        <f t="shared" si="790"/>
        <v>72077001</v>
      </c>
      <c r="D3598" t="str">
        <f t="shared" si="791"/>
        <v>813</v>
      </c>
      <c r="E3598" t="str">
        <f t="shared" si="792"/>
        <v>89301152</v>
      </c>
      <c r="F3598" t="str">
        <f>"9356255370"</f>
        <v>9356255370</v>
      </c>
      <c r="G3598" s="1">
        <v>44656</v>
      </c>
      <c r="H3598" t="str">
        <f>"91465"</f>
        <v>91465</v>
      </c>
      <c r="I3598">
        <v>1</v>
      </c>
      <c r="J3598">
        <v>1404</v>
      </c>
      <c r="K3598">
        <v>0</v>
      </c>
      <c r="L3598">
        <v>1095.1199999999999</v>
      </c>
    </row>
    <row r="3599" spans="1:12" x14ac:dyDescent="0.25">
      <c r="A3599" t="str">
        <f t="shared" si="788"/>
        <v>89301000</v>
      </c>
      <c r="B3599" t="str">
        <f t="shared" si="789"/>
        <v>72077000</v>
      </c>
      <c r="C3599" t="str">
        <f t="shared" si="790"/>
        <v>72077001</v>
      </c>
      <c r="D3599" t="str">
        <f t="shared" si="791"/>
        <v>813</v>
      </c>
      <c r="E3599" t="str">
        <f t="shared" si="792"/>
        <v>89301152</v>
      </c>
      <c r="F3599" t="str">
        <f>"7551065302"</f>
        <v>7551065302</v>
      </c>
      <c r="G3599" s="1">
        <v>44652</v>
      </c>
      <c r="H3599" t="str">
        <f>"91465"</f>
        <v>91465</v>
      </c>
      <c r="I3599">
        <v>1</v>
      </c>
      <c r="J3599">
        <v>1404</v>
      </c>
      <c r="K3599">
        <v>0</v>
      </c>
      <c r="L3599">
        <v>1095.1199999999999</v>
      </c>
    </row>
    <row r="3600" spans="1:12" x14ac:dyDescent="0.25">
      <c r="A3600" t="str">
        <f t="shared" si="788"/>
        <v>89301000</v>
      </c>
      <c r="B3600" t="str">
        <f t="shared" si="789"/>
        <v>72077000</v>
      </c>
      <c r="C3600" t="str">
        <f t="shared" si="790"/>
        <v>72077001</v>
      </c>
      <c r="D3600" t="str">
        <f t="shared" si="791"/>
        <v>813</v>
      </c>
      <c r="E3600" t="str">
        <f t="shared" si="792"/>
        <v>89301152</v>
      </c>
      <c r="F3600" t="str">
        <f>"7551065302"</f>
        <v>7551065302</v>
      </c>
      <c r="G3600" s="1">
        <v>44652</v>
      </c>
      <c r="H3600" t="str">
        <f>"91197"</f>
        <v>91197</v>
      </c>
      <c r="I3600">
        <v>1</v>
      </c>
      <c r="J3600">
        <v>1046</v>
      </c>
      <c r="K3600">
        <v>0</v>
      </c>
      <c r="L3600">
        <v>815.88</v>
      </c>
    </row>
    <row r="3601" spans="1:12" x14ac:dyDescent="0.25">
      <c r="A3601" t="str">
        <f t="shared" si="788"/>
        <v>89301000</v>
      </c>
      <c r="B3601" t="str">
        <f t="shared" si="789"/>
        <v>72077000</v>
      </c>
      <c r="C3601" t="str">
        <f t="shared" si="790"/>
        <v>72077001</v>
      </c>
      <c r="D3601" t="str">
        <f t="shared" si="791"/>
        <v>813</v>
      </c>
      <c r="E3601" t="str">
        <f t="shared" si="792"/>
        <v>89301152</v>
      </c>
      <c r="F3601" t="str">
        <f>"0310155747"</f>
        <v>0310155747</v>
      </c>
      <c r="G3601" s="1">
        <v>44652</v>
      </c>
      <c r="H3601" t="str">
        <f>"91485"</f>
        <v>91485</v>
      </c>
      <c r="I3601">
        <v>1</v>
      </c>
      <c r="J3601">
        <v>268</v>
      </c>
      <c r="K3601">
        <v>0</v>
      </c>
      <c r="L3601">
        <v>209.04</v>
      </c>
    </row>
    <row r="3602" spans="1:12" x14ac:dyDescent="0.25">
      <c r="A3602" t="str">
        <f t="shared" si="788"/>
        <v>89301000</v>
      </c>
      <c r="B3602" t="str">
        <f t="shared" si="789"/>
        <v>72077000</v>
      </c>
      <c r="C3602" t="str">
        <f t="shared" si="790"/>
        <v>72077001</v>
      </c>
      <c r="D3602" t="str">
        <f t="shared" si="791"/>
        <v>813</v>
      </c>
      <c r="E3602" t="str">
        <f t="shared" si="792"/>
        <v>89301152</v>
      </c>
      <c r="F3602" t="str">
        <f>"0310155747"</f>
        <v>0310155747</v>
      </c>
      <c r="G3602" s="1">
        <v>44655</v>
      </c>
      <c r="H3602" t="str">
        <f>"91171"</f>
        <v>91171</v>
      </c>
      <c r="I3602">
        <v>1</v>
      </c>
      <c r="J3602">
        <v>360</v>
      </c>
      <c r="K3602">
        <v>0</v>
      </c>
      <c r="L3602">
        <v>280.8</v>
      </c>
    </row>
    <row r="3603" spans="1:12" x14ac:dyDescent="0.25">
      <c r="A3603" t="str">
        <f t="shared" si="788"/>
        <v>89301000</v>
      </c>
      <c r="B3603" t="str">
        <f t="shared" si="789"/>
        <v>72077000</v>
      </c>
      <c r="C3603" t="str">
        <f t="shared" si="790"/>
        <v>72077001</v>
      </c>
      <c r="D3603" t="str">
        <f t="shared" si="791"/>
        <v>813</v>
      </c>
      <c r="E3603" t="str">
        <f t="shared" si="792"/>
        <v>89301152</v>
      </c>
      <c r="F3603" t="str">
        <f>"0310155747"</f>
        <v>0310155747</v>
      </c>
      <c r="G3603" s="1">
        <v>44655</v>
      </c>
      <c r="H3603" t="str">
        <f>"91171"</f>
        <v>91171</v>
      </c>
      <c r="I3603">
        <v>1</v>
      </c>
      <c r="J3603">
        <v>360</v>
      </c>
      <c r="K3603">
        <v>0</v>
      </c>
      <c r="L3603">
        <v>280.8</v>
      </c>
    </row>
    <row r="3604" spans="1:12" x14ac:dyDescent="0.25">
      <c r="A3604" t="str">
        <f t="shared" si="788"/>
        <v>89301000</v>
      </c>
      <c r="B3604" t="str">
        <f t="shared" si="789"/>
        <v>72077000</v>
      </c>
      <c r="C3604" t="str">
        <f t="shared" si="790"/>
        <v>72077001</v>
      </c>
      <c r="D3604" t="str">
        <f t="shared" si="791"/>
        <v>813</v>
      </c>
      <c r="E3604" t="str">
        <f t="shared" si="792"/>
        <v>89301152</v>
      </c>
      <c r="F3604" t="str">
        <f>"0310155747"</f>
        <v>0310155747</v>
      </c>
      <c r="G3604" s="1">
        <v>44657</v>
      </c>
      <c r="H3604" t="str">
        <f>"91361"</f>
        <v>91361</v>
      </c>
      <c r="I3604">
        <v>1</v>
      </c>
      <c r="J3604">
        <v>431</v>
      </c>
      <c r="K3604">
        <v>0</v>
      </c>
      <c r="L3604">
        <v>336.18</v>
      </c>
    </row>
    <row r="3605" spans="1:12" x14ac:dyDescent="0.25">
      <c r="A3605" t="str">
        <f t="shared" si="788"/>
        <v>89301000</v>
      </c>
      <c r="B3605" t="str">
        <f t="shared" si="789"/>
        <v>72077000</v>
      </c>
      <c r="C3605" t="str">
        <f t="shared" si="790"/>
        <v>72077001</v>
      </c>
      <c r="D3605" t="str">
        <f t="shared" si="791"/>
        <v>813</v>
      </c>
      <c r="E3605" t="str">
        <f t="shared" si="792"/>
        <v>89301152</v>
      </c>
      <c r="F3605" t="str">
        <f>"0310155747"</f>
        <v>0310155747</v>
      </c>
      <c r="G3605" s="1">
        <v>44657</v>
      </c>
      <c r="H3605" t="str">
        <f>"91359"</f>
        <v>91359</v>
      </c>
      <c r="I3605">
        <v>1</v>
      </c>
      <c r="J3605">
        <v>198</v>
      </c>
      <c r="K3605">
        <v>0</v>
      </c>
      <c r="L3605">
        <v>154.44</v>
      </c>
    </row>
    <row r="3606" spans="1:12" x14ac:dyDescent="0.25">
      <c r="A3606" t="str">
        <f t="shared" si="788"/>
        <v>89301000</v>
      </c>
      <c r="B3606" t="str">
        <f t="shared" si="789"/>
        <v>72077000</v>
      </c>
      <c r="C3606" t="str">
        <f t="shared" si="790"/>
        <v>72077001</v>
      </c>
      <c r="D3606" t="str">
        <f t="shared" si="791"/>
        <v>813</v>
      </c>
      <c r="E3606" t="str">
        <f t="shared" si="792"/>
        <v>89301152</v>
      </c>
      <c r="F3606" t="str">
        <f>"7657305766"</f>
        <v>7657305766</v>
      </c>
      <c r="G3606" s="1">
        <v>44652</v>
      </c>
      <c r="H3606" t="str">
        <f>"91197"</f>
        <v>91197</v>
      </c>
      <c r="I3606">
        <v>1</v>
      </c>
      <c r="J3606">
        <v>1046</v>
      </c>
      <c r="K3606">
        <v>0</v>
      </c>
      <c r="L3606">
        <v>815.88</v>
      </c>
    </row>
    <row r="3607" spans="1:12" x14ac:dyDescent="0.25">
      <c r="A3607" t="str">
        <f t="shared" si="788"/>
        <v>89301000</v>
      </c>
      <c r="B3607" t="str">
        <f t="shared" si="789"/>
        <v>72077000</v>
      </c>
      <c r="C3607" t="str">
        <f t="shared" si="790"/>
        <v>72077001</v>
      </c>
      <c r="D3607" t="str">
        <f t="shared" si="791"/>
        <v>813</v>
      </c>
      <c r="E3607" t="str">
        <f t="shared" si="792"/>
        <v>89301152</v>
      </c>
      <c r="F3607" t="str">
        <f>"7657305766"</f>
        <v>7657305766</v>
      </c>
      <c r="G3607" s="1">
        <v>44656</v>
      </c>
      <c r="H3607" t="str">
        <f>"91465"</f>
        <v>91465</v>
      </c>
      <c r="I3607">
        <v>1</v>
      </c>
      <c r="J3607">
        <v>1404</v>
      </c>
      <c r="K3607">
        <v>0</v>
      </c>
      <c r="L3607">
        <v>1095.1199999999999</v>
      </c>
    </row>
    <row r="3608" spans="1:12" x14ac:dyDescent="0.25">
      <c r="A3608" t="str">
        <f t="shared" si="788"/>
        <v>89301000</v>
      </c>
      <c r="B3608" t="str">
        <f t="shared" si="789"/>
        <v>72077000</v>
      </c>
      <c r="C3608" t="str">
        <f t="shared" si="790"/>
        <v>72077001</v>
      </c>
      <c r="D3608" t="str">
        <f t="shared" si="791"/>
        <v>813</v>
      </c>
      <c r="E3608" t="str">
        <f t="shared" si="792"/>
        <v>89301152</v>
      </c>
      <c r="F3608" t="str">
        <f>"8505185766"</f>
        <v>8505185766</v>
      </c>
      <c r="G3608" s="1">
        <v>44652</v>
      </c>
      <c r="H3608" t="str">
        <f>"91197"</f>
        <v>91197</v>
      </c>
      <c r="I3608">
        <v>1</v>
      </c>
      <c r="J3608">
        <v>1046</v>
      </c>
      <c r="K3608">
        <v>0</v>
      </c>
      <c r="L3608">
        <v>815.88</v>
      </c>
    </row>
    <row r="3609" spans="1:12" x14ac:dyDescent="0.25">
      <c r="A3609" t="str">
        <f t="shared" si="788"/>
        <v>89301000</v>
      </c>
      <c r="B3609" t="str">
        <f t="shared" si="789"/>
        <v>72077000</v>
      </c>
      <c r="C3609" t="str">
        <f t="shared" si="790"/>
        <v>72077001</v>
      </c>
      <c r="D3609" t="str">
        <f t="shared" si="791"/>
        <v>813</v>
      </c>
      <c r="E3609" t="str">
        <f t="shared" si="792"/>
        <v>89301152</v>
      </c>
      <c r="F3609" t="str">
        <f>"8505185766"</f>
        <v>8505185766</v>
      </c>
      <c r="G3609" s="1">
        <v>44656</v>
      </c>
      <c r="H3609" t="str">
        <f>"91465"</f>
        <v>91465</v>
      </c>
      <c r="I3609">
        <v>1</v>
      </c>
      <c r="J3609">
        <v>1404</v>
      </c>
      <c r="K3609">
        <v>0</v>
      </c>
      <c r="L3609">
        <v>1095.1199999999999</v>
      </c>
    </row>
    <row r="3610" spans="1:12" x14ac:dyDescent="0.25">
      <c r="A3610" t="str">
        <f t="shared" si="788"/>
        <v>89301000</v>
      </c>
      <c r="B3610" t="str">
        <f t="shared" si="789"/>
        <v>72077000</v>
      </c>
      <c r="C3610" t="str">
        <f t="shared" si="790"/>
        <v>72077001</v>
      </c>
      <c r="D3610" t="str">
        <f t="shared" si="791"/>
        <v>813</v>
      </c>
      <c r="E3610" t="str">
        <f t="shared" si="792"/>
        <v>89301152</v>
      </c>
      <c r="F3610" t="str">
        <f>"9207115742"</f>
        <v>9207115742</v>
      </c>
      <c r="G3610" s="1">
        <v>44652</v>
      </c>
      <c r="H3610" t="str">
        <f>"91197"</f>
        <v>91197</v>
      </c>
      <c r="I3610">
        <v>1</v>
      </c>
      <c r="J3610">
        <v>1046</v>
      </c>
      <c r="K3610">
        <v>0</v>
      </c>
      <c r="L3610">
        <v>815.88</v>
      </c>
    </row>
    <row r="3611" spans="1:12" x14ac:dyDescent="0.25">
      <c r="A3611" t="str">
        <f t="shared" si="788"/>
        <v>89301000</v>
      </c>
      <c r="B3611" t="str">
        <f t="shared" si="789"/>
        <v>72077000</v>
      </c>
      <c r="C3611" t="str">
        <f t="shared" si="790"/>
        <v>72077001</v>
      </c>
      <c r="D3611" t="str">
        <f t="shared" si="791"/>
        <v>813</v>
      </c>
      <c r="E3611" t="str">
        <f t="shared" si="792"/>
        <v>89301152</v>
      </c>
      <c r="F3611" t="str">
        <f>"9207115742"</f>
        <v>9207115742</v>
      </c>
      <c r="G3611" s="1">
        <v>44656</v>
      </c>
      <c r="H3611" t="str">
        <f>"91465"</f>
        <v>91465</v>
      </c>
      <c r="I3611">
        <v>1</v>
      </c>
      <c r="J3611">
        <v>1404</v>
      </c>
      <c r="K3611">
        <v>0</v>
      </c>
      <c r="L3611">
        <v>1095.1199999999999</v>
      </c>
    </row>
    <row r="3612" spans="1:12" x14ac:dyDescent="0.25">
      <c r="A3612" t="str">
        <f t="shared" si="788"/>
        <v>89301000</v>
      </c>
      <c r="B3612" t="str">
        <f t="shared" si="789"/>
        <v>72077000</v>
      </c>
      <c r="C3612" t="str">
        <f t="shared" si="790"/>
        <v>72077001</v>
      </c>
      <c r="D3612" t="str">
        <f t="shared" si="791"/>
        <v>813</v>
      </c>
      <c r="E3612" t="str">
        <f t="shared" si="792"/>
        <v>89301152</v>
      </c>
      <c r="F3612" t="str">
        <f>"7453095353"</f>
        <v>7453095353</v>
      </c>
      <c r="G3612" s="1">
        <v>44652</v>
      </c>
      <c r="H3612" t="str">
        <f>"91197"</f>
        <v>91197</v>
      </c>
      <c r="I3612">
        <v>1</v>
      </c>
      <c r="J3612">
        <v>1046</v>
      </c>
      <c r="K3612">
        <v>0</v>
      </c>
      <c r="L3612">
        <v>815.88</v>
      </c>
    </row>
    <row r="3613" spans="1:12" x14ac:dyDescent="0.25">
      <c r="A3613" t="str">
        <f t="shared" si="788"/>
        <v>89301000</v>
      </c>
      <c r="B3613" t="str">
        <f t="shared" si="789"/>
        <v>72077000</v>
      </c>
      <c r="C3613" t="str">
        <f t="shared" si="790"/>
        <v>72077001</v>
      </c>
      <c r="D3613" t="str">
        <f t="shared" si="791"/>
        <v>813</v>
      </c>
      <c r="E3613" t="str">
        <f t="shared" si="792"/>
        <v>89301152</v>
      </c>
      <c r="F3613" t="str">
        <f>"7453095353"</f>
        <v>7453095353</v>
      </c>
      <c r="G3613" s="1">
        <v>44656</v>
      </c>
      <c r="H3613" t="str">
        <f>"91465"</f>
        <v>91465</v>
      </c>
      <c r="I3613">
        <v>1</v>
      </c>
      <c r="J3613">
        <v>1404</v>
      </c>
      <c r="K3613">
        <v>0</v>
      </c>
      <c r="L3613">
        <v>1095.1199999999999</v>
      </c>
    </row>
    <row r="3614" spans="1:12" x14ac:dyDescent="0.25">
      <c r="A3614" t="str">
        <f t="shared" si="788"/>
        <v>89301000</v>
      </c>
      <c r="B3614" t="str">
        <f t="shared" si="789"/>
        <v>72077000</v>
      </c>
      <c r="C3614" t="str">
        <f t="shared" si="790"/>
        <v>72077001</v>
      </c>
      <c r="D3614" t="str">
        <f t="shared" si="791"/>
        <v>813</v>
      </c>
      <c r="E3614" t="str">
        <f t="shared" si="792"/>
        <v>89301152</v>
      </c>
      <c r="F3614" t="str">
        <f>"8261305316"</f>
        <v>8261305316</v>
      </c>
      <c r="G3614" s="1">
        <v>44656</v>
      </c>
      <c r="H3614" t="str">
        <f>"91213"</f>
        <v>91213</v>
      </c>
      <c r="I3614">
        <v>1</v>
      </c>
      <c r="J3614">
        <v>347</v>
      </c>
      <c r="K3614">
        <v>0</v>
      </c>
      <c r="L3614">
        <v>270.66000000000003</v>
      </c>
    </row>
    <row r="3615" spans="1:12" x14ac:dyDescent="0.25">
      <c r="A3615" t="str">
        <f t="shared" si="788"/>
        <v>89301000</v>
      </c>
      <c r="B3615" t="str">
        <f t="shared" si="789"/>
        <v>72077000</v>
      </c>
      <c r="C3615" t="str">
        <f t="shared" si="790"/>
        <v>72077001</v>
      </c>
      <c r="D3615" t="str">
        <f t="shared" si="791"/>
        <v>813</v>
      </c>
      <c r="E3615" t="str">
        <f t="shared" si="792"/>
        <v>89301152</v>
      </c>
      <c r="F3615" t="str">
        <f>"9456215747"</f>
        <v>9456215747</v>
      </c>
      <c r="G3615" s="1">
        <v>44657</v>
      </c>
      <c r="H3615" t="str">
        <f>"91197"</f>
        <v>91197</v>
      </c>
      <c r="I3615">
        <v>1</v>
      </c>
      <c r="J3615">
        <v>1046</v>
      </c>
      <c r="K3615">
        <v>0</v>
      </c>
      <c r="L3615">
        <v>815.88</v>
      </c>
    </row>
    <row r="3616" spans="1:12" x14ac:dyDescent="0.25">
      <c r="A3616" t="str">
        <f t="shared" si="788"/>
        <v>89301000</v>
      </c>
      <c r="B3616" t="str">
        <f t="shared" si="789"/>
        <v>72077000</v>
      </c>
      <c r="C3616" t="str">
        <f t="shared" si="790"/>
        <v>72077001</v>
      </c>
      <c r="D3616" t="str">
        <f t="shared" si="791"/>
        <v>813</v>
      </c>
      <c r="E3616" t="str">
        <f t="shared" si="792"/>
        <v>89301152</v>
      </c>
      <c r="F3616" t="str">
        <f>"9456215747"</f>
        <v>9456215747</v>
      </c>
      <c r="G3616" s="1">
        <v>44659</v>
      </c>
      <c r="H3616" t="str">
        <f>"91465"</f>
        <v>91465</v>
      </c>
      <c r="I3616">
        <v>1</v>
      </c>
      <c r="J3616">
        <v>1404</v>
      </c>
      <c r="K3616">
        <v>0</v>
      </c>
      <c r="L3616">
        <v>1095.1199999999999</v>
      </c>
    </row>
    <row r="3617" spans="1:12" x14ac:dyDescent="0.25">
      <c r="A3617" t="str">
        <f t="shared" si="788"/>
        <v>89301000</v>
      </c>
      <c r="B3617" t="str">
        <f t="shared" si="789"/>
        <v>72077000</v>
      </c>
      <c r="C3617" t="str">
        <f t="shared" si="790"/>
        <v>72077001</v>
      </c>
      <c r="D3617" t="str">
        <f t="shared" si="791"/>
        <v>813</v>
      </c>
      <c r="E3617" t="str">
        <f t="shared" si="792"/>
        <v>89301152</v>
      </c>
      <c r="F3617" t="str">
        <f>"7751095308"</f>
        <v>7751095308</v>
      </c>
      <c r="G3617" s="1">
        <v>44657</v>
      </c>
      <c r="H3617" t="str">
        <f>"91197"</f>
        <v>91197</v>
      </c>
      <c r="I3617">
        <v>1</v>
      </c>
      <c r="J3617">
        <v>1046</v>
      </c>
      <c r="K3617">
        <v>0</v>
      </c>
      <c r="L3617">
        <v>815.88</v>
      </c>
    </row>
    <row r="3618" spans="1:12" x14ac:dyDescent="0.25">
      <c r="A3618" t="str">
        <f t="shared" si="788"/>
        <v>89301000</v>
      </c>
      <c r="B3618" t="str">
        <f t="shared" si="789"/>
        <v>72077000</v>
      </c>
      <c r="C3618" t="str">
        <f t="shared" si="790"/>
        <v>72077001</v>
      </c>
      <c r="D3618" t="str">
        <f t="shared" si="791"/>
        <v>813</v>
      </c>
      <c r="E3618" t="str">
        <f t="shared" si="792"/>
        <v>89301152</v>
      </c>
      <c r="F3618" t="str">
        <f>"7751095308"</f>
        <v>7751095308</v>
      </c>
      <c r="G3618" s="1">
        <v>44659</v>
      </c>
      <c r="H3618" t="str">
        <f>"91465"</f>
        <v>91465</v>
      </c>
      <c r="I3618">
        <v>1</v>
      </c>
      <c r="J3618">
        <v>1404</v>
      </c>
      <c r="K3618">
        <v>0</v>
      </c>
      <c r="L3618">
        <v>1095.1199999999999</v>
      </c>
    </row>
    <row r="3619" spans="1:12" x14ac:dyDescent="0.25">
      <c r="A3619" t="str">
        <f t="shared" si="788"/>
        <v>89301000</v>
      </c>
      <c r="B3619" t="str">
        <f t="shared" si="789"/>
        <v>72077000</v>
      </c>
      <c r="C3619" t="str">
        <f t="shared" si="790"/>
        <v>72077001</v>
      </c>
      <c r="D3619" t="str">
        <f t="shared" si="791"/>
        <v>813</v>
      </c>
      <c r="E3619" t="str">
        <f t="shared" si="792"/>
        <v>89301152</v>
      </c>
      <c r="F3619" t="str">
        <f>"7755075768"</f>
        <v>7755075768</v>
      </c>
      <c r="G3619" s="1">
        <v>44665</v>
      </c>
      <c r="H3619" t="str">
        <f>"91465"</f>
        <v>91465</v>
      </c>
      <c r="I3619">
        <v>1</v>
      </c>
      <c r="J3619">
        <v>1404</v>
      </c>
      <c r="K3619">
        <v>0</v>
      </c>
      <c r="L3619">
        <v>1095.1199999999999</v>
      </c>
    </row>
    <row r="3620" spans="1:12" x14ac:dyDescent="0.25">
      <c r="A3620" t="str">
        <f t="shared" si="788"/>
        <v>89301000</v>
      </c>
      <c r="B3620" t="str">
        <f t="shared" si="789"/>
        <v>72077000</v>
      </c>
      <c r="C3620" t="str">
        <f t="shared" si="790"/>
        <v>72077001</v>
      </c>
      <c r="D3620" t="str">
        <f t="shared" si="791"/>
        <v>813</v>
      </c>
      <c r="E3620" t="str">
        <f t="shared" si="792"/>
        <v>89301152</v>
      </c>
      <c r="F3620" t="str">
        <f>"7755075768"</f>
        <v>7755075768</v>
      </c>
      <c r="G3620" s="1">
        <v>44665</v>
      </c>
      <c r="H3620" t="str">
        <f>"91197"</f>
        <v>91197</v>
      </c>
      <c r="I3620">
        <v>1</v>
      </c>
      <c r="J3620">
        <v>1046</v>
      </c>
      <c r="K3620">
        <v>0</v>
      </c>
      <c r="L3620">
        <v>815.88</v>
      </c>
    </row>
    <row r="3621" spans="1:12" x14ac:dyDescent="0.25">
      <c r="A3621" t="str">
        <f t="shared" si="788"/>
        <v>89301000</v>
      </c>
      <c r="B3621" t="str">
        <f t="shared" si="789"/>
        <v>72077000</v>
      </c>
      <c r="C3621" t="str">
        <f t="shared" si="790"/>
        <v>72077001</v>
      </c>
      <c r="D3621" t="str">
        <f t="shared" si="791"/>
        <v>813</v>
      </c>
      <c r="E3621" t="str">
        <f t="shared" si="792"/>
        <v>89301152</v>
      </c>
      <c r="F3621" t="str">
        <f>"7558174492"</f>
        <v>7558174492</v>
      </c>
      <c r="G3621" s="1">
        <v>44670</v>
      </c>
      <c r="H3621" t="str">
        <f>"91485"</f>
        <v>91485</v>
      </c>
      <c r="I3621">
        <v>1</v>
      </c>
      <c r="J3621">
        <v>268</v>
      </c>
      <c r="K3621">
        <v>0</v>
      </c>
      <c r="L3621">
        <v>209.04</v>
      </c>
    </row>
    <row r="3622" spans="1:12" x14ac:dyDescent="0.25">
      <c r="A3622" t="str">
        <f t="shared" si="788"/>
        <v>89301000</v>
      </c>
      <c r="B3622" t="str">
        <f t="shared" si="789"/>
        <v>72077000</v>
      </c>
      <c r="C3622" t="str">
        <f t="shared" si="790"/>
        <v>72077001</v>
      </c>
      <c r="D3622" t="str">
        <f t="shared" si="791"/>
        <v>813</v>
      </c>
      <c r="E3622" t="str">
        <f t="shared" si="792"/>
        <v>89301152</v>
      </c>
      <c r="F3622" t="str">
        <f>"7558174492"</f>
        <v>7558174492</v>
      </c>
      <c r="G3622" s="1">
        <v>44672</v>
      </c>
      <c r="H3622" t="str">
        <f>"91361"</f>
        <v>91361</v>
      </c>
      <c r="I3622">
        <v>1</v>
      </c>
      <c r="J3622">
        <v>431</v>
      </c>
      <c r="K3622">
        <v>0</v>
      </c>
      <c r="L3622">
        <v>336.18</v>
      </c>
    </row>
    <row r="3623" spans="1:12" x14ac:dyDescent="0.25">
      <c r="A3623" t="str">
        <f t="shared" si="788"/>
        <v>89301000</v>
      </c>
      <c r="B3623" t="str">
        <f t="shared" si="789"/>
        <v>72077000</v>
      </c>
      <c r="C3623" t="str">
        <f t="shared" si="790"/>
        <v>72077001</v>
      </c>
      <c r="D3623" t="str">
        <f t="shared" si="791"/>
        <v>813</v>
      </c>
      <c r="E3623" t="str">
        <f t="shared" si="792"/>
        <v>89301152</v>
      </c>
      <c r="F3623" t="str">
        <f>"7558174492"</f>
        <v>7558174492</v>
      </c>
      <c r="G3623" s="1">
        <v>44672</v>
      </c>
      <c r="H3623" t="str">
        <f>"91359"</f>
        <v>91359</v>
      </c>
      <c r="I3623">
        <v>1</v>
      </c>
      <c r="J3623">
        <v>198</v>
      </c>
      <c r="K3623">
        <v>0</v>
      </c>
      <c r="L3623">
        <v>154.44</v>
      </c>
    </row>
    <row r="3624" spans="1:12" x14ac:dyDescent="0.25">
      <c r="A3624" t="str">
        <f t="shared" si="788"/>
        <v>89301000</v>
      </c>
      <c r="B3624" t="str">
        <f t="shared" ref="B3624:B3640" si="793">"72077000"</f>
        <v>72077000</v>
      </c>
      <c r="C3624" t="str">
        <f t="shared" ref="C3624:C3640" si="794">"72077001"</f>
        <v>72077001</v>
      </c>
      <c r="D3624" t="str">
        <f t="shared" ref="D3624:D3640" si="795">"813"</f>
        <v>813</v>
      </c>
      <c r="E3624" t="str">
        <f t="shared" ref="E3624:E3640" si="796">"89301152"</f>
        <v>89301152</v>
      </c>
      <c r="F3624" t="str">
        <f>"7355215483"</f>
        <v>7355215483</v>
      </c>
      <c r="G3624" s="1">
        <v>44671</v>
      </c>
      <c r="H3624" t="str">
        <f>"91465"</f>
        <v>91465</v>
      </c>
      <c r="I3624">
        <v>1</v>
      </c>
      <c r="J3624">
        <v>1404</v>
      </c>
      <c r="K3624">
        <v>0</v>
      </c>
      <c r="L3624">
        <v>1095.1199999999999</v>
      </c>
    </row>
    <row r="3625" spans="1:12" x14ac:dyDescent="0.25">
      <c r="A3625" t="str">
        <f t="shared" si="788"/>
        <v>89301000</v>
      </c>
      <c r="B3625" t="str">
        <f t="shared" si="793"/>
        <v>72077000</v>
      </c>
      <c r="C3625" t="str">
        <f t="shared" si="794"/>
        <v>72077001</v>
      </c>
      <c r="D3625" t="str">
        <f t="shared" si="795"/>
        <v>813</v>
      </c>
      <c r="E3625" t="str">
        <f t="shared" si="796"/>
        <v>89301152</v>
      </c>
      <c r="F3625" t="str">
        <f>"7355215483"</f>
        <v>7355215483</v>
      </c>
      <c r="G3625" s="1">
        <v>44672</v>
      </c>
      <c r="H3625" t="str">
        <f>"91197"</f>
        <v>91197</v>
      </c>
      <c r="I3625">
        <v>1</v>
      </c>
      <c r="J3625">
        <v>1046</v>
      </c>
      <c r="K3625">
        <v>0</v>
      </c>
      <c r="L3625">
        <v>815.88</v>
      </c>
    </row>
    <row r="3626" spans="1:12" x14ac:dyDescent="0.25">
      <c r="A3626" t="str">
        <f t="shared" si="788"/>
        <v>89301000</v>
      </c>
      <c r="B3626" t="str">
        <f t="shared" si="793"/>
        <v>72077000</v>
      </c>
      <c r="C3626" t="str">
        <f t="shared" si="794"/>
        <v>72077001</v>
      </c>
      <c r="D3626" t="str">
        <f t="shared" si="795"/>
        <v>813</v>
      </c>
      <c r="E3626" t="str">
        <f t="shared" si="796"/>
        <v>89301152</v>
      </c>
      <c r="F3626" t="str">
        <f>"5706040417"</f>
        <v>5706040417</v>
      </c>
      <c r="G3626" s="1">
        <v>44672</v>
      </c>
      <c r="H3626" t="str">
        <f>"91465"</f>
        <v>91465</v>
      </c>
      <c r="I3626">
        <v>1</v>
      </c>
      <c r="J3626">
        <v>1404</v>
      </c>
      <c r="K3626">
        <v>0</v>
      </c>
      <c r="L3626">
        <v>1095.1199999999999</v>
      </c>
    </row>
    <row r="3627" spans="1:12" x14ac:dyDescent="0.25">
      <c r="A3627" t="str">
        <f t="shared" si="788"/>
        <v>89301000</v>
      </c>
      <c r="B3627" t="str">
        <f t="shared" si="793"/>
        <v>72077000</v>
      </c>
      <c r="C3627" t="str">
        <f t="shared" si="794"/>
        <v>72077001</v>
      </c>
      <c r="D3627" t="str">
        <f t="shared" si="795"/>
        <v>813</v>
      </c>
      <c r="E3627" t="str">
        <f t="shared" si="796"/>
        <v>89301152</v>
      </c>
      <c r="F3627" t="str">
        <f>"5706040417"</f>
        <v>5706040417</v>
      </c>
      <c r="G3627" s="1">
        <v>44672</v>
      </c>
      <c r="H3627" t="str">
        <f>"91197"</f>
        <v>91197</v>
      </c>
      <c r="I3627">
        <v>1</v>
      </c>
      <c r="J3627">
        <v>1046</v>
      </c>
      <c r="K3627">
        <v>0</v>
      </c>
      <c r="L3627">
        <v>815.88</v>
      </c>
    </row>
    <row r="3628" spans="1:12" x14ac:dyDescent="0.25">
      <c r="A3628" t="str">
        <f t="shared" si="788"/>
        <v>89301000</v>
      </c>
      <c r="B3628" t="str">
        <f t="shared" si="793"/>
        <v>72077000</v>
      </c>
      <c r="C3628" t="str">
        <f t="shared" si="794"/>
        <v>72077001</v>
      </c>
      <c r="D3628" t="str">
        <f t="shared" si="795"/>
        <v>813</v>
      </c>
      <c r="E3628" t="str">
        <f t="shared" si="796"/>
        <v>89301152</v>
      </c>
      <c r="F3628" t="str">
        <f>"8251115367"</f>
        <v>8251115367</v>
      </c>
      <c r="G3628" s="1">
        <v>44672</v>
      </c>
      <c r="H3628" t="str">
        <f>"91465"</f>
        <v>91465</v>
      </c>
      <c r="I3628">
        <v>1</v>
      </c>
      <c r="J3628">
        <v>1404</v>
      </c>
      <c r="K3628">
        <v>0</v>
      </c>
      <c r="L3628">
        <v>1095.1199999999999</v>
      </c>
    </row>
    <row r="3629" spans="1:12" x14ac:dyDescent="0.25">
      <c r="A3629" t="str">
        <f t="shared" si="788"/>
        <v>89301000</v>
      </c>
      <c r="B3629" t="str">
        <f t="shared" si="793"/>
        <v>72077000</v>
      </c>
      <c r="C3629" t="str">
        <f t="shared" si="794"/>
        <v>72077001</v>
      </c>
      <c r="D3629" t="str">
        <f t="shared" si="795"/>
        <v>813</v>
      </c>
      <c r="E3629" t="str">
        <f t="shared" si="796"/>
        <v>89301152</v>
      </c>
      <c r="F3629" t="str">
        <f>"8251115367"</f>
        <v>8251115367</v>
      </c>
      <c r="G3629" s="1">
        <v>44672</v>
      </c>
      <c r="H3629" t="str">
        <f>"91197"</f>
        <v>91197</v>
      </c>
      <c r="I3629">
        <v>1</v>
      </c>
      <c r="J3629">
        <v>1046</v>
      </c>
      <c r="K3629">
        <v>0</v>
      </c>
      <c r="L3629">
        <v>815.88</v>
      </c>
    </row>
    <row r="3630" spans="1:12" x14ac:dyDescent="0.25">
      <c r="A3630" t="str">
        <f t="shared" si="788"/>
        <v>89301000</v>
      </c>
      <c r="B3630" t="str">
        <f t="shared" si="793"/>
        <v>72077000</v>
      </c>
      <c r="C3630" t="str">
        <f t="shared" si="794"/>
        <v>72077001</v>
      </c>
      <c r="D3630" t="str">
        <f t="shared" si="795"/>
        <v>813</v>
      </c>
      <c r="E3630" t="str">
        <f t="shared" si="796"/>
        <v>89301152</v>
      </c>
      <c r="F3630" t="str">
        <f>"6656220263"</f>
        <v>6656220263</v>
      </c>
      <c r="G3630" s="1">
        <v>44676</v>
      </c>
      <c r="H3630" t="str">
        <f>"91197"</f>
        <v>91197</v>
      </c>
      <c r="I3630">
        <v>1</v>
      </c>
      <c r="J3630">
        <v>1046</v>
      </c>
      <c r="K3630">
        <v>0</v>
      </c>
      <c r="L3630">
        <v>815.88</v>
      </c>
    </row>
    <row r="3631" spans="1:12" x14ac:dyDescent="0.25">
      <c r="A3631" t="str">
        <f t="shared" si="788"/>
        <v>89301000</v>
      </c>
      <c r="B3631" t="str">
        <f t="shared" si="793"/>
        <v>72077000</v>
      </c>
      <c r="C3631" t="str">
        <f t="shared" si="794"/>
        <v>72077001</v>
      </c>
      <c r="D3631" t="str">
        <f t="shared" si="795"/>
        <v>813</v>
      </c>
      <c r="E3631" t="str">
        <f t="shared" si="796"/>
        <v>89301152</v>
      </c>
      <c r="F3631" t="str">
        <f>"6656220263"</f>
        <v>6656220263</v>
      </c>
      <c r="G3631" s="1">
        <v>44677</v>
      </c>
      <c r="H3631" t="str">
        <f>"91465"</f>
        <v>91465</v>
      </c>
      <c r="I3631">
        <v>1</v>
      </c>
      <c r="J3631">
        <v>1404</v>
      </c>
      <c r="K3631">
        <v>0</v>
      </c>
      <c r="L3631">
        <v>1095.1199999999999</v>
      </c>
    </row>
    <row r="3632" spans="1:12" x14ac:dyDescent="0.25">
      <c r="A3632" t="str">
        <f t="shared" si="788"/>
        <v>89301000</v>
      </c>
      <c r="B3632" t="str">
        <f t="shared" si="793"/>
        <v>72077000</v>
      </c>
      <c r="C3632" t="str">
        <f t="shared" si="794"/>
        <v>72077001</v>
      </c>
      <c r="D3632" t="str">
        <f t="shared" si="795"/>
        <v>813</v>
      </c>
      <c r="E3632" t="str">
        <f t="shared" si="796"/>
        <v>89301152</v>
      </c>
      <c r="F3632" t="str">
        <f t="shared" ref="F3632:F3638" si="797">"8356105340"</f>
        <v>8356105340</v>
      </c>
      <c r="G3632" s="1">
        <v>44678</v>
      </c>
      <c r="H3632" t="str">
        <f>"91485"</f>
        <v>91485</v>
      </c>
      <c r="I3632">
        <v>1</v>
      </c>
      <c r="J3632">
        <v>268</v>
      </c>
      <c r="K3632">
        <v>0</v>
      </c>
      <c r="L3632">
        <v>209.04</v>
      </c>
    </row>
    <row r="3633" spans="1:12" x14ac:dyDescent="0.25">
      <c r="A3633" t="str">
        <f t="shared" si="788"/>
        <v>89301000</v>
      </c>
      <c r="B3633" t="str">
        <f t="shared" si="793"/>
        <v>72077000</v>
      </c>
      <c r="C3633" t="str">
        <f t="shared" si="794"/>
        <v>72077001</v>
      </c>
      <c r="D3633" t="str">
        <f t="shared" si="795"/>
        <v>813</v>
      </c>
      <c r="E3633" t="str">
        <f t="shared" si="796"/>
        <v>89301152</v>
      </c>
      <c r="F3633" t="str">
        <f t="shared" si="797"/>
        <v>8356105340</v>
      </c>
      <c r="G3633" s="1">
        <v>44679</v>
      </c>
      <c r="H3633" t="str">
        <f>"91171"</f>
        <v>91171</v>
      </c>
      <c r="I3633">
        <v>1</v>
      </c>
      <c r="J3633">
        <v>360</v>
      </c>
      <c r="K3633">
        <v>0</v>
      </c>
      <c r="L3633">
        <v>280.8</v>
      </c>
    </row>
    <row r="3634" spans="1:12" x14ac:dyDescent="0.25">
      <c r="A3634" t="str">
        <f t="shared" si="788"/>
        <v>89301000</v>
      </c>
      <c r="B3634" t="str">
        <f t="shared" si="793"/>
        <v>72077000</v>
      </c>
      <c r="C3634" t="str">
        <f t="shared" si="794"/>
        <v>72077001</v>
      </c>
      <c r="D3634" t="str">
        <f t="shared" si="795"/>
        <v>813</v>
      </c>
      <c r="E3634" t="str">
        <f t="shared" si="796"/>
        <v>89301152</v>
      </c>
      <c r="F3634" t="str">
        <f t="shared" si="797"/>
        <v>8356105340</v>
      </c>
      <c r="G3634" s="1">
        <v>44679</v>
      </c>
      <c r="H3634" t="str">
        <f>"91171"</f>
        <v>91171</v>
      </c>
      <c r="I3634">
        <v>1</v>
      </c>
      <c r="J3634">
        <v>360</v>
      </c>
      <c r="K3634">
        <v>0</v>
      </c>
      <c r="L3634">
        <v>280.8</v>
      </c>
    </row>
    <row r="3635" spans="1:12" x14ac:dyDescent="0.25">
      <c r="A3635" t="str">
        <f t="shared" si="788"/>
        <v>89301000</v>
      </c>
      <c r="B3635" t="str">
        <f t="shared" si="793"/>
        <v>72077000</v>
      </c>
      <c r="C3635" t="str">
        <f t="shared" si="794"/>
        <v>72077001</v>
      </c>
      <c r="D3635" t="str">
        <f t="shared" si="795"/>
        <v>813</v>
      </c>
      <c r="E3635" t="str">
        <f t="shared" si="796"/>
        <v>89301152</v>
      </c>
      <c r="F3635" t="str">
        <f t="shared" si="797"/>
        <v>8356105340</v>
      </c>
      <c r="G3635" s="1">
        <v>44679</v>
      </c>
      <c r="H3635" t="str">
        <f>"91171"</f>
        <v>91171</v>
      </c>
      <c r="I3635">
        <v>1</v>
      </c>
      <c r="J3635">
        <v>360</v>
      </c>
      <c r="K3635">
        <v>0</v>
      </c>
      <c r="L3635">
        <v>280.8</v>
      </c>
    </row>
    <row r="3636" spans="1:12" x14ac:dyDescent="0.25">
      <c r="A3636" t="str">
        <f t="shared" si="788"/>
        <v>89301000</v>
      </c>
      <c r="B3636" t="str">
        <f t="shared" si="793"/>
        <v>72077000</v>
      </c>
      <c r="C3636" t="str">
        <f t="shared" si="794"/>
        <v>72077001</v>
      </c>
      <c r="D3636" t="str">
        <f t="shared" si="795"/>
        <v>813</v>
      </c>
      <c r="E3636" t="str">
        <f t="shared" si="796"/>
        <v>89301152</v>
      </c>
      <c r="F3636" t="str">
        <f t="shared" si="797"/>
        <v>8356105340</v>
      </c>
      <c r="G3636" s="1">
        <v>44679</v>
      </c>
      <c r="H3636" t="str">
        <f>"91171"</f>
        <v>91171</v>
      </c>
      <c r="I3636">
        <v>1</v>
      </c>
      <c r="J3636">
        <v>360</v>
      </c>
      <c r="K3636">
        <v>0</v>
      </c>
      <c r="L3636">
        <v>280.8</v>
      </c>
    </row>
    <row r="3637" spans="1:12" x14ac:dyDescent="0.25">
      <c r="A3637" t="str">
        <f t="shared" si="788"/>
        <v>89301000</v>
      </c>
      <c r="B3637" t="str">
        <f t="shared" si="793"/>
        <v>72077000</v>
      </c>
      <c r="C3637" t="str">
        <f t="shared" si="794"/>
        <v>72077001</v>
      </c>
      <c r="D3637" t="str">
        <f t="shared" si="795"/>
        <v>813</v>
      </c>
      <c r="E3637" t="str">
        <f t="shared" si="796"/>
        <v>89301152</v>
      </c>
      <c r="F3637" t="str">
        <f t="shared" si="797"/>
        <v>8356105340</v>
      </c>
      <c r="G3637" s="1">
        <v>44679</v>
      </c>
      <c r="H3637" t="str">
        <f>"91361"</f>
        <v>91361</v>
      </c>
      <c r="I3637">
        <v>1</v>
      </c>
      <c r="J3637">
        <v>431</v>
      </c>
      <c r="K3637">
        <v>0</v>
      </c>
      <c r="L3637">
        <v>336.18</v>
      </c>
    </row>
    <row r="3638" spans="1:12" x14ac:dyDescent="0.25">
      <c r="A3638" t="str">
        <f t="shared" si="788"/>
        <v>89301000</v>
      </c>
      <c r="B3638" t="str">
        <f t="shared" si="793"/>
        <v>72077000</v>
      </c>
      <c r="C3638" t="str">
        <f t="shared" si="794"/>
        <v>72077001</v>
      </c>
      <c r="D3638" t="str">
        <f t="shared" si="795"/>
        <v>813</v>
      </c>
      <c r="E3638" t="str">
        <f t="shared" si="796"/>
        <v>89301152</v>
      </c>
      <c r="F3638" t="str">
        <f t="shared" si="797"/>
        <v>8356105340</v>
      </c>
      <c r="G3638" s="1">
        <v>44679</v>
      </c>
      <c r="H3638" t="str">
        <f>"91359"</f>
        <v>91359</v>
      </c>
      <c r="I3638">
        <v>1</v>
      </c>
      <c r="J3638">
        <v>198</v>
      </c>
      <c r="K3638">
        <v>0</v>
      </c>
      <c r="L3638">
        <v>154.44</v>
      </c>
    </row>
    <row r="3639" spans="1:12" x14ac:dyDescent="0.25">
      <c r="A3639" t="str">
        <f t="shared" si="788"/>
        <v>89301000</v>
      </c>
      <c r="B3639" t="str">
        <f t="shared" si="793"/>
        <v>72077000</v>
      </c>
      <c r="C3639" t="str">
        <f t="shared" si="794"/>
        <v>72077001</v>
      </c>
      <c r="D3639" t="str">
        <f t="shared" si="795"/>
        <v>813</v>
      </c>
      <c r="E3639" t="str">
        <f t="shared" si="796"/>
        <v>89301152</v>
      </c>
      <c r="F3639" t="str">
        <f>"8752165807"</f>
        <v>8752165807</v>
      </c>
      <c r="G3639" s="1">
        <v>44651</v>
      </c>
      <c r="H3639" t="str">
        <f>"91219"</f>
        <v>91219</v>
      </c>
      <c r="I3639">
        <v>1</v>
      </c>
      <c r="J3639">
        <v>342</v>
      </c>
      <c r="K3639">
        <v>0</v>
      </c>
      <c r="L3639">
        <v>266.76</v>
      </c>
    </row>
    <row r="3640" spans="1:12" x14ac:dyDescent="0.25">
      <c r="A3640" t="str">
        <f t="shared" si="788"/>
        <v>89301000</v>
      </c>
      <c r="B3640" t="str">
        <f t="shared" si="793"/>
        <v>72077000</v>
      </c>
      <c r="C3640" t="str">
        <f t="shared" si="794"/>
        <v>72077001</v>
      </c>
      <c r="D3640" t="str">
        <f t="shared" si="795"/>
        <v>813</v>
      </c>
      <c r="E3640" t="str">
        <f t="shared" si="796"/>
        <v>89301152</v>
      </c>
      <c r="F3640" t="str">
        <f>"0310155747"</f>
        <v>0310155747</v>
      </c>
      <c r="G3640" s="1">
        <v>44651</v>
      </c>
      <c r="H3640" t="str">
        <f>"91503"</f>
        <v>91503</v>
      </c>
      <c r="I3640">
        <v>1</v>
      </c>
      <c r="J3640">
        <v>114</v>
      </c>
      <c r="K3640">
        <v>0</v>
      </c>
      <c r="L3640">
        <v>88.92</v>
      </c>
    </row>
    <row r="3641" spans="1:12" x14ac:dyDescent="0.25">
      <c r="A3641" t="str">
        <f t="shared" si="788"/>
        <v>89301000</v>
      </c>
      <c r="B3641" t="str">
        <f>"21001231"</f>
        <v>21001231</v>
      </c>
      <c r="C3641" t="str">
        <f>"21001231"</f>
        <v>21001231</v>
      </c>
      <c r="D3641" t="str">
        <f t="shared" ref="D3641:D3661" si="798">"809"</f>
        <v>809</v>
      </c>
      <c r="E3641" t="str">
        <f>"89301600"</f>
        <v>89301600</v>
      </c>
      <c r="F3641" t="str">
        <f>"7801273513"</f>
        <v>7801273513</v>
      </c>
      <c r="G3641" s="1">
        <v>44665</v>
      </c>
      <c r="H3641" t="str">
        <f>"89713"</f>
        <v>89713</v>
      </c>
      <c r="I3641">
        <v>1</v>
      </c>
      <c r="J3641">
        <v>5362</v>
      </c>
      <c r="K3641">
        <v>0</v>
      </c>
      <c r="L3641">
        <v>3217.2</v>
      </c>
    </row>
    <row r="3642" spans="1:12" x14ac:dyDescent="0.25">
      <c r="A3642" t="str">
        <f t="shared" si="788"/>
        <v>89301000</v>
      </c>
      <c r="B3642" t="str">
        <f>"21001231"</f>
        <v>21001231</v>
      </c>
      <c r="C3642" t="str">
        <f>"21001231"</f>
        <v>21001231</v>
      </c>
      <c r="D3642" t="str">
        <f t="shared" si="798"/>
        <v>809</v>
      </c>
      <c r="E3642" t="str">
        <f>"89301600"</f>
        <v>89301600</v>
      </c>
      <c r="F3642" t="str">
        <f>"7801273513"</f>
        <v>7801273513</v>
      </c>
      <c r="G3642" s="1">
        <v>44665</v>
      </c>
      <c r="H3642" t="str">
        <f>"89725"</f>
        <v>89725</v>
      </c>
      <c r="I3642">
        <v>1</v>
      </c>
      <c r="J3642">
        <v>2839</v>
      </c>
      <c r="K3642">
        <v>0</v>
      </c>
      <c r="L3642">
        <v>1703.4</v>
      </c>
    </row>
    <row r="3643" spans="1:12" x14ac:dyDescent="0.25">
      <c r="A3643" t="str">
        <f t="shared" si="788"/>
        <v>89301000</v>
      </c>
      <c r="B3643" t="str">
        <f t="shared" ref="B3643:B3657" si="799">"89895000"</f>
        <v>89895000</v>
      </c>
      <c r="C3643" t="str">
        <f t="shared" ref="C3643:C3657" si="800">"89895002"</f>
        <v>89895002</v>
      </c>
      <c r="D3643" t="str">
        <f t="shared" si="798"/>
        <v>809</v>
      </c>
      <c r="E3643" t="str">
        <f t="shared" ref="E3643:E3661" si="801">"89301212"</f>
        <v>89301212</v>
      </c>
      <c r="F3643" t="str">
        <f>"5562181218"</f>
        <v>5562181218</v>
      </c>
      <c r="G3643" s="1">
        <v>44671</v>
      </c>
      <c r="H3643" t="str">
        <f>"89180"</f>
        <v>89180</v>
      </c>
      <c r="I3643">
        <v>2</v>
      </c>
      <c r="J3643">
        <v>752</v>
      </c>
      <c r="K3643">
        <v>0</v>
      </c>
      <c r="L3643">
        <v>1052.8</v>
      </c>
    </row>
    <row r="3644" spans="1:12" x14ac:dyDescent="0.25">
      <c r="A3644" t="str">
        <f t="shared" si="788"/>
        <v>89301000</v>
      </c>
      <c r="B3644" t="str">
        <f t="shared" si="799"/>
        <v>89895000</v>
      </c>
      <c r="C3644" t="str">
        <f t="shared" si="800"/>
        <v>89895002</v>
      </c>
      <c r="D3644" t="str">
        <f t="shared" si="798"/>
        <v>809</v>
      </c>
      <c r="E3644" t="str">
        <f t="shared" si="801"/>
        <v>89301212</v>
      </c>
      <c r="F3644" t="str">
        <f>"5562181218"</f>
        <v>5562181218</v>
      </c>
      <c r="G3644" s="1">
        <v>44671</v>
      </c>
      <c r="H3644" t="str">
        <f>"89513"</f>
        <v>89513</v>
      </c>
      <c r="I3644">
        <v>1</v>
      </c>
      <c r="J3644">
        <v>371</v>
      </c>
      <c r="K3644">
        <v>0</v>
      </c>
      <c r="L3644">
        <v>519.4</v>
      </c>
    </row>
    <row r="3645" spans="1:12" x14ac:dyDescent="0.25">
      <c r="A3645" t="str">
        <f t="shared" si="788"/>
        <v>89301000</v>
      </c>
      <c r="B3645" t="str">
        <f t="shared" si="799"/>
        <v>89895000</v>
      </c>
      <c r="C3645" t="str">
        <f t="shared" si="800"/>
        <v>89895002</v>
      </c>
      <c r="D3645" t="str">
        <f t="shared" si="798"/>
        <v>809</v>
      </c>
      <c r="E3645" t="str">
        <f t="shared" si="801"/>
        <v>89301212</v>
      </c>
      <c r="F3645" t="str">
        <f>"5562181218"</f>
        <v>5562181218</v>
      </c>
      <c r="G3645" s="1">
        <v>44671</v>
      </c>
      <c r="H3645" t="str">
        <f>"89514"</f>
        <v>89514</v>
      </c>
      <c r="I3645">
        <v>1</v>
      </c>
      <c r="J3645">
        <v>371</v>
      </c>
      <c r="K3645">
        <v>0</v>
      </c>
      <c r="L3645">
        <v>519.4</v>
      </c>
    </row>
    <row r="3646" spans="1:12" x14ac:dyDescent="0.25">
      <c r="A3646" t="str">
        <f t="shared" si="788"/>
        <v>89301000</v>
      </c>
      <c r="B3646" t="str">
        <f t="shared" si="799"/>
        <v>89895000</v>
      </c>
      <c r="C3646" t="str">
        <f t="shared" si="800"/>
        <v>89895002</v>
      </c>
      <c r="D3646" t="str">
        <f t="shared" si="798"/>
        <v>809</v>
      </c>
      <c r="E3646" t="str">
        <f t="shared" si="801"/>
        <v>89301212</v>
      </c>
      <c r="F3646" t="str">
        <f>"5562181218"</f>
        <v>5562181218</v>
      </c>
      <c r="G3646" s="1">
        <v>44671</v>
      </c>
      <c r="H3646" t="str">
        <f>"89512"</f>
        <v>89512</v>
      </c>
      <c r="I3646">
        <v>1</v>
      </c>
      <c r="J3646">
        <v>277</v>
      </c>
      <c r="K3646">
        <v>0</v>
      </c>
      <c r="L3646">
        <v>387.8</v>
      </c>
    </row>
    <row r="3647" spans="1:12" x14ac:dyDescent="0.25">
      <c r="A3647" t="str">
        <f t="shared" si="788"/>
        <v>89301000</v>
      </c>
      <c r="B3647" t="str">
        <f t="shared" si="799"/>
        <v>89895000</v>
      </c>
      <c r="C3647" t="str">
        <f t="shared" si="800"/>
        <v>89895002</v>
      </c>
      <c r="D3647" t="str">
        <f t="shared" si="798"/>
        <v>809</v>
      </c>
      <c r="E3647" t="str">
        <f t="shared" si="801"/>
        <v>89301212</v>
      </c>
      <c r="F3647" t="str">
        <f>"6153182266"</f>
        <v>6153182266</v>
      </c>
      <c r="G3647" s="1">
        <v>44672</v>
      </c>
      <c r="H3647" t="str">
        <f>"89180"</f>
        <v>89180</v>
      </c>
      <c r="I3647">
        <v>2</v>
      </c>
      <c r="J3647">
        <v>752</v>
      </c>
      <c r="K3647">
        <v>0</v>
      </c>
      <c r="L3647">
        <v>1052.8</v>
      </c>
    </row>
    <row r="3648" spans="1:12" x14ac:dyDescent="0.25">
      <c r="A3648" t="str">
        <f t="shared" si="788"/>
        <v>89301000</v>
      </c>
      <c r="B3648" t="str">
        <f t="shared" si="799"/>
        <v>89895000</v>
      </c>
      <c r="C3648" t="str">
        <f t="shared" si="800"/>
        <v>89895002</v>
      </c>
      <c r="D3648" t="str">
        <f t="shared" si="798"/>
        <v>809</v>
      </c>
      <c r="E3648" t="str">
        <f t="shared" si="801"/>
        <v>89301212</v>
      </c>
      <c r="F3648" t="str">
        <f>"6153182266"</f>
        <v>6153182266</v>
      </c>
      <c r="G3648" s="1">
        <v>44672</v>
      </c>
      <c r="H3648" t="str">
        <f>"89512"</f>
        <v>89512</v>
      </c>
      <c r="I3648">
        <v>1</v>
      </c>
      <c r="J3648">
        <v>277</v>
      </c>
      <c r="K3648">
        <v>0</v>
      </c>
      <c r="L3648">
        <v>387.8</v>
      </c>
    </row>
    <row r="3649" spans="1:12" x14ac:dyDescent="0.25">
      <c r="A3649" t="str">
        <f t="shared" si="788"/>
        <v>89301000</v>
      </c>
      <c r="B3649" t="str">
        <f t="shared" si="799"/>
        <v>89895000</v>
      </c>
      <c r="C3649" t="str">
        <f t="shared" si="800"/>
        <v>89895002</v>
      </c>
      <c r="D3649" t="str">
        <f t="shared" si="798"/>
        <v>809</v>
      </c>
      <c r="E3649" t="str">
        <f t="shared" si="801"/>
        <v>89301212</v>
      </c>
      <c r="F3649" t="str">
        <f>"6853150865"</f>
        <v>6853150865</v>
      </c>
      <c r="G3649" s="1">
        <v>44680</v>
      </c>
      <c r="H3649" t="str">
        <f>"89513"</f>
        <v>89513</v>
      </c>
      <c r="I3649">
        <v>1</v>
      </c>
      <c r="J3649">
        <v>371</v>
      </c>
      <c r="K3649">
        <v>0</v>
      </c>
      <c r="L3649">
        <v>519.4</v>
      </c>
    </row>
    <row r="3650" spans="1:12" x14ac:dyDescent="0.25">
      <c r="A3650" t="str">
        <f t="shared" ref="A3650:A3713" si="802">"89301000"</f>
        <v>89301000</v>
      </c>
      <c r="B3650" t="str">
        <f t="shared" si="799"/>
        <v>89895000</v>
      </c>
      <c r="C3650" t="str">
        <f t="shared" si="800"/>
        <v>89895002</v>
      </c>
      <c r="D3650" t="str">
        <f t="shared" si="798"/>
        <v>809</v>
      </c>
      <c r="E3650" t="str">
        <f t="shared" si="801"/>
        <v>89301212</v>
      </c>
      <c r="F3650" t="str">
        <f>"6853150865"</f>
        <v>6853150865</v>
      </c>
      <c r="G3650" s="1">
        <v>44680</v>
      </c>
      <c r="H3650" t="str">
        <f>"89514"</f>
        <v>89514</v>
      </c>
      <c r="I3650">
        <v>1</v>
      </c>
      <c r="J3650">
        <v>371</v>
      </c>
      <c r="K3650">
        <v>0</v>
      </c>
      <c r="L3650">
        <v>519.4</v>
      </c>
    </row>
    <row r="3651" spans="1:12" x14ac:dyDescent="0.25">
      <c r="A3651" t="str">
        <f t="shared" si="802"/>
        <v>89301000</v>
      </c>
      <c r="B3651" t="str">
        <f t="shared" si="799"/>
        <v>89895000</v>
      </c>
      <c r="C3651" t="str">
        <f t="shared" si="800"/>
        <v>89895002</v>
      </c>
      <c r="D3651" t="str">
        <f t="shared" si="798"/>
        <v>809</v>
      </c>
      <c r="E3651" t="str">
        <f t="shared" si="801"/>
        <v>89301212</v>
      </c>
      <c r="F3651" t="str">
        <f>"6859140233"</f>
        <v>6859140233</v>
      </c>
      <c r="G3651" s="1">
        <v>44670</v>
      </c>
      <c r="H3651" t="str">
        <f>"89512"</f>
        <v>89512</v>
      </c>
      <c r="I3651">
        <v>1</v>
      </c>
      <c r="J3651">
        <v>277</v>
      </c>
      <c r="K3651">
        <v>0</v>
      </c>
      <c r="L3651">
        <v>387.8</v>
      </c>
    </row>
    <row r="3652" spans="1:12" x14ac:dyDescent="0.25">
      <c r="A3652" t="str">
        <f t="shared" si="802"/>
        <v>89301000</v>
      </c>
      <c r="B3652" t="str">
        <f t="shared" si="799"/>
        <v>89895000</v>
      </c>
      <c r="C3652" t="str">
        <f t="shared" si="800"/>
        <v>89895002</v>
      </c>
      <c r="D3652" t="str">
        <f t="shared" si="798"/>
        <v>809</v>
      </c>
      <c r="E3652" t="str">
        <f t="shared" si="801"/>
        <v>89301212</v>
      </c>
      <c r="F3652" t="str">
        <f>"6859140233"</f>
        <v>6859140233</v>
      </c>
      <c r="G3652" s="1">
        <v>44670</v>
      </c>
      <c r="H3652" t="str">
        <f>"09511"</f>
        <v>09511</v>
      </c>
      <c r="I3652">
        <v>1</v>
      </c>
      <c r="J3652">
        <v>43</v>
      </c>
      <c r="K3652">
        <v>0</v>
      </c>
      <c r="L3652">
        <v>60.2</v>
      </c>
    </row>
    <row r="3653" spans="1:12" x14ac:dyDescent="0.25">
      <c r="A3653" t="str">
        <f t="shared" si="802"/>
        <v>89301000</v>
      </c>
      <c r="B3653" t="str">
        <f t="shared" si="799"/>
        <v>89895000</v>
      </c>
      <c r="C3653" t="str">
        <f t="shared" si="800"/>
        <v>89895002</v>
      </c>
      <c r="D3653" t="str">
        <f t="shared" si="798"/>
        <v>809</v>
      </c>
      <c r="E3653" t="str">
        <f t="shared" si="801"/>
        <v>89301212</v>
      </c>
      <c r="F3653" t="str">
        <f>"6859140233"</f>
        <v>6859140233</v>
      </c>
      <c r="G3653" s="1">
        <v>44670</v>
      </c>
      <c r="H3653" t="str">
        <f>"89513"</f>
        <v>89513</v>
      </c>
      <c r="I3653">
        <v>1</v>
      </c>
      <c r="J3653">
        <v>371</v>
      </c>
      <c r="K3653">
        <v>0</v>
      </c>
      <c r="L3653">
        <v>519.4</v>
      </c>
    </row>
    <row r="3654" spans="1:12" x14ac:dyDescent="0.25">
      <c r="A3654" t="str">
        <f t="shared" si="802"/>
        <v>89301000</v>
      </c>
      <c r="B3654" t="str">
        <f t="shared" si="799"/>
        <v>89895000</v>
      </c>
      <c r="C3654" t="str">
        <f t="shared" si="800"/>
        <v>89895002</v>
      </c>
      <c r="D3654" t="str">
        <f t="shared" si="798"/>
        <v>809</v>
      </c>
      <c r="E3654" t="str">
        <f t="shared" si="801"/>
        <v>89301212</v>
      </c>
      <c r="F3654" t="str">
        <f>"6859140233"</f>
        <v>6859140233</v>
      </c>
      <c r="G3654" s="1">
        <v>44670</v>
      </c>
      <c r="H3654" t="str">
        <f>"89514"</f>
        <v>89514</v>
      </c>
      <c r="I3654">
        <v>1</v>
      </c>
      <c r="J3654">
        <v>371</v>
      </c>
      <c r="K3654">
        <v>0</v>
      </c>
      <c r="L3654">
        <v>519.4</v>
      </c>
    </row>
    <row r="3655" spans="1:12" x14ac:dyDescent="0.25">
      <c r="A3655" t="str">
        <f t="shared" si="802"/>
        <v>89301000</v>
      </c>
      <c r="B3655" t="str">
        <f t="shared" si="799"/>
        <v>89895000</v>
      </c>
      <c r="C3655" t="str">
        <f t="shared" si="800"/>
        <v>89895002</v>
      </c>
      <c r="D3655" t="str">
        <f t="shared" si="798"/>
        <v>809</v>
      </c>
      <c r="E3655" t="str">
        <f t="shared" si="801"/>
        <v>89301212</v>
      </c>
      <c r="F3655" t="str">
        <f>"6960223743"</f>
        <v>6960223743</v>
      </c>
      <c r="G3655" s="1">
        <v>44659</v>
      </c>
      <c r="H3655" t="str">
        <f>"89180"</f>
        <v>89180</v>
      </c>
      <c r="I3655">
        <v>2</v>
      </c>
      <c r="J3655">
        <v>752</v>
      </c>
      <c r="K3655">
        <v>0</v>
      </c>
      <c r="L3655">
        <v>1052.8</v>
      </c>
    </row>
    <row r="3656" spans="1:12" x14ac:dyDescent="0.25">
      <c r="A3656" t="str">
        <f t="shared" si="802"/>
        <v>89301000</v>
      </c>
      <c r="B3656" t="str">
        <f t="shared" si="799"/>
        <v>89895000</v>
      </c>
      <c r="C3656" t="str">
        <f t="shared" si="800"/>
        <v>89895002</v>
      </c>
      <c r="D3656" t="str">
        <f t="shared" si="798"/>
        <v>809</v>
      </c>
      <c r="E3656" t="str">
        <f t="shared" si="801"/>
        <v>89301212</v>
      </c>
      <c r="F3656" t="str">
        <f>"6960223743"</f>
        <v>6960223743</v>
      </c>
      <c r="G3656" s="1">
        <v>44659</v>
      </c>
      <c r="H3656" t="str">
        <f>"89512"</f>
        <v>89512</v>
      </c>
      <c r="I3656">
        <v>1</v>
      </c>
      <c r="J3656">
        <v>277</v>
      </c>
      <c r="K3656">
        <v>0</v>
      </c>
      <c r="L3656">
        <v>387.8</v>
      </c>
    </row>
    <row r="3657" spans="1:12" x14ac:dyDescent="0.25">
      <c r="A3657" t="str">
        <f t="shared" si="802"/>
        <v>89301000</v>
      </c>
      <c r="B3657" t="str">
        <f t="shared" si="799"/>
        <v>89895000</v>
      </c>
      <c r="C3657" t="str">
        <f t="shared" si="800"/>
        <v>89895002</v>
      </c>
      <c r="D3657" t="str">
        <f t="shared" si="798"/>
        <v>809</v>
      </c>
      <c r="E3657" t="str">
        <f t="shared" si="801"/>
        <v>89301212</v>
      </c>
      <c r="F3657" t="str">
        <f>"6960223743"</f>
        <v>6960223743</v>
      </c>
      <c r="G3657" s="1">
        <v>44659</v>
      </c>
      <c r="H3657" t="str">
        <f>"09511"</f>
        <v>09511</v>
      </c>
      <c r="I3657">
        <v>1</v>
      </c>
      <c r="J3657">
        <v>43</v>
      </c>
      <c r="K3657">
        <v>0</v>
      </c>
      <c r="L3657">
        <v>60.2</v>
      </c>
    </row>
    <row r="3658" spans="1:12" x14ac:dyDescent="0.25">
      <c r="A3658" t="str">
        <f t="shared" si="802"/>
        <v>89301000</v>
      </c>
      <c r="B3658" t="str">
        <f>"89434000"</f>
        <v>89434000</v>
      </c>
      <c r="C3658" t="str">
        <f>"89434000"</f>
        <v>89434000</v>
      </c>
      <c r="D3658" t="str">
        <f t="shared" si="798"/>
        <v>809</v>
      </c>
      <c r="E3658" t="str">
        <f t="shared" si="801"/>
        <v>89301212</v>
      </c>
      <c r="F3658" t="str">
        <f>"526230187"</f>
        <v>526230187</v>
      </c>
      <c r="G3658" s="1">
        <v>44652</v>
      </c>
      <c r="H3658" t="str">
        <f>"89513"</f>
        <v>89513</v>
      </c>
      <c r="I3658">
        <v>1</v>
      </c>
      <c r="J3658">
        <v>371</v>
      </c>
      <c r="K3658">
        <v>0</v>
      </c>
      <c r="L3658">
        <v>519.4</v>
      </c>
    </row>
    <row r="3659" spans="1:12" x14ac:dyDescent="0.25">
      <c r="A3659" t="str">
        <f t="shared" si="802"/>
        <v>89301000</v>
      </c>
      <c r="B3659" t="str">
        <f>"89434000"</f>
        <v>89434000</v>
      </c>
      <c r="C3659" t="str">
        <f>"89434000"</f>
        <v>89434000</v>
      </c>
      <c r="D3659" t="str">
        <f t="shared" si="798"/>
        <v>809</v>
      </c>
      <c r="E3659" t="str">
        <f t="shared" si="801"/>
        <v>89301212</v>
      </c>
      <c r="F3659" t="str">
        <f>"526230187"</f>
        <v>526230187</v>
      </c>
      <c r="G3659" s="1">
        <v>44652</v>
      </c>
      <c r="H3659" t="str">
        <f>"89514"</f>
        <v>89514</v>
      </c>
      <c r="I3659">
        <v>1</v>
      </c>
      <c r="J3659">
        <v>371</v>
      </c>
      <c r="K3659">
        <v>0</v>
      </c>
      <c r="L3659">
        <v>519.4</v>
      </c>
    </row>
    <row r="3660" spans="1:12" x14ac:dyDescent="0.25">
      <c r="A3660" t="str">
        <f t="shared" si="802"/>
        <v>89301000</v>
      </c>
      <c r="B3660" t="str">
        <f>"89511000"</f>
        <v>89511000</v>
      </c>
      <c r="C3660" t="str">
        <f>"89511001"</f>
        <v>89511001</v>
      </c>
      <c r="D3660" t="str">
        <f t="shared" si="798"/>
        <v>809</v>
      </c>
      <c r="E3660" t="str">
        <f t="shared" si="801"/>
        <v>89301212</v>
      </c>
      <c r="F3660" t="str">
        <f>"6159050755"</f>
        <v>6159050755</v>
      </c>
      <c r="G3660" s="1">
        <v>44664</v>
      </c>
      <c r="H3660" t="str">
        <f>"89513"</f>
        <v>89513</v>
      </c>
      <c r="I3660">
        <v>1</v>
      </c>
      <c r="J3660">
        <v>371</v>
      </c>
      <c r="K3660">
        <v>0</v>
      </c>
      <c r="L3660">
        <v>519.4</v>
      </c>
    </row>
    <row r="3661" spans="1:12" x14ac:dyDescent="0.25">
      <c r="A3661" t="str">
        <f t="shared" si="802"/>
        <v>89301000</v>
      </c>
      <c r="B3661" t="str">
        <f>"89511000"</f>
        <v>89511000</v>
      </c>
      <c r="C3661" t="str">
        <f>"89511001"</f>
        <v>89511001</v>
      </c>
      <c r="D3661" t="str">
        <f t="shared" si="798"/>
        <v>809</v>
      </c>
      <c r="E3661" t="str">
        <f t="shared" si="801"/>
        <v>89301212</v>
      </c>
      <c r="F3661" t="str">
        <f>"6159050755"</f>
        <v>6159050755</v>
      </c>
      <c r="G3661" s="1">
        <v>44664</v>
      </c>
      <c r="H3661" t="str">
        <f>"89514"</f>
        <v>89514</v>
      </c>
      <c r="I3661">
        <v>1</v>
      </c>
      <c r="J3661">
        <v>371</v>
      </c>
      <c r="K3661">
        <v>0</v>
      </c>
      <c r="L3661">
        <v>519.4</v>
      </c>
    </row>
    <row r="3662" spans="1:12" x14ac:dyDescent="0.25">
      <c r="A3662" t="str">
        <f t="shared" si="802"/>
        <v>89301000</v>
      </c>
      <c r="B3662" t="str">
        <f t="shared" ref="B3662:B3693" si="803">"82083000"</f>
        <v>82083000</v>
      </c>
      <c r="C3662" t="str">
        <f>"82083102"</f>
        <v>82083102</v>
      </c>
      <c r="D3662" t="str">
        <f>"801"</f>
        <v>801</v>
      </c>
      <c r="E3662" t="str">
        <f>"89301082"</f>
        <v>89301082</v>
      </c>
      <c r="F3662" t="str">
        <f>"8659284568"</f>
        <v>8659284568</v>
      </c>
      <c r="G3662" s="1">
        <v>44657</v>
      </c>
      <c r="H3662" t="str">
        <f>"93129"</f>
        <v>93129</v>
      </c>
      <c r="I3662">
        <v>1</v>
      </c>
      <c r="J3662">
        <v>168</v>
      </c>
      <c r="K3662">
        <v>0</v>
      </c>
      <c r="L3662">
        <v>131.04</v>
      </c>
    </row>
    <row r="3663" spans="1:12" x14ac:dyDescent="0.25">
      <c r="A3663" t="str">
        <f t="shared" si="802"/>
        <v>89301000</v>
      </c>
      <c r="B3663" t="str">
        <f t="shared" si="803"/>
        <v>82083000</v>
      </c>
      <c r="C3663" t="str">
        <f>"82083102"</f>
        <v>82083102</v>
      </c>
      <c r="D3663" t="str">
        <f>"801"</f>
        <v>801</v>
      </c>
      <c r="E3663" t="str">
        <f>"89301082"</f>
        <v>89301082</v>
      </c>
      <c r="F3663" t="str">
        <f>"8659284568"</f>
        <v>8659284568</v>
      </c>
      <c r="G3663" s="1">
        <v>44657</v>
      </c>
      <c r="H3663" t="str">
        <f>"93133"</f>
        <v>93133</v>
      </c>
      <c r="I3663">
        <v>1</v>
      </c>
      <c r="J3663">
        <v>168</v>
      </c>
      <c r="K3663">
        <v>0</v>
      </c>
      <c r="L3663">
        <v>131.04</v>
      </c>
    </row>
    <row r="3664" spans="1:12" x14ac:dyDescent="0.25">
      <c r="A3664" t="str">
        <f t="shared" si="802"/>
        <v>89301000</v>
      </c>
      <c r="B3664" t="str">
        <f t="shared" si="803"/>
        <v>82083000</v>
      </c>
      <c r="C3664" t="str">
        <f>"82083102"</f>
        <v>82083102</v>
      </c>
      <c r="D3664" t="str">
        <f>"801"</f>
        <v>801</v>
      </c>
      <c r="E3664" t="str">
        <f>"89301082"</f>
        <v>89301082</v>
      </c>
      <c r="F3664" t="str">
        <f>"8659284568"</f>
        <v>8659284568</v>
      </c>
      <c r="G3664" s="1">
        <v>44657</v>
      </c>
      <c r="H3664" t="str">
        <f>"93149"</f>
        <v>93149</v>
      </c>
      <c r="I3664">
        <v>1</v>
      </c>
      <c r="J3664">
        <v>204</v>
      </c>
      <c r="K3664">
        <v>0</v>
      </c>
      <c r="L3664">
        <v>159.12</v>
      </c>
    </row>
    <row r="3665" spans="1:12" x14ac:dyDescent="0.25">
      <c r="A3665" t="str">
        <f t="shared" si="802"/>
        <v>89301000</v>
      </c>
      <c r="B3665" t="str">
        <f t="shared" si="803"/>
        <v>82083000</v>
      </c>
      <c r="C3665" t="str">
        <f>"82083102"</f>
        <v>82083102</v>
      </c>
      <c r="D3665" t="str">
        <f>"801"</f>
        <v>801</v>
      </c>
      <c r="E3665" t="str">
        <f>"89301082"</f>
        <v>89301082</v>
      </c>
      <c r="F3665" t="str">
        <f>"8659284568"</f>
        <v>8659284568</v>
      </c>
      <c r="G3665" s="1">
        <v>44657</v>
      </c>
      <c r="H3665" t="str">
        <f>"93177"</f>
        <v>93177</v>
      </c>
      <c r="I3665">
        <v>1</v>
      </c>
      <c r="J3665">
        <v>178</v>
      </c>
      <c r="K3665">
        <v>0</v>
      </c>
      <c r="L3665">
        <v>138.84</v>
      </c>
    </row>
    <row r="3666" spans="1:12" x14ac:dyDescent="0.25">
      <c r="A3666" t="str">
        <f t="shared" si="802"/>
        <v>89301000</v>
      </c>
      <c r="B3666" t="str">
        <f t="shared" si="803"/>
        <v>82083000</v>
      </c>
      <c r="C3666" t="str">
        <f>"82083111"</f>
        <v>82083111</v>
      </c>
      <c r="D3666" t="str">
        <f>"815"</f>
        <v>815</v>
      </c>
      <c r="E3666" t="str">
        <f>"89301167"</f>
        <v>89301167</v>
      </c>
      <c r="F3666" t="str">
        <f>"530825172"</f>
        <v>530825172</v>
      </c>
      <c r="G3666" s="1">
        <v>44658</v>
      </c>
      <c r="H3666" t="str">
        <f>"93265"</f>
        <v>93265</v>
      </c>
      <c r="I3666">
        <v>1</v>
      </c>
      <c r="J3666">
        <v>655</v>
      </c>
      <c r="K3666">
        <v>0</v>
      </c>
      <c r="L3666">
        <v>510.9</v>
      </c>
    </row>
    <row r="3667" spans="1:12" x14ac:dyDescent="0.25">
      <c r="A3667" t="str">
        <f t="shared" si="802"/>
        <v>89301000</v>
      </c>
      <c r="B3667" t="str">
        <f t="shared" si="803"/>
        <v>82083000</v>
      </c>
      <c r="C3667" t="str">
        <f t="shared" ref="C3667:C3711" si="804">"82083102"</f>
        <v>82083102</v>
      </c>
      <c r="D3667" t="str">
        <f t="shared" ref="D3667:D3711" si="805">"801"</f>
        <v>801</v>
      </c>
      <c r="E3667" t="str">
        <f>"89301082"</f>
        <v>89301082</v>
      </c>
      <c r="F3667" t="str">
        <f>"8659284568"</f>
        <v>8659284568</v>
      </c>
      <c r="G3667" s="1">
        <v>44657</v>
      </c>
      <c r="H3667" t="str">
        <f>"09119"</f>
        <v>09119</v>
      </c>
      <c r="I3667">
        <v>1</v>
      </c>
      <c r="J3667">
        <v>42</v>
      </c>
      <c r="K3667">
        <v>0</v>
      </c>
      <c r="L3667">
        <v>32.76</v>
      </c>
    </row>
    <row r="3668" spans="1:12" x14ac:dyDescent="0.25">
      <c r="A3668" t="str">
        <f t="shared" si="802"/>
        <v>89301000</v>
      </c>
      <c r="B3668" t="str">
        <f t="shared" si="803"/>
        <v>82083000</v>
      </c>
      <c r="C3668" t="str">
        <f t="shared" si="804"/>
        <v>82083102</v>
      </c>
      <c r="D3668" t="str">
        <f t="shared" si="805"/>
        <v>801</v>
      </c>
      <c r="E3668" t="str">
        <f>"89301082"</f>
        <v>89301082</v>
      </c>
      <c r="F3668" t="str">
        <f>"8659284568"</f>
        <v>8659284568</v>
      </c>
      <c r="G3668" s="1">
        <v>44657</v>
      </c>
      <c r="H3668" t="str">
        <f>"97111"</f>
        <v>97111</v>
      </c>
      <c r="I3668">
        <v>1</v>
      </c>
      <c r="J3668">
        <v>18</v>
      </c>
      <c r="K3668">
        <v>0</v>
      </c>
      <c r="L3668">
        <v>14.04</v>
      </c>
    </row>
    <row r="3669" spans="1:12" x14ac:dyDescent="0.25">
      <c r="A3669" t="str">
        <f t="shared" si="802"/>
        <v>89301000</v>
      </c>
      <c r="B3669" t="str">
        <f t="shared" si="803"/>
        <v>82083000</v>
      </c>
      <c r="C3669" t="str">
        <f t="shared" si="804"/>
        <v>82083102</v>
      </c>
      <c r="D3669" t="str">
        <f t="shared" si="805"/>
        <v>801</v>
      </c>
      <c r="E3669" t="str">
        <f t="shared" ref="E3669:E3711" si="806">"89301167"</f>
        <v>89301167</v>
      </c>
      <c r="F3669" t="str">
        <f t="shared" ref="F3669:F3711" si="807">"530825172"</f>
        <v>530825172</v>
      </c>
      <c r="G3669" s="1">
        <v>44665</v>
      </c>
      <c r="H3669" t="str">
        <f>"09119"</f>
        <v>09119</v>
      </c>
      <c r="I3669">
        <v>1</v>
      </c>
      <c r="J3669">
        <v>42</v>
      </c>
      <c r="K3669">
        <v>0</v>
      </c>
      <c r="L3669">
        <v>32.76</v>
      </c>
    </row>
    <row r="3670" spans="1:12" x14ac:dyDescent="0.25">
      <c r="A3670" t="str">
        <f t="shared" si="802"/>
        <v>89301000</v>
      </c>
      <c r="B3670" t="str">
        <f t="shared" si="803"/>
        <v>82083000</v>
      </c>
      <c r="C3670" t="str">
        <f t="shared" si="804"/>
        <v>82083102</v>
      </c>
      <c r="D3670" t="str">
        <f t="shared" si="805"/>
        <v>801</v>
      </c>
      <c r="E3670" t="str">
        <f t="shared" si="806"/>
        <v>89301167</v>
      </c>
      <c r="F3670" t="str">
        <f t="shared" si="807"/>
        <v>530825172</v>
      </c>
      <c r="G3670" s="1">
        <v>44665</v>
      </c>
      <c r="H3670" t="str">
        <f>"81329"</f>
        <v>81329</v>
      </c>
      <c r="I3670">
        <v>1</v>
      </c>
      <c r="J3670">
        <v>16</v>
      </c>
      <c r="K3670">
        <v>0</v>
      </c>
      <c r="L3670">
        <v>12.48</v>
      </c>
    </row>
    <row r="3671" spans="1:12" x14ac:dyDescent="0.25">
      <c r="A3671" t="str">
        <f t="shared" si="802"/>
        <v>89301000</v>
      </c>
      <c r="B3671" t="str">
        <f t="shared" si="803"/>
        <v>82083000</v>
      </c>
      <c r="C3671" t="str">
        <f t="shared" si="804"/>
        <v>82083102</v>
      </c>
      <c r="D3671" t="str">
        <f t="shared" si="805"/>
        <v>801</v>
      </c>
      <c r="E3671" t="str">
        <f t="shared" si="806"/>
        <v>89301167</v>
      </c>
      <c r="F3671" t="str">
        <f t="shared" si="807"/>
        <v>530825172</v>
      </c>
      <c r="G3671" s="1">
        <v>44665</v>
      </c>
      <c r="H3671" t="str">
        <f>"81337"</f>
        <v>81337</v>
      </c>
      <c r="I3671">
        <v>1</v>
      </c>
      <c r="J3671">
        <v>19</v>
      </c>
      <c r="K3671">
        <v>0</v>
      </c>
      <c r="L3671">
        <v>14.82</v>
      </c>
    </row>
    <row r="3672" spans="1:12" x14ac:dyDescent="0.25">
      <c r="A3672" t="str">
        <f t="shared" si="802"/>
        <v>89301000</v>
      </c>
      <c r="B3672" t="str">
        <f t="shared" si="803"/>
        <v>82083000</v>
      </c>
      <c r="C3672" t="str">
        <f t="shared" si="804"/>
        <v>82083102</v>
      </c>
      <c r="D3672" t="str">
        <f t="shared" si="805"/>
        <v>801</v>
      </c>
      <c r="E3672" t="str">
        <f t="shared" si="806"/>
        <v>89301167</v>
      </c>
      <c r="F3672" t="str">
        <f t="shared" si="807"/>
        <v>530825172</v>
      </c>
      <c r="G3672" s="1">
        <v>44665</v>
      </c>
      <c r="H3672" t="str">
        <f>"81357"</f>
        <v>81357</v>
      </c>
      <c r="I3672">
        <v>1</v>
      </c>
      <c r="J3672">
        <v>19</v>
      </c>
      <c r="K3672">
        <v>0</v>
      </c>
      <c r="L3672">
        <v>14.82</v>
      </c>
    </row>
    <row r="3673" spans="1:12" x14ac:dyDescent="0.25">
      <c r="A3673" t="str">
        <f t="shared" si="802"/>
        <v>89301000</v>
      </c>
      <c r="B3673" t="str">
        <f t="shared" si="803"/>
        <v>82083000</v>
      </c>
      <c r="C3673" t="str">
        <f t="shared" si="804"/>
        <v>82083102</v>
      </c>
      <c r="D3673" t="str">
        <f t="shared" si="805"/>
        <v>801</v>
      </c>
      <c r="E3673" t="str">
        <f t="shared" si="806"/>
        <v>89301167</v>
      </c>
      <c r="F3673" t="str">
        <f t="shared" si="807"/>
        <v>530825172</v>
      </c>
      <c r="G3673" s="1">
        <v>44665</v>
      </c>
      <c r="H3673" t="str">
        <f>"81361"</f>
        <v>81361</v>
      </c>
      <c r="I3673">
        <v>1</v>
      </c>
      <c r="J3673">
        <v>17</v>
      </c>
      <c r="K3673">
        <v>0</v>
      </c>
      <c r="L3673">
        <v>13.26</v>
      </c>
    </row>
    <row r="3674" spans="1:12" x14ac:dyDescent="0.25">
      <c r="A3674" t="str">
        <f t="shared" si="802"/>
        <v>89301000</v>
      </c>
      <c r="B3674" t="str">
        <f t="shared" si="803"/>
        <v>82083000</v>
      </c>
      <c r="C3674" t="str">
        <f t="shared" si="804"/>
        <v>82083102</v>
      </c>
      <c r="D3674" t="str">
        <f t="shared" si="805"/>
        <v>801</v>
      </c>
      <c r="E3674" t="str">
        <f t="shared" si="806"/>
        <v>89301167</v>
      </c>
      <c r="F3674" t="str">
        <f t="shared" si="807"/>
        <v>530825172</v>
      </c>
      <c r="G3674" s="1">
        <v>44665</v>
      </c>
      <c r="H3674" t="str">
        <f>"81365"</f>
        <v>81365</v>
      </c>
      <c r="I3674">
        <v>1</v>
      </c>
      <c r="J3674">
        <v>16</v>
      </c>
      <c r="K3674">
        <v>0</v>
      </c>
      <c r="L3674">
        <v>12.48</v>
      </c>
    </row>
    <row r="3675" spans="1:12" x14ac:dyDescent="0.25">
      <c r="A3675" t="str">
        <f t="shared" si="802"/>
        <v>89301000</v>
      </c>
      <c r="B3675" t="str">
        <f t="shared" si="803"/>
        <v>82083000</v>
      </c>
      <c r="C3675" t="str">
        <f t="shared" si="804"/>
        <v>82083102</v>
      </c>
      <c r="D3675" t="str">
        <f t="shared" si="805"/>
        <v>801</v>
      </c>
      <c r="E3675" t="str">
        <f t="shared" si="806"/>
        <v>89301167</v>
      </c>
      <c r="F3675" t="str">
        <f t="shared" si="807"/>
        <v>530825172</v>
      </c>
      <c r="G3675" s="1">
        <v>44665</v>
      </c>
      <c r="H3675" t="str">
        <f>"81383"</f>
        <v>81383</v>
      </c>
      <c r="I3675">
        <v>1</v>
      </c>
      <c r="J3675">
        <v>23</v>
      </c>
      <c r="K3675">
        <v>0</v>
      </c>
      <c r="L3675">
        <v>17.940000000000001</v>
      </c>
    </row>
    <row r="3676" spans="1:12" x14ac:dyDescent="0.25">
      <c r="A3676" t="str">
        <f t="shared" si="802"/>
        <v>89301000</v>
      </c>
      <c r="B3676" t="str">
        <f t="shared" si="803"/>
        <v>82083000</v>
      </c>
      <c r="C3676" t="str">
        <f t="shared" si="804"/>
        <v>82083102</v>
      </c>
      <c r="D3676" t="str">
        <f t="shared" si="805"/>
        <v>801</v>
      </c>
      <c r="E3676" t="str">
        <f t="shared" si="806"/>
        <v>89301167</v>
      </c>
      <c r="F3676" t="str">
        <f t="shared" si="807"/>
        <v>530825172</v>
      </c>
      <c r="G3676" s="1">
        <v>44665</v>
      </c>
      <c r="H3676" t="str">
        <f>"81393"</f>
        <v>81393</v>
      </c>
      <c r="I3676">
        <v>1</v>
      </c>
      <c r="J3676">
        <v>24</v>
      </c>
      <c r="K3676">
        <v>0</v>
      </c>
      <c r="L3676">
        <v>18.72</v>
      </c>
    </row>
    <row r="3677" spans="1:12" x14ac:dyDescent="0.25">
      <c r="A3677" t="str">
        <f t="shared" si="802"/>
        <v>89301000</v>
      </c>
      <c r="B3677" t="str">
        <f t="shared" si="803"/>
        <v>82083000</v>
      </c>
      <c r="C3677" t="str">
        <f t="shared" si="804"/>
        <v>82083102</v>
      </c>
      <c r="D3677" t="str">
        <f t="shared" si="805"/>
        <v>801</v>
      </c>
      <c r="E3677" t="str">
        <f t="shared" si="806"/>
        <v>89301167</v>
      </c>
      <c r="F3677" t="str">
        <f t="shared" si="807"/>
        <v>530825172</v>
      </c>
      <c r="G3677" s="1">
        <v>44665</v>
      </c>
      <c r="H3677" t="str">
        <f>"81421"</f>
        <v>81421</v>
      </c>
      <c r="I3677">
        <v>1</v>
      </c>
      <c r="J3677">
        <v>19</v>
      </c>
      <c r="K3677">
        <v>0</v>
      </c>
      <c r="L3677">
        <v>14.82</v>
      </c>
    </row>
    <row r="3678" spans="1:12" x14ac:dyDescent="0.25">
      <c r="A3678" t="str">
        <f t="shared" si="802"/>
        <v>89301000</v>
      </c>
      <c r="B3678" t="str">
        <f t="shared" si="803"/>
        <v>82083000</v>
      </c>
      <c r="C3678" t="str">
        <f t="shared" si="804"/>
        <v>82083102</v>
      </c>
      <c r="D3678" t="str">
        <f t="shared" si="805"/>
        <v>801</v>
      </c>
      <c r="E3678" t="str">
        <f t="shared" si="806"/>
        <v>89301167</v>
      </c>
      <c r="F3678" t="str">
        <f t="shared" si="807"/>
        <v>530825172</v>
      </c>
      <c r="G3678" s="1">
        <v>44665</v>
      </c>
      <c r="H3678" t="str">
        <f>"81435"</f>
        <v>81435</v>
      </c>
      <c r="I3678">
        <v>1</v>
      </c>
      <c r="J3678">
        <v>22</v>
      </c>
      <c r="K3678">
        <v>0</v>
      </c>
      <c r="L3678">
        <v>17.16</v>
      </c>
    </row>
    <row r="3679" spans="1:12" x14ac:dyDescent="0.25">
      <c r="A3679" t="str">
        <f t="shared" si="802"/>
        <v>89301000</v>
      </c>
      <c r="B3679" t="str">
        <f t="shared" si="803"/>
        <v>82083000</v>
      </c>
      <c r="C3679" t="str">
        <f t="shared" si="804"/>
        <v>82083102</v>
      </c>
      <c r="D3679" t="str">
        <f t="shared" si="805"/>
        <v>801</v>
      </c>
      <c r="E3679" t="str">
        <f t="shared" si="806"/>
        <v>89301167</v>
      </c>
      <c r="F3679" t="str">
        <f t="shared" si="807"/>
        <v>530825172</v>
      </c>
      <c r="G3679" s="1">
        <v>44665</v>
      </c>
      <c r="H3679" t="str">
        <f>"81439"</f>
        <v>81439</v>
      </c>
      <c r="I3679">
        <v>1</v>
      </c>
      <c r="J3679">
        <v>16</v>
      </c>
      <c r="K3679">
        <v>0</v>
      </c>
      <c r="L3679">
        <v>12.48</v>
      </c>
    </row>
    <row r="3680" spans="1:12" x14ac:dyDescent="0.25">
      <c r="A3680" t="str">
        <f t="shared" si="802"/>
        <v>89301000</v>
      </c>
      <c r="B3680" t="str">
        <f t="shared" si="803"/>
        <v>82083000</v>
      </c>
      <c r="C3680" t="str">
        <f t="shared" si="804"/>
        <v>82083102</v>
      </c>
      <c r="D3680" t="str">
        <f t="shared" si="805"/>
        <v>801</v>
      </c>
      <c r="E3680" t="str">
        <f t="shared" si="806"/>
        <v>89301167</v>
      </c>
      <c r="F3680" t="str">
        <f t="shared" si="807"/>
        <v>530825172</v>
      </c>
      <c r="G3680" s="1">
        <v>44665</v>
      </c>
      <c r="H3680" t="str">
        <f>"81469"</f>
        <v>81469</v>
      </c>
      <c r="I3680">
        <v>1</v>
      </c>
      <c r="J3680">
        <v>16</v>
      </c>
      <c r="K3680">
        <v>0</v>
      </c>
      <c r="L3680">
        <v>12.48</v>
      </c>
    </row>
    <row r="3681" spans="1:12" x14ac:dyDescent="0.25">
      <c r="A3681" t="str">
        <f t="shared" si="802"/>
        <v>89301000</v>
      </c>
      <c r="B3681" t="str">
        <f t="shared" si="803"/>
        <v>82083000</v>
      </c>
      <c r="C3681" t="str">
        <f t="shared" si="804"/>
        <v>82083102</v>
      </c>
      <c r="D3681" t="str">
        <f t="shared" si="805"/>
        <v>801</v>
      </c>
      <c r="E3681" t="str">
        <f t="shared" si="806"/>
        <v>89301167</v>
      </c>
      <c r="F3681" t="str">
        <f t="shared" si="807"/>
        <v>530825172</v>
      </c>
      <c r="G3681" s="1">
        <v>44665</v>
      </c>
      <c r="H3681" t="str">
        <f>"81499"</f>
        <v>81499</v>
      </c>
      <c r="I3681">
        <v>1</v>
      </c>
      <c r="J3681">
        <v>18</v>
      </c>
      <c r="K3681">
        <v>0</v>
      </c>
      <c r="L3681">
        <v>14.04</v>
      </c>
    </row>
    <row r="3682" spans="1:12" x14ac:dyDescent="0.25">
      <c r="A3682" t="str">
        <f t="shared" si="802"/>
        <v>89301000</v>
      </c>
      <c r="B3682" t="str">
        <f t="shared" si="803"/>
        <v>82083000</v>
      </c>
      <c r="C3682" t="str">
        <f t="shared" si="804"/>
        <v>82083102</v>
      </c>
      <c r="D3682" t="str">
        <f t="shared" si="805"/>
        <v>801</v>
      </c>
      <c r="E3682" t="str">
        <f t="shared" si="806"/>
        <v>89301167</v>
      </c>
      <c r="F3682" t="str">
        <f t="shared" si="807"/>
        <v>530825172</v>
      </c>
      <c r="G3682" s="1">
        <v>44665</v>
      </c>
      <c r="H3682" t="str">
        <f>"81523"</f>
        <v>81523</v>
      </c>
      <c r="I3682">
        <v>1</v>
      </c>
      <c r="J3682">
        <v>23</v>
      </c>
      <c r="K3682">
        <v>0</v>
      </c>
      <c r="L3682">
        <v>17.940000000000001</v>
      </c>
    </row>
    <row r="3683" spans="1:12" x14ac:dyDescent="0.25">
      <c r="A3683" t="str">
        <f t="shared" si="802"/>
        <v>89301000</v>
      </c>
      <c r="B3683" t="str">
        <f t="shared" si="803"/>
        <v>82083000</v>
      </c>
      <c r="C3683" t="str">
        <f t="shared" si="804"/>
        <v>82083102</v>
      </c>
      <c r="D3683" t="str">
        <f t="shared" si="805"/>
        <v>801</v>
      </c>
      <c r="E3683" t="str">
        <f t="shared" si="806"/>
        <v>89301167</v>
      </c>
      <c r="F3683" t="str">
        <f t="shared" si="807"/>
        <v>530825172</v>
      </c>
      <c r="G3683" s="1">
        <v>44665</v>
      </c>
      <c r="H3683" t="str">
        <f>"81593"</f>
        <v>81593</v>
      </c>
      <c r="I3683">
        <v>1</v>
      </c>
      <c r="J3683">
        <v>22</v>
      </c>
      <c r="K3683">
        <v>0</v>
      </c>
      <c r="L3683">
        <v>17.16</v>
      </c>
    </row>
    <row r="3684" spans="1:12" x14ac:dyDescent="0.25">
      <c r="A3684" t="str">
        <f t="shared" si="802"/>
        <v>89301000</v>
      </c>
      <c r="B3684" t="str">
        <f t="shared" si="803"/>
        <v>82083000</v>
      </c>
      <c r="C3684" t="str">
        <f t="shared" si="804"/>
        <v>82083102</v>
      </c>
      <c r="D3684" t="str">
        <f t="shared" si="805"/>
        <v>801</v>
      </c>
      <c r="E3684" t="str">
        <f t="shared" si="806"/>
        <v>89301167</v>
      </c>
      <c r="F3684" t="str">
        <f t="shared" si="807"/>
        <v>530825172</v>
      </c>
      <c r="G3684" s="1">
        <v>44665</v>
      </c>
      <c r="H3684" t="str">
        <f>"81621"</f>
        <v>81621</v>
      </c>
      <c r="I3684">
        <v>1</v>
      </c>
      <c r="J3684">
        <v>19</v>
      </c>
      <c r="K3684">
        <v>0</v>
      </c>
      <c r="L3684">
        <v>14.82</v>
      </c>
    </row>
    <row r="3685" spans="1:12" x14ac:dyDescent="0.25">
      <c r="A3685" t="str">
        <f t="shared" si="802"/>
        <v>89301000</v>
      </c>
      <c r="B3685" t="str">
        <f t="shared" si="803"/>
        <v>82083000</v>
      </c>
      <c r="C3685" t="str">
        <f t="shared" si="804"/>
        <v>82083102</v>
      </c>
      <c r="D3685" t="str">
        <f t="shared" si="805"/>
        <v>801</v>
      </c>
      <c r="E3685" t="str">
        <f t="shared" si="806"/>
        <v>89301167</v>
      </c>
      <c r="F3685" t="str">
        <f t="shared" si="807"/>
        <v>530825172</v>
      </c>
      <c r="G3685" s="1">
        <v>44665</v>
      </c>
      <c r="H3685" t="str">
        <f>"81625"</f>
        <v>81625</v>
      </c>
      <c r="I3685">
        <v>1</v>
      </c>
      <c r="J3685">
        <v>20</v>
      </c>
      <c r="K3685">
        <v>0</v>
      </c>
      <c r="L3685">
        <v>15.6</v>
      </c>
    </row>
    <row r="3686" spans="1:12" x14ac:dyDescent="0.25">
      <c r="A3686" t="str">
        <f t="shared" si="802"/>
        <v>89301000</v>
      </c>
      <c r="B3686" t="str">
        <f t="shared" si="803"/>
        <v>82083000</v>
      </c>
      <c r="C3686" t="str">
        <f t="shared" si="804"/>
        <v>82083102</v>
      </c>
      <c r="D3686" t="str">
        <f t="shared" si="805"/>
        <v>801</v>
      </c>
      <c r="E3686" t="str">
        <f t="shared" si="806"/>
        <v>89301167</v>
      </c>
      <c r="F3686" t="str">
        <f t="shared" si="807"/>
        <v>530825172</v>
      </c>
      <c r="G3686" s="1">
        <v>44665</v>
      </c>
      <c r="H3686" t="str">
        <f>"91153"</f>
        <v>91153</v>
      </c>
      <c r="I3686">
        <v>1</v>
      </c>
      <c r="J3686">
        <v>152</v>
      </c>
      <c r="K3686">
        <v>0</v>
      </c>
      <c r="L3686">
        <v>118.56</v>
      </c>
    </row>
    <row r="3687" spans="1:12" x14ac:dyDescent="0.25">
      <c r="A3687" t="str">
        <f t="shared" si="802"/>
        <v>89301000</v>
      </c>
      <c r="B3687" t="str">
        <f t="shared" si="803"/>
        <v>82083000</v>
      </c>
      <c r="C3687" t="str">
        <f t="shared" si="804"/>
        <v>82083102</v>
      </c>
      <c r="D3687" t="str">
        <f t="shared" si="805"/>
        <v>801</v>
      </c>
      <c r="E3687" t="str">
        <f t="shared" si="806"/>
        <v>89301167</v>
      </c>
      <c r="F3687" t="str">
        <f t="shared" si="807"/>
        <v>530825172</v>
      </c>
      <c r="G3687" s="1">
        <v>44665</v>
      </c>
      <c r="H3687" t="str">
        <f>"96165"</f>
        <v>96165</v>
      </c>
      <c r="I3687">
        <v>1</v>
      </c>
      <c r="J3687">
        <v>47</v>
      </c>
      <c r="K3687">
        <v>0</v>
      </c>
      <c r="L3687">
        <v>36.659999999999997</v>
      </c>
    </row>
    <row r="3688" spans="1:12" x14ac:dyDescent="0.25">
      <c r="A3688" t="str">
        <f t="shared" si="802"/>
        <v>89301000</v>
      </c>
      <c r="B3688" t="str">
        <f t="shared" si="803"/>
        <v>82083000</v>
      </c>
      <c r="C3688" t="str">
        <f t="shared" si="804"/>
        <v>82083102</v>
      </c>
      <c r="D3688" t="str">
        <f t="shared" si="805"/>
        <v>801</v>
      </c>
      <c r="E3688" t="str">
        <f t="shared" si="806"/>
        <v>89301167</v>
      </c>
      <c r="F3688" t="str">
        <f t="shared" si="807"/>
        <v>530825172</v>
      </c>
      <c r="G3688" s="1">
        <v>44665</v>
      </c>
      <c r="H3688" t="str">
        <f>"96315"</f>
        <v>96315</v>
      </c>
      <c r="I3688">
        <v>1</v>
      </c>
      <c r="J3688">
        <v>29</v>
      </c>
      <c r="K3688">
        <v>0</v>
      </c>
      <c r="L3688">
        <v>22.62</v>
      </c>
    </row>
    <row r="3689" spans="1:12" x14ac:dyDescent="0.25">
      <c r="A3689" t="str">
        <f t="shared" si="802"/>
        <v>89301000</v>
      </c>
      <c r="B3689" t="str">
        <f t="shared" si="803"/>
        <v>82083000</v>
      </c>
      <c r="C3689" t="str">
        <f t="shared" si="804"/>
        <v>82083102</v>
      </c>
      <c r="D3689" t="str">
        <f t="shared" si="805"/>
        <v>801</v>
      </c>
      <c r="E3689" t="str">
        <f t="shared" si="806"/>
        <v>89301167</v>
      </c>
      <c r="F3689" t="str">
        <f t="shared" si="807"/>
        <v>530825172</v>
      </c>
      <c r="G3689" s="1">
        <v>44665</v>
      </c>
      <c r="H3689" t="str">
        <f>"96711"</f>
        <v>96711</v>
      </c>
      <c r="I3689">
        <v>1</v>
      </c>
      <c r="J3689">
        <v>27</v>
      </c>
      <c r="K3689">
        <v>0</v>
      </c>
      <c r="L3689">
        <v>21.06</v>
      </c>
    </row>
    <row r="3690" spans="1:12" x14ac:dyDescent="0.25">
      <c r="A3690" t="str">
        <f t="shared" si="802"/>
        <v>89301000</v>
      </c>
      <c r="B3690" t="str">
        <f t="shared" si="803"/>
        <v>82083000</v>
      </c>
      <c r="C3690" t="str">
        <f t="shared" si="804"/>
        <v>82083102</v>
      </c>
      <c r="D3690" t="str">
        <f t="shared" si="805"/>
        <v>801</v>
      </c>
      <c r="E3690" t="str">
        <f t="shared" si="806"/>
        <v>89301167</v>
      </c>
      <c r="F3690" t="str">
        <f t="shared" si="807"/>
        <v>530825172</v>
      </c>
      <c r="G3690" s="1">
        <v>44665</v>
      </c>
      <c r="H3690" t="str">
        <f>"96713"</f>
        <v>96713</v>
      </c>
      <c r="I3690">
        <v>1</v>
      </c>
      <c r="J3690">
        <v>14</v>
      </c>
      <c r="K3690">
        <v>0</v>
      </c>
      <c r="L3690">
        <v>10.92</v>
      </c>
    </row>
    <row r="3691" spans="1:12" x14ac:dyDescent="0.25">
      <c r="A3691" t="str">
        <f t="shared" si="802"/>
        <v>89301000</v>
      </c>
      <c r="B3691" t="str">
        <f t="shared" si="803"/>
        <v>82083000</v>
      </c>
      <c r="C3691" t="str">
        <f t="shared" si="804"/>
        <v>82083102</v>
      </c>
      <c r="D3691" t="str">
        <f t="shared" si="805"/>
        <v>801</v>
      </c>
      <c r="E3691" t="str">
        <f t="shared" si="806"/>
        <v>89301167</v>
      </c>
      <c r="F3691" t="str">
        <f t="shared" si="807"/>
        <v>530825172</v>
      </c>
      <c r="G3691" s="1">
        <v>44665</v>
      </c>
      <c r="H3691" t="str">
        <f>"97111"</f>
        <v>97111</v>
      </c>
      <c r="I3691">
        <v>1</v>
      </c>
      <c r="J3691">
        <v>18</v>
      </c>
      <c r="K3691">
        <v>0</v>
      </c>
      <c r="L3691">
        <v>14.04</v>
      </c>
    </row>
    <row r="3692" spans="1:12" x14ac:dyDescent="0.25">
      <c r="A3692" t="str">
        <f t="shared" si="802"/>
        <v>89301000</v>
      </c>
      <c r="B3692" t="str">
        <f t="shared" si="803"/>
        <v>82083000</v>
      </c>
      <c r="C3692" t="str">
        <f t="shared" si="804"/>
        <v>82083102</v>
      </c>
      <c r="D3692" t="str">
        <f t="shared" si="805"/>
        <v>801</v>
      </c>
      <c r="E3692" t="str">
        <f t="shared" si="806"/>
        <v>89301167</v>
      </c>
      <c r="F3692" t="str">
        <f t="shared" si="807"/>
        <v>530825172</v>
      </c>
      <c r="G3692" s="1">
        <v>44658</v>
      </c>
      <c r="H3692" t="str">
        <f>"09119"</f>
        <v>09119</v>
      </c>
      <c r="I3692">
        <v>1</v>
      </c>
      <c r="J3692">
        <v>42</v>
      </c>
      <c r="K3692">
        <v>0</v>
      </c>
      <c r="L3692">
        <v>32.76</v>
      </c>
    </row>
    <row r="3693" spans="1:12" x14ac:dyDescent="0.25">
      <c r="A3693" t="str">
        <f t="shared" si="802"/>
        <v>89301000</v>
      </c>
      <c r="B3693" t="str">
        <f t="shared" si="803"/>
        <v>82083000</v>
      </c>
      <c r="C3693" t="str">
        <f t="shared" si="804"/>
        <v>82083102</v>
      </c>
      <c r="D3693" t="str">
        <f t="shared" si="805"/>
        <v>801</v>
      </c>
      <c r="E3693" t="str">
        <f t="shared" si="806"/>
        <v>89301167</v>
      </c>
      <c r="F3693" t="str">
        <f t="shared" si="807"/>
        <v>530825172</v>
      </c>
      <c r="G3693" s="1">
        <v>44658</v>
      </c>
      <c r="H3693" t="str">
        <f>"81329"</f>
        <v>81329</v>
      </c>
      <c r="I3693">
        <v>1</v>
      </c>
      <c r="J3693">
        <v>16</v>
      </c>
      <c r="K3693">
        <v>0</v>
      </c>
      <c r="L3693">
        <v>12.48</v>
      </c>
    </row>
    <row r="3694" spans="1:12" x14ac:dyDescent="0.25">
      <c r="A3694" t="str">
        <f t="shared" si="802"/>
        <v>89301000</v>
      </c>
      <c r="B3694" t="str">
        <f t="shared" ref="B3694:B3711" si="808">"82083000"</f>
        <v>82083000</v>
      </c>
      <c r="C3694" t="str">
        <f t="shared" si="804"/>
        <v>82083102</v>
      </c>
      <c r="D3694" t="str">
        <f t="shared" si="805"/>
        <v>801</v>
      </c>
      <c r="E3694" t="str">
        <f t="shared" si="806"/>
        <v>89301167</v>
      </c>
      <c r="F3694" t="str">
        <f t="shared" si="807"/>
        <v>530825172</v>
      </c>
      <c r="G3694" s="1">
        <v>44658</v>
      </c>
      <c r="H3694" t="str">
        <f>"81337"</f>
        <v>81337</v>
      </c>
      <c r="I3694">
        <v>1</v>
      </c>
      <c r="J3694">
        <v>19</v>
      </c>
      <c r="K3694">
        <v>0</v>
      </c>
      <c r="L3694">
        <v>14.82</v>
      </c>
    </row>
    <row r="3695" spans="1:12" x14ac:dyDescent="0.25">
      <c r="A3695" t="str">
        <f t="shared" si="802"/>
        <v>89301000</v>
      </c>
      <c r="B3695" t="str">
        <f t="shared" si="808"/>
        <v>82083000</v>
      </c>
      <c r="C3695" t="str">
        <f t="shared" si="804"/>
        <v>82083102</v>
      </c>
      <c r="D3695" t="str">
        <f t="shared" si="805"/>
        <v>801</v>
      </c>
      <c r="E3695" t="str">
        <f t="shared" si="806"/>
        <v>89301167</v>
      </c>
      <c r="F3695" t="str">
        <f t="shared" si="807"/>
        <v>530825172</v>
      </c>
      <c r="G3695" s="1">
        <v>44658</v>
      </c>
      <c r="H3695" t="str">
        <f>"81357"</f>
        <v>81357</v>
      </c>
      <c r="I3695">
        <v>1</v>
      </c>
      <c r="J3695">
        <v>19</v>
      </c>
      <c r="K3695">
        <v>0</v>
      </c>
      <c r="L3695">
        <v>14.82</v>
      </c>
    </row>
    <row r="3696" spans="1:12" x14ac:dyDescent="0.25">
      <c r="A3696" t="str">
        <f t="shared" si="802"/>
        <v>89301000</v>
      </c>
      <c r="B3696" t="str">
        <f t="shared" si="808"/>
        <v>82083000</v>
      </c>
      <c r="C3696" t="str">
        <f t="shared" si="804"/>
        <v>82083102</v>
      </c>
      <c r="D3696" t="str">
        <f t="shared" si="805"/>
        <v>801</v>
      </c>
      <c r="E3696" t="str">
        <f t="shared" si="806"/>
        <v>89301167</v>
      </c>
      <c r="F3696" t="str">
        <f t="shared" si="807"/>
        <v>530825172</v>
      </c>
      <c r="G3696" s="1">
        <v>44658</v>
      </c>
      <c r="H3696" t="str">
        <f>"81361"</f>
        <v>81361</v>
      </c>
      <c r="I3696">
        <v>1</v>
      </c>
      <c r="J3696">
        <v>17</v>
      </c>
      <c r="K3696">
        <v>0</v>
      </c>
      <c r="L3696">
        <v>13.26</v>
      </c>
    </row>
    <row r="3697" spans="1:12" x14ac:dyDescent="0.25">
      <c r="A3697" t="str">
        <f t="shared" si="802"/>
        <v>89301000</v>
      </c>
      <c r="B3697" t="str">
        <f t="shared" si="808"/>
        <v>82083000</v>
      </c>
      <c r="C3697" t="str">
        <f t="shared" si="804"/>
        <v>82083102</v>
      </c>
      <c r="D3697" t="str">
        <f t="shared" si="805"/>
        <v>801</v>
      </c>
      <c r="E3697" t="str">
        <f t="shared" si="806"/>
        <v>89301167</v>
      </c>
      <c r="F3697" t="str">
        <f t="shared" si="807"/>
        <v>530825172</v>
      </c>
      <c r="G3697" s="1">
        <v>44658</v>
      </c>
      <c r="H3697" t="str">
        <f>"81393"</f>
        <v>81393</v>
      </c>
      <c r="I3697">
        <v>1</v>
      </c>
      <c r="J3697">
        <v>24</v>
      </c>
      <c r="K3697">
        <v>0</v>
      </c>
      <c r="L3697">
        <v>18.72</v>
      </c>
    </row>
    <row r="3698" spans="1:12" x14ac:dyDescent="0.25">
      <c r="A3698" t="str">
        <f t="shared" si="802"/>
        <v>89301000</v>
      </c>
      <c r="B3698" t="str">
        <f t="shared" si="808"/>
        <v>82083000</v>
      </c>
      <c r="C3698" t="str">
        <f t="shared" si="804"/>
        <v>82083102</v>
      </c>
      <c r="D3698" t="str">
        <f t="shared" si="805"/>
        <v>801</v>
      </c>
      <c r="E3698" t="str">
        <f t="shared" si="806"/>
        <v>89301167</v>
      </c>
      <c r="F3698" t="str">
        <f t="shared" si="807"/>
        <v>530825172</v>
      </c>
      <c r="G3698" s="1">
        <v>44658</v>
      </c>
      <c r="H3698" t="str">
        <f>"81421"</f>
        <v>81421</v>
      </c>
      <c r="I3698">
        <v>1</v>
      </c>
      <c r="J3698">
        <v>19</v>
      </c>
      <c r="K3698">
        <v>0</v>
      </c>
      <c r="L3698">
        <v>14.82</v>
      </c>
    </row>
    <row r="3699" spans="1:12" x14ac:dyDescent="0.25">
      <c r="A3699" t="str">
        <f t="shared" si="802"/>
        <v>89301000</v>
      </c>
      <c r="B3699" t="str">
        <f t="shared" si="808"/>
        <v>82083000</v>
      </c>
      <c r="C3699" t="str">
        <f t="shared" si="804"/>
        <v>82083102</v>
      </c>
      <c r="D3699" t="str">
        <f t="shared" si="805"/>
        <v>801</v>
      </c>
      <c r="E3699" t="str">
        <f t="shared" si="806"/>
        <v>89301167</v>
      </c>
      <c r="F3699" t="str">
        <f t="shared" si="807"/>
        <v>530825172</v>
      </c>
      <c r="G3699" s="1">
        <v>44658</v>
      </c>
      <c r="H3699" t="str">
        <f>"81435"</f>
        <v>81435</v>
      </c>
      <c r="I3699">
        <v>1</v>
      </c>
      <c r="J3699">
        <v>22</v>
      </c>
      <c r="K3699">
        <v>0</v>
      </c>
      <c r="L3699">
        <v>17.16</v>
      </c>
    </row>
    <row r="3700" spans="1:12" x14ac:dyDescent="0.25">
      <c r="A3700" t="str">
        <f t="shared" si="802"/>
        <v>89301000</v>
      </c>
      <c r="B3700" t="str">
        <f t="shared" si="808"/>
        <v>82083000</v>
      </c>
      <c r="C3700" t="str">
        <f t="shared" si="804"/>
        <v>82083102</v>
      </c>
      <c r="D3700" t="str">
        <f t="shared" si="805"/>
        <v>801</v>
      </c>
      <c r="E3700" t="str">
        <f t="shared" si="806"/>
        <v>89301167</v>
      </c>
      <c r="F3700" t="str">
        <f t="shared" si="807"/>
        <v>530825172</v>
      </c>
      <c r="G3700" s="1">
        <v>44658</v>
      </c>
      <c r="H3700" t="str">
        <f>"81439"</f>
        <v>81439</v>
      </c>
      <c r="I3700">
        <v>1</v>
      </c>
      <c r="J3700">
        <v>16</v>
      </c>
      <c r="K3700">
        <v>0</v>
      </c>
      <c r="L3700">
        <v>12.48</v>
      </c>
    </row>
    <row r="3701" spans="1:12" x14ac:dyDescent="0.25">
      <c r="A3701" t="str">
        <f t="shared" si="802"/>
        <v>89301000</v>
      </c>
      <c r="B3701" t="str">
        <f t="shared" si="808"/>
        <v>82083000</v>
      </c>
      <c r="C3701" t="str">
        <f t="shared" si="804"/>
        <v>82083102</v>
      </c>
      <c r="D3701" t="str">
        <f t="shared" si="805"/>
        <v>801</v>
      </c>
      <c r="E3701" t="str">
        <f t="shared" si="806"/>
        <v>89301167</v>
      </c>
      <c r="F3701" t="str">
        <f t="shared" si="807"/>
        <v>530825172</v>
      </c>
      <c r="G3701" s="1">
        <v>44658</v>
      </c>
      <c r="H3701" t="str">
        <f>"81469"</f>
        <v>81469</v>
      </c>
      <c r="I3701">
        <v>1</v>
      </c>
      <c r="J3701">
        <v>16</v>
      </c>
      <c r="K3701">
        <v>0</v>
      </c>
      <c r="L3701">
        <v>12.48</v>
      </c>
    </row>
    <row r="3702" spans="1:12" x14ac:dyDescent="0.25">
      <c r="A3702" t="str">
        <f t="shared" si="802"/>
        <v>89301000</v>
      </c>
      <c r="B3702" t="str">
        <f t="shared" si="808"/>
        <v>82083000</v>
      </c>
      <c r="C3702" t="str">
        <f t="shared" si="804"/>
        <v>82083102</v>
      </c>
      <c r="D3702" t="str">
        <f t="shared" si="805"/>
        <v>801</v>
      </c>
      <c r="E3702" t="str">
        <f t="shared" si="806"/>
        <v>89301167</v>
      </c>
      <c r="F3702" t="str">
        <f t="shared" si="807"/>
        <v>530825172</v>
      </c>
      <c r="G3702" s="1">
        <v>44658</v>
      </c>
      <c r="H3702" t="str">
        <f>"81499"</f>
        <v>81499</v>
      </c>
      <c r="I3702">
        <v>1</v>
      </c>
      <c r="J3702">
        <v>18</v>
      </c>
      <c r="K3702">
        <v>0</v>
      </c>
      <c r="L3702">
        <v>14.04</v>
      </c>
    </row>
    <row r="3703" spans="1:12" x14ac:dyDescent="0.25">
      <c r="A3703" t="str">
        <f t="shared" si="802"/>
        <v>89301000</v>
      </c>
      <c r="B3703" t="str">
        <f t="shared" si="808"/>
        <v>82083000</v>
      </c>
      <c r="C3703" t="str">
        <f t="shared" si="804"/>
        <v>82083102</v>
      </c>
      <c r="D3703" t="str">
        <f t="shared" si="805"/>
        <v>801</v>
      </c>
      <c r="E3703" t="str">
        <f t="shared" si="806"/>
        <v>89301167</v>
      </c>
      <c r="F3703" t="str">
        <f t="shared" si="807"/>
        <v>530825172</v>
      </c>
      <c r="G3703" s="1">
        <v>44658</v>
      </c>
      <c r="H3703" t="str">
        <f>"81593"</f>
        <v>81593</v>
      </c>
      <c r="I3703">
        <v>1</v>
      </c>
      <c r="J3703">
        <v>22</v>
      </c>
      <c r="K3703">
        <v>0</v>
      </c>
      <c r="L3703">
        <v>17.16</v>
      </c>
    </row>
    <row r="3704" spans="1:12" x14ac:dyDescent="0.25">
      <c r="A3704" t="str">
        <f t="shared" si="802"/>
        <v>89301000</v>
      </c>
      <c r="B3704" t="str">
        <f t="shared" si="808"/>
        <v>82083000</v>
      </c>
      <c r="C3704" t="str">
        <f t="shared" si="804"/>
        <v>82083102</v>
      </c>
      <c r="D3704" t="str">
        <f t="shared" si="805"/>
        <v>801</v>
      </c>
      <c r="E3704" t="str">
        <f t="shared" si="806"/>
        <v>89301167</v>
      </c>
      <c r="F3704" t="str">
        <f t="shared" si="807"/>
        <v>530825172</v>
      </c>
      <c r="G3704" s="1">
        <v>44658</v>
      </c>
      <c r="H3704" t="str">
        <f>"81621"</f>
        <v>81621</v>
      </c>
      <c r="I3704">
        <v>1</v>
      </c>
      <c r="J3704">
        <v>19</v>
      </c>
      <c r="K3704">
        <v>0</v>
      </c>
      <c r="L3704">
        <v>14.82</v>
      </c>
    </row>
    <row r="3705" spans="1:12" x14ac:dyDescent="0.25">
      <c r="A3705" t="str">
        <f t="shared" si="802"/>
        <v>89301000</v>
      </c>
      <c r="B3705" t="str">
        <f t="shared" si="808"/>
        <v>82083000</v>
      </c>
      <c r="C3705" t="str">
        <f t="shared" si="804"/>
        <v>82083102</v>
      </c>
      <c r="D3705" t="str">
        <f t="shared" si="805"/>
        <v>801</v>
      </c>
      <c r="E3705" t="str">
        <f t="shared" si="806"/>
        <v>89301167</v>
      </c>
      <c r="F3705" t="str">
        <f t="shared" si="807"/>
        <v>530825172</v>
      </c>
      <c r="G3705" s="1">
        <v>44658</v>
      </c>
      <c r="H3705" t="str">
        <f>"81625"</f>
        <v>81625</v>
      </c>
      <c r="I3705">
        <v>1</v>
      </c>
      <c r="J3705">
        <v>20</v>
      </c>
      <c r="K3705">
        <v>0</v>
      </c>
      <c r="L3705">
        <v>15.6</v>
      </c>
    </row>
    <row r="3706" spans="1:12" x14ac:dyDescent="0.25">
      <c r="A3706" t="str">
        <f t="shared" si="802"/>
        <v>89301000</v>
      </c>
      <c r="B3706" t="str">
        <f t="shared" si="808"/>
        <v>82083000</v>
      </c>
      <c r="C3706" t="str">
        <f t="shared" si="804"/>
        <v>82083102</v>
      </c>
      <c r="D3706" t="str">
        <f t="shared" si="805"/>
        <v>801</v>
      </c>
      <c r="E3706" t="str">
        <f t="shared" si="806"/>
        <v>89301167</v>
      </c>
      <c r="F3706" t="str">
        <f t="shared" si="807"/>
        <v>530825172</v>
      </c>
      <c r="G3706" s="1">
        <v>44658</v>
      </c>
      <c r="H3706" t="str">
        <f>"91153"</f>
        <v>91153</v>
      </c>
      <c r="I3706">
        <v>1</v>
      </c>
      <c r="J3706">
        <v>152</v>
      </c>
      <c r="K3706">
        <v>0</v>
      </c>
      <c r="L3706">
        <v>118.56</v>
      </c>
    </row>
    <row r="3707" spans="1:12" x14ac:dyDescent="0.25">
      <c r="A3707" t="str">
        <f t="shared" si="802"/>
        <v>89301000</v>
      </c>
      <c r="B3707" t="str">
        <f t="shared" si="808"/>
        <v>82083000</v>
      </c>
      <c r="C3707" t="str">
        <f t="shared" si="804"/>
        <v>82083102</v>
      </c>
      <c r="D3707" t="str">
        <f t="shared" si="805"/>
        <v>801</v>
      </c>
      <c r="E3707" t="str">
        <f t="shared" si="806"/>
        <v>89301167</v>
      </c>
      <c r="F3707" t="str">
        <f t="shared" si="807"/>
        <v>530825172</v>
      </c>
      <c r="G3707" s="1">
        <v>44658</v>
      </c>
      <c r="H3707" t="str">
        <f>"96165"</f>
        <v>96165</v>
      </c>
      <c r="I3707">
        <v>1</v>
      </c>
      <c r="J3707">
        <v>47</v>
      </c>
      <c r="K3707">
        <v>0</v>
      </c>
      <c r="L3707">
        <v>36.659999999999997</v>
      </c>
    </row>
    <row r="3708" spans="1:12" x14ac:dyDescent="0.25">
      <c r="A3708" t="str">
        <f t="shared" si="802"/>
        <v>89301000</v>
      </c>
      <c r="B3708" t="str">
        <f t="shared" si="808"/>
        <v>82083000</v>
      </c>
      <c r="C3708" t="str">
        <f t="shared" si="804"/>
        <v>82083102</v>
      </c>
      <c r="D3708" t="str">
        <f t="shared" si="805"/>
        <v>801</v>
      </c>
      <c r="E3708" t="str">
        <f t="shared" si="806"/>
        <v>89301167</v>
      </c>
      <c r="F3708" t="str">
        <f t="shared" si="807"/>
        <v>530825172</v>
      </c>
      <c r="G3708" s="1">
        <v>44658</v>
      </c>
      <c r="H3708" t="str">
        <f>"96315"</f>
        <v>96315</v>
      </c>
      <c r="I3708">
        <v>1</v>
      </c>
      <c r="J3708">
        <v>29</v>
      </c>
      <c r="K3708">
        <v>0</v>
      </c>
      <c r="L3708">
        <v>22.62</v>
      </c>
    </row>
    <row r="3709" spans="1:12" x14ac:dyDescent="0.25">
      <c r="A3709" t="str">
        <f t="shared" si="802"/>
        <v>89301000</v>
      </c>
      <c r="B3709" t="str">
        <f t="shared" si="808"/>
        <v>82083000</v>
      </c>
      <c r="C3709" t="str">
        <f t="shared" si="804"/>
        <v>82083102</v>
      </c>
      <c r="D3709" t="str">
        <f t="shared" si="805"/>
        <v>801</v>
      </c>
      <c r="E3709" t="str">
        <f t="shared" si="806"/>
        <v>89301167</v>
      </c>
      <c r="F3709" t="str">
        <f t="shared" si="807"/>
        <v>530825172</v>
      </c>
      <c r="G3709" s="1">
        <v>44658</v>
      </c>
      <c r="H3709" t="str">
        <f>"96711"</f>
        <v>96711</v>
      </c>
      <c r="I3709">
        <v>1</v>
      </c>
      <c r="J3709">
        <v>27</v>
      </c>
      <c r="K3709">
        <v>0</v>
      </c>
      <c r="L3709">
        <v>21.06</v>
      </c>
    </row>
    <row r="3710" spans="1:12" x14ac:dyDescent="0.25">
      <c r="A3710" t="str">
        <f t="shared" si="802"/>
        <v>89301000</v>
      </c>
      <c r="B3710" t="str">
        <f t="shared" si="808"/>
        <v>82083000</v>
      </c>
      <c r="C3710" t="str">
        <f t="shared" si="804"/>
        <v>82083102</v>
      </c>
      <c r="D3710" t="str">
        <f t="shared" si="805"/>
        <v>801</v>
      </c>
      <c r="E3710" t="str">
        <f t="shared" si="806"/>
        <v>89301167</v>
      </c>
      <c r="F3710" t="str">
        <f t="shared" si="807"/>
        <v>530825172</v>
      </c>
      <c r="G3710" s="1">
        <v>44658</v>
      </c>
      <c r="H3710" t="str">
        <f>"96713"</f>
        <v>96713</v>
      </c>
      <c r="I3710">
        <v>1</v>
      </c>
      <c r="J3710">
        <v>14</v>
      </c>
      <c r="K3710">
        <v>0</v>
      </c>
      <c r="L3710">
        <v>10.92</v>
      </c>
    </row>
    <row r="3711" spans="1:12" x14ac:dyDescent="0.25">
      <c r="A3711" t="str">
        <f t="shared" si="802"/>
        <v>89301000</v>
      </c>
      <c r="B3711" t="str">
        <f t="shared" si="808"/>
        <v>82083000</v>
      </c>
      <c r="C3711" t="str">
        <f t="shared" si="804"/>
        <v>82083102</v>
      </c>
      <c r="D3711" t="str">
        <f t="shared" si="805"/>
        <v>801</v>
      </c>
      <c r="E3711" t="str">
        <f t="shared" si="806"/>
        <v>89301167</v>
      </c>
      <c r="F3711" t="str">
        <f t="shared" si="807"/>
        <v>530825172</v>
      </c>
      <c r="G3711" s="1">
        <v>44658</v>
      </c>
      <c r="H3711" t="str">
        <f>"97111"</f>
        <v>97111</v>
      </c>
      <c r="I3711">
        <v>1</v>
      </c>
      <c r="J3711">
        <v>18</v>
      </c>
      <c r="K3711">
        <v>0</v>
      </c>
      <c r="L3711">
        <v>14.04</v>
      </c>
    </row>
    <row r="3712" spans="1:12" x14ac:dyDescent="0.25">
      <c r="A3712" t="str">
        <f t="shared" si="802"/>
        <v>89301000</v>
      </c>
      <c r="B3712" t="str">
        <f>"44564000"</f>
        <v>44564000</v>
      </c>
      <c r="C3712" t="str">
        <f>"44564006"</f>
        <v>44564006</v>
      </c>
      <c r="D3712" t="str">
        <f>"816"</f>
        <v>816</v>
      </c>
      <c r="E3712" t="str">
        <f>"89301212"</f>
        <v>89301212</v>
      </c>
      <c r="F3712" t="str">
        <f>"5454153320"</f>
        <v>5454153320</v>
      </c>
      <c r="G3712" s="1">
        <v>44676</v>
      </c>
      <c r="H3712" t="str">
        <f>"94225"</f>
        <v>94225</v>
      </c>
      <c r="I3712">
        <v>1</v>
      </c>
      <c r="J3712">
        <v>1187</v>
      </c>
      <c r="K3712">
        <v>0</v>
      </c>
      <c r="L3712">
        <v>1008.95</v>
      </c>
    </row>
    <row r="3713" spans="1:12" x14ac:dyDescent="0.25">
      <c r="A3713" t="str">
        <f t="shared" si="802"/>
        <v>89301000</v>
      </c>
      <c r="B3713" t="str">
        <f>"44564000"</f>
        <v>44564000</v>
      </c>
      <c r="C3713" t="str">
        <f>"44564006"</f>
        <v>44564006</v>
      </c>
      <c r="D3713" t="str">
        <f>"816"</f>
        <v>816</v>
      </c>
      <c r="E3713" t="str">
        <f>"89301212"</f>
        <v>89301212</v>
      </c>
      <c r="F3713" t="str">
        <f>"6159211850"</f>
        <v>6159211850</v>
      </c>
      <c r="G3713" s="1">
        <v>44677</v>
      </c>
      <c r="H3713" t="str">
        <f>"94229"</f>
        <v>94229</v>
      </c>
      <c r="I3713">
        <v>8</v>
      </c>
      <c r="J3713">
        <v>4944</v>
      </c>
      <c r="K3713">
        <v>0</v>
      </c>
      <c r="L3713">
        <v>4202.3999999999996</v>
      </c>
    </row>
    <row r="3714" spans="1:12" x14ac:dyDescent="0.25">
      <c r="A3714" t="str">
        <f t="shared" ref="A3714:A3777" si="809">"89301000"</f>
        <v>89301000</v>
      </c>
      <c r="B3714" t="str">
        <f>"44564000"</f>
        <v>44564000</v>
      </c>
      <c r="C3714" t="str">
        <f>"44564006"</f>
        <v>44564006</v>
      </c>
      <c r="D3714" t="str">
        <f>"816"</f>
        <v>816</v>
      </c>
      <c r="E3714" t="str">
        <f>"89301212"</f>
        <v>89301212</v>
      </c>
      <c r="F3714" t="str">
        <f>"6159211850"</f>
        <v>6159211850</v>
      </c>
      <c r="G3714" s="1">
        <v>44677</v>
      </c>
      <c r="H3714" t="str">
        <f>"94365"</f>
        <v>94365</v>
      </c>
      <c r="I3714">
        <v>1</v>
      </c>
      <c r="J3714">
        <v>36422</v>
      </c>
      <c r="K3714">
        <v>0</v>
      </c>
      <c r="L3714">
        <v>30958.7</v>
      </c>
    </row>
    <row r="3715" spans="1:12" x14ac:dyDescent="0.25">
      <c r="A3715" t="str">
        <f t="shared" si="809"/>
        <v>89301000</v>
      </c>
      <c r="B3715" t="str">
        <f t="shared" ref="B3715:B3720" si="810">"02384000"</f>
        <v>02384000</v>
      </c>
      <c r="C3715" t="str">
        <f t="shared" ref="C3715:C3720" si="811">"02384007"</f>
        <v>02384007</v>
      </c>
      <c r="D3715" t="str">
        <f t="shared" ref="D3715:D3720" si="812">"809"</f>
        <v>809</v>
      </c>
      <c r="E3715" t="str">
        <f>"89301037"</f>
        <v>89301037</v>
      </c>
      <c r="F3715" t="str">
        <f>"5661061505"</f>
        <v>5661061505</v>
      </c>
      <c r="G3715" s="1">
        <v>44679</v>
      </c>
      <c r="H3715" t="str">
        <f>"89312"</f>
        <v>89312</v>
      </c>
      <c r="I3715">
        <v>1</v>
      </c>
      <c r="J3715">
        <v>302</v>
      </c>
      <c r="K3715">
        <v>0</v>
      </c>
      <c r="L3715">
        <v>317.10000000000002</v>
      </c>
    </row>
    <row r="3716" spans="1:12" x14ac:dyDescent="0.25">
      <c r="A3716" t="str">
        <f t="shared" si="809"/>
        <v>89301000</v>
      </c>
      <c r="B3716" t="str">
        <f t="shared" si="810"/>
        <v>02384000</v>
      </c>
      <c r="C3716" t="str">
        <f t="shared" si="811"/>
        <v>02384007</v>
      </c>
      <c r="D3716" t="str">
        <f t="shared" si="812"/>
        <v>809</v>
      </c>
      <c r="E3716" t="str">
        <f>"89301037"</f>
        <v>89301037</v>
      </c>
      <c r="F3716" t="str">
        <f>"5661061505"</f>
        <v>5661061505</v>
      </c>
      <c r="G3716" s="1">
        <v>44679</v>
      </c>
      <c r="H3716" t="str">
        <f>"89312"</f>
        <v>89312</v>
      </c>
      <c r="I3716">
        <v>2</v>
      </c>
      <c r="J3716">
        <v>604</v>
      </c>
      <c r="K3716">
        <v>0</v>
      </c>
      <c r="L3716">
        <v>634.20000000000005</v>
      </c>
    </row>
    <row r="3717" spans="1:12" x14ac:dyDescent="0.25">
      <c r="A3717" t="str">
        <f t="shared" si="809"/>
        <v>89301000</v>
      </c>
      <c r="B3717" t="str">
        <f t="shared" si="810"/>
        <v>02384000</v>
      </c>
      <c r="C3717" t="str">
        <f t="shared" si="811"/>
        <v>02384007</v>
      </c>
      <c r="D3717" t="str">
        <f t="shared" si="812"/>
        <v>809</v>
      </c>
      <c r="E3717" t="str">
        <f>"89301212"</f>
        <v>89301212</v>
      </c>
      <c r="F3717" t="str">
        <f>"415513460"</f>
        <v>415513460</v>
      </c>
      <c r="G3717" s="1">
        <v>44656</v>
      </c>
      <c r="H3717" t="str">
        <f>"89513"</f>
        <v>89513</v>
      </c>
      <c r="I3717">
        <v>1</v>
      </c>
      <c r="J3717">
        <v>371</v>
      </c>
      <c r="K3717">
        <v>0</v>
      </c>
      <c r="L3717">
        <v>519.4</v>
      </c>
    </row>
    <row r="3718" spans="1:12" x14ac:dyDescent="0.25">
      <c r="A3718" t="str">
        <f t="shared" si="809"/>
        <v>89301000</v>
      </c>
      <c r="B3718" t="str">
        <f t="shared" si="810"/>
        <v>02384000</v>
      </c>
      <c r="C3718" t="str">
        <f t="shared" si="811"/>
        <v>02384007</v>
      </c>
      <c r="D3718" t="str">
        <f t="shared" si="812"/>
        <v>809</v>
      </c>
      <c r="E3718" t="str">
        <f>"89301212"</f>
        <v>89301212</v>
      </c>
      <c r="F3718" t="str">
        <f>"415513460"</f>
        <v>415513460</v>
      </c>
      <c r="G3718" s="1">
        <v>44656</v>
      </c>
      <c r="H3718" t="str">
        <f>"89514"</f>
        <v>89514</v>
      </c>
      <c r="I3718">
        <v>1</v>
      </c>
      <c r="J3718">
        <v>371</v>
      </c>
      <c r="K3718">
        <v>0</v>
      </c>
      <c r="L3718">
        <v>519.4</v>
      </c>
    </row>
    <row r="3719" spans="1:12" x14ac:dyDescent="0.25">
      <c r="A3719" t="str">
        <f t="shared" si="809"/>
        <v>89301000</v>
      </c>
      <c r="B3719" t="str">
        <f t="shared" si="810"/>
        <v>02384000</v>
      </c>
      <c r="C3719" t="str">
        <f t="shared" si="811"/>
        <v>02384007</v>
      </c>
      <c r="D3719" t="str">
        <f t="shared" si="812"/>
        <v>809</v>
      </c>
      <c r="E3719" t="str">
        <f>"89301037"</f>
        <v>89301037</v>
      </c>
      <c r="F3719" t="str">
        <f>"475822482"</f>
        <v>475822482</v>
      </c>
      <c r="G3719" s="1">
        <v>44662</v>
      </c>
      <c r="H3719" t="str">
        <f>"89312"</f>
        <v>89312</v>
      </c>
      <c r="I3719">
        <v>1</v>
      </c>
      <c r="J3719">
        <v>302</v>
      </c>
      <c r="K3719">
        <v>0</v>
      </c>
      <c r="L3719">
        <v>317.10000000000002</v>
      </c>
    </row>
    <row r="3720" spans="1:12" x14ac:dyDescent="0.25">
      <c r="A3720" t="str">
        <f t="shared" si="809"/>
        <v>89301000</v>
      </c>
      <c r="B3720" t="str">
        <f t="shared" si="810"/>
        <v>02384000</v>
      </c>
      <c r="C3720" t="str">
        <f t="shared" si="811"/>
        <v>02384007</v>
      </c>
      <c r="D3720" t="str">
        <f t="shared" si="812"/>
        <v>809</v>
      </c>
      <c r="E3720" t="str">
        <f>"89301037"</f>
        <v>89301037</v>
      </c>
      <c r="F3720" t="str">
        <f>"475822482"</f>
        <v>475822482</v>
      </c>
      <c r="G3720" s="1">
        <v>44662</v>
      </c>
      <c r="H3720" t="str">
        <f>"89312"</f>
        <v>89312</v>
      </c>
      <c r="I3720">
        <v>2</v>
      </c>
      <c r="J3720">
        <v>604</v>
      </c>
      <c r="K3720">
        <v>0</v>
      </c>
      <c r="L3720">
        <v>634.20000000000005</v>
      </c>
    </row>
    <row r="3721" spans="1:12" x14ac:dyDescent="0.25">
      <c r="A3721" t="str">
        <f t="shared" si="809"/>
        <v>89301000</v>
      </c>
      <c r="B3721" t="str">
        <f>"72186000"</f>
        <v>72186000</v>
      </c>
      <c r="C3721" t="str">
        <f>"72186015"</f>
        <v>72186015</v>
      </c>
      <c r="D3721" t="str">
        <f>"810"</f>
        <v>810</v>
      </c>
      <c r="E3721" t="str">
        <f>"89301312"</f>
        <v>89301312</v>
      </c>
      <c r="F3721" t="str">
        <f>"9808084594"</f>
        <v>9808084594</v>
      </c>
      <c r="G3721" s="1">
        <v>44680</v>
      </c>
      <c r="H3721" t="str">
        <f>"89713"</f>
        <v>89713</v>
      </c>
      <c r="I3721">
        <v>1</v>
      </c>
      <c r="J3721">
        <v>5362</v>
      </c>
      <c r="K3721">
        <v>0</v>
      </c>
      <c r="L3721">
        <v>3217.2</v>
      </c>
    </row>
    <row r="3722" spans="1:12" x14ac:dyDescent="0.25">
      <c r="A3722" t="str">
        <f t="shared" si="809"/>
        <v>89301000</v>
      </c>
      <c r="B3722" t="str">
        <f>"44564000"</f>
        <v>44564000</v>
      </c>
      <c r="C3722" t="str">
        <f>"44564004"</f>
        <v>44564004</v>
      </c>
      <c r="D3722" t="str">
        <f>"807"</f>
        <v>807</v>
      </c>
      <c r="E3722" t="str">
        <f>"89301212"</f>
        <v>89301212</v>
      </c>
      <c r="F3722" t="str">
        <f>"6159211850"</f>
        <v>6159211850</v>
      </c>
      <c r="G3722" s="1">
        <v>44677</v>
      </c>
      <c r="H3722" t="str">
        <f>"87217"</f>
        <v>87217</v>
      </c>
      <c r="I3722">
        <v>2</v>
      </c>
      <c r="J3722">
        <v>414</v>
      </c>
      <c r="K3722">
        <v>0</v>
      </c>
      <c r="L3722">
        <v>322.92</v>
      </c>
    </row>
    <row r="3723" spans="1:12" x14ac:dyDescent="0.25">
      <c r="A3723" t="str">
        <f t="shared" si="809"/>
        <v>89301000</v>
      </c>
      <c r="B3723" t="str">
        <f>"44564000"</f>
        <v>44564000</v>
      </c>
      <c r="C3723" t="str">
        <f>"44564004"</f>
        <v>44564004</v>
      </c>
      <c r="D3723" t="str">
        <f>"807"</f>
        <v>807</v>
      </c>
      <c r="E3723" t="str">
        <f>"89301212"</f>
        <v>89301212</v>
      </c>
      <c r="F3723" t="str">
        <f>"6159211850"</f>
        <v>6159211850</v>
      </c>
      <c r="G3723" s="1">
        <v>44677</v>
      </c>
      <c r="H3723" t="str">
        <f>"87613"</f>
        <v>87613</v>
      </c>
      <c r="I3723">
        <v>1</v>
      </c>
      <c r="J3723">
        <v>422</v>
      </c>
      <c r="K3723">
        <v>0</v>
      </c>
      <c r="L3723">
        <v>329.16</v>
      </c>
    </row>
    <row r="3724" spans="1:12" x14ac:dyDescent="0.25">
      <c r="A3724" t="str">
        <f t="shared" si="809"/>
        <v>89301000</v>
      </c>
      <c r="B3724" t="str">
        <f>"44564000"</f>
        <v>44564000</v>
      </c>
      <c r="C3724" t="str">
        <f>"44564004"</f>
        <v>44564004</v>
      </c>
      <c r="D3724" t="str">
        <f>"807"</f>
        <v>807</v>
      </c>
      <c r="E3724" t="str">
        <f>"89301212"</f>
        <v>89301212</v>
      </c>
      <c r="F3724" t="str">
        <f>"6159211850"</f>
        <v>6159211850</v>
      </c>
      <c r="G3724" s="1">
        <v>44677</v>
      </c>
      <c r="H3724" t="str">
        <f>"87617"</f>
        <v>87617</v>
      </c>
      <c r="I3724">
        <v>1</v>
      </c>
      <c r="J3724">
        <v>3625</v>
      </c>
      <c r="K3724">
        <v>0</v>
      </c>
      <c r="L3724">
        <v>2827.5</v>
      </c>
    </row>
    <row r="3725" spans="1:12" x14ac:dyDescent="0.25">
      <c r="A3725" t="str">
        <f t="shared" si="809"/>
        <v>89301000</v>
      </c>
      <c r="B3725" t="str">
        <f t="shared" ref="B3725:C3742" si="813">"87669000"</f>
        <v>87669000</v>
      </c>
      <c r="C3725" t="str">
        <f t="shared" si="813"/>
        <v>87669000</v>
      </c>
      <c r="D3725" t="str">
        <f t="shared" ref="D3725:D3755" si="814">"801"</f>
        <v>801</v>
      </c>
      <c r="E3725" t="str">
        <f t="shared" ref="E3725:E3742" si="815">"89301167"</f>
        <v>89301167</v>
      </c>
      <c r="F3725" t="str">
        <f t="shared" ref="F3725:F3742" si="816">"480710460"</f>
        <v>480710460</v>
      </c>
      <c r="G3725" s="1">
        <v>44659</v>
      </c>
      <c r="H3725" t="str">
        <f>"81329"</f>
        <v>81329</v>
      </c>
      <c r="I3725">
        <v>1</v>
      </c>
      <c r="J3725">
        <v>16</v>
      </c>
      <c r="K3725">
        <v>0</v>
      </c>
      <c r="L3725">
        <v>12.48</v>
      </c>
    </row>
    <row r="3726" spans="1:12" x14ac:dyDescent="0.25">
      <c r="A3726" t="str">
        <f t="shared" si="809"/>
        <v>89301000</v>
      </c>
      <c r="B3726" t="str">
        <f t="shared" si="813"/>
        <v>87669000</v>
      </c>
      <c r="C3726" t="str">
        <f t="shared" si="813"/>
        <v>87669000</v>
      </c>
      <c r="D3726" t="str">
        <f t="shared" si="814"/>
        <v>801</v>
      </c>
      <c r="E3726" t="str">
        <f t="shared" si="815"/>
        <v>89301167</v>
      </c>
      <c r="F3726" t="str">
        <f t="shared" si="816"/>
        <v>480710460</v>
      </c>
      <c r="G3726" s="1">
        <v>44659</v>
      </c>
      <c r="H3726" t="str">
        <f>"81337"</f>
        <v>81337</v>
      </c>
      <c r="I3726">
        <v>1</v>
      </c>
      <c r="J3726">
        <v>19</v>
      </c>
      <c r="K3726">
        <v>0</v>
      </c>
      <c r="L3726">
        <v>14.82</v>
      </c>
    </row>
    <row r="3727" spans="1:12" x14ac:dyDescent="0.25">
      <c r="A3727" t="str">
        <f t="shared" si="809"/>
        <v>89301000</v>
      </c>
      <c r="B3727" t="str">
        <f t="shared" si="813"/>
        <v>87669000</v>
      </c>
      <c r="C3727" t="str">
        <f t="shared" si="813"/>
        <v>87669000</v>
      </c>
      <c r="D3727" t="str">
        <f t="shared" si="814"/>
        <v>801</v>
      </c>
      <c r="E3727" t="str">
        <f t="shared" si="815"/>
        <v>89301167</v>
      </c>
      <c r="F3727" t="str">
        <f t="shared" si="816"/>
        <v>480710460</v>
      </c>
      <c r="G3727" s="1">
        <v>44659</v>
      </c>
      <c r="H3727" t="str">
        <f>"81357"</f>
        <v>81357</v>
      </c>
      <c r="I3727">
        <v>1</v>
      </c>
      <c r="J3727">
        <v>19</v>
      </c>
      <c r="K3727">
        <v>0</v>
      </c>
      <c r="L3727">
        <v>14.82</v>
      </c>
    </row>
    <row r="3728" spans="1:12" x14ac:dyDescent="0.25">
      <c r="A3728" t="str">
        <f t="shared" si="809"/>
        <v>89301000</v>
      </c>
      <c r="B3728" t="str">
        <f t="shared" si="813"/>
        <v>87669000</v>
      </c>
      <c r="C3728" t="str">
        <f t="shared" si="813"/>
        <v>87669000</v>
      </c>
      <c r="D3728" t="str">
        <f t="shared" si="814"/>
        <v>801</v>
      </c>
      <c r="E3728" t="str">
        <f t="shared" si="815"/>
        <v>89301167</v>
      </c>
      <c r="F3728" t="str">
        <f t="shared" si="816"/>
        <v>480710460</v>
      </c>
      <c r="G3728" s="1">
        <v>44659</v>
      </c>
      <c r="H3728" t="str">
        <f>"81361"</f>
        <v>81361</v>
      </c>
      <c r="I3728">
        <v>1</v>
      </c>
      <c r="J3728">
        <v>17</v>
      </c>
      <c r="K3728">
        <v>0</v>
      </c>
      <c r="L3728">
        <v>13.26</v>
      </c>
    </row>
    <row r="3729" spans="1:12" x14ac:dyDescent="0.25">
      <c r="A3729" t="str">
        <f t="shared" si="809"/>
        <v>89301000</v>
      </c>
      <c r="B3729" t="str">
        <f t="shared" si="813"/>
        <v>87669000</v>
      </c>
      <c r="C3729" t="str">
        <f t="shared" si="813"/>
        <v>87669000</v>
      </c>
      <c r="D3729" t="str">
        <f t="shared" si="814"/>
        <v>801</v>
      </c>
      <c r="E3729" t="str">
        <f t="shared" si="815"/>
        <v>89301167</v>
      </c>
      <c r="F3729" t="str">
        <f t="shared" si="816"/>
        <v>480710460</v>
      </c>
      <c r="G3729" s="1">
        <v>44659</v>
      </c>
      <c r="H3729" t="str">
        <f>"81365"</f>
        <v>81365</v>
      </c>
      <c r="I3729">
        <v>1</v>
      </c>
      <c r="J3729">
        <v>16</v>
      </c>
      <c r="K3729">
        <v>0</v>
      </c>
      <c r="L3729">
        <v>12.48</v>
      </c>
    </row>
    <row r="3730" spans="1:12" x14ac:dyDescent="0.25">
      <c r="A3730" t="str">
        <f t="shared" si="809"/>
        <v>89301000</v>
      </c>
      <c r="B3730" t="str">
        <f t="shared" si="813"/>
        <v>87669000</v>
      </c>
      <c r="C3730" t="str">
        <f t="shared" si="813"/>
        <v>87669000</v>
      </c>
      <c r="D3730" t="str">
        <f t="shared" si="814"/>
        <v>801</v>
      </c>
      <c r="E3730" t="str">
        <f t="shared" si="815"/>
        <v>89301167</v>
      </c>
      <c r="F3730" t="str">
        <f t="shared" si="816"/>
        <v>480710460</v>
      </c>
      <c r="G3730" s="1">
        <v>44659</v>
      </c>
      <c r="H3730" t="str">
        <f>"81393"</f>
        <v>81393</v>
      </c>
      <c r="I3730">
        <v>1</v>
      </c>
      <c r="J3730">
        <v>24</v>
      </c>
      <c r="K3730">
        <v>0</v>
      </c>
      <c r="L3730">
        <v>18.72</v>
      </c>
    </row>
    <row r="3731" spans="1:12" x14ac:dyDescent="0.25">
      <c r="A3731" t="str">
        <f t="shared" si="809"/>
        <v>89301000</v>
      </c>
      <c r="B3731" t="str">
        <f t="shared" si="813"/>
        <v>87669000</v>
      </c>
      <c r="C3731" t="str">
        <f t="shared" si="813"/>
        <v>87669000</v>
      </c>
      <c r="D3731" t="str">
        <f t="shared" si="814"/>
        <v>801</v>
      </c>
      <c r="E3731" t="str">
        <f t="shared" si="815"/>
        <v>89301167</v>
      </c>
      <c r="F3731" t="str">
        <f t="shared" si="816"/>
        <v>480710460</v>
      </c>
      <c r="G3731" s="1">
        <v>44659</v>
      </c>
      <c r="H3731" t="str">
        <f>"81421"</f>
        <v>81421</v>
      </c>
      <c r="I3731">
        <v>1</v>
      </c>
      <c r="J3731">
        <v>19</v>
      </c>
      <c r="K3731">
        <v>0</v>
      </c>
      <c r="L3731">
        <v>14.82</v>
      </c>
    </row>
    <row r="3732" spans="1:12" x14ac:dyDescent="0.25">
      <c r="A3732" t="str">
        <f t="shared" si="809"/>
        <v>89301000</v>
      </c>
      <c r="B3732" t="str">
        <f t="shared" si="813"/>
        <v>87669000</v>
      </c>
      <c r="C3732" t="str">
        <f t="shared" si="813"/>
        <v>87669000</v>
      </c>
      <c r="D3732" t="str">
        <f t="shared" si="814"/>
        <v>801</v>
      </c>
      <c r="E3732" t="str">
        <f t="shared" si="815"/>
        <v>89301167</v>
      </c>
      <c r="F3732" t="str">
        <f t="shared" si="816"/>
        <v>480710460</v>
      </c>
      <c r="G3732" s="1">
        <v>44659</v>
      </c>
      <c r="H3732" t="str">
        <f>"81435"</f>
        <v>81435</v>
      </c>
      <c r="I3732">
        <v>1</v>
      </c>
      <c r="J3732">
        <v>22</v>
      </c>
      <c r="K3732">
        <v>0</v>
      </c>
      <c r="L3732">
        <v>17.16</v>
      </c>
    </row>
    <row r="3733" spans="1:12" x14ac:dyDescent="0.25">
      <c r="A3733" t="str">
        <f t="shared" si="809"/>
        <v>89301000</v>
      </c>
      <c r="B3733" t="str">
        <f t="shared" si="813"/>
        <v>87669000</v>
      </c>
      <c r="C3733" t="str">
        <f t="shared" si="813"/>
        <v>87669000</v>
      </c>
      <c r="D3733" t="str">
        <f t="shared" si="814"/>
        <v>801</v>
      </c>
      <c r="E3733" t="str">
        <f t="shared" si="815"/>
        <v>89301167</v>
      </c>
      <c r="F3733" t="str">
        <f t="shared" si="816"/>
        <v>480710460</v>
      </c>
      <c r="G3733" s="1">
        <v>44659</v>
      </c>
      <c r="H3733" t="str">
        <f>"81439"</f>
        <v>81439</v>
      </c>
      <c r="I3733">
        <v>1</v>
      </c>
      <c r="J3733">
        <v>16</v>
      </c>
      <c r="K3733">
        <v>0</v>
      </c>
      <c r="L3733">
        <v>12.48</v>
      </c>
    </row>
    <row r="3734" spans="1:12" x14ac:dyDescent="0.25">
      <c r="A3734" t="str">
        <f t="shared" si="809"/>
        <v>89301000</v>
      </c>
      <c r="B3734" t="str">
        <f t="shared" si="813"/>
        <v>87669000</v>
      </c>
      <c r="C3734" t="str">
        <f t="shared" si="813"/>
        <v>87669000</v>
      </c>
      <c r="D3734" t="str">
        <f t="shared" si="814"/>
        <v>801</v>
      </c>
      <c r="E3734" t="str">
        <f t="shared" si="815"/>
        <v>89301167</v>
      </c>
      <c r="F3734" t="str">
        <f t="shared" si="816"/>
        <v>480710460</v>
      </c>
      <c r="G3734" s="1">
        <v>44659</v>
      </c>
      <c r="H3734" t="str">
        <f>"81469"</f>
        <v>81469</v>
      </c>
      <c r="I3734">
        <v>1</v>
      </c>
      <c r="J3734">
        <v>16</v>
      </c>
      <c r="K3734">
        <v>0</v>
      </c>
      <c r="L3734">
        <v>12.48</v>
      </c>
    </row>
    <row r="3735" spans="1:12" x14ac:dyDescent="0.25">
      <c r="A3735" t="str">
        <f t="shared" si="809"/>
        <v>89301000</v>
      </c>
      <c r="B3735" t="str">
        <f t="shared" si="813"/>
        <v>87669000</v>
      </c>
      <c r="C3735" t="str">
        <f t="shared" si="813"/>
        <v>87669000</v>
      </c>
      <c r="D3735" t="str">
        <f t="shared" si="814"/>
        <v>801</v>
      </c>
      <c r="E3735" t="str">
        <f t="shared" si="815"/>
        <v>89301167</v>
      </c>
      <c r="F3735" t="str">
        <f t="shared" si="816"/>
        <v>480710460</v>
      </c>
      <c r="G3735" s="1">
        <v>44659</v>
      </c>
      <c r="H3735" t="str">
        <f>"81499"</f>
        <v>81499</v>
      </c>
      <c r="I3735">
        <v>1</v>
      </c>
      <c r="J3735">
        <v>18</v>
      </c>
      <c r="K3735">
        <v>0</v>
      </c>
      <c r="L3735">
        <v>14.04</v>
      </c>
    </row>
    <row r="3736" spans="1:12" x14ac:dyDescent="0.25">
      <c r="A3736" t="str">
        <f t="shared" si="809"/>
        <v>89301000</v>
      </c>
      <c r="B3736" t="str">
        <f t="shared" si="813"/>
        <v>87669000</v>
      </c>
      <c r="C3736" t="str">
        <f t="shared" si="813"/>
        <v>87669000</v>
      </c>
      <c r="D3736" t="str">
        <f t="shared" si="814"/>
        <v>801</v>
      </c>
      <c r="E3736" t="str">
        <f t="shared" si="815"/>
        <v>89301167</v>
      </c>
      <c r="F3736" t="str">
        <f t="shared" si="816"/>
        <v>480710460</v>
      </c>
      <c r="G3736" s="1">
        <v>44659</v>
      </c>
      <c r="H3736" t="str">
        <f>"81523"</f>
        <v>81523</v>
      </c>
      <c r="I3736">
        <v>1</v>
      </c>
      <c r="J3736">
        <v>23</v>
      </c>
      <c r="K3736">
        <v>0</v>
      </c>
      <c r="L3736">
        <v>17.940000000000001</v>
      </c>
    </row>
    <row r="3737" spans="1:12" x14ac:dyDescent="0.25">
      <c r="A3737" t="str">
        <f t="shared" si="809"/>
        <v>89301000</v>
      </c>
      <c r="B3737" t="str">
        <f t="shared" si="813"/>
        <v>87669000</v>
      </c>
      <c r="C3737" t="str">
        <f t="shared" si="813"/>
        <v>87669000</v>
      </c>
      <c r="D3737" t="str">
        <f t="shared" si="814"/>
        <v>801</v>
      </c>
      <c r="E3737" t="str">
        <f t="shared" si="815"/>
        <v>89301167</v>
      </c>
      <c r="F3737" t="str">
        <f t="shared" si="816"/>
        <v>480710460</v>
      </c>
      <c r="G3737" s="1">
        <v>44659</v>
      </c>
      <c r="H3737" t="str">
        <f>"81593"</f>
        <v>81593</v>
      </c>
      <c r="I3737">
        <v>1</v>
      </c>
      <c r="J3737">
        <v>22</v>
      </c>
      <c r="K3737">
        <v>0</v>
      </c>
      <c r="L3737">
        <v>17.16</v>
      </c>
    </row>
    <row r="3738" spans="1:12" x14ac:dyDescent="0.25">
      <c r="A3738" t="str">
        <f t="shared" si="809"/>
        <v>89301000</v>
      </c>
      <c r="B3738" t="str">
        <f t="shared" si="813"/>
        <v>87669000</v>
      </c>
      <c r="C3738" t="str">
        <f t="shared" si="813"/>
        <v>87669000</v>
      </c>
      <c r="D3738" t="str">
        <f t="shared" si="814"/>
        <v>801</v>
      </c>
      <c r="E3738" t="str">
        <f t="shared" si="815"/>
        <v>89301167</v>
      </c>
      <c r="F3738" t="str">
        <f t="shared" si="816"/>
        <v>480710460</v>
      </c>
      <c r="G3738" s="1">
        <v>44659</v>
      </c>
      <c r="H3738" t="str">
        <f>"81621"</f>
        <v>81621</v>
      </c>
      <c r="I3738">
        <v>1</v>
      </c>
      <c r="J3738">
        <v>19</v>
      </c>
      <c r="K3738">
        <v>0</v>
      </c>
      <c r="L3738">
        <v>14.82</v>
      </c>
    </row>
    <row r="3739" spans="1:12" x14ac:dyDescent="0.25">
      <c r="A3739" t="str">
        <f t="shared" si="809"/>
        <v>89301000</v>
      </c>
      <c r="B3739" t="str">
        <f t="shared" si="813"/>
        <v>87669000</v>
      </c>
      <c r="C3739" t="str">
        <f t="shared" si="813"/>
        <v>87669000</v>
      </c>
      <c r="D3739" t="str">
        <f t="shared" si="814"/>
        <v>801</v>
      </c>
      <c r="E3739" t="str">
        <f t="shared" si="815"/>
        <v>89301167</v>
      </c>
      <c r="F3739" t="str">
        <f t="shared" si="816"/>
        <v>480710460</v>
      </c>
      <c r="G3739" s="1">
        <v>44659</v>
      </c>
      <c r="H3739" t="str">
        <f>"81625"</f>
        <v>81625</v>
      </c>
      <c r="I3739">
        <v>1</v>
      </c>
      <c r="J3739">
        <v>20</v>
      </c>
      <c r="K3739">
        <v>0</v>
      </c>
      <c r="L3739">
        <v>15.6</v>
      </c>
    </row>
    <row r="3740" spans="1:12" x14ac:dyDescent="0.25">
      <c r="A3740" t="str">
        <f t="shared" si="809"/>
        <v>89301000</v>
      </c>
      <c r="B3740" t="str">
        <f t="shared" si="813"/>
        <v>87669000</v>
      </c>
      <c r="C3740" t="str">
        <f t="shared" si="813"/>
        <v>87669000</v>
      </c>
      <c r="D3740" t="str">
        <f t="shared" si="814"/>
        <v>801</v>
      </c>
      <c r="E3740" t="str">
        <f t="shared" si="815"/>
        <v>89301167</v>
      </c>
      <c r="F3740" t="str">
        <f t="shared" si="816"/>
        <v>480710460</v>
      </c>
      <c r="G3740" s="1">
        <v>44659</v>
      </c>
      <c r="H3740" t="str">
        <f>"91153"</f>
        <v>91153</v>
      </c>
      <c r="I3740">
        <v>1</v>
      </c>
      <c r="J3740">
        <v>152</v>
      </c>
      <c r="K3740">
        <v>0</v>
      </c>
      <c r="L3740">
        <v>118.56</v>
      </c>
    </row>
    <row r="3741" spans="1:12" x14ac:dyDescent="0.25">
      <c r="A3741" t="str">
        <f t="shared" si="809"/>
        <v>89301000</v>
      </c>
      <c r="B3741" t="str">
        <f t="shared" si="813"/>
        <v>87669000</v>
      </c>
      <c r="C3741" t="str">
        <f t="shared" si="813"/>
        <v>87669000</v>
      </c>
      <c r="D3741" t="str">
        <f t="shared" si="814"/>
        <v>801</v>
      </c>
      <c r="E3741" t="str">
        <f t="shared" si="815"/>
        <v>89301167</v>
      </c>
      <c r="F3741" t="str">
        <f t="shared" si="816"/>
        <v>480710460</v>
      </c>
      <c r="G3741" s="1">
        <v>44659</v>
      </c>
      <c r="H3741" t="str">
        <f>"96167"</f>
        <v>96167</v>
      </c>
      <c r="I3741">
        <v>1</v>
      </c>
      <c r="J3741">
        <v>67</v>
      </c>
      <c r="K3741">
        <v>0</v>
      </c>
      <c r="L3741">
        <v>52.26</v>
      </c>
    </row>
    <row r="3742" spans="1:12" x14ac:dyDescent="0.25">
      <c r="A3742" t="str">
        <f t="shared" si="809"/>
        <v>89301000</v>
      </c>
      <c r="B3742" t="str">
        <f t="shared" si="813"/>
        <v>87669000</v>
      </c>
      <c r="C3742" t="str">
        <f t="shared" si="813"/>
        <v>87669000</v>
      </c>
      <c r="D3742" t="str">
        <f t="shared" si="814"/>
        <v>801</v>
      </c>
      <c r="E3742" t="str">
        <f t="shared" si="815"/>
        <v>89301167</v>
      </c>
      <c r="F3742" t="str">
        <f t="shared" si="816"/>
        <v>480710460</v>
      </c>
      <c r="G3742" s="1">
        <v>44659</v>
      </c>
      <c r="H3742" t="str">
        <f>"97111"</f>
        <v>97111</v>
      </c>
      <c r="I3742">
        <v>1</v>
      </c>
      <c r="J3742">
        <v>18</v>
      </c>
      <c r="K3742">
        <v>0</v>
      </c>
      <c r="L3742">
        <v>14.04</v>
      </c>
    </row>
    <row r="3743" spans="1:12" x14ac:dyDescent="0.25">
      <c r="A3743" t="str">
        <f t="shared" si="809"/>
        <v>89301000</v>
      </c>
      <c r="B3743" t="str">
        <f t="shared" ref="B3743:B3755" si="817">"91997900"</f>
        <v>91997900</v>
      </c>
      <c r="C3743" t="str">
        <f t="shared" ref="C3743:C3755" si="818">"91997901"</f>
        <v>91997901</v>
      </c>
      <c r="D3743" t="str">
        <f t="shared" si="814"/>
        <v>801</v>
      </c>
      <c r="E3743" t="str">
        <f>"89301082"</f>
        <v>89301082</v>
      </c>
      <c r="F3743" t="str">
        <f>"8355064982"</f>
        <v>8355064982</v>
      </c>
      <c r="G3743" s="1">
        <v>44670</v>
      </c>
      <c r="H3743" t="str">
        <f>"09119"</f>
        <v>09119</v>
      </c>
      <c r="I3743">
        <v>1</v>
      </c>
      <c r="J3743">
        <v>42</v>
      </c>
      <c r="K3743">
        <v>0</v>
      </c>
      <c r="L3743">
        <v>32.76</v>
      </c>
    </row>
    <row r="3744" spans="1:12" x14ac:dyDescent="0.25">
      <c r="A3744" t="str">
        <f t="shared" si="809"/>
        <v>89301000</v>
      </c>
      <c r="B3744" t="str">
        <f t="shared" si="817"/>
        <v>91997900</v>
      </c>
      <c r="C3744" t="str">
        <f t="shared" si="818"/>
        <v>91997901</v>
      </c>
      <c r="D3744" t="str">
        <f t="shared" si="814"/>
        <v>801</v>
      </c>
      <c r="E3744" t="str">
        <f>"89301082"</f>
        <v>89301082</v>
      </c>
      <c r="F3744" t="str">
        <f>"8355064982"</f>
        <v>8355064982</v>
      </c>
      <c r="G3744" s="1">
        <v>44670</v>
      </c>
      <c r="H3744" t="str">
        <f>"97111"</f>
        <v>97111</v>
      </c>
      <c r="I3744">
        <v>1</v>
      </c>
      <c r="J3744">
        <v>18</v>
      </c>
      <c r="K3744">
        <v>0</v>
      </c>
      <c r="L3744">
        <v>14.04</v>
      </c>
    </row>
    <row r="3745" spans="1:12" x14ac:dyDescent="0.25">
      <c r="A3745" t="str">
        <f t="shared" si="809"/>
        <v>89301000</v>
      </c>
      <c r="B3745" t="str">
        <f t="shared" si="817"/>
        <v>91997900</v>
      </c>
      <c r="C3745" t="str">
        <f t="shared" si="818"/>
        <v>91997901</v>
      </c>
      <c r="D3745" t="str">
        <f t="shared" si="814"/>
        <v>801</v>
      </c>
      <c r="E3745" t="str">
        <f t="shared" ref="E3745:E3752" si="819">"89301103"</f>
        <v>89301103</v>
      </c>
      <c r="F3745" t="str">
        <f t="shared" ref="F3745:F3752" si="820">"2157022043"</f>
        <v>2157022043</v>
      </c>
      <c r="G3745" s="1">
        <v>44665</v>
      </c>
      <c r="H3745" t="str">
        <f>"81631"</f>
        <v>81631</v>
      </c>
      <c r="I3745">
        <v>1</v>
      </c>
      <c r="J3745">
        <v>294</v>
      </c>
      <c r="K3745">
        <v>0</v>
      </c>
      <c r="L3745">
        <v>229.32</v>
      </c>
    </row>
    <row r="3746" spans="1:12" x14ac:dyDescent="0.25">
      <c r="A3746" t="str">
        <f t="shared" si="809"/>
        <v>89301000</v>
      </c>
      <c r="B3746" t="str">
        <f t="shared" si="817"/>
        <v>91997900</v>
      </c>
      <c r="C3746" t="str">
        <f t="shared" si="818"/>
        <v>91997901</v>
      </c>
      <c r="D3746" t="str">
        <f t="shared" si="814"/>
        <v>801</v>
      </c>
      <c r="E3746" t="str">
        <f t="shared" si="819"/>
        <v>89301103</v>
      </c>
      <c r="F3746" t="str">
        <f t="shared" si="820"/>
        <v>2157022043</v>
      </c>
      <c r="G3746" s="1">
        <v>44665</v>
      </c>
      <c r="H3746" t="str">
        <f>"92157"</f>
        <v>92157</v>
      </c>
      <c r="I3746">
        <v>1</v>
      </c>
      <c r="J3746">
        <v>1754</v>
      </c>
      <c r="K3746">
        <v>0</v>
      </c>
      <c r="L3746">
        <v>1368.12</v>
      </c>
    </row>
    <row r="3747" spans="1:12" x14ac:dyDescent="0.25">
      <c r="A3747" t="str">
        <f t="shared" si="809"/>
        <v>89301000</v>
      </c>
      <c r="B3747" t="str">
        <f t="shared" si="817"/>
        <v>91997900</v>
      </c>
      <c r="C3747" t="str">
        <f t="shared" si="818"/>
        <v>91997901</v>
      </c>
      <c r="D3747" t="str">
        <f t="shared" si="814"/>
        <v>801</v>
      </c>
      <c r="E3747" t="str">
        <f t="shared" si="819"/>
        <v>89301103</v>
      </c>
      <c r="F3747" t="str">
        <f t="shared" si="820"/>
        <v>2157022043</v>
      </c>
      <c r="G3747" s="1">
        <v>44664</v>
      </c>
      <c r="H3747" t="str">
        <f>"81643"</f>
        <v>81643</v>
      </c>
      <c r="I3747">
        <v>1</v>
      </c>
      <c r="J3747">
        <v>104</v>
      </c>
      <c r="K3747">
        <v>0</v>
      </c>
      <c r="L3747">
        <v>81.12</v>
      </c>
    </row>
    <row r="3748" spans="1:12" x14ac:dyDescent="0.25">
      <c r="A3748" t="str">
        <f t="shared" si="809"/>
        <v>89301000</v>
      </c>
      <c r="B3748" t="str">
        <f t="shared" si="817"/>
        <v>91997900</v>
      </c>
      <c r="C3748" t="str">
        <f t="shared" si="818"/>
        <v>91997901</v>
      </c>
      <c r="D3748" t="str">
        <f t="shared" si="814"/>
        <v>801</v>
      </c>
      <c r="E3748" t="str">
        <f t="shared" si="819"/>
        <v>89301103</v>
      </c>
      <c r="F3748" t="str">
        <f t="shared" si="820"/>
        <v>2157022043</v>
      </c>
      <c r="G3748" s="1">
        <v>44663</v>
      </c>
      <c r="H3748" t="str">
        <f>"81769"</f>
        <v>81769</v>
      </c>
      <c r="I3748">
        <v>1</v>
      </c>
      <c r="J3748">
        <v>172</v>
      </c>
      <c r="K3748">
        <v>0</v>
      </c>
      <c r="L3748">
        <v>134.16</v>
      </c>
    </row>
    <row r="3749" spans="1:12" x14ac:dyDescent="0.25">
      <c r="A3749" t="str">
        <f t="shared" si="809"/>
        <v>89301000</v>
      </c>
      <c r="B3749" t="str">
        <f t="shared" si="817"/>
        <v>91997900</v>
      </c>
      <c r="C3749" t="str">
        <f t="shared" si="818"/>
        <v>91997901</v>
      </c>
      <c r="D3749" t="str">
        <f t="shared" si="814"/>
        <v>801</v>
      </c>
      <c r="E3749" t="str">
        <f t="shared" si="819"/>
        <v>89301103</v>
      </c>
      <c r="F3749" t="str">
        <f t="shared" si="820"/>
        <v>2157022043</v>
      </c>
      <c r="G3749" s="1">
        <v>44663</v>
      </c>
      <c r="H3749" t="str">
        <f>"97111"</f>
        <v>97111</v>
      </c>
      <c r="I3749">
        <v>2</v>
      </c>
      <c r="J3749">
        <v>36</v>
      </c>
      <c r="K3749">
        <v>0</v>
      </c>
      <c r="L3749">
        <v>28.08</v>
      </c>
    </row>
    <row r="3750" spans="1:12" x14ac:dyDescent="0.25">
      <c r="A3750" t="str">
        <f t="shared" si="809"/>
        <v>89301000</v>
      </c>
      <c r="B3750" t="str">
        <f t="shared" si="817"/>
        <v>91997900</v>
      </c>
      <c r="C3750" t="str">
        <f t="shared" si="818"/>
        <v>91997901</v>
      </c>
      <c r="D3750" t="str">
        <f t="shared" si="814"/>
        <v>801</v>
      </c>
      <c r="E3750" t="str">
        <f t="shared" si="819"/>
        <v>89301103</v>
      </c>
      <c r="F3750" t="str">
        <f t="shared" si="820"/>
        <v>2157022043</v>
      </c>
      <c r="G3750" s="1">
        <v>44670</v>
      </c>
      <c r="H3750" t="str">
        <f>"92157"</f>
        <v>92157</v>
      </c>
      <c r="I3750">
        <v>1</v>
      </c>
      <c r="J3750">
        <v>1754</v>
      </c>
      <c r="K3750">
        <v>0</v>
      </c>
      <c r="L3750">
        <v>1368.12</v>
      </c>
    </row>
    <row r="3751" spans="1:12" x14ac:dyDescent="0.25">
      <c r="A3751" t="str">
        <f t="shared" si="809"/>
        <v>89301000</v>
      </c>
      <c r="B3751" t="str">
        <f t="shared" si="817"/>
        <v>91997900</v>
      </c>
      <c r="C3751" t="str">
        <f t="shared" si="818"/>
        <v>91997901</v>
      </c>
      <c r="D3751" t="str">
        <f t="shared" si="814"/>
        <v>801</v>
      </c>
      <c r="E3751" t="str">
        <f t="shared" si="819"/>
        <v>89301103</v>
      </c>
      <c r="F3751" t="str">
        <f t="shared" si="820"/>
        <v>2157022043</v>
      </c>
      <c r="G3751" s="1">
        <v>44672</v>
      </c>
      <c r="H3751" t="str">
        <f>"92157"</f>
        <v>92157</v>
      </c>
      <c r="I3751">
        <v>1</v>
      </c>
      <c r="J3751">
        <v>1754</v>
      </c>
      <c r="K3751">
        <v>0</v>
      </c>
      <c r="L3751">
        <v>1368.12</v>
      </c>
    </row>
    <row r="3752" spans="1:12" x14ac:dyDescent="0.25">
      <c r="A3752" t="str">
        <f t="shared" si="809"/>
        <v>89301000</v>
      </c>
      <c r="B3752" t="str">
        <f t="shared" si="817"/>
        <v>91997900</v>
      </c>
      <c r="C3752" t="str">
        <f t="shared" si="818"/>
        <v>91997901</v>
      </c>
      <c r="D3752" t="str">
        <f t="shared" si="814"/>
        <v>801</v>
      </c>
      <c r="E3752" t="str">
        <f t="shared" si="819"/>
        <v>89301103</v>
      </c>
      <c r="F3752" t="str">
        <f t="shared" si="820"/>
        <v>2157022043</v>
      </c>
      <c r="G3752" s="1">
        <v>44677</v>
      </c>
      <c r="H3752" t="str">
        <f>"92169"</f>
        <v>92169</v>
      </c>
      <c r="I3752">
        <v>1</v>
      </c>
      <c r="J3752">
        <v>944</v>
      </c>
      <c r="K3752">
        <v>0</v>
      </c>
      <c r="L3752">
        <v>736.32</v>
      </c>
    </row>
    <row r="3753" spans="1:12" x14ac:dyDescent="0.25">
      <c r="A3753" t="str">
        <f t="shared" si="809"/>
        <v>89301000</v>
      </c>
      <c r="B3753" t="str">
        <f t="shared" si="817"/>
        <v>91997900</v>
      </c>
      <c r="C3753" t="str">
        <f t="shared" si="818"/>
        <v>91997901</v>
      </c>
      <c r="D3753" t="str">
        <f t="shared" si="814"/>
        <v>801</v>
      </c>
      <c r="E3753" t="str">
        <f>"89301167"</f>
        <v>89301167</v>
      </c>
      <c r="F3753" t="str">
        <f>"480710460"</f>
        <v>480710460</v>
      </c>
      <c r="G3753" s="1">
        <v>44659</v>
      </c>
      <c r="H3753" t="str">
        <f>"81249"</f>
        <v>81249</v>
      </c>
      <c r="I3753">
        <v>1</v>
      </c>
      <c r="J3753">
        <v>333</v>
      </c>
      <c r="K3753">
        <v>0</v>
      </c>
      <c r="L3753">
        <v>259.74</v>
      </c>
    </row>
    <row r="3754" spans="1:12" x14ac:dyDescent="0.25">
      <c r="A3754" t="str">
        <f t="shared" si="809"/>
        <v>89301000</v>
      </c>
      <c r="B3754" t="str">
        <f t="shared" si="817"/>
        <v>91997900</v>
      </c>
      <c r="C3754" t="str">
        <f t="shared" si="818"/>
        <v>91997901</v>
      </c>
      <c r="D3754" t="str">
        <f t="shared" si="814"/>
        <v>801</v>
      </c>
      <c r="E3754" t="str">
        <f>"89301167"</f>
        <v>89301167</v>
      </c>
      <c r="F3754" t="str">
        <f>"480710460"</f>
        <v>480710460</v>
      </c>
      <c r="G3754" s="1">
        <v>44659</v>
      </c>
      <c r="H3754" t="str">
        <f>"93135"</f>
        <v>93135</v>
      </c>
      <c r="I3754">
        <v>1</v>
      </c>
      <c r="J3754">
        <v>300</v>
      </c>
      <c r="K3754">
        <v>0</v>
      </c>
      <c r="L3754">
        <v>234</v>
      </c>
    </row>
    <row r="3755" spans="1:12" x14ac:dyDescent="0.25">
      <c r="A3755" t="str">
        <f t="shared" si="809"/>
        <v>89301000</v>
      </c>
      <c r="B3755" t="str">
        <f t="shared" si="817"/>
        <v>91997900</v>
      </c>
      <c r="C3755" t="str">
        <f t="shared" si="818"/>
        <v>91997901</v>
      </c>
      <c r="D3755" t="str">
        <f t="shared" si="814"/>
        <v>801</v>
      </c>
      <c r="E3755" t="str">
        <f>"89301082"</f>
        <v>89301082</v>
      </c>
      <c r="F3755" t="str">
        <f>"8355064982"</f>
        <v>8355064982</v>
      </c>
      <c r="G3755" s="1">
        <v>44670</v>
      </c>
      <c r="H3755" t="str">
        <f>"93159"</f>
        <v>93159</v>
      </c>
      <c r="I3755">
        <v>1</v>
      </c>
      <c r="J3755">
        <v>195</v>
      </c>
      <c r="K3755">
        <v>0</v>
      </c>
      <c r="L3755">
        <v>152.1</v>
      </c>
    </row>
    <row r="3756" spans="1:12" x14ac:dyDescent="0.25">
      <c r="A3756" t="str">
        <f t="shared" si="809"/>
        <v>89301000</v>
      </c>
      <c r="B3756" t="str">
        <f>"72996675"</f>
        <v>72996675</v>
      </c>
      <c r="C3756" t="str">
        <f>"72996675"</f>
        <v>72996675</v>
      </c>
      <c r="D3756" t="str">
        <f>"816"</f>
        <v>816</v>
      </c>
      <c r="E3756" t="str">
        <f>"89301282"</f>
        <v>89301282</v>
      </c>
      <c r="F3756" t="str">
        <f>"9405125763"</f>
        <v>9405125763</v>
      </c>
      <c r="G3756" s="1">
        <v>44664</v>
      </c>
      <c r="H3756" t="str">
        <f>"94982"</f>
        <v>94982</v>
      </c>
      <c r="I3756">
        <v>1</v>
      </c>
      <c r="J3756">
        <v>0</v>
      </c>
      <c r="K3756">
        <v>27500</v>
      </c>
      <c r="L3756">
        <v>27500</v>
      </c>
    </row>
    <row r="3757" spans="1:12" x14ac:dyDescent="0.25">
      <c r="A3757" t="str">
        <f t="shared" si="809"/>
        <v>89301000</v>
      </c>
      <c r="B3757" t="str">
        <f>"72996675"</f>
        <v>72996675</v>
      </c>
      <c r="C3757" t="str">
        <f>"72996675"</f>
        <v>72996675</v>
      </c>
      <c r="D3757" t="str">
        <f>"816"</f>
        <v>816</v>
      </c>
      <c r="E3757" t="str">
        <f>"89301282"</f>
        <v>89301282</v>
      </c>
      <c r="F3757" t="str">
        <f>"9405125763"</f>
        <v>9405125763</v>
      </c>
      <c r="G3757" s="1">
        <v>44664</v>
      </c>
      <c r="H3757" t="str">
        <f>"94996"</f>
        <v>94996</v>
      </c>
      <c r="I3757">
        <v>1</v>
      </c>
      <c r="J3757">
        <v>0</v>
      </c>
      <c r="K3757">
        <v>0</v>
      </c>
      <c r="L3757">
        <v>0</v>
      </c>
    </row>
    <row r="3758" spans="1:12" x14ac:dyDescent="0.25">
      <c r="A3758" t="str">
        <f t="shared" si="809"/>
        <v>89301000</v>
      </c>
      <c r="B3758" t="str">
        <f>"93507000"</f>
        <v>93507000</v>
      </c>
      <c r="C3758" t="str">
        <f>"93507001"</f>
        <v>93507001</v>
      </c>
      <c r="D3758" t="str">
        <f t="shared" ref="D3758:D3763" si="821">"809"</f>
        <v>809</v>
      </c>
      <c r="E3758" t="str">
        <f>"89301212"</f>
        <v>89301212</v>
      </c>
      <c r="F3758" t="str">
        <f>"6456101168"</f>
        <v>6456101168</v>
      </c>
      <c r="G3758" s="1">
        <v>44664</v>
      </c>
      <c r="H3758" t="str">
        <f>"89513"</f>
        <v>89513</v>
      </c>
      <c r="I3758">
        <v>1</v>
      </c>
      <c r="J3758">
        <v>371</v>
      </c>
      <c r="K3758">
        <v>0</v>
      </c>
      <c r="L3758">
        <v>519.4</v>
      </c>
    </row>
    <row r="3759" spans="1:12" x14ac:dyDescent="0.25">
      <c r="A3759" t="str">
        <f t="shared" si="809"/>
        <v>89301000</v>
      </c>
      <c r="B3759" t="str">
        <f>"93507000"</f>
        <v>93507000</v>
      </c>
      <c r="C3759" t="str">
        <f>"93507001"</f>
        <v>93507001</v>
      </c>
      <c r="D3759" t="str">
        <f t="shared" si="821"/>
        <v>809</v>
      </c>
      <c r="E3759" t="str">
        <f>"89301212"</f>
        <v>89301212</v>
      </c>
      <c r="F3759" t="str">
        <f>"6456101168"</f>
        <v>6456101168</v>
      </c>
      <c r="G3759" s="1">
        <v>44664</v>
      </c>
      <c r="H3759" t="str">
        <f>"89514"</f>
        <v>89514</v>
      </c>
      <c r="I3759">
        <v>1</v>
      </c>
      <c r="J3759">
        <v>371</v>
      </c>
      <c r="K3759">
        <v>0</v>
      </c>
      <c r="L3759">
        <v>519.4</v>
      </c>
    </row>
    <row r="3760" spans="1:12" x14ac:dyDescent="0.25">
      <c r="A3760" t="str">
        <f t="shared" si="809"/>
        <v>89301000</v>
      </c>
      <c r="B3760" t="str">
        <f>"93507000"</f>
        <v>93507000</v>
      </c>
      <c r="C3760" t="str">
        <f>"93507001"</f>
        <v>93507001</v>
      </c>
      <c r="D3760" t="str">
        <f t="shared" si="821"/>
        <v>809</v>
      </c>
      <c r="E3760" t="str">
        <f>"89301032"</f>
        <v>89301032</v>
      </c>
      <c r="F3760" t="str">
        <f>"7207085754"</f>
        <v>7207085754</v>
      </c>
      <c r="G3760" s="1">
        <v>44663</v>
      </c>
      <c r="H3760" t="str">
        <f>"89513"</f>
        <v>89513</v>
      </c>
      <c r="I3760">
        <v>1</v>
      </c>
      <c r="J3760">
        <v>371</v>
      </c>
      <c r="K3760">
        <v>0</v>
      </c>
      <c r="L3760">
        <v>519.4</v>
      </c>
    </row>
    <row r="3761" spans="1:12" x14ac:dyDescent="0.25">
      <c r="A3761" t="str">
        <f t="shared" si="809"/>
        <v>89301000</v>
      </c>
      <c r="B3761" t="str">
        <f>"93507000"</f>
        <v>93507000</v>
      </c>
      <c r="C3761" t="str">
        <f>"93507001"</f>
        <v>93507001</v>
      </c>
      <c r="D3761" t="str">
        <f t="shared" si="821"/>
        <v>809</v>
      </c>
      <c r="E3761" t="str">
        <f>"89301032"</f>
        <v>89301032</v>
      </c>
      <c r="F3761" t="str">
        <f>"7207085754"</f>
        <v>7207085754</v>
      </c>
      <c r="G3761" s="1">
        <v>44663</v>
      </c>
      <c r="H3761" t="str">
        <f>"89514"</f>
        <v>89514</v>
      </c>
      <c r="I3761">
        <v>1</v>
      </c>
      <c r="J3761">
        <v>371</v>
      </c>
      <c r="K3761">
        <v>0</v>
      </c>
      <c r="L3761">
        <v>519.4</v>
      </c>
    </row>
    <row r="3762" spans="1:12" x14ac:dyDescent="0.25">
      <c r="A3762" t="str">
        <f t="shared" si="809"/>
        <v>89301000</v>
      </c>
      <c r="B3762" t="str">
        <f>"86988400"</f>
        <v>86988400</v>
      </c>
      <c r="C3762" t="str">
        <f>"86988401"</f>
        <v>86988401</v>
      </c>
      <c r="D3762" t="str">
        <f t="shared" si="821"/>
        <v>809</v>
      </c>
      <c r="E3762" t="str">
        <f>"89301112"</f>
        <v>89301112</v>
      </c>
      <c r="F3762" t="str">
        <f>"6151120998"</f>
        <v>6151120998</v>
      </c>
      <c r="G3762" s="1">
        <v>44660</v>
      </c>
      <c r="H3762" t="str">
        <f>"89713"</f>
        <v>89713</v>
      </c>
      <c r="I3762">
        <v>1</v>
      </c>
      <c r="J3762">
        <v>5362</v>
      </c>
      <c r="K3762">
        <v>0</v>
      </c>
      <c r="L3762">
        <v>3217.2</v>
      </c>
    </row>
    <row r="3763" spans="1:12" x14ac:dyDescent="0.25">
      <c r="A3763" t="str">
        <f t="shared" si="809"/>
        <v>89301000</v>
      </c>
      <c r="B3763" t="str">
        <f>"86988400"</f>
        <v>86988400</v>
      </c>
      <c r="C3763" t="str">
        <f>"86988401"</f>
        <v>86988401</v>
      </c>
      <c r="D3763" t="str">
        <f t="shared" si="821"/>
        <v>809</v>
      </c>
      <c r="E3763" t="str">
        <f>"89301112"</f>
        <v>89301112</v>
      </c>
      <c r="F3763" t="str">
        <f>"6151120998"</f>
        <v>6151120998</v>
      </c>
      <c r="G3763" s="1">
        <v>44660</v>
      </c>
      <c r="H3763" t="str">
        <f>"89725"</f>
        <v>89725</v>
      </c>
      <c r="I3763">
        <v>1</v>
      </c>
      <c r="J3763">
        <v>2839</v>
      </c>
      <c r="K3763">
        <v>0</v>
      </c>
      <c r="L3763">
        <v>1703.4</v>
      </c>
    </row>
    <row r="3764" spans="1:12" x14ac:dyDescent="0.25">
      <c r="A3764" t="str">
        <f t="shared" si="809"/>
        <v>89301000</v>
      </c>
      <c r="B3764" t="str">
        <f t="shared" ref="B3764:B3827" si="822">"06539000"</f>
        <v>06539000</v>
      </c>
      <c r="C3764" t="str">
        <f t="shared" ref="C3764:C3796" si="823">"06539003"</f>
        <v>06539003</v>
      </c>
      <c r="D3764" t="str">
        <f t="shared" ref="D3764:D3796" si="824">"813"</f>
        <v>813</v>
      </c>
      <c r="E3764" t="str">
        <f t="shared" ref="E3764:E3795" si="825">"89301171"</f>
        <v>89301171</v>
      </c>
      <c r="F3764" t="str">
        <f t="shared" ref="F3764:F3773" si="826">"430313411"</f>
        <v>430313411</v>
      </c>
      <c r="G3764" s="1">
        <v>44643</v>
      </c>
      <c r="H3764" t="str">
        <f t="shared" ref="H3764:H3773" si="827">"91413"</f>
        <v>91413</v>
      </c>
      <c r="I3764">
        <v>1</v>
      </c>
      <c r="J3764">
        <v>853</v>
      </c>
      <c r="K3764">
        <v>0</v>
      </c>
      <c r="L3764">
        <v>665.34</v>
      </c>
    </row>
    <row r="3765" spans="1:12" x14ac:dyDescent="0.25">
      <c r="A3765" t="str">
        <f t="shared" si="809"/>
        <v>89301000</v>
      </c>
      <c r="B3765" t="str">
        <f t="shared" si="822"/>
        <v>06539000</v>
      </c>
      <c r="C3765" t="str">
        <f t="shared" si="823"/>
        <v>06539003</v>
      </c>
      <c r="D3765" t="str">
        <f t="shared" si="824"/>
        <v>813</v>
      </c>
      <c r="E3765" t="str">
        <f t="shared" si="825"/>
        <v>89301171</v>
      </c>
      <c r="F3765" t="str">
        <f t="shared" si="826"/>
        <v>430313411</v>
      </c>
      <c r="G3765" s="1">
        <v>44643</v>
      </c>
      <c r="H3765" t="str">
        <f t="shared" si="827"/>
        <v>91413</v>
      </c>
      <c r="I3765">
        <v>1</v>
      </c>
      <c r="J3765">
        <v>853</v>
      </c>
      <c r="K3765">
        <v>0</v>
      </c>
      <c r="L3765">
        <v>665.34</v>
      </c>
    </row>
    <row r="3766" spans="1:12" x14ac:dyDescent="0.25">
      <c r="A3766" t="str">
        <f t="shared" si="809"/>
        <v>89301000</v>
      </c>
      <c r="B3766" t="str">
        <f t="shared" si="822"/>
        <v>06539000</v>
      </c>
      <c r="C3766" t="str">
        <f t="shared" si="823"/>
        <v>06539003</v>
      </c>
      <c r="D3766" t="str">
        <f t="shared" si="824"/>
        <v>813</v>
      </c>
      <c r="E3766" t="str">
        <f t="shared" si="825"/>
        <v>89301171</v>
      </c>
      <c r="F3766" t="str">
        <f t="shared" si="826"/>
        <v>430313411</v>
      </c>
      <c r="G3766" s="1">
        <v>44652</v>
      </c>
      <c r="H3766" t="str">
        <f t="shared" si="827"/>
        <v>91413</v>
      </c>
      <c r="I3766">
        <v>1</v>
      </c>
      <c r="J3766">
        <v>853</v>
      </c>
      <c r="K3766">
        <v>0</v>
      </c>
      <c r="L3766">
        <v>665.34</v>
      </c>
    </row>
    <row r="3767" spans="1:12" x14ac:dyDescent="0.25">
      <c r="A3767" t="str">
        <f t="shared" si="809"/>
        <v>89301000</v>
      </c>
      <c r="B3767" t="str">
        <f t="shared" si="822"/>
        <v>06539000</v>
      </c>
      <c r="C3767" t="str">
        <f t="shared" si="823"/>
        <v>06539003</v>
      </c>
      <c r="D3767" t="str">
        <f t="shared" si="824"/>
        <v>813</v>
      </c>
      <c r="E3767" t="str">
        <f t="shared" si="825"/>
        <v>89301171</v>
      </c>
      <c r="F3767" t="str">
        <f t="shared" si="826"/>
        <v>430313411</v>
      </c>
      <c r="G3767" s="1">
        <v>44652</v>
      </c>
      <c r="H3767" t="str">
        <f t="shared" si="827"/>
        <v>91413</v>
      </c>
      <c r="I3767">
        <v>1</v>
      </c>
      <c r="J3767">
        <v>853</v>
      </c>
      <c r="K3767">
        <v>0</v>
      </c>
      <c r="L3767">
        <v>665.34</v>
      </c>
    </row>
    <row r="3768" spans="1:12" x14ac:dyDescent="0.25">
      <c r="A3768" t="str">
        <f t="shared" si="809"/>
        <v>89301000</v>
      </c>
      <c r="B3768" t="str">
        <f t="shared" si="822"/>
        <v>06539000</v>
      </c>
      <c r="C3768" t="str">
        <f t="shared" si="823"/>
        <v>06539003</v>
      </c>
      <c r="D3768" t="str">
        <f t="shared" si="824"/>
        <v>813</v>
      </c>
      <c r="E3768" t="str">
        <f t="shared" si="825"/>
        <v>89301171</v>
      </c>
      <c r="F3768" t="str">
        <f t="shared" si="826"/>
        <v>430313411</v>
      </c>
      <c r="G3768" s="1">
        <v>44650</v>
      </c>
      <c r="H3768" t="str">
        <f t="shared" si="827"/>
        <v>91413</v>
      </c>
      <c r="I3768">
        <v>1</v>
      </c>
      <c r="J3768">
        <v>853</v>
      </c>
      <c r="K3768">
        <v>0</v>
      </c>
      <c r="L3768">
        <v>665.34</v>
      </c>
    </row>
    <row r="3769" spans="1:12" x14ac:dyDescent="0.25">
      <c r="A3769" t="str">
        <f t="shared" si="809"/>
        <v>89301000</v>
      </c>
      <c r="B3769" t="str">
        <f t="shared" si="822"/>
        <v>06539000</v>
      </c>
      <c r="C3769" t="str">
        <f t="shared" si="823"/>
        <v>06539003</v>
      </c>
      <c r="D3769" t="str">
        <f t="shared" si="824"/>
        <v>813</v>
      </c>
      <c r="E3769" t="str">
        <f t="shared" si="825"/>
        <v>89301171</v>
      </c>
      <c r="F3769" t="str">
        <f t="shared" si="826"/>
        <v>430313411</v>
      </c>
      <c r="G3769" s="1">
        <v>44650</v>
      </c>
      <c r="H3769" t="str">
        <f t="shared" si="827"/>
        <v>91413</v>
      </c>
      <c r="I3769">
        <v>1</v>
      </c>
      <c r="J3769">
        <v>853</v>
      </c>
      <c r="K3769">
        <v>0</v>
      </c>
      <c r="L3769">
        <v>665.34</v>
      </c>
    </row>
    <row r="3770" spans="1:12" x14ac:dyDescent="0.25">
      <c r="A3770" t="str">
        <f t="shared" si="809"/>
        <v>89301000</v>
      </c>
      <c r="B3770" t="str">
        <f t="shared" si="822"/>
        <v>06539000</v>
      </c>
      <c r="C3770" t="str">
        <f t="shared" si="823"/>
        <v>06539003</v>
      </c>
      <c r="D3770" t="str">
        <f t="shared" si="824"/>
        <v>813</v>
      </c>
      <c r="E3770" t="str">
        <f t="shared" si="825"/>
        <v>89301171</v>
      </c>
      <c r="F3770" t="str">
        <f t="shared" si="826"/>
        <v>430313411</v>
      </c>
      <c r="G3770" s="1">
        <v>44652</v>
      </c>
      <c r="H3770" t="str">
        <f t="shared" si="827"/>
        <v>91413</v>
      </c>
      <c r="I3770">
        <v>1</v>
      </c>
      <c r="J3770">
        <v>853</v>
      </c>
      <c r="K3770">
        <v>0</v>
      </c>
      <c r="L3770">
        <v>665.34</v>
      </c>
    </row>
    <row r="3771" spans="1:12" x14ac:dyDescent="0.25">
      <c r="A3771" t="str">
        <f t="shared" si="809"/>
        <v>89301000</v>
      </c>
      <c r="B3771" t="str">
        <f t="shared" si="822"/>
        <v>06539000</v>
      </c>
      <c r="C3771" t="str">
        <f t="shared" si="823"/>
        <v>06539003</v>
      </c>
      <c r="D3771" t="str">
        <f t="shared" si="824"/>
        <v>813</v>
      </c>
      <c r="E3771" t="str">
        <f t="shared" si="825"/>
        <v>89301171</v>
      </c>
      <c r="F3771" t="str">
        <f t="shared" si="826"/>
        <v>430313411</v>
      </c>
      <c r="G3771" s="1">
        <v>44652</v>
      </c>
      <c r="H3771" t="str">
        <f t="shared" si="827"/>
        <v>91413</v>
      </c>
      <c r="I3771">
        <v>1</v>
      </c>
      <c r="J3771">
        <v>853</v>
      </c>
      <c r="K3771">
        <v>0</v>
      </c>
      <c r="L3771">
        <v>665.34</v>
      </c>
    </row>
    <row r="3772" spans="1:12" x14ac:dyDescent="0.25">
      <c r="A3772" t="str">
        <f t="shared" si="809"/>
        <v>89301000</v>
      </c>
      <c r="B3772" t="str">
        <f t="shared" si="822"/>
        <v>06539000</v>
      </c>
      <c r="C3772" t="str">
        <f t="shared" si="823"/>
        <v>06539003</v>
      </c>
      <c r="D3772" t="str">
        <f t="shared" si="824"/>
        <v>813</v>
      </c>
      <c r="E3772" t="str">
        <f t="shared" si="825"/>
        <v>89301171</v>
      </c>
      <c r="F3772" t="str">
        <f t="shared" si="826"/>
        <v>430313411</v>
      </c>
      <c r="G3772" s="1">
        <v>44652</v>
      </c>
      <c r="H3772" t="str">
        <f t="shared" si="827"/>
        <v>91413</v>
      </c>
      <c r="I3772">
        <v>1</v>
      </c>
      <c r="J3772">
        <v>853</v>
      </c>
      <c r="K3772">
        <v>0</v>
      </c>
      <c r="L3772">
        <v>665.34</v>
      </c>
    </row>
    <row r="3773" spans="1:12" x14ac:dyDescent="0.25">
      <c r="A3773" t="str">
        <f t="shared" si="809"/>
        <v>89301000</v>
      </c>
      <c r="B3773" t="str">
        <f t="shared" si="822"/>
        <v>06539000</v>
      </c>
      <c r="C3773" t="str">
        <f t="shared" si="823"/>
        <v>06539003</v>
      </c>
      <c r="D3773" t="str">
        <f t="shared" si="824"/>
        <v>813</v>
      </c>
      <c r="E3773" t="str">
        <f t="shared" si="825"/>
        <v>89301171</v>
      </c>
      <c r="F3773" t="str">
        <f t="shared" si="826"/>
        <v>430313411</v>
      </c>
      <c r="G3773" s="1">
        <v>44652</v>
      </c>
      <c r="H3773" t="str">
        <f t="shared" si="827"/>
        <v>91413</v>
      </c>
      <c r="I3773">
        <v>1</v>
      </c>
      <c r="J3773">
        <v>853</v>
      </c>
      <c r="K3773">
        <v>0</v>
      </c>
      <c r="L3773">
        <v>665.34</v>
      </c>
    </row>
    <row r="3774" spans="1:12" x14ac:dyDescent="0.25">
      <c r="A3774" t="str">
        <f t="shared" si="809"/>
        <v>89301000</v>
      </c>
      <c r="B3774" t="str">
        <f t="shared" si="822"/>
        <v>06539000</v>
      </c>
      <c r="C3774" t="str">
        <f t="shared" si="823"/>
        <v>06539003</v>
      </c>
      <c r="D3774" t="str">
        <f t="shared" si="824"/>
        <v>813</v>
      </c>
      <c r="E3774" t="str">
        <f t="shared" si="825"/>
        <v>89301171</v>
      </c>
      <c r="F3774" t="str">
        <f t="shared" ref="F3774:F3796" si="828">"8356184463"</f>
        <v>8356184463</v>
      </c>
      <c r="G3774" s="1">
        <v>44650</v>
      </c>
      <c r="H3774" t="str">
        <f>"91439"</f>
        <v>91439</v>
      </c>
      <c r="I3774">
        <v>1</v>
      </c>
      <c r="J3774">
        <v>356</v>
      </c>
      <c r="K3774">
        <v>0</v>
      </c>
      <c r="L3774">
        <v>277.68</v>
      </c>
    </row>
    <row r="3775" spans="1:12" x14ac:dyDescent="0.25">
      <c r="A3775" t="str">
        <f t="shared" si="809"/>
        <v>89301000</v>
      </c>
      <c r="B3775" t="str">
        <f t="shared" si="822"/>
        <v>06539000</v>
      </c>
      <c r="C3775" t="str">
        <f t="shared" si="823"/>
        <v>06539003</v>
      </c>
      <c r="D3775" t="str">
        <f t="shared" si="824"/>
        <v>813</v>
      </c>
      <c r="E3775" t="str">
        <f t="shared" si="825"/>
        <v>89301171</v>
      </c>
      <c r="F3775" t="str">
        <f t="shared" si="828"/>
        <v>8356184463</v>
      </c>
      <c r="G3775" s="1">
        <v>44650</v>
      </c>
      <c r="H3775" t="str">
        <f>"91439"</f>
        <v>91439</v>
      </c>
      <c r="I3775">
        <v>1</v>
      </c>
      <c r="J3775">
        <v>356</v>
      </c>
      <c r="K3775">
        <v>0</v>
      </c>
      <c r="L3775">
        <v>277.68</v>
      </c>
    </row>
    <row r="3776" spans="1:12" x14ac:dyDescent="0.25">
      <c r="A3776" t="str">
        <f t="shared" si="809"/>
        <v>89301000</v>
      </c>
      <c r="B3776" t="str">
        <f t="shared" si="822"/>
        <v>06539000</v>
      </c>
      <c r="C3776" t="str">
        <f t="shared" si="823"/>
        <v>06539003</v>
      </c>
      <c r="D3776" t="str">
        <f t="shared" si="824"/>
        <v>813</v>
      </c>
      <c r="E3776" t="str">
        <f t="shared" si="825"/>
        <v>89301171</v>
      </c>
      <c r="F3776" t="str">
        <f t="shared" si="828"/>
        <v>8356184463</v>
      </c>
      <c r="G3776" s="1">
        <v>44650</v>
      </c>
      <c r="H3776" t="str">
        <f>"91439"</f>
        <v>91439</v>
      </c>
      <c r="I3776">
        <v>1</v>
      </c>
      <c r="J3776">
        <v>356</v>
      </c>
      <c r="K3776">
        <v>0</v>
      </c>
      <c r="L3776">
        <v>277.68</v>
      </c>
    </row>
    <row r="3777" spans="1:12" x14ac:dyDescent="0.25">
      <c r="A3777" t="str">
        <f t="shared" si="809"/>
        <v>89301000</v>
      </c>
      <c r="B3777" t="str">
        <f t="shared" si="822"/>
        <v>06539000</v>
      </c>
      <c r="C3777" t="str">
        <f t="shared" si="823"/>
        <v>06539003</v>
      </c>
      <c r="D3777" t="str">
        <f t="shared" si="824"/>
        <v>813</v>
      </c>
      <c r="E3777" t="str">
        <f t="shared" si="825"/>
        <v>89301171</v>
      </c>
      <c r="F3777" t="str">
        <f t="shared" si="828"/>
        <v>8356184463</v>
      </c>
      <c r="G3777" s="1">
        <v>44650</v>
      </c>
      <c r="H3777" t="str">
        <f>"91439"</f>
        <v>91439</v>
      </c>
      <c r="I3777">
        <v>1</v>
      </c>
      <c r="J3777">
        <v>356</v>
      </c>
      <c r="K3777">
        <v>0</v>
      </c>
      <c r="L3777">
        <v>277.68</v>
      </c>
    </row>
    <row r="3778" spans="1:12" x14ac:dyDescent="0.25">
      <c r="A3778" t="str">
        <f t="shared" ref="A3778:A3841" si="829">"89301000"</f>
        <v>89301000</v>
      </c>
      <c r="B3778" t="str">
        <f t="shared" si="822"/>
        <v>06539000</v>
      </c>
      <c r="C3778" t="str">
        <f t="shared" si="823"/>
        <v>06539003</v>
      </c>
      <c r="D3778" t="str">
        <f t="shared" si="824"/>
        <v>813</v>
      </c>
      <c r="E3778" t="str">
        <f t="shared" si="825"/>
        <v>89301171</v>
      </c>
      <c r="F3778" t="str">
        <f t="shared" si="828"/>
        <v>8356184463</v>
      </c>
      <c r="G3778" s="1">
        <v>44650</v>
      </c>
      <c r="H3778" t="str">
        <f>"91439"</f>
        <v>91439</v>
      </c>
      <c r="I3778">
        <v>2</v>
      </c>
      <c r="J3778">
        <v>712</v>
      </c>
      <c r="K3778">
        <v>0</v>
      </c>
      <c r="L3778">
        <v>555.36</v>
      </c>
    </row>
    <row r="3779" spans="1:12" x14ac:dyDescent="0.25">
      <c r="A3779" t="str">
        <f t="shared" si="829"/>
        <v>89301000</v>
      </c>
      <c r="B3779" t="str">
        <f t="shared" si="822"/>
        <v>06539000</v>
      </c>
      <c r="C3779" t="str">
        <f t="shared" si="823"/>
        <v>06539003</v>
      </c>
      <c r="D3779" t="str">
        <f t="shared" si="824"/>
        <v>813</v>
      </c>
      <c r="E3779" t="str">
        <f t="shared" si="825"/>
        <v>89301171</v>
      </c>
      <c r="F3779" t="str">
        <f t="shared" si="828"/>
        <v>8356184463</v>
      </c>
      <c r="G3779" s="1">
        <v>44650</v>
      </c>
      <c r="H3779" t="str">
        <f t="shared" ref="H3779:H3788" si="830">"91413"</f>
        <v>91413</v>
      </c>
      <c r="I3779">
        <v>1</v>
      </c>
      <c r="J3779">
        <v>853</v>
      </c>
      <c r="K3779">
        <v>0</v>
      </c>
      <c r="L3779">
        <v>665.34</v>
      </c>
    </row>
    <row r="3780" spans="1:12" x14ac:dyDescent="0.25">
      <c r="A3780" t="str">
        <f t="shared" si="829"/>
        <v>89301000</v>
      </c>
      <c r="B3780" t="str">
        <f t="shared" si="822"/>
        <v>06539000</v>
      </c>
      <c r="C3780" t="str">
        <f t="shared" si="823"/>
        <v>06539003</v>
      </c>
      <c r="D3780" t="str">
        <f t="shared" si="824"/>
        <v>813</v>
      </c>
      <c r="E3780" t="str">
        <f t="shared" si="825"/>
        <v>89301171</v>
      </c>
      <c r="F3780" t="str">
        <f t="shared" si="828"/>
        <v>8356184463</v>
      </c>
      <c r="G3780" s="1">
        <v>44650</v>
      </c>
      <c r="H3780" t="str">
        <f t="shared" si="830"/>
        <v>91413</v>
      </c>
      <c r="I3780">
        <v>1</v>
      </c>
      <c r="J3780">
        <v>853</v>
      </c>
      <c r="K3780">
        <v>0</v>
      </c>
      <c r="L3780">
        <v>665.34</v>
      </c>
    </row>
    <row r="3781" spans="1:12" x14ac:dyDescent="0.25">
      <c r="A3781" t="str">
        <f t="shared" si="829"/>
        <v>89301000</v>
      </c>
      <c r="B3781" t="str">
        <f t="shared" si="822"/>
        <v>06539000</v>
      </c>
      <c r="C3781" t="str">
        <f t="shared" si="823"/>
        <v>06539003</v>
      </c>
      <c r="D3781" t="str">
        <f t="shared" si="824"/>
        <v>813</v>
      </c>
      <c r="E3781" t="str">
        <f t="shared" si="825"/>
        <v>89301171</v>
      </c>
      <c r="F3781" t="str">
        <f t="shared" si="828"/>
        <v>8356184463</v>
      </c>
      <c r="G3781" s="1">
        <v>44658</v>
      </c>
      <c r="H3781" t="str">
        <f t="shared" si="830"/>
        <v>91413</v>
      </c>
      <c r="I3781">
        <v>1</v>
      </c>
      <c r="J3781">
        <v>853</v>
      </c>
      <c r="K3781">
        <v>0</v>
      </c>
      <c r="L3781">
        <v>665.34</v>
      </c>
    </row>
    <row r="3782" spans="1:12" x14ac:dyDescent="0.25">
      <c r="A3782" t="str">
        <f t="shared" si="829"/>
        <v>89301000</v>
      </c>
      <c r="B3782" t="str">
        <f t="shared" si="822"/>
        <v>06539000</v>
      </c>
      <c r="C3782" t="str">
        <f t="shared" si="823"/>
        <v>06539003</v>
      </c>
      <c r="D3782" t="str">
        <f t="shared" si="824"/>
        <v>813</v>
      </c>
      <c r="E3782" t="str">
        <f t="shared" si="825"/>
        <v>89301171</v>
      </c>
      <c r="F3782" t="str">
        <f t="shared" si="828"/>
        <v>8356184463</v>
      </c>
      <c r="G3782" s="1">
        <v>44658</v>
      </c>
      <c r="H3782" t="str">
        <f t="shared" si="830"/>
        <v>91413</v>
      </c>
      <c r="I3782">
        <v>1</v>
      </c>
      <c r="J3782">
        <v>853</v>
      </c>
      <c r="K3782">
        <v>0</v>
      </c>
      <c r="L3782">
        <v>665.34</v>
      </c>
    </row>
    <row r="3783" spans="1:12" x14ac:dyDescent="0.25">
      <c r="A3783" t="str">
        <f t="shared" si="829"/>
        <v>89301000</v>
      </c>
      <c r="B3783" t="str">
        <f t="shared" si="822"/>
        <v>06539000</v>
      </c>
      <c r="C3783" t="str">
        <f t="shared" si="823"/>
        <v>06539003</v>
      </c>
      <c r="D3783" t="str">
        <f t="shared" si="824"/>
        <v>813</v>
      </c>
      <c r="E3783" t="str">
        <f t="shared" si="825"/>
        <v>89301171</v>
      </c>
      <c r="F3783" t="str">
        <f t="shared" si="828"/>
        <v>8356184463</v>
      </c>
      <c r="G3783" s="1">
        <v>44658</v>
      </c>
      <c r="H3783" t="str">
        <f t="shared" si="830"/>
        <v>91413</v>
      </c>
      <c r="I3783">
        <v>1</v>
      </c>
      <c r="J3783">
        <v>853</v>
      </c>
      <c r="K3783">
        <v>0</v>
      </c>
      <c r="L3783">
        <v>665.34</v>
      </c>
    </row>
    <row r="3784" spans="1:12" x14ac:dyDescent="0.25">
      <c r="A3784" t="str">
        <f t="shared" si="829"/>
        <v>89301000</v>
      </c>
      <c r="B3784" t="str">
        <f t="shared" si="822"/>
        <v>06539000</v>
      </c>
      <c r="C3784" t="str">
        <f t="shared" si="823"/>
        <v>06539003</v>
      </c>
      <c r="D3784" t="str">
        <f t="shared" si="824"/>
        <v>813</v>
      </c>
      <c r="E3784" t="str">
        <f t="shared" si="825"/>
        <v>89301171</v>
      </c>
      <c r="F3784" t="str">
        <f t="shared" si="828"/>
        <v>8356184463</v>
      </c>
      <c r="G3784" s="1">
        <v>44658</v>
      </c>
      <c r="H3784" t="str">
        <f t="shared" si="830"/>
        <v>91413</v>
      </c>
      <c r="I3784">
        <v>1</v>
      </c>
      <c r="J3784">
        <v>853</v>
      </c>
      <c r="K3784">
        <v>0</v>
      </c>
      <c r="L3784">
        <v>665.34</v>
      </c>
    </row>
    <row r="3785" spans="1:12" x14ac:dyDescent="0.25">
      <c r="A3785" t="str">
        <f t="shared" si="829"/>
        <v>89301000</v>
      </c>
      <c r="B3785" t="str">
        <f t="shared" si="822"/>
        <v>06539000</v>
      </c>
      <c r="C3785" t="str">
        <f t="shared" si="823"/>
        <v>06539003</v>
      </c>
      <c r="D3785" t="str">
        <f t="shared" si="824"/>
        <v>813</v>
      </c>
      <c r="E3785" t="str">
        <f t="shared" si="825"/>
        <v>89301171</v>
      </c>
      <c r="F3785" t="str">
        <f t="shared" si="828"/>
        <v>8356184463</v>
      </c>
      <c r="G3785" s="1">
        <v>44658</v>
      </c>
      <c r="H3785" t="str">
        <f t="shared" si="830"/>
        <v>91413</v>
      </c>
      <c r="I3785">
        <v>1</v>
      </c>
      <c r="J3785">
        <v>853</v>
      </c>
      <c r="K3785">
        <v>0</v>
      </c>
      <c r="L3785">
        <v>665.34</v>
      </c>
    </row>
    <row r="3786" spans="1:12" x14ac:dyDescent="0.25">
      <c r="A3786" t="str">
        <f t="shared" si="829"/>
        <v>89301000</v>
      </c>
      <c r="B3786" t="str">
        <f t="shared" si="822"/>
        <v>06539000</v>
      </c>
      <c r="C3786" t="str">
        <f t="shared" si="823"/>
        <v>06539003</v>
      </c>
      <c r="D3786" t="str">
        <f t="shared" si="824"/>
        <v>813</v>
      </c>
      <c r="E3786" t="str">
        <f t="shared" si="825"/>
        <v>89301171</v>
      </c>
      <c r="F3786" t="str">
        <f t="shared" si="828"/>
        <v>8356184463</v>
      </c>
      <c r="G3786" s="1">
        <v>44658</v>
      </c>
      <c r="H3786" t="str">
        <f t="shared" si="830"/>
        <v>91413</v>
      </c>
      <c r="I3786">
        <v>1</v>
      </c>
      <c r="J3786">
        <v>853</v>
      </c>
      <c r="K3786">
        <v>0</v>
      </c>
      <c r="L3786">
        <v>665.34</v>
      </c>
    </row>
    <row r="3787" spans="1:12" x14ac:dyDescent="0.25">
      <c r="A3787" t="str">
        <f t="shared" si="829"/>
        <v>89301000</v>
      </c>
      <c r="B3787" t="str">
        <f t="shared" si="822"/>
        <v>06539000</v>
      </c>
      <c r="C3787" t="str">
        <f t="shared" si="823"/>
        <v>06539003</v>
      </c>
      <c r="D3787" t="str">
        <f t="shared" si="824"/>
        <v>813</v>
      </c>
      <c r="E3787" t="str">
        <f t="shared" si="825"/>
        <v>89301171</v>
      </c>
      <c r="F3787" t="str">
        <f t="shared" si="828"/>
        <v>8356184463</v>
      </c>
      <c r="G3787" s="1">
        <v>44658</v>
      </c>
      <c r="H3787" t="str">
        <f t="shared" si="830"/>
        <v>91413</v>
      </c>
      <c r="I3787">
        <v>1</v>
      </c>
      <c r="J3787">
        <v>853</v>
      </c>
      <c r="K3787">
        <v>0</v>
      </c>
      <c r="L3787">
        <v>665.34</v>
      </c>
    </row>
    <row r="3788" spans="1:12" x14ac:dyDescent="0.25">
      <c r="A3788" t="str">
        <f t="shared" si="829"/>
        <v>89301000</v>
      </c>
      <c r="B3788" t="str">
        <f t="shared" si="822"/>
        <v>06539000</v>
      </c>
      <c r="C3788" t="str">
        <f t="shared" si="823"/>
        <v>06539003</v>
      </c>
      <c r="D3788" t="str">
        <f t="shared" si="824"/>
        <v>813</v>
      </c>
      <c r="E3788" t="str">
        <f t="shared" si="825"/>
        <v>89301171</v>
      </c>
      <c r="F3788" t="str">
        <f t="shared" si="828"/>
        <v>8356184463</v>
      </c>
      <c r="G3788" s="1">
        <v>44658</v>
      </c>
      <c r="H3788" t="str">
        <f t="shared" si="830"/>
        <v>91413</v>
      </c>
      <c r="I3788">
        <v>1</v>
      </c>
      <c r="J3788">
        <v>853</v>
      </c>
      <c r="K3788">
        <v>0</v>
      </c>
      <c r="L3788">
        <v>665.34</v>
      </c>
    </row>
    <row r="3789" spans="1:12" x14ac:dyDescent="0.25">
      <c r="A3789" t="str">
        <f t="shared" si="829"/>
        <v>89301000</v>
      </c>
      <c r="B3789" t="str">
        <f t="shared" si="822"/>
        <v>06539000</v>
      </c>
      <c r="C3789" t="str">
        <f t="shared" si="823"/>
        <v>06539003</v>
      </c>
      <c r="D3789" t="str">
        <f t="shared" si="824"/>
        <v>813</v>
      </c>
      <c r="E3789" t="str">
        <f t="shared" si="825"/>
        <v>89301171</v>
      </c>
      <c r="F3789" t="str">
        <f t="shared" si="828"/>
        <v>8356184463</v>
      </c>
      <c r="G3789" s="1">
        <v>44648</v>
      </c>
      <c r="H3789" t="str">
        <f>"91197"</f>
        <v>91197</v>
      </c>
      <c r="I3789">
        <v>1</v>
      </c>
      <c r="J3789">
        <v>1046</v>
      </c>
      <c r="K3789">
        <v>0</v>
      </c>
      <c r="L3789">
        <v>815.88</v>
      </c>
    </row>
    <row r="3790" spans="1:12" x14ac:dyDescent="0.25">
      <c r="A3790" t="str">
        <f t="shared" si="829"/>
        <v>89301000</v>
      </c>
      <c r="B3790" t="str">
        <f t="shared" si="822"/>
        <v>06539000</v>
      </c>
      <c r="C3790" t="str">
        <f t="shared" si="823"/>
        <v>06539003</v>
      </c>
      <c r="D3790" t="str">
        <f t="shared" si="824"/>
        <v>813</v>
      </c>
      <c r="E3790" t="str">
        <f t="shared" si="825"/>
        <v>89301171</v>
      </c>
      <c r="F3790" t="str">
        <f t="shared" si="828"/>
        <v>8356184463</v>
      </c>
      <c r="G3790" s="1">
        <v>44648</v>
      </c>
      <c r="H3790" t="str">
        <f>"91197"</f>
        <v>91197</v>
      </c>
      <c r="I3790">
        <v>1</v>
      </c>
      <c r="J3790">
        <v>1046</v>
      </c>
      <c r="K3790">
        <v>0</v>
      </c>
      <c r="L3790">
        <v>815.88</v>
      </c>
    </row>
    <row r="3791" spans="1:12" x14ac:dyDescent="0.25">
      <c r="A3791" t="str">
        <f t="shared" si="829"/>
        <v>89301000</v>
      </c>
      <c r="B3791" t="str">
        <f t="shared" si="822"/>
        <v>06539000</v>
      </c>
      <c r="C3791" t="str">
        <f t="shared" si="823"/>
        <v>06539003</v>
      </c>
      <c r="D3791" t="str">
        <f t="shared" si="824"/>
        <v>813</v>
      </c>
      <c r="E3791" t="str">
        <f t="shared" si="825"/>
        <v>89301171</v>
      </c>
      <c r="F3791" t="str">
        <f t="shared" si="828"/>
        <v>8356184463</v>
      </c>
      <c r="G3791" s="1">
        <v>44647</v>
      </c>
      <c r="H3791" t="str">
        <f>"91197"</f>
        <v>91197</v>
      </c>
      <c r="I3791">
        <v>1</v>
      </c>
      <c r="J3791">
        <v>1046</v>
      </c>
      <c r="K3791">
        <v>0</v>
      </c>
      <c r="L3791">
        <v>815.88</v>
      </c>
    </row>
    <row r="3792" spans="1:12" x14ac:dyDescent="0.25">
      <c r="A3792" t="str">
        <f t="shared" si="829"/>
        <v>89301000</v>
      </c>
      <c r="B3792" t="str">
        <f t="shared" si="822"/>
        <v>06539000</v>
      </c>
      <c r="C3792" t="str">
        <f t="shared" si="823"/>
        <v>06539003</v>
      </c>
      <c r="D3792" t="str">
        <f t="shared" si="824"/>
        <v>813</v>
      </c>
      <c r="E3792" t="str">
        <f t="shared" si="825"/>
        <v>89301171</v>
      </c>
      <c r="F3792" t="str">
        <f t="shared" si="828"/>
        <v>8356184463</v>
      </c>
      <c r="G3792" s="1">
        <v>44647</v>
      </c>
      <c r="H3792" t="str">
        <f>"91197"</f>
        <v>91197</v>
      </c>
      <c r="I3792">
        <v>1</v>
      </c>
      <c r="J3792">
        <v>1046</v>
      </c>
      <c r="K3792">
        <v>0</v>
      </c>
      <c r="L3792">
        <v>815.88</v>
      </c>
    </row>
    <row r="3793" spans="1:12" x14ac:dyDescent="0.25">
      <c r="A3793" t="str">
        <f t="shared" si="829"/>
        <v>89301000</v>
      </c>
      <c r="B3793" t="str">
        <f t="shared" si="822"/>
        <v>06539000</v>
      </c>
      <c r="C3793" t="str">
        <f t="shared" si="823"/>
        <v>06539003</v>
      </c>
      <c r="D3793" t="str">
        <f t="shared" si="824"/>
        <v>813</v>
      </c>
      <c r="E3793" t="str">
        <f t="shared" si="825"/>
        <v>89301171</v>
      </c>
      <c r="F3793" t="str">
        <f t="shared" si="828"/>
        <v>8356184463</v>
      </c>
      <c r="G3793" s="1">
        <v>44656</v>
      </c>
      <c r="H3793" t="str">
        <f>"91329"</f>
        <v>91329</v>
      </c>
      <c r="I3793">
        <v>2</v>
      </c>
      <c r="J3793">
        <v>428</v>
      </c>
      <c r="K3793">
        <v>0</v>
      </c>
      <c r="L3793">
        <v>333.84</v>
      </c>
    </row>
    <row r="3794" spans="1:12" x14ac:dyDescent="0.25">
      <c r="A3794" t="str">
        <f t="shared" si="829"/>
        <v>89301000</v>
      </c>
      <c r="B3794" t="str">
        <f t="shared" si="822"/>
        <v>06539000</v>
      </c>
      <c r="C3794" t="str">
        <f t="shared" si="823"/>
        <v>06539003</v>
      </c>
      <c r="D3794" t="str">
        <f t="shared" si="824"/>
        <v>813</v>
      </c>
      <c r="E3794" t="str">
        <f t="shared" si="825"/>
        <v>89301171</v>
      </c>
      <c r="F3794" t="str">
        <f t="shared" si="828"/>
        <v>8356184463</v>
      </c>
      <c r="G3794" s="1">
        <v>44656</v>
      </c>
      <c r="H3794" t="str">
        <f>"91329"</f>
        <v>91329</v>
      </c>
      <c r="I3794">
        <v>2</v>
      </c>
      <c r="J3794">
        <v>428</v>
      </c>
      <c r="K3794">
        <v>0</v>
      </c>
      <c r="L3794">
        <v>333.84</v>
      </c>
    </row>
    <row r="3795" spans="1:12" x14ac:dyDescent="0.25">
      <c r="A3795" t="str">
        <f t="shared" si="829"/>
        <v>89301000</v>
      </c>
      <c r="B3795" t="str">
        <f t="shared" si="822"/>
        <v>06539000</v>
      </c>
      <c r="C3795" t="str">
        <f t="shared" si="823"/>
        <v>06539003</v>
      </c>
      <c r="D3795" t="str">
        <f t="shared" si="824"/>
        <v>813</v>
      </c>
      <c r="E3795" t="str">
        <f t="shared" si="825"/>
        <v>89301171</v>
      </c>
      <c r="F3795" t="str">
        <f t="shared" si="828"/>
        <v>8356184463</v>
      </c>
      <c r="G3795" s="1">
        <v>44656</v>
      </c>
      <c r="H3795" t="str">
        <f>"91329"</f>
        <v>91329</v>
      </c>
      <c r="I3795">
        <v>2</v>
      </c>
      <c r="J3795">
        <v>428</v>
      </c>
      <c r="K3795">
        <v>0</v>
      </c>
      <c r="L3795">
        <v>333.84</v>
      </c>
    </row>
    <row r="3796" spans="1:12" x14ac:dyDescent="0.25">
      <c r="A3796" t="str">
        <f t="shared" si="829"/>
        <v>89301000</v>
      </c>
      <c r="B3796" t="str">
        <f t="shared" si="822"/>
        <v>06539000</v>
      </c>
      <c r="C3796" t="str">
        <f t="shared" si="823"/>
        <v>06539003</v>
      </c>
      <c r="D3796" t="str">
        <f t="shared" si="824"/>
        <v>813</v>
      </c>
      <c r="E3796" t="str">
        <f t="shared" ref="E3796:E3827" si="831">"89301171"</f>
        <v>89301171</v>
      </c>
      <c r="F3796" t="str">
        <f t="shared" si="828"/>
        <v>8356184463</v>
      </c>
      <c r="G3796" s="1">
        <v>44656</v>
      </c>
      <c r="H3796" t="str">
        <f>"91329"</f>
        <v>91329</v>
      </c>
      <c r="I3796">
        <v>2</v>
      </c>
      <c r="J3796">
        <v>428</v>
      </c>
      <c r="K3796">
        <v>0</v>
      </c>
      <c r="L3796">
        <v>333.84</v>
      </c>
    </row>
    <row r="3797" spans="1:12" x14ac:dyDescent="0.25">
      <c r="A3797" t="str">
        <f t="shared" si="829"/>
        <v>89301000</v>
      </c>
      <c r="B3797" t="str">
        <f t="shared" si="822"/>
        <v>06539000</v>
      </c>
      <c r="C3797" t="str">
        <f>"06539001"</f>
        <v>06539001</v>
      </c>
      <c r="D3797" t="str">
        <f>"801"</f>
        <v>801</v>
      </c>
      <c r="E3797" t="str">
        <f t="shared" si="831"/>
        <v>89301171</v>
      </c>
      <c r="F3797" t="str">
        <f t="shared" ref="F3797:F3843" si="832">"0110305745"</f>
        <v>0110305745</v>
      </c>
      <c r="G3797" s="1">
        <v>44645</v>
      </c>
      <c r="H3797" t="str">
        <f>"81329"</f>
        <v>81329</v>
      </c>
      <c r="I3797">
        <v>1</v>
      </c>
      <c r="J3797">
        <v>16</v>
      </c>
      <c r="K3797">
        <v>0</v>
      </c>
      <c r="L3797">
        <v>12.48</v>
      </c>
    </row>
    <row r="3798" spans="1:12" x14ac:dyDescent="0.25">
      <c r="A3798" t="str">
        <f t="shared" si="829"/>
        <v>89301000</v>
      </c>
      <c r="B3798" t="str">
        <f t="shared" si="822"/>
        <v>06539000</v>
      </c>
      <c r="C3798" t="str">
        <f>"06539001"</f>
        <v>06539001</v>
      </c>
      <c r="D3798" t="str">
        <f>"801"</f>
        <v>801</v>
      </c>
      <c r="E3798" t="str">
        <f t="shared" si="831"/>
        <v>89301171</v>
      </c>
      <c r="F3798" t="str">
        <f t="shared" si="832"/>
        <v>0110305745</v>
      </c>
      <c r="G3798" s="1">
        <v>44645</v>
      </c>
      <c r="H3798" t="str">
        <f>"81331"</f>
        <v>81331</v>
      </c>
      <c r="I3798">
        <v>1</v>
      </c>
      <c r="J3798">
        <v>193</v>
      </c>
      <c r="K3798">
        <v>0</v>
      </c>
      <c r="L3798">
        <v>150.54</v>
      </c>
    </row>
    <row r="3799" spans="1:12" x14ac:dyDescent="0.25">
      <c r="A3799" t="str">
        <f t="shared" si="829"/>
        <v>89301000</v>
      </c>
      <c r="B3799" t="str">
        <f t="shared" si="822"/>
        <v>06539000</v>
      </c>
      <c r="C3799" t="str">
        <f t="shared" ref="C3799:C3806" si="833">"06539002"</f>
        <v>06539002</v>
      </c>
      <c r="D3799" t="str">
        <f t="shared" ref="D3799:D3806" si="834">"802"</f>
        <v>802</v>
      </c>
      <c r="E3799" t="str">
        <f t="shared" si="831"/>
        <v>89301171</v>
      </c>
      <c r="F3799" t="str">
        <f t="shared" si="832"/>
        <v>0110305745</v>
      </c>
      <c r="G3799" s="1">
        <v>44645</v>
      </c>
      <c r="H3799" t="str">
        <f t="shared" ref="H3799:H3806" si="835">"82097"</f>
        <v>82097</v>
      </c>
      <c r="I3799">
        <v>1</v>
      </c>
      <c r="J3799">
        <v>380</v>
      </c>
      <c r="K3799">
        <v>0</v>
      </c>
      <c r="L3799">
        <v>345.8</v>
      </c>
    </row>
    <row r="3800" spans="1:12" x14ac:dyDescent="0.25">
      <c r="A3800" t="str">
        <f t="shared" si="829"/>
        <v>89301000</v>
      </c>
      <c r="B3800" t="str">
        <f t="shared" si="822"/>
        <v>06539000</v>
      </c>
      <c r="C3800" t="str">
        <f t="shared" si="833"/>
        <v>06539002</v>
      </c>
      <c r="D3800" t="str">
        <f t="shared" si="834"/>
        <v>802</v>
      </c>
      <c r="E3800" t="str">
        <f t="shared" si="831"/>
        <v>89301171</v>
      </c>
      <c r="F3800" t="str">
        <f t="shared" si="832"/>
        <v>0110305745</v>
      </c>
      <c r="G3800" s="1">
        <v>44645</v>
      </c>
      <c r="H3800" t="str">
        <f t="shared" si="835"/>
        <v>82097</v>
      </c>
      <c r="I3800">
        <v>1</v>
      </c>
      <c r="J3800">
        <v>380</v>
      </c>
      <c r="K3800">
        <v>0</v>
      </c>
      <c r="L3800">
        <v>345.8</v>
      </c>
    </row>
    <row r="3801" spans="1:12" x14ac:dyDescent="0.25">
      <c r="A3801" t="str">
        <f t="shared" si="829"/>
        <v>89301000</v>
      </c>
      <c r="B3801" t="str">
        <f t="shared" si="822"/>
        <v>06539000</v>
      </c>
      <c r="C3801" t="str">
        <f t="shared" si="833"/>
        <v>06539002</v>
      </c>
      <c r="D3801" t="str">
        <f t="shared" si="834"/>
        <v>802</v>
      </c>
      <c r="E3801" t="str">
        <f t="shared" si="831"/>
        <v>89301171</v>
      </c>
      <c r="F3801" t="str">
        <f t="shared" si="832"/>
        <v>0110305745</v>
      </c>
      <c r="G3801" s="1">
        <v>44645</v>
      </c>
      <c r="H3801" t="str">
        <f t="shared" si="835"/>
        <v>82097</v>
      </c>
      <c r="I3801">
        <v>1</v>
      </c>
      <c r="J3801">
        <v>380</v>
      </c>
      <c r="K3801">
        <v>0</v>
      </c>
      <c r="L3801">
        <v>345.8</v>
      </c>
    </row>
    <row r="3802" spans="1:12" x14ac:dyDescent="0.25">
      <c r="A3802" t="str">
        <f t="shared" si="829"/>
        <v>89301000</v>
      </c>
      <c r="B3802" t="str">
        <f t="shared" si="822"/>
        <v>06539000</v>
      </c>
      <c r="C3802" t="str">
        <f t="shared" si="833"/>
        <v>06539002</v>
      </c>
      <c r="D3802" t="str">
        <f t="shared" si="834"/>
        <v>802</v>
      </c>
      <c r="E3802" t="str">
        <f t="shared" si="831"/>
        <v>89301171</v>
      </c>
      <c r="F3802" t="str">
        <f t="shared" si="832"/>
        <v>0110305745</v>
      </c>
      <c r="G3802" s="1">
        <v>44645</v>
      </c>
      <c r="H3802" t="str">
        <f t="shared" si="835"/>
        <v>82097</v>
      </c>
      <c r="I3802">
        <v>1</v>
      </c>
      <c r="J3802">
        <v>380</v>
      </c>
      <c r="K3802">
        <v>0</v>
      </c>
      <c r="L3802">
        <v>345.8</v>
      </c>
    </row>
    <row r="3803" spans="1:12" x14ac:dyDescent="0.25">
      <c r="A3803" t="str">
        <f t="shared" si="829"/>
        <v>89301000</v>
      </c>
      <c r="B3803" t="str">
        <f t="shared" si="822"/>
        <v>06539000</v>
      </c>
      <c r="C3803" t="str">
        <f t="shared" si="833"/>
        <v>06539002</v>
      </c>
      <c r="D3803" t="str">
        <f t="shared" si="834"/>
        <v>802</v>
      </c>
      <c r="E3803" t="str">
        <f t="shared" si="831"/>
        <v>89301171</v>
      </c>
      <c r="F3803" t="str">
        <f t="shared" si="832"/>
        <v>0110305745</v>
      </c>
      <c r="G3803" s="1">
        <v>44645</v>
      </c>
      <c r="H3803" t="str">
        <f t="shared" si="835"/>
        <v>82097</v>
      </c>
      <c r="I3803">
        <v>1</v>
      </c>
      <c r="J3803">
        <v>380</v>
      </c>
      <c r="K3803">
        <v>0</v>
      </c>
      <c r="L3803">
        <v>345.8</v>
      </c>
    </row>
    <row r="3804" spans="1:12" x14ac:dyDescent="0.25">
      <c r="A3804" t="str">
        <f t="shared" si="829"/>
        <v>89301000</v>
      </c>
      <c r="B3804" t="str">
        <f t="shared" si="822"/>
        <v>06539000</v>
      </c>
      <c r="C3804" t="str">
        <f t="shared" si="833"/>
        <v>06539002</v>
      </c>
      <c r="D3804" t="str">
        <f t="shared" si="834"/>
        <v>802</v>
      </c>
      <c r="E3804" t="str">
        <f t="shared" si="831"/>
        <v>89301171</v>
      </c>
      <c r="F3804" t="str">
        <f t="shared" si="832"/>
        <v>0110305745</v>
      </c>
      <c r="G3804" s="1">
        <v>44645</v>
      </c>
      <c r="H3804" t="str">
        <f t="shared" si="835"/>
        <v>82097</v>
      </c>
      <c r="I3804">
        <v>1</v>
      </c>
      <c r="J3804">
        <v>380</v>
      </c>
      <c r="K3804">
        <v>0</v>
      </c>
      <c r="L3804">
        <v>345.8</v>
      </c>
    </row>
    <row r="3805" spans="1:12" x14ac:dyDescent="0.25">
      <c r="A3805" t="str">
        <f t="shared" si="829"/>
        <v>89301000</v>
      </c>
      <c r="B3805" t="str">
        <f t="shared" si="822"/>
        <v>06539000</v>
      </c>
      <c r="C3805" t="str">
        <f t="shared" si="833"/>
        <v>06539002</v>
      </c>
      <c r="D3805" t="str">
        <f t="shared" si="834"/>
        <v>802</v>
      </c>
      <c r="E3805" t="str">
        <f t="shared" si="831"/>
        <v>89301171</v>
      </c>
      <c r="F3805" t="str">
        <f t="shared" si="832"/>
        <v>0110305745</v>
      </c>
      <c r="G3805" s="1">
        <v>44645</v>
      </c>
      <c r="H3805" t="str">
        <f t="shared" si="835"/>
        <v>82097</v>
      </c>
      <c r="I3805">
        <v>1</v>
      </c>
      <c r="J3805">
        <v>380</v>
      </c>
      <c r="K3805">
        <v>0</v>
      </c>
      <c r="L3805">
        <v>345.8</v>
      </c>
    </row>
    <row r="3806" spans="1:12" x14ac:dyDescent="0.25">
      <c r="A3806" t="str">
        <f t="shared" si="829"/>
        <v>89301000</v>
      </c>
      <c r="B3806" t="str">
        <f t="shared" si="822"/>
        <v>06539000</v>
      </c>
      <c r="C3806" t="str">
        <f t="shared" si="833"/>
        <v>06539002</v>
      </c>
      <c r="D3806" t="str">
        <f t="shared" si="834"/>
        <v>802</v>
      </c>
      <c r="E3806" t="str">
        <f t="shared" si="831"/>
        <v>89301171</v>
      </c>
      <c r="F3806" t="str">
        <f t="shared" si="832"/>
        <v>0110305745</v>
      </c>
      <c r="G3806" s="1">
        <v>44645</v>
      </c>
      <c r="H3806" t="str">
        <f t="shared" si="835"/>
        <v>82097</v>
      </c>
      <c r="I3806">
        <v>1</v>
      </c>
      <c r="J3806">
        <v>380</v>
      </c>
      <c r="K3806">
        <v>0</v>
      </c>
      <c r="L3806">
        <v>345.8</v>
      </c>
    </row>
    <row r="3807" spans="1:12" x14ac:dyDescent="0.25">
      <c r="A3807" t="str">
        <f t="shared" si="829"/>
        <v>89301000</v>
      </c>
      <c r="B3807" t="str">
        <f t="shared" si="822"/>
        <v>06539000</v>
      </c>
      <c r="C3807" t="str">
        <f t="shared" ref="C3807:C3838" si="836">"06539003"</f>
        <v>06539003</v>
      </c>
      <c r="D3807" t="str">
        <f t="shared" ref="D3807:D3838" si="837">"813"</f>
        <v>813</v>
      </c>
      <c r="E3807" t="str">
        <f t="shared" si="831"/>
        <v>89301171</v>
      </c>
      <c r="F3807" t="str">
        <f t="shared" si="832"/>
        <v>0110305745</v>
      </c>
      <c r="G3807" s="1">
        <v>44650</v>
      </c>
      <c r="H3807" t="str">
        <f>"91439"</f>
        <v>91439</v>
      </c>
      <c r="I3807">
        <v>1</v>
      </c>
      <c r="J3807">
        <v>356</v>
      </c>
      <c r="K3807">
        <v>0</v>
      </c>
      <c r="L3807">
        <v>277.68</v>
      </c>
    </row>
    <row r="3808" spans="1:12" x14ac:dyDescent="0.25">
      <c r="A3808" t="str">
        <f t="shared" si="829"/>
        <v>89301000</v>
      </c>
      <c r="B3808" t="str">
        <f t="shared" si="822"/>
        <v>06539000</v>
      </c>
      <c r="C3808" t="str">
        <f t="shared" si="836"/>
        <v>06539003</v>
      </c>
      <c r="D3808" t="str">
        <f t="shared" si="837"/>
        <v>813</v>
      </c>
      <c r="E3808" t="str">
        <f t="shared" si="831"/>
        <v>89301171</v>
      </c>
      <c r="F3808" t="str">
        <f t="shared" si="832"/>
        <v>0110305745</v>
      </c>
      <c r="G3808" s="1">
        <v>44650</v>
      </c>
      <c r="H3808" t="str">
        <f>"91439"</f>
        <v>91439</v>
      </c>
      <c r="I3808">
        <v>1</v>
      </c>
      <c r="J3808">
        <v>356</v>
      </c>
      <c r="K3808">
        <v>0</v>
      </c>
      <c r="L3808">
        <v>277.68</v>
      </c>
    </row>
    <row r="3809" spans="1:12" x14ac:dyDescent="0.25">
      <c r="A3809" t="str">
        <f t="shared" si="829"/>
        <v>89301000</v>
      </c>
      <c r="B3809" t="str">
        <f t="shared" si="822"/>
        <v>06539000</v>
      </c>
      <c r="C3809" t="str">
        <f t="shared" si="836"/>
        <v>06539003</v>
      </c>
      <c r="D3809" t="str">
        <f t="shared" si="837"/>
        <v>813</v>
      </c>
      <c r="E3809" t="str">
        <f t="shared" si="831"/>
        <v>89301171</v>
      </c>
      <c r="F3809" t="str">
        <f t="shared" si="832"/>
        <v>0110305745</v>
      </c>
      <c r="G3809" s="1">
        <v>44650</v>
      </c>
      <c r="H3809" t="str">
        <f>"91439"</f>
        <v>91439</v>
      </c>
      <c r="I3809">
        <v>1</v>
      </c>
      <c r="J3809">
        <v>356</v>
      </c>
      <c r="K3809">
        <v>0</v>
      </c>
      <c r="L3809">
        <v>277.68</v>
      </c>
    </row>
    <row r="3810" spans="1:12" x14ac:dyDescent="0.25">
      <c r="A3810" t="str">
        <f t="shared" si="829"/>
        <v>89301000</v>
      </c>
      <c r="B3810" t="str">
        <f t="shared" si="822"/>
        <v>06539000</v>
      </c>
      <c r="C3810" t="str">
        <f t="shared" si="836"/>
        <v>06539003</v>
      </c>
      <c r="D3810" t="str">
        <f t="shared" si="837"/>
        <v>813</v>
      </c>
      <c r="E3810" t="str">
        <f t="shared" si="831"/>
        <v>89301171</v>
      </c>
      <c r="F3810" t="str">
        <f t="shared" si="832"/>
        <v>0110305745</v>
      </c>
      <c r="G3810" s="1">
        <v>44650</v>
      </c>
      <c r="H3810" t="str">
        <f>"91439"</f>
        <v>91439</v>
      </c>
      <c r="I3810">
        <v>1</v>
      </c>
      <c r="J3810">
        <v>356</v>
      </c>
      <c r="K3810">
        <v>0</v>
      </c>
      <c r="L3810">
        <v>277.68</v>
      </c>
    </row>
    <row r="3811" spans="1:12" x14ac:dyDescent="0.25">
      <c r="A3811" t="str">
        <f t="shared" si="829"/>
        <v>89301000</v>
      </c>
      <c r="B3811" t="str">
        <f t="shared" si="822"/>
        <v>06539000</v>
      </c>
      <c r="C3811" t="str">
        <f t="shared" si="836"/>
        <v>06539003</v>
      </c>
      <c r="D3811" t="str">
        <f t="shared" si="837"/>
        <v>813</v>
      </c>
      <c r="E3811" t="str">
        <f t="shared" si="831"/>
        <v>89301171</v>
      </c>
      <c r="F3811" t="str">
        <f t="shared" si="832"/>
        <v>0110305745</v>
      </c>
      <c r="G3811" s="1">
        <v>44650</v>
      </c>
      <c r="H3811" t="str">
        <f>"91439"</f>
        <v>91439</v>
      </c>
      <c r="I3811">
        <v>2</v>
      </c>
      <c r="J3811">
        <v>712</v>
      </c>
      <c r="K3811">
        <v>0</v>
      </c>
      <c r="L3811">
        <v>555.36</v>
      </c>
    </row>
    <row r="3812" spans="1:12" x14ac:dyDescent="0.25">
      <c r="A3812" t="str">
        <f t="shared" si="829"/>
        <v>89301000</v>
      </c>
      <c r="B3812" t="str">
        <f t="shared" si="822"/>
        <v>06539000</v>
      </c>
      <c r="C3812" t="str">
        <f t="shared" si="836"/>
        <v>06539003</v>
      </c>
      <c r="D3812" t="str">
        <f t="shared" si="837"/>
        <v>813</v>
      </c>
      <c r="E3812" t="str">
        <f t="shared" si="831"/>
        <v>89301171</v>
      </c>
      <c r="F3812" t="str">
        <f t="shared" si="832"/>
        <v>0110305745</v>
      </c>
      <c r="G3812" s="1">
        <v>44650</v>
      </c>
      <c r="H3812" t="str">
        <f t="shared" ref="H3812:H3821" si="838">"91413"</f>
        <v>91413</v>
      </c>
      <c r="I3812">
        <v>1</v>
      </c>
      <c r="J3812">
        <v>853</v>
      </c>
      <c r="K3812">
        <v>0</v>
      </c>
      <c r="L3812">
        <v>665.34</v>
      </c>
    </row>
    <row r="3813" spans="1:12" x14ac:dyDescent="0.25">
      <c r="A3813" t="str">
        <f t="shared" si="829"/>
        <v>89301000</v>
      </c>
      <c r="B3813" t="str">
        <f t="shared" si="822"/>
        <v>06539000</v>
      </c>
      <c r="C3813" t="str">
        <f t="shared" si="836"/>
        <v>06539003</v>
      </c>
      <c r="D3813" t="str">
        <f t="shared" si="837"/>
        <v>813</v>
      </c>
      <c r="E3813" t="str">
        <f t="shared" si="831"/>
        <v>89301171</v>
      </c>
      <c r="F3813" t="str">
        <f t="shared" si="832"/>
        <v>0110305745</v>
      </c>
      <c r="G3813" s="1">
        <v>44650</v>
      </c>
      <c r="H3813" t="str">
        <f t="shared" si="838"/>
        <v>91413</v>
      </c>
      <c r="I3813">
        <v>1</v>
      </c>
      <c r="J3813">
        <v>853</v>
      </c>
      <c r="K3813">
        <v>0</v>
      </c>
      <c r="L3813">
        <v>665.34</v>
      </c>
    </row>
    <row r="3814" spans="1:12" x14ac:dyDescent="0.25">
      <c r="A3814" t="str">
        <f t="shared" si="829"/>
        <v>89301000</v>
      </c>
      <c r="B3814" t="str">
        <f t="shared" si="822"/>
        <v>06539000</v>
      </c>
      <c r="C3814" t="str">
        <f t="shared" si="836"/>
        <v>06539003</v>
      </c>
      <c r="D3814" t="str">
        <f t="shared" si="837"/>
        <v>813</v>
      </c>
      <c r="E3814" t="str">
        <f t="shared" si="831"/>
        <v>89301171</v>
      </c>
      <c r="F3814" t="str">
        <f t="shared" si="832"/>
        <v>0110305745</v>
      </c>
      <c r="G3814" s="1">
        <v>44663</v>
      </c>
      <c r="H3814" t="str">
        <f t="shared" si="838"/>
        <v>91413</v>
      </c>
      <c r="I3814">
        <v>1</v>
      </c>
      <c r="J3814">
        <v>853</v>
      </c>
      <c r="K3814">
        <v>0</v>
      </c>
      <c r="L3814">
        <v>665.34</v>
      </c>
    </row>
    <row r="3815" spans="1:12" x14ac:dyDescent="0.25">
      <c r="A3815" t="str">
        <f t="shared" si="829"/>
        <v>89301000</v>
      </c>
      <c r="B3815" t="str">
        <f t="shared" si="822"/>
        <v>06539000</v>
      </c>
      <c r="C3815" t="str">
        <f t="shared" si="836"/>
        <v>06539003</v>
      </c>
      <c r="D3815" t="str">
        <f t="shared" si="837"/>
        <v>813</v>
      </c>
      <c r="E3815" t="str">
        <f t="shared" si="831"/>
        <v>89301171</v>
      </c>
      <c r="F3815" t="str">
        <f t="shared" si="832"/>
        <v>0110305745</v>
      </c>
      <c r="G3815" s="1">
        <v>44663</v>
      </c>
      <c r="H3815" t="str">
        <f t="shared" si="838"/>
        <v>91413</v>
      </c>
      <c r="I3815">
        <v>1</v>
      </c>
      <c r="J3815">
        <v>853</v>
      </c>
      <c r="K3815">
        <v>0</v>
      </c>
      <c r="L3815">
        <v>665.34</v>
      </c>
    </row>
    <row r="3816" spans="1:12" x14ac:dyDescent="0.25">
      <c r="A3816" t="str">
        <f t="shared" si="829"/>
        <v>89301000</v>
      </c>
      <c r="B3816" t="str">
        <f t="shared" si="822"/>
        <v>06539000</v>
      </c>
      <c r="C3816" t="str">
        <f t="shared" si="836"/>
        <v>06539003</v>
      </c>
      <c r="D3816" t="str">
        <f t="shared" si="837"/>
        <v>813</v>
      </c>
      <c r="E3816" t="str">
        <f t="shared" si="831"/>
        <v>89301171</v>
      </c>
      <c r="F3816" t="str">
        <f t="shared" si="832"/>
        <v>0110305745</v>
      </c>
      <c r="G3816" s="1">
        <v>44658</v>
      </c>
      <c r="H3816" t="str">
        <f t="shared" si="838"/>
        <v>91413</v>
      </c>
      <c r="I3816">
        <v>1</v>
      </c>
      <c r="J3816">
        <v>853</v>
      </c>
      <c r="K3816">
        <v>0</v>
      </c>
      <c r="L3816">
        <v>665.34</v>
      </c>
    </row>
    <row r="3817" spans="1:12" x14ac:dyDescent="0.25">
      <c r="A3817" t="str">
        <f t="shared" si="829"/>
        <v>89301000</v>
      </c>
      <c r="B3817" t="str">
        <f t="shared" si="822"/>
        <v>06539000</v>
      </c>
      <c r="C3817" t="str">
        <f t="shared" si="836"/>
        <v>06539003</v>
      </c>
      <c r="D3817" t="str">
        <f t="shared" si="837"/>
        <v>813</v>
      </c>
      <c r="E3817" t="str">
        <f t="shared" si="831"/>
        <v>89301171</v>
      </c>
      <c r="F3817" t="str">
        <f t="shared" si="832"/>
        <v>0110305745</v>
      </c>
      <c r="G3817" s="1">
        <v>44658</v>
      </c>
      <c r="H3817" t="str">
        <f t="shared" si="838"/>
        <v>91413</v>
      </c>
      <c r="I3817">
        <v>1</v>
      </c>
      <c r="J3817">
        <v>853</v>
      </c>
      <c r="K3817">
        <v>0</v>
      </c>
      <c r="L3817">
        <v>665.34</v>
      </c>
    </row>
    <row r="3818" spans="1:12" x14ac:dyDescent="0.25">
      <c r="A3818" t="str">
        <f t="shared" si="829"/>
        <v>89301000</v>
      </c>
      <c r="B3818" t="str">
        <f t="shared" si="822"/>
        <v>06539000</v>
      </c>
      <c r="C3818" t="str">
        <f t="shared" si="836"/>
        <v>06539003</v>
      </c>
      <c r="D3818" t="str">
        <f t="shared" si="837"/>
        <v>813</v>
      </c>
      <c r="E3818" t="str">
        <f t="shared" si="831"/>
        <v>89301171</v>
      </c>
      <c r="F3818" t="str">
        <f t="shared" si="832"/>
        <v>0110305745</v>
      </c>
      <c r="G3818" s="1">
        <v>44663</v>
      </c>
      <c r="H3818" t="str">
        <f t="shared" si="838"/>
        <v>91413</v>
      </c>
      <c r="I3818">
        <v>1</v>
      </c>
      <c r="J3818">
        <v>853</v>
      </c>
      <c r="K3818">
        <v>0</v>
      </c>
      <c r="L3818">
        <v>665.34</v>
      </c>
    </row>
    <row r="3819" spans="1:12" x14ac:dyDescent="0.25">
      <c r="A3819" t="str">
        <f t="shared" si="829"/>
        <v>89301000</v>
      </c>
      <c r="B3819" t="str">
        <f t="shared" si="822"/>
        <v>06539000</v>
      </c>
      <c r="C3819" t="str">
        <f t="shared" si="836"/>
        <v>06539003</v>
      </c>
      <c r="D3819" t="str">
        <f t="shared" si="837"/>
        <v>813</v>
      </c>
      <c r="E3819" t="str">
        <f t="shared" si="831"/>
        <v>89301171</v>
      </c>
      <c r="F3819" t="str">
        <f t="shared" si="832"/>
        <v>0110305745</v>
      </c>
      <c r="G3819" s="1">
        <v>44663</v>
      </c>
      <c r="H3819" t="str">
        <f t="shared" si="838"/>
        <v>91413</v>
      </c>
      <c r="I3819">
        <v>1</v>
      </c>
      <c r="J3819">
        <v>853</v>
      </c>
      <c r="K3819">
        <v>0</v>
      </c>
      <c r="L3819">
        <v>665.34</v>
      </c>
    </row>
    <row r="3820" spans="1:12" x14ac:dyDescent="0.25">
      <c r="A3820" t="str">
        <f t="shared" si="829"/>
        <v>89301000</v>
      </c>
      <c r="B3820" t="str">
        <f t="shared" si="822"/>
        <v>06539000</v>
      </c>
      <c r="C3820" t="str">
        <f t="shared" si="836"/>
        <v>06539003</v>
      </c>
      <c r="D3820" t="str">
        <f t="shared" si="837"/>
        <v>813</v>
      </c>
      <c r="E3820" t="str">
        <f t="shared" si="831"/>
        <v>89301171</v>
      </c>
      <c r="F3820" t="str">
        <f t="shared" si="832"/>
        <v>0110305745</v>
      </c>
      <c r="G3820" s="1">
        <v>44663</v>
      </c>
      <c r="H3820" t="str">
        <f t="shared" si="838"/>
        <v>91413</v>
      </c>
      <c r="I3820">
        <v>1</v>
      </c>
      <c r="J3820">
        <v>853</v>
      </c>
      <c r="K3820">
        <v>0</v>
      </c>
      <c r="L3820">
        <v>665.34</v>
      </c>
    </row>
    <row r="3821" spans="1:12" x14ac:dyDescent="0.25">
      <c r="A3821" t="str">
        <f t="shared" si="829"/>
        <v>89301000</v>
      </c>
      <c r="B3821" t="str">
        <f t="shared" si="822"/>
        <v>06539000</v>
      </c>
      <c r="C3821" t="str">
        <f t="shared" si="836"/>
        <v>06539003</v>
      </c>
      <c r="D3821" t="str">
        <f t="shared" si="837"/>
        <v>813</v>
      </c>
      <c r="E3821" t="str">
        <f t="shared" si="831"/>
        <v>89301171</v>
      </c>
      <c r="F3821" t="str">
        <f t="shared" si="832"/>
        <v>0110305745</v>
      </c>
      <c r="G3821" s="1">
        <v>44663</v>
      </c>
      <c r="H3821" t="str">
        <f t="shared" si="838"/>
        <v>91413</v>
      </c>
      <c r="I3821">
        <v>1</v>
      </c>
      <c r="J3821">
        <v>853</v>
      </c>
      <c r="K3821">
        <v>0</v>
      </c>
      <c r="L3821">
        <v>665.34</v>
      </c>
    </row>
    <row r="3822" spans="1:12" x14ac:dyDescent="0.25">
      <c r="A3822" t="str">
        <f t="shared" si="829"/>
        <v>89301000</v>
      </c>
      <c r="B3822" t="str">
        <f t="shared" si="822"/>
        <v>06539000</v>
      </c>
      <c r="C3822" t="str">
        <f t="shared" si="836"/>
        <v>06539003</v>
      </c>
      <c r="D3822" t="str">
        <f t="shared" si="837"/>
        <v>813</v>
      </c>
      <c r="E3822" t="str">
        <f t="shared" si="831"/>
        <v>89301171</v>
      </c>
      <c r="F3822" t="str">
        <f t="shared" si="832"/>
        <v>0110305745</v>
      </c>
      <c r="G3822" s="1">
        <v>44645</v>
      </c>
      <c r="H3822" t="str">
        <f t="shared" ref="H3822:H3828" si="839">"91197"</f>
        <v>91197</v>
      </c>
      <c r="I3822">
        <v>1</v>
      </c>
      <c r="J3822">
        <v>1046</v>
      </c>
      <c r="K3822">
        <v>0</v>
      </c>
      <c r="L3822">
        <v>815.88</v>
      </c>
    </row>
    <row r="3823" spans="1:12" x14ac:dyDescent="0.25">
      <c r="A3823" t="str">
        <f t="shared" si="829"/>
        <v>89301000</v>
      </c>
      <c r="B3823" t="str">
        <f t="shared" si="822"/>
        <v>06539000</v>
      </c>
      <c r="C3823" t="str">
        <f t="shared" si="836"/>
        <v>06539003</v>
      </c>
      <c r="D3823" t="str">
        <f t="shared" si="837"/>
        <v>813</v>
      </c>
      <c r="E3823" t="str">
        <f t="shared" si="831"/>
        <v>89301171</v>
      </c>
      <c r="F3823" t="str">
        <f t="shared" si="832"/>
        <v>0110305745</v>
      </c>
      <c r="G3823" s="1">
        <v>44648</v>
      </c>
      <c r="H3823" t="str">
        <f t="shared" si="839"/>
        <v>91197</v>
      </c>
      <c r="I3823">
        <v>1</v>
      </c>
      <c r="J3823">
        <v>1046</v>
      </c>
      <c r="K3823">
        <v>0</v>
      </c>
      <c r="L3823">
        <v>815.88</v>
      </c>
    </row>
    <row r="3824" spans="1:12" x14ac:dyDescent="0.25">
      <c r="A3824" t="str">
        <f t="shared" si="829"/>
        <v>89301000</v>
      </c>
      <c r="B3824" t="str">
        <f t="shared" si="822"/>
        <v>06539000</v>
      </c>
      <c r="C3824" t="str">
        <f t="shared" si="836"/>
        <v>06539003</v>
      </c>
      <c r="D3824" t="str">
        <f t="shared" si="837"/>
        <v>813</v>
      </c>
      <c r="E3824" t="str">
        <f t="shared" si="831"/>
        <v>89301171</v>
      </c>
      <c r="F3824" t="str">
        <f t="shared" si="832"/>
        <v>0110305745</v>
      </c>
      <c r="G3824" s="1">
        <v>44648</v>
      </c>
      <c r="H3824" t="str">
        <f t="shared" si="839"/>
        <v>91197</v>
      </c>
      <c r="I3824">
        <v>1</v>
      </c>
      <c r="J3824">
        <v>1046</v>
      </c>
      <c r="K3824">
        <v>0</v>
      </c>
      <c r="L3824">
        <v>815.88</v>
      </c>
    </row>
    <row r="3825" spans="1:12" x14ac:dyDescent="0.25">
      <c r="A3825" t="str">
        <f t="shared" si="829"/>
        <v>89301000</v>
      </c>
      <c r="B3825" t="str">
        <f t="shared" si="822"/>
        <v>06539000</v>
      </c>
      <c r="C3825" t="str">
        <f t="shared" si="836"/>
        <v>06539003</v>
      </c>
      <c r="D3825" t="str">
        <f t="shared" si="837"/>
        <v>813</v>
      </c>
      <c r="E3825" t="str">
        <f t="shared" si="831"/>
        <v>89301171</v>
      </c>
      <c r="F3825" t="str">
        <f t="shared" si="832"/>
        <v>0110305745</v>
      </c>
      <c r="G3825" s="1">
        <v>44647</v>
      </c>
      <c r="H3825" t="str">
        <f t="shared" si="839"/>
        <v>91197</v>
      </c>
      <c r="I3825">
        <v>1</v>
      </c>
      <c r="J3825">
        <v>1046</v>
      </c>
      <c r="K3825">
        <v>0</v>
      </c>
      <c r="L3825">
        <v>815.88</v>
      </c>
    </row>
    <row r="3826" spans="1:12" x14ac:dyDescent="0.25">
      <c r="A3826" t="str">
        <f t="shared" si="829"/>
        <v>89301000</v>
      </c>
      <c r="B3826" t="str">
        <f t="shared" si="822"/>
        <v>06539000</v>
      </c>
      <c r="C3826" t="str">
        <f t="shared" si="836"/>
        <v>06539003</v>
      </c>
      <c r="D3826" t="str">
        <f t="shared" si="837"/>
        <v>813</v>
      </c>
      <c r="E3826" t="str">
        <f t="shared" si="831"/>
        <v>89301171</v>
      </c>
      <c r="F3826" t="str">
        <f t="shared" si="832"/>
        <v>0110305745</v>
      </c>
      <c r="G3826" s="1">
        <v>44647</v>
      </c>
      <c r="H3826" t="str">
        <f t="shared" si="839"/>
        <v>91197</v>
      </c>
      <c r="I3826">
        <v>1</v>
      </c>
      <c r="J3826">
        <v>1046</v>
      </c>
      <c r="K3826">
        <v>0</v>
      </c>
      <c r="L3826">
        <v>815.88</v>
      </c>
    </row>
    <row r="3827" spans="1:12" x14ac:dyDescent="0.25">
      <c r="A3827" t="str">
        <f t="shared" si="829"/>
        <v>89301000</v>
      </c>
      <c r="B3827" t="str">
        <f t="shared" si="822"/>
        <v>06539000</v>
      </c>
      <c r="C3827" t="str">
        <f t="shared" si="836"/>
        <v>06539003</v>
      </c>
      <c r="D3827" t="str">
        <f t="shared" si="837"/>
        <v>813</v>
      </c>
      <c r="E3827" t="str">
        <f t="shared" si="831"/>
        <v>89301171</v>
      </c>
      <c r="F3827" t="str">
        <f t="shared" si="832"/>
        <v>0110305745</v>
      </c>
      <c r="G3827" s="1">
        <v>44646</v>
      </c>
      <c r="H3827" t="str">
        <f t="shared" si="839"/>
        <v>91197</v>
      </c>
      <c r="I3827">
        <v>1</v>
      </c>
      <c r="J3827">
        <v>1046</v>
      </c>
      <c r="K3827">
        <v>0</v>
      </c>
      <c r="L3827">
        <v>815.88</v>
      </c>
    </row>
    <row r="3828" spans="1:12" x14ac:dyDescent="0.25">
      <c r="A3828" t="str">
        <f t="shared" si="829"/>
        <v>89301000</v>
      </c>
      <c r="B3828" t="str">
        <f t="shared" ref="B3828:B3891" si="840">"06539000"</f>
        <v>06539000</v>
      </c>
      <c r="C3828" t="str">
        <f t="shared" si="836"/>
        <v>06539003</v>
      </c>
      <c r="D3828" t="str">
        <f t="shared" si="837"/>
        <v>813</v>
      </c>
      <c r="E3828" t="str">
        <f t="shared" ref="E3828:E3843" si="841">"89301171"</f>
        <v>89301171</v>
      </c>
      <c r="F3828" t="str">
        <f t="shared" si="832"/>
        <v>0110305745</v>
      </c>
      <c r="G3828" s="1">
        <v>44646</v>
      </c>
      <c r="H3828" t="str">
        <f t="shared" si="839"/>
        <v>91197</v>
      </c>
      <c r="I3828">
        <v>1</v>
      </c>
      <c r="J3828">
        <v>1046</v>
      </c>
      <c r="K3828">
        <v>0</v>
      </c>
      <c r="L3828">
        <v>815.88</v>
      </c>
    </row>
    <row r="3829" spans="1:12" x14ac:dyDescent="0.25">
      <c r="A3829" t="str">
        <f t="shared" si="829"/>
        <v>89301000</v>
      </c>
      <c r="B3829" t="str">
        <f t="shared" si="840"/>
        <v>06539000</v>
      </c>
      <c r="C3829" t="str">
        <f t="shared" si="836"/>
        <v>06539003</v>
      </c>
      <c r="D3829" t="str">
        <f t="shared" si="837"/>
        <v>813</v>
      </c>
      <c r="E3829" t="str">
        <f t="shared" si="841"/>
        <v>89301171</v>
      </c>
      <c r="F3829" t="str">
        <f t="shared" si="832"/>
        <v>0110305745</v>
      </c>
      <c r="G3829" s="1">
        <v>44656</v>
      </c>
      <c r="H3829" t="str">
        <f>"91329"</f>
        <v>91329</v>
      </c>
      <c r="I3829">
        <v>2</v>
      </c>
      <c r="J3829">
        <v>428</v>
      </c>
      <c r="K3829">
        <v>0</v>
      </c>
      <c r="L3829">
        <v>333.84</v>
      </c>
    </row>
    <row r="3830" spans="1:12" x14ac:dyDescent="0.25">
      <c r="A3830" t="str">
        <f t="shared" si="829"/>
        <v>89301000</v>
      </c>
      <c r="B3830" t="str">
        <f t="shared" si="840"/>
        <v>06539000</v>
      </c>
      <c r="C3830" t="str">
        <f t="shared" si="836"/>
        <v>06539003</v>
      </c>
      <c r="D3830" t="str">
        <f t="shared" si="837"/>
        <v>813</v>
      </c>
      <c r="E3830" t="str">
        <f t="shared" si="841"/>
        <v>89301171</v>
      </c>
      <c r="F3830" t="str">
        <f t="shared" si="832"/>
        <v>0110305745</v>
      </c>
      <c r="G3830" s="1">
        <v>44656</v>
      </c>
      <c r="H3830" t="str">
        <f>"91329"</f>
        <v>91329</v>
      </c>
      <c r="I3830">
        <v>2</v>
      </c>
      <c r="J3830">
        <v>428</v>
      </c>
      <c r="K3830">
        <v>0</v>
      </c>
      <c r="L3830">
        <v>333.84</v>
      </c>
    </row>
    <row r="3831" spans="1:12" x14ac:dyDescent="0.25">
      <c r="A3831" t="str">
        <f t="shared" si="829"/>
        <v>89301000</v>
      </c>
      <c r="B3831" t="str">
        <f t="shared" si="840"/>
        <v>06539000</v>
      </c>
      <c r="C3831" t="str">
        <f t="shared" si="836"/>
        <v>06539003</v>
      </c>
      <c r="D3831" t="str">
        <f t="shared" si="837"/>
        <v>813</v>
      </c>
      <c r="E3831" t="str">
        <f t="shared" si="841"/>
        <v>89301171</v>
      </c>
      <c r="F3831" t="str">
        <f t="shared" si="832"/>
        <v>0110305745</v>
      </c>
      <c r="G3831" s="1">
        <v>44656</v>
      </c>
      <c r="H3831" t="str">
        <f>"91329"</f>
        <v>91329</v>
      </c>
      <c r="I3831">
        <v>2</v>
      </c>
      <c r="J3831">
        <v>428</v>
      </c>
      <c r="K3831">
        <v>0</v>
      </c>
      <c r="L3831">
        <v>333.84</v>
      </c>
    </row>
    <row r="3832" spans="1:12" x14ac:dyDescent="0.25">
      <c r="A3832" t="str">
        <f t="shared" si="829"/>
        <v>89301000</v>
      </c>
      <c r="B3832" t="str">
        <f t="shared" si="840"/>
        <v>06539000</v>
      </c>
      <c r="C3832" t="str">
        <f t="shared" si="836"/>
        <v>06539003</v>
      </c>
      <c r="D3832" t="str">
        <f t="shared" si="837"/>
        <v>813</v>
      </c>
      <c r="E3832" t="str">
        <f t="shared" si="841"/>
        <v>89301171</v>
      </c>
      <c r="F3832" t="str">
        <f t="shared" si="832"/>
        <v>0110305745</v>
      </c>
      <c r="G3832" s="1">
        <v>44656</v>
      </c>
      <c r="H3832" t="str">
        <f>"91329"</f>
        <v>91329</v>
      </c>
      <c r="I3832">
        <v>2</v>
      </c>
      <c r="J3832">
        <v>428</v>
      </c>
      <c r="K3832">
        <v>0</v>
      </c>
      <c r="L3832">
        <v>333.84</v>
      </c>
    </row>
    <row r="3833" spans="1:12" x14ac:dyDescent="0.25">
      <c r="A3833" t="str">
        <f t="shared" si="829"/>
        <v>89301000</v>
      </c>
      <c r="B3833" t="str">
        <f t="shared" si="840"/>
        <v>06539000</v>
      </c>
      <c r="C3833" t="str">
        <f t="shared" si="836"/>
        <v>06539003</v>
      </c>
      <c r="D3833" t="str">
        <f t="shared" si="837"/>
        <v>813</v>
      </c>
      <c r="E3833" t="str">
        <f t="shared" si="841"/>
        <v>89301171</v>
      </c>
      <c r="F3833" t="str">
        <f t="shared" si="832"/>
        <v>0110305745</v>
      </c>
      <c r="G3833" s="1">
        <v>44645</v>
      </c>
      <c r="H3833" t="str">
        <f>"91129"</f>
        <v>91129</v>
      </c>
      <c r="I3833">
        <v>1</v>
      </c>
      <c r="J3833">
        <v>174</v>
      </c>
      <c r="K3833">
        <v>0</v>
      </c>
      <c r="L3833">
        <v>135.72</v>
      </c>
    </row>
    <row r="3834" spans="1:12" x14ac:dyDescent="0.25">
      <c r="A3834" t="str">
        <f t="shared" si="829"/>
        <v>89301000</v>
      </c>
      <c r="B3834" t="str">
        <f t="shared" si="840"/>
        <v>06539000</v>
      </c>
      <c r="C3834" t="str">
        <f t="shared" si="836"/>
        <v>06539003</v>
      </c>
      <c r="D3834" t="str">
        <f t="shared" si="837"/>
        <v>813</v>
      </c>
      <c r="E3834" t="str">
        <f t="shared" si="841"/>
        <v>89301171</v>
      </c>
      <c r="F3834" t="str">
        <f t="shared" si="832"/>
        <v>0110305745</v>
      </c>
      <c r="G3834" s="1">
        <v>44645</v>
      </c>
      <c r="H3834" t="str">
        <f>"91131"</f>
        <v>91131</v>
      </c>
      <c r="I3834">
        <v>1</v>
      </c>
      <c r="J3834">
        <v>171</v>
      </c>
      <c r="K3834">
        <v>0</v>
      </c>
      <c r="L3834">
        <v>133.38</v>
      </c>
    </row>
    <row r="3835" spans="1:12" x14ac:dyDescent="0.25">
      <c r="A3835" t="str">
        <f t="shared" si="829"/>
        <v>89301000</v>
      </c>
      <c r="B3835" t="str">
        <f t="shared" si="840"/>
        <v>06539000</v>
      </c>
      <c r="C3835" t="str">
        <f t="shared" si="836"/>
        <v>06539003</v>
      </c>
      <c r="D3835" t="str">
        <f t="shared" si="837"/>
        <v>813</v>
      </c>
      <c r="E3835" t="str">
        <f t="shared" si="841"/>
        <v>89301171</v>
      </c>
      <c r="F3835" t="str">
        <f t="shared" si="832"/>
        <v>0110305745</v>
      </c>
      <c r="G3835" s="1">
        <v>44645</v>
      </c>
      <c r="H3835" t="str">
        <f>"91133"</f>
        <v>91133</v>
      </c>
      <c r="I3835">
        <v>1</v>
      </c>
      <c r="J3835">
        <v>176</v>
      </c>
      <c r="K3835">
        <v>0</v>
      </c>
      <c r="L3835">
        <v>137.28</v>
      </c>
    </row>
    <row r="3836" spans="1:12" x14ac:dyDescent="0.25">
      <c r="A3836" t="str">
        <f t="shared" si="829"/>
        <v>89301000</v>
      </c>
      <c r="B3836" t="str">
        <f t="shared" si="840"/>
        <v>06539000</v>
      </c>
      <c r="C3836" t="str">
        <f t="shared" si="836"/>
        <v>06539003</v>
      </c>
      <c r="D3836" t="str">
        <f t="shared" si="837"/>
        <v>813</v>
      </c>
      <c r="E3836" t="str">
        <f t="shared" si="841"/>
        <v>89301171</v>
      </c>
      <c r="F3836" t="str">
        <f t="shared" si="832"/>
        <v>0110305745</v>
      </c>
      <c r="G3836" s="1">
        <v>44645</v>
      </c>
      <c r="H3836" t="str">
        <f>"91171"</f>
        <v>91171</v>
      </c>
      <c r="I3836">
        <v>1</v>
      </c>
      <c r="J3836">
        <v>360</v>
      </c>
      <c r="K3836">
        <v>0</v>
      </c>
      <c r="L3836">
        <v>280.8</v>
      </c>
    </row>
    <row r="3837" spans="1:12" x14ac:dyDescent="0.25">
      <c r="A3837" t="str">
        <f t="shared" si="829"/>
        <v>89301000</v>
      </c>
      <c r="B3837" t="str">
        <f t="shared" si="840"/>
        <v>06539000</v>
      </c>
      <c r="C3837" t="str">
        <f t="shared" si="836"/>
        <v>06539003</v>
      </c>
      <c r="D3837" t="str">
        <f t="shared" si="837"/>
        <v>813</v>
      </c>
      <c r="E3837" t="str">
        <f t="shared" si="841"/>
        <v>89301171</v>
      </c>
      <c r="F3837" t="str">
        <f t="shared" si="832"/>
        <v>0110305745</v>
      </c>
      <c r="G3837" s="1">
        <v>44645</v>
      </c>
      <c r="H3837" t="str">
        <f>"91173"</f>
        <v>91173</v>
      </c>
      <c r="I3837">
        <v>1</v>
      </c>
      <c r="J3837">
        <v>335</v>
      </c>
      <c r="K3837">
        <v>0</v>
      </c>
      <c r="L3837">
        <v>261.3</v>
      </c>
    </row>
    <row r="3838" spans="1:12" x14ac:dyDescent="0.25">
      <c r="A3838" t="str">
        <f t="shared" si="829"/>
        <v>89301000</v>
      </c>
      <c r="B3838" t="str">
        <f t="shared" si="840"/>
        <v>06539000</v>
      </c>
      <c r="C3838" t="str">
        <f t="shared" si="836"/>
        <v>06539003</v>
      </c>
      <c r="D3838" t="str">
        <f t="shared" si="837"/>
        <v>813</v>
      </c>
      <c r="E3838" t="str">
        <f t="shared" si="841"/>
        <v>89301171</v>
      </c>
      <c r="F3838" t="str">
        <f t="shared" si="832"/>
        <v>0110305745</v>
      </c>
      <c r="G3838" s="1">
        <v>44645</v>
      </c>
      <c r="H3838" t="str">
        <f>"91175"</f>
        <v>91175</v>
      </c>
      <c r="I3838">
        <v>1</v>
      </c>
      <c r="J3838">
        <v>360</v>
      </c>
      <c r="K3838">
        <v>0</v>
      </c>
      <c r="L3838">
        <v>280.8</v>
      </c>
    </row>
    <row r="3839" spans="1:12" x14ac:dyDescent="0.25">
      <c r="A3839" t="str">
        <f t="shared" si="829"/>
        <v>89301000</v>
      </c>
      <c r="B3839" t="str">
        <f t="shared" si="840"/>
        <v>06539000</v>
      </c>
      <c r="C3839" t="str">
        <f t="shared" ref="C3839:C3865" si="842">"06539003"</f>
        <v>06539003</v>
      </c>
      <c r="D3839" t="str">
        <f t="shared" ref="D3839:D3865" si="843">"813"</f>
        <v>813</v>
      </c>
      <c r="E3839" t="str">
        <f t="shared" si="841"/>
        <v>89301171</v>
      </c>
      <c r="F3839" t="str">
        <f t="shared" si="832"/>
        <v>0110305745</v>
      </c>
      <c r="G3839" s="1">
        <v>44646</v>
      </c>
      <c r="H3839" t="str">
        <f>"91167"</f>
        <v>91167</v>
      </c>
      <c r="I3839">
        <v>1</v>
      </c>
      <c r="J3839">
        <v>425</v>
      </c>
      <c r="K3839">
        <v>0</v>
      </c>
      <c r="L3839">
        <v>331.5</v>
      </c>
    </row>
    <row r="3840" spans="1:12" x14ac:dyDescent="0.25">
      <c r="A3840" t="str">
        <f t="shared" si="829"/>
        <v>89301000</v>
      </c>
      <c r="B3840" t="str">
        <f t="shared" si="840"/>
        <v>06539000</v>
      </c>
      <c r="C3840" t="str">
        <f t="shared" si="842"/>
        <v>06539003</v>
      </c>
      <c r="D3840" t="str">
        <f t="shared" si="843"/>
        <v>813</v>
      </c>
      <c r="E3840" t="str">
        <f t="shared" si="841"/>
        <v>89301171</v>
      </c>
      <c r="F3840" t="str">
        <f t="shared" si="832"/>
        <v>0110305745</v>
      </c>
      <c r="G3840" s="1">
        <v>44646</v>
      </c>
      <c r="H3840" t="str">
        <f>"91169"</f>
        <v>91169</v>
      </c>
      <c r="I3840">
        <v>1</v>
      </c>
      <c r="J3840">
        <v>425</v>
      </c>
      <c r="K3840">
        <v>0</v>
      </c>
      <c r="L3840">
        <v>331.5</v>
      </c>
    </row>
    <row r="3841" spans="1:12" x14ac:dyDescent="0.25">
      <c r="A3841" t="str">
        <f t="shared" si="829"/>
        <v>89301000</v>
      </c>
      <c r="B3841" t="str">
        <f t="shared" si="840"/>
        <v>06539000</v>
      </c>
      <c r="C3841" t="str">
        <f t="shared" si="842"/>
        <v>06539003</v>
      </c>
      <c r="D3841" t="str">
        <f t="shared" si="843"/>
        <v>813</v>
      </c>
      <c r="E3841" t="str">
        <f t="shared" si="841"/>
        <v>89301171</v>
      </c>
      <c r="F3841" t="str">
        <f t="shared" si="832"/>
        <v>0110305745</v>
      </c>
      <c r="G3841" s="1">
        <v>44645</v>
      </c>
      <c r="H3841" t="str">
        <f>"91167"</f>
        <v>91167</v>
      </c>
      <c r="I3841">
        <v>1</v>
      </c>
      <c r="J3841">
        <v>425</v>
      </c>
      <c r="K3841">
        <v>0</v>
      </c>
      <c r="L3841">
        <v>331.5</v>
      </c>
    </row>
    <row r="3842" spans="1:12" x14ac:dyDescent="0.25">
      <c r="A3842" t="str">
        <f t="shared" ref="A3842:A3905" si="844">"89301000"</f>
        <v>89301000</v>
      </c>
      <c r="B3842" t="str">
        <f t="shared" si="840"/>
        <v>06539000</v>
      </c>
      <c r="C3842" t="str">
        <f t="shared" si="842"/>
        <v>06539003</v>
      </c>
      <c r="D3842" t="str">
        <f t="shared" si="843"/>
        <v>813</v>
      </c>
      <c r="E3842" t="str">
        <f t="shared" si="841"/>
        <v>89301171</v>
      </c>
      <c r="F3842" t="str">
        <f t="shared" si="832"/>
        <v>0110305745</v>
      </c>
      <c r="G3842" s="1">
        <v>44645</v>
      </c>
      <c r="H3842" t="str">
        <f>"91169"</f>
        <v>91169</v>
      </c>
      <c r="I3842">
        <v>1</v>
      </c>
      <c r="J3842">
        <v>425</v>
      </c>
      <c r="K3842">
        <v>0</v>
      </c>
      <c r="L3842">
        <v>331.5</v>
      </c>
    </row>
    <row r="3843" spans="1:12" x14ac:dyDescent="0.25">
      <c r="A3843" t="str">
        <f t="shared" si="844"/>
        <v>89301000</v>
      </c>
      <c r="B3843" t="str">
        <f t="shared" si="840"/>
        <v>06539000</v>
      </c>
      <c r="C3843" t="str">
        <f t="shared" si="842"/>
        <v>06539003</v>
      </c>
      <c r="D3843" t="str">
        <f t="shared" si="843"/>
        <v>813</v>
      </c>
      <c r="E3843" t="str">
        <f t="shared" si="841"/>
        <v>89301171</v>
      </c>
      <c r="F3843" t="str">
        <f t="shared" si="832"/>
        <v>0110305745</v>
      </c>
      <c r="G3843" s="1">
        <v>44645</v>
      </c>
      <c r="H3843" t="str">
        <f>"91475"</f>
        <v>91475</v>
      </c>
      <c r="I3843">
        <v>1</v>
      </c>
      <c r="J3843">
        <v>206</v>
      </c>
      <c r="K3843">
        <v>0</v>
      </c>
      <c r="L3843">
        <v>160.68</v>
      </c>
    </row>
    <row r="3844" spans="1:12" x14ac:dyDescent="0.25">
      <c r="A3844" t="str">
        <f t="shared" si="844"/>
        <v>89301000</v>
      </c>
      <c r="B3844" t="str">
        <f t="shared" si="840"/>
        <v>06539000</v>
      </c>
      <c r="C3844" t="str">
        <f t="shared" si="842"/>
        <v>06539003</v>
      </c>
      <c r="D3844" t="str">
        <f t="shared" si="843"/>
        <v>813</v>
      </c>
      <c r="E3844" t="str">
        <f t="shared" ref="E3844:E3865" si="845">"89301172"</f>
        <v>89301172</v>
      </c>
      <c r="F3844" t="str">
        <f t="shared" ref="F3844:F3865" si="846">"490423147"</f>
        <v>490423147</v>
      </c>
      <c r="G3844" s="1">
        <v>44651</v>
      </c>
      <c r="H3844" t="str">
        <f t="shared" ref="H3844:H3853" si="847">"91413"</f>
        <v>91413</v>
      </c>
      <c r="I3844">
        <v>1</v>
      </c>
      <c r="J3844">
        <v>853</v>
      </c>
      <c r="K3844">
        <v>0</v>
      </c>
      <c r="L3844">
        <v>665.34</v>
      </c>
    </row>
    <row r="3845" spans="1:12" x14ac:dyDescent="0.25">
      <c r="A3845" t="str">
        <f t="shared" si="844"/>
        <v>89301000</v>
      </c>
      <c r="B3845" t="str">
        <f t="shared" si="840"/>
        <v>06539000</v>
      </c>
      <c r="C3845" t="str">
        <f t="shared" si="842"/>
        <v>06539003</v>
      </c>
      <c r="D3845" t="str">
        <f t="shared" si="843"/>
        <v>813</v>
      </c>
      <c r="E3845" t="str">
        <f t="shared" si="845"/>
        <v>89301172</v>
      </c>
      <c r="F3845" t="str">
        <f t="shared" si="846"/>
        <v>490423147</v>
      </c>
      <c r="G3845" s="1">
        <v>44651</v>
      </c>
      <c r="H3845" t="str">
        <f t="shared" si="847"/>
        <v>91413</v>
      </c>
      <c r="I3845">
        <v>1</v>
      </c>
      <c r="J3845">
        <v>853</v>
      </c>
      <c r="K3845">
        <v>0</v>
      </c>
      <c r="L3845">
        <v>665.34</v>
      </c>
    </row>
    <row r="3846" spans="1:12" x14ac:dyDescent="0.25">
      <c r="A3846" t="str">
        <f t="shared" si="844"/>
        <v>89301000</v>
      </c>
      <c r="B3846" t="str">
        <f t="shared" si="840"/>
        <v>06539000</v>
      </c>
      <c r="C3846" t="str">
        <f t="shared" si="842"/>
        <v>06539003</v>
      </c>
      <c r="D3846" t="str">
        <f t="shared" si="843"/>
        <v>813</v>
      </c>
      <c r="E3846" t="str">
        <f t="shared" si="845"/>
        <v>89301172</v>
      </c>
      <c r="F3846" t="str">
        <f t="shared" si="846"/>
        <v>490423147</v>
      </c>
      <c r="G3846" s="1">
        <v>44663</v>
      </c>
      <c r="H3846" t="str">
        <f t="shared" si="847"/>
        <v>91413</v>
      </c>
      <c r="I3846">
        <v>1</v>
      </c>
      <c r="J3846">
        <v>853</v>
      </c>
      <c r="K3846">
        <v>0</v>
      </c>
      <c r="L3846">
        <v>665.34</v>
      </c>
    </row>
    <row r="3847" spans="1:12" x14ac:dyDescent="0.25">
      <c r="A3847" t="str">
        <f t="shared" si="844"/>
        <v>89301000</v>
      </c>
      <c r="B3847" t="str">
        <f t="shared" si="840"/>
        <v>06539000</v>
      </c>
      <c r="C3847" t="str">
        <f t="shared" si="842"/>
        <v>06539003</v>
      </c>
      <c r="D3847" t="str">
        <f t="shared" si="843"/>
        <v>813</v>
      </c>
      <c r="E3847" t="str">
        <f t="shared" si="845"/>
        <v>89301172</v>
      </c>
      <c r="F3847" t="str">
        <f t="shared" si="846"/>
        <v>490423147</v>
      </c>
      <c r="G3847" s="1">
        <v>44663</v>
      </c>
      <c r="H3847" t="str">
        <f t="shared" si="847"/>
        <v>91413</v>
      </c>
      <c r="I3847">
        <v>1</v>
      </c>
      <c r="J3847">
        <v>853</v>
      </c>
      <c r="K3847">
        <v>0</v>
      </c>
      <c r="L3847">
        <v>665.34</v>
      </c>
    </row>
    <row r="3848" spans="1:12" x14ac:dyDescent="0.25">
      <c r="A3848" t="str">
        <f t="shared" si="844"/>
        <v>89301000</v>
      </c>
      <c r="B3848" t="str">
        <f t="shared" si="840"/>
        <v>06539000</v>
      </c>
      <c r="C3848" t="str">
        <f t="shared" si="842"/>
        <v>06539003</v>
      </c>
      <c r="D3848" t="str">
        <f t="shared" si="843"/>
        <v>813</v>
      </c>
      <c r="E3848" t="str">
        <f t="shared" si="845"/>
        <v>89301172</v>
      </c>
      <c r="F3848" t="str">
        <f t="shared" si="846"/>
        <v>490423147</v>
      </c>
      <c r="G3848" s="1">
        <v>44658</v>
      </c>
      <c r="H3848" t="str">
        <f t="shared" si="847"/>
        <v>91413</v>
      </c>
      <c r="I3848">
        <v>1</v>
      </c>
      <c r="J3848">
        <v>853</v>
      </c>
      <c r="K3848">
        <v>0</v>
      </c>
      <c r="L3848">
        <v>665.34</v>
      </c>
    </row>
    <row r="3849" spans="1:12" x14ac:dyDescent="0.25">
      <c r="A3849" t="str">
        <f t="shared" si="844"/>
        <v>89301000</v>
      </c>
      <c r="B3849" t="str">
        <f t="shared" si="840"/>
        <v>06539000</v>
      </c>
      <c r="C3849" t="str">
        <f t="shared" si="842"/>
        <v>06539003</v>
      </c>
      <c r="D3849" t="str">
        <f t="shared" si="843"/>
        <v>813</v>
      </c>
      <c r="E3849" t="str">
        <f t="shared" si="845"/>
        <v>89301172</v>
      </c>
      <c r="F3849" t="str">
        <f t="shared" si="846"/>
        <v>490423147</v>
      </c>
      <c r="G3849" s="1">
        <v>44658</v>
      </c>
      <c r="H3849" t="str">
        <f t="shared" si="847"/>
        <v>91413</v>
      </c>
      <c r="I3849">
        <v>1</v>
      </c>
      <c r="J3849">
        <v>853</v>
      </c>
      <c r="K3849">
        <v>0</v>
      </c>
      <c r="L3849">
        <v>665.34</v>
      </c>
    </row>
    <row r="3850" spans="1:12" x14ac:dyDescent="0.25">
      <c r="A3850" t="str">
        <f t="shared" si="844"/>
        <v>89301000</v>
      </c>
      <c r="B3850" t="str">
        <f t="shared" si="840"/>
        <v>06539000</v>
      </c>
      <c r="C3850" t="str">
        <f t="shared" si="842"/>
        <v>06539003</v>
      </c>
      <c r="D3850" t="str">
        <f t="shared" si="843"/>
        <v>813</v>
      </c>
      <c r="E3850" t="str">
        <f t="shared" si="845"/>
        <v>89301172</v>
      </c>
      <c r="F3850" t="str">
        <f t="shared" si="846"/>
        <v>490423147</v>
      </c>
      <c r="G3850" s="1">
        <v>44663</v>
      </c>
      <c r="H3850" t="str">
        <f t="shared" si="847"/>
        <v>91413</v>
      </c>
      <c r="I3850">
        <v>1</v>
      </c>
      <c r="J3850">
        <v>853</v>
      </c>
      <c r="K3850">
        <v>0</v>
      </c>
      <c r="L3850">
        <v>665.34</v>
      </c>
    </row>
    <row r="3851" spans="1:12" x14ac:dyDescent="0.25">
      <c r="A3851" t="str">
        <f t="shared" si="844"/>
        <v>89301000</v>
      </c>
      <c r="B3851" t="str">
        <f t="shared" si="840"/>
        <v>06539000</v>
      </c>
      <c r="C3851" t="str">
        <f t="shared" si="842"/>
        <v>06539003</v>
      </c>
      <c r="D3851" t="str">
        <f t="shared" si="843"/>
        <v>813</v>
      </c>
      <c r="E3851" t="str">
        <f t="shared" si="845"/>
        <v>89301172</v>
      </c>
      <c r="F3851" t="str">
        <f t="shared" si="846"/>
        <v>490423147</v>
      </c>
      <c r="G3851" s="1">
        <v>44663</v>
      </c>
      <c r="H3851" t="str">
        <f t="shared" si="847"/>
        <v>91413</v>
      </c>
      <c r="I3851">
        <v>1</v>
      </c>
      <c r="J3851">
        <v>853</v>
      </c>
      <c r="K3851">
        <v>0</v>
      </c>
      <c r="L3851">
        <v>665.34</v>
      </c>
    </row>
    <row r="3852" spans="1:12" x14ac:dyDescent="0.25">
      <c r="A3852" t="str">
        <f t="shared" si="844"/>
        <v>89301000</v>
      </c>
      <c r="B3852" t="str">
        <f t="shared" si="840"/>
        <v>06539000</v>
      </c>
      <c r="C3852" t="str">
        <f t="shared" si="842"/>
        <v>06539003</v>
      </c>
      <c r="D3852" t="str">
        <f t="shared" si="843"/>
        <v>813</v>
      </c>
      <c r="E3852" t="str">
        <f t="shared" si="845"/>
        <v>89301172</v>
      </c>
      <c r="F3852" t="str">
        <f t="shared" si="846"/>
        <v>490423147</v>
      </c>
      <c r="G3852" s="1">
        <v>44663</v>
      </c>
      <c r="H3852" t="str">
        <f t="shared" si="847"/>
        <v>91413</v>
      </c>
      <c r="I3852">
        <v>1</v>
      </c>
      <c r="J3852">
        <v>853</v>
      </c>
      <c r="K3852">
        <v>0</v>
      </c>
      <c r="L3852">
        <v>665.34</v>
      </c>
    </row>
    <row r="3853" spans="1:12" x14ac:dyDescent="0.25">
      <c r="A3853" t="str">
        <f t="shared" si="844"/>
        <v>89301000</v>
      </c>
      <c r="B3853" t="str">
        <f t="shared" si="840"/>
        <v>06539000</v>
      </c>
      <c r="C3853" t="str">
        <f t="shared" si="842"/>
        <v>06539003</v>
      </c>
      <c r="D3853" t="str">
        <f t="shared" si="843"/>
        <v>813</v>
      </c>
      <c r="E3853" t="str">
        <f t="shared" si="845"/>
        <v>89301172</v>
      </c>
      <c r="F3853" t="str">
        <f t="shared" si="846"/>
        <v>490423147</v>
      </c>
      <c r="G3853" s="1">
        <v>44663</v>
      </c>
      <c r="H3853" t="str">
        <f t="shared" si="847"/>
        <v>91413</v>
      </c>
      <c r="I3853">
        <v>1</v>
      </c>
      <c r="J3853">
        <v>853</v>
      </c>
      <c r="K3853">
        <v>0</v>
      </c>
      <c r="L3853">
        <v>665.34</v>
      </c>
    </row>
    <row r="3854" spans="1:12" x14ac:dyDescent="0.25">
      <c r="A3854" t="str">
        <f t="shared" si="844"/>
        <v>89301000</v>
      </c>
      <c r="B3854" t="str">
        <f t="shared" si="840"/>
        <v>06539000</v>
      </c>
      <c r="C3854" t="str">
        <f t="shared" si="842"/>
        <v>06539003</v>
      </c>
      <c r="D3854" t="str">
        <f t="shared" si="843"/>
        <v>813</v>
      </c>
      <c r="E3854" t="str">
        <f t="shared" si="845"/>
        <v>89301172</v>
      </c>
      <c r="F3854" t="str">
        <f t="shared" si="846"/>
        <v>490423147</v>
      </c>
      <c r="G3854" s="1">
        <v>44648</v>
      </c>
      <c r="H3854" t="str">
        <f t="shared" ref="H3854:H3859" si="848">"91197"</f>
        <v>91197</v>
      </c>
      <c r="I3854">
        <v>1</v>
      </c>
      <c r="J3854">
        <v>1046</v>
      </c>
      <c r="K3854">
        <v>0</v>
      </c>
      <c r="L3854">
        <v>815.88</v>
      </c>
    </row>
    <row r="3855" spans="1:12" x14ac:dyDescent="0.25">
      <c r="A3855" t="str">
        <f t="shared" si="844"/>
        <v>89301000</v>
      </c>
      <c r="B3855" t="str">
        <f t="shared" si="840"/>
        <v>06539000</v>
      </c>
      <c r="C3855" t="str">
        <f t="shared" si="842"/>
        <v>06539003</v>
      </c>
      <c r="D3855" t="str">
        <f t="shared" si="843"/>
        <v>813</v>
      </c>
      <c r="E3855" t="str">
        <f t="shared" si="845"/>
        <v>89301172</v>
      </c>
      <c r="F3855" t="str">
        <f t="shared" si="846"/>
        <v>490423147</v>
      </c>
      <c r="G3855" s="1">
        <v>44648</v>
      </c>
      <c r="H3855" t="str">
        <f t="shared" si="848"/>
        <v>91197</v>
      </c>
      <c r="I3855">
        <v>1</v>
      </c>
      <c r="J3855">
        <v>1046</v>
      </c>
      <c r="K3855">
        <v>0</v>
      </c>
      <c r="L3855">
        <v>815.88</v>
      </c>
    </row>
    <row r="3856" spans="1:12" x14ac:dyDescent="0.25">
      <c r="A3856" t="str">
        <f t="shared" si="844"/>
        <v>89301000</v>
      </c>
      <c r="B3856" t="str">
        <f t="shared" si="840"/>
        <v>06539000</v>
      </c>
      <c r="C3856" t="str">
        <f t="shared" si="842"/>
        <v>06539003</v>
      </c>
      <c r="D3856" t="str">
        <f t="shared" si="843"/>
        <v>813</v>
      </c>
      <c r="E3856" t="str">
        <f t="shared" si="845"/>
        <v>89301172</v>
      </c>
      <c r="F3856" t="str">
        <f t="shared" si="846"/>
        <v>490423147</v>
      </c>
      <c r="G3856" s="1">
        <v>44647</v>
      </c>
      <c r="H3856" t="str">
        <f t="shared" si="848"/>
        <v>91197</v>
      </c>
      <c r="I3856">
        <v>1</v>
      </c>
      <c r="J3856">
        <v>1046</v>
      </c>
      <c r="K3856">
        <v>0</v>
      </c>
      <c r="L3856">
        <v>815.88</v>
      </c>
    </row>
    <row r="3857" spans="1:12" x14ac:dyDescent="0.25">
      <c r="A3857" t="str">
        <f t="shared" si="844"/>
        <v>89301000</v>
      </c>
      <c r="B3857" t="str">
        <f t="shared" si="840"/>
        <v>06539000</v>
      </c>
      <c r="C3857" t="str">
        <f t="shared" si="842"/>
        <v>06539003</v>
      </c>
      <c r="D3857" t="str">
        <f t="shared" si="843"/>
        <v>813</v>
      </c>
      <c r="E3857" t="str">
        <f t="shared" si="845"/>
        <v>89301172</v>
      </c>
      <c r="F3857" t="str">
        <f t="shared" si="846"/>
        <v>490423147</v>
      </c>
      <c r="G3857" s="1">
        <v>44647</v>
      </c>
      <c r="H3857" t="str">
        <f t="shared" si="848"/>
        <v>91197</v>
      </c>
      <c r="I3857">
        <v>1</v>
      </c>
      <c r="J3857">
        <v>1046</v>
      </c>
      <c r="K3857">
        <v>0</v>
      </c>
      <c r="L3857">
        <v>815.88</v>
      </c>
    </row>
    <row r="3858" spans="1:12" x14ac:dyDescent="0.25">
      <c r="A3858" t="str">
        <f t="shared" si="844"/>
        <v>89301000</v>
      </c>
      <c r="B3858" t="str">
        <f t="shared" si="840"/>
        <v>06539000</v>
      </c>
      <c r="C3858" t="str">
        <f t="shared" si="842"/>
        <v>06539003</v>
      </c>
      <c r="D3858" t="str">
        <f t="shared" si="843"/>
        <v>813</v>
      </c>
      <c r="E3858" t="str">
        <f t="shared" si="845"/>
        <v>89301172</v>
      </c>
      <c r="F3858" t="str">
        <f t="shared" si="846"/>
        <v>490423147</v>
      </c>
      <c r="G3858" s="1">
        <v>44646</v>
      </c>
      <c r="H3858" t="str">
        <f t="shared" si="848"/>
        <v>91197</v>
      </c>
      <c r="I3858">
        <v>1</v>
      </c>
      <c r="J3858">
        <v>1046</v>
      </c>
      <c r="K3858">
        <v>0</v>
      </c>
      <c r="L3858">
        <v>815.88</v>
      </c>
    </row>
    <row r="3859" spans="1:12" x14ac:dyDescent="0.25">
      <c r="A3859" t="str">
        <f t="shared" si="844"/>
        <v>89301000</v>
      </c>
      <c r="B3859" t="str">
        <f t="shared" si="840"/>
        <v>06539000</v>
      </c>
      <c r="C3859" t="str">
        <f t="shared" si="842"/>
        <v>06539003</v>
      </c>
      <c r="D3859" t="str">
        <f t="shared" si="843"/>
        <v>813</v>
      </c>
      <c r="E3859" t="str">
        <f t="shared" si="845"/>
        <v>89301172</v>
      </c>
      <c r="F3859" t="str">
        <f t="shared" si="846"/>
        <v>490423147</v>
      </c>
      <c r="G3859" s="1">
        <v>44649</v>
      </c>
      <c r="H3859" t="str">
        <f t="shared" si="848"/>
        <v>91197</v>
      </c>
      <c r="I3859">
        <v>2</v>
      </c>
      <c r="J3859">
        <v>2092</v>
      </c>
      <c r="K3859">
        <v>0</v>
      </c>
      <c r="L3859">
        <v>1631.76</v>
      </c>
    </row>
    <row r="3860" spans="1:12" x14ac:dyDescent="0.25">
      <c r="A3860" t="str">
        <f t="shared" si="844"/>
        <v>89301000</v>
      </c>
      <c r="B3860" t="str">
        <f t="shared" si="840"/>
        <v>06539000</v>
      </c>
      <c r="C3860" t="str">
        <f t="shared" si="842"/>
        <v>06539003</v>
      </c>
      <c r="D3860" t="str">
        <f t="shared" si="843"/>
        <v>813</v>
      </c>
      <c r="E3860" t="str">
        <f t="shared" si="845"/>
        <v>89301172</v>
      </c>
      <c r="F3860" t="str">
        <f t="shared" si="846"/>
        <v>490423147</v>
      </c>
      <c r="G3860" s="1">
        <v>44656</v>
      </c>
      <c r="H3860" t="str">
        <f>"91329"</f>
        <v>91329</v>
      </c>
      <c r="I3860">
        <v>2</v>
      </c>
      <c r="J3860">
        <v>428</v>
      </c>
      <c r="K3860">
        <v>0</v>
      </c>
      <c r="L3860">
        <v>333.84</v>
      </c>
    </row>
    <row r="3861" spans="1:12" x14ac:dyDescent="0.25">
      <c r="A3861" t="str">
        <f t="shared" si="844"/>
        <v>89301000</v>
      </c>
      <c r="B3861" t="str">
        <f t="shared" si="840"/>
        <v>06539000</v>
      </c>
      <c r="C3861" t="str">
        <f t="shared" si="842"/>
        <v>06539003</v>
      </c>
      <c r="D3861" t="str">
        <f t="shared" si="843"/>
        <v>813</v>
      </c>
      <c r="E3861" t="str">
        <f t="shared" si="845"/>
        <v>89301172</v>
      </c>
      <c r="F3861" t="str">
        <f t="shared" si="846"/>
        <v>490423147</v>
      </c>
      <c r="G3861" s="1">
        <v>44656</v>
      </c>
      <c r="H3861" t="str">
        <f>"91329"</f>
        <v>91329</v>
      </c>
      <c r="I3861">
        <v>2</v>
      </c>
      <c r="J3861">
        <v>428</v>
      </c>
      <c r="K3861">
        <v>0</v>
      </c>
      <c r="L3861">
        <v>333.84</v>
      </c>
    </row>
    <row r="3862" spans="1:12" x14ac:dyDescent="0.25">
      <c r="A3862" t="str">
        <f t="shared" si="844"/>
        <v>89301000</v>
      </c>
      <c r="B3862" t="str">
        <f t="shared" si="840"/>
        <v>06539000</v>
      </c>
      <c r="C3862" t="str">
        <f t="shared" si="842"/>
        <v>06539003</v>
      </c>
      <c r="D3862" t="str">
        <f t="shared" si="843"/>
        <v>813</v>
      </c>
      <c r="E3862" t="str">
        <f t="shared" si="845"/>
        <v>89301172</v>
      </c>
      <c r="F3862" t="str">
        <f t="shared" si="846"/>
        <v>490423147</v>
      </c>
      <c r="G3862" s="1">
        <v>44656</v>
      </c>
      <c r="H3862" t="str">
        <f>"91329"</f>
        <v>91329</v>
      </c>
      <c r="I3862">
        <v>2</v>
      </c>
      <c r="J3862">
        <v>428</v>
      </c>
      <c r="K3862">
        <v>0</v>
      </c>
      <c r="L3862">
        <v>333.84</v>
      </c>
    </row>
    <row r="3863" spans="1:12" x14ac:dyDescent="0.25">
      <c r="A3863" t="str">
        <f t="shared" si="844"/>
        <v>89301000</v>
      </c>
      <c r="B3863" t="str">
        <f t="shared" si="840"/>
        <v>06539000</v>
      </c>
      <c r="C3863" t="str">
        <f t="shared" si="842"/>
        <v>06539003</v>
      </c>
      <c r="D3863" t="str">
        <f t="shared" si="843"/>
        <v>813</v>
      </c>
      <c r="E3863" t="str">
        <f t="shared" si="845"/>
        <v>89301172</v>
      </c>
      <c r="F3863" t="str">
        <f t="shared" si="846"/>
        <v>490423147</v>
      </c>
      <c r="G3863" s="1">
        <v>44656</v>
      </c>
      <c r="H3863" t="str">
        <f>"91329"</f>
        <v>91329</v>
      </c>
      <c r="I3863">
        <v>2</v>
      </c>
      <c r="J3863">
        <v>428</v>
      </c>
      <c r="K3863">
        <v>0</v>
      </c>
      <c r="L3863">
        <v>333.84</v>
      </c>
    </row>
    <row r="3864" spans="1:12" x14ac:dyDescent="0.25">
      <c r="A3864" t="str">
        <f t="shared" si="844"/>
        <v>89301000</v>
      </c>
      <c r="B3864" t="str">
        <f t="shared" si="840"/>
        <v>06539000</v>
      </c>
      <c r="C3864" t="str">
        <f t="shared" si="842"/>
        <v>06539003</v>
      </c>
      <c r="D3864" t="str">
        <f t="shared" si="843"/>
        <v>813</v>
      </c>
      <c r="E3864" t="str">
        <f t="shared" si="845"/>
        <v>89301172</v>
      </c>
      <c r="F3864" t="str">
        <f t="shared" si="846"/>
        <v>490423147</v>
      </c>
      <c r="G3864" s="1">
        <v>44646</v>
      </c>
      <c r="H3864" t="str">
        <f>"91167"</f>
        <v>91167</v>
      </c>
      <c r="I3864">
        <v>1</v>
      </c>
      <c r="J3864">
        <v>425</v>
      </c>
      <c r="K3864">
        <v>0</v>
      </c>
      <c r="L3864">
        <v>331.5</v>
      </c>
    </row>
    <row r="3865" spans="1:12" x14ac:dyDescent="0.25">
      <c r="A3865" t="str">
        <f t="shared" si="844"/>
        <v>89301000</v>
      </c>
      <c r="B3865" t="str">
        <f t="shared" si="840"/>
        <v>06539000</v>
      </c>
      <c r="C3865" t="str">
        <f t="shared" si="842"/>
        <v>06539003</v>
      </c>
      <c r="D3865" t="str">
        <f t="shared" si="843"/>
        <v>813</v>
      </c>
      <c r="E3865" t="str">
        <f t="shared" si="845"/>
        <v>89301172</v>
      </c>
      <c r="F3865" t="str">
        <f t="shared" si="846"/>
        <v>490423147</v>
      </c>
      <c r="G3865" s="1">
        <v>44646</v>
      </c>
      <c r="H3865" t="str">
        <f>"91169"</f>
        <v>91169</v>
      </c>
      <c r="I3865">
        <v>1</v>
      </c>
      <c r="J3865">
        <v>425</v>
      </c>
      <c r="K3865">
        <v>0</v>
      </c>
      <c r="L3865">
        <v>331.5</v>
      </c>
    </row>
    <row r="3866" spans="1:12" x14ac:dyDescent="0.25">
      <c r="A3866" t="str">
        <f t="shared" si="844"/>
        <v>89301000</v>
      </c>
      <c r="B3866" t="str">
        <f t="shared" si="840"/>
        <v>06539000</v>
      </c>
      <c r="C3866" t="str">
        <f>"06539001"</f>
        <v>06539001</v>
      </c>
      <c r="D3866" t="str">
        <f>"801"</f>
        <v>801</v>
      </c>
      <c r="E3866" t="str">
        <f t="shared" ref="E3866:E3929" si="849">"89301171"</f>
        <v>89301171</v>
      </c>
      <c r="F3866" t="str">
        <f t="shared" ref="F3866:F3912" si="850">"8857145770"</f>
        <v>8857145770</v>
      </c>
      <c r="G3866" s="1">
        <v>44652</v>
      </c>
      <c r="H3866" t="str">
        <f>"81329"</f>
        <v>81329</v>
      </c>
      <c r="I3866">
        <v>1</v>
      </c>
      <c r="J3866">
        <v>16</v>
      </c>
      <c r="K3866">
        <v>0</v>
      </c>
      <c r="L3866">
        <v>12.48</v>
      </c>
    </row>
    <row r="3867" spans="1:12" x14ac:dyDescent="0.25">
      <c r="A3867" t="str">
        <f t="shared" si="844"/>
        <v>89301000</v>
      </c>
      <c r="B3867" t="str">
        <f t="shared" si="840"/>
        <v>06539000</v>
      </c>
      <c r="C3867" t="str">
        <f>"06539001"</f>
        <v>06539001</v>
      </c>
      <c r="D3867" t="str">
        <f>"801"</f>
        <v>801</v>
      </c>
      <c r="E3867" t="str">
        <f t="shared" si="849"/>
        <v>89301171</v>
      </c>
      <c r="F3867" t="str">
        <f t="shared" si="850"/>
        <v>8857145770</v>
      </c>
      <c r="G3867" s="1">
        <v>44652</v>
      </c>
      <c r="H3867" t="str">
        <f>"81331"</f>
        <v>81331</v>
      </c>
      <c r="I3867">
        <v>1</v>
      </c>
      <c r="J3867">
        <v>193</v>
      </c>
      <c r="K3867">
        <v>0</v>
      </c>
      <c r="L3867">
        <v>150.54</v>
      </c>
    </row>
    <row r="3868" spans="1:12" x14ac:dyDescent="0.25">
      <c r="A3868" t="str">
        <f t="shared" si="844"/>
        <v>89301000</v>
      </c>
      <c r="B3868" t="str">
        <f t="shared" si="840"/>
        <v>06539000</v>
      </c>
      <c r="C3868" t="str">
        <f t="shared" ref="C3868:C3875" si="851">"06539002"</f>
        <v>06539002</v>
      </c>
      <c r="D3868" t="str">
        <f t="shared" ref="D3868:D3875" si="852">"802"</f>
        <v>802</v>
      </c>
      <c r="E3868" t="str">
        <f t="shared" si="849"/>
        <v>89301171</v>
      </c>
      <c r="F3868" t="str">
        <f t="shared" si="850"/>
        <v>8857145770</v>
      </c>
      <c r="G3868" s="1">
        <v>44652</v>
      </c>
      <c r="H3868" t="str">
        <f t="shared" ref="H3868:H3875" si="853">"82097"</f>
        <v>82097</v>
      </c>
      <c r="I3868">
        <v>1</v>
      </c>
      <c r="J3868">
        <v>380</v>
      </c>
      <c r="K3868">
        <v>0</v>
      </c>
      <c r="L3868">
        <v>345.8</v>
      </c>
    </row>
    <row r="3869" spans="1:12" x14ac:dyDescent="0.25">
      <c r="A3869" t="str">
        <f t="shared" si="844"/>
        <v>89301000</v>
      </c>
      <c r="B3869" t="str">
        <f t="shared" si="840"/>
        <v>06539000</v>
      </c>
      <c r="C3869" t="str">
        <f t="shared" si="851"/>
        <v>06539002</v>
      </c>
      <c r="D3869" t="str">
        <f t="shared" si="852"/>
        <v>802</v>
      </c>
      <c r="E3869" t="str">
        <f t="shared" si="849"/>
        <v>89301171</v>
      </c>
      <c r="F3869" t="str">
        <f t="shared" si="850"/>
        <v>8857145770</v>
      </c>
      <c r="G3869" s="1">
        <v>44652</v>
      </c>
      <c r="H3869" t="str">
        <f t="shared" si="853"/>
        <v>82097</v>
      </c>
      <c r="I3869">
        <v>1</v>
      </c>
      <c r="J3869">
        <v>380</v>
      </c>
      <c r="K3869">
        <v>0</v>
      </c>
      <c r="L3869">
        <v>345.8</v>
      </c>
    </row>
    <row r="3870" spans="1:12" x14ac:dyDescent="0.25">
      <c r="A3870" t="str">
        <f t="shared" si="844"/>
        <v>89301000</v>
      </c>
      <c r="B3870" t="str">
        <f t="shared" si="840"/>
        <v>06539000</v>
      </c>
      <c r="C3870" t="str">
        <f t="shared" si="851"/>
        <v>06539002</v>
      </c>
      <c r="D3870" t="str">
        <f t="shared" si="852"/>
        <v>802</v>
      </c>
      <c r="E3870" t="str">
        <f t="shared" si="849"/>
        <v>89301171</v>
      </c>
      <c r="F3870" t="str">
        <f t="shared" si="850"/>
        <v>8857145770</v>
      </c>
      <c r="G3870" s="1">
        <v>44652</v>
      </c>
      <c r="H3870" t="str">
        <f t="shared" si="853"/>
        <v>82097</v>
      </c>
      <c r="I3870">
        <v>1</v>
      </c>
      <c r="J3870">
        <v>380</v>
      </c>
      <c r="K3870">
        <v>0</v>
      </c>
      <c r="L3870">
        <v>345.8</v>
      </c>
    </row>
    <row r="3871" spans="1:12" x14ac:dyDescent="0.25">
      <c r="A3871" t="str">
        <f t="shared" si="844"/>
        <v>89301000</v>
      </c>
      <c r="B3871" t="str">
        <f t="shared" si="840"/>
        <v>06539000</v>
      </c>
      <c r="C3871" t="str">
        <f t="shared" si="851"/>
        <v>06539002</v>
      </c>
      <c r="D3871" t="str">
        <f t="shared" si="852"/>
        <v>802</v>
      </c>
      <c r="E3871" t="str">
        <f t="shared" si="849"/>
        <v>89301171</v>
      </c>
      <c r="F3871" t="str">
        <f t="shared" si="850"/>
        <v>8857145770</v>
      </c>
      <c r="G3871" s="1">
        <v>44652</v>
      </c>
      <c r="H3871" t="str">
        <f t="shared" si="853"/>
        <v>82097</v>
      </c>
      <c r="I3871">
        <v>1</v>
      </c>
      <c r="J3871">
        <v>380</v>
      </c>
      <c r="K3871">
        <v>0</v>
      </c>
      <c r="L3871">
        <v>345.8</v>
      </c>
    </row>
    <row r="3872" spans="1:12" x14ac:dyDescent="0.25">
      <c r="A3872" t="str">
        <f t="shared" si="844"/>
        <v>89301000</v>
      </c>
      <c r="B3872" t="str">
        <f t="shared" si="840"/>
        <v>06539000</v>
      </c>
      <c r="C3872" t="str">
        <f t="shared" si="851"/>
        <v>06539002</v>
      </c>
      <c r="D3872" t="str">
        <f t="shared" si="852"/>
        <v>802</v>
      </c>
      <c r="E3872" t="str">
        <f t="shared" si="849"/>
        <v>89301171</v>
      </c>
      <c r="F3872" t="str">
        <f t="shared" si="850"/>
        <v>8857145770</v>
      </c>
      <c r="G3872" s="1">
        <v>44652</v>
      </c>
      <c r="H3872" t="str">
        <f t="shared" si="853"/>
        <v>82097</v>
      </c>
      <c r="I3872">
        <v>1</v>
      </c>
      <c r="J3872">
        <v>380</v>
      </c>
      <c r="K3872">
        <v>0</v>
      </c>
      <c r="L3872">
        <v>345.8</v>
      </c>
    </row>
    <row r="3873" spans="1:12" x14ac:dyDescent="0.25">
      <c r="A3873" t="str">
        <f t="shared" si="844"/>
        <v>89301000</v>
      </c>
      <c r="B3873" t="str">
        <f t="shared" si="840"/>
        <v>06539000</v>
      </c>
      <c r="C3873" t="str">
        <f t="shared" si="851"/>
        <v>06539002</v>
      </c>
      <c r="D3873" t="str">
        <f t="shared" si="852"/>
        <v>802</v>
      </c>
      <c r="E3873" t="str">
        <f t="shared" si="849"/>
        <v>89301171</v>
      </c>
      <c r="F3873" t="str">
        <f t="shared" si="850"/>
        <v>8857145770</v>
      </c>
      <c r="G3873" s="1">
        <v>44652</v>
      </c>
      <c r="H3873" t="str">
        <f t="shared" si="853"/>
        <v>82097</v>
      </c>
      <c r="I3873">
        <v>1</v>
      </c>
      <c r="J3873">
        <v>380</v>
      </c>
      <c r="K3873">
        <v>0</v>
      </c>
      <c r="L3873">
        <v>345.8</v>
      </c>
    </row>
    <row r="3874" spans="1:12" x14ac:dyDescent="0.25">
      <c r="A3874" t="str">
        <f t="shared" si="844"/>
        <v>89301000</v>
      </c>
      <c r="B3874" t="str">
        <f t="shared" si="840"/>
        <v>06539000</v>
      </c>
      <c r="C3874" t="str">
        <f t="shared" si="851"/>
        <v>06539002</v>
      </c>
      <c r="D3874" t="str">
        <f t="shared" si="852"/>
        <v>802</v>
      </c>
      <c r="E3874" t="str">
        <f t="shared" si="849"/>
        <v>89301171</v>
      </c>
      <c r="F3874" t="str">
        <f t="shared" si="850"/>
        <v>8857145770</v>
      </c>
      <c r="G3874" s="1">
        <v>44652</v>
      </c>
      <c r="H3874" t="str">
        <f t="shared" si="853"/>
        <v>82097</v>
      </c>
      <c r="I3874">
        <v>1</v>
      </c>
      <c r="J3874">
        <v>380</v>
      </c>
      <c r="K3874">
        <v>0</v>
      </c>
      <c r="L3874">
        <v>345.8</v>
      </c>
    </row>
    <row r="3875" spans="1:12" x14ac:dyDescent="0.25">
      <c r="A3875" t="str">
        <f t="shared" si="844"/>
        <v>89301000</v>
      </c>
      <c r="B3875" t="str">
        <f t="shared" si="840"/>
        <v>06539000</v>
      </c>
      <c r="C3875" t="str">
        <f t="shared" si="851"/>
        <v>06539002</v>
      </c>
      <c r="D3875" t="str">
        <f t="shared" si="852"/>
        <v>802</v>
      </c>
      <c r="E3875" t="str">
        <f t="shared" si="849"/>
        <v>89301171</v>
      </c>
      <c r="F3875" t="str">
        <f t="shared" si="850"/>
        <v>8857145770</v>
      </c>
      <c r="G3875" s="1">
        <v>44652</v>
      </c>
      <c r="H3875" t="str">
        <f t="shared" si="853"/>
        <v>82097</v>
      </c>
      <c r="I3875">
        <v>1</v>
      </c>
      <c r="J3875">
        <v>380</v>
      </c>
      <c r="K3875">
        <v>0</v>
      </c>
      <c r="L3875">
        <v>345.8</v>
      </c>
    </row>
    <row r="3876" spans="1:12" x14ac:dyDescent="0.25">
      <c r="A3876" t="str">
        <f t="shared" si="844"/>
        <v>89301000</v>
      </c>
      <c r="B3876" t="str">
        <f t="shared" si="840"/>
        <v>06539000</v>
      </c>
      <c r="C3876" t="str">
        <f t="shared" ref="C3876:C3912" si="854">"06539003"</f>
        <v>06539003</v>
      </c>
      <c r="D3876" t="str">
        <f t="shared" ref="D3876:D3912" si="855">"813"</f>
        <v>813</v>
      </c>
      <c r="E3876" t="str">
        <f t="shared" si="849"/>
        <v>89301171</v>
      </c>
      <c r="F3876" t="str">
        <f t="shared" si="850"/>
        <v>8857145770</v>
      </c>
      <c r="G3876" s="1">
        <v>44655</v>
      </c>
      <c r="H3876" t="str">
        <f>"91439"</f>
        <v>91439</v>
      </c>
      <c r="I3876">
        <v>1</v>
      </c>
      <c r="J3876">
        <v>356</v>
      </c>
      <c r="K3876">
        <v>0</v>
      </c>
      <c r="L3876">
        <v>277.68</v>
      </c>
    </row>
    <row r="3877" spans="1:12" x14ac:dyDescent="0.25">
      <c r="A3877" t="str">
        <f t="shared" si="844"/>
        <v>89301000</v>
      </c>
      <c r="B3877" t="str">
        <f t="shared" si="840"/>
        <v>06539000</v>
      </c>
      <c r="C3877" t="str">
        <f t="shared" si="854"/>
        <v>06539003</v>
      </c>
      <c r="D3877" t="str">
        <f t="shared" si="855"/>
        <v>813</v>
      </c>
      <c r="E3877" t="str">
        <f t="shared" si="849"/>
        <v>89301171</v>
      </c>
      <c r="F3877" t="str">
        <f t="shared" si="850"/>
        <v>8857145770</v>
      </c>
      <c r="G3877" s="1">
        <v>44655</v>
      </c>
      <c r="H3877" t="str">
        <f>"91439"</f>
        <v>91439</v>
      </c>
      <c r="I3877">
        <v>1</v>
      </c>
      <c r="J3877">
        <v>356</v>
      </c>
      <c r="K3877">
        <v>0</v>
      </c>
      <c r="L3877">
        <v>277.68</v>
      </c>
    </row>
    <row r="3878" spans="1:12" x14ac:dyDescent="0.25">
      <c r="A3878" t="str">
        <f t="shared" si="844"/>
        <v>89301000</v>
      </c>
      <c r="B3878" t="str">
        <f t="shared" si="840"/>
        <v>06539000</v>
      </c>
      <c r="C3878" t="str">
        <f t="shared" si="854"/>
        <v>06539003</v>
      </c>
      <c r="D3878" t="str">
        <f t="shared" si="855"/>
        <v>813</v>
      </c>
      <c r="E3878" t="str">
        <f t="shared" si="849"/>
        <v>89301171</v>
      </c>
      <c r="F3878" t="str">
        <f t="shared" si="850"/>
        <v>8857145770</v>
      </c>
      <c r="G3878" s="1">
        <v>44655</v>
      </c>
      <c r="H3878" t="str">
        <f>"91439"</f>
        <v>91439</v>
      </c>
      <c r="I3878">
        <v>1</v>
      </c>
      <c r="J3878">
        <v>356</v>
      </c>
      <c r="K3878">
        <v>0</v>
      </c>
      <c r="L3878">
        <v>277.68</v>
      </c>
    </row>
    <row r="3879" spans="1:12" x14ac:dyDescent="0.25">
      <c r="A3879" t="str">
        <f t="shared" si="844"/>
        <v>89301000</v>
      </c>
      <c r="B3879" t="str">
        <f t="shared" si="840"/>
        <v>06539000</v>
      </c>
      <c r="C3879" t="str">
        <f t="shared" si="854"/>
        <v>06539003</v>
      </c>
      <c r="D3879" t="str">
        <f t="shared" si="855"/>
        <v>813</v>
      </c>
      <c r="E3879" t="str">
        <f t="shared" si="849"/>
        <v>89301171</v>
      </c>
      <c r="F3879" t="str">
        <f t="shared" si="850"/>
        <v>8857145770</v>
      </c>
      <c r="G3879" s="1">
        <v>44655</v>
      </c>
      <c r="H3879" t="str">
        <f>"91439"</f>
        <v>91439</v>
      </c>
      <c r="I3879">
        <v>1</v>
      </c>
      <c r="J3879">
        <v>356</v>
      </c>
      <c r="K3879">
        <v>0</v>
      </c>
      <c r="L3879">
        <v>277.68</v>
      </c>
    </row>
    <row r="3880" spans="1:12" x14ac:dyDescent="0.25">
      <c r="A3880" t="str">
        <f t="shared" si="844"/>
        <v>89301000</v>
      </c>
      <c r="B3880" t="str">
        <f t="shared" si="840"/>
        <v>06539000</v>
      </c>
      <c r="C3880" t="str">
        <f t="shared" si="854"/>
        <v>06539003</v>
      </c>
      <c r="D3880" t="str">
        <f t="shared" si="855"/>
        <v>813</v>
      </c>
      <c r="E3880" t="str">
        <f t="shared" si="849"/>
        <v>89301171</v>
      </c>
      <c r="F3880" t="str">
        <f t="shared" si="850"/>
        <v>8857145770</v>
      </c>
      <c r="G3880" s="1">
        <v>44655</v>
      </c>
      <c r="H3880" t="str">
        <f>"91439"</f>
        <v>91439</v>
      </c>
      <c r="I3880">
        <v>2</v>
      </c>
      <c r="J3880">
        <v>712</v>
      </c>
      <c r="K3880">
        <v>0</v>
      </c>
      <c r="L3880">
        <v>555.36</v>
      </c>
    </row>
    <row r="3881" spans="1:12" x14ac:dyDescent="0.25">
      <c r="A3881" t="str">
        <f t="shared" si="844"/>
        <v>89301000</v>
      </c>
      <c r="B3881" t="str">
        <f t="shared" si="840"/>
        <v>06539000</v>
      </c>
      <c r="C3881" t="str">
        <f t="shared" si="854"/>
        <v>06539003</v>
      </c>
      <c r="D3881" t="str">
        <f t="shared" si="855"/>
        <v>813</v>
      </c>
      <c r="E3881" t="str">
        <f t="shared" si="849"/>
        <v>89301171</v>
      </c>
      <c r="F3881" t="str">
        <f t="shared" si="850"/>
        <v>8857145770</v>
      </c>
      <c r="G3881" s="1">
        <v>44655</v>
      </c>
      <c r="H3881" t="str">
        <f t="shared" ref="H3881:H3890" si="856">"91413"</f>
        <v>91413</v>
      </c>
      <c r="I3881">
        <v>1</v>
      </c>
      <c r="J3881">
        <v>853</v>
      </c>
      <c r="K3881">
        <v>0</v>
      </c>
      <c r="L3881">
        <v>665.34</v>
      </c>
    </row>
    <row r="3882" spans="1:12" x14ac:dyDescent="0.25">
      <c r="A3882" t="str">
        <f t="shared" si="844"/>
        <v>89301000</v>
      </c>
      <c r="B3882" t="str">
        <f t="shared" si="840"/>
        <v>06539000</v>
      </c>
      <c r="C3882" t="str">
        <f t="shared" si="854"/>
        <v>06539003</v>
      </c>
      <c r="D3882" t="str">
        <f t="shared" si="855"/>
        <v>813</v>
      </c>
      <c r="E3882" t="str">
        <f t="shared" si="849"/>
        <v>89301171</v>
      </c>
      <c r="F3882" t="str">
        <f t="shared" si="850"/>
        <v>8857145770</v>
      </c>
      <c r="G3882" s="1">
        <v>44655</v>
      </c>
      <c r="H3882" t="str">
        <f t="shared" si="856"/>
        <v>91413</v>
      </c>
      <c r="I3882">
        <v>1</v>
      </c>
      <c r="J3882">
        <v>853</v>
      </c>
      <c r="K3882">
        <v>0</v>
      </c>
      <c r="L3882">
        <v>665.34</v>
      </c>
    </row>
    <row r="3883" spans="1:12" x14ac:dyDescent="0.25">
      <c r="A3883" t="str">
        <f t="shared" si="844"/>
        <v>89301000</v>
      </c>
      <c r="B3883" t="str">
        <f t="shared" si="840"/>
        <v>06539000</v>
      </c>
      <c r="C3883" t="str">
        <f t="shared" si="854"/>
        <v>06539003</v>
      </c>
      <c r="D3883" t="str">
        <f t="shared" si="855"/>
        <v>813</v>
      </c>
      <c r="E3883" t="str">
        <f t="shared" si="849"/>
        <v>89301171</v>
      </c>
      <c r="F3883" t="str">
        <f t="shared" si="850"/>
        <v>8857145770</v>
      </c>
      <c r="G3883" s="1">
        <v>44671</v>
      </c>
      <c r="H3883" t="str">
        <f t="shared" si="856"/>
        <v>91413</v>
      </c>
      <c r="I3883">
        <v>1</v>
      </c>
      <c r="J3883">
        <v>853</v>
      </c>
      <c r="K3883">
        <v>0</v>
      </c>
      <c r="L3883">
        <v>665.34</v>
      </c>
    </row>
    <row r="3884" spans="1:12" x14ac:dyDescent="0.25">
      <c r="A3884" t="str">
        <f t="shared" si="844"/>
        <v>89301000</v>
      </c>
      <c r="B3884" t="str">
        <f t="shared" si="840"/>
        <v>06539000</v>
      </c>
      <c r="C3884" t="str">
        <f t="shared" si="854"/>
        <v>06539003</v>
      </c>
      <c r="D3884" t="str">
        <f t="shared" si="855"/>
        <v>813</v>
      </c>
      <c r="E3884" t="str">
        <f t="shared" si="849"/>
        <v>89301171</v>
      </c>
      <c r="F3884" t="str">
        <f t="shared" si="850"/>
        <v>8857145770</v>
      </c>
      <c r="G3884" s="1">
        <v>44671</v>
      </c>
      <c r="H3884" t="str">
        <f t="shared" si="856"/>
        <v>91413</v>
      </c>
      <c r="I3884">
        <v>1</v>
      </c>
      <c r="J3884">
        <v>853</v>
      </c>
      <c r="K3884">
        <v>0</v>
      </c>
      <c r="L3884">
        <v>665.34</v>
      </c>
    </row>
    <row r="3885" spans="1:12" x14ac:dyDescent="0.25">
      <c r="A3885" t="str">
        <f t="shared" si="844"/>
        <v>89301000</v>
      </c>
      <c r="B3885" t="str">
        <f t="shared" si="840"/>
        <v>06539000</v>
      </c>
      <c r="C3885" t="str">
        <f t="shared" si="854"/>
        <v>06539003</v>
      </c>
      <c r="D3885" t="str">
        <f t="shared" si="855"/>
        <v>813</v>
      </c>
      <c r="E3885" t="str">
        <f t="shared" si="849"/>
        <v>89301171</v>
      </c>
      <c r="F3885" t="str">
        <f t="shared" si="850"/>
        <v>8857145770</v>
      </c>
      <c r="G3885" s="1">
        <v>44665</v>
      </c>
      <c r="H3885" t="str">
        <f t="shared" si="856"/>
        <v>91413</v>
      </c>
      <c r="I3885">
        <v>1</v>
      </c>
      <c r="J3885">
        <v>853</v>
      </c>
      <c r="K3885">
        <v>0</v>
      </c>
      <c r="L3885">
        <v>665.34</v>
      </c>
    </row>
    <row r="3886" spans="1:12" x14ac:dyDescent="0.25">
      <c r="A3886" t="str">
        <f t="shared" si="844"/>
        <v>89301000</v>
      </c>
      <c r="B3886" t="str">
        <f t="shared" si="840"/>
        <v>06539000</v>
      </c>
      <c r="C3886" t="str">
        <f t="shared" si="854"/>
        <v>06539003</v>
      </c>
      <c r="D3886" t="str">
        <f t="shared" si="855"/>
        <v>813</v>
      </c>
      <c r="E3886" t="str">
        <f t="shared" si="849"/>
        <v>89301171</v>
      </c>
      <c r="F3886" t="str">
        <f t="shared" si="850"/>
        <v>8857145770</v>
      </c>
      <c r="G3886" s="1">
        <v>44665</v>
      </c>
      <c r="H3886" t="str">
        <f t="shared" si="856"/>
        <v>91413</v>
      </c>
      <c r="I3886">
        <v>1</v>
      </c>
      <c r="J3886">
        <v>853</v>
      </c>
      <c r="K3886">
        <v>0</v>
      </c>
      <c r="L3886">
        <v>665.34</v>
      </c>
    </row>
    <row r="3887" spans="1:12" x14ac:dyDescent="0.25">
      <c r="A3887" t="str">
        <f t="shared" si="844"/>
        <v>89301000</v>
      </c>
      <c r="B3887" t="str">
        <f t="shared" si="840"/>
        <v>06539000</v>
      </c>
      <c r="C3887" t="str">
        <f t="shared" si="854"/>
        <v>06539003</v>
      </c>
      <c r="D3887" t="str">
        <f t="shared" si="855"/>
        <v>813</v>
      </c>
      <c r="E3887" t="str">
        <f t="shared" si="849"/>
        <v>89301171</v>
      </c>
      <c r="F3887" t="str">
        <f t="shared" si="850"/>
        <v>8857145770</v>
      </c>
      <c r="G3887" s="1">
        <v>44671</v>
      </c>
      <c r="H3887" t="str">
        <f t="shared" si="856"/>
        <v>91413</v>
      </c>
      <c r="I3887">
        <v>1</v>
      </c>
      <c r="J3887">
        <v>853</v>
      </c>
      <c r="K3887">
        <v>0</v>
      </c>
      <c r="L3887">
        <v>665.34</v>
      </c>
    </row>
    <row r="3888" spans="1:12" x14ac:dyDescent="0.25">
      <c r="A3888" t="str">
        <f t="shared" si="844"/>
        <v>89301000</v>
      </c>
      <c r="B3888" t="str">
        <f t="shared" si="840"/>
        <v>06539000</v>
      </c>
      <c r="C3888" t="str">
        <f t="shared" si="854"/>
        <v>06539003</v>
      </c>
      <c r="D3888" t="str">
        <f t="shared" si="855"/>
        <v>813</v>
      </c>
      <c r="E3888" t="str">
        <f t="shared" si="849"/>
        <v>89301171</v>
      </c>
      <c r="F3888" t="str">
        <f t="shared" si="850"/>
        <v>8857145770</v>
      </c>
      <c r="G3888" s="1">
        <v>44671</v>
      </c>
      <c r="H3888" t="str">
        <f t="shared" si="856"/>
        <v>91413</v>
      </c>
      <c r="I3888">
        <v>1</v>
      </c>
      <c r="J3888">
        <v>853</v>
      </c>
      <c r="K3888">
        <v>0</v>
      </c>
      <c r="L3888">
        <v>665.34</v>
      </c>
    </row>
    <row r="3889" spans="1:12" x14ac:dyDescent="0.25">
      <c r="A3889" t="str">
        <f t="shared" si="844"/>
        <v>89301000</v>
      </c>
      <c r="B3889" t="str">
        <f t="shared" si="840"/>
        <v>06539000</v>
      </c>
      <c r="C3889" t="str">
        <f t="shared" si="854"/>
        <v>06539003</v>
      </c>
      <c r="D3889" t="str">
        <f t="shared" si="855"/>
        <v>813</v>
      </c>
      <c r="E3889" t="str">
        <f t="shared" si="849"/>
        <v>89301171</v>
      </c>
      <c r="F3889" t="str">
        <f t="shared" si="850"/>
        <v>8857145770</v>
      </c>
      <c r="G3889" s="1">
        <v>44671</v>
      </c>
      <c r="H3889" t="str">
        <f t="shared" si="856"/>
        <v>91413</v>
      </c>
      <c r="I3889">
        <v>1</v>
      </c>
      <c r="J3889">
        <v>853</v>
      </c>
      <c r="K3889">
        <v>0</v>
      </c>
      <c r="L3889">
        <v>665.34</v>
      </c>
    </row>
    <row r="3890" spans="1:12" x14ac:dyDescent="0.25">
      <c r="A3890" t="str">
        <f t="shared" si="844"/>
        <v>89301000</v>
      </c>
      <c r="B3890" t="str">
        <f t="shared" si="840"/>
        <v>06539000</v>
      </c>
      <c r="C3890" t="str">
        <f t="shared" si="854"/>
        <v>06539003</v>
      </c>
      <c r="D3890" t="str">
        <f t="shared" si="855"/>
        <v>813</v>
      </c>
      <c r="E3890" t="str">
        <f t="shared" si="849"/>
        <v>89301171</v>
      </c>
      <c r="F3890" t="str">
        <f t="shared" si="850"/>
        <v>8857145770</v>
      </c>
      <c r="G3890" s="1">
        <v>44671</v>
      </c>
      <c r="H3890" t="str">
        <f t="shared" si="856"/>
        <v>91413</v>
      </c>
      <c r="I3890">
        <v>1</v>
      </c>
      <c r="J3890">
        <v>853</v>
      </c>
      <c r="K3890">
        <v>0</v>
      </c>
      <c r="L3890">
        <v>665.34</v>
      </c>
    </row>
    <row r="3891" spans="1:12" x14ac:dyDescent="0.25">
      <c r="A3891" t="str">
        <f t="shared" si="844"/>
        <v>89301000</v>
      </c>
      <c r="B3891" t="str">
        <f t="shared" si="840"/>
        <v>06539000</v>
      </c>
      <c r="C3891" t="str">
        <f t="shared" si="854"/>
        <v>06539003</v>
      </c>
      <c r="D3891" t="str">
        <f t="shared" si="855"/>
        <v>813</v>
      </c>
      <c r="E3891" t="str">
        <f t="shared" si="849"/>
        <v>89301171</v>
      </c>
      <c r="F3891" t="str">
        <f t="shared" si="850"/>
        <v>8857145770</v>
      </c>
      <c r="G3891" s="1">
        <v>44652</v>
      </c>
      <c r="H3891" t="str">
        <f t="shared" ref="H3891:H3897" si="857">"91197"</f>
        <v>91197</v>
      </c>
      <c r="I3891">
        <v>1</v>
      </c>
      <c r="J3891">
        <v>1046</v>
      </c>
      <c r="K3891">
        <v>0</v>
      </c>
      <c r="L3891">
        <v>815.88</v>
      </c>
    </row>
    <row r="3892" spans="1:12" x14ac:dyDescent="0.25">
      <c r="A3892" t="str">
        <f t="shared" si="844"/>
        <v>89301000</v>
      </c>
      <c r="B3892" t="str">
        <f t="shared" ref="B3892:B3955" si="858">"06539000"</f>
        <v>06539000</v>
      </c>
      <c r="C3892" t="str">
        <f t="shared" si="854"/>
        <v>06539003</v>
      </c>
      <c r="D3892" t="str">
        <f t="shared" si="855"/>
        <v>813</v>
      </c>
      <c r="E3892" t="str">
        <f t="shared" si="849"/>
        <v>89301171</v>
      </c>
      <c r="F3892" t="str">
        <f t="shared" si="850"/>
        <v>8857145770</v>
      </c>
      <c r="G3892" s="1">
        <v>44655</v>
      </c>
      <c r="H3892" t="str">
        <f t="shared" si="857"/>
        <v>91197</v>
      </c>
      <c r="I3892">
        <v>1</v>
      </c>
      <c r="J3892">
        <v>1046</v>
      </c>
      <c r="K3892">
        <v>0</v>
      </c>
      <c r="L3892">
        <v>815.88</v>
      </c>
    </row>
    <row r="3893" spans="1:12" x14ac:dyDescent="0.25">
      <c r="A3893" t="str">
        <f t="shared" si="844"/>
        <v>89301000</v>
      </c>
      <c r="B3893" t="str">
        <f t="shared" si="858"/>
        <v>06539000</v>
      </c>
      <c r="C3893" t="str">
        <f t="shared" si="854"/>
        <v>06539003</v>
      </c>
      <c r="D3893" t="str">
        <f t="shared" si="855"/>
        <v>813</v>
      </c>
      <c r="E3893" t="str">
        <f t="shared" si="849"/>
        <v>89301171</v>
      </c>
      <c r="F3893" t="str">
        <f t="shared" si="850"/>
        <v>8857145770</v>
      </c>
      <c r="G3893" s="1">
        <v>44655</v>
      </c>
      <c r="H3893" t="str">
        <f t="shared" si="857"/>
        <v>91197</v>
      </c>
      <c r="I3893">
        <v>1</v>
      </c>
      <c r="J3893">
        <v>1046</v>
      </c>
      <c r="K3893">
        <v>0</v>
      </c>
      <c r="L3893">
        <v>815.88</v>
      </c>
    </row>
    <row r="3894" spans="1:12" x14ac:dyDescent="0.25">
      <c r="A3894" t="str">
        <f t="shared" si="844"/>
        <v>89301000</v>
      </c>
      <c r="B3894" t="str">
        <f t="shared" si="858"/>
        <v>06539000</v>
      </c>
      <c r="C3894" t="str">
        <f t="shared" si="854"/>
        <v>06539003</v>
      </c>
      <c r="D3894" t="str">
        <f t="shared" si="855"/>
        <v>813</v>
      </c>
      <c r="E3894" t="str">
        <f t="shared" si="849"/>
        <v>89301171</v>
      </c>
      <c r="F3894" t="str">
        <f t="shared" si="850"/>
        <v>8857145770</v>
      </c>
      <c r="G3894" s="1">
        <v>44654</v>
      </c>
      <c r="H3894" t="str">
        <f t="shared" si="857"/>
        <v>91197</v>
      </c>
      <c r="I3894">
        <v>1</v>
      </c>
      <c r="J3894">
        <v>1046</v>
      </c>
      <c r="K3894">
        <v>0</v>
      </c>
      <c r="L3894">
        <v>815.88</v>
      </c>
    </row>
    <row r="3895" spans="1:12" x14ac:dyDescent="0.25">
      <c r="A3895" t="str">
        <f t="shared" si="844"/>
        <v>89301000</v>
      </c>
      <c r="B3895" t="str">
        <f t="shared" si="858"/>
        <v>06539000</v>
      </c>
      <c r="C3895" t="str">
        <f t="shared" si="854"/>
        <v>06539003</v>
      </c>
      <c r="D3895" t="str">
        <f t="shared" si="855"/>
        <v>813</v>
      </c>
      <c r="E3895" t="str">
        <f t="shared" si="849"/>
        <v>89301171</v>
      </c>
      <c r="F3895" t="str">
        <f t="shared" si="850"/>
        <v>8857145770</v>
      </c>
      <c r="G3895" s="1">
        <v>44654</v>
      </c>
      <c r="H3895" t="str">
        <f t="shared" si="857"/>
        <v>91197</v>
      </c>
      <c r="I3895">
        <v>1</v>
      </c>
      <c r="J3895">
        <v>1046</v>
      </c>
      <c r="K3895">
        <v>0</v>
      </c>
      <c r="L3895">
        <v>815.88</v>
      </c>
    </row>
    <row r="3896" spans="1:12" x14ac:dyDescent="0.25">
      <c r="A3896" t="str">
        <f t="shared" si="844"/>
        <v>89301000</v>
      </c>
      <c r="B3896" t="str">
        <f t="shared" si="858"/>
        <v>06539000</v>
      </c>
      <c r="C3896" t="str">
        <f t="shared" si="854"/>
        <v>06539003</v>
      </c>
      <c r="D3896" t="str">
        <f t="shared" si="855"/>
        <v>813</v>
      </c>
      <c r="E3896" t="str">
        <f t="shared" si="849"/>
        <v>89301171</v>
      </c>
      <c r="F3896" t="str">
        <f t="shared" si="850"/>
        <v>8857145770</v>
      </c>
      <c r="G3896" s="1">
        <v>44653</v>
      </c>
      <c r="H3896" t="str">
        <f t="shared" si="857"/>
        <v>91197</v>
      </c>
      <c r="I3896">
        <v>1</v>
      </c>
      <c r="J3896">
        <v>1046</v>
      </c>
      <c r="K3896">
        <v>0</v>
      </c>
      <c r="L3896">
        <v>815.88</v>
      </c>
    </row>
    <row r="3897" spans="1:12" x14ac:dyDescent="0.25">
      <c r="A3897" t="str">
        <f t="shared" si="844"/>
        <v>89301000</v>
      </c>
      <c r="B3897" t="str">
        <f t="shared" si="858"/>
        <v>06539000</v>
      </c>
      <c r="C3897" t="str">
        <f t="shared" si="854"/>
        <v>06539003</v>
      </c>
      <c r="D3897" t="str">
        <f t="shared" si="855"/>
        <v>813</v>
      </c>
      <c r="E3897" t="str">
        <f t="shared" si="849"/>
        <v>89301171</v>
      </c>
      <c r="F3897" t="str">
        <f t="shared" si="850"/>
        <v>8857145770</v>
      </c>
      <c r="G3897" s="1">
        <v>44653</v>
      </c>
      <c r="H3897" t="str">
        <f t="shared" si="857"/>
        <v>91197</v>
      </c>
      <c r="I3897">
        <v>1</v>
      </c>
      <c r="J3897">
        <v>1046</v>
      </c>
      <c r="K3897">
        <v>0</v>
      </c>
      <c r="L3897">
        <v>815.88</v>
      </c>
    </row>
    <row r="3898" spans="1:12" x14ac:dyDescent="0.25">
      <c r="A3898" t="str">
        <f t="shared" si="844"/>
        <v>89301000</v>
      </c>
      <c r="B3898" t="str">
        <f t="shared" si="858"/>
        <v>06539000</v>
      </c>
      <c r="C3898" t="str">
        <f t="shared" si="854"/>
        <v>06539003</v>
      </c>
      <c r="D3898" t="str">
        <f t="shared" si="855"/>
        <v>813</v>
      </c>
      <c r="E3898" t="str">
        <f t="shared" si="849"/>
        <v>89301171</v>
      </c>
      <c r="F3898" t="str">
        <f t="shared" si="850"/>
        <v>8857145770</v>
      </c>
      <c r="G3898" s="1">
        <v>44657</v>
      </c>
      <c r="H3898" t="str">
        <f>"91329"</f>
        <v>91329</v>
      </c>
      <c r="I3898">
        <v>2</v>
      </c>
      <c r="J3898">
        <v>428</v>
      </c>
      <c r="K3898">
        <v>0</v>
      </c>
      <c r="L3898">
        <v>333.84</v>
      </c>
    </row>
    <row r="3899" spans="1:12" x14ac:dyDescent="0.25">
      <c r="A3899" t="str">
        <f t="shared" si="844"/>
        <v>89301000</v>
      </c>
      <c r="B3899" t="str">
        <f t="shared" si="858"/>
        <v>06539000</v>
      </c>
      <c r="C3899" t="str">
        <f t="shared" si="854"/>
        <v>06539003</v>
      </c>
      <c r="D3899" t="str">
        <f t="shared" si="855"/>
        <v>813</v>
      </c>
      <c r="E3899" t="str">
        <f t="shared" si="849"/>
        <v>89301171</v>
      </c>
      <c r="F3899" t="str">
        <f t="shared" si="850"/>
        <v>8857145770</v>
      </c>
      <c r="G3899" s="1">
        <v>44657</v>
      </c>
      <c r="H3899" t="str">
        <f>"91329"</f>
        <v>91329</v>
      </c>
      <c r="I3899">
        <v>2</v>
      </c>
      <c r="J3899">
        <v>428</v>
      </c>
      <c r="K3899">
        <v>0</v>
      </c>
      <c r="L3899">
        <v>333.84</v>
      </c>
    </row>
    <row r="3900" spans="1:12" x14ac:dyDescent="0.25">
      <c r="A3900" t="str">
        <f t="shared" si="844"/>
        <v>89301000</v>
      </c>
      <c r="B3900" t="str">
        <f t="shared" si="858"/>
        <v>06539000</v>
      </c>
      <c r="C3900" t="str">
        <f t="shared" si="854"/>
        <v>06539003</v>
      </c>
      <c r="D3900" t="str">
        <f t="shared" si="855"/>
        <v>813</v>
      </c>
      <c r="E3900" t="str">
        <f t="shared" si="849"/>
        <v>89301171</v>
      </c>
      <c r="F3900" t="str">
        <f t="shared" si="850"/>
        <v>8857145770</v>
      </c>
      <c r="G3900" s="1">
        <v>44657</v>
      </c>
      <c r="H3900" t="str">
        <f>"91329"</f>
        <v>91329</v>
      </c>
      <c r="I3900">
        <v>2</v>
      </c>
      <c r="J3900">
        <v>428</v>
      </c>
      <c r="K3900">
        <v>0</v>
      </c>
      <c r="L3900">
        <v>333.84</v>
      </c>
    </row>
    <row r="3901" spans="1:12" x14ac:dyDescent="0.25">
      <c r="A3901" t="str">
        <f t="shared" si="844"/>
        <v>89301000</v>
      </c>
      <c r="B3901" t="str">
        <f t="shared" si="858"/>
        <v>06539000</v>
      </c>
      <c r="C3901" t="str">
        <f t="shared" si="854"/>
        <v>06539003</v>
      </c>
      <c r="D3901" t="str">
        <f t="shared" si="855"/>
        <v>813</v>
      </c>
      <c r="E3901" t="str">
        <f t="shared" si="849"/>
        <v>89301171</v>
      </c>
      <c r="F3901" t="str">
        <f t="shared" si="850"/>
        <v>8857145770</v>
      </c>
      <c r="G3901" s="1">
        <v>44657</v>
      </c>
      <c r="H3901" t="str">
        <f>"91329"</f>
        <v>91329</v>
      </c>
      <c r="I3901">
        <v>2</v>
      </c>
      <c r="J3901">
        <v>428</v>
      </c>
      <c r="K3901">
        <v>0</v>
      </c>
      <c r="L3901">
        <v>333.84</v>
      </c>
    </row>
    <row r="3902" spans="1:12" x14ac:dyDescent="0.25">
      <c r="A3902" t="str">
        <f t="shared" si="844"/>
        <v>89301000</v>
      </c>
      <c r="B3902" t="str">
        <f t="shared" si="858"/>
        <v>06539000</v>
      </c>
      <c r="C3902" t="str">
        <f t="shared" si="854"/>
        <v>06539003</v>
      </c>
      <c r="D3902" t="str">
        <f t="shared" si="855"/>
        <v>813</v>
      </c>
      <c r="E3902" t="str">
        <f t="shared" si="849"/>
        <v>89301171</v>
      </c>
      <c r="F3902" t="str">
        <f t="shared" si="850"/>
        <v>8857145770</v>
      </c>
      <c r="G3902" s="1">
        <v>44652</v>
      </c>
      <c r="H3902" t="str">
        <f>"91129"</f>
        <v>91129</v>
      </c>
      <c r="I3902">
        <v>1</v>
      </c>
      <c r="J3902">
        <v>174</v>
      </c>
      <c r="K3902">
        <v>0</v>
      </c>
      <c r="L3902">
        <v>135.72</v>
      </c>
    </row>
    <row r="3903" spans="1:12" x14ac:dyDescent="0.25">
      <c r="A3903" t="str">
        <f t="shared" si="844"/>
        <v>89301000</v>
      </c>
      <c r="B3903" t="str">
        <f t="shared" si="858"/>
        <v>06539000</v>
      </c>
      <c r="C3903" t="str">
        <f t="shared" si="854"/>
        <v>06539003</v>
      </c>
      <c r="D3903" t="str">
        <f t="shared" si="855"/>
        <v>813</v>
      </c>
      <c r="E3903" t="str">
        <f t="shared" si="849"/>
        <v>89301171</v>
      </c>
      <c r="F3903" t="str">
        <f t="shared" si="850"/>
        <v>8857145770</v>
      </c>
      <c r="G3903" s="1">
        <v>44652</v>
      </c>
      <c r="H3903" t="str">
        <f>"91131"</f>
        <v>91131</v>
      </c>
      <c r="I3903">
        <v>1</v>
      </c>
      <c r="J3903">
        <v>171</v>
      </c>
      <c r="K3903">
        <v>0</v>
      </c>
      <c r="L3903">
        <v>133.38</v>
      </c>
    </row>
    <row r="3904" spans="1:12" x14ac:dyDescent="0.25">
      <c r="A3904" t="str">
        <f t="shared" si="844"/>
        <v>89301000</v>
      </c>
      <c r="B3904" t="str">
        <f t="shared" si="858"/>
        <v>06539000</v>
      </c>
      <c r="C3904" t="str">
        <f t="shared" si="854"/>
        <v>06539003</v>
      </c>
      <c r="D3904" t="str">
        <f t="shared" si="855"/>
        <v>813</v>
      </c>
      <c r="E3904" t="str">
        <f t="shared" si="849"/>
        <v>89301171</v>
      </c>
      <c r="F3904" t="str">
        <f t="shared" si="850"/>
        <v>8857145770</v>
      </c>
      <c r="G3904" s="1">
        <v>44652</v>
      </c>
      <c r="H3904" t="str">
        <f>"91133"</f>
        <v>91133</v>
      </c>
      <c r="I3904">
        <v>1</v>
      </c>
      <c r="J3904">
        <v>176</v>
      </c>
      <c r="K3904">
        <v>0</v>
      </c>
      <c r="L3904">
        <v>137.28</v>
      </c>
    </row>
    <row r="3905" spans="1:12" x14ac:dyDescent="0.25">
      <c r="A3905" t="str">
        <f t="shared" si="844"/>
        <v>89301000</v>
      </c>
      <c r="B3905" t="str">
        <f t="shared" si="858"/>
        <v>06539000</v>
      </c>
      <c r="C3905" t="str">
        <f t="shared" si="854"/>
        <v>06539003</v>
      </c>
      <c r="D3905" t="str">
        <f t="shared" si="855"/>
        <v>813</v>
      </c>
      <c r="E3905" t="str">
        <f t="shared" si="849"/>
        <v>89301171</v>
      </c>
      <c r="F3905" t="str">
        <f t="shared" si="850"/>
        <v>8857145770</v>
      </c>
      <c r="G3905" s="1">
        <v>44652</v>
      </c>
      <c r="H3905" t="str">
        <f>"91171"</f>
        <v>91171</v>
      </c>
      <c r="I3905">
        <v>1</v>
      </c>
      <c r="J3905">
        <v>360</v>
      </c>
      <c r="K3905">
        <v>0</v>
      </c>
      <c r="L3905">
        <v>280.8</v>
      </c>
    </row>
    <row r="3906" spans="1:12" x14ac:dyDescent="0.25">
      <c r="A3906" t="str">
        <f t="shared" ref="A3906:A3969" si="859">"89301000"</f>
        <v>89301000</v>
      </c>
      <c r="B3906" t="str">
        <f t="shared" si="858"/>
        <v>06539000</v>
      </c>
      <c r="C3906" t="str">
        <f t="shared" si="854"/>
        <v>06539003</v>
      </c>
      <c r="D3906" t="str">
        <f t="shared" si="855"/>
        <v>813</v>
      </c>
      <c r="E3906" t="str">
        <f t="shared" si="849"/>
        <v>89301171</v>
      </c>
      <c r="F3906" t="str">
        <f t="shared" si="850"/>
        <v>8857145770</v>
      </c>
      <c r="G3906" s="1">
        <v>44652</v>
      </c>
      <c r="H3906" t="str">
        <f>"91173"</f>
        <v>91173</v>
      </c>
      <c r="I3906">
        <v>1</v>
      </c>
      <c r="J3906">
        <v>335</v>
      </c>
      <c r="K3906">
        <v>0</v>
      </c>
      <c r="L3906">
        <v>261.3</v>
      </c>
    </row>
    <row r="3907" spans="1:12" x14ac:dyDescent="0.25">
      <c r="A3907" t="str">
        <f t="shared" si="859"/>
        <v>89301000</v>
      </c>
      <c r="B3907" t="str">
        <f t="shared" si="858"/>
        <v>06539000</v>
      </c>
      <c r="C3907" t="str">
        <f t="shared" si="854"/>
        <v>06539003</v>
      </c>
      <c r="D3907" t="str">
        <f t="shared" si="855"/>
        <v>813</v>
      </c>
      <c r="E3907" t="str">
        <f t="shared" si="849"/>
        <v>89301171</v>
      </c>
      <c r="F3907" t="str">
        <f t="shared" si="850"/>
        <v>8857145770</v>
      </c>
      <c r="G3907" s="1">
        <v>44652</v>
      </c>
      <c r="H3907" t="str">
        <f>"91175"</f>
        <v>91175</v>
      </c>
      <c r="I3907">
        <v>1</v>
      </c>
      <c r="J3907">
        <v>360</v>
      </c>
      <c r="K3907">
        <v>0</v>
      </c>
      <c r="L3907">
        <v>280.8</v>
      </c>
    </row>
    <row r="3908" spans="1:12" x14ac:dyDescent="0.25">
      <c r="A3908" t="str">
        <f t="shared" si="859"/>
        <v>89301000</v>
      </c>
      <c r="B3908" t="str">
        <f t="shared" si="858"/>
        <v>06539000</v>
      </c>
      <c r="C3908" t="str">
        <f t="shared" si="854"/>
        <v>06539003</v>
      </c>
      <c r="D3908" t="str">
        <f t="shared" si="855"/>
        <v>813</v>
      </c>
      <c r="E3908" t="str">
        <f t="shared" si="849"/>
        <v>89301171</v>
      </c>
      <c r="F3908" t="str">
        <f t="shared" si="850"/>
        <v>8857145770</v>
      </c>
      <c r="G3908" s="1">
        <v>44653</v>
      </c>
      <c r="H3908" t="str">
        <f>"91167"</f>
        <v>91167</v>
      </c>
      <c r="I3908">
        <v>1</v>
      </c>
      <c r="J3908">
        <v>425</v>
      </c>
      <c r="K3908">
        <v>0</v>
      </c>
      <c r="L3908">
        <v>331.5</v>
      </c>
    </row>
    <row r="3909" spans="1:12" x14ac:dyDescent="0.25">
      <c r="A3909" t="str">
        <f t="shared" si="859"/>
        <v>89301000</v>
      </c>
      <c r="B3909" t="str">
        <f t="shared" si="858"/>
        <v>06539000</v>
      </c>
      <c r="C3909" t="str">
        <f t="shared" si="854"/>
        <v>06539003</v>
      </c>
      <c r="D3909" t="str">
        <f t="shared" si="855"/>
        <v>813</v>
      </c>
      <c r="E3909" t="str">
        <f t="shared" si="849"/>
        <v>89301171</v>
      </c>
      <c r="F3909" t="str">
        <f t="shared" si="850"/>
        <v>8857145770</v>
      </c>
      <c r="G3909" s="1">
        <v>44653</v>
      </c>
      <c r="H3909" t="str">
        <f>"91169"</f>
        <v>91169</v>
      </c>
      <c r="I3909">
        <v>1</v>
      </c>
      <c r="J3909">
        <v>425</v>
      </c>
      <c r="K3909">
        <v>0</v>
      </c>
      <c r="L3909">
        <v>331.5</v>
      </c>
    </row>
    <row r="3910" spans="1:12" x14ac:dyDescent="0.25">
      <c r="A3910" t="str">
        <f t="shared" si="859"/>
        <v>89301000</v>
      </c>
      <c r="B3910" t="str">
        <f t="shared" si="858"/>
        <v>06539000</v>
      </c>
      <c r="C3910" t="str">
        <f t="shared" si="854"/>
        <v>06539003</v>
      </c>
      <c r="D3910" t="str">
        <f t="shared" si="855"/>
        <v>813</v>
      </c>
      <c r="E3910" t="str">
        <f t="shared" si="849"/>
        <v>89301171</v>
      </c>
      <c r="F3910" t="str">
        <f t="shared" si="850"/>
        <v>8857145770</v>
      </c>
      <c r="G3910" s="1">
        <v>44652</v>
      </c>
      <c r="H3910" t="str">
        <f>"91167"</f>
        <v>91167</v>
      </c>
      <c r="I3910">
        <v>1</v>
      </c>
      <c r="J3910">
        <v>425</v>
      </c>
      <c r="K3910">
        <v>0</v>
      </c>
      <c r="L3910">
        <v>331.5</v>
      </c>
    </row>
    <row r="3911" spans="1:12" x14ac:dyDescent="0.25">
      <c r="A3911" t="str">
        <f t="shared" si="859"/>
        <v>89301000</v>
      </c>
      <c r="B3911" t="str">
        <f t="shared" si="858"/>
        <v>06539000</v>
      </c>
      <c r="C3911" t="str">
        <f t="shared" si="854"/>
        <v>06539003</v>
      </c>
      <c r="D3911" t="str">
        <f t="shared" si="855"/>
        <v>813</v>
      </c>
      <c r="E3911" t="str">
        <f t="shared" si="849"/>
        <v>89301171</v>
      </c>
      <c r="F3911" t="str">
        <f t="shared" si="850"/>
        <v>8857145770</v>
      </c>
      <c r="G3911" s="1">
        <v>44652</v>
      </c>
      <c r="H3911" t="str">
        <f>"91169"</f>
        <v>91169</v>
      </c>
      <c r="I3911">
        <v>1</v>
      </c>
      <c r="J3911">
        <v>425</v>
      </c>
      <c r="K3911">
        <v>0</v>
      </c>
      <c r="L3911">
        <v>331.5</v>
      </c>
    </row>
    <row r="3912" spans="1:12" x14ac:dyDescent="0.25">
      <c r="A3912" t="str">
        <f t="shared" si="859"/>
        <v>89301000</v>
      </c>
      <c r="B3912" t="str">
        <f t="shared" si="858"/>
        <v>06539000</v>
      </c>
      <c r="C3912" t="str">
        <f t="shared" si="854"/>
        <v>06539003</v>
      </c>
      <c r="D3912" t="str">
        <f t="shared" si="855"/>
        <v>813</v>
      </c>
      <c r="E3912" t="str">
        <f t="shared" si="849"/>
        <v>89301171</v>
      </c>
      <c r="F3912" t="str">
        <f t="shared" si="850"/>
        <v>8857145770</v>
      </c>
      <c r="G3912" s="1">
        <v>44652</v>
      </c>
      <c r="H3912" t="str">
        <f>"91475"</f>
        <v>91475</v>
      </c>
      <c r="I3912">
        <v>1</v>
      </c>
      <c r="J3912">
        <v>206</v>
      </c>
      <c r="K3912">
        <v>0</v>
      </c>
      <c r="L3912">
        <v>160.68</v>
      </c>
    </row>
    <row r="3913" spans="1:12" x14ac:dyDescent="0.25">
      <c r="A3913" t="str">
        <f t="shared" si="859"/>
        <v>89301000</v>
      </c>
      <c r="B3913" t="str">
        <f t="shared" si="858"/>
        <v>06539000</v>
      </c>
      <c r="C3913" t="str">
        <f>"06539001"</f>
        <v>06539001</v>
      </c>
      <c r="D3913" t="str">
        <f>"801"</f>
        <v>801</v>
      </c>
      <c r="E3913" t="str">
        <f t="shared" si="849"/>
        <v>89301171</v>
      </c>
      <c r="F3913" t="str">
        <f t="shared" ref="F3913:F3946" si="860">"5552180920"</f>
        <v>5552180920</v>
      </c>
      <c r="G3913" s="1">
        <v>44652</v>
      </c>
      <c r="H3913" t="str">
        <f>"81329"</f>
        <v>81329</v>
      </c>
      <c r="I3913">
        <v>1</v>
      </c>
      <c r="J3913">
        <v>16</v>
      </c>
      <c r="K3913">
        <v>0</v>
      </c>
      <c r="L3913">
        <v>12.48</v>
      </c>
    </row>
    <row r="3914" spans="1:12" x14ac:dyDescent="0.25">
      <c r="A3914" t="str">
        <f t="shared" si="859"/>
        <v>89301000</v>
      </c>
      <c r="B3914" t="str">
        <f t="shared" si="858"/>
        <v>06539000</v>
      </c>
      <c r="C3914" t="str">
        <f>"06539001"</f>
        <v>06539001</v>
      </c>
      <c r="D3914" t="str">
        <f>"801"</f>
        <v>801</v>
      </c>
      <c r="E3914" t="str">
        <f t="shared" si="849"/>
        <v>89301171</v>
      </c>
      <c r="F3914" t="str">
        <f t="shared" si="860"/>
        <v>5552180920</v>
      </c>
      <c r="G3914" s="1">
        <v>44652</v>
      </c>
      <c r="H3914" t="str">
        <f>"81331"</f>
        <v>81331</v>
      </c>
      <c r="I3914">
        <v>1</v>
      </c>
      <c r="J3914">
        <v>193</v>
      </c>
      <c r="K3914">
        <v>0</v>
      </c>
      <c r="L3914">
        <v>150.54</v>
      </c>
    </row>
    <row r="3915" spans="1:12" x14ac:dyDescent="0.25">
      <c r="A3915" t="str">
        <f t="shared" si="859"/>
        <v>89301000</v>
      </c>
      <c r="B3915" t="str">
        <f t="shared" si="858"/>
        <v>06539000</v>
      </c>
      <c r="C3915" t="str">
        <f t="shared" ref="C3915:C3946" si="861">"06539003"</f>
        <v>06539003</v>
      </c>
      <c r="D3915" t="str">
        <f t="shared" ref="D3915:D3946" si="862">"813"</f>
        <v>813</v>
      </c>
      <c r="E3915" t="str">
        <f t="shared" si="849"/>
        <v>89301171</v>
      </c>
      <c r="F3915" t="str">
        <f t="shared" si="860"/>
        <v>5552180920</v>
      </c>
      <c r="G3915" s="1">
        <v>44655</v>
      </c>
      <c r="H3915" t="str">
        <f>"91439"</f>
        <v>91439</v>
      </c>
      <c r="I3915">
        <v>1</v>
      </c>
      <c r="J3915">
        <v>356</v>
      </c>
      <c r="K3915">
        <v>0</v>
      </c>
      <c r="L3915">
        <v>277.68</v>
      </c>
    </row>
    <row r="3916" spans="1:12" x14ac:dyDescent="0.25">
      <c r="A3916" t="str">
        <f t="shared" si="859"/>
        <v>89301000</v>
      </c>
      <c r="B3916" t="str">
        <f t="shared" si="858"/>
        <v>06539000</v>
      </c>
      <c r="C3916" t="str">
        <f t="shared" si="861"/>
        <v>06539003</v>
      </c>
      <c r="D3916" t="str">
        <f t="shared" si="862"/>
        <v>813</v>
      </c>
      <c r="E3916" t="str">
        <f t="shared" si="849"/>
        <v>89301171</v>
      </c>
      <c r="F3916" t="str">
        <f t="shared" si="860"/>
        <v>5552180920</v>
      </c>
      <c r="G3916" s="1">
        <v>44655</v>
      </c>
      <c r="H3916" t="str">
        <f>"91439"</f>
        <v>91439</v>
      </c>
      <c r="I3916">
        <v>1</v>
      </c>
      <c r="J3916">
        <v>356</v>
      </c>
      <c r="K3916">
        <v>0</v>
      </c>
      <c r="L3916">
        <v>277.68</v>
      </c>
    </row>
    <row r="3917" spans="1:12" x14ac:dyDescent="0.25">
      <c r="A3917" t="str">
        <f t="shared" si="859"/>
        <v>89301000</v>
      </c>
      <c r="B3917" t="str">
        <f t="shared" si="858"/>
        <v>06539000</v>
      </c>
      <c r="C3917" t="str">
        <f t="shared" si="861"/>
        <v>06539003</v>
      </c>
      <c r="D3917" t="str">
        <f t="shared" si="862"/>
        <v>813</v>
      </c>
      <c r="E3917" t="str">
        <f t="shared" si="849"/>
        <v>89301171</v>
      </c>
      <c r="F3917" t="str">
        <f t="shared" si="860"/>
        <v>5552180920</v>
      </c>
      <c r="G3917" s="1">
        <v>44655</v>
      </c>
      <c r="H3917" t="str">
        <f>"91439"</f>
        <v>91439</v>
      </c>
      <c r="I3917">
        <v>1</v>
      </c>
      <c r="J3917">
        <v>356</v>
      </c>
      <c r="K3917">
        <v>0</v>
      </c>
      <c r="L3917">
        <v>277.68</v>
      </c>
    </row>
    <row r="3918" spans="1:12" x14ac:dyDescent="0.25">
      <c r="A3918" t="str">
        <f t="shared" si="859"/>
        <v>89301000</v>
      </c>
      <c r="B3918" t="str">
        <f t="shared" si="858"/>
        <v>06539000</v>
      </c>
      <c r="C3918" t="str">
        <f t="shared" si="861"/>
        <v>06539003</v>
      </c>
      <c r="D3918" t="str">
        <f t="shared" si="862"/>
        <v>813</v>
      </c>
      <c r="E3918" t="str">
        <f t="shared" si="849"/>
        <v>89301171</v>
      </c>
      <c r="F3918" t="str">
        <f t="shared" si="860"/>
        <v>5552180920</v>
      </c>
      <c r="G3918" s="1">
        <v>44655</v>
      </c>
      <c r="H3918" t="str">
        <f>"91439"</f>
        <v>91439</v>
      </c>
      <c r="I3918">
        <v>1</v>
      </c>
      <c r="J3918">
        <v>356</v>
      </c>
      <c r="K3918">
        <v>0</v>
      </c>
      <c r="L3918">
        <v>277.68</v>
      </c>
    </row>
    <row r="3919" spans="1:12" x14ac:dyDescent="0.25">
      <c r="A3919" t="str">
        <f t="shared" si="859"/>
        <v>89301000</v>
      </c>
      <c r="B3919" t="str">
        <f t="shared" si="858"/>
        <v>06539000</v>
      </c>
      <c r="C3919" t="str">
        <f t="shared" si="861"/>
        <v>06539003</v>
      </c>
      <c r="D3919" t="str">
        <f t="shared" si="862"/>
        <v>813</v>
      </c>
      <c r="E3919" t="str">
        <f t="shared" si="849"/>
        <v>89301171</v>
      </c>
      <c r="F3919" t="str">
        <f t="shared" si="860"/>
        <v>5552180920</v>
      </c>
      <c r="G3919" s="1">
        <v>44655</v>
      </c>
      <c r="H3919" t="str">
        <f>"91439"</f>
        <v>91439</v>
      </c>
      <c r="I3919">
        <v>2</v>
      </c>
      <c r="J3919">
        <v>712</v>
      </c>
      <c r="K3919">
        <v>0</v>
      </c>
      <c r="L3919">
        <v>555.36</v>
      </c>
    </row>
    <row r="3920" spans="1:12" x14ac:dyDescent="0.25">
      <c r="A3920" t="str">
        <f t="shared" si="859"/>
        <v>89301000</v>
      </c>
      <c r="B3920" t="str">
        <f t="shared" si="858"/>
        <v>06539000</v>
      </c>
      <c r="C3920" t="str">
        <f t="shared" si="861"/>
        <v>06539003</v>
      </c>
      <c r="D3920" t="str">
        <f t="shared" si="862"/>
        <v>813</v>
      </c>
      <c r="E3920" t="str">
        <f t="shared" si="849"/>
        <v>89301171</v>
      </c>
      <c r="F3920" t="str">
        <f t="shared" si="860"/>
        <v>5552180920</v>
      </c>
      <c r="G3920" s="1">
        <v>44655</v>
      </c>
      <c r="H3920" t="str">
        <f t="shared" ref="H3920:H3929" si="863">"91413"</f>
        <v>91413</v>
      </c>
      <c r="I3920">
        <v>1</v>
      </c>
      <c r="J3920">
        <v>853</v>
      </c>
      <c r="K3920">
        <v>0</v>
      </c>
      <c r="L3920">
        <v>665.34</v>
      </c>
    </row>
    <row r="3921" spans="1:12" x14ac:dyDescent="0.25">
      <c r="A3921" t="str">
        <f t="shared" si="859"/>
        <v>89301000</v>
      </c>
      <c r="B3921" t="str">
        <f t="shared" si="858"/>
        <v>06539000</v>
      </c>
      <c r="C3921" t="str">
        <f t="shared" si="861"/>
        <v>06539003</v>
      </c>
      <c r="D3921" t="str">
        <f t="shared" si="862"/>
        <v>813</v>
      </c>
      <c r="E3921" t="str">
        <f t="shared" si="849"/>
        <v>89301171</v>
      </c>
      <c r="F3921" t="str">
        <f t="shared" si="860"/>
        <v>5552180920</v>
      </c>
      <c r="G3921" s="1">
        <v>44655</v>
      </c>
      <c r="H3921" t="str">
        <f t="shared" si="863"/>
        <v>91413</v>
      </c>
      <c r="I3921">
        <v>1</v>
      </c>
      <c r="J3921">
        <v>853</v>
      </c>
      <c r="K3921">
        <v>0</v>
      </c>
      <c r="L3921">
        <v>665.34</v>
      </c>
    </row>
    <row r="3922" spans="1:12" x14ac:dyDescent="0.25">
      <c r="A3922" t="str">
        <f t="shared" si="859"/>
        <v>89301000</v>
      </c>
      <c r="B3922" t="str">
        <f t="shared" si="858"/>
        <v>06539000</v>
      </c>
      <c r="C3922" t="str">
        <f t="shared" si="861"/>
        <v>06539003</v>
      </c>
      <c r="D3922" t="str">
        <f t="shared" si="862"/>
        <v>813</v>
      </c>
      <c r="E3922" t="str">
        <f t="shared" si="849"/>
        <v>89301171</v>
      </c>
      <c r="F3922" t="str">
        <f t="shared" si="860"/>
        <v>5552180920</v>
      </c>
      <c r="G3922" s="1">
        <v>44671</v>
      </c>
      <c r="H3922" t="str">
        <f t="shared" si="863"/>
        <v>91413</v>
      </c>
      <c r="I3922">
        <v>1</v>
      </c>
      <c r="J3922">
        <v>853</v>
      </c>
      <c r="K3922">
        <v>0</v>
      </c>
      <c r="L3922">
        <v>665.34</v>
      </c>
    </row>
    <row r="3923" spans="1:12" x14ac:dyDescent="0.25">
      <c r="A3923" t="str">
        <f t="shared" si="859"/>
        <v>89301000</v>
      </c>
      <c r="B3923" t="str">
        <f t="shared" si="858"/>
        <v>06539000</v>
      </c>
      <c r="C3923" t="str">
        <f t="shared" si="861"/>
        <v>06539003</v>
      </c>
      <c r="D3923" t="str">
        <f t="shared" si="862"/>
        <v>813</v>
      </c>
      <c r="E3923" t="str">
        <f t="shared" si="849"/>
        <v>89301171</v>
      </c>
      <c r="F3923" t="str">
        <f t="shared" si="860"/>
        <v>5552180920</v>
      </c>
      <c r="G3923" s="1">
        <v>44671</v>
      </c>
      <c r="H3923" t="str">
        <f t="shared" si="863"/>
        <v>91413</v>
      </c>
      <c r="I3923">
        <v>1</v>
      </c>
      <c r="J3923">
        <v>853</v>
      </c>
      <c r="K3923">
        <v>0</v>
      </c>
      <c r="L3923">
        <v>665.34</v>
      </c>
    </row>
    <row r="3924" spans="1:12" x14ac:dyDescent="0.25">
      <c r="A3924" t="str">
        <f t="shared" si="859"/>
        <v>89301000</v>
      </c>
      <c r="B3924" t="str">
        <f t="shared" si="858"/>
        <v>06539000</v>
      </c>
      <c r="C3924" t="str">
        <f t="shared" si="861"/>
        <v>06539003</v>
      </c>
      <c r="D3924" t="str">
        <f t="shared" si="862"/>
        <v>813</v>
      </c>
      <c r="E3924" t="str">
        <f t="shared" si="849"/>
        <v>89301171</v>
      </c>
      <c r="F3924" t="str">
        <f t="shared" si="860"/>
        <v>5552180920</v>
      </c>
      <c r="G3924" s="1">
        <v>44665</v>
      </c>
      <c r="H3924" t="str">
        <f t="shared" si="863"/>
        <v>91413</v>
      </c>
      <c r="I3924">
        <v>1</v>
      </c>
      <c r="J3924">
        <v>853</v>
      </c>
      <c r="K3924">
        <v>0</v>
      </c>
      <c r="L3924">
        <v>665.34</v>
      </c>
    </row>
    <row r="3925" spans="1:12" x14ac:dyDescent="0.25">
      <c r="A3925" t="str">
        <f t="shared" si="859"/>
        <v>89301000</v>
      </c>
      <c r="B3925" t="str">
        <f t="shared" si="858"/>
        <v>06539000</v>
      </c>
      <c r="C3925" t="str">
        <f t="shared" si="861"/>
        <v>06539003</v>
      </c>
      <c r="D3925" t="str">
        <f t="shared" si="862"/>
        <v>813</v>
      </c>
      <c r="E3925" t="str">
        <f t="shared" si="849"/>
        <v>89301171</v>
      </c>
      <c r="F3925" t="str">
        <f t="shared" si="860"/>
        <v>5552180920</v>
      </c>
      <c r="G3925" s="1">
        <v>44665</v>
      </c>
      <c r="H3925" t="str">
        <f t="shared" si="863"/>
        <v>91413</v>
      </c>
      <c r="I3925">
        <v>1</v>
      </c>
      <c r="J3925">
        <v>853</v>
      </c>
      <c r="K3925">
        <v>0</v>
      </c>
      <c r="L3925">
        <v>665.34</v>
      </c>
    </row>
    <row r="3926" spans="1:12" x14ac:dyDescent="0.25">
      <c r="A3926" t="str">
        <f t="shared" si="859"/>
        <v>89301000</v>
      </c>
      <c r="B3926" t="str">
        <f t="shared" si="858"/>
        <v>06539000</v>
      </c>
      <c r="C3926" t="str">
        <f t="shared" si="861"/>
        <v>06539003</v>
      </c>
      <c r="D3926" t="str">
        <f t="shared" si="862"/>
        <v>813</v>
      </c>
      <c r="E3926" t="str">
        <f t="shared" si="849"/>
        <v>89301171</v>
      </c>
      <c r="F3926" t="str">
        <f t="shared" si="860"/>
        <v>5552180920</v>
      </c>
      <c r="G3926" s="1">
        <v>44671</v>
      </c>
      <c r="H3926" t="str">
        <f t="shared" si="863"/>
        <v>91413</v>
      </c>
      <c r="I3926">
        <v>1</v>
      </c>
      <c r="J3926">
        <v>853</v>
      </c>
      <c r="K3926">
        <v>0</v>
      </c>
      <c r="L3926">
        <v>665.34</v>
      </c>
    </row>
    <row r="3927" spans="1:12" x14ac:dyDescent="0.25">
      <c r="A3927" t="str">
        <f t="shared" si="859"/>
        <v>89301000</v>
      </c>
      <c r="B3927" t="str">
        <f t="shared" si="858"/>
        <v>06539000</v>
      </c>
      <c r="C3927" t="str">
        <f t="shared" si="861"/>
        <v>06539003</v>
      </c>
      <c r="D3927" t="str">
        <f t="shared" si="862"/>
        <v>813</v>
      </c>
      <c r="E3927" t="str">
        <f t="shared" si="849"/>
        <v>89301171</v>
      </c>
      <c r="F3927" t="str">
        <f t="shared" si="860"/>
        <v>5552180920</v>
      </c>
      <c r="G3927" s="1">
        <v>44671</v>
      </c>
      <c r="H3927" t="str">
        <f t="shared" si="863"/>
        <v>91413</v>
      </c>
      <c r="I3927">
        <v>1</v>
      </c>
      <c r="J3927">
        <v>853</v>
      </c>
      <c r="K3927">
        <v>0</v>
      </c>
      <c r="L3927">
        <v>665.34</v>
      </c>
    </row>
    <row r="3928" spans="1:12" x14ac:dyDescent="0.25">
      <c r="A3928" t="str">
        <f t="shared" si="859"/>
        <v>89301000</v>
      </c>
      <c r="B3928" t="str">
        <f t="shared" si="858"/>
        <v>06539000</v>
      </c>
      <c r="C3928" t="str">
        <f t="shared" si="861"/>
        <v>06539003</v>
      </c>
      <c r="D3928" t="str">
        <f t="shared" si="862"/>
        <v>813</v>
      </c>
      <c r="E3928" t="str">
        <f t="shared" si="849"/>
        <v>89301171</v>
      </c>
      <c r="F3928" t="str">
        <f t="shared" si="860"/>
        <v>5552180920</v>
      </c>
      <c r="G3928" s="1">
        <v>44671</v>
      </c>
      <c r="H3928" t="str">
        <f t="shared" si="863"/>
        <v>91413</v>
      </c>
      <c r="I3928">
        <v>1</v>
      </c>
      <c r="J3928">
        <v>853</v>
      </c>
      <c r="K3928">
        <v>0</v>
      </c>
      <c r="L3928">
        <v>665.34</v>
      </c>
    </row>
    <row r="3929" spans="1:12" x14ac:dyDescent="0.25">
      <c r="A3929" t="str">
        <f t="shared" si="859"/>
        <v>89301000</v>
      </c>
      <c r="B3929" t="str">
        <f t="shared" si="858"/>
        <v>06539000</v>
      </c>
      <c r="C3929" t="str">
        <f t="shared" si="861"/>
        <v>06539003</v>
      </c>
      <c r="D3929" t="str">
        <f t="shared" si="862"/>
        <v>813</v>
      </c>
      <c r="E3929" t="str">
        <f t="shared" si="849"/>
        <v>89301171</v>
      </c>
      <c r="F3929" t="str">
        <f t="shared" si="860"/>
        <v>5552180920</v>
      </c>
      <c r="G3929" s="1">
        <v>44671</v>
      </c>
      <c r="H3929" t="str">
        <f t="shared" si="863"/>
        <v>91413</v>
      </c>
      <c r="I3929">
        <v>1</v>
      </c>
      <c r="J3929">
        <v>853</v>
      </c>
      <c r="K3929">
        <v>0</v>
      </c>
      <c r="L3929">
        <v>665.34</v>
      </c>
    </row>
    <row r="3930" spans="1:12" x14ac:dyDescent="0.25">
      <c r="A3930" t="str">
        <f t="shared" si="859"/>
        <v>89301000</v>
      </c>
      <c r="B3930" t="str">
        <f t="shared" si="858"/>
        <v>06539000</v>
      </c>
      <c r="C3930" t="str">
        <f t="shared" si="861"/>
        <v>06539003</v>
      </c>
      <c r="D3930" t="str">
        <f t="shared" si="862"/>
        <v>813</v>
      </c>
      <c r="E3930" t="str">
        <f t="shared" ref="E3930:E3993" si="864">"89301171"</f>
        <v>89301171</v>
      </c>
      <c r="F3930" t="str">
        <f t="shared" si="860"/>
        <v>5552180920</v>
      </c>
      <c r="G3930" s="1">
        <v>44652</v>
      </c>
      <c r="H3930" t="str">
        <f t="shared" ref="H3930:H3935" si="865">"91197"</f>
        <v>91197</v>
      </c>
      <c r="I3930">
        <v>1</v>
      </c>
      <c r="J3930">
        <v>1046</v>
      </c>
      <c r="K3930">
        <v>0</v>
      </c>
      <c r="L3930">
        <v>815.88</v>
      </c>
    </row>
    <row r="3931" spans="1:12" x14ac:dyDescent="0.25">
      <c r="A3931" t="str">
        <f t="shared" si="859"/>
        <v>89301000</v>
      </c>
      <c r="B3931" t="str">
        <f t="shared" si="858"/>
        <v>06539000</v>
      </c>
      <c r="C3931" t="str">
        <f t="shared" si="861"/>
        <v>06539003</v>
      </c>
      <c r="D3931" t="str">
        <f t="shared" si="862"/>
        <v>813</v>
      </c>
      <c r="E3931" t="str">
        <f t="shared" si="864"/>
        <v>89301171</v>
      </c>
      <c r="F3931" t="str">
        <f t="shared" si="860"/>
        <v>5552180920</v>
      </c>
      <c r="G3931" s="1">
        <v>44654</v>
      </c>
      <c r="H3931" t="str">
        <f t="shared" si="865"/>
        <v>91197</v>
      </c>
      <c r="I3931">
        <v>1</v>
      </c>
      <c r="J3931">
        <v>1046</v>
      </c>
      <c r="K3931">
        <v>0</v>
      </c>
      <c r="L3931">
        <v>815.88</v>
      </c>
    </row>
    <row r="3932" spans="1:12" x14ac:dyDescent="0.25">
      <c r="A3932" t="str">
        <f t="shared" si="859"/>
        <v>89301000</v>
      </c>
      <c r="B3932" t="str">
        <f t="shared" si="858"/>
        <v>06539000</v>
      </c>
      <c r="C3932" t="str">
        <f t="shared" si="861"/>
        <v>06539003</v>
      </c>
      <c r="D3932" t="str">
        <f t="shared" si="862"/>
        <v>813</v>
      </c>
      <c r="E3932" t="str">
        <f t="shared" si="864"/>
        <v>89301171</v>
      </c>
      <c r="F3932" t="str">
        <f t="shared" si="860"/>
        <v>5552180920</v>
      </c>
      <c r="G3932" s="1">
        <v>44654</v>
      </c>
      <c r="H3932" t="str">
        <f t="shared" si="865"/>
        <v>91197</v>
      </c>
      <c r="I3932">
        <v>1</v>
      </c>
      <c r="J3932">
        <v>1046</v>
      </c>
      <c r="K3932">
        <v>0</v>
      </c>
      <c r="L3932">
        <v>815.88</v>
      </c>
    </row>
    <row r="3933" spans="1:12" x14ac:dyDescent="0.25">
      <c r="A3933" t="str">
        <f t="shared" si="859"/>
        <v>89301000</v>
      </c>
      <c r="B3933" t="str">
        <f t="shared" si="858"/>
        <v>06539000</v>
      </c>
      <c r="C3933" t="str">
        <f t="shared" si="861"/>
        <v>06539003</v>
      </c>
      <c r="D3933" t="str">
        <f t="shared" si="862"/>
        <v>813</v>
      </c>
      <c r="E3933" t="str">
        <f t="shared" si="864"/>
        <v>89301171</v>
      </c>
      <c r="F3933" t="str">
        <f t="shared" si="860"/>
        <v>5552180920</v>
      </c>
      <c r="G3933" s="1">
        <v>44653</v>
      </c>
      <c r="H3933" t="str">
        <f t="shared" si="865"/>
        <v>91197</v>
      </c>
      <c r="I3933">
        <v>1</v>
      </c>
      <c r="J3933">
        <v>1046</v>
      </c>
      <c r="K3933">
        <v>0</v>
      </c>
      <c r="L3933">
        <v>815.88</v>
      </c>
    </row>
    <row r="3934" spans="1:12" x14ac:dyDescent="0.25">
      <c r="A3934" t="str">
        <f t="shared" si="859"/>
        <v>89301000</v>
      </c>
      <c r="B3934" t="str">
        <f t="shared" si="858"/>
        <v>06539000</v>
      </c>
      <c r="C3934" t="str">
        <f t="shared" si="861"/>
        <v>06539003</v>
      </c>
      <c r="D3934" t="str">
        <f t="shared" si="862"/>
        <v>813</v>
      </c>
      <c r="E3934" t="str">
        <f t="shared" si="864"/>
        <v>89301171</v>
      </c>
      <c r="F3934" t="str">
        <f t="shared" si="860"/>
        <v>5552180920</v>
      </c>
      <c r="G3934" s="1">
        <v>44653</v>
      </c>
      <c r="H3934" t="str">
        <f t="shared" si="865"/>
        <v>91197</v>
      </c>
      <c r="I3934">
        <v>1</v>
      </c>
      <c r="J3934">
        <v>1046</v>
      </c>
      <c r="K3934">
        <v>0</v>
      </c>
      <c r="L3934">
        <v>815.88</v>
      </c>
    </row>
    <row r="3935" spans="1:12" x14ac:dyDescent="0.25">
      <c r="A3935" t="str">
        <f t="shared" si="859"/>
        <v>89301000</v>
      </c>
      <c r="B3935" t="str">
        <f t="shared" si="858"/>
        <v>06539000</v>
      </c>
      <c r="C3935" t="str">
        <f t="shared" si="861"/>
        <v>06539003</v>
      </c>
      <c r="D3935" t="str">
        <f t="shared" si="862"/>
        <v>813</v>
      </c>
      <c r="E3935" t="str">
        <f t="shared" si="864"/>
        <v>89301171</v>
      </c>
      <c r="F3935" t="str">
        <f t="shared" si="860"/>
        <v>5552180920</v>
      </c>
      <c r="G3935" s="1">
        <v>44652</v>
      </c>
      <c r="H3935" t="str">
        <f t="shared" si="865"/>
        <v>91197</v>
      </c>
      <c r="I3935">
        <v>1</v>
      </c>
      <c r="J3935">
        <v>1046</v>
      </c>
      <c r="K3935">
        <v>0</v>
      </c>
      <c r="L3935">
        <v>815.88</v>
      </c>
    </row>
    <row r="3936" spans="1:12" x14ac:dyDescent="0.25">
      <c r="A3936" t="str">
        <f t="shared" si="859"/>
        <v>89301000</v>
      </c>
      <c r="B3936" t="str">
        <f t="shared" si="858"/>
        <v>06539000</v>
      </c>
      <c r="C3936" t="str">
        <f t="shared" si="861"/>
        <v>06539003</v>
      </c>
      <c r="D3936" t="str">
        <f t="shared" si="862"/>
        <v>813</v>
      </c>
      <c r="E3936" t="str">
        <f t="shared" si="864"/>
        <v>89301171</v>
      </c>
      <c r="F3936" t="str">
        <f t="shared" si="860"/>
        <v>5552180920</v>
      </c>
      <c r="G3936" s="1">
        <v>44652</v>
      </c>
      <c r="H3936" t="str">
        <f>"91129"</f>
        <v>91129</v>
      </c>
      <c r="I3936">
        <v>1</v>
      </c>
      <c r="J3936">
        <v>174</v>
      </c>
      <c r="K3936">
        <v>0</v>
      </c>
      <c r="L3936">
        <v>135.72</v>
      </c>
    </row>
    <row r="3937" spans="1:12" x14ac:dyDescent="0.25">
      <c r="A3937" t="str">
        <f t="shared" si="859"/>
        <v>89301000</v>
      </c>
      <c r="B3937" t="str">
        <f t="shared" si="858"/>
        <v>06539000</v>
      </c>
      <c r="C3937" t="str">
        <f t="shared" si="861"/>
        <v>06539003</v>
      </c>
      <c r="D3937" t="str">
        <f t="shared" si="862"/>
        <v>813</v>
      </c>
      <c r="E3937" t="str">
        <f t="shared" si="864"/>
        <v>89301171</v>
      </c>
      <c r="F3937" t="str">
        <f t="shared" si="860"/>
        <v>5552180920</v>
      </c>
      <c r="G3937" s="1">
        <v>44652</v>
      </c>
      <c r="H3937" t="str">
        <f>"91131"</f>
        <v>91131</v>
      </c>
      <c r="I3937">
        <v>1</v>
      </c>
      <c r="J3937">
        <v>171</v>
      </c>
      <c r="K3937">
        <v>0</v>
      </c>
      <c r="L3937">
        <v>133.38</v>
      </c>
    </row>
    <row r="3938" spans="1:12" x14ac:dyDescent="0.25">
      <c r="A3938" t="str">
        <f t="shared" si="859"/>
        <v>89301000</v>
      </c>
      <c r="B3938" t="str">
        <f t="shared" si="858"/>
        <v>06539000</v>
      </c>
      <c r="C3938" t="str">
        <f t="shared" si="861"/>
        <v>06539003</v>
      </c>
      <c r="D3938" t="str">
        <f t="shared" si="862"/>
        <v>813</v>
      </c>
      <c r="E3938" t="str">
        <f t="shared" si="864"/>
        <v>89301171</v>
      </c>
      <c r="F3938" t="str">
        <f t="shared" si="860"/>
        <v>5552180920</v>
      </c>
      <c r="G3938" s="1">
        <v>44652</v>
      </c>
      <c r="H3938" t="str">
        <f>"91133"</f>
        <v>91133</v>
      </c>
      <c r="I3938">
        <v>1</v>
      </c>
      <c r="J3938">
        <v>176</v>
      </c>
      <c r="K3938">
        <v>0</v>
      </c>
      <c r="L3938">
        <v>137.28</v>
      </c>
    </row>
    <row r="3939" spans="1:12" x14ac:dyDescent="0.25">
      <c r="A3939" t="str">
        <f t="shared" si="859"/>
        <v>89301000</v>
      </c>
      <c r="B3939" t="str">
        <f t="shared" si="858"/>
        <v>06539000</v>
      </c>
      <c r="C3939" t="str">
        <f t="shared" si="861"/>
        <v>06539003</v>
      </c>
      <c r="D3939" t="str">
        <f t="shared" si="862"/>
        <v>813</v>
      </c>
      <c r="E3939" t="str">
        <f t="shared" si="864"/>
        <v>89301171</v>
      </c>
      <c r="F3939" t="str">
        <f t="shared" si="860"/>
        <v>5552180920</v>
      </c>
      <c r="G3939" s="1">
        <v>44652</v>
      </c>
      <c r="H3939" t="str">
        <f>"91171"</f>
        <v>91171</v>
      </c>
      <c r="I3939">
        <v>1</v>
      </c>
      <c r="J3939">
        <v>360</v>
      </c>
      <c r="K3939">
        <v>0</v>
      </c>
      <c r="L3939">
        <v>280.8</v>
      </c>
    </row>
    <row r="3940" spans="1:12" x14ac:dyDescent="0.25">
      <c r="A3940" t="str">
        <f t="shared" si="859"/>
        <v>89301000</v>
      </c>
      <c r="B3940" t="str">
        <f t="shared" si="858"/>
        <v>06539000</v>
      </c>
      <c r="C3940" t="str">
        <f t="shared" si="861"/>
        <v>06539003</v>
      </c>
      <c r="D3940" t="str">
        <f t="shared" si="862"/>
        <v>813</v>
      </c>
      <c r="E3940" t="str">
        <f t="shared" si="864"/>
        <v>89301171</v>
      </c>
      <c r="F3940" t="str">
        <f t="shared" si="860"/>
        <v>5552180920</v>
      </c>
      <c r="G3940" s="1">
        <v>44652</v>
      </c>
      <c r="H3940" t="str">
        <f>"91173"</f>
        <v>91173</v>
      </c>
      <c r="I3940">
        <v>1</v>
      </c>
      <c r="J3940">
        <v>335</v>
      </c>
      <c r="K3940">
        <v>0</v>
      </c>
      <c r="L3940">
        <v>261.3</v>
      </c>
    </row>
    <row r="3941" spans="1:12" x14ac:dyDescent="0.25">
      <c r="A3941" t="str">
        <f t="shared" si="859"/>
        <v>89301000</v>
      </c>
      <c r="B3941" t="str">
        <f t="shared" si="858"/>
        <v>06539000</v>
      </c>
      <c r="C3941" t="str">
        <f t="shared" si="861"/>
        <v>06539003</v>
      </c>
      <c r="D3941" t="str">
        <f t="shared" si="862"/>
        <v>813</v>
      </c>
      <c r="E3941" t="str">
        <f t="shared" si="864"/>
        <v>89301171</v>
      </c>
      <c r="F3941" t="str">
        <f t="shared" si="860"/>
        <v>5552180920</v>
      </c>
      <c r="G3941" s="1">
        <v>44652</v>
      </c>
      <c r="H3941" t="str">
        <f>"91175"</f>
        <v>91175</v>
      </c>
      <c r="I3941">
        <v>1</v>
      </c>
      <c r="J3941">
        <v>360</v>
      </c>
      <c r="K3941">
        <v>0</v>
      </c>
      <c r="L3941">
        <v>280.8</v>
      </c>
    </row>
    <row r="3942" spans="1:12" x14ac:dyDescent="0.25">
      <c r="A3942" t="str">
        <f t="shared" si="859"/>
        <v>89301000</v>
      </c>
      <c r="B3942" t="str">
        <f t="shared" si="858"/>
        <v>06539000</v>
      </c>
      <c r="C3942" t="str">
        <f t="shared" si="861"/>
        <v>06539003</v>
      </c>
      <c r="D3942" t="str">
        <f t="shared" si="862"/>
        <v>813</v>
      </c>
      <c r="E3942" t="str">
        <f t="shared" si="864"/>
        <v>89301171</v>
      </c>
      <c r="F3942" t="str">
        <f t="shared" si="860"/>
        <v>5552180920</v>
      </c>
      <c r="G3942" s="1">
        <v>44653</v>
      </c>
      <c r="H3942" t="str">
        <f>"91167"</f>
        <v>91167</v>
      </c>
      <c r="I3942">
        <v>1</v>
      </c>
      <c r="J3942">
        <v>425</v>
      </c>
      <c r="K3942">
        <v>0</v>
      </c>
      <c r="L3942">
        <v>331.5</v>
      </c>
    </row>
    <row r="3943" spans="1:12" x14ac:dyDescent="0.25">
      <c r="A3943" t="str">
        <f t="shared" si="859"/>
        <v>89301000</v>
      </c>
      <c r="B3943" t="str">
        <f t="shared" si="858"/>
        <v>06539000</v>
      </c>
      <c r="C3943" t="str">
        <f t="shared" si="861"/>
        <v>06539003</v>
      </c>
      <c r="D3943" t="str">
        <f t="shared" si="862"/>
        <v>813</v>
      </c>
      <c r="E3943" t="str">
        <f t="shared" si="864"/>
        <v>89301171</v>
      </c>
      <c r="F3943" t="str">
        <f t="shared" si="860"/>
        <v>5552180920</v>
      </c>
      <c r="G3943" s="1">
        <v>44653</v>
      </c>
      <c r="H3943" t="str">
        <f>"91169"</f>
        <v>91169</v>
      </c>
      <c r="I3943">
        <v>1</v>
      </c>
      <c r="J3943">
        <v>425</v>
      </c>
      <c r="K3943">
        <v>0</v>
      </c>
      <c r="L3943">
        <v>331.5</v>
      </c>
    </row>
    <row r="3944" spans="1:12" x14ac:dyDescent="0.25">
      <c r="A3944" t="str">
        <f t="shared" si="859"/>
        <v>89301000</v>
      </c>
      <c r="B3944" t="str">
        <f t="shared" si="858"/>
        <v>06539000</v>
      </c>
      <c r="C3944" t="str">
        <f t="shared" si="861"/>
        <v>06539003</v>
      </c>
      <c r="D3944" t="str">
        <f t="shared" si="862"/>
        <v>813</v>
      </c>
      <c r="E3944" t="str">
        <f t="shared" si="864"/>
        <v>89301171</v>
      </c>
      <c r="F3944" t="str">
        <f t="shared" si="860"/>
        <v>5552180920</v>
      </c>
      <c r="G3944" s="1">
        <v>44652</v>
      </c>
      <c r="H3944" t="str">
        <f>"91167"</f>
        <v>91167</v>
      </c>
      <c r="I3944">
        <v>1</v>
      </c>
      <c r="J3944">
        <v>425</v>
      </c>
      <c r="K3944">
        <v>0</v>
      </c>
      <c r="L3944">
        <v>331.5</v>
      </c>
    </row>
    <row r="3945" spans="1:12" x14ac:dyDescent="0.25">
      <c r="A3945" t="str">
        <f t="shared" si="859"/>
        <v>89301000</v>
      </c>
      <c r="B3945" t="str">
        <f t="shared" si="858"/>
        <v>06539000</v>
      </c>
      <c r="C3945" t="str">
        <f t="shared" si="861"/>
        <v>06539003</v>
      </c>
      <c r="D3945" t="str">
        <f t="shared" si="862"/>
        <v>813</v>
      </c>
      <c r="E3945" t="str">
        <f t="shared" si="864"/>
        <v>89301171</v>
      </c>
      <c r="F3945" t="str">
        <f t="shared" si="860"/>
        <v>5552180920</v>
      </c>
      <c r="G3945" s="1">
        <v>44652</v>
      </c>
      <c r="H3945" t="str">
        <f>"91169"</f>
        <v>91169</v>
      </c>
      <c r="I3945">
        <v>1</v>
      </c>
      <c r="J3945">
        <v>425</v>
      </c>
      <c r="K3945">
        <v>0</v>
      </c>
      <c r="L3945">
        <v>331.5</v>
      </c>
    </row>
    <row r="3946" spans="1:12" x14ac:dyDescent="0.25">
      <c r="A3946" t="str">
        <f t="shared" si="859"/>
        <v>89301000</v>
      </c>
      <c r="B3946" t="str">
        <f t="shared" si="858"/>
        <v>06539000</v>
      </c>
      <c r="C3946" t="str">
        <f t="shared" si="861"/>
        <v>06539003</v>
      </c>
      <c r="D3946" t="str">
        <f t="shared" si="862"/>
        <v>813</v>
      </c>
      <c r="E3946" t="str">
        <f t="shared" si="864"/>
        <v>89301171</v>
      </c>
      <c r="F3946" t="str">
        <f t="shared" si="860"/>
        <v>5552180920</v>
      </c>
      <c r="G3946" s="1">
        <v>44652</v>
      </c>
      <c r="H3946" t="str">
        <f>"91475"</f>
        <v>91475</v>
      </c>
      <c r="I3946">
        <v>1</v>
      </c>
      <c r="J3946">
        <v>206</v>
      </c>
      <c r="K3946">
        <v>0</v>
      </c>
      <c r="L3946">
        <v>160.68</v>
      </c>
    </row>
    <row r="3947" spans="1:12" x14ac:dyDescent="0.25">
      <c r="A3947" t="str">
        <f t="shared" si="859"/>
        <v>89301000</v>
      </c>
      <c r="B3947" t="str">
        <f t="shared" si="858"/>
        <v>06539000</v>
      </c>
      <c r="C3947" t="str">
        <f>"06539001"</f>
        <v>06539001</v>
      </c>
      <c r="D3947" t="str">
        <f>"801"</f>
        <v>801</v>
      </c>
      <c r="E3947" t="str">
        <f t="shared" si="864"/>
        <v>89301171</v>
      </c>
      <c r="F3947" t="str">
        <f t="shared" ref="F3947:F3993" si="866">"7057025360"</f>
        <v>7057025360</v>
      </c>
      <c r="G3947" s="1">
        <v>44652</v>
      </c>
      <c r="H3947" t="str">
        <f>"81329"</f>
        <v>81329</v>
      </c>
      <c r="I3947">
        <v>1</v>
      </c>
      <c r="J3947">
        <v>16</v>
      </c>
      <c r="K3947">
        <v>0</v>
      </c>
      <c r="L3947">
        <v>12.48</v>
      </c>
    </row>
    <row r="3948" spans="1:12" x14ac:dyDescent="0.25">
      <c r="A3948" t="str">
        <f t="shared" si="859"/>
        <v>89301000</v>
      </c>
      <c r="B3948" t="str">
        <f t="shared" si="858"/>
        <v>06539000</v>
      </c>
      <c r="C3948" t="str">
        <f>"06539001"</f>
        <v>06539001</v>
      </c>
      <c r="D3948" t="str">
        <f>"801"</f>
        <v>801</v>
      </c>
      <c r="E3948" t="str">
        <f t="shared" si="864"/>
        <v>89301171</v>
      </c>
      <c r="F3948" t="str">
        <f t="shared" si="866"/>
        <v>7057025360</v>
      </c>
      <c r="G3948" s="1">
        <v>44652</v>
      </c>
      <c r="H3948" t="str">
        <f>"81331"</f>
        <v>81331</v>
      </c>
      <c r="I3948">
        <v>1</v>
      </c>
      <c r="J3948">
        <v>193</v>
      </c>
      <c r="K3948">
        <v>0</v>
      </c>
      <c r="L3948">
        <v>150.54</v>
      </c>
    </row>
    <row r="3949" spans="1:12" x14ac:dyDescent="0.25">
      <c r="A3949" t="str">
        <f t="shared" si="859"/>
        <v>89301000</v>
      </c>
      <c r="B3949" t="str">
        <f t="shared" si="858"/>
        <v>06539000</v>
      </c>
      <c r="C3949" t="str">
        <f t="shared" ref="C3949:C3956" si="867">"06539002"</f>
        <v>06539002</v>
      </c>
      <c r="D3949" t="str">
        <f t="shared" ref="D3949:D3956" si="868">"802"</f>
        <v>802</v>
      </c>
      <c r="E3949" t="str">
        <f t="shared" si="864"/>
        <v>89301171</v>
      </c>
      <c r="F3949" t="str">
        <f t="shared" si="866"/>
        <v>7057025360</v>
      </c>
      <c r="G3949" s="1">
        <v>44652</v>
      </c>
      <c r="H3949" t="str">
        <f t="shared" ref="H3949:H3956" si="869">"82097"</f>
        <v>82097</v>
      </c>
      <c r="I3949">
        <v>1</v>
      </c>
      <c r="J3949">
        <v>380</v>
      </c>
      <c r="K3949">
        <v>0</v>
      </c>
      <c r="L3949">
        <v>345.8</v>
      </c>
    </row>
    <row r="3950" spans="1:12" x14ac:dyDescent="0.25">
      <c r="A3950" t="str">
        <f t="shared" si="859"/>
        <v>89301000</v>
      </c>
      <c r="B3950" t="str">
        <f t="shared" si="858"/>
        <v>06539000</v>
      </c>
      <c r="C3950" t="str">
        <f t="shared" si="867"/>
        <v>06539002</v>
      </c>
      <c r="D3950" t="str">
        <f t="shared" si="868"/>
        <v>802</v>
      </c>
      <c r="E3950" t="str">
        <f t="shared" si="864"/>
        <v>89301171</v>
      </c>
      <c r="F3950" t="str">
        <f t="shared" si="866"/>
        <v>7057025360</v>
      </c>
      <c r="G3950" s="1">
        <v>44652</v>
      </c>
      <c r="H3950" t="str">
        <f t="shared" si="869"/>
        <v>82097</v>
      </c>
      <c r="I3950">
        <v>1</v>
      </c>
      <c r="J3950">
        <v>380</v>
      </c>
      <c r="K3950">
        <v>0</v>
      </c>
      <c r="L3950">
        <v>345.8</v>
      </c>
    </row>
    <row r="3951" spans="1:12" x14ac:dyDescent="0.25">
      <c r="A3951" t="str">
        <f t="shared" si="859"/>
        <v>89301000</v>
      </c>
      <c r="B3951" t="str">
        <f t="shared" si="858"/>
        <v>06539000</v>
      </c>
      <c r="C3951" t="str">
        <f t="shared" si="867"/>
        <v>06539002</v>
      </c>
      <c r="D3951" t="str">
        <f t="shared" si="868"/>
        <v>802</v>
      </c>
      <c r="E3951" t="str">
        <f t="shared" si="864"/>
        <v>89301171</v>
      </c>
      <c r="F3951" t="str">
        <f t="shared" si="866"/>
        <v>7057025360</v>
      </c>
      <c r="G3951" s="1">
        <v>44652</v>
      </c>
      <c r="H3951" t="str">
        <f t="shared" si="869"/>
        <v>82097</v>
      </c>
      <c r="I3951">
        <v>1</v>
      </c>
      <c r="J3951">
        <v>380</v>
      </c>
      <c r="K3951">
        <v>0</v>
      </c>
      <c r="L3951">
        <v>345.8</v>
      </c>
    </row>
    <row r="3952" spans="1:12" x14ac:dyDescent="0.25">
      <c r="A3952" t="str">
        <f t="shared" si="859"/>
        <v>89301000</v>
      </c>
      <c r="B3952" t="str">
        <f t="shared" si="858"/>
        <v>06539000</v>
      </c>
      <c r="C3952" t="str">
        <f t="shared" si="867"/>
        <v>06539002</v>
      </c>
      <c r="D3952" t="str">
        <f t="shared" si="868"/>
        <v>802</v>
      </c>
      <c r="E3952" t="str">
        <f t="shared" si="864"/>
        <v>89301171</v>
      </c>
      <c r="F3952" t="str">
        <f t="shared" si="866"/>
        <v>7057025360</v>
      </c>
      <c r="G3952" s="1">
        <v>44652</v>
      </c>
      <c r="H3952" t="str">
        <f t="shared" si="869"/>
        <v>82097</v>
      </c>
      <c r="I3952">
        <v>1</v>
      </c>
      <c r="J3952">
        <v>380</v>
      </c>
      <c r="K3952">
        <v>0</v>
      </c>
      <c r="L3952">
        <v>345.8</v>
      </c>
    </row>
    <row r="3953" spans="1:12" x14ac:dyDescent="0.25">
      <c r="A3953" t="str">
        <f t="shared" si="859"/>
        <v>89301000</v>
      </c>
      <c r="B3953" t="str">
        <f t="shared" si="858"/>
        <v>06539000</v>
      </c>
      <c r="C3953" t="str">
        <f t="shared" si="867"/>
        <v>06539002</v>
      </c>
      <c r="D3953" t="str">
        <f t="shared" si="868"/>
        <v>802</v>
      </c>
      <c r="E3953" t="str">
        <f t="shared" si="864"/>
        <v>89301171</v>
      </c>
      <c r="F3953" t="str">
        <f t="shared" si="866"/>
        <v>7057025360</v>
      </c>
      <c r="G3953" s="1">
        <v>44652</v>
      </c>
      <c r="H3953" t="str">
        <f t="shared" si="869"/>
        <v>82097</v>
      </c>
      <c r="I3953">
        <v>1</v>
      </c>
      <c r="J3953">
        <v>380</v>
      </c>
      <c r="K3953">
        <v>0</v>
      </c>
      <c r="L3953">
        <v>345.8</v>
      </c>
    </row>
    <row r="3954" spans="1:12" x14ac:dyDescent="0.25">
      <c r="A3954" t="str">
        <f t="shared" si="859"/>
        <v>89301000</v>
      </c>
      <c r="B3954" t="str">
        <f t="shared" si="858"/>
        <v>06539000</v>
      </c>
      <c r="C3954" t="str">
        <f t="shared" si="867"/>
        <v>06539002</v>
      </c>
      <c r="D3954" t="str">
        <f t="shared" si="868"/>
        <v>802</v>
      </c>
      <c r="E3954" t="str">
        <f t="shared" si="864"/>
        <v>89301171</v>
      </c>
      <c r="F3954" t="str">
        <f t="shared" si="866"/>
        <v>7057025360</v>
      </c>
      <c r="G3954" s="1">
        <v>44652</v>
      </c>
      <c r="H3954" t="str">
        <f t="shared" si="869"/>
        <v>82097</v>
      </c>
      <c r="I3954">
        <v>1</v>
      </c>
      <c r="J3954">
        <v>380</v>
      </c>
      <c r="K3954">
        <v>0</v>
      </c>
      <c r="L3954">
        <v>345.8</v>
      </c>
    </row>
    <row r="3955" spans="1:12" x14ac:dyDescent="0.25">
      <c r="A3955" t="str">
        <f t="shared" si="859"/>
        <v>89301000</v>
      </c>
      <c r="B3955" t="str">
        <f t="shared" si="858"/>
        <v>06539000</v>
      </c>
      <c r="C3955" t="str">
        <f t="shared" si="867"/>
        <v>06539002</v>
      </c>
      <c r="D3955" t="str">
        <f t="shared" si="868"/>
        <v>802</v>
      </c>
      <c r="E3955" t="str">
        <f t="shared" si="864"/>
        <v>89301171</v>
      </c>
      <c r="F3955" t="str">
        <f t="shared" si="866"/>
        <v>7057025360</v>
      </c>
      <c r="G3955" s="1">
        <v>44652</v>
      </c>
      <c r="H3955" t="str">
        <f t="shared" si="869"/>
        <v>82097</v>
      </c>
      <c r="I3955">
        <v>1</v>
      </c>
      <c r="J3955">
        <v>380</v>
      </c>
      <c r="K3955">
        <v>0</v>
      </c>
      <c r="L3955">
        <v>345.8</v>
      </c>
    </row>
    <row r="3956" spans="1:12" x14ac:dyDescent="0.25">
      <c r="A3956" t="str">
        <f t="shared" si="859"/>
        <v>89301000</v>
      </c>
      <c r="B3956" t="str">
        <f t="shared" ref="B3956:B4019" si="870">"06539000"</f>
        <v>06539000</v>
      </c>
      <c r="C3956" t="str">
        <f t="shared" si="867"/>
        <v>06539002</v>
      </c>
      <c r="D3956" t="str">
        <f t="shared" si="868"/>
        <v>802</v>
      </c>
      <c r="E3956" t="str">
        <f t="shared" si="864"/>
        <v>89301171</v>
      </c>
      <c r="F3956" t="str">
        <f t="shared" si="866"/>
        <v>7057025360</v>
      </c>
      <c r="G3956" s="1">
        <v>44652</v>
      </c>
      <c r="H3956" t="str">
        <f t="shared" si="869"/>
        <v>82097</v>
      </c>
      <c r="I3956">
        <v>1</v>
      </c>
      <c r="J3956">
        <v>380</v>
      </c>
      <c r="K3956">
        <v>0</v>
      </c>
      <c r="L3956">
        <v>345.8</v>
      </c>
    </row>
    <row r="3957" spans="1:12" x14ac:dyDescent="0.25">
      <c r="A3957" t="str">
        <f t="shared" si="859"/>
        <v>89301000</v>
      </c>
      <c r="B3957" t="str">
        <f t="shared" si="870"/>
        <v>06539000</v>
      </c>
      <c r="C3957" t="str">
        <f t="shared" ref="C3957:C3993" si="871">"06539003"</f>
        <v>06539003</v>
      </c>
      <c r="D3957" t="str">
        <f t="shared" ref="D3957:D3993" si="872">"813"</f>
        <v>813</v>
      </c>
      <c r="E3957" t="str">
        <f t="shared" si="864"/>
        <v>89301171</v>
      </c>
      <c r="F3957" t="str">
        <f t="shared" si="866"/>
        <v>7057025360</v>
      </c>
      <c r="G3957" s="1">
        <v>44655</v>
      </c>
      <c r="H3957" t="str">
        <f>"91439"</f>
        <v>91439</v>
      </c>
      <c r="I3957">
        <v>1</v>
      </c>
      <c r="J3957">
        <v>356</v>
      </c>
      <c r="K3957">
        <v>0</v>
      </c>
      <c r="L3957">
        <v>277.68</v>
      </c>
    </row>
    <row r="3958" spans="1:12" x14ac:dyDescent="0.25">
      <c r="A3958" t="str">
        <f t="shared" si="859"/>
        <v>89301000</v>
      </c>
      <c r="B3958" t="str">
        <f t="shared" si="870"/>
        <v>06539000</v>
      </c>
      <c r="C3958" t="str">
        <f t="shared" si="871"/>
        <v>06539003</v>
      </c>
      <c r="D3958" t="str">
        <f t="shared" si="872"/>
        <v>813</v>
      </c>
      <c r="E3958" t="str">
        <f t="shared" si="864"/>
        <v>89301171</v>
      </c>
      <c r="F3958" t="str">
        <f t="shared" si="866"/>
        <v>7057025360</v>
      </c>
      <c r="G3958" s="1">
        <v>44655</v>
      </c>
      <c r="H3958" t="str">
        <f>"91439"</f>
        <v>91439</v>
      </c>
      <c r="I3958">
        <v>1</v>
      </c>
      <c r="J3958">
        <v>356</v>
      </c>
      <c r="K3958">
        <v>0</v>
      </c>
      <c r="L3958">
        <v>277.68</v>
      </c>
    </row>
    <row r="3959" spans="1:12" x14ac:dyDescent="0.25">
      <c r="A3959" t="str">
        <f t="shared" si="859"/>
        <v>89301000</v>
      </c>
      <c r="B3959" t="str">
        <f t="shared" si="870"/>
        <v>06539000</v>
      </c>
      <c r="C3959" t="str">
        <f t="shared" si="871"/>
        <v>06539003</v>
      </c>
      <c r="D3959" t="str">
        <f t="shared" si="872"/>
        <v>813</v>
      </c>
      <c r="E3959" t="str">
        <f t="shared" si="864"/>
        <v>89301171</v>
      </c>
      <c r="F3959" t="str">
        <f t="shared" si="866"/>
        <v>7057025360</v>
      </c>
      <c r="G3959" s="1">
        <v>44655</v>
      </c>
      <c r="H3959" t="str">
        <f>"91439"</f>
        <v>91439</v>
      </c>
      <c r="I3959">
        <v>1</v>
      </c>
      <c r="J3959">
        <v>356</v>
      </c>
      <c r="K3959">
        <v>0</v>
      </c>
      <c r="L3959">
        <v>277.68</v>
      </c>
    </row>
    <row r="3960" spans="1:12" x14ac:dyDescent="0.25">
      <c r="A3960" t="str">
        <f t="shared" si="859"/>
        <v>89301000</v>
      </c>
      <c r="B3960" t="str">
        <f t="shared" si="870"/>
        <v>06539000</v>
      </c>
      <c r="C3960" t="str">
        <f t="shared" si="871"/>
        <v>06539003</v>
      </c>
      <c r="D3960" t="str">
        <f t="shared" si="872"/>
        <v>813</v>
      </c>
      <c r="E3960" t="str">
        <f t="shared" si="864"/>
        <v>89301171</v>
      </c>
      <c r="F3960" t="str">
        <f t="shared" si="866"/>
        <v>7057025360</v>
      </c>
      <c r="G3960" s="1">
        <v>44655</v>
      </c>
      <c r="H3960" t="str">
        <f>"91439"</f>
        <v>91439</v>
      </c>
      <c r="I3960">
        <v>1</v>
      </c>
      <c r="J3960">
        <v>356</v>
      </c>
      <c r="K3960">
        <v>0</v>
      </c>
      <c r="L3960">
        <v>277.68</v>
      </c>
    </row>
    <row r="3961" spans="1:12" x14ac:dyDescent="0.25">
      <c r="A3961" t="str">
        <f t="shared" si="859"/>
        <v>89301000</v>
      </c>
      <c r="B3961" t="str">
        <f t="shared" si="870"/>
        <v>06539000</v>
      </c>
      <c r="C3961" t="str">
        <f t="shared" si="871"/>
        <v>06539003</v>
      </c>
      <c r="D3961" t="str">
        <f t="shared" si="872"/>
        <v>813</v>
      </c>
      <c r="E3961" t="str">
        <f t="shared" si="864"/>
        <v>89301171</v>
      </c>
      <c r="F3961" t="str">
        <f t="shared" si="866"/>
        <v>7057025360</v>
      </c>
      <c r="G3961" s="1">
        <v>44655</v>
      </c>
      <c r="H3961" t="str">
        <f>"91439"</f>
        <v>91439</v>
      </c>
      <c r="I3961">
        <v>2</v>
      </c>
      <c r="J3961">
        <v>712</v>
      </c>
      <c r="K3961">
        <v>0</v>
      </c>
      <c r="L3961">
        <v>555.36</v>
      </c>
    </row>
    <row r="3962" spans="1:12" x14ac:dyDescent="0.25">
      <c r="A3962" t="str">
        <f t="shared" si="859"/>
        <v>89301000</v>
      </c>
      <c r="B3962" t="str">
        <f t="shared" si="870"/>
        <v>06539000</v>
      </c>
      <c r="C3962" t="str">
        <f t="shared" si="871"/>
        <v>06539003</v>
      </c>
      <c r="D3962" t="str">
        <f t="shared" si="872"/>
        <v>813</v>
      </c>
      <c r="E3962" t="str">
        <f t="shared" si="864"/>
        <v>89301171</v>
      </c>
      <c r="F3962" t="str">
        <f t="shared" si="866"/>
        <v>7057025360</v>
      </c>
      <c r="G3962" s="1">
        <v>44657</v>
      </c>
      <c r="H3962" t="str">
        <f t="shared" ref="H3962:H3971" si="873">"91413"</f>
        <v>91413</v>
      </c>
      <c r="I3962">
        <v>1</v>
      </c>
      <c r="J3962">
        <v>853</v>
      </c>
      <c r="K3962">
        <v>0</v>
      </c>
      <c r="L3962">
        <v>665.34</v>
      </c>
    </row>
    <row r="3963" spans="1:12" x14ac:dyDescent="0.25">
      <c r="A3963" t="str">
        <f t="shared" si="859"/>
        <v>89301000</v>
      </c>
      <c r="B3963" t="str">
        <f t="shared" si="870"/>
        <v>06539000</v>
      </c>
      <c r="C3963" t="str">
        <f t="shared" si="871"/>
        <v>06539003</v>
      </c>
      <c r="D3963" t="str">
        <f t="shared" si="872"/>
        <v>813</v>
      </c>
      <c r="E3963" t="str">
        <f t="shared" si="864"/>
        <v>89301171</v>
      </c>
      <c r="F3963" t="str">
        <f t="shared" si="866"/>
        <v>7057025360</v>
      </c>
      <c r="G3963" s="1">
        <v>44657</v>
      </c>
      <c r="H3963" t="str">
        <f t="shared" si="873"/>
        <v>91413</v>
      </c>
      <c r="I3963">
        <v>1</v>
      </c>
      <c r="J3963">
        <v>853</v>
      </c>
      <c r="K3963">
        <v>0</v>
      </c>
      <c r="L3963">
        <v>665.34</v>
      </c>
    </row>
    <row r="3964" spans="1:12" x14ac:dyDescent="0.25">
      <c r="A3964" t="str">
        <f t="shared" si="859"/>
        <v>89301000</v>
      </c>
      <c r="B3964" t="str">
        <f t="shared" si="870"/>
        <v>06539000</v>
      </c>
      <c r="C3964" t="str">
        <f t="shared" si="871"/>
        <v>06539003</v>
      </c>
      <c r="D3964" t="str">
        <f t="shared" si="872"/>
        <v>813</v>
      </c>
      <c r="E3964" t="str">
        <f t="shared" si="864"/>
        <v>89301171</v>
      </c>
      <c r="F3964" t="str">
        <f t="shared" si="866"/>
        <v>7057025360</v>
      </c>
      <c r="G3964" s="1">
        <v>44671</v>
      </c>
      <c r="H3964" t="str">
        <f t="shared" si="873"/>
        <v>91413</v>
      </c>
      <c r="I3964">
        <v>1</v>
      </c>
      <c r="J3964">
        <v>853</v>
      </c>
      <c r="K3964">
        <v>0</v>
      </c>
      <c r="L3964">
        <v>665.34</v>
      </c>
    </row>
    <row r="3965" spans="1:12" x14ac:dyDescent="0.25">
      <c r="A3965" t="str">
        <f t="shared" si="859"/>
        <v>89301000</v>
      </c>
      <c r="B3965" t="str">
        <f t="shared" si="870"/>
        <v>06539000</v>
      </c>
      <c r="C3965" t="str">
        <f t="shared" si="871"/>
        <v>06539003</v>
      </c>
      <c r="D3965" t="str">
        <f t="shared" si="872"/>
        <v>813</v>
      </c>
      <c r="E3965" t="str">
        <f t="shared" si="864"/>
        <v>89301171</v>
      </c>
      <c r="F3965" t="str">
        <f t="shared" si="866"/>
        <v>7057025360</v>
      </c>
      <c r="G3965" s="1">
        <v>44671</v>
      </c>
      <c r="H3965" t="str">
        <f t="shared" si="873"/>
        <v>91413</v>
      </c>
      <c r="I3965">
        <v>1</v>
      </c>
      <c r="J3965">
        <v>853</v>
      </c>
      <c r="K3965">
        <v>0</v>
      </c>
      <c r="L3965">
        <v>665.34</v>
      </c>
    </row>
    <row r="3966" spans="1:12" x14ac:dyDescent="0.25">
      <c r="A3966" t="str">
        <f t="shared" si="859"/>
        <v>89301000</v>
      </c>
      <c r="B3966" t="str">
        <f t="shared" si="870"/>
        <v>06539000</v>
      </c>
      <c r="C3966" t="str">
        <f t="shared" si="871"/>
        <v>06539003</v>
      </c>
      <c r="D3966" t="str">
        <f t="shared" si="872"/>
        <v>813</v>
      </c>
      <c r="E3966" t="str">
        <f t="shared" si="864"/>
        <v>89301171</v>
      </c>
      <c r="F3966" t="str">
        <f t="shared" si="866"/>
        <v>7057025360</v>
      </c>
      <c r="G3966" s="1">
        <v>44665</v>
      </c>
      <c r="H3966" t="str">
        <f t="shared" si="873"/>
        <v>91413</v>
      </c>
      <c r="I3966">
        <v>1</v>
      </c>
      <c r="J3966">
        <v>853</v>
      </c>
      <c r="K3966">
        <v>0</v>
      </c>
      <c r="L3966">
        <v>665.34</v>
      </c>
    </row>
    <row r="3967" spans="1:12" x14ac:dyDescent="0.25">
      <c r="A3967" t="str">
        <f t="shared" si="859"/>
        <v>89301000</v>
      </c>
      <c r="B3967" t="str">
        <f t="shared" si="870"/>
        <v>06539000</v>
      </c>
      <c r="C3967" t="str">
        <f t="shared" si="871"/>
        <v>06539003</v>
      </c>
      <c r="D3967" t="str">
        <f t="shared" si="872"/>
        <v>813</v>
      </c>
      <c r="E3967" t="str">
        <f t="shared" si="864"/>
        <v>89301171</v>
      </c>
      <c r="F3967" t="str">
        <f t="shared" si="866"/>
        <v>7057025360</v>
      </c>
      <c r="G3967" s="1">
        <v>44665</v>
      </c>
      <c r="H3967" t="str">
        <f t="shared" si="873"/>
        <v>91413</v>
      </c>
      <c r="I3967">
        <v>1</v>
      </c>
      <c r="J3967">
        <v>853</v>
      </c>
      <c r="K3967">
        <v>0</v>
      </c>
      <c r="L3967">
        <v>665.34</v>
      </c>
    </row>
    <row r="3968" spans="1:12" x14ac:dyDescent="0.25">
      <c r="A3968" t="str">
        <f t="shared" si="859"/>
        <v>89301000</v>
      </c>
      <c r="B3968" t="str">
        <f t="shared" si="870"/>
        <v>06539000</v>
      </c>
      <c r="C3968" t="str">
        <f t="shared" si="871"/>
        <v>06539003</v>
      </c>
      <c r="D3968" t="str">
        <f t="shared" si="872"/>
        <v>813</v>
      </c>
      <c r="E3968" t="str">
        <f t="shared" si="864"/>
        <v>89301171</v>
      </c>
      <c r="F3968" t="str">
        <f t="shared" si="866"/>
        <v>7057025360</v>
      </c>
      <c r="G3968" s="1">
        <v>44671</v>
      </c>
      <c r="H3968" t="str">
        <f t="shared" si="873"/>
        <v>91413</v>
      </c>
      <c r="I3968">
        <v>1</v>
      </c>
      <c r="J3968">
        <v>853</v>
      </c>
      <c r="K3968">
        <v>0</v>
      </c>
      <c r="L3968">
        <v>665.34</v>
      </c>
    </row>
    <row r="3969" spans="1:12" x14ac:dyDescent="0.25">
      <c r="A3969" t="str">
        <f t="shared" si="859"/>
        <v>89301000</v>
      </c>
      <c r="B3969" t="str">
        <f t="shared" si="870"/>
        <v>06539000</v>
      </c>
      <c r="C3969" t="str">
        <f t="shared" si="871"/>
        <v>06539003</v>
      </c>
      <c r="D3969" t="str">
        <f t="shared" si="872"/>
        <v>813</v>
      </c>
      <c r="E3969" t="str">
        <f t="shared" si="864"/>
        <v>89301171</v>
      </c>
      <c r="F3969" t="str">
        <f t="shared" si="866"/>
        <v>7057025360</v>
      </c>
      <c r="G3969" s="1">
        <v>44671</v>
      </c>
      <c r="H3969" t="str">
        <f t="shared" si="873"/>
        <v>91413</v>
      </c>
      <c r="I3969">
        <v>1</v>
      </c>
      <c r="J3969">
        <v>853</v>
      </c>
      <c r="K3969">
        <v>0</v>
      </c>
      <c r="L3969">
        <v>665.34</v>
      </c>
    </row>
    <row r="3970" spans="1:12" x14ac:dyDescent="0.25">
      <c r="A3970" t="str">
        <f t="shared" ref="A3970:A4033" si="874">"89301000"</f>
        <v>89301000</v>
      </c>
      <c r="B3970" t="str">
        <f t="shared" si="870"/>
        <v>06539000</v>
      </c>
      <c r="C3970" t="str">
        <f t="shared" si="871"/>
        <v>06539003</v>
      </c>
      <c r="D3970" t="str">
        <f t="shared" si="872"/>
        <v>813</v>
      </c>
      <c r="E3970" t="str">
        <f t="shared" si="864"/>
        <v>89301171</v>
      </c>
      <c r="F3970" t="str">
        <f t="shared" si="866"/>
        <v>7057025360</v>
      </c>
      <c r="G3970" s="1">
        <v>44671</v>
      </c>
      <c r="H3970" t="str">
        <f t="shared" si="873"/>
        <v>91413</v>
      </c>
      <c r="I3970">
        <v>1</v>
      </c>
      <c r="J3970">
        <v>853</v>
      </c>
      <c r="K3970">
        <v>0</v>
      </c>
      <c r="L3970">
        <v>665.34</v>
      </c>
    </row>
    <row r="3971" spans="1:12" x14ac:dyDescent="0.25">
      <c r="A3971" t="str">
        <f t="shared" si="874"/>
        <v>89301000</v>
      </c>
      <c r="B3971" t="str">
        <f t="shared" si="870"/>
        <v>06539000</v>
      </c>
      <c r="C3971" t="str">
        <f t="shared" si="871"/>
        <v>06539003</v>
      </c>
      <c r="D3971" t="str">
        <f t="shared" si="872"/>
        <v>813</v>
      </c>
      <c r="E3971" t="str">
        <f t="shared" si="864"/>
        <v>89301171</v>
      </c>
      <c r="F3971" t="str">
        <f t="shared" si="866"/>
        <v>7057025360</v>
      </c>
      <c r="G3971" s="1">
        <v>44671</v>
      </c>
      <c r="H3971" t="str">
        <f t="shared" si="873"/>
        <v>91413</v>
      </c>
      <c r="I3971">
        <v>1</v>
      </c>
      <c r="J3971">
        <v>853</v>
      </c>
      <c r="K3971">
        <v>0</v>
      </c>
      <c r="L3971">
        <v>665.34</v>
      </c>
    </row>
    <row r="3972" spans="1:12" x14ac:dyDescent="0.25">
      <c r="A3972" t="str">
        <f t="shared" si="874"/>
        <v>89301000</v>
      </c>
      <c r="B3972" t="str">
        <f t="shared" si="870"/>
        <v>06539000</v>
      </c>
      <c r="C3972" t="str">
        <f t="shared" si="871"/>
        <v>06539003</v>
      </c>
      <c r="D3972" t="str">
        <f t="shared" si="872"/>
        <v>813</v>
      </c>
      <c r="E3972" t="str">
        <f t="shared" si="864"/>
        <v>89301171</v>
      </c>
      <c r="F3972" t="str">
        <f t="shared" si="866"/>
        <v>7057025360</v>
      </c>
      <c r="G3972" s="1">
        <v>44652</v>
      </c>
      <c r="H3972" t="str">
        <f t="shared" ref="H3972:H3978" si="875">"91197"</f>
        <v>91197</v>
      </c>
      <c r="I3972">
        <v>1</v>
      </c>
      <c r="J3972">
        <v>1046</v>
      </c>
      <c r="K3972">
        <v>0</v>
      </c>
      <c r="L3972">
        <v>815.88</v>
      </c>
    </row>
    <row r="3973" spans="1:12" x14ac:dyDescent="0.25">
      <c r="A3973" t="str">
        <f t="shared" si="874"/>
        <v>89301000</v>
      </c>
      <c r="B3973" t="str">
        <f t="shared" si="870"/>
        <v>06539000</v>
      </c>
      <c r="C3973" t="str">
        <f t="shared" si="871"/>
        <v>06539003</v>
      </c>
      <c r="D3973" t="str">
        <f t="shared" si="872"/>
        <v>813</v>
      </c>
      <c r="E3973" t="str">
        <f t="shared" si="864"/>
        <v>89301171</v>
      </c>
      <c r="F3973" t="str">
        <f t="shared" si="866"/>
        <v>7057025360</v>
      </c>
      <c r="G3973" s="1">
        <v>44655</v>
      </c>
      <c r="H3973" t="str">
        <f t="shared" si="875"/>
        <v>91197</v>
      </c>
      <c r="I3973">
        <v>1</v>
      </c>
      <c r="J3973">
        <v>1046</v>
      </c>
      <c r="K3973">
        <v>0</v>
      </c>
      <c r="L3973">
        <v>815.88</v>
      </c>
    </row>
    <row r="3974" spans="1:12" x14ac:dyDescent="0.25">
      <c r="A3974" t="str">
        <f t="shared" si="874"/>
        <v>89301000</v>
      </c>
      <c r="B3974" t="str">
        <f t="shared" si="870"/>
        <v>06539000</v>
      </c>
      <c r="C3974" t="str">
        <f t="shared" si="871"/>
        <v>06539003</v>
      </c>
      <c r="D3974" t="str">
        <f t="shared" si="872"/>
        <v>813</v>
      </c>
      <c r="E3974" t="str">
        <f t="shared" si="864"/>
        <v>89301171</v>
      </c>
      <c r="F3974" t="str">
        <f t="shared" si="866"/>
        <v>7057025360</v>
      </c>
      <c r="G3974" s="1">
        <v>44655</v>
      </c>
      <c r="H3974" t="str">
        <f t="shared" si="875"/>
        <v>91197</v>
      </c>
      <c r="I3974">
        <v>1</v>
      </c>
      <c r="J3974">
        <v>1046</v>
      </c>
      <c r="K3974">
        <v>0</v>
      </c>
      <c r="L3974">
        <v>815.88</v>
      </c>
    </row>
    <row r="3975" spans="1:12" x14ac:dyDescent="0.25">
      <c r="A3975" t="str">
        <f t="shared" si="874"/>
        <v>89301000</v>
      </c>
      <c r="B3975" t="str">
        <f t="shared" si="870"/>
        <v>06539000</v>
      </c>
      <c r="C3975" t="str">
        <f t="shared" si="871"/>
        <v>06539003</v>
      </c>
      <c r="D3975" t="str">
        <f t="shared" si="872"/>
        <v>813</v>
      </c>
      <c r="E3975" t="str">
        <f t="shared" si="864"/>
        <v>89301171</v>
      </c>
      <c r="F3975" t="str">
        <f t="shared" si="866"/>
        <v>7057025360</v>
      </c>
      <c r="G3975" s="1">
        <v>44654</v>
      </c>
      <c r="H3975" t="str">
        <f t="shared" si="875"/>
        <v>91197</v>
      </c>
      <c r="I3975">
        <v>1</v>
      </c>
      <c r="J3975">
        <v>1046</v>
      </c>
      <c r="K3975">
        <v>0</v>
      </c>
      <c r="L3975">
        <v>815.88</v>
      </c>
    </row>
    <row r="3976" spans="1:12" x14ac:dyDescent="0.25">
      <c r="A3976" t="str">
        <f t="shared" si="874"/>
        <v>89301000</v>
      </c>
      <c r="B3976" t="str">
        <f t="shared" si="870"/>
        <v>06539000</v>
      </c>
      <c r="C3976" t="str">
        <f t="shared" si="871"/>
        <v>06539003</v>
      </c>
      <c r="D3976" t="str">
        <f t="shared" si="872"/>
        <v>813</v>
      </c>
      <c r="E3976" t="str">
        <f t="shared" si="864"/>
        <v>89301171</v>
      </c>
      <c r="F3976" t="str">
        <f t="shared" si="866"/>
        <v>7057025360</v>
      </c>
      <c r="G3976" s="1">
        <v>44654</v>
      </c>
      <c r="H3976" t="str">
        <f t="shared" si="875"/>
        <v>91197</v>
      </c>
      <c r="I3976">
        <v>1</v>
      </c>
      <c r="J3976">
        <v>1046</v>
      </c>
      <c r="K3976">
        <v>0</v>
      </c>
      <c r="L3976">
        <v>815.88</v>
      </c>
    </row>
    <row r="3977" spans="1:12" x14ac:dyDescent="0.25">
      <c r="A3977" t="str">
        <f t="shared" si="874"/>
        <v>89301000</v>
      </c>
      <c r="B3977" t="str">
        <f t="shared" si="870"/>
        <v>06539000</v>
      </c>
      <c r="C3977" t="str">
        <f t="shared" si="871"/>
        <v>06539003</v>
      </c>
      <c r="D3977" t="str">
        <f t="shared" si="872"/>
        <v>813</v>
      </c>
      <c r="E3977" t="str">
        <f t="shared" si="864"/>
        <v>89301171</v>
      </c>
      <c r="F3977" t="str">
        <f t="shared" si="866"/>
        <v>7057025360</v>
      </c>
      <c r="G3977" s="1">
        <v>44653</v>
      </c>
      <c r="H3977" t="str">
        <f t="shared" si="875"/>
        <v>91197</v>
      </c>
      <c r="I3977">
        <v>1</v>
      </c>
      <c r="J3977">
        <v>1046</v>
      </c>
      <c r="K3977">
        <v>0</v>
      </c>
      <c r="L3977">
        <v>815.88</v>
      </c>
    </row>
    <row r="3978" spans="1:12" x14ac:dyDescent="0.25">
      <c r="A3978" t="str">
        <f t="shared" si="874"/>
        <v>89301000</v>
      </c>
      <c r="B3978" t="str">
        <f t="shared" si="870"/>
        <v>06539000</v>
      </c>
      <c r="C3978" t="str">
        <f t="shared" si="871"/>
        <v>06539003</v>
      </c>
      <c r="D3978" t="str">
        <f t="shared" si="872"/>
        <v>813</v>
      </c>
      <c r="E3978" t="str">
        <f t="shared" si="864"/>
        <v>89301171</v>
      </c>
      <c r="F3978" t="str">
        <f t="shared" si="866"/>
        <v>7057025360</v>
      </c>
      <c r="G3978" s="1">
        <v>44653</v>
      </c>
      <c r="H3978" t="str">
        <f t="shared" si="875"/>
        <v>91197</v>
      </c>
      <c r="I3978">
        <v>1</v>
      </c>
      <c r="J3978">
        <v>1046</v>
      </c>
      <c r="K3978">
        <v>0</v>
      </c>
      <c r="L3978">
        <v>815.88</v>
      </c>
    </row>
    <row r="3979" spans="1:12" x14ac:dyDescent="0.25">
      <c r="A3979" t="str">
        <f t="shared" si="874"/>
        <v>89301000</v>
      </c>
      <c r="B3979" t="str">
        <f t="shared" si="870"/>
        <v>06539000</v>
      </c>
      <c r="C3979" t="str">
        <f t="shared" si="871"/>
        <v>06539003</v>
      </c>
      <c r="D3979" t="str">
        <f t="shared" si="872"/>
        <v>813</v>
      </c>
      <c r="E3979" t="str">
        <f t="shared" si="864"/>
        <v>89301171</v>
      </c>
      <c r="F3979" t="str">
        <f t="shared" si="866"/>
        <v>7057025360</v>
      </c>
      <c r="G3979" s="1">
        <v>44657</v>
      </c>
      <c r="H3979" t="str">
        <f>"91329"</f>
        <v>91329</v>
      </c>
      <c r="I3979">
        <v>2</v>
      </c>
      <c r="J3979">
        <v>428</v>
      </c>
      <c r="K3979">
        <v>0</v>
      </c>
      <c r="L3979">
        <v>333.84</v>
      </c>
    </row>
    <row r="3980" spans="1:12" x14ac:dyDescent="0.25">
      <c r="A3980" t="str">
        <f t="shared" si="874"/>
        <v>89301000</v>
      </c>
      <c r="B3980" t="str">
        <f t="shared" si="870"/>
        <v>06539000</v>
      </c>
      <c r="C3980" t="str">
        <f t="shared" si="871"/>
        <v>06539003</v>
      </c>
      <c r="D3980" t="str">
        <f t="shared" si="872"/>
        <v>813</v>
      </c>
      <c r="E3980" t="str">
        <f t="shared" si="864"/>
        <v>89301171</v>
      </c>
      <c r="F3980" t="str">
        <f t="shared" si="866"/>
        <v>7057025360</v>
      </c>
      <c r="G3980" s="1">
        <v>44657</v>
      </c>
      <c r="H3980" t="str">
        <f>"91329"</f>
        <v>91329</v>
      </c>
      <c r="I3980">
        <v>2</v>
      </c>
      <c r="J3980">
        <v>428</v>
      </c>
      <c r="K3980">
        <v>0</v>
      </c>
      <c r="L3980">
        <v>333.84</v>
      </c>
    </row>
    <row r="3981" spans="1:12" x14ac:dyDescent="0.25">
      <c r="A3981" t="str">
        <f t="shared" si="874"/>
        <v>89301000</v>
      </c>
      <c r="B3981" t="str">
        <f t="shared" si="870"/>
        <v>06539000</v>
      </c>
      <c r="C3981" t="str">
        <f t="shared" si="871"/>
        <v>06539003</v>
      </c>
      <c r="D3981" t="str">
        <f t="shared" si="872"/>
        <v>813</v>
      </c>
      <c r="E3981" t="str">
        <f t="shared" si="864"/>
        <v>89301171</v>
      </c>
      <c r="F3981" t="str">
        <f t="shared" si="866"/>
        <v>7057025360</v>
      </c>
      <c r="G3981" s="1">
        <v>44657</v>
      </c>
      <c r="H3981" t="str">
        <f>"91329"</f>
        <v>91329</v>
      </c>
      <c r="I3981">
        <v>2</v>
      </c>
      <c r="J3981">
        <v>428</v>
      </c>
      <c r="K3981">
        <v>0</v>
      </c>
      <c r="L3981">
        <v>333.84</v>
      </c>
    </row>
    <row r="3982" spans="1:12" x14ac:dyDescent="0.25">
      <c r="A3982" t="str">
        <f t="shared" si="874"/>
        <v>89301000</v>
      </c>
      <c r="B3982" t="str">
        <f t="shared" si="870"/>
        <v>06539000</v>
      </c>
      <c r="C3982" t="str">
        <f t="shared" si="871"/>
        <v>06539003</v>
      </c>
      <c r="D3982" t="str">
        <f t="shared" si="872"/>
        <v>813</v>
      </c>
      <c r="E3982" t="str">
        <f t="shared" si="864"/>
        <v>89301171</v>
      </c>
      <c r="F3982" t="str">
        <f t="shared" si="866"/>
        <v>7057025360</v>
      </c>
      <c r="G3982" s="1">
        <v>44657</v>
      </c>
      <c r="H3982" t="str">
        <f>"91329"</f>
        <v>91329</v>
      </c>
      <c r="I3982">
        <v>2</v>
      </c>
      <c r="J3982">
        <v>428</v>
      </c>
      <c r="K3982">
        <v>0</v>
      </c>
      <c r="L3982">
        <v>333.84</v>
      </c>
    </row>
    <row r="3983" spans="1:12" x14ac:dyDescent="0.25">
      <c r="A3983" t="str">
        <f t="shared" si="874"/>
        <v>89301000</v>
      </c>
      <c r="B3983" t="str">
        <f t="shared" si="870"/>
        <v>06539000</v>
      </c>
      <c r="C3983" t="str">
        <f t="shared" si="871"/>
        <v>06539003</v>
      </c>
      <c r="D3983" t="str">
        <f t="shared" si="872"/>
        <v>813</v>
      </c>
      <c r="E3983" t="str">
        <f t="shared" si="864"/>
        <v>89301171</v>
      </c>
      <c r="F3983" t="str">
        <f t="shared" si="866"/>
        <v>7057025360</v>
      </c>
      <c r="G3983" s="1">
        <v>44652</v>
      </c>
      <c r="H3983" t="str">
        <f>"91129"</f>
        <v>91129</v>
      </c>
      <c r="I3983">
        <v>1</v>
      </c>
      <c r="J3983">
        <v>174</v>
      </c>
      <c r="K3983">
        <v>0</v>
      </c>
      <c r="L3983">
        <v>135.72</v>
      </c>
    </row>
    <row r="3984" spans="1:12" x14ac:dyDescent="0.25">
      <c r="A3984" t="str">
        <f t="shared" si="874"/>
        <v>89301000</v>
      </c>
      <c r="B3984" t="str">
        <f t="shared" si="870"/>
        <v>06539000</v>
      </c>
      <c r="C3984" t="str">
        <f t="shared" si="871"/>
        <v>06539003</v>
      </c>
      <c r="D3984" t="str">
        <f t="shared" si="872"/>
        <v>813</v>
      </c>
      <c r="E3984" t="str">
        <f t="shared" si="864"/>
        <v>89301171</v>
      </c>
      <c r="F3984" t="str">
        <f t="shared" si="866"/>
        <v>7057025360</v>
      </c>
      <c r="G3984" s="1">
        <v>44652</v>
      </c>
      <c r="H3984" t="str">
        <f>"91131"</f>
        <v>91131</v>
      </c>
      <c r="I3984">
        <v>1</v>
      </c>
      <c r="J3984">
        <v>171</v>
      </c>
      <c r="K3984">
        <v>0</v>
      </c>
      <c r="L3984">
        <v>133.38</v>
      </c>
    </row>
    <row r="3985" spans="1:12" x14ac:dyDescent="0.25">
      <c r="A3985" t="str">
        <f t="shared" si="874"/>
        <v>89301000</v>
      </c>
      <c r="B3985" t="str">
        <f t="shared" si="870"/>
        <v>06539000</v>
      </c>
      <c r="C3985" t="str">
        <f t="shared" si="871"/>
        <v>06539003</v>
      </c>
      <c r="D3985" t="str">
        <f t="shared" si="872"/>
        <v>813</v>
      </c>
      <c r="E3985" t="str">
        <f t="shared" si="864"/>
        <v>89301171</v>
      </c>
      <c r="F3985" t="str">
        <f t="shared" si="866"/>
        <v>7057025360</v>
      </c>
      <c r="G3985" s="1">
        <v>44652</v>
      </c>
      <c r="H3985" t="str">
        <f>"91133"</f>
        <v>91133</v>
      </c>
      <c r="I3985">
        <v>1</v>
      </c>
      <c r="J3985">
        <v>176</v>
      </c>
      <c r="K3985">
        <v>0</v>
      </c>
      <c r="L3985">
        <v>137.28</v>
      </c>
    </row>
    <row r="3986" spans="1:12" x14ac:dyDescent="0.25">
      <c r="A3986" t="str">
        <f t="shared" si="874"/>
        <v>89301000</v>
      </c>
      <c r="B3986" t="str">
        <f t="shared" si="870"/>
        <v>06539000</v>
      </c>
      <c r="C3986" t="str">
        <f t="shared" si="871"/>
        <v>06539003</v>
      </c>
      <c r="D3986" t="str">
        <f t="shared" si="872"/>
        <v>813</v>
      </c>
      <c r="E3986" t="str">
        <f t="shared" si="864"/>
        <v>89301171</v>
      </c>
      <c r="F3986" t="str">
        <f t="shared" si="866"/>
        <v>7057025360</v>
      </c>
      <c r="G3986" s="1">
        <v>44652</v>
      </c>
      <c r="H3986" t="str">
        <f>"91171"</f>
        <v>91171</v>
      </c>
      <c r="I3986">
        <v>1</v>
      </c>
      <c r="J3986">
        <v>360</v>
      </c>
      <c r="K3986">
        <v>0</v>
      </c>
      <c r="L3986">
        <v>280.8</v>
      </c>
    </row>
    <row r="3987" spans="1:12" x14ac:dyDescent="0.25">
      <c r="A3987" t="str">
        <f t="shared" si="874"/>
        <v>89301000</v>
      </c>
      <c r="B3987" t="str">
        <f t="shared" si="870"/>
        <v>06539000</v>
      </c>
      <c r="C3987" t="str">
        <f t="shared" si="871"/>
        <v>06539003</v>
      </c>
      <c r="D3987" t="str">
        <f t="shared" si="872"/>
        <v>813</v>
      </c>
      <c r="E3987" t="str">
        <f t="shared" si="864"/>
        <v>89301171</v>
      </c>
      <c r="F3987" t="str">
        <f t="shared" si="866"/>
        <v>7057025360</v>
      </c>
      <c r="G3987" s="1">
        <v>44652</v>
      </c>
      <c r="H3987" t="str">
        <f>"91173"</f>
        <v>91173</v>
      </c>
      <c r="I3987">
        <v>1</v>
      </c>
      <c r="J3987">
        <v>335</v>
      </c>
      <c r="K3987">
        <v>0</v>
      </c>
      <c r="L3987">
        <v>261.3</v>
      </c>
    </row>
    <row r="3988" spans="1:12" x14ac:dyDescent="0.25">
      <c r="A3988" t="str">
        <f t="shared" si="874"/>
        <v>89301000</v>
      </c>
      <c r="B3988" t="str">
        <f t="shared" si="870"/>
        <v>06539000</v>
      </c>
      <c r="C3988" t="str">
        <f t="shared" si="871"/>
        <v>06539003</v>
      </c>
      <c r="D3988" t="str">
        <f t="shared" si="872"/>
        <v>813</v>
      </c>
      <c r="E3988" t="str">
        <f t="shared" si="864"/>
        <v>89301171</v>
      </c>
      <c r="F3988" t="str">
        <f t="shared" si="866"/>
        <v>7057025360</v>
      </c>
      <c r="G3988" s="1">
        <v>44652</v>
      </c>
      <c r="H3988" t="str">
        <f>"91175"</f>
        <v>91175</v>
      </c>
      <c r="I3988">
        <v>1</v>
      </c>
      <c r="J3988">
        <v>360</v>
      </c>
      <c r="K3988">
        <v>0</v>
      </c>
      <c r="L3988">
        <v>280.8</v>
      </c>
    </row>
    <row r="3989" spans="1:12" x14ac:dyDescent="0.25">
      <c r="A3989" t="str">
        <f t="shared" si="874"/>
        <v>89301000</v>
      </c>
      <c r="B3989" t="str">
        <f t="shared" si="870"/>
        <v>06539000</v>
      </c>
      <c r="C3989" t="str">
        <f t="shared" si="871"/>
        <v>06539003</v>
      </c>
      <c r="D3989" t="str">
        <f t="shared" si="872"/>
        <v>813</v>
      </c>
      <c r="E3989" t="str">
        <f t="shared" si="864"/>
        <v>89301171</v>
      </c>
      <c r="F3989" t="str">
        <f t="shared" si="866"/>
        <v>7057025360</v>
      </c>
      <c r="G3989" s="1">
        <v>44653</v>
      </c>
      <c r="H3989" t="str">
        <f>"91167"</f>
        <v>91167</v>
      </c>
      <c r="I3989">
        <v>1</v>
      </c>
      <c r="J3989">
        <v>425</v>
      </c>
      <c r="K3989">
        <v>0</v>
      </c>
      <c r="L3989">
        <v>331.5</v>
      </c>
    </row>
    <row r="3990" spans="1:12" x14ac:dyDescent="0.25">
      <c r="A3990" t="str">
        <f t="shared" si="874"/>
        <v>89301000</v>
      </c>
      <c r="B3990" t="str">
        <f t="shared" si="870"/>
        <v>06539000</v>
      </c>
      <c r="C3990" t="str">
        <f t="shared" si="871"/>
        <v>06539003</v>
      </c>
      <c r="D3990" t="str">
        <f t="shared" si="872"/>
        <v>813</v>
      </c>
      <c r="E3990" t="str">
        <f t="shared" si="864"/>
        <v>89301171</v>
      </c>
      <c r="F3990" t="str">
        <f t="shared" si="866"/>
        <v>7057025360</v>
      </c>
      <c r="G3990" s="1">
        <v>44653</v>
      </c>
      <c r="H3990" t="str">
        <f>"91169"</f>
        <v>91169</v>
      </c>
      <c r="I3990">
        <v>1</v>
      </c>
      <c r="J3990">
        <v>425</v>
      </c>
      <c r="K3990">
        <v>0</v>
      </c>
      <c r="L3990">
        <v>331.5</v>
      </c>
    </row>
    <row r="3991" spans="1:12" x14ac:dyDescent="0.25">
      <c r="A3991" t="str">
        <f t="shared" si="874"/>
        <v>89301000</v>
      </c>
      <c r="B3991" t="str">
        <f t="shared" si="870"/>
        <v>06539000</v>
      </c>
      <c r="C3991" t="str">
        <f t="shared" si="871"/>
        <v>06539003</v>
      </c>
      <c r="D3991" t="str">
        <f t="shared" si="872"/>
        <v>813</v>
      </c>
      <c r="E3991" t="str">
        <f t="shared" si="864"/>
        <v>89301171</v>
      </c>
      <c r="F3991" t="str">
        <f t="shared" si="866"/>
        <v>7057025360</v>
      </c>
      <c r="G3991" s="1">
        <v>44652</v>
      </c>
      <c r="H3991" t="str">
        <f>"91167"</f>
        <v>91167</v>
      </c>
      <c r="I3991">
        <v>1</v>
      </c>
      <c r="J3991">
        <v>425</v>
      </c>
      <c r="K3991">
        <v>0</v>
      </c>
      <c r="L3991">
        <v>331.5</v>
      </c>
    </row>
    <row r="3992" spans="1:12" x14ac:dyDescent="0.25">
      <c r="A3992" t="str">
        <f t="shared" si="874"/>
        <v>89301000</v>
      </c>
      <c r="B3992" t="str">
        <f t="shared" si="870"/>
        <v>06539000</v>
      </c>
      <c r="C3992" t="str">
        <f t="shared" si="871"/>
        <v>06539003</v>
      </c>
      <c r="D3992" t="str">
        <f t="shared" si="872"/>
        <v>813</v>
      </c>
      <c r="E3992" t="str">
        <f t="shared" si="864"/>
        <v>89301171</v>
      </c>
      <c r="F3992" t="str">
        <f t="shared" si="866"/>
        <v>7057025360</v>
      </c>
      <c r="G3992" s="1">
        <v>44652</v>
      </c>
      <c r="H3992" t="str">
        <f>"91169"</f>
        <v>91169</v>
      </c>
      <c r="I3992">
        <v>1</v>
      </c>
      <c r="J3992">
        <v>425</v>
      </c>
      <c r="K3992">
        <v>0</v>
      </c>
      <c r="L3992">
        <v>331.5</v>
      </c>
    </row>
    <row r="3993" spans="1:12" x14ac:dyDescent="0.25">
      <c r="A3993" t="str">
        <f t="shared" si="874"/>
        <v>89301000</v>
      </c>
      <c r="B3993" t="str">
        <f t="shared" si="870"/>
        <v>06539000</v>
      </c>
      <c r="C3993" t="str">
        <f t="shared" si="871"/>
        <v>06539003</v>
      </c>
      <c r="D3993" t="str">
        <f t="shared" si="872"/>
        <v>813</v>
      </c>
      <c r="E3993" t="str">
        <f t="shared" si="864"/>
        <v>89301171</v>
      </c>
      <c r="F3993" t="str">
        <f t="shared" si="866"/>
        <v>7057025360</v>
      </c>
      <c r="G3993" s="1">
        <v>44652</v>
      </c>
      <c r="H3993" t="str">
        <f>"91475"</f>
        <v>91475</v>
      </c>
      <c r="I3993">
        <v>1</v>
      </c>
      <c r="J3993">
        <v>206</v>
      </c>
      <c r="K3993">
        <v>0</v>
      </c>
      <c r="L3993">
        <v>160.68</v>
      </c>
    </row>
    <row r="3994" spans="1:12" x14ac:dyDescent="0.25">
      <c r="A3994" t="str">
        <f t="shared" si="874"/>
        <v>89301000</v>
      </c>
      <c r="B3994" t="str">
        <f t="shared" si="870"/>
        <v>06539000</v>
      </c>
      <c r="C3994" t="str">
        <f>"06539001"</f>
        <v>06539001</v>
      </c>
      <c r="D3994" t="str">
        <f>"801"</f>
        <v>801</v>
      </c>
      <c r="E3994" t="str">
        <f t="shared" ref="E3994:E4057" si="876">"89301171"</f>
        <v>89301171</v>
      </c>
      <c r="F3994" t="str">
        <f t="shared" ref="F3994:F4034" si="877">"8009055340"</f>
        <v>8009055340</v>
      </c>
      <c r="G3994" s="1">
        <v>44652</v>
      </c>
      <c r="H3994" t="str">
        <f>"81329"</f>
        <v>81329</v>
      </c>
      <c r="I3994">
        <v>1</v>
      </c>
      <c r="J3994">
        <v>16</v>
      </c>
      <c r="K3994">
        <v>0</v>
      </c>
      <c r="L3994">
        <v>12.48</v>
      </c>
    </row>
    <row r="3995" spans="1:12" x14ac:dyDescent="0.25">
      <c r="A3995" t="str">
        <f t="shared" si="874"/>
        <v>89301000</v>
      </c>
      <c r="B3995" t="str">
        <f t="shared" si="870"/>
        <v>06539000</v>
      </c>
      <c r="C3995" t="str">
        <f>"06539001"</f>
        <v>06539001</v>
      </c>
      <c r="D3995" t="str">
        <f>"801"</f>
        <v>801</v>
      </c>
      <c r="E3995" t="str">
        <f t="shared" si="876"/>
        <v>89301171</v>
      </c>
      <c r="F3995" t="str">
        <f t="shared" si="877"/>
        <v>8009055340</v>
      </c>
      <c r="G3995" s="1">
        <v>44652</v>
      </c>
      <c r="H3995" t="str">
        <f>"81331"</f>
        <v>81331</v>
      </c>
      <c r="I3995">
        <v>1</v>
      </c>
      <c r="J3995">
        <v>193</v>
      </c>
      <c r="K3995">
        <v>0</v>
      </c>
      <c r="L3995">
        <v>150.54</v>
      </c>
    </row>
    <row r="3996" spans="1:12" x14ac:dyDescent="0.25">
      <c r="A3996" t="str">
        <f t="shared" si="874"/>
        <v>89301000</v>
      </c>
      <c r="B3996" t="str">
        <f t="shared" si="870"/>
        <v>06539000</v>
      </c>
      <c r="C3996" t="str">
        <f t="shared" ref="C3996:C4003" si="878">"06539002"</f>
        <v>06539002</v>
      </c>
      <c r="D3996" t="str">
        <f t="shared" ref="D3996:D4003" si="879">"802"</f>
        <v>802</v>
      </c>
      <c r="E3996" t="str">
        <f t="shared" si="876"/>
        <v>89301171</v>
      </c>
      <c r="F3996" t="str">
        <f t="shared" si="877"/>
        <v>8009055340</v>
      </c>
      <c r="G3996" s="1">
        <v>44652</v>
      </c>
      <c r="H3996" t="str">
        <f t="shared" ref="H3996:H4003" si="880">"82097"</f>
        <v>82097</v>
      </c>
      <c r="I3996">
        <v>1</v>
      </c>
      <c r="J3996">
        <v>380</v>
      </c>
      <c r="K3996">
        <v>0</v>
      </c>
      <c r="L3996">
        <v>345.8</v>
      </c>
    </row>
    <row r="3997" spans="1:12" x14ac:dyDescent="0.25">
      <c r="A3997" t="str">
        <f t="shared" si="874"/>
        <v>89301000</v>
      </c>
      <c r="B3997" t="str">
        <f t="shared" si="870"/>
        <v>06539000</v>
      </c>
      <c r="C3997" t="str">
        <f t="shared" si="878"/>
        <v>06539002</v>
      </c>
      <c r="D3997" t="str">
        <f t="shared" si="879"/>
        <v>802</v>
      </c>
      <c r="E3997" t="str">
        <f t="shared" si="876"/>
        <v>89301171</v>
      </c>
      <c r="F3997" t="str">
        <f t="shared" si="877"/>
        <v>8009055340</v>
      </c>
      <c r="G3997" s="1">
        <v>44652</v>
      </c>
      <c r="H3997" t="str">
        <f t="shared" si="880"/>
        <v>82097</v>
      </c>
      <c r="I3997">
        <v>1</v>
      </c>
      <c r="J3997">
        <v>380</v>
      </c>
      <c r="K3997">
        <v>0</v>
      </c>
      <c r="L3997">
        <v>345.8</v>
      </c>
    </row>
    <row r="3998" spans="1:12" x14ac:dyDescent="0.25">
      <c r="A3998" t="str">
        <f t="shared" si="874"/>
        <v>89301000</v>
      </c>
      <c r="B3998" t="str">
        <f t="shared" si="870"/>
        <v>06539000</v>
      </c>
      <c r="C3998" t="str">
        <f t="shared" si="878"/>
        <v>06539002</v>
      </c>
      <c r="D3998" t="str">
        <f t="shared" si="879"/>
        <v>802</v>
      </c>
      <c r="E3998" t="str">
        <f t="shared" si="876"/>
        <v>89301171</v>
      </c>
      <c r="F3998" t="str">
        <f t="shared" si="877"/>
        <v>8009055340</v>
      </c>
      <c r="G3998" s="1">
        <v>44652</v>
      </c>
      <c r="H3998" t="str">
        <f t="shared" si="880"/>
        <v>82097</v>
      </c>
      <c r="I3998">
        <v>1</v>
      </c>
      <c r="J3998">
        <v>380</v>
      </c>
      <c r="K3998">
        <v>0</v>
      </c>
      <c r="L3998">
        <v>345.8</v>
      </c>
    </row>
    <row r="3999" spans="1:12" x14ac:dyDescent="0.25">
      <c r="A3999" t="str">
        <f t="shared" si="874"/>
        <v>89301000</v>
      </c>
      <c r="B3999" t="str">
        <f t="shared" si="870"/>
        <v>06539000</v>
      </c>
      <c r="C3999" t="str">
        <f t="shared" si="878"/>
        <v>06539002</v>
      </c>
      <c r="D3999" t="str">
        <f t="shared" si="879"/>
        <v>802</v>
      </c>
      <c r="E3999" t="str">
        <f t="shared" si="876"/>
        <v>89301171</v>
      </c>
      <c r="F3999" t="str">
        <f t="shared" si="877"/>
        <v>8009055340</v>
      </c>
      <c r="G3999" s="1">
        <v>44652</v>
      </c>
      <c r="H3999" t="str">
        <f t="shared" si="880"/>
        <v>82097</v>
      </c>
      <c r="I3999">
        <v>1</v>
      </c>
      <c r="J3999">
        <v>380</v>
      </c>
      <c r="K3999">
        <v>0</v>
      </c>
      <c r="L3999">
        <v>345.8</v>
      </c>
    </row>
    <row r="4000" spans="1:12" x14ac:dyDescent="0.25">
      <c r="A4000" t="str">
        <f t="shared" si="874"/>
        <v>89301000</v>
      </c>
      <c r="B4000" t="str">
        <f t="shared" si="870"/>
        <v>06539000</v>
      </c>
      <c r="C4000" t="str">
        <f t="shared" si="878"/>
        <v>06539002</v>
      </c>
      <c r="D4000" t="str">
        <f t="shared" si="879"/>
        <v>802</v>
      </c>
      <c r="E4000" t="str">
        <f t="shared" si="876"/>
        <v>89301171</v>
      </c>
      <c r="F4000" t="str">
        <f t="shared" si="877"/>
        <v>8009055340</v>
      </c>
      <c r="G4000" s="1">
        <v>44652</v>
      </c>
      <c r="H4000" t="str">
        <f t="shared" si="880"/>
        <v>82097</v>
      </c>
      <c r="I4000">
        <v>1</v>
      </c>
      <c r="J4000">
        <v>380</v>
      </c>
      <c r="K4000">
        <v>0</v>
      </c>
      <c r="L4000">
        <v>345.8</v>
      </c>
    </row>
    <row r="4001" spans="1:12" x14ac:dyDescent="0.25">
      <c r="A4001" t="str">
        <f t="shared" si="874"/>
        <v>89301000</v>
      </c>
      <c r="B4001" t="str">
        <f t="shared" si="870"/>
        <v>06539000</v>
      </c>
      <c r="C4001" t="str">
        <f t="shared" si="878"/>
        <v>06539002</v>
      </c>
      <c r="D4001" t="str">
        <f t="shared" si="879"/>
        <v>802</v>
      </c>
      <c r="E4001" t="str">
        <f t="shared" si="876"/>
        <v>89301171</v>
      </c>
      <c r="F4001" t="str">
        <f t="shared" si="877"/>
        <v>8009055340</v>
      </c>
      <c r="G4001" s="1">
        <v>44652</v>
      </c>
      <c r="H4001" t="str">
        <f t="shared" si="880"/>
        <v>82097</v>
      </c>
      <c r="I4001">
        <v>1</v>
      </c>
      <c r="J4001">
        <v>380</v>
      </c>
      <c r="K4001">
        <v>0</v>
      </c>
      <c r="L4001">
        <v>345.8</v>
      </c>
    </row>
    <row r="4002" spans="1:12" x14ac:dyDescent="0.25">
      <c r="A4002" t="str">
        <f t="shared" si="874"/>
        <v>89301000</v>
      </c>
      <c r="B4002" t="str">
        <f t="shared" si="870"/>
        <v>06539000</v>
      </c>
      <c r="C4002" t="str">
        <f t="shared" si="878"/>
        <v>06539002</v>
      </c>
      <c r="D4002" t="str">
        <f t="shared" si="879"/>
        <v>802</v>
      </c>
      <c r="E4002" t="str">
        <f t="shared" si="876"/>
        <v>89301171</v>
      </c>
      <c r="F4002" t="str">
        <f t="shared" si="877"/>
        <v>8009055340</v>
      </c>
      <c r="G4002" s="1">
        <v>44652</v>
      </c>
      <c r="H4002" t="str">
        <f t="shared" si="880"/>
        <v>82097</v>
      </c>
      <c r="I4002">
        <v>1</v>
      </c>
      <c r="J4002">
        <v>380</v>
      </c>
      <c r="K4002">
        <v>0</v>
      </c>
      <c r="L4002">
        <v>345.8</v>
      </c>
    </row>
    <row r="4003" spans="1:12" x14ac:dyDescent="0.25">
      <c r="A4003" t="str">
        <f t="shared" si="874"/>
        <v>89301000</v>
      </c>
      <c r="B4003" t="str">
        <f t="shared" si="870"/>
        <v>06539000</v>
      </c>
      <c r="C4003" t="str">
        <f t="shared" si="878"/>
        <v>06539002</v>
      </c>
      <c r="D4003" t="str">
        <f t="shared" si="879"/>
        <v>802</v>
      </c>
      <c r="E4003" t="str">
        <f t="shared" si="876"/>
        <v>89301171</v>
      </c>
      <c r="F4003" t="str">
        <f t="shared" si="877"/>
        <v>8009055340</v>
      </c>
      <c r="G4003" s="1">
        <v>44652</v>
      </c>
      <c r="H4003" t="str">
        <f t="shared" si="880"/>
        <v>82097</v>
      </c>
      <c r="I4003">
        <v>1</v>
      </c>
      <c r="J4003">
        <v>380</v>
      </c>
      <c r="K4003">
        <v>0</v>
      </c>
      <c r="L4003">
        <v>345.8</v>
      </c>
    </row>
    <row r="4004" spans="1:12" x14ac:dyDescent="0.25">
      <c r="A4004" t="str">
        <f t="shared" si="874"/>
        <v>89301000</v>
      </c>
      <c r="B4004" t="str">
        <f t="shared" si="870"/>
        <v>06539000</v>
      </c>
      <c r="C4004" t="str">
        <f t="shared" ref="C4004:C4034" si="881">"06539003"</f>
        <v>06539003</v>
      </c>
      <c r="D4004" t="str">
        <f t="shared" ref="D4004:D4034" si="882">"813"</f>
        <v>813</v>
      </c>
      <c r="E4004" t="str">
        <f t="shared" si="876"/>
        <v>89301171</v>
      </c>
      <c r="F4004" t="str">
        <f t="shared" si="877"/>
        <v>8009055340</v>
      </c>
      <c r="G4004" s="1">
        <v>44655</v>
      </c>
      <c r="H4004" t="str">
        <f>"91439"</f>
        <v>91439</v>
      </c>
      <c r="I4004">
        <v>1</v>
      </c>
      <c r="J4004">
        <v>356</v>
      </c>
      <c r="K4004">
        <v>0</v>
      </c>
      <c r="L4004">
        <v>277.68</v>
      </c>
    </row>
    <row r="4005" spans="1:12" x14ac:dyDescent="0.25">
      <c r="A4005" t="str">
        <f t="shared" si="874"/>
        <v>89301000</v>
      </c>
      <c r="B4005" t="str">
        <f t="shared" si="870"/>
        <v>06539000</v>
      </c>
      <c r="C4005" t="str">
        <f t="shared" si="881"/>
        <v>06539003</v>
      </c>
      <c r="D4005" t="str">
        <f t="shared" si="882"/>
        <v>813</v>
      </c>
      <c r="E4005" t="str">
        <f t="shared" si="876"/>
        <v>89301171</v>
      </c>
      <c r="F4005" t="str">
        <f t="shared" si="877"/>
        <v>8009055340</v>
      </c>
      <c r="G4005" s="1">
        <v>44655</v>
      </c>
      <c r="H4005" t="str">
        <f>"91439"</f>
        <v>91439</v>
      </c>
      <c r="I4005">
        <v>1</v>
      </c>
      <c r="J4005">
        <v>356</v>
      </c>
      <c r="K4005">
        <v>0</v>
      </c>
      <c r="L4005">
        <v>277.68</v>
      </c>
    </row>
    <row r="4006" spans="1:12" x14ac:dyDescent="0.25">
      <c r="A4006" t="str">
        <f t="shared" si="874"/>
        <v>89301000</v>
      </c>
      <c r="B4006" t="str">
        <f t="shared" si="870"/>
        <v>06539000</v>
      </c>
      <c r="C4006" t="str">
        <f t="shared" si="881"/>
        <v>06539003</v>
      </c>
      <c r="D4006" t="str">
        <f t="shared" si="882"/>
        <v>813</v>
      </c>
      <c r="E4006" t="str">
        <f t="shared" si="876"/>
        <v>89301171</v>
      </c>
      <c r="F4006" t="str">
        <f t="shared" si="877"/>
        <v>8009055340</v>
      </c>
      <c r="G4006" s="1">
        <v>44655</v>
      </c>
      <c r="H4006" t="str">
        <f>"91439"</f>
        <v>91439</v>
      </c>
      <c r="I4006">
        <v>1</v>
      </c>
      <c r="J4006">
        <v>356</v>
      </c>
      <c r="K4006">
        <v>0</v>
      </c>
      <c r="L4006">
        <v>277.68</v>
      </c>
    </row>
    <row r="4007" spans="1:12" x14ac:dyDescent="0.25">
      <c r="A4007" t="str">
        <f t="shared" si="874"/>
        <v>89301000</v>
      </c>
      <c r="B4007" t="str">
        <f t="shared" si="870"/>
        <v>06539000</v>
      </c>
      <c r="C4007" t="str">
        <f t="shared" si="881"/>
        <v>06539003</v>
      </c>
      <c r="D4007" t="str">
        <f t="shared" si="882"/>
        <v>813</v>
      </c>
      <c r="E4007" t="str">
        <f t="shared" si="876"/>
        <v>89301171</v>
      </c>
      <c r="F4007" t="str">
        <f t="shared" si="877"/>
        <v>8009055340</v>
      </c>
      <c r="G4007" s="1">
        <v>44655</v>
      </c>
      <c r="H4007" t="str">
        <f>"91439"</f>
        <v>91439</v>
      </c>
      <c r="I4007">
        <v>1</v>
      </c>
      <c r="J4007">
        <v>356</v>
      </c>
      <c r="K4007">
        <v>0</v>
      </c>
      <c r="L4007">
        <v>277.68</v>
      </c>
    </row>
    <row r="4008" spans="1:12" x14ac:dyDescent="0.25">
      <c r="A4008" t="str">
        <f t="shared" si="874"/>
        <v>89301000</v>
      </c>
      <c r="B4008" t="str">
        <f t="shared" si="870"/>
        <v>06539000</v>
      </c>
      <c r="C4008" t="str">
        <f t="shared" si="881"/>
        <v>06539003</v>
      </c>
      <c r="D4008" t="str">
        <f t="shared" si="882"/>
        <v>813</v>
      </c>
      <c r="E4008" t="str">
        <f t="shared" si="876"/>
        <v>89301171</v>
      </c>
      <c r="F4008" t="str">
        <f t="shared" si="877"/>
        <v>8009055340</v>
      </c>
      <c r="G4008" s="1">
        <v>44655</v>
      </c>
      <c r="H4008" t="str">
        <f>"91439"</f>
        <v>91439</v>
      </c>
      <c r="I4008">
        <v>2</v>
      </c>
      <c r="J4008">
        <v>712</v>
      </c>
      <c r="K4008">
        <v>0</v>
      </c>
      <c r="L4008">
        <v>555.36</v>
      </c>
    </row>
    <row r="4009" spans="1:12" x14ac:dyDescent="0.25">
      <c r="A4009" t="str">
        <f t="shared" si="874"/>
        <v>89301000</v>
      </c>
      <c r="B4009" t="str">
        <f t="shared" si="870"/>
        <v>06539000</v>
      </c>
      <c r="C4009" t="str">
        <f t="shared" si="881"/>
        <v>06539003</v>
      </c>
      <c r="D4009" t="str">
        <f t="shared" si="882"/>
        <v>813</v>
      </c>
      <c r="E4009" t="str">
        <f t="shared" si="876"/>
        <v>89301171</v>
      </c>
      <c r="F4009" t="str">
        <f t="shared" si="877"/>
        <v>8009055340</v>
      </c>
      <c r="G4009" s="1">
        <v>44657</v>
      </c>
      <c r="H4009" t="str">
        <f t="shared" ref="H4009:H4018" si="883">"91413"</f>
        <v>91413</v>
      </c>
      <c r="I4009">
        <v>1</v>
      </c>
      <c r="J4009">
        <v>853</v>
      </c>
      <c r="K4009">
        <v>0</v>
      </c>
      <c r="L4009">
        <v>665.34</v>
      </c>
    </row>
    <row r="4010" spans="1:12" x14ac:dyDescent="0.25">
      <c r="A4010" t="str">
        <f t="shared" si="874"/>
        <v>89301000</v>
      </c>
      <c r="B4010" t="str">
        <f t="shared" si="870"/>
        <v>06539000</v>
      </c>
      <c r="C4010" t="str">
        <f t="shared" si="881"/>
        <v>06539003</v>
      </c>
      <c r="D4010" t="str">
        <f t="shared" si="882"/>
        <v>813</v>
      </c>
      <c r="E4010" t="str">
        <f t="shared" si="876"/>
        <v>89301171</v>
      </c>
      <c r="F4010" t="str">
        <f t="shared" si="877"/>
        <v>8009055340</v>
      </c>
      <c r="G4010" s="1">
        <v>44657</v>
      </c>
      <c r="H4010" t="str">
        <f t="shared" si="883"/>
        <v>91413</v>
      </c>
      <c r="I4010">
        <v>1</v>
      </c>
      <c r="J4010">
        <v>853</v>
      </c>
      <c r="K4010">
        <v>0</v>
      </c>
      <c r="L4010">
        <v>665.34</v>
      </c>
    </row>
    <row r="4011" spans="1:12" x14ac:dyDescent="0.25">
      <c r="A4011" t="str">
        <f t="shared" si="874"/>
        <v>89301000</v>
      </c>
      <c r="B4011" t="str">
        <f t="shared" si="870"/>
        <v>06539000</v>
      </c>
      <c r="C4011" t="str">
        <f t="shared" si="881"/>
        <v>06539003</v>
      </c>
      <c r="D4011" t="str">
        <f t="shared" si="882"/>
        <v>813</v>
      </c>
      <c r="E4011" t="str">
        <f t="shared" si="876"/>
        <v>89301171</v>
      </c>
      <c r="F4011" t="str">
        <f t="shared" si="877"/>
        <v>8009055340</v>
      </c>
      <c r="G4011" s="1">
        <v>44671</v>
      </c>
      <c r="H4011" t="str">
        <f t="shared" si="883"/>
        <v>91413</v>
      </c>
      <c r="I4011">
        <v>1</v>
      </c>
      <c r="J4011">
        <v>853</v>
      </c>
      <c r="K4011">
        <v>0</v>
      </c>
      <c r="L4011">
        <v>665.34</v>
      </c>
    </row>
    <row r="4012" spans="1:12" x14ac:dyDescent="0.25">
      <c r="A4012" t="str">
        <f t="shared" si="874"/>
        <v>89301000</v>
      </c>
      <c r="B4012" t="str">
        <f t="shared" si="870"/>
        <v>06539000</v>
      </c>
      <c r="C4012" t="str">
        <f t="shared" si="881"/>
        <v>06539003</v>
      </c>
      <c r="D4012" t="str">
        <f t="shared" si="882"/>
        <v>813</v>
      </c>
      <c r="E4012" t="str">
        <f t="shared" si="876"/>
        <v>89301171</v>
      </c>
      <c r="F4012" t="str">
        <f t="shared" si="877"/>
        <v>8009055340</v>
      </c>
      <c r="G4012" s="1">
        <v>44671</v>
      </c>
      <c r="H4012" t="str">
        <f t="shared" si="883"/>
        <v>91413</v>
      </c>
      <c r="I4012">
        <v>1</v>
      </c>
      <c r="J4012">
        <v>853</v>
      </c>
      <c r="K4012">
        <v>0</v>
      </c>
      <c r="L4012">
        <v>665.34</v>
      </c>
    </row>
    <row r="4013" spans="1:12" x14ac:dyDescent="0.25">
      <c r="A4013" t="str">
        <f t="shared" si="874"/>
        <v>89301000</v>
      </c>
      <c r="B4013" t="str">
        <f t="shared" si="870"/>
        <v>06539000</v>
      </c>
      <c r="C4013" t="str">
        <f t="shared" si="881"/>
        <v>06539003</v>
      </c>
      <c r="D4013" t="str">
        <f t="shared" si="882"/>
        <v>813</v>
      </c>
      <c r="E4013" t="str">
        <f t="shared" si="876"/>
        <v>89301171</v>
      </c>
      <c r="F4013" t="str">
        <f t="shared" si="877"/>
        <v>8009055340</v>
      </c>
      <c r="G4013" s="1">
        <v>44671</v>
      </c>
      <c r="H4013" t="str">
        <f t="shared" si="883"/>
        <v>91413</v>
      </c>
      <c r="I4013">
        <v>1</v>
      </c>
      <c r="J4013">
        <v>853</v>
      </c>
      <c r="K4013">
        <v>0</v>
      </c>
      <c r="L4013">
        <v>665.34</v>
      </c>
    </row>
    <row r="4014" spans="1:12" x14ac:dyDescent="0.25">
      <c r="A4014" t="str">
        <f t="shared" si="874"/>
        <v>89301000</v>
      </c>
      <c r="B4014" t="str">
        <f t="shared" si="870"/>
        <v>06539000</v>
      </c>
      <c r="C4014" t="str">
        <f t="shared" si="881"/>
        <v>06539003</v>
      </c>
      <c r="D4014" t="str">
        <f t="shared" si="882"/>
        <v>813</v>
      </c>
      <c r="E4014" t="str">
        <f t="shared" si="876"/>
        <v>89301171</v>
      </c>
      <c r="F4014" t="str">
        <f t="shared" si="877"/>
        <v>8009055340</v>
      </c>
      <c r="G4014" s="1">
        <v>44671</v>
      </c>
      <c r="H4014" t="str">
        <f t="shared" si="883"/>
        <v>91413</v>
      </c>
      <c r="I4014">
        <v>1</v>
      </c>
      <c r="J4014">
        <v>853</v>
      </c>
      <c r="K4014">
        <v>0</v>
      </c>
      <c r="L4014">
        <v>665.34</v>
      </c>
    </row>
    <row r="4015" spans="1:12" x14ac:dyDescent="0.25">
      <c r="A4015" t="str">
        <f t="shared" si="874"/>
        <v>89301000</v>
      </c>
      <c r="B4015" t="str">
        <f t="shared" si="870"/>
        <v>06539000</v>
      </c>
      <c r="C4015" t="str">
        <f t="shared" si="881"/>
        <v>06539003</v>
      </c>
      <c r="D4015" t="str">
        <f t="shared" si="882"/>
        <v>813</v>
      </c>
      <c r="E4015" t="str">
        <f t="shared" si="876"/>
        <v>89301171</v>
      </c>
      <c r="F4015" t="str">
        <f t="shared" si="877"/>
        <v>8009055340</v>
      </c>
      <c r="G4015" s="1">
        <v>44671</v>
      </c>
      <c r="H4015" t="str">
        <f t="shared" si="883"/>
        <v>91413</v>
      </c>
      <c r="I4015">
        <v>1</v>
      </c>
      <c r="J4015">
        <v>853</v>
      </c>
      <c r="K4015">
        <v>0</v>
      </c>
      <c r="L4015">
        <v>665.34</v>
      </c>
    </row>
    <row r="4016" spans="1:12" x14ac:dyDescent="0.25">
      <c r="A4016" t="str">
        <f t="shared" si="874"/>
        <v>89301000</v>
      </c>
      <c r="B4016" t="str">
        <f t="shared" si="870"/>
        <v>06539000</v>
      </c>
      <c r="C4016" t="str">
        <f t="shared" si="881"/>
        <v>06539003</v>
      </c>
      <c r="D4016" t="str">
        <f t="shared" si="882"/>
        <v>813</v>
      </c>
      <c r="E4016" t="str">
        <f t="shared" si="876"/>
        <v>89301171</v>
      </c>
      <c r="F4016" t="str">
        <f t="shared" si="877"/>
        <v>8009055340</v>
      </c>
      <c r="G4016" s="1">
        <v>44671</v>
      </c>
      <c r="H4016" t="str">
        <f t="shared" si="883"/>
        <v>91413</v>
      </c>
      <c r="I4016">
        <v>1</v>
      </c>
      <c r="J4016">
        <v>853</v>
      </c>
      <c r="K4016">
        <v>0</v>
      </c>
      <c r="L4016">
        <v>665.34</v>
      </c>
    </row>
    <row r="4017" spans="1:12" x14ac:dyDescent="0.25">
      <c r="A4017" t="str">
        <f t="shared" si="874"/>
        <v>89301000</v>
      </c>
      <c r="B4017" t="str">
        <f t="shared" si="870"/>
        <v>06539000</v>
      </c>
      <c r="C4017" t="str">
        <f t="shared" si="881"/>
        <v>06539003</v>
      </c>
      <c r="D4017" t="str">
        <f t="shared" si="882"/>
        <v>813</v>
      </c>
      <c r="E4017" t="str">
        <f t="shared" si="876"/>
        <v>89301171</v>
      </c>
      <c r="F4017" t="str">
        <f t="shared" si="877"/>
        <v>8009055340</v>
      </c>
      <c r="G4017" s="1">
        <v>44671</v>
      </c>
      <c r="H4017" t="str">
        <f t="shared" si="883"/>
        <v>91413</v>
      </c>
      <c r="I4017">
        <v>1</v>
      </c>
      <c r="J4017">
        <v>853</v>
      </c>
      <c r="K4017">
        <v>0</v>
      </c>
      <c r="L4017">
        <v>665.34</v>
      </c>
    </row>
    <row r="4018" spans="1:12" x14ac:dyDescent="0.25">
      <c r="A4018" t="str">
        <f t="shared" si="874"/>
        <v>89301000</v>
      </c>
      <c r="B4018" t="str">
        <f t="shared" si="870"/>
        <v>06539000</v>
      </c>
      <c r="C4018" t="str">
        <f t="shared" si="881"/>
        <v>06539003</v>
      </c>
      <c r="D4018" t="str">
        <f t="shared" si="882"/>
        <v>813</v>
      </c>
      <c r="E4018" t="str">
        <f t="shared" si="876"/>
        <v>89301171</v>
      </c>
      <c r="F4018" t="str">
        <f t="shared" si="877"/>
        <v>8009055340</v>
      </c>
      <c r="G4018" s="1">
        <v>44671</v>
      </c>
      <c r="H4018" t="str">
        <f t="shared" si="883"/>
        <v>91413</v>
      </c>
      <c r="I4018">
        <v>1</v>
      </c>
      <c r="J4018">
        <v>853</v>
      </c>
      <c r="K4018">
        <v>0</v>
      </c>
      <c r="L4018">
        <v>665.34</v>
      </c>
    </row>
    <row r="4019" spans="1:12" x14ac:dyDescent="0.25">
      <c r="A4019" t="str">
        <f t="shared" si="874"/>
        <v>89301000</v>
      </c>
      <c r="B4019" t="str">
        <f t="shared" si="870"/>
        <v>06539000</v>
      </c>
      <c r="C4019" t="str">
        <f t="shared" si="881"/>
        <v>06539003</v>
      </c>
      <c r="D4019" t="str">
        <f t="shared" si="882"/>
        <v>813</v>
      </c>
      <c r="E4019" t="str">
        <f t="shared" si="876"/>
        <v>89301171</v>
      </c>
      <c r="F4019" t="str">
        <f t="shared" si="877"/>
        <v>8009055340</v>
      </c>
      <c r="G4019" s="1">
        <v>44652</v>
      </c>
      <c r="H4019" t="str">
        <f t="shared" ref="H4019:H4025" si="884">"91197"</f>
        <v>91197</v>
      </c>
      <c r="I4019">
        <v>1</v>
      </c>
      <c r="J4019">
        <v>1046</v>
      </c>
      <c r="K4019">
        <v>0</v>
      </c>
      <c r="L4019">
        <v>815.88</v>
      </c>
    </row>
    <row r="4020" spans="1:12" x14ac:dyDescent="0.25">
      <c r="A4020" t="str">
        <f t="shared" si="874"/>
        <v>89301000</v>
      </c>
      <c r="B4020" t="str">
        <f t="shared" ref="B4020:B4083" si="885">"06539000"</f>
        <v>06539000</v>
      </c>
      <c r="C4020" t="str">
        <f t="shared" si="881"/>
        <v>06539003</v>
      </c>
      <c r="D4020" t="str">
        <f t="shared" si="882"/>
        <v>813</v>
      </c>
      <c r="E4020" t="str">
        <f t="shared" si="876"/>
        <v>89301171</v>
      </c>
      <c r="F4020" t="str">
        <f t="shared" si="877"/>
        <v>8009055340</v>
      </c>
      <c r="G4020" s="1">
        <v>44655</v>
      </c>
      <c r="H4020" t="str">
        <f t="shared" si="884"/>
        <v>91197</v>
      </c>
      <c r="I4020">
        <v>1</v>
      </c>
      <c r="J4020">
        <v>1046</v>
      </c>
      <c r="K4020">
        <v>0</v>
      </c>
      <c r="L4020">
        <v>815.88</v>
      </c>
    </row>
    <row r="4021" spans="1:12" x14ac:dyDescent="0.25">
      <c r="A4021" t="str">
        <f t="shared" si="874"/>
        <v>89301000</v>
      </c>
      <c r="B4021" t="str">
        <f t="shared" si="885"/>
        <v>06539000</v>
      </c>
      <c r="C4021" t="str">
        <f t="shared" si="881"/>
        <v>06539003</v>
      </c>
      <c r="D4021" t="str">
        <f t="shared" si="882"/>
        <v>813</v>
      </c>
      <c r="E4021" t="str">
        <f t="shared" si="876"/>
        <v>89301171</v>
      </c>
      <c r="F4021" t="str">
        <f t="shared" si="877"/>
        <v>8009055340</v>
      </c>
      <c r="G4021" s="1">
        <v>44655</v>
      </c>
      <c r="H4021" t="str">
        <f t="shared" si="884"/>
        <v>91197</v>
      </c>
      <c r="I4021">
        <v>1</v>
      </c>
      <c r="J4021">
        <v>1046</v>
      </c>
      <c r="K4021">
        <v>0</v>
      </c>
      <c r="L4021">
        <v>815.88</v>
      </c>
    </row>
    <row r="4022" spans="1:12" x14ac:dyDescent="0.25">
      <c r="A4022" t="str">
        <f t="shared" si="874"/>
        <v>89301000</v>
      </c>
      <c r="B4022" t="str">
        <f t="shared" si="885"/>
        <v>06539000</v>
      </c>
      <c r="C4022" t="str">
        <f t="shared" si="881"/>
        <v>06539003</v>
      </c>
      <c r="D4022" t="str">
        <f t="shared" si="882"/>
        <v>813</v>
      </c>
      <c r="E4022" t="str">
        <f t="shared" si="876"/>
        <v>89301171</v>
      </c>
      <c r="F4022" t="str">
        <f t="shared" si="877"/>
        <v>8009055340</v>
      </c>
      <c r="G4022" s="1">
        <v>44654</v>
      </c>
      <c r="H4022" t="str">
        <f t="shared" si="884"/>
        <v>91197</v>
      </c>
      <c r="I4022">
        <v>1</v>
      </c>
      <c r="J4022">
        <v>1046</v>
      </c>
      <c r="K4022">
        <v>0</v>
      </c>
      <c r="L4022">
        <v>815.88</v>
      </c>
    </row>
    <row r="4023" spans="1:12" x14ac:dyDescent="0.25">
      <c r="A4023" t="str">
        <f t="shared" si="874"/>
        <v>89301000</v>
      </c>
      <c r="B4023" t="str">
        <f t="shared" si="885"/>
        <v>06539000</v>
      </c>
      <c r="C4023" t="str">
        <f t="shared" si="881"/>
        <v>06539003</v>
      </c>
      <c r="D4023" t="str">
        <f t="shared" si="882"/>
        <v>813</v>
      </c>
      <c r="E4023" t="str">
        <f t="shared" si="876"/>
        <v>89301171</v>
      </c>
      <c r="F4023" t="str">
        <f t="shared" si="877"/>
        <v>8009055340</v>
      </c>
      <c r="G4023" s="1">
        <v>44654</v>
      </c>
      <c r="H4023" t="str">
        <f t="shared" si="884"/>
        <v>91197</v>
      </c>
      <c r="I4023">
        <v>1</v>
      </c>
      <c r="J4023">
        <v>1046</v>
      </c>
      <c r="K4023">
        <v>0</v>
      </c>
      <c r="L4023">
        <v>815.88</v>
      </c>
    </row>
    <row r="4024" spans="1:12" x14ac:dyDescent="0.25">
      <c r="A4024" t="str">
        <f t="shared" si="874"/>
        <v>89301000</v>
      </c>
      <c r="B4024" t="str">
        <f t="shared" si="885"/>
        <v>06539000</v>
      </c>
      <c r="C4024" t="str">
        <f t="shared" si="881"/>
        <v>06539003</v>
      </c>
      <c r="D4024" t="str">
        <f t="shared" si="882"/>
        <v>813</v>
      </c>
      <c r="E4024" t="str">
        <f t="shared" si="876"/>
        <v>89301171</v>
      </c>
      <c r="F4024" t="str">
        <f t="shared" si="877"/>
        <v>8009055340</v>
      </c>
      <c r="G4024" s="1">
        <v>44653</v>
      </c>
      <c r="H4024" t="str">
        <f t="shared" si="884"/>
        <v>91197</v>
      </c>
      <c r="I4024">
        <v>1</v>
      </c>
      <c r="J4024">
        <v>1046</v>
      </c>
      <c r="K4024">
        <v>0</v>
      </c>
      <c r="L4024">
        <v>815.88</v>
      </c>
    </row>
    <row r="4025" spans="1:12" x14ac:dyDescent="0.25">
      <c r="A4025" t="str">
        <f t="shared" si="874"/>
        <v>89301000</v>
      </c>
      <c r="B4025" t="str">
        <f t="shared" si="885"/>
        <v>06539000</v>
      </c>
      <c r="C4025" t="str">
        <f t="shared" si="881"/>
        <v>06539003</v>
      </c>
      <c r="D4025" t="str">
        <f t="shared" si="882"/>
        <v>813</v>
      </c>
      <c r="E4025" t="str">
        <f t="shared" si="876"/>
        <v>89301171</v>
      </c>
      <c r="F4025" t="str">
        <f t="shared" si="877"/>
        <v>8009055340</v>
      </c>
      <c r="G4025" s="1">
        <v>44653</v>
      </c>
      <c r="H4025" t="str">
        <f t="shared" si="884"/>
        <v>91197</v>
      </c>
      <c r="I4025">
        <v>1</v>
      </c>
      <c r="J4025">
        <v>1046</v>
      </c>
      <c r="K4025">
        <v>0</v>
      </c>
      <c r="L4025">
        <v>815.88</v>
      </c>
    </row>
    <row r="4026" spans="1:12" x14ac:dyDescent="0.25">
      <c r="A4026" t="str">
        <f t="shared" si="874"/>
        <v>89301000</v>
      </c>
      <c r="B4026" t="str">
        <f t="shared" si="885"/>
        <v>06539000</v>
      </c>
      <c r="C4026" t="str">
        <f t="shared" si="881"/>
        <v>06539003</v>
      </c>
      <c r="D4026" t="str">
        <f t="shared" si="882"/>
        <v>813</v>
      </c>
      <c r="E4026" t="str">
        <f t="shared" si="876"/>
        <v>89301171</v>
      </c>
      <c r="F4026" t="str">
        <f t="shared" si="877"/>
        <v>8009055340</v>
      </c>
      <c r="G4026" s="1">
        <v>44656</v>
      </c>
      <c r="H4026" t="str">
        <f>"91329"</f>
        <v>91329</v>
      </c>
      <c r="I4026">
        <v>2</v>
      </c>
      <c r="J4026">
        <v>428</v>
      </c>
      <c r="K4026">
        <v>0</v>
      </c>
      <c r="L4026">
        <v>333.84</v>
      </c>
    </row>
    <row r="4027" spans="1:12" x14ac:dyDescent="0.25">
      <c r="A4027" t="str">
        <f t="shared" si="874"/>
        <v>89301000</v>
      </c>
      <c r="B4027" t="str">
        <f t="shared" si="885"/>
        <v>06539000</v>
      </c>
      <c r="C4027" t="str">
        <f t="shared" si="881"/>
        <v>06539003</v>
      </c>
      <c r="D4027" t="str">
        <f t="shared" si="882"/>
        <v>813</v>
      </c>
      <c r="E4027" t="str">
        <f t="shared" si="876"/>
        <v>89301171</v>
      </c>
      <c r="F4027" t="str">
        <f t="shared" si="877"/>
        <v>8009055340</v>
      </c>
      <c r="G4027" s="1">
        <v>44656</v>
      </c>
      <c r="H4027" t="str">
        <f>"91329"</f>
        <v>91329</v>
      </c>
      <c r="I4027">
        <v>2</v>
      </c>
      <c r="J4027">
        <v>428</v>
      </c>
      <c r="K4027">
        <v>0</v>
      </c>
      <c r="L4027">
        <v>333.84</v>
      </c>
    </row>
    <row r="4028" spans="1:12" x14ac:dyDescent="0.25">
      <c r="A4028" t="str">
        <f t="shared" si="874"/>
        <v>89301000</v>
      </c>
      <c r="B4028" t="str">
        <f t="shared" si="885"/>
        <v>06539000</v>
      </c>
      <c r="C4028" t="str">
        <f t="shared" si="881"/>
        <v>06539003</v>
      </c>
      <c r="D4028" t="str">
        <f t="shared" si="882"/>
        <v>813</v>
      </c>
      <c r="E4028" t="str">
        <f t="shared" si="876"/>
        <v>89301171</v>
      </c>
      <c r="F4028" t="str">
        <f t="shared" si="877"/>
        <v>8009055340</v>
      </c>
      <c r="G4028" s="1">
        <v>44656</v>
      </c>
      <c r="H4028" t="str">
        <f>"91329"</f>
        <v>91329</v>
      </c>
      <c r="I4028">
        <v>2</v>
      </c>
      <c r="J4028">
        <v>428</v>
      </c>
      <c r="K4028">
        <v>0</v>
      </c>
      <c r="L4028">
        <v>333.84</v>
      </c>
    </row>
    <row r="4029" spans="1:12" x14ac:dyDescent="0.25">
      <c r="A4029" t="str">
        <f t="shared" si="874"/>
        <v>89301000</v>
      </c>
      <c r="B4029" t="str">
        <f t="shared" si="885"/>
        <v>06539000</v>
      </c>
      <c r="C4029" t="str">
        <f t="shared" si="881"/>
        <v>06539003</v>
      </c>
      <c r="D4029" t="str">
        <f t="shared" si="882"/>
        <v>813</v>
      </c>
      <c r="E4029" t="str">
        <f t="shared" si="876"/>
        <v>89301171</v>
      </c>
      <c r="F4029" t="str">
        <f t="shared" si="877"/>
        <v>8009055340</v>
      </c>
      <c r="G4029" s="1">
        <v>44656</v>
      </c>
      <c r="H4029" t="str">
        <f>"91329"</f>
        <v>91329</v>
      </c>
      <c r="I4029">
        <v>2</v>
      </c>
      <c r="J4029">
        <v>428</v>
      </c>
      <c r="K4029">
        <v>0</v>
      </c>
      <c r="L4029">
        <v>333.84</v>
      </c>
    </row>
    <row r="4030" spans="1:12" x14ac:dyDescent="0.25">
      <c r="A4030" t="str">
        <f t="shared" si="874"/>
        <v>89301000</v>
      </c>
      <c r="B4030" t="str">
        <f t="shared" si="885"/>
        <v>06539000</v>
      </c>
      <c r="C4030" t="str">
        <f t="shared" si="881"/>
        <v>06539003</v>
      </c>
      <c r="D4030" t="str">
        <f t="shared" si="882"/>
        <v>813</v>
      </c>
      <c r="E4030" t="str">
        <f t="shared" si="876"/>
        <v>89301171</v>
      </c>
      <c r="F4030" t="str">
        <f t="shared" si="877"/>
        <v>8009055340</v>
      </c>
      <c r="G4030" s="1">
        <v>44652</v>
      </c>
      <c r="H4030" t="str">
        <f>"91129"</f>
        <v>91129</v>
      </c>
      <c r="I4030">
        <v>1</v>
      </c>
      <c r="J4030">
        <v>174</v>
      </c>
      <c r="K4030">
        <v>0</v>
      </c>
      <c r="L4030">
        <v>135.72</v>
      </c>
    </row>
    <row r="4031" spans="1:12" x14ac:dyDescent="0.25">
      <c r="A4031" t="str">
        <f t="shared" si="874"/>
        <v>89301000</v>
      </c>
      <c r="B4031" t="str">
        <f t="shared" si="885"/>
        <v>06539000</v>
      </c>
      <c r="C4031" t="str">
        <f t="shared" si="881"/>
        <v>06539003</v>
      </c>
      <c r="D4031" t="str">
        <f t="shared" si="882"/>
        <v>813</v>
      </c>
      <c r="E4031" t="str">
        <f t="shared" si="876"/>
        <v>89301171</v>
      </c>
      <c r="F4031" t="str">
        <f t="shared" si="877"/>
        <v>8009055340</v>
      </c>
      <c r="G4031" s="1">
        <v>44652</v>
      </c>
      <c r="H4031" t="str">
        <f>"91133"</f>
        <v>91133</v>
      </c>
      <c r="I4031">
        <v>1</v>
      </c>
      <c r="J4031">
        <v>176</v>
      </c>
      <c r="K4031">
        <v>0</v>
      </c>
      <c r="L4031">
        <v>137.28</v>
      </c>
    </row>
    <row r="4032" spans="1:12" x14ac:dyDescent="0.25">
      <c r="A4032" t="str">
        <f t="shared" si="874"/>
        <v>89301000</v>
      </c>
      <c r="B4032" t="str">
        <f t="shared" si="885"/>
        <v>06539000</v>
      </c>
      <c r="C4032" t="str">
        <f t="shared" si="881"/>
        <v>06539003</v>
      </c>
      <c r="D4032" t="str">
        <f t="shared" si="882"/>
        <v>813</v>
      </c>
      <c r="E4032" t="str">
        <f t="shared" si="876"/>
        <v>89301171</v>
      </c>
      <c r="F4032" t="str">
        <f t="shared" si="877"/>
        <v>8009055340</v>
      </c>
      <c r="G4032" s="1">
        <v>44652</v>
      </c>
      <c r="H4032" t="str">
        <f>"91171"</f>
        <v>91171</v>
      </c>
      <c r="I4032">
        <v>1</v>
      </c>
      <c r="J4032">
        <v>360</v>
      </c>
      <c r="K4032">
        <v>0</v>
      </c>
      <c r="L4032">
        <v>280.8</v>
      </c>
    </row>
    <row r="4033" spans="1:12" x14ac:dyDescent="0.25">
      <c r="A4033" t="str">
        <f t="shared" si="874"/>
        <v>89301000</v>
      </c>
      <c r="B4033" t="str">
        <f t="shared" si="885"/>
        <v>06539000</v>
      </c>
      <c r="C4033" t="str">
        <f t="shared" si="881"/>
        <v>06539003</v>
      </c>
      <c r="D4033" t="str">
        <f t="shared" si="882"/>
        <v>813</v>
      </c>
      <c r="E4033" t="str">
        <f t="shared" si="876"/>
        <v>89301171</v>
      </c>
      <c r="F4033" t="str">
        <f t="shared" si="877"/>
        <v>8009055340</v>
      </c>
      <c r="G4033" s="1">
        <v>44652</v>
      </c>
      <c r="H4033" t="str">
        <f>"91175"</f>
        <v>91175</v>
      </c>
      <c r="I4033">
        <v>1</v>
      </c>
      <c r="J4033">
        <v>360</v>
      </c>
      <c r="K4033">
        <v>0</v>
      </c>
      <c r="L4033">
        <v>280.8</v>
      </c>
    </row>
    <row r="4034" spans="1:12" x14ac:dyDescent="0.25">
      <c r="A4034" t="str">
        <f t="shared" ref="A4034:A4097" si="886">"89301000"</f>
        <v>89301000</v>
      </c>
      <c r="B4034" t="str">
        <f t="shared" si="885"/>
        <v>06539000</v>
      </c>
      <c r="C4034" t="str">
        <f t="shared" si="881"/>
        <v>06539003</v>
      </c>
      <c r="D4034" t="str">
        <f t="shared" si="882"/>
        <v>813</v>
      </c>
      <c r="E4034" t="str">
        <f t="shared" si="876"/>
        <v>89301171</v>
      </c>
      <c r="F4034" t="str">
        <f t="shared" si="877"/>
        <v>8009055340</v>
      </c>
      <c r="G4034" s="1">
        <v>44652</v>
      </c>
      <c r="H4034" t="str">
        <f>"91475"</f>
        <v>91475</v>
      </c>
      <c r="I4034">
        <v>1</v>
      </c>
      <c r="J4034">
        <v>206</v>
      </c>
      <c r="K4034">
        <v>0</v>
      </c>
      <c r="L4034">
        <v>160.68</v>
      </c>
    </row>
    <row r="4035" spans="1:12" x14ac:dyDescent="0.25">
      <c r="A4035" t="str">
        <f t="shared" si="886"/>
        <v>89301000</v>
      </c>
      <c r="B4035" t="str">
        <f t="shared" si="885"/>
        <v>06539000</v>
      </c>
      <c r="C4035" t="str">
        <f>"06539001"</f>
        <v>06539001</v>
      </c>
      <c r="D4035" t="str">
        <f>"801"</f>
        <v>801</v>
      </c>
      <c r="E4035" t="str">
        <f t="shared" si="876"/>
        <v>89301171</v>
      </c>
      <c r="F4035" t="str">
        <f t="shared" ref="F4035:F4081" si="887">"5852221397"</f>
        <v>5852221397</v>
      </c>
      <c r="G4035" s="1">
        <v>44659</v>
      </c>
      <c r="H4035" t="str">
        <f>"81329"</f>
        <v>81329</v>
      </c>
      <c r="I4035">
        <v>1</v>
      </c>
      <c r="J4035">
        <v>16</v>
      </c>
      <c r="K4035">
        <v>0</v>
      </c>
      <c r="L4035">
        <v>12.48</v>
      </c>
    </row>
    <row r="4036" spans="1:12" x14ac:dyDescent="0.25">
      <c r="A4036" t="str">
        <f t="shared" si="886"/>
        <v>89301000</v>
      </c>
      <c r="B4036" t="str">
        <f t="shared" si="885"/>
        <v>06539000</v>
      </c>
      <c r="C4036" t="str">
        <f>"06539001"</f>
        <v>06539001</v>
      </c>
      <c r="D4036" t="str">
        <f>"801"</f>
        <v>801</v>
      </c>
      <c r="E4036" t="str">
        <f t="shared" si="876"/>
        <v>89301171</v>
      </c>
      <c r="F4036" t="str">
        <f t="shared" si="887"/>
        <v>5852221397</v>
      </c>
      <c r="G4036" s="1">
        <v>44659</v>
      </c>
      <c r="H4036" t="str">
        <f>"81331"</f>
        <v>81331</v>
      </c>
      <c r="I4036">
        <v>1</v>
      </c>
      <c r="J4036">
        <v>193</v>
      </c>
      <c r="K4036">
        <v>0</v>
      </c>
      <c r="L4036">
        <v>150.54</v>
      </c>
    </row>
    <row r="4037" spans="1:12" x14ac:dyDescent="0.25">
      <c r="A4037" t="str">
        <f t="shared" si="886"/>
        <v>89301000</v>
      </c>
      <c r="B4037" t="str">
        <f t="shared" si="885"/>
        <v>06539000</v>
      </c>
      <c r="C4037" t="str">
        <f t="shared" ref="C4037:C4044" si="888">"06539002"</f>
        <v>06539002</v>
      </c>
      <c r="D4037" t="str">
        <f t="shared" ref="D4037:D4044" si="889">"802"</f>
        <v>802</v>
      </c>
      <c r="E4037" t="str">
        <f t="shared" si="876"/>
        <v>89301171</v>
      </c>
      <c r="F4037" t="str">
        <f t="shared" si="887"/>
        <v>5852221397</v>
      </c>
      <c r="G4037" s="1">
        <v>44659</v>
      </c>
      <c r="H4037" t="str">
        <f t="shared" ref="H4037:H4044" si="890">"82097"</f>
        <v>82097</v>
      </c>
      <c r="I4037">
        <v>1</v>
      </c>
      <c r="J4037">
        <v>380</v>
      </c>
      <c r="K4037">
        <v>0</v>
      </c>
      <c r="L4037">
        <v>345.8</v>
      </c>
    </row>
    <row r="4038" spans="1:12" x14ac:dyDescent="0.25">
      <c r="A4038" t="str">
        <f t="shared" si="886"/>
        <v>89301000</v>
      </c>
      <c r="B4038" t="str">
        <f t="shared" si="885"/>
        <v>06539000</v>
      </c>
      <c r="C4038" t="str">
        <f t="shared" si="888"/>
        <v>06539002</v>
      </c>
      <c r="D4038" t="str">
        <f t="shared" si="889"/>
        <v>802</v>
      </c>
      <c r="E4038" t="str">
        <f t="shared" si="876"/>
        <v>89301171</v>
      </c>
      <c r="F4038" t="str">
        <f t="shared" si="887"/>
        <v>5852221397</v>
      </c>
      <c r="G4038" s="1">
        <v>44659</v>
      </c>
      <c r="H4038" t="str">
        <f t="shared" si="890"/>
        <v>82097</v>
      </c>
      <c r="I4038">
        <v>1</v>
      </c>
      <c r="J4038">
        <v>380</v>
      </c>
      <c r="K4038">
        <v>0</v>
      </c>
      <c r="L4038">
        <v>345.8</v>
      </c>
    </row>
    <row r="4039" spans="1:12" x14ac:dyDescent="0.25">
      <c r="A4039" t="str">
        <f t="shared" si="886"/>
        <v>89301000</v>
      </c>
      <c r="B4039" t="str">
        <f t="shared" si="885"/>
        <v>06539000</v>
      </c>
      <c r="C4039" t="str">
        <f t="shared" si="888"/>
        <v>06539002</v>
      </c>
      <c r="D4039" t="str">
        <f t="shared" si="889"/>
        <v>802</v>
      </c>
      <c r="E4039" t="str">
        <f t="shared" si="876"/>
        <v>89301171</v>
      </c>
      <c r="F4039" t="str">
        <f t="shared" si="887"/>
        <v>5852221397</v>
      </c>
      <c r="G4039" s="1">
        <v>44659</v>
      </c>
      <c r="H4039" t="str">
        <f t="shared" si="890"/>
        <v>82097</v>
      </c>
      <c r="I4039">
        <v>1</v>
      </c>
      <c r="J4039">
        <v>380</v>
      </c>
      <c r="K4039">
        <v>0</v>
      </c>
      <c r="L4039">
        <v>345.8</v>
      </c>
    </row>
    <row r="4040" spans="1:12" x14ac:dyDescent="0.25">
      <c r="A4040" t="str">
        <f t="shared" si="886"/>
        <v>89301000</v>
      </c>
      <c r="B4040" t="str">
        <f t="shared" si="885"/>
        <v>06539000</v>
      </c>
      <c r="C4040" t="str">
        <f t="shared" si="888"/>
        <v>06539002</v>
      </c>
      <c r="D4040" t="str">
        <f t="shared" si="889"/>
        <v>802</v>
      </c>
      <c r="E4040" t="str">
        <f t="shared" si="876"/>
        <v>89301171</v>
      </c>
      <c r="F4040" t="str">
        <f t="shared" si="887"/>
        <v>5852221397</v>
      </c>
      <c r="G4040" s="1">
        <v>44659</v>
      </c>
      <c r="H4040" t="str">
        <f t="shared" si="890"/>
        <v>82097</v>
      </c>
      <c r="I4040">
        <v>1</v>
      </c>
      <c r="J4040">
        <v>380</v>
      </c>
      <c r="K4040">
        <v>0</v>
      </c>
      <c r="L4040">
        <v>345.8</v>
      </c>
    </row>
    <row r="4041" spans="1:12" x14ac:dyDescent="0.25">
      <c r="A4041" t="str">
        <f t="shared" si="886"/>
        <v>89301000</v>
      </c>
      <c r="B4041" t="str">
        <f t="shared" si="885"/>
        <v>06539000</v>
      </c>
      <c r="C4041" t="str">
        <f t="shared" si="888"/>
        <v>06539002</v>
      </c>
      <c r="D4041" t="str">
        <f t="shared" si="889"/>
        <v>802</v>
      </c>
      <c r="E4041" t="str">
        <f t="shared" si="876"/>
        <v>89301171</v>
      </c>
      <c r="F4041" t="str">
        <f t="shared" si="887"/>
        <v>5852221397</v>
      </c>
      <c r="G4041" s="1">
        <v>44659</v>
      </c>
      <c r="H4041" t="str">
        <f t="shared" si="890"/>
        <v>82097</v>
      </c>
      <c r="I4041">
        <v>1</v>
      </c>
      <c r="J4041">
        <v>380</v>
      </c>
      <c r="K4041">
        <v>0</v>
      </c>
      <c r="L4041">
        <v>345.8</v>
      </c>
    </row>
    <row r="4042" spans="1:12" x14ac:dyDescent="0.25">
      <c r="A4042" t="str">
        <f t="shared" si="886"/>
        <v>89301000</v>
      </c>
      <c r="B4042" t="str">
        <f t="shared" si="885"/>
        <v>06539000</v>
      </c>
      <c r="C4042" t="str">
        <f t="shared" si="888"/>
        <v>06539002</v>
      </c>
      <c r="D4042" t="str">
        <f t="shared" si="889"/>
        <v>802</v>
      </c>
      <c r="E4042" t="str">
        <f t="shared" si="876"/>
        <v>89301171</v>
      </c>
      <c r="F4042" t="str">
        <f t="shared" si="887"/>
        <v>5852221397</v>
      </c>
      <c r="G4042" s="1">
        <v>44659</v>
      </c>
      <c r="H4042" t="str">
        <f t="shared" si="890"/>
        <v>82097</v>
      </c>
      <c r="I4042">
        <v>1</v>
      </c>
      <c r="J4042">
        <v>380</v>
      </c>
      <c r="K4042">
        <v>0</v>
      </c>
      <c r="L4042">
        <v>345.8</v>
      </c>
    </row>
    <row r="4043" spans="1:12" x14ac:dyDescent="0.25">
      <c r="A4043" t="str">
        <f t="shared" si="886"/>
        <v>89301000</v>
      </c>
      <c r="B4043" t="str">
        <f t="shared" si="885"/>
        <v>06539000</v>
      </c>
      <c r="C4043" t="str">
        <f t="shared" si="888"/>
        <v>06539002</v>
      </c>
      <c r="D4043" t="str">
        <f t="shared" si="889"/>
        <v>802</v>
      </c>
      <c r="E4043" t="str">
        <f t="shared" si="876"/>
        <v>89301171</v>
      </c>
      <c r="F4043" t="str">
        <f t="shared" si="887"/>
        <v>5852221397</v>
      </c>
      <c r="G4043" s="1">
        <v>44659</v>
      </c>
      <c r="H4043" t="str">
        <f t="shared" si="890"/>
        <v>82097</v>
      </c>
      <c r="I4043">
        <v>1</v>
      </c>
      <c r="J4043">
        <v>380</v>
      </c>
      <c r="K4043">
        <v>0</v>
      </c>
      <c r="L4043">
        <v>345.8</v>
      </c>
    </row>
    <row r="4044" spans="1:12" x14ac:dyDescent="0.25">
      <c r="A4044" t="str">
        <f t="shared" si="886"/>
        <v>89301000</v>
      </c>
      <c r="B4044" t="str">
        <f t="shared" si="885"/>
        <v>06539000</v>
      </c>
      <c r="C4044" t="str">
        <f t="shared" si="888"/>
        <v>06539002</v>
      </c>
      <c r="D4044" t="str">
        <f t="shared" si="889"/>
        <v>802</v>
      </c>
      <c r="E4044" t="str">
        <f t="shared" si="876"/>
        <v>89301171</v>
      </c>
      <c r="F4044" t="str">
        <f t="shared" si="887"/>
        <v>5852221397</v>
      </c>
      <c r="G4044" s="1">
        <v>44659</v>
      </c>
      <c r="H4044" t="str">
        <f t="shared" si="890"/>
        <v>82097</v>
      </c>
      <c r="I4044">
        <v>1</v>
      </c>
      <c r="J4044">
        <v>380</v>
      </c>
      <c r="K4044">
        <v>0</v>
      </c>
      <c r="L4044">
        <v>345.8</v>
      </c>
    </row>
    <row r="4045" spans="1:12" x14ac:dyDescent="0.25">
      <c r="A4045" t="str">
        <f t="shared" si="886"/>
        <v>89301000</v>
      </c>
      <c r="B4045" t="str">
        <f t="shared" si="885"/>
        <v>06539000</v>
      </c>
      <c r="C4045" t="str">
        <f t="shared" ref="C4045:C4081" si="891">"06539003"</f>
        <v>06539003</v>
      </c>
      <c r="D4045" t="str">
        <f t="shared" ref="D4045:D4081" si="892">"813"</f>
        <v>813</v>
      </c>
      <c r="E4045" t="str">
        <f t="shared" si="876"/>
        <v>89301171</v>
      </c>
      <c r="F4045" t="str">
        <f t="shared" si="887"/>
        <v>5852221397</v>
      </c>
      <c r="G4045" s="1">
        <v>44662</v>
      </c>
      <c r="H4045" t="str">
        <f>"91439"</f>
        <v>91439</v>
      </c>
      <c r="I4045">
        <v>1</v>
      </c>
      <c r="J4045">
        <v>356</v>
      </c>
      <c r="K4045">
        <v>0</v>
      </c>
      <c r="L4045">
        <v>277.68</v>
      </c>
    </row>
    <row r="4046" spans="1:12" x14ac:dyDescent="0.25">
      <c r="A4046" t="str">
        <f t="shared" si="886"/>
        <v>89301000</v>
      </c>
      <c r="B4046" t="str">
        <f t="shared" si="885"/>
        <v>06539000</v>
      </c>
      <c r="C4046" t="str">
        <f t="shared" si="891"/>
        <v>06539003</v>
      </c>
      <c r="D4046" t="str">
        <f t="shared" si="892"/>
        <v>813</v>
      </c>
      <c r="E4046" t="str">
        <f t="shared" si="876"/>
        <v>89301171</v>
      </c>
      <c r="F4046" t="str">
        <f t="shared" si="887"/>
        <v>5852221397</v>
      </c>
      <c r="G4046" s="1">
        <v>44662</v>
      </c>
      <c r="H4046" t="str">
        <f>"91439"</f>
        <v>91439</v>
      </c>
      <c r="I4046">
        <v>1</v>
      </c>
      <c r="J4046">
        <v>356</v>
      </c>
      <c r="K4046">
        <v>0</v>
      </c>
      <c r="L4046">
        <v>277.68</v>
      </c>
    </row>
    <row r="4047" spans="1:12" x14ac:dyDescent="0.25">
      <c r="A4047" t="str">
        <f t="shared" si="886"/>
        <v>89301000</v>
      </c>
      <c r="B4047" t="str">
        <f t="shared" si="885"/>
        <v>06539000</v>
      </c>
      <c r="C4047" t="str">
        <f t="shared" si="891"/>
        <v>06539003</v>
      </c>
      <c r="D4047" t="str">
        <f t="shared" si="892"/>
        <v>813</v>
      </c>
      <c r="E4047" t="str">
        <f t="shared" si="876"/>
        <v>89301171</v>
      </c>
      <c r="F4047" t="str">
        <f t="shared" si="887"/>
        <v>5852221397</v>
      </c>
      <c r="G4047" s="1">
        <v>44662</v>
      </c>
      <c r="H4047" t="str">
        <f>"91439"</f>
        <v>91439</v>
      </c>
      <c r="I4047">
        <v>1</v>
      </c>
      <c r="J4047">
        <v>356</v>
      </c>
      <c r="K4047">
        <v>0</v>
      </c>
      <c r="L4047">
        <v>277.68</v>
      </c>
    </row>
    <row r="4048" spans="1:12" x14ac:dyDescent="0.25">
      <c r="A4048" t="str">
        <f t="shared" si="886"/>
        <v>89301000</v>
      </c>
      <c r="B4048" t="str">
        <f t="shared" si="885"/>
        <v>06539000</v>
      </c>
      <c r="C4048" t="str">
        <f t="shared" si="891"/>
        <v>06539003</v>
      </c>
      <c r="D4048" t="str">
        <f t="shared" si="892"/>
        <v>813</v>
      </c>
      <c r="E4048" t="str">
        <f t="shared" si="876"/>
        <v>89301171</v>
      </c>
      <c r="F4048" t="str">
        <f t="shared" si="887"/>
        <v>5852221397</v>
      </c>
      <c r="G4048" s="1">
        <v>44662</v>
      </c>
      <c r="H4048" t="str">
        <f>"91439"</f>
        <v>91439</v>
      </c>
      <c r="I4048">
        <v>1</v>
      </c>
      <c r="J4048">
        <v>356</v>
      </c>
      <c r="K4048">
        <v>0</v>
      </c>
      <c r="L4048">
        <v>277.68</v>
      </c>
    </row>
    <row r="4049" spans="1:12" x14ac:dyDescent="0.25">
      <c r="A4049" t="str">
        <f t="shared" si="886"/>
        <v>89301000</v>
      </c>
      <c r="B4049" t="str">
        <f t="shared" si="885"/>
        <v>06539000</v>
      </c>
      <c r="C4049" t="str">
        <f t="shared" si="891"/>
        <v>06539003</v>
      </c>
      <c r="D4049" t="str">
        <f t="shared" si="892"/>
        <v>813</v>
      </c>
      <c r="E4049" t="str">
        <f t="shared" si="876"/>
        <v>89301171</v>
      </c>
      <c r="F4049" t="str">
        <f t="shared" si="887"/>
        <v>5852221397</v>
      </c>
      <c r="G4049" s="1">
        <v>44662</v>
      </c>
      <c r="H4049" t="str">
        <f>"91439"</f>
        <v>91439</v>
      </c>
      <c r="I4049">
        <v>2</v>
      </c>
      <c r="J4049">
        <v>712</v>
      </c>
      <c r="K4049">
        <v>0</v>
      </c>
      <c r="L4049">
        <v>555.36</v>
      </c>
    </row>
    <row r="4050" spans="1:12" x14ac:dyDescent="0.25">
      <c r="A4050" t="str">
        <f t="shared" si="886"/>
        <v>89301000</v>
      </c>
      <c r="B4050" t="str">
        <f t="shared" si="885"/>
        <v>06539000</v>
      </c>
      <c r="C4050" t="str">
        <f t="shared" si="891"/>
        <v>06539003</v>
      </c>
      <c r="D4050" t="str">
        <f t="shared" si="892"/>
        <v>813</v>
      </c>
      <c r="E4050" t="str">
        <f t="shared" si="876"/>
        <v>89301171</v>
      </c>
      <c r="F4050" t="str">
        <f t="shared" si="887"/>
        <v>5852221397</v>
      </c>
      <c r="G4050" s="1">
        <v>44662</v>
      </c>
      <c r="H4050" t="str">
        <f t="shared" ref="H4050:H4059" si="893">"91413"</f>
        <v>91413</v>
      </c>
      <c r="I4050">
        <v>1</v>
      </c>
      <c r="J4050">
        <v>853</v>
      </c>
      <c r="K4050">
        <v>0</v>
      </c>
      <c r="L4050">
        <v>665.34</v>
      </c>
    </row>
    <row r="4051" spans="1:12" x14ac:dyDescent="0.25">
      <c r="A4051" t="str">
        <f t="shared" si="886"/>
        <v>89301000</v>
      </c>
      <c r="B4051" t="str">
        <f t="shared" si="885"/>
        <v>06539000</v>
      </c>
      <c r="C4051" t="str">
        <f t="shared" si="891"/>
        <v>06539003</v>
      </c>
      <c r="D4051" t="str">
        <f t="shared" si="892"/>
        <v>813</v>
      </c>
      <c r="E4051" t="str">
        <f t="shared" si="876"/>
        <v>89301171</v>
      </c>
      <c r="F4051" t="str">
        <f t="shared" si="887"/>
        <v>5852221397</v>
      </c>
      <c r="G4051" s="1">
        <v>44662</v>
      </c>
      <c r="H4051" t="str">
        <f t="shared" si="893"/>
        <v>91413</v>
      </c>
      <c r="I4051">
        <v>1</v>
      </c>
      <c r="J4051">
        <v>853</v>
      </c>
      <c r="K4051">
        <v>0</v>
      </c>
      <c r="L4051">
        <v>665.34</v>
      </c>
    </row>
    <row r="4052" spans="1:12" x14ac:dyDescent="0.25">
      <c r="A4052" t="str">
        <f t="shared" si="886"/>
        <v>89301000</v>
      </c>
      <c r="B4052" t="str">
        <f t="shared" si="885"/>
        <v>06539000</v>
      </c>
      <c r="C4052" t="str">
        <f t="shared" si="891"/>
        <v>06539003</v>
      </c>
      <c r="D4052" t="str">
        <f t="shared" si="892"/>
        <v>813</v>
      </c>
      <c r="E4052" t="str">
        <f t="shared" si="876"/>
        <v>89301171</v>
      </c>
      <c r="F4052" t="str">
        <f t="shared" si="887"/>
        <v>5852221397</v>
      </c>
      <c r="G4052" s="1">
        <v>44672</v>
      </c>
      <c r="H4052" t="str">
        <f t="shared" si="893"/>
        <v>91413</v>
      </c>
      <c r="I4052">
        <v>1</v>
      </c>
      <c r="J4052">
        <v>853</v>
      </c>
      <c r="K4052">
        <v>0</v>
      </c>
      <c r="L4052">
        <v>665.34</v>
      </c>
    </row>
    <row r="4053" spans="1:12" x14ac:dyDescent="0.25">
      <c r="A4053" t="str">
        <f t="shared" si="886"/>
        <v>89301000</v>
      </c>
      <c r="B4053" t="str">
        <f t="shared" si="885"/>
        <v>06539000</v>
      </c>
      <c r="C4053" t="str">
        <f t="shared" si="891"/>
        <v>06539003</v>
      </c>
      <c r="D4053" t="str">
        <f t="shared" si="892"/>
        <v>813</v>
      </c>
      <c r="E4053" t="str">
        <f t="shared" si="876"/>
        <v>89301171</v>
      </c>
      <c r="F4053" t="str">
        <f t="shared" si="887"/>
        <v>5852221397</v>
      </c>
      <c r="G4053" s="1">
        <v>44672</v>
      </c>
      <c r="H4053" t="str">
        <f t="shared" si="893"/>
        <v>91413</v>
      </c>
      <c r="I4053">
        <v>1</v>
      </c>
      <c r="J4053">
        <v>853</v>
      </c>
      <c r="K4053">
        <v>0</v>
      </c>
      <c r="L4053">
        <v>665.34</v>
      </c>
    </row>
    <row r="4054" spans="1:12" x14ac:dyDescent="0.25">
      <c r="A4054" t="str">
        <f t="shared" si="886"/>
        <v>89301000</v>
      </c>
      <c r="B4054" t="str">
        <f t="shared" si="885"/>
        <v>06539000</v>
      </c>
      <c r="C4054" t="str">
        <f t="shared" si="891"/>
        <v>06539003</v>
      </c>
      <c r="D4054" t="str">
        <f t="shared" si="892"/>
        <v>813</v>
      </c>
      <c r="E4054" t="str">
        <f t="shared" si="876"/>
        <v>89301171</v>
      </c>
      <c r="F4054" t="str">
        <f t="shared" si="887"/>
        <v>5852221397</v>
      </c>
      <c r="G4054" s="1">
        <v>44673</v>
      </c>
      <c r="H4054" t="str">
        <f t="shared" si="893"/>
        <v>91413</v>
      </c>
      <c r="I4054">
        <v>1</v>
      </c>
      <c r="J4054">
        <v>853</v>
      </c>
      <c r="K4054">
        <v>0</v>
      </c>
      <c r="L4054">
        <v>665.34</v>
      </c>
    </row>
    <row r="4055" spans="1:12" x14ac:dyDescent="0.25">
      <c r="A4055" t="str">
        <f t="shared" si="886"/>
        <v>89301000</v>
      </c>
      <c r="B4055" t="str">
        <f t="shared" si="885"/>
        <v>06539000</v>
      </c>
      <c r="C4055" t="str">
        <f t="shared" si="891"/>
        <v>06539003</v>
      </c>
      <c r="D4055" t="str">
        <f t="shared" si="892"/>
        <v>813</v>
      </c>
      <c r="E4055" t="str">
        <f t="shared" si="876"/>
        <v>89301171</v>
      </c>
      <c r="F4055" t="str">
        <f t="shared" si="887"/>
        <v>5852221397</v>
      </c>
      <c r="G4055" s="1">
        <v>44673</v>
      </c>
      <c r="H4055" t="str">
        <f t="shared" si="893"/>
        <v>91413</v>
      </c>
      <c r="I4055">
        <v>1</v>
      </c>
      <c r="J4055">
        <v>853</v>
      </c>
      <c r="K4055">
        <v>0</v>
      </c>
      <c r="L4055">
        <v>665.34</v>
      </c>
    </row>
    <row r="4056" spans="1:12" x14ac:dyDescent="0.25">
      <c r="A4056" t="str">
        <f t="shared" si="886"/>
        <v>89301000</v>
      </c>
      <c r="B4056" t="str">
        <f t="shared" si="885"/>
        <v>06539000</v>
      </c>
      <c r="C4056" t="str">
        <f t="shared" si="891"/>
        <v>06539003</v>
      </c>
      <c r="D4056" t="str">
        <f t="shared" si="892"/>
        <v>813</v>
      </c>
      <c r="E4056" t="str">
        <f t="shared" si="876"/>
        <v>89301171</v>
      </c>
      <c r="F4056" t="str">
        <f t="shared" si="887"/>
        <v>5852221397</v>
      </c>
      <c r="G4056" s="1">
        <v>44672</v>
      </c>
      <c r="H4056" t="str">
        <f t="shared" si="893"/>
        <v>91413</v>
      </c>
      <c r="I4056">
        <v>1</v>
      </c>
      <c r="J4056">
        <v>853</v>
      </c>
      <c r="K4056">
        <v>0</v>
      </c>
      <c r="L4056">
        <v>665.34</v>
      </c>
    </row>
    <row r="4057" spans="1:12" x14ac:dyDescent="0.25">
      <c r="A4057" t="str">
        <f t="shared" si="886"/>
        <v>89301000</v>
      </c>
      <c r="B4057" t="str">
        <f t="shared" si="885"/>
        <v>06539000</v>
      </c>
      <c r="C4057" t="str">
        <f t="shared" si="891"/>
        <v>06539003</v>
      </c>
      <c r="D4057" t="str">
        <f t="shared" si="892"/>
        <v>813</v>
      </c>
      <c r="E4057" t="str">
        <f t="shared" si="876"/>
        <v>89301171</v>
      </c>
      <c r="F4057" t="str">
        <f t="shared" si="887"/>
        <v>5852221397</v>
      </c>
      <c r="G4057" s="1">
        <v>44672</v>
      </c>
      <c r="H4057" t="str">
        <f t="shared" si="893"/>
        <v>91413</v>
      </c>
      <c r="I4057">
        <v>1</v>
      </c>
      <c r="J4057">
        <v>853</v>
      </c>
      <c r="K4057">
        <v>0</v>
      </c>
      <c r="L4057">
        <v>665.34</v>
      </c>
    </row>
    <row r="4058" spans="1:12" x14ac:dyDescent="0.25">
      <c r="A4058" t="str">
        <f t="shared" si="886"/>
        <v>89301000</v>
      </c>
      <c r="B4058" t="str">
        <f t="shared" si="885"/>
        <v>06539000</v>
      </c>
      <c r="C4058" t="str">
        <f t="shared" si="891"/>
        <v>06539003</v>
      </c>
      <c r="D4058" t="str">
        <f t="shared" si="892"/>
        <v>813</v>
      </c>
      <c r="E4058" t="str">
        <f t="shared" ref="E4058:E4121" si="894">"89301171"</f>
        <v>89301171</v>
      </c>
      <c r="F4058" t="str">
        <f t="shared" si="887"/>
        <v>5852221397</v>
      </c>
      <c r="G4058" s="1">
        <v>44672</v>
      </c>
      <c r="H4058" t="str">
        <f t="shared" si="893"/>
        <v>91413</v>
      </c>
      <c r="I4058">
        <v>1</v>
      </c>
      <c r="J4058">
        <v>853</v>
      </c>
      <c r="K4058">
        <v>0</v>
      </c>
      <c r="L4058">
        <v>665.34</v>
      </c>
    </row>
    <row r="4059" spans="1:12" x14ac:dyDescent="0.25">
      <c r="A4059" t="str">
        <f t="shared" si="886"/>
        <v>89301000</v>
      </c>
      <c r="B4059" t="str">
        <f t="shared" si="885"/>
        <v>06539000</v>
      </c>
      <c r="C4059" t="str">
        <f t="shared" si="891"/>
        <v>06539003</v>
      </c>
      <c r="D4059" t="str">
        <f t="shared" si="892"/>
        <v>813</v>
      </c>
      <c r="E4059" t="str">
        <f t="shared" si="894"/>
        <v>89301171</v>
      </c>
      <c r="F4059" t="str">
        <f t="shared" si="887"/>
        <v>5852221397</v>
      </c>
      <c r="G4059" s="1">
        <v>44672</v>
      </c>
      <c r="H4059" t="str">
        <f t="shared" si="893"/>
        <v>91413</v>
      </c>
      <c r="I4059">
        <v>1</v>
      </c>
      <c r="J4059">
        <v>853</v>
      </c>
      <c r="K4059">
        <v>0</v>
      </c>
      <c r="L4059">
        <v>665.34</v>
      </c>
    </row>
    <row r="4060" spans="1:12" x14ac:dyDescent="0.25">
      <c r="A4060" t="str">
        <f t="shared" si="886"/>
        <v>89301000</v>
      </c>
      <c r="B4060" t="str">
        <f t="shared" si="885"/>
        <v>06539000</v>
      </c>
      <c r="C4060" t="str">
        <f t="shared" si="891"/>
        <v>06539003</v>
      </c>
      <c r="D4060" t="str">
        <f t="shared" si="892"/>
        <v>813</v>
      </c>
      <c r="E4060" t="str">
        <f t="shared" si="894"/>
        <v>89301171</v>
      </c>
      <c r="F4060" t="str">
        <f t="shared" si="887"/>
        <v>5852221397</v>
      </c>
      <c r="G4060" s="1">
        <v>44659</v>
      </c>
      <c r="H4060" t="str">
        <f t="shared" ref="H4060:H4066" si="895">"91197"</f>
        <v>91197</v>
      </c>
      <c r="I4060">
        <v>1</v>
      </c>
      <c r="J4060">
        <v>1046</v>
      </c>
      <c r="K4060">
        <v>0</v>
      </c>
      <c r="L4060">
        <v>815.88</v>
      </c>
    </row>
    <row r="4061" spans="1:12" x14ac:dyDescent="0.25">
      <c r="A4061" t="str">
        <f t="shared" si="886"/>
        <v>89301000</v>
      </c>
      <c r="B4061" t="str">
        <f t="shared" si="885"/>
        <v>06539000</v>
      </c>
      <c r="C4061" t="str">
        <f t="shared" si="891"/>
        <v>06539003</v>
      </c>
      <c r="D4061" t="str">
        <f t="shared" si="892"/>
        <v>813</v>
      </c>
      <c r="E4061" t="str">
        <f t="shared" si="894"/>
        <v>89301171</v>
      </c>
      <c r="F4061" t="str">
        <f t="shared" si="887"/>
        <v>5852221397</v>
      </c>
      <c r="G4061" s="1">
        <v>44662</v>
      </c>
      <c r="H4061" t="str">
        <f t="shared" si="895"/>
        <v>91197</v>
      </c>
      <c r="I4061">
        <v>1</v>
      </c>
      <c r="J4061">
        <v>1046</v>
      </c>
      <c r="K4061">
        <v>0</v>
      </c>
      <c r="L4061">
        <v>815.88</v>
      </c>
    </row>
    <row r="4062" spans="1:12" x14ac:dyDescent="0.25">
      <c r="A4062" t="str">
        <f t="shared" si="886"/>
        <v>89301000</v>
      </c>
      <c r="B4062" t="str">
        <f t="shared" si="885"/>
        <v>06539000</v>
      </c>
      <c r="C4062" t="str">
        <f t="shared" si="891"/>
        <v>06539003</v>
      </c>
      <c r="D4062" t="str">
        <f t="shared" si="892"/>
        <v>813</v>
      </c>
      <c r="E4062" t="str">
        <f t="shared" si="894"/>
        <v>89301171</v>
      </c>
      <c r="F4062" t="str">
        <f t="shared" si="887"/>
        <v>5852221397</v>
      </c>
      <c r="G4062" s="1">
        <v>44662</v>
      </c>
      <c r="H4062" t="str">
        <f t="shared" si="895"/>
        <v>91197</v>
      </c>
      <c r="I4062">
        <v>1</v>
      </c>
      <c r="J4062">
        <v>1046</v>
      </c>
      <c r="K4062">
        <v>0</v>
      </c>
      <c r="L4062">
        <v>815.88</v>
      </c>
    </row>
    <row r="4063" spans="1:12" x14ac:dyDescent="0.25">
      <c r="A4063" t="str">
        <f t="shared" si="886"/>
        <v>89301000</v>
      </c>
      <c r="B4063" t="str">
        <f t="shared" si="885"/>
        <v>06539000</v>
      </c>
      <c r="C4063" t="str">
        <f t="shared" si="891"/>
        <v>06539003</v>
      </c>
      <c r="D4063" t="str">
        <f t="shared" si="892"/>
        <v>813</v>
      </c>
      <c r="E4063" t="str">
        <f t="shared" si="894"/>
        <v>89301171</v>
      </c>
      <c r="F4063" t="str">
        <f t="shared" si="887"/>
        <v>5852221397</v>
      </c>
      <c r="G4063" s="1">
        <v>44661</v>
      </c>
      <c r="H4063" t="str">
        <f t="shared" si="895"/>
        <v>91197</v>
      </c>
      <c r="I4063">
        <v>1</v>
      </c>
      <c r="J4063">
        <v>1046</v>
      </c>
      <c r="K4063">
        <v>0</v>
      </c>
      <c r="L4063">
        <v>815.88</v>
      </c>
    </row>
    <row r="4064" spans="1:12" x14ac:dyDescent="0.25">
      <c r="A4064" t="str">
        <f t="shared" si="886"/>
        <v>89301000</v>
      </c>
      <c r="B4064" t="str">
        <f t="shared" si="885"/>
        <v>06539000</v>
      </c>
      <c r="C4064" t="str">
        <f t="shared" si="891"/>
        <v>06539003</v>
      </c>
      <c r="D4064" t="str">
        <f t="shared" si="892"/>
        <v>813</v>
      </c>
      <c r="E4064" t="str">
        <f t="shared" si="894"/>
        <v>89301171</v>
      </c>
      <c r="F4064" t="str">
        <f t="shared" si="887"/>
        <v>5852221397</v>
      </c>
      <c r="G4064" s="1">
        <v>44661</v>
      </c>
      <c r="H4064" t="str">
        <f t="shared" si="895"/>
        <v>91197</v>
      </c>
      <c r="I4064">
        <v>1</v>
      </c>
      <c r="J4064">
        <v>1046</v>
      </c>
      <c r="K4064">
        <v>0</v>
      </c>
      <c r="L4064">
        <v>815.88</v>
      </c>
    </row>
    <row r="4065" spans="1:12" x14ac:dyDescent="0.25">
      <c r="A4065" t="str">
        <f t="shared" si="886"/>
        <v>89301000</v>
      </c>
      <c r="B4065" t="str">
        <f t="shared" si="885"/>
        <v>06539000</v>
      </c>
      <c r="C4065" t="str">
        <f t="shared" si="891"/>
        <v>06539003</v>
      </c>
      <c r="D4065" t="str">
        <f t="shared" si="892"/>
        <v>813</v>
      </c>
      <c r="E4065" t="str">
        <f t="shared" si="894"/>
        <v>89301171</v>
      </c>
      <c r="F4065" t="str">
        <f t="shared" si="887"/>
        <v>5852221397</v>
      </c>
      <c r="G4065" s="1">
        <v>44660</v>
      </c>
      <c r="H4065" t="str">
        <f t="shared" si="895"/>
        <v>91197</v>
      </c>
      <c r="I4065">
        <v>1</v>
      </c>
      <c r="J4065">
        <v>1046</v>
      </c>
      <c r="K4065">
        <v>0</v>
      </c>
      <c r="L4065">
        <v>815.88</v>
      </c>
    </row>
    <row r="4066" spans="1:12" x14ac:dyDescent="0.25">
      <c r="A4066" t="str">
        <f t="shared" si="886"/>
        <v>89301000</v>
      </c>
      <c r="B4066" t="str">
        <f t="shared" si="885"/>
        <v>06539000</v>
      </c>
      <c r="C4066" t="str">
        <f t="shared" si="891"/>
        <v>06539003</v>
      </c>
      <c r="D4066" t="str">
        <f t="shared" si="892"/>
        <v>813</v>
      </c>
      <c r="E4066" t="str">
        <f t="shared" si="894"/>
        <v>89301171</v>
      </c>
      <c r="F4066" t="str">
        <f t="shared" si="887"/>
        <v>5852221397</v>
      </c>
      <c r="G4066" s="1">
        <v>44660</v>
      </c>
      <c r="H4066" t="str">
        <f t="shared" si="895"/>
        <v>91197</v>
      </c>
      <c r="I4066">
        <v>1</v>
      </c>
      <c r="J4066">
        <v>1046</v>
      </c>
      <c r="K4066">
        <v>0</v>
      </c>
      <c r="L4066">
        <v>815.88</v>
      </c>
    </row>
    <row r="4067" spans="1:12" x14ac:dyDescent="0.25">
      <c r="A4067" t="str">
        <f t="shared" si="886"/>
        <v>89301000</v>
      </c>
      <c r="B4067" t="str">
        <f t="shared" si="885"/>
        <v>06539000</v>
      </c>
      <c r="C4067" t="str">
        <f t="shared" si="891"/>
        <v>06539003</v>
      </c>
      <c r="D4067" t="str">
        <f t="shared" si="892"/>
        <v>813</v>
      </c>
      <c r="E4067" t="str">
        <f t="shared" si="894"/>
        <v>89301171</v>
      </c>
      <c r="F4067" t="str">
        <f t="shared" si="887"/>
        <v>5852221397</v>
      </c>
      <c r="G4067" s="1">
        <v>44664</v>
      </c>
      <c r="H4067" t="str">
        <f>"91329"</f>
        <v>91329</v>
      </c>
      <c r="I4067">
        <v>2</v>
      </c>
      <c r="J4067">
        <v>428</v>
      </c>
      <c r="K4067">
        <v>0</v>
      </c>
      <c r="L4067">
        <v>333.84</v>
      </c>
    </row>
    <row r="4068" spans="1:12" x14ac:dyDescent="0.25">
      <c r="A4068" t="str">
        <f t="shared" si="886"/>
        <v>89301000</v>
      </c>
      <c r="B4068" t="str">
        <f t="shared" si="885"/>
        <v>06539000</v>
      </c>
      <c r="C4068" t="str">
        <f t="shared" si="891"/>
        <v>06539003</v>
      </c>
      <c r="D4068" t="str">
        <f t="shared" si="892"/>
        <v>813</v>
      </c>
      <c r="E4068" t="str">
        <f t="shared" si="894"/>
        <v>89301171</v>
      </c>
      <c r="F4068" t="str">
        <f t="shared" si="887"/>
        <v>5852221397</v>
      </c>
      <c r="G4068" s="1">
        <v>44664</v>
      </c>
      <c r="H4068" t="str">
        <f>"91329"</f>
        <v>91329</v>
      </c>
      <c r="I4068">
        <v>2</v>
      </c>
      <c r="J4068">
        <v>428</v>
      </c>
      <c r="K4068">
        <v>0</v>
      </c>
      <c r="L4068">
        <v>333.84</v>
      </c>
    </row>
    <row r="4069" spans="1:12" x14ac:dyDescent="0.25">
      <c r="A4069" t="str">
        <f t="shared" si="886"/>
        <v>89301000</v>
      </c>
      <c r="B4069" t="str">
        <f t="shared" si="885"/>
        <v>06539000</v>
      </c>
      <c r="C4069" t="str">
        <f t="shared" si="891"/>
        <v>06539003</v>
      </c>
      <c r="D4069" t="str">
        <f t="shared" si="892"/>
        <v>813</v>
      </c>
      <c r="E4069" t="str">
        <f t="shared" si="894"/>
        <v>89301171</v>
      </c>
      <c r="F4069" t="str">
        <f t="shared" si="887"/>
        <v>5852221397</v>
      </c>
      <c r="G4069" s="1">
        <v>44664</v>
      </c>
      <c r="H4069" t="str">
        <f>"91329"</f>
        <v>91329</v>
      </c>
      <c r="I4069">
        <v>2</v>
      </c>
      <c r="J4069">
        <v>428</v>
      </c>
      <c r="K4069">
        <v>0</v>
      </c>
      <c r="L4069">
        <v>333.84</v>
      </c>
    </row>
    <row r="4070" spans="1:12" x14ac:dyDescent="0.25">
      <c r="A4070" t="str">
        <f t="shared" si="886"/>
        <v>89301000</v>
      </c>
      <c r="B4070" t="str">
        <f t="shared" si="885"/>
        <v>06539000</v>
      </c>
      <c r="C4070" t="str">
        <f t="shared" si="891"/>
        <v>06539003</v>
      </c>
      <c r="D4070" t="str">
        <f t="shared" si="892"/>
        <v>813</v>
      </c>
      <c r="E4070" t="str">
        <f t="shared" si="894"/>
        <v>89301171</v>
      </c>
      <c r="F4070" t="str">
        <f t="shared" si="887"/>
        <v>5852221397</v>
      </c>
      <c r="G4070" s="1">
        <v>44664</v>
      </c>
      <c r="H4070" t="str">
        <f>"91329"</f>
        <v>91329</v>
      </c>
      <c r="I4070">
        <v>2</v>
      </c>
      <c r="J4070">
        <v>428</v>
      </c>
      <c r="K4070">
        <v>0</v>
      </c>
      <c r="L4070">
        <v>333.84</v>
      </c>
    </row>
    <row r="4071" spans="1:12" x14ac:dyDescent="0.25">
      <c r="A4071" t="str">
        <f t="shared" si="886"/>
        <v>89301000</v>
      </c>
      <c r="B4071" t="str">
        <f t="shared" si="885"/>
        <v>06539000</v>
      </c>
      <c r="C4071" t="str">
        <f t="shared" si="891"/>
        <v>06539003</v>
      </c>
      <c r="D4071" t="str">
        <f t="shared" si="892"/>
        <v>813</v>
      </c>
      <c r="E4071" t="str">
        <f t="shared" si="894"/>
        <v>89301171</v>
      </c>
      <c r="F4071" t="str">
        <f t="shared" si="887"/>
        <v>5852221397</v>
      </c>
      <c r="G4071" s="1">
        <v>44659</v>
      </c>
      <c r="H4071" t="str">
        <f>"91129"</f>
        <v>91129</v>
      </c>
      <c r="I4071">
        <v>1</v>
      </c>
      <c r="J4071">
        <v>174</v>
      </c>
      <c r="K4071">
        <v>0</v>
      </c>
      <c r="L4071">
        <v>135.72</v>
      </c>
    </row>
    <row r="4072" spans="1:12" x14ac:dyDescent="0.25">
      <c r="A4072" t="str">
        <f t="shared" si="886"/>
        <v>89301000</v>
      </c>
      <c r="B4072" t="str">
        <f t="shared" si="885"/>
        <v>06539000</v>
      </c>
      <c r="C4072" t="str">
        <f t="shared" si="891"/>
        <v>06539003</v>
      </c>
      <c r="D4072" t="str">
        <f t="shared" si="892"/>
        <v>813</v>
      </c>
      <c r="E4072" t="str">
        <f t="shared" si="894"/>
        <v>89301171</v>
      </c>
      <c r="F4072" t="str">
        <f t="shared" si="887"/>
        <v>5852221397</v>
      </c>
      <c r="G4072" s="1">
        <v>44659</v>
      </c>
      <c r="H4072" t="str">
        <f>"91131"</f>
        <v>91131</v>
      </c>
      <c r="I4072">
        <v>1</v>
      </c>
      <c r="J4072">
        <v>171</v>
      </c>
      <c r="K4072">
        <v>0</v>
      </c>
      <c r="L4072">
        <v>133.38</v>
      </c>
    </row>
    <row r="4073" spans="1:12" x14ac:dyDescent="0.25">
      <c r="A4073" t="str">
        <f t="shared" si="886"/>
        <v>89301000</v>
      </c>
      <c r="B4073" t="str">
        <f t="shared" si="885"/>
        <v>06539000</v>
      </c>
      <c r="C4073" t="str">
        <f t="shared" si="891"/>
        <v>06539003</v>
      </c>
      <c r="D4073" t="str">
        <f t="shared" si="892"/>
        <v>813</v>
      </c>
      <c r="E4073" t="str">
        <f t="shared" si="894"/>
        <v>89301171</v>
      </c>
      <c r="F4073" t="str">
        <f t="shared" si="887"/>
        <v>5852221397</v>
      </c>
      <c r="G4073" s="1">
        <v>44659</v>
      </c>
      <c r="H4073" t="str">
        <f>"91133"</f>
        <v>91133</v>
      </c>
      <c r="I4073">
        <v>1</v>
      </c>
      <c r="J4073">
        <v>176</v>
      </c>
      <c r="K4073">
        <v>0</v>
      </c>
      <c r="L4073">
        <v>137.28</v>
      </c>
    </row>
    <row r="4074" spans="1:12" x14ac:dyDescent="0.25">
      <c r="A4074" t="str">
        <f t="shared" si="886"/>
        <v>89301000</v>
      </c>
      <c r="B4074" t="str">
        <f t="shared" si="885"/>
        <v>06539000</v>
      </c>
      <c r="C4074" t="str">
        <f t="shared" si="891"/>
        <v>06539003</v>
      </c>
      <c r="D4074" t="str">
        <f t="shared" si="892"/>
        <v>813</v>
      </c>
      <c r="E4074" t="str">
        <f t="shared" si="894"/>
        <v>89301171</v>
      </c>
      <c r="F4074" t="str">
        <f t="shared" si="887"/>
        <v>5852221397</v>
      </c>
      <c r="G4074" s="1">
        <v>44659</v>
      </c>
      <c r="H4074" t="str">
        <f>"91171"</f>
        <v>91171</v>
      </c>
      <c r="I4074">
        <v>1</v>
      </c>
      <c r="J4074">
        <v>360</v>
      </c>
      <c r="K4074">
        <v>0</v>
      </c>
      <c r="L4074">
        <v>280.8</v>
      </c>
    </row>
    <row r="4075" spans="1:12" x14ac:dyDescent="0.25">
      <c r="A4075" t="str">
        <f t="shared" si="886"/>
        <v>89301000</v>
      </c>
      <c r="B4075" t="str">
        <f t="shared" si="885"/>
        <v>06539000</v>
      </c>
      <c r="C4075" t="str">
        <f t="shared" si="891"/>
        <v>06539003</v>
      </c>
      <c r="D4075" t="str">
        <f t="shared" si="892"/>
        <v>813</v>
      </c>
      <c r="E4075" t="str">
        <f t="shared" si="894"/>
        <v>89301171</v>
      </c>
      <c r="F4075" t="str">
        <f t="shared" si="887"/>
        <v>5852221397</v>
      </c>
      <c r="G4075" s="1">
        <v>44659</v>
      </c>
      <c r="H4075" t="str">
        <f>"91173"</f>
        <v>91173</v>
      </c>
      <c r="I4075">
        <v>1</v>
      </c>
      <c r="J4075">
        <v>335</v>
      </c>
      <c r="K4075">
        <v>0</v>
      </c>
      <c r="L4075">
        <v>261.3</v>
      </c>
    </row>
    <row r="4076" spans="1:12" x14ac:dyDescent="0.25">
      <c r="A4076" t="str">
        <f t="shared" si="886"/>
        <v>89301000</v>
      </c>
      <c r="B4076" t="str">
        <f t="shared" si="885"/>
        <v>06539000</v>
      </c>
      <c r="C4076" t="str">
        <f t="shared" si="891"/>
        <v>06539003</v>
      </c>
      <c r="D4076" t="str">
        <f t="shared" si="892"/>
        <v>813</v>
      </c>
      <c r="E4076" t="str">
        <f t="shared" si="894"/>
        <v>89301171</v>
      </c>
      <c r="F4076" t="str">
        <f t="shared" si="887"/>
        <v>5852221397</v>
      </c>
      <c r="G4076" s="1">
        <v>44659</v>
      </c>
      <c r="H4076" t="str">
        <f>"91175"</f>
        <v>91175</v>
      </c>
      <c r="I4076">
        <v>1</v>
      </c>
      <c r="J4076">
        <v>360</v>
      </c>
      <c r="K4076">
        <v>0</v>
      </c>
      <c r="L4076">
        <v>280.8</v>
      </c>
    </row>
    <row r="4077" spans="1:12" x14ac:dyDescent="0.25">
      <c r="A4077" t="str">
        <f t="shared" si="886"/>
        <v>89301000</v>
      </c>
      <c r="B4077" t="str">
        <f t="shared" si="885"/>
        <v>06539000</v>
      </c>
      <c r="C4077" t="str">
        <f t="shared" si="891"/>
        <v>06539003</v>
      </c>
      <c r="D4077" t="str">
        <f t="shared" si="892"/>
        <v>813</v>
      </c>
      <c r="E4077" t="str">
        <f t="shared" si="894"/>
        <v>89301171</v>
      </c>
      <c r="F4077" t="str">
        <f t="shared" si="887"/>
        <v>5852221397</v>
      </c>
      <c r="G4077" s="1">
        <v>44660</v>
      </c>
      <c r="H4077" t="str">
        <f>"91167"</f>
        <v>91167</v>
      </c>
      <c r="I4077">
        <v>1</v>
      </c>
      <c r="J4077">
        <v>425</v>
      </c>
      <c r="K4077">
        <v>0</v>
      </c>
      <c r="L4077">
        <v>331.5</v>
      </c>
    </row>
    <row r="4078" spans="1:12" x14ac:dyDescent="0.25">
      <c r="A4078" t="str">
        <f t="shared" si="886"/>
        <v>89301000</v>
      </c>
      <c r="B4078" t="str">
        <f t="shared" si="885"/>
        <v>06539000</v>
      </c>
      <c r="C4078" t="str">
        <f t="shared" si="891"/>
        <v>06539003</v>
      </c>
      <c r="D4078" t="str">
        <f t="shared" si="892"/>
        <v>813</v>
      </c>
      <c r="E4078" t="str">
        <f t="shared" si="894"/>
        <v>89301171</v>
      </c>
      <c r="F4078" t="str">
        <f t="shared" si="887"/>
        <v>5852221397</v>
      </c>
      <c r="G4078" s="1">
        <v>44660</v>
      </c>
      <c r="H4078" t="str">
        <f>"91169"</f>
        <v>91169</v>
      </c>
      <c r="I4078">
        <v>1</v>
      </c>
      <c r="J4078">
        <v>425</v>
      </c>
      <c r="K4078">
        <v>0</v>
      </c>
      <c r="L4078">
        <v>331.5</v>
      </c>
    </row>
    <row r="4079" spans="1:12" x14ac:dyDescent="0.25">
      <c r="A4079" t="str">
        <f t="shared" si="886"/>
        <v>89301000</v>
      </c>
      <c r="B4079" t="str">
        <f t="shared" si="885"/>
        <v>06539000</v>
      </c>
      <c r="C4079" t="str">
        <f t="shared" si="891"/>
        <v>06539003</v>
      </c>
      <c r="D4079" t="str">
        <f t="shared" si="892"/>
        <v>813</v>
      </c>
      <c r="E4079" t="str">
        <f t="shared" si="894"/>
        <v>89301171</v>
      </c>
      <c r="F4079" t="str">
        <f t="shared" si="887"/>
        <v>5852221397</v>
      </c>
      <c r="G4079" s="1">
        <v>44659</v>
      </c>
      <c r="H4079" t="str">
        <f>"91167"</f>
        <v>91167</v>
      </c>
      <c r="I4079">
        <v>1</v>
      </c>
      <c r="J4079">
        <v>425</v>
      </c>
      <c r="K4079">
        <v>0</v>
      </c>
      <c r="L4079">
        <v>331.5</v>
      </c>
    </row>
    <row r="4080" spans="1:12" x14ac:dyDescent="0.25">
      <c r="A4080" t="str">
        <f t="shared" si="886"/>
        <v>89301000</v>
      </c>
      <c r="B4080" t="str">
        <f t="shared" si="885"/>
        <v>06539000</v>
      </c>
      <c r="C4080" t="str">
        <f t="shared" si="891"/>
        <v>06539003</v>
      </c>
      <c r="D4080" t="str">
        <f t="shared" si="892"/>
        <v>813</v>
      </c>
      <c r="E4080" t="str">
        <f t="shared" si="894"/>
        <v>89301171</v>
      </c>
      <c r="F4080" t="str">
        <f t="shared" si="887"/>
        <v>5852221397</v>
      </c>
      <c r="G4080" s="1">
        <v>44659</v>
      </c>
      <c r="H4080" t="str">
        <f>"91169"</f>
        <v>91169</v>
      </c>
      <c r="I4080">
        <v>1</v>
      </c>
      <c r="J4080">
        <v>425</v>
      </c>
      <c r="K4080">
        <v>0</v>
      </c>
      <c r="L4080">
        <v>331.5</v>
      </c>
    </row>
    <row r="4081" spans="1:12" x14ac:dyDescent="0.25">
      <c r="A4081" t="str">
        <f t="shared" si="886"/>
        <v>89301000</v>
      </c>
      <c r="B4081" t="str">
        <f t="shared" si="885"/>
        <v>06539000</v>
      </c>
      <c r="C4081" t="str">
        <f t="shared" si="891"/>
        <v>06539003</v>
      </c>
      <c r="D4081" t="str">
        <f t="shared" si="892"/>
        <v>813</v>
      </c>
      <c r="E4081" t="str">
        <f t="shared" si="894"/>
        <v>89301171</v>
      </c>
      <c r="F4081" t="str">
        <f t="shared" si="887"/>
        <v>5852221397</v>
      </c>
      <c r="G4081" s="1">
        <v>44659</v>
      </c>
      <c r="H4081" t="str">
        <f>"91475"</f>
        <v>91475</v>
      </c>
      <c r="I4081">
        <v>1</v>
      </c>
      <c r="J4081">
        <v>206</v>
      </c>
      <c r="K4081">
        <v>0</v>
      </c>
      <c r="L4081">
        <v>160.68</v>
      </c>
    </row>
    <row r="4082" spans="1:12" x14ac:dyDescent="0.25">
      <c r="A4082" t="str">
        <f t="shared" si="886"/>
        <v>89301000</v>
      </c>
      <c r="B4082" t="str">
        <f t="shared" si="885"/>
        <v>06539000</v>
      </c>
      <c r="C4082" t="str">
        <f>"06539001"</f>
        <v>06539001</v>
      </c>
      <c r="D4082" t="str">
        <f>"801"</f>
        <v>801</v>
      </c>
      <c r="E4082" t="str">
        <f t="shared" si="894"/>
        <v>89301171</v>
      </c>
      <c r="F4082" t="str">
        <f t="shared" ref="F4082:F4115" si="896">"5655290476"</f>
        <v>5655290476</v>
      </c>
      <c r="G4082" s="1">
        <v>44659</v>
      </c>
      <c r="H4082" t="str">
        <f>"81329"</f>
        <v>81329</v>
      </c>
      <c r="I4082">
        <v>1</v>
      </c>
      <c r="J4082">
        <v>16</v>
      </c>
      <c r="K4082">
        <v>0</v>
      </c>
      <c r="L4082">
        <v>12.48</v>
      </c>
    </row>
    <row r="4083" spans="1:12" x14ac:dyDescent="0.25">
      <c r="A4083" t="str">
        <f t="shared" si="886"/>
        <v>89301000</v>
      </c>
      <c r="B4083" t="str">
        <f t="shared" si="885"/>
        <v>06539000</v>
      </c>
      <c r="C4083" t="str">
        <f>"06539001"</f>
        <v>06539001</v>
      </c>
      <c r="D4083" t="str">
        <f>"801"</f>
        <v>801</v>
      </c>
      <c r="E4083" t="str">
        <f t="shared" si="894"/>
        <v>89301171</v>
      </c>
      <c r="F4083" t="str">
        <f t="shared" si="896"/>
        <v>5655290476</v>
      </c>
      <c r="G4083" s="1">
        <v>44659</v>
      </c>
      <c r="H4083" t="str">
        <f>"81331"</f>
        <v>81331</v>
      </c>
      <c r="I4083">
        <v>1</v>
      </c>
      <c r="J4083">
        <v>193</v>
      </c>
      <c r="K4083">
        <v>0</v>
      </c>
      <c r="L4083">
        <v>150.54</v>
      </c>
    </row>
    <row r="4084" spans="1:12" x14ac:dyDescent="0.25">
      <c r="A4084" t="str">
        <f t="shared" si="886"/>
        <v>89301000</v>
      </c>
      <c r="B4084" t="str">
        <f t="shared" ref="B4084:B4147" si="897">"06539000"</f>
        <v>06539000</v>
      </c>
      <c r="C4084" t="str">
        <f t="shared" ref="C4084:C4115" si="898">"06539003"</f>
        <v>06539003</v>
      </c>
      <c r="D4084" t="str">
        <f t="shared" ref="D4084:D4115" si="899">"813"</f>
        <v>813</v>
      </c>
      <c r="E4084" t="str">
        <f t="shared" si="894"/>
        <v>89301171</v>
      </c>
      <c r="F4084" t="str">
        <f t="shared" si="896"/>
        <v>5655290476</v>
      </c>
      <c r="G4084" s="1">
        <v>44662</v>
      </c>
      <c r="H4084" t="str">
        <f>"91439"</f>
        <v>91439</v>
      </c>
      <c r="I4084">
        <v>1</v>
      </c>
      <c r="J4084">
        <v>356</v>
      </c>
      <c r="K4084">
        <v>0</v>
      </c>
      <c r="L4084">
        <v>277.68</v>
      </c>
    </row>
    <row r="4085" spans="1:12" x14ac:dyDescent="0.25">
      <c r="A4085" t="str">
        <f t="shared" si="886"/>
        <v>89301000</v>
      </c>
      <c r="B4085" t="str">
        <f t="shared" si="897"/>
        <v>06539000</v>
      </c>
      <c r="C4085" t="str">
        <f t="shared" si="898"/>
        <v>06539003</v>
      </c>
      <c r="D4085" t="str">
        <f t="shared" si="899"/>
        <v>813</v>
      </c>
      <c r="E4085" t="str">
        <f t="shared" si="894"/>
        <v>89301171</v>
      </c>
      <c r="F4085" t="str">
        <f t="shared" si="896"/>
        <v>5655290476</v>
      </c>
      <c r="G4085" s="1">
        <v>44662</v>
      </c>
      <c r="H4085" t="str">
        <f>"91439"</f>
        <v>91439</v>
      </c>
      <c r="I4085">
        <v>1</v>
      </c>
      <c r="J4085">
        <v>356</v>
      </c>
      <c r="K4085">
        <v>0</v>
      </c>
      <c r="L4085">
        <v>277.68</v>
      </c>
    </row>
    <row r="4086" spans="1:12" x14ac:dyDescent="0.25">
      <c r="A4086" t="str">
        <f t="shared" si="886"/>
        <v>89301000</v>
      </c>
      <c r="B4086" t="str">
        <f t="shared" si="897"/>
        <v>06539000</v>
      </c>
      <c r="C4086" t="str">
        <f t="shared" si="898"/>
        <v>06539003</v>
      </c>
      <c r="D4086" t="str">
        <f t="shared" si="899"/>
        <v>813</v>
      </c>
      <c r="E4086" t="str">
        <f t="shared" si="894"/>
        <v>89301171</v>
      </c>
      <c r="F4086" t="str">
        <f t="shared" si="896"/>
        <v>5655290476</v>
      </c>
      <c r="G4086" s="1">
        <v>44662</v>
      </c>
      <c r="H4086" t="str">
        <f>"91439"</f>
        <v>91439</v>
      </c>
      <c r="I4086">
        <v>1</v>
      </c>
      <c r="J4086">
        <v>356</v>
      </c>
      <c r="K4086">
        <v>0</v>
      </c>
      <c r="L4086">
        <v>277.68</v>
      </c>
    </row>
    <row r="4087" spans="1:12" x14ac:dyDescent="0.25">
      <c r="A4087" t="str">
        <f t="shared" si="886"/>
        <v>89301000</v>
      </c>
      <c r="B4087" t="str">
        <f t="shared" si="897"/>
        <v>06539000</v>
      </c>
      <c r="C4087" t="str">
        <f t="shared" si="898"/>
        <v>06539003</v>
      </c>
      <c r="D4087" t="str">
        <f t="shared" si="899"/>
        <v>813</v>
      </c>
      <c r="E4087" t="str">
        <f t="shared" si="894"/>
        <v>89301171</v>
      </c>
      <c r="F4087" t="str">
        <f t="shared" si="896"/>
        <v>5655290476</v>
      </c>
      <c r="G4087" s="1">
        <v>44662</v>
      </c>
      <c r="H4087" t="str">
        <f>"91439"</f>
        <v>91439</v>
      </c>
      <c r="I4087">
        <v>1</v>
      </c>
      <c r="J4087">
        <v>356</v>
      </c>
      <c r="K4087">
        <v>0</v>
      </c>
      <c r="L4087">
        <v>277.68</v>
      </c>
    </row>
    <row r="4088" spans="1:12" x14ac:dyDescent="0.25">
      <c r="A4088" t="str">
        <f t="shared" si="886"/>
        <v>89301000</v>
      </c>
      <c r="B4088" t="str">
        <f t="shared" si="897"/>
        <v>06539000</v>
      </c>
      <c r="C4088" t="str">
        <f t="shared" si="898"/>
        <v>06539003</v>
      </c>
      <c r="D4088" t="str">
        <f t="shared" si="899"/>
        <v>813</v>
      </c>
      <c r="E4088" t="str">
        <f t="shared" si="894"/>
        <v>89301171</v>
      </c>
      <c r="F4088" t="str">
        <f t="shared" si="896"/>
        <v>5655290476</v>
      </c>
      <c r="G4088" s="1">
        <v>44662</v>
      </c>
      <c r="H4088" t="str">
        <f>"91439"</f>
        <v>91439</v>
      </c>
      <c r="I4088">
        <v>2</v>
      </c>
      <c r="J4088">
        <v>712</v>
      </c>
      <c r="K4088">
        <v>0</v>
      </c>
      <c r="L4088">
        <v>555.36</v>
      </c>
    </row>
    <row r="4089" spans="1:12" x14ac:dyDescent="0.25">
      <c r="A4089" t="str">
        <f t="shared" si="886"/>
        <v>89301000</v>
      </c>
      <c r="B4089" t="str">
        <f t="shared" si="897"/>
        <v>06539000</v>
      </c>
      <c r="C4089" t="str">
        <f t="shared" si="898"/>
        <v>06539003</v>
      </c>
      <c r="D4089" t="str">
        <f t="shared" si="899"/>
        <v>813</v>
      </c>
      <c r="E4089" t="str">
        <f t="shared" si="894"/>
        <v>89301171</v>
      </c>
      <c r="F4089" t="str">
        <f t="shared" si="896"/>
        <v>5655290476</v>
      </c>
      <c r="G4089" s="1">
        <v>44662</v>
      </c>
      <c r="H4089" t="str">
        <f t="shared" ref="H4089:H4098" si="900">"91413"</f>
        <v>91413</v>
      </c>
      <c r="I4089">
        <v>1</v>
      </c>
      <c r="J4089">
        <v>853</v>
      </c>
      <c r="K4089">
        <v>0</v>
      </c>
      <c r="L4089">
        <v>665.34</v>
      </c>
    </row>
    <row r="4090" spans="1:12" x14ac:dyDescent="0.25">
      <c r="A4090" t="str">
        <f t="shared" si="886"/>
        <v>89301000</v>
      </c>
      <c r="B4090" t="str">
        <f t="shared" si="897"/>
        <v>06539000</v>
      </c>
      <c r="C4090" t="str">
        <f t="shared" si="898"/>
        <v>06539003</v>
      </c>
      <c r="D4090" t="str">
        <f t="shared" si="899"/>
        <v>813</v>
      </c>
      <c r="E4090" t="str">
        <f t="shared" si="894"/>
        <v>89301171</v>
      </c>
      <c r="F4090" t="str">
        <f t="shared" si="896"/>
        <v>5655290476</v>
      </c>
      <c r="G4090" s="1">
        <v>44662</v>
      </c>
      <c r="H4090" t="str">
        <f t="shared" si="900"/>
        <v>91413</v>
      </c>
      <c r="I4090">
        <v>1</v>
      </c>
      <c r="J4090">
        <v>853</v>
      </c>
      <c r="K4090">
        <v>0</v>
      </c>
      <c r="L4090">
        <v>665.34</v>
      </c>
    </row>
    <row r="4091" spans="1:12" x14ac:dyDescent="0.25">
      <c r="A4091" t="str">
        <f t="shared" si="886"/>
        <v>89301000</v>
      </c>
      <c r="B4091" t="str">
        <f t="shared" si="897"/>
        <v>06539000</v>
      </c>
      <c r="C4091" t="str">
        <f t="shared" si="898"/>
        <v>06539003</v>
      </c>
      <c r="D4091" t="str">
        <f t="shared" si="899"/>
        <v>813</v>
      </c>
      <c r="E4091" t="str">
        <f t="shared" si="894"/>
        <v>89301171</v>
      </c>
      <c r="F4091" t="str">
        <f t="shared" si="896"/>
        <v>5655290476</v>
      </c>
      <c r="G4091" s="1">
        <v>44672</v>
      </c>
      <c r="H4091" t="str">
        <f t="shared" si="900"/>
        <v>91413</v>
      </c>
      <c r="I4091">
        <v>1</v>
      </c>
      <c r="J4091">
        <v>853</v>
      </c>
      <c r="K4091">
        <v>0</v>
      </c>
      <c r="L4091">
        <v>665.34</v>
      </c>
    </row>
    <row r="4092" spans="1:12" x14ac:dyDescent="0.25">
      <c r="A4092" t="str">
        <f t="shared" si="886"/>
        <v>89301000</v>
      </c>
      <c r="B4092" t="str">
        <f t="shared" si="897"/>
        <v>06539000</v>
      </c>
      <c r="C4092" t="str">
        <f t="shared" si="898"/>
        <v>06539003</v>
      </c>
      <c r="D4092" t="str">
        <f t="shared" si="899"/>
        <v>813</v>
      </c>
      <c r="E4092" t="str">
        <f t="shared" si="894"/>
        <v>89301171</v>
      </c>
      <c r="F4092" t="str">
        <f t="shared" si="896"/>
        <v>5655290476</v>
      </c>
      <c r="G4092" s="1">
        <v>44672</v>
      </c>
      <c r="H4092" t="str">
        <f t="shared" si="900"/>
        <v>91413</v>
      </c>
      <c r="I4092">
        <v>1</v>
      </c>
      <c r="J4092">
        <v>853</v>
      </c>
      <c r="K4092">
        <v>0</v>
      </c>
      <c r="L4092">
        <v>665.34</v>
      </c>
    </row>
    <row r="4093" spans="1:12" x14ac:dyDescent="0.25">
      <c r="A4093" t="str">
        <f t="shared" si="886"/>
        <v>89301000</v>
      </c>
      <c r="B4093" t="str">
        <f t="shared" si="897"/>
        <v>06539000</v>
      </c>
      <c r="C4093" t="str">
        <f t="shared" si="898"/>
        <v>06539003</v>
      </c>
      <c r="D4093" t="str">
        <f t="shared" si="899"/>
        <v>813</v>
      </c>
      <c r="E4093" t="str">
        <f t="shared" si="894"/>
        <v>89301171</v>
      </c>
      <c r="F4093" t="str">
        <f t="shared" si="896"/>
        <v>5655290476</v>
      </c>
      <c r="G4093" s="1">
        <v>44673</v>
      </c>
      <c r="H4093" t="str">
        <f t="shared" si="900"/>
        <v>91413</v>
      </c>
      <c r="I4093">
        <v>1</v>
      </c>
      <c r="J4093">
        <v>853</v>
      </c>
      <c r="K4093">
        <v>0</v>
      </c>
      <c r="L4093">
        <v>665.34</v>
      </c>
    </row>
    <row r="4094" spans="1:12" x14ac:dyDescent="0.25">
      <c r="A4094" t="str">
        <f t="shared" si="886"/>
        <v>89301000</v>
      </c>
      <c r="B4094" t="str">
        <f t="shared" si="897"/>
        <v>06539000</v>
      </c>
      <c r="C4094" t="str">
        <f t="shared" si="898"/>
        <v>06539003</v>
      </c>
      <c r="D4094" t="str">
        <f t="shared" si="899"/>
        <v>813</v>
      </c>
      <c r="E4094" t="str">
        <f t="shared" si="894"/>
        <v>89301171</v>
      </c>
      <c r="F4094" t="str">
        <f t="shared" si="896"/>
        <v>5655290476</v>
      </c>
      <c r="G4094" s="1">
        <v>44673</v>
      </c>
      <c r="H4094" t="str">
        <f t="shared" si="900"/>
        <v>91413</v>
      </c>
      <c r="I4094">
        <v>1</v>
      </c>
      <c r="J4094">
        <v>853</v>
      </c>
      <c r="K4094">
        <v>0</v>
      </c>
      <c r="L4094">
        <v>665.34</v>
      </c>
    </row>
    <row r="4095" spans="1:12" x14ac:dyDescent="0.25">
      <c r="A4095" t="str">
        <f t="shared" si="886"/>
        <v>89301000</v>
      </c>
      <c r="B4095" t="str">
        <f t="shared" si="897"/>
        <v>06539000</v>
      </c>
      <c r="C4095" t="str">
        <f t="shared" si="898"/>
        <v>06539003</v>
      </c>
      <c r="D4095" t="str">
        <f t="shared" si="899"/>
        <v>813</v>
      </c>
      <c r="E4095" t="str">
        <f t="shared" si="894"/>
        <v>89301171</v>
      </c>
      <c r="F4095" t="str">
        <f t="shared" si="896"/>
        <v>5655290476</v>
      </c>
      <c r="G4095" s="1">
        <v>44672</v>
      </c>
      <c r="H4095" t="str">
        <f t="shared" si="900"/>
        <v>91413</v>
      </c>
      <c r="I4095">
        <v>1</v>
      </c>
      <c r="J4095">
        <v>853</v>
      </c>
      <c r="K4095">
        <v>0</v>
      </c>
      <c r="L4095">
        <v>665.34</v>
      </c>
    </row>
    <row r="4096" spans="1:12" x14ac:dyDescent="0.25">
      <c r="A4096" t="str">
        <f t="shared" si="886"/>
        <v>89301000</v>
      </c>
      <c r="B4096" t="str">
        <f t="shared" si="897"/>
        <v>06539000</v>
      </c>
      <c r="C4096" t="str">
        <f t="shared" si="898"/>
        <v>06539003</v>
      </c>
      <c r="D4096" t="str">
        <f t="shared" si="899"/>
        <v>813</v>
      </c>
      <c r="E4096" t="str">
        <f t="shared" si="894"/>
        <v>89301171</v>
      </c>
      <c r="F4096" t="str">
        <f t="shared" si="896"/>
        <v>5655290476</v>
      </c>
      <c r="G4096" s="1">
        <v>44672</v>
      </c>
      <c r="H4096" t="str">
        <f t="shared" si="900"/>
        <v>91413</v>
      </c>
      <c r="I4096">
        <v>1</v>
      </c>
      <c r="J4096">
        <v>853</v>
      </c>
      <c r="K4096">
        <v>0</v>
      </c>
      <c r="L4096">
        <v>665.34</v>
      </c>
    </row>
    <row r="4097" spans="1:12" x14ac:dyDescent="0.25">
      <c r="A4097" t="str">
        <f t="shared" si="886"/>
        <v>89301000</v>
      </c>
      <c r="B4097" t="str">
        <f t="shared" si="897"/>
        <v>06539000</v>
      </c>
      <c r="C4097" t="str">
        <f t="shared" si="898"/>
        <v>06539003</v>
      </c>
      <c r="D4097" t="str">
        <f t="shared" si="899"/>
        <v>813</v>
      </c>
      <c r="E4097" t="str">
        <f t="shared" si="894"/>
        <v>89301171</v>
      </c>
      <c r="F4097" t="str">
        <f t="shared" si="896"/>
        <v>5655290476</v>
      </c>
      <c r="G4097" s="1">
        <v>44672</v>
      </c>
      <c r="H4097" t="str">
        <f t="shared" si="900"/>
        <v>91413</v>
      </c>
      <c r="I4097">
        <v>1</v>
      </c>
      <c r="J4097">
        <v>853</v>
      </c>
      <c r="K4097">
        <v>0</v>
      </c>
      <c r="L4097">
        <v>665.34</v>
      </c>
    </row>
    <row r="4098" spans="1:12" x14ac:dyDescent="0.25">
      <c r="A4098" t="str">
        <f t="shared" ref="A4098:A4161" si="901">"89301000"</f>
        <v>89301000</v>
      </c>
      <c r="B4098" t="str">
        <f t="shared" si="897"/>
        <v>06539000</v>
      </c>
      <c r="C4098" t="str">
        <f t="shared" si="898"/>
        <v>06539003</v>
      </c>
      <c r="D4098" t="str">
        <f t="shared" si="899"/>
        <v>813</v>
      </c>
      <c r="E4098" t="str">
        <f t="shared" si="894"/>
        <v>89301171</v>
      </c>
      <c r="F4098" t="str">
        <f t="shared" si="896"/>
        <v>5655290476</v>
      </c>
      <c r="G4098" s="1">
        <v>44672</v>
      </c>
      <c r="H4098" t="str">
        <f t="shared" si="900"/>
        <v>91413</v>
      </c>
      <c r="I4098">
        <v>1</v>
      </c>
      <c r="J4098">
        <v>853</v>
      </c>
      <c r="K4098">
        <v>0</v>
      </c>
      <c r="L4098">
        <v>665.34</v>
      </c>
    </row>
    <row r="4099" spans="1:12" x14ac:dyDescent="0.25">
      <c r="A4099" t="str">
        <f t="shared" si="901"/>
        <v>89301000</v>
      </c>
      <c r="B4099" t="str">
        <f t="shared" si="897"/>
        <v>06539000</v>
      </c>
      <c r="C4099" t="str">
        <f t="shared" si="898"/>
        <v>06539003</v>
      </c>
      <c r="D4099" t="str">
        <f t="shared" si="899"/>
        <v>813</v>
      </c>
      <c r="E4099" t="str">
        <f t="shared" si="894"/>
        <v>89301171</v>
      </c>
      <c r="F4099" t="str">
        <f t="shared" si="896"/>
        <v>5655290476</v>
      </c>
      <c r="G4099" s="1">
        <v>44659</v>
      </c>
      <c r="H4099" t="str">
        <f t="shared" ref="H4099:H4104" si="902">"91197"</f>
        <v>91197</v>
      </c>
      <c r="I4099">
        <v>1</v>
      </c>
      <c r="J4099">
        <v>1046</v>
      </c>
      <c r="K4099">
        <v>0</v>
      </c>
      <c r="L4099">
        <v>815.88</v>
      </c>
    </row>
    <row r="4100" spans="1:12" x14ac:dyDescent="0.25">
      <c r="A4100" t="str">
        <f t="shared" si="901"/>
        <v>89301000</v>
      </c>
      <c r="B4100" t="str">
        <f t="shared" si="897"/>
        <v>06539000</v>
      </c>
      <c r="C4100" t="str">
        <f t="shared" si="898"/>
        <v>06539003</v>
      </c>
      <c r="D4100" t="str">
        <f t="shared" si="899"/>
        <v>813</v>
      </c>
      <c r="E4100" t="str">
        <f t="shared" si="894"/>
        <v>89301171</v>
      </c>
      <c r="F4100" t="str">
        <f t="shared" si="896"/>
        <v>5655290476</v>
      </c>
      <c r="G4100" s="1">
        <v>44661</v>
      </c>
      <c r="H4100" t="str">
        <f t="shared" si="902"/>
        <v>91197</v>
      </c>
      <c r="I4100">
        <v>1</v>
      </c>
      <c r="J4100">
        <v>1046</v>
      </c>
      <c r="K4100">
        <v>0</v>
      </c>
      <c r="L4100">
        <v>815.88</v>
      </c>
    </row>
    <row r="4101" spans="1:12" x14ac:dyDescent="0.25">
      <c r="A4101" t="str">
        <f t="shared" si="901"/>
        <v>89301000</v>
      </c>
      <c r="B4101" t="str">
        <f t="shared" si="897"/>
        <v>06539000</v>
      </c>
      <c r="C4101" t="str">
        <f t="shared" si="898"/>
        <v>06539003</v>
      </c>
      <c r="D4101" t="str">
        <f t="shared" si="899"/>
        <v>813</v>
      </c>
      <c r="E4101" t="str">
        <f t="shared" si="894"/>
        <v>89301171</v>
      </c>
      <c r="F4101" t="str">
        <f t="shared" si="896"/>
        <v>5655290476</v>
      </c>
      <c r="G4101" s="1">
        <v>44661</v>
      </c>
      <c r="H4101" t="str">
        <f t="shared" si="902"/>
        <v>91197</v>
      </c>
      <c r="I4101">
        <v>1</v>
      </c>
      <c r="J4101">
        <v>1046</v>
      </c>
      <c r="K4101">
        <v>0</v>
      </c>
      <c r="L4101">
        <v>815.88</v>
      </c>
    </row>
    <row r="4102" spans="1:12" x14ac:dyDescent="0.25">
      <c r="A4102" t="str">
        <f t="shared" si="901"/>
        <v>89301000</v>
      </c>
      <c r="B4102" t="str">
        <f t="shared" si="897"/>
        <v>06539000</v>
      </c>
      <c r="C4102" t="str">
        <f t="shared" si="898"/>
        <v>06539003</v>
      </c>
      <c r="D4102" t="str">
        <f t="shared" si="899"/>
        <v>813</v>
      </c>
      <c r="E4102" t="str">
        <f t="shared" si="894"/>
        <v>89301171</v>
      </c>
      <c r="F4102" t="str">
        <f t="shared" si="896"/>
        <v>5655290476</v>
      </c>
      <c r="G4102" s="1">
        <v>44660</v>
      </c>
      <c r="H4102" t="str">
        <f t="shared" si="902"/>
        <v>91197</v>
      </c>
      <c r="I4102">
        <v>1</v>
      </c>
      <c r="J4102">
        <v>1046</v>
      </c>
      <c r="K4102">
        <v>0</v>
      </c>
      <c r="L4102">
        <v>815.88</v>
      </c>
    </row>
    <row r="4103" spans="1:12" x14ac:dyDescent="0.25">
      <c r="A4103" t="str">
        <f t="shared" si="901"/>
        <v>89301000</v>
      </c>
      <c r="B4103" t="str">
        <f t="shared" si="897"/>
        <v>06539000</v>
      </c>
      <c r="C4103" t="str">
        <f t="shared" si="898"/>
        <v>06539003</v>
      </c>
      <c r="D4103" t="str">
        <f t="shared" si="899"/>
        <v>813</v>
      </c>
      <c r="E4103" t="str">
        <f t="shared" si="894"/>
        <v>89301171</v>
      </c>
      <c r="F4103" t="str">
        <f t="shared" si="896"/>
        <v>5655290476</v>
      </c>
      <c r="G4103" s="1">
        <v>44660</v>
      </c>
      <c r="H4103" t="str">
        <f t="shared" si="902"/>
        <v>91197</v>
      </c>
      <c r="I4103">
        <v>1</v>
      </c>
      <c r="J4103">
        <v>1046</v>
      </c>
      <c r="K4103">
        <v>0</v>
      </c>
      <c r="L4103">
        <v>815.88</v>
      </c>
    </row>
    <row r="4104" spans="1:12" x14ac:dyDescent="0.25">
      <c r="A4104" t="str">
        <f t="shared" si="901"/>
        <v>89301000</v>
      </c>
      <c r="B4104" t="str">
        <f t="shared" si="897"/>
        <v>06539000</v>
      </c>
      <c r="C4104" t="str">
        <f t="shared" si="898"/>
        <v>06539003</v>
      </c>
      <c r="D4104" t="str">
        <f t="shared" si="899"/>
        <v>813</v>
      </c>
      <c r="E4104" t="str">
        <f t="shared" si="894"/>
        <v>89301171</v>
      </c>
      <c r="F4104" t="str">
        <f t="shared" si="896"/>
        <v>5655290476</v>
      </c>
      <c r="G4104" s="1">
        <v>44659</v>
      </c>
      <c r="H4104" t="str">
        <f t="shared" si="902"/>
        <v>91197</v>
      </c>
      <c r="I4104">
        <v>1</v>
      </c>
      <c r="J4104">
        <v>1046</v>
      </c>
      <c r="K4104">
        <v>0</v>
      </c>
      <c r="L4104">
        <v>815.88</v>
      </c>
    </row>
    <row r="4105" spans="1:12" x14ac:dyDescent="0.25">
      <c r="A4105" t="str">
        <f t="shared" si="901"/>
        <v>89301000</v>
      </c>
      <c r="B4105" t="str">
        <f t="shared" si="897"/>
        <v>06539000</v>
      </c>
      <c r="C4105" t="str">
        <f t="shared" si="898"/>
        <v>06539003</v>
      </c>
      <c r="D4105" t="str">
        <f t="shared" si="899"/>
        <v>813</v>
      </c>
      <c r="E4105" t="str">
        <f t="shared" si="894"/>
        <v>89301171</v>
      </c>
      <c r="F4105" t="str">
        <f t="shared" si="896"/>
        <v>5655290476</v>
      </c>
      <c r="G4105" s="1">
        <v>44659</v>
      </c>
      <c r="H4105" t="str">
        <f>"91129"</f>
        <v>91129</v>
      </c>
      <c r="I4105">
        <v>1</v>
      </c>
      <c r="J4105">
        <v>174</v>
      </c>
      <c r="K4105">
        <v>0</v>
      </c>
      <c r="L4105">
        <v>135.72</v>
      </c>
    </row>
    <row r="4106" spans="1:12" x14ac:dyDescent="0.25">
      <c r="A4106" t="str">
        <f t="shared" si="901"/>
        <v>89301000</v>
      </c>
      <c r="B4106" t="str">
        <f t="shared" si="897"/>
        <v>06539000</v>
      </c>
      <c r="C4106" t="str">
        <f t="shared" si="898"/>
        <v>06539003</v>
      </c>
      <c r="D4106" t="str">
        <f t="shared" si="899"/>
        <v>813</v>
      </c>
      <c r="E4106" t="str">
        <f t="shared" si="894"/>
        <v>89301171</v>
      </c>
      <c r="F4106" t="str">
        <f t="shared" si="896"/>
        <v>5655290476</v>
      </c>
      <c r="G4106" s="1">
        <v>44659</v>
      </c>
      <c r="H4106" t="str">
        <f>"91131"</f>
        <v>91131</v>
      </c>
      <c r="I4106">
        <v>1</v>
      </c>
      <c r="J4106">
        <v>171</v>
      </c>
      <c r="K4106">
        <v>0</v>
      </c>
      <c r="L4106">
        <v>133.38</v>
      </c>
    </row>
    <row r="4107" spans="1:12" x14ac:dyDescent="0.25">
      <c r="A4107" t="str">
        <f t="shared" si="901"/>
        <v>89301000</v>
      </c>
      <c r="B4107" t="str">
        <f t="shared" si="897"/>
        <v>06539000</v>
      </c>
      <c r="C4107" t="str">
        <f t="shared" si="898"/>
        <v>06539003</v>
      </c>
      <c r="D4107" t="str">
        <f t="shared" si="899"/>
        <v>813</v>
      </c>
      <c r="E4107" t="str">
        <f t="shared" si="894"/>
        <v>89301171</v>
      </c>
      <c r="F4107" t="str">
        <f t="shared" si="896"/>
        <v>5655290476</v>
      </c>
      <c r="G4107" s="1">
        <v>44659</v>
      </c>
      <c r="H4107" t="str">
        <f>"91133"</f>
        <v>91133</v>
      </c>
      <c r="I4107">
        <v>1</v>
      </c>
      <c r="J4107">
        <v>176</v>
      </c>
      <c r="K4107">
        <v>0</v>
      </c>
      <c r="L4107">
        <v>137.28</v>
      </c>
    </row>
    <row r="4108" spans="1:12" x14ac:dyDescent="0.25">
      <c r="A4108" t="str">
        <f t="shared" si="901"/>
        <v>89301000</v>
      </c>
      <c r="B4108" t="str">
        <f t="shared" si="897"/>
        <v>06539000</v>
      </c>
      <c r="C4108" t="str">
        <f t="shared" si="898"/>
        <v>06539003</v>
      </c>
      <c r="D4108" t="str">
        <f t="shared" si="899"/>
        <v>813</v>
      </c>
      <c r="E4108" t="str">
        <f t="shared" si="894"/>
        <v>89301171</v>
      </c>
      <c r="F4108" t="str">
        <f t="shared" si="896"/>
        <v>5655290476</v>
      </c>
      <c r="G4108" s="1">
        <v>44659</v>
      </c>
      <c r="H4108" t="str">
        <f>"91171"</f>
        <v>91171</v>
      </c>
      <c r="I4108">
        <v>1</v>
      </c>
      <c r="J4108">
        <v>360</v>
      </c>
      <c r="K4108">
        <v>0</v>
      </c>
      <c r="L4108">
        <v>280.8</v>
      </c>
    </row>
    <row r="4109" spans="1:12" x14ac:dyDescent="0.25">
      <c r="A4109" t="str">
        <f t="shared" si="901"/>
        <v>89301000</v>
      </c>
      <c r="B4109" t="str">
        <f t="shared" si="897"/>
        <v>06539000</v>
      </c>
      <c r="C4109" t="str">
        <f t="shared" si="898"/>
        <v>06539003</v>
      </c>
      <c r="D4109" t="str">
        <f t="shared" si="899"/>
        <v>813</v>
      </c>
      <c r="E4109" t="str">
        <f t="shared" si="894"/>
        <v>89301171</v>
      </c>
      <c r="F4109" t="str">
        <f t="shared" si="896"/>
        <v>5655290476</v>
      </c>
      <c r="G4109" s="1">
        <v>44659</v>
      </c>
      <c r="H4109" t="str">
        <f>"91173"</f>
        <v>91173</v>
      </c>
      <c r="I4109">
        <v>1</v>
      </c>
      <c r="J4109">
        <v>335</v>
      </c>
      <c r="K4109">
        <v>0</v>
      </c>
      <c r="L4109">
        <v>261.3</v>
      </c>
    </row>
    <row r="4110" spans="1:12" x14ac:dyDescent="0.25">
      <c r="A4110" t="str">
        <f t="shared" si="901"/>
        <v>89301000</v>
      </c>
      <c r="B4110" t="str">
        <f t="shared" si="897"/>
        <v>06539000</v>
      </c>
      <c r="C4110" t="str">
        <f t="shared" si="898"/>
        <v>06539003</v>
      </c>
      <c r="D4110" t="str">
        <f t="shared" si="899"/>
        <v>813</v>
      </c>
      <c r="E4110" t="str">
        <f t="shared" si="894"/>
        <v>89301171</v>
      </c>
      <c r="F4110" t="str">
        <f t="shared" si="896"/>
        <v>5655290476</v>
      </c>
      <c r="G4110" s="1">
        <v>44659</v>
      </c>
      <c r="H4110" t="str">
        <f>"91175"</f>
        <v>91175</v>
      </c>
      <c r="I4110">
        <v>1</v>
      </c>
      <c r="J4110">
        <v>360</v>
      </c>
      <c r="K4110">
        <v>0</v>
      </c>
      <c r="L4110">
        <v>280.8</v>
      </c>
    </row>
    <row r="4111" spans="1:12" x14ac:dyDescent="0.25">
      <c r="A4111" t="str">
        <f t="shared" si="901"/>
        <v>89301000</v>
      </c>
      <c r="B4111" t="str">
        <f t="shared" si="897"/>
        <v>06539000</v>
      </c>
      <c r="C4111" t="str">
        <f t="shared" si="898"/>
        <v>06539003</v>
      </c>
      <c r="D4111" t="str">
        <f t="shared" si="899"/>
        <v>813</v>
      </c>
      <c r="E4111" t="str">
        <f t="shared" si="894"/>
        <v>89301171</v>
      </c>
      <c r="F4111" t="str">
        <f t="shared" si="896"/>
        <v>5655290476</v>
      </c>
      <c r="G4111" s="1">
        <v>44660</v>
      </c>
      <c r="H4111" t="str">
        <f>"91167"</f>
        <v>91167</v>
      </c>
      <c r="I4111">
        <v>1</v>
      </c>
      <c r="J4111">
        <v>425</v>
      </c>
      <c r="K4111">
        <v>0</v>
      </c>
      <c r="L4111">
        <v>331.5</v>
      </c>
    </row>
    <row r="4112" spans="1:12" x14ac:dyDescent="0.25">
      <c r="A4112" t="str">
        <f t="shared" si="901"/>
        <v>89301000</v>
      </c>
      <c r="B4112" t="str">
        <f t="shared" si="897"/>
        <v>06539000</v>
      </c>
      <c r="C4112" t="str">
        <f t="shared" si="898"/>
        <v>06539003</v>
      </c>
      <c r="D4112" t="str">
        <f t="shared" si="899"/>
        <v>813</v>
      </c>
      <c r="E4112" t="str">
        <f t="shared" si="894"/>
        <v>89301171</v>
      </c>
      <c r="F4112" t="str">
        <f t="shared" si="896"/>
        <v>5655290476</v>
      </c>
      <c r="G4112" s="1">
        <v>44660</v>
      </c>
      <c r="H4112" t="str">
        <f>"91169"</f>
        <v>91169</v>
      </c>
      <c r="I4112">
        <v>1</v>
      </c>
      <c r="J4112">
        <v>425</v>
      </c>
      <c r="K4112">
        <v>0</v>
      </c>
      <c r="L4112">
        <v>331.5</v>
      </c>
    </row>
    <row r="4113" spans="1:12" x14ac:dyDescent="0.25">
      <c r="A4113" t="str">
        <f t="shared" si="901"/>
        <v>89301000</v>
      </c>
      <c r="B4113" t="str">
        <f t="shared" si="897"/>
        <v>06539000</v>
      </c>
      <c r="C4113" t="str">
        <f t="shared" si="898"/>
        <v>06539003</v>
      </c>
      <c r="D4113" t="str">
        <f t="shared" si="899"/>
        <v>813</v>
      </c>
      <c r="E4113" t="str">
        <f t="shared" si="894"/>
        <v>89301171</v>
      </c>
      <c r="F4113" t="str">
        <f t="shared" si="896"/>
        <v>5655290476</v>
      </c>
      <c r="G4113" s="1">
        <v>44659</v>
      </c>
      <c r="H4113" t="str">
        <f>"91167"</f>
        <v>91167</v>
      </c>
      <c r="I4113">
        <v>1</v>
      </c>
      <c r="J4113">
        <v>425</v>
      </c>
      <c r="K4113">
        <v>0</v>
      </c>
      <c r="L4113">
        <v>331.5</v>
      </c>
    </row>
    <row r="4114" spans="1:12" x14ac:dyDescent="0.25">
      <c r="A4114" t="str">
        <f t="shared" si="901"/>
        <v>89301000</v>
      </c>
      <c r="B4114" t="str">
        <f t="shared" si="897"/>
        <v>06539000</v>
      </c>
      <c r="C4114" t="str">
        <f t="shared" si="898"/>
        <v>06539003</v>
      </c>
      <c r="D4114" t="str">
        <f t="shared" si="899"/>
        <v>813</v>
      </c>
      <c r="E4114" t="str">
        <f t="shared" si="894"/>
        <v>89301171</v>
      </c>
      <c r="F4114" t="str">
        <f t="shared" si="896"/>
        <v>5655290476</v>
      </c>
      <c r="G4114" s="1">
        <v>44659</v>
      </c>
      <c r="H4114" t="str">
        <f>"91169"</f>
        <v>91169</v>
      </c>
      <c r="I4114">
        <v>1</v>
      </c>
      <c r="J4114">
        <v>425</v>
      </c>
      <c r="K4114">
        <v>0</v>
      </c>
      <c r="L4114">
        <v>331.5</v>
      </c>
    </row>
    <row r="4115" spans="1:12" x14ac:dyDescent="0.25">
      <c r="A4115" t="str">
        <f t="shared" si="901"/>
        <v>89301000</v>
      </c>
      <c r="B4115" t="str">
        <f t="shared" si="897"/>
        <v>06539000</v>
      </c>
      <c r="C4115" t="str">
        <f t="shared" si="898"/>
        <v>06539003</v>
      </c>
      <c r="D4115" t="str">
        <f t="shared" si="899"/>
        <v>813</v>
      </c>
      <c r="E4115" t="str">
        <f t="shared" si="894"/>
        <v>89301171</v>
      </c>
      <c r="F4115" t="str">
        <f t="shared" si="896"/>
        <v>5655290476</v>
      </c>
      <c r="G4115" s="1">
        <v>44659</v>
      </c>
      <c r="H4115" t="str">
        <f>"91475"</f>
        <v>91475</v>
      </c>
      <c r="I4115">
        <v>1</v>
      </c>
      <c r="J4115">
        <v>206</v>
      </c>
      <c r="K4115">
        <v>0</v>
      </c>
      <c r="L4115">
        <v>160.68</v>
      </c>
    </row>
    <row r="4116" spans="1:12" x14ac:dyDescent="0.25">
      <c r="A4116" t="str">
        <f t="shared" si="901"/>
        <v>89301000</v>
      </c>
      <c r="B4116" t="str">
        <f t="shared" si="897"/>
        <v>06539000</v>
      </c>
      <c r="C4116" t="str">
        <f>"06539001"</f>
        <v>06539001</v>
      </c>
      <c r="D4116" t="str">
        <f>"801"</f>
        <v>801</v>
      </c>
      <c r="E4116" t="str">
        <f t="shared" si="894"/>
        <v>89301171</v>
      </c>
      <c r="F4116" t="str">
        <f t="shared" ref="F4116:F4162" si="903">"7853299388"</f>
        <v>7853299388</v>
      </c>
      <c r="G4116" s="1">
        <v>44659</v>
      </c>
      <c r="H4116" t="str">
        <f>"81329"</f>
        <v>81329</v>
      </c>
      <c r="I4116">
        <v>1</v>
      </c>
      <c r="J4116">
        <v>16</v>
      </c>
      <c r="K4116">
        <v>0</v>
      </c>
      <c r="L4116">
        <v>12.48</v>
      </c>
    </row>
    <row r="4117" spans="1:12" x14ac:dyDescent="0.25">
      <c r="A4117" t="str">
        <f t="shared" si="901"/>
        <v>89301000</v>
      </c>
      <c r="B4117" t="str">
        <f t="shared" si="897"/>
        <v>06539000</v>
      </c>
      <c r="C4117" t="str">
        <f>"06539001"</f>
        <v>06539001</v>
      </c>
      <c r="D4117" t="str">
        <f>"801"</f>
        <v>801</v>
      </c>
      <c r="E4117" t="str">
        <f t="shared" si="894"/>
        <v>89301171</v>
      </c>
      <c r="F4117" t="str">
        <f t="shared" si="903"/>
        <v>7853299388</v>
      </c>
      <c r="G4117" s="1">
        <v>44659</v>
      </c>
      <c r="H4117" t="str">
        <f>"81331"</f>
        <v>81331</v>
      </c>
      <c r="I4117">
        <v>1</v>
      </c>
      <c r="J4117">
        <v>193</v>
      </c>
      <c r="K4117">
        <v>0</v>
      </c>
      <c r="L4117">
        <v>150.54</v>
      </c>
    </row>
    <row r="4118" spans="1:12" x14ac:dyDescent="0.25">
      <c r="A4118" t="str">
        <f t="shared" si="901"/>
        <v>89301000</v>
      </c>
      <c r="B4118" t="str">
        <f t="shared" si="897"/>
        <v>06539000</v>
      </c>
      <c r="C4118" t="str">
        <f t="shared" ref="C4118:C4125" si="904">"06539002"</f>
        <v>06539002</v>
      </c>
      <c r="D4118" t="str">
        <f t="shared" ref="D4118:D4125" si="905">"802"</f>
        <v>802</v>
      </c>
      <c r="E4118" t="str">
        <f t="shared" si="894"/>
        <v>89301171</v>
      </c>
      <c r="F4118" t="str">
        <f t="shared" si="903"/>
        <v>7853299388</v>
      </c>
      <c r="G4118" s="1">
        <v>44659</v>
      </c>
      <c r="H4118" t="str">
        <f t="shared" ref="H4118:H4125" si="906">"82097"</f>
        <v>82097</v>
      </c>
      <c r="I4118">
        <v>1</v>
      </c>
      <c r="J4118">
        <v>380</v>
      </c>
      <c r="K4118">
        <v>0</v>
      </c>
      <c r="L4118">
        <v>345.8</v>
      </c>
    </row>
    <row r="4119" spans="1:12" x14ac:dyDescent="0.25">
      <c r="A4119" t="str">
        <f t="shared" si="901"/>
        <v>89301000</v>
      </c>
      <c r="B4119" t="str">
        <f t="shared" si="897"/>
        <v>06539000</v>
      </c>
      <c r="C4119" t="str">
        <f t="shared" si="904"/>
        <v>06539002</v>
      </c>
      <c r="D4119" t="str">
        <f t="shared" si="905"/>
        <v>802</v>
      </c>
      <c r="E4119" t="str">
        <f t="shared" si="894"/>
        <v>89301171</v>
      </c>
      <c r="F4119" t="str">
        <f t="shared" si="903"/>
        <v>7853299388</v>
      </c>
      <c r="G4119" s="1">
        <v>44659</v>
      </c>
      <c r="H4119" t="str">
        <f t="shared" si="906"/>
        <v>82097</v>
      </c>
      <c r="I4119">
        <v>1</v>
      </c>
      <c r="J4119">
        <v>380</v>
      </c>
      <c r="K4119">
        <v>0</v>
      </c>
      <c r="L4119">
        <v>345.8</v>
      </c>
    </row>
    <row r="4120" spans="1:12" x14ac:dyDescent="0.25">
      <c r="A4120" t="str">
        <f t="shared" si="901"/>
        <v>89301000</v>
      </c>
      <c r="B4120" t="str">
        <f t="shared" si="897"/>
        <v>06539000</v>
      </c>
      <c r="C4120" t="str">
        <f t="shared" si="904"/>
        <v>06539002</v>
      </c>
      <c r="D4120" t="str">
        <f t="shared" si="905"/>
        <v>802</v>
      </c>
      <c r="E4120" t="str">
        <f t="shared" si="894"/>
        <v>89301171</v>
      </c>
      <c r="F4120" t="str">
        <f t="shared" si="903"/>
        <v>7853299388</v>
      </c>
      <c r="G4120" s="1">
        <v>44659</v>
      </c>
      <c r="H4120" t="str">
        <f t="shared" si="906"/>
        <v>82097</v>
      </c>
      <c r="I4120">
        <v>1</v>
      </c>
      <c r="J4120">
        <v>380</v>
      </c>
      <c r="K4120">
        <v>0</v>
      </c>
      <c r="L4120">
        <v>345.8</v>
      </c>
    </row>
    <row r="4121" spans="1:12" x14ac:dyDescent="0.25">
      <c r="A4121" t="str">
        <f t="shared" si="901"/>
        <v>89301000</v>
      </c>
      <c r="B4121" t="str">
        <f t="shared" si="897"/>
        <v>06539000</v>
      </c>
      <c r="C4121" t="str">
        <f t="shared" si="904"/>
        <v>06539002</v>
      </c>
      <c r="D4121" t="str">
        <f t="shared" si="905"/>
        <v>802</v>
      </c>
      <c r="E4121" t="str">
        <f t="shared" si="894"/>
        <v>89301171</v>
      </c>
      <c r="F4121" t="str">
        <f t="shared" si="903"/>
        <v>7853299388</v>
      </c>
      <c r="G4121" s="1">
        <v>44659</v>
      </c>
      <c r="H4121" t="str">
        <f t="shared" si="906"/>
        <v>82097</v>
      </c>
      <c r="I4121">
        <v>1</v>
      </c>
      <c r="J4121">
        <v>380</v>
      </c>
      <c r="K4121">
        <v>0</v>
      </c>
      <c r="L4121">
        <v>345.8</v>
      </c>
    </row>
    <row r="4122" spans="1:12" x14ac:dyDescent="0.25">
      <c r="A4122" t="str">
        <f t="shared" si="901"/>
        <v>89301000</v>
      </c>
      <c r="B4122" t="str">
        <f t="shared" si="897"/>
        <v>06539000</v>
      </c>
      <c r="C4122" t="str">
        <f t="shared" si="904"/>
        <v>06539002</v>
      </c>
      <c r="D4122" t="str">
        <f t="shared" si="905"/>
        <v>802</v>
      </c>
      <c r="E4122" t="str">
        <f t="shared" ref="E4122:E4162" si="907">"89301171"</f>
        <v>89301171</v>
      </c>
      <c r="F4122" t="str">
        <f t="shared" si="903"/>
        <v>7853299388</v>
      </c>
      <c r="G4122" s="1">
        <v>44659</v>
      </c>
      <c r="H4122" t="str">
        <f t="shared" si="906"/>
        <v>82097</v>
      </c>
      <c r="I4122">
        <v>1</v>
      </c>
      <c r="J4122">
        <v>380</v>
      </c>
      <c r="K4122">
        <v>0</v>
      </c>
      <c r="L4122">
        <v>345.8</v>
      </c>
    </row>
    <row r="4123" spans="1:12" x14ac:dyDescent="0.25">
      <c r="A4123" t="str">
        <f t="shared" si="901"/>
        <v>89301000</v>
      </c>
      <c r="B4123" t="str">
        <f t="shared" si="897"/>
        <v>06539000</v>
      </c>
      <c r="C4123" t="str">
        <f t="shared" si="904"/>
        <v>06539002</v>
      </c>
      <c r="D4123" t="str">
        <f t="shared" si="905"/>
        <v>802</v>
      </c>
      <c r="E4123" t="str">
        <f t="shared" si="907"/>
        <v>89301171</v>
      </c>
      <c r="F4123" t="str">
        <f t="shared" si="903"/>
        <v>7853299388</v>
      </c>
      <c r="G4123" s="1">
        <v>44659</v>
      </c>
      <c r="H4123" t="str">
        <f t="shared" si="906"/>
        <v>82097</v>
      </c>
      <c r="I4123">
        <v>1</v>
      </c>
      <c r="J4123">
        <v>380</v>
      </c>
      <c r="K4123">
        <v>0</v>
      </c>
      <c r="L4123">
        <v>345.8</v>
      </c>
    </row>
    <row r="4124" spans="1:12" x14ac:dyDescent="0.25">
      <c r="A4124" t="str">
        <f t="shared" si="901"/>
        <v>89301000</v>
      </c>
      <c r="B4124" t="str">
        <f t="shared" si="897"/>
        <v>06539000</v>
      </c>
      <c r="C4124" t="str">
        <f t="shared" si="904"/>
        <v>06539002</v>
      </c>
      <c r="D4124" t="str">
        <f t="shared" si="905"/>
        <v>802</v>
      </c>
      <c r="E4124" t="str">
        <f t="shared" si="907"/>
        <v>89301171</v>
      </c>
      <c r="F4124" t="str">
        <f t="shared" si="903"/>
        <v>7853299388</v>
      </c>
      <c r="G4124" s="1">
        <v>44659</v>
      </c>
      <c r="H4124" t="str">
        <f t="shared" si="906"/>
        <v>82097</v>
      </c>
      <c r="I4124">
        <v>1</v>
      </c>
      <c r="J4124">
        <v>380</v>
      </c>
      <c r="K4124">
        <v>0</v>
      </c>
      <c r="L4124">
        <v>345.8</v>
      </c>
    </row>
    <row r="4125" spans="1:12" x14ac:dyDescent="0.25">
      <c r="A4125" t="str">
        <f t="shared" si="901"/>
        <v>89301000</v>
      </c>
      <c r="B4125" t="str">
        <f t="shared" si="897"/>
        <v>06539000</v>
      </c>
      <c r="C4125" t="str">
        <f t="shared" si="904"/>
        <v>06539002</v>
      </c>
      <c r="D4125" t="str">
        <f t="shared" si="905"/>
        <v>802</v>
      </c>
      <c r="E4125" t="str">
        <f t="shared" si="907"/>
        <v>89301171</v>
      </c>
      <c r="F4125" t="str">
        <f t="shared" si="903"/>
        <v>7853299388</v>
      </c>
      <c r="G4125" s="1">
        <v>44659</v>
      </c>
      <c r="H4125" t="str">
        <f t="shared" si="906"/>
        <v>82097</v>
      </c>
      <c r="I4125">
        <v>1</v>
      </c>
      <c r="J4125">
        <v>380</v>
      </c>
      <c r="K4125">
        <v>0</v>
      </c>
      <c r="L4125">
        <v>345.8</v>
      </c>
    </row>
    <row r="4126" spans="1:12" x14ac:dyDescent="0.25">
      <c r="A4126" t="str">
        <f t="shared" si="901"/>
        <v>89301000</v>
      </c>
      <c r="B4126" t="str">
        <f t="shared" si="897"/>
        <v>06539000</v>
      </c>
      <c r="C4126" t="str">
        <f t="shared" ref="C4126:C4157" si="908">"06539003"</f>
        <v>06539003</v>
      </c>
      <c r="D4126" t="str">
        <f t="shared" ref="D4126:D4157" si="909">"813"</f>
        <v>813</v>
      </c>
      <c r="E4126" t="str">
        <f t="shared" si="907"/>
        <v>89301171</v>
      </c>
      <c r="F4126" t="str">
        <f t="shared" si="903"/>
        <v>7853299388</v>
      </c>
      <c r="G4126" s="1">
        <v>44662</v>
      </c>
      <c r="H4126" t="str">
        <f>"91439"</f>
        <v>91439</v>
      </c>
      <c r="I4126">
        <v>1</v>
      </c>
      <c r="J4126">
        <v>356</v>
      </c>
      <c r="K4126">
        <v>0</v>
      </c>
      <c r="L4126">
        <v>277.68</v>
      </c>
    </row>
    <row r="4127" spans="1:12" x14ac:dyDescent="0.25">
      <c r="A4127" t="str">
        <f t="shared" si="901"/>
        <v>89301000</v>
      </c>
      <c r="B4127" t="str">
        <f t="shared" si="897"/>
        <v>06539000</v>
      </c>
      <c r="C4127" t="str">
        <f t="shared" si="908"/>
        <v>06539003</v>
      </c>
      <c r="D4127" t="str">
        <f t="shared" si="909"/>
        <v>813</v>
      </c>
      <c r="E4127" t="str">
        <f t="shared" si="907"/>
        <v>89301171</v>
      </c>
      <c r="F4127" t="str">
        <f t="shared" si="903"/>
        <v>7853299388</v>
      </c>
      <c r="G4127" s="1">
        <v>44662</v>
      </c>
      <c r="H4127" t="str">
        <f>"91439"</f>
        <v>91439</v>
      </c>
      <c r="I4127">
        <v>1</v>
      </c>
      <c r="J4127">
        <v>356</v>
      </c>
      <c r="K4127">
        <v>0</v>
      </c>
      <c r="L4127">
        <v>277.68</v>
      </c>
    </row>
    <row r="4128" spans="1:12" x14ac:dyDescent="0.25">
      <c r="A4128" t="str">
        <f t="shared" si="901"/>
        <v>89301000</v>
      </c>
      <c r="B4128" t="str">
        <f t="shared" si="897"/>
        <v>06539000</v>
      </c>
      <c r="C4128" t="str">
        <f t="shared" si="908"/>
        <v>06539003</v>
      </c>
      <c r="D4128" t="str">
        <f t="shared" si="909"/>
        <v>813</v>
      </c>
      <c r="E4128" t="str">
        <f t="shared" si="907"/>
        <v>89301171</v>
      </c>
      <c r="F4128" t="str">
        <f t="shared" si="903"/>
        <v>7853299388</v>
      </c>
      <c r="G4128" s="1">
        <v>44662</v>
      </c>
      <c r="H4128" t="str">
        <f>"91439"</f>
        <v>91439</v>
      </c>
      <c r="I4128">
        <v>1</v>
      </c>
      <c r="J4128">
        <v>356</v>
      </c>
      <c r="K4128">
        <v>0</v>
      </c>
      <c r="L4128">
        <v>277.68</v>
      </c>
    </row>
    <row r="4129" spans="1:12" x14ac:dyDescent="0.25">
      <c r="A4129" t="str">
        <f t="shared" si="901"/>
        <v>89301000</v>
      </c>
      <c r="B4129" t="str">
        <f t="shared" si="897"/>
        <v>06539000</v>
      </c>
      <c r="C4129" t="str">
        <f t="shared" si="908"/>
        <v>06539003</v>
      </c>
      <c r="D4129" t="str">
        <f t="shared" si="909"/>
        <v>813</v>
      </c>
      <c r="E4129" t="str">
        <f t="shared" si="907"/>
        <v>89301171</v>
      </c>
      <c r="F4129" t="str">
        <f t="shared" si="903"/>
        <v>7853299388</v>
      </c>
      <c r="G4129" s="1">
        <v>44662</v>
      </c>
      <c r="H4129" t="str">
        <f>"91439"</f>
        <v>91439</v>
      </c>
      <c r="I4129">
        <v>1</v>
      </c>
      <c r="J4129">
        <v>356</v>
      </c>
      <c r="K4129">
        <v>0</v>
      </c>
      <c r="L4129">
        <v>277.68</v>
      </c>
    </row>
    <row r="4130" spans="1:12" x14ac:dyDescent="0.25">
      <c r="A4130" t="str">
        <f t="shared" si="901"/>
        <v>89301000</v>
      </c>
      <c r="B4130" t="str">
        <f t="shared" si="897"/>
        <v>06539000</v>
      </c>
      <c r="C4130" t="str">
        <f t="shared" si="908"/>
        <v>06539003</v>
      </c>
      <c r="D4130" t="str">
        <f t="shared" si="909"/>
        <v>813</v>
      </c>
      <c r="E4130" t="str">
        <f t="shared" si="907"/>
        <v>89301171</v>
      </c>
      <c r="F4130" t="str">
        <f t="shared" si="903"/>
        <v>7853299388</v>
      </c>
      <c r="G4130" s="1">
        <v>44662</v>
      </c>
      <c r="H4130" t="str">
        <f>"91439"</f>
        <v>91439</v>
      </c>
      <c r="I4130">
        <v>2</v>
      </c>
      <c r="J4130">
        <v>712</v>
      </c>
      <c r="K4130">
        <v>0</v>
      </c>
      <c r="L4130">
        <v>555.36</v>
      </c>
    </row>
    <row r="4131" spans="1:12" x14ac:dyDescent="0.25">
      <c r="A4131" t="str">
        <f t="shared" si="901"/>
        <v>89301000</v>
      </c>
      <c r="B4131" t="str">
        <f t="shared" si="897"/>
        <v>06539000</v>
      </c>
      <c r="C4131" t="str">
        <f t="shared" si="908"/>
        <v>06539003</v>
      </c>
      <c r="D4131" t="str">
        <f t="shared" si="909"/>
        <v>813</v>
      </c>
      <c r="E4131" t="str">
        <f t="shared" si="907"/>
        <v>89301171</v>
      </c>
      <c r="F4131" t="str">
        <f t="shared" si="903"/>
        <v>7853299388</v>
      </c>
      <c r="G4131" s="1">
        <v>44662</v>
      </c>
      <c r="H4131" t="str">
        <f t="shared" ref="H4131:H4140" si="910">"91413"</f>
        <v>91413</v>
      </c>
      <c r="I4131">
        <v>1</v>
      </c>
      <c r="J4131">
        <v>853</v>
      </c>
      <c r="K4131">
        <v>0</v>
      </c>
      <c r="L4131">
        <v>665.34</v>
      </c>
    </row>
    <row r="4132" spans="1:12" x14ac:dyDescent="0.25">
      <c r="A4132" t="str">
        <f t="shared" si="901"/>
        <v>89301000</v>
      </c>
      <c r="B4132" t="str">
        <f t="shared" si="897"/>
        <v>06539000</v>
      </c>
      <c r="C4132" t="str">
        <f t="shared" si="908"/>
        <v>06539003</v>
      </c>
      <c r="D4132" t="str">
        <f t="shared" si="909"/>
        <v>813</v>
      </c>
      <c r="E4132" t="str">
        <f t="shared" si="907"/>
        <v>89301171</v>
      </c>
      <c r="F4132" t="str">
        <f t="shared" si="903"/>
        <v>7853299388</v>
      </c>
      <c r="G4132" s="1">
        <v>44662</v>
      </c>
      <c r="H4132" t="str">
        <f t="shared" si="910"/>
        <v>91413</v>
      </c>
      <c r="I4132">
        <v>1</v>
      </c>
      <c r="J4132">
        <v>853</v>
      </c>
      <c r="K4132">
        <v>0</v>
      </c>
      <c r="L4132">
        <v>665.34</v>
      </c>
    </row>
    <row r="4133" spans="1:12" x14ac:dyDescent="0.25">
      <c r="A4133" t="str">
        <f t="shared" si="901"/>
        <v>89301000</v>
      </c>
      <c r="B4133" t="str">
        <f t="shared" si="897"/>
        <v>06539000</v>
      </c>
      <c r="C4133" t="str">
        <f t="shared" si="908"/>
        <v>06539003</v>
      </c>
      <c r="D4133" t="str">
        <f t="shared" si="909"/>
        <v>813</v>
      </c>
      <c r="E4133" t="str">
        <f t="shared" si="907"/>
        <v>89301171</v>
      </c>
      <c r="F4133" t="str">
        <f t="shared" si="903"/>
        <v>7853299388</v>
      </c>
      <c r="G4133" s="1">
        <v>44672</v>
      </c>
      <c r="H4133" t="str">
        <f t="shared" si="910"/>
        <v>91413</v>
      </c>
      <c r="I4133">
        <v>1</v>
      </c>
      <c r="J4133">
        <v>853</v>
      </c>
      <c r="K4133">
        <v>0</v>
      </c>
      <c r="L4133">
        <v>665.34</v>
      </c>
    </row>
    <row r="4134" spans="1:12" x14ac:dyDescent="0.25">
      <c r="A4134" t="str">
        <f t="shared" si="901"/>
        <v>89301000</v>
      </c>
      <c r="B4134" t="str">
        <f t="shared" si="897"/>
        <v>06539000</v>
      </c>
      <c r="C4134" t="str">
        <f t="shared" si="908"/>
        <v>06539003</v>
      </c>
      <c r="D4134" t="str">
        <f t="shared" si="909"/>
        <v>813</v>
      </c>
      <c r="E4134" t="str">
        <f t="shared" si="907"/>
        <v>89301171</v>
      </c>
      <c r="F4134" t="str">
        <f t="shared" si="903"/>
        <v>7853299388</v>
      </c>
      <c r="G4134" s="1">
        <v>44672</v>
      </c>
      <c r="H4134" t="str">
        <f t="shared" si="910"/>
        <v>91413</v>
      </c>
      <c r="I4134">
        <v>1</v>
      </c>
      <c r="J4134">
        <v>853</v>
      </c>
      <c r="K4134">
        <v>0</v>
      </c>
      <c r="L4134">
        <v>665.34</v>
      </c>
    </row>
    <row r="4135" spans="1:12" x14ac:dyDescent="0.25">
      <c r="A4135" t="str">
        <f t="shared" si="901"/>
        <v>89301000</v>
      </c>
      <c r="B4135" t="str">
        <f t="shared" si="897"/>
        <v>06539000</v>
      </c>
      <c r="C4135" t="str">
        <f t="shared" si="908"/>
        <v>06539003</v>
      </c>
      <c r="D4135" t="str">
        <f t="shared" si="909"/>
        <v>813</v>
      </c>
      <c r="E4135" t="str">
        <f t="shared" si="907"/>
        <v>89301171</v>
      </c>
      <c r="F4135" t="str">
        <f t="shared" si="903"/>
        <v>7853299388</v>
      </c>
      <c r="G4135" s="1">
        <v>44673</v>
      </c>
      <c r="H4135" t="str">
        <f t="shared" si="910"/>
        <v>91413</v>
      </c>
      <c r="I4135">
        <v>1</v>
      </c>
      <c r="J4135">
        <v>853</v>
      </c>
      <c r="K4135">
        <v>0</v>
      </c>
      <c r="L4135">
        <v>665.34</v>
      </c>
    </row>
    <row r="4136" spans="1:12" x14ac:dyDescent="0.25">
      <c r="A4136" t="str">
        <f t="shared" si="901"/>
        <v>89301000</v>
      </c>
      <c r="B4136" t="str">
        <f t="shared" si="897"/>
        <v>06539000</v>
      </c>
      <c r="C4136" t="str">
        <f t="shared" si="908"/>
        <v>06539003</v>
      </c>
      <c r="D4136" t="str">
        <f t="shared" si="909"/>
        <v>813</v>
      </c>
      <c r="E4136" t="str">
        <f t="shared" si="907"/>
        <v>89301171</v>
      </c>
      <c r="F4136" t="str">
        <f t="shared" si="903"/>
        <v>7853299388</v>
      </c>
      <c r="G4136" s="1">
        <v>44673</v>
      </c>
      <c r="H4136" t="str">
        <f t="shared" si="910"/>
        <v>91413</v>
      </c>
      <c r="I4136">
        <v>1</v>
      </c>
      <c r="J4136">
        <v>853</v>
      </c>
      <c r="K4136">
        <v>0</v>
      </c>
      <c r="L4136">
        <v>665.34</v>
      </c>
    </row>
    <row r="4137" spans="1:12" x14ac:dyDescent="0.25">
      <c r="A4137" t="str">
        <f t="shared" si="901"/>
        <v>89301000</v>
      </c>
      <c r="B4137" t="str">
        <f t="shared" si="897"/>
        <v>06539000</v>
      </c>
      <c r="C4137" t="str">
        <f t="shared" si="908"/>
        <v>06539003</v>
      </c>
      <c r="D4137" t="str">
        <f t="shared" si="909"/>
        <v>813</v>
      </c>
      <c r="E4137" t="str">
        <f t="shared" si="907"/>
        <v>89301171</v>
      </c>
      <c r="F4137" t="str">
        <f t="shared" si="903"/>
        <v>7853299388</v>
      </c>
      <c r="G4137" s="1">
        <v>44672</v>
      </c>
      <c r="H4137" t="str">
        <f t="shared" si="910"/>
        <v>91413</v>
      </c>
      <c r="I4137">
        <v>1</v>
      </c>
      <c r="J4137">
        <v>853</v>
      </c>
      <c r="K4137">
        <v>0</v>
      </c>
      <c r="L4137">
        <v>665.34</v>
      </c>
    </row>
    <row r="4138" spans="1:12" x14ac:dyDescent="0.25">
      <c r="A4138" t="str">
        <f t="shared" si="901"/>
        <v>89301000</v>
      </c>
      <c r="B4138" t="str">
        <f t="shared" si="897"/>
        <v>06539000</v>
      </c>
      <c r="C4138" t="str">
        <f t="shared" si="908"/>
        <v>06539003</v>
      </c>
      <c r="D4138" t="str">
        <f t="shared" si="909"/>
        <v>813</v>
      </c>
      <c r="E4138" t="str">
        <f t="shared" si="907"/>
        <v>89301171</v>
      </c>
      <c r="F4138" t="str">
        <f t="shared" si="903"/>
        <v>7853299388</v>
      </c>
      <c r="G4138" s="1">
        <v>44672</v>
      </c>
      <c r="H4138" t="str">
        <f t="shared" si="910"/>
        <v>91413</v>
      </c>
      <c r="I4138">
        <v>1</v>
      </c>
      <c r="J4138">
        <v>853</v>
      </c>
      <c r="K4138">
        <v>0</v>
      </c>
      <c r="L4138">
        <v>665.34</v>
      </c>
    </row>
    <row r="4139" spans="1:12" x14ac:dyDescent="0.25">
      <c r="A4139" t="str">
        <f t="shared" si="901"/>
        <v>89301000</v>
      </c>
      <c r="B4139" t="str">
        <f t="shared" si="897"/>
        <v>06539000</v>
      </c>
      <c r="C4139" t="str">
        <f t="shared" si="908"/>
        <v>06539003</v>
      </c>
      <c r="D4139" t="str">
        <f t="shared" si="909"/>
        <v>813</v>
      </c>
      <c r="E4139" t="str">
        <f t="shared" si="907"/>
        <v>89301171</v>
      </c>
      <c r="F4139" t="str">
        <f t="shared" si="903"/>
        <v>7853299388</v>
      </c>
      <c r="G4139" s="1">
        <v>44672</v>
      </c>
      <c r="H4139" t="str">
        <f t="shared" si="910"/>
        <v>91413</v>
      </c>
      <c r="I4139">
        <v>1</v>
      </c>
      <c r="J4139">
        <v>853</v>
      </c>
      <c r="K4139">
        <v>0</v>
      </c>
      <c r="L4139">
        <v>665.34</v>
      </c>
    </row>
    <row r="4140" spans="1:12" x14ac:dyDescent="0.25">
      <c r="A4140" t="str">
        <f t="shared" si="901"/>
        <v>89301000</v>
      </c>
      <c r="B4140" t="str">
        <f t="shared" si="897"/>
        <v>06539000</v>
      </c>
      <c r="C4140" t="str">
        <f t="shared" si="908"/>
        <v>06539003</v>
      </c>
      <c r="D4140" t="str">
        <f t="shared" si="909"/>
        <v>813</v>
      </c>
      <c r="E4140" t="str">
        <f t="shared" si="907"/>
        <v>89301171</v>
      </c>
      <c r="F4140" t="str">
        <f t="shared" si="903"/>
        <v>7853299388</v>
      </c>
      <c r="G4140" s="1">
        <v>44672</v>
      </c>
      <c r="H4140" t="str">
        <f t="shared" si="910"/>
        <v>91413</v>
      </c>
      <c r="I4140">
        <v>1</v>
      </c>
      <c r="J4140">
        <v>853</v>
      </c>
      <c r="K4140">
        <v>0</v>
      </c>
      <c r="L4140">
        <v>665.34</v>
      </c>
    </row>
    <row r="4141" spans="1:12" x14ac:dyDescent="0.25">
      <c r="A4141" t="str">
        <f t="shared" si="901"/>
        <v>89301000</v>
      </c>
      <c r="B4141" t="str">
        <f t="shared" si="897"/>
        <v>06539000</v>
      </c>
      <c r="C4141" t="str">
        <f t="shared" si="908"/>
        <v>06539003</v>
      </c>
      <c r="D4141" t="str">
        <f t="shared" si="909"/>
        <v>813</v>
      </c>
      <c r="E4141" t="str">
        <f t="shared" si="907"/>
        <v>89301171</v>
      </c>
      <c r="F4141" t="str">
        <f t="shared" si="903"/>
        <v>7853299388</v>
      </c>
      <c r="G4141" s="1">
        <v>44659</v>
      </c>
      <c r="H4141" t="str">
        <f t="shared" ref="H4141:H4147" si="911">"91197"</f>
        <v>91197</v>
      </c>
      <c r="I4141">
        <v>1</v>
      </c>
      <c r="J4141">
        <v>1046</v>
      </c>
      <c r="K4141">
        <v>0</v>
      </c>
      <c r="L4141">
        <v>815.88</v>
      </c>
    </row>
    <row r="4142" spans="1:12" x14ac:dyDescent="0.25">
      <c r="A4142" t="str">
        <f t="shared" si="901"/>
        <v>89301000</v>
      </c>
      <c r="B4142" t="str">
        <f t="shared" si="897"/>
        <v>06539000</v>
      </c>
      <c r="C4142" t="str">
        <f t="shared" si="908"/>
        <v>06539003</v>
      </c>
      <c r="D4142" t="str">
        <f t="shared" si="909"/>
        <v>813</v>
      </c>
      <c r="E4142" t="str">
        <f t="shared" si="907"/>
        <v>89301171</v>
      </c>
      <c r="F4142" t="str">
        <f t="shared" si="903"/>
        <v>7853299388</v>
      </c>
      <c r="G4142" s="1">
        <v>44662</v>
      </c>
      <c r="H4142" t="str">
        <f t="shared" si="911"/>
        <v>91197</v>
      </c>
      <c r="I4142">
        <v>1</v>
      </c>
      <c r="J4142">
        <v>1046</v>
      </c>
      <c r="K4142">
        <v>0</v>
      </c>
      <c r="L4142">
        <v>815.88</v>
      </c>
    </row>
    <row r="4143" spans="1:12" x14ac:dyDescent="0.25">
      <c r="A4143" t="str">
        <f t="shared" si="901"/>
        <v>89301000</v>
      </c>
      <c r="B4143" t="str">
        <f t="shared" si="897"/>
        <v>06539000</v>
      </c>
      <c r="C4143" t="str">
        <f t="shared" si="908"/>
        <v>06539003</v>
      </c>
      <c r="D4143" t="str">
        <f t="shared" si="909"/>
        <v>813</v>
      </c>
      <c r="E4143" t="str">
        <f t="shared" si="907"/>
        <v>89301171</v>
      </c>
      <c r="F4143" t="str">
        <f t="shared" si="903"/>
        <v>7853299388</v>
      </c>
      <c r="G4143" s="1">
        <v>44662</v>
      </c>
      <c r="H4143" t="str">
        <f t="shared" si="911"/>
        <v>91197</v>
      </c>
      <c r="I4143">
        <v>1</v>
      </c>
      <c r="J4143">
        <v>1046</v>
      </c>
      <c r="K4143">
        <v>0</v>
      </c>
      <c r="L4143">
        <v>815.88</v>
      </c>
    </row>
    <row r="4144" spans="1:12" x14ac:dyDescent="0.25">
      <c r="A4144" t="str">
        <f t="shared" si="901"/>
        <v>89301000</v>
      </c>
      <c r="B4144" t="str">
        <f t="shared" si="897"/>
        <v>06539000</v>
      </c>
      <c r="C4144" t="str">
        <f t="shared" si="908"/>
        <v>06539003</v>
      </c>
      <c r="D4144" t="str">
        <f t="shared" si="909"/>
        <v>813</v>
      </c>
      <c r="E4144" t="str">
        <f t="shared" si="907"/>
        <v>89301171</v>
      </c>
      <c r="F4144" t="str">
        <f t="shared" si="903"/>
        <v>7853299388</v>
      </c>
      <c r="G4144" s="1">
        <v>44661</v>
      </c>
      <c r="H4144" t="str">
        <f t="shared" si="911"/>
        <v>91197</v>
      </c>
      <c r="I4144">
        <v>1</v>
      </c>
      <c r="J4144">
        <v>1046</v>
      </c>
      <c r="K4144">
        <v>0</v>
      </c>
      <c r="L4144">
        <v>815.88</v>
      </c>
    </row>
    <row r="4145" spans="1:12" x14ac:dyDescent="0.25">
      <c r="A4145" t="str">
        <f t="shared" si="901"/>
        <v>89301000</v>
      </c>
      <c r="B4145" t="str">
        <f t="shared" si="897"/>
        <v>06539000</v>
      </c>
      <c r="C4145" t="str">
        <f t="shared" si="908"/>
        <v>06539003</v>
      </c>
      <c r="D4145" t="str">
        <f t="shared" si="909"/>
        <v>813</v>
      </c>
      <c r="E4145" t="str">
        <f t="shared" si="907"/>
        <v>89301171</v>
      </c>
      <c r="F4145" t="str">
        <f t="shared" si="903"/>
        <v>7853299388</v>
      </c>
      <c r="G4145" s="1">
        <v>44661</v>
      </c>
      <c r="H4145" t="str">
        <f t="shared" si="911"/>
        <v>91197</v>
      </c>
      <c r="I4145">
        <v>1</v>
      </c>
      <c r="J4145">
        <v>1046</v>
      </c>
      <c r="K4145">
        <v>0</v>
      </c>
      <c r="L4145">
        <v>815.88</v>
      </c>
    </row>
    <row r="4146" spans="1:12" x14ac:dyDescent="0.25">
      <c r="A4146" t="str">
        <f t="shared" si="901"/>
        <v>89301000</v>
      </c>
      <c r="B4146" t="str">
        <f t="shared" si="897"/>
        <v>06539000</v>
      </c>
      <c r="C4146" t="str">
        <f t="shared" si="908"/>
        <v>06539003</v>
      </c>
      <c r="D4146" t="str">
        <f t="shared" si="909"/>
        <v>813</v>
      </c>
      <c r="E4146" t="str">
        <f t="shared" si="907"/>
        <v>89301171</v>
      </c>
      <c r="F4146" t="str">
        <f t="shared" si="903"/>
        <v>7853299388</v>
      </c>
      <c r="G4146" s="1">
        <v>44660</v>
      </c>
      <c r="H4146" t="str">
        <f t="shared" si="911"/>
        <v>91197</v>
      </c>
      <c r="I4146">
        <v>1</v>
      </c>
      <c r="J4146">
        <v>1046</v>
      </c>
      <c r="K4146">
        <v>0</v>
      </c>
      <c r="L4146">
        <v>815.88</v>
      </c>
    </row>
    <row r="4147" spans="1:12" x14ac:dyDescent="0.25">
      <c r="A4147" t="str">
        <f t="shared" si="901"/>
        <v>89301000</v>
      </c>
      <c r="B4147" t="str">
        <f t="shared" si="897"/>
        <v>06539000</v>
      </c>
      <c r="C4147" t="str">
        <f t="shared" si="908"/>
        <v>06539003</v>
      </c>
      <c r="D4147" t="str">
        <f t="shared" si="909"/>
        <v>813</v>
      </c>
      <c r="E4147" t="str">
        <f t="shared" si="907"/>
        <v>89301171</v>
      </c>
      <c r="F4147" t="str">
        <f t="shared" si="903"/>
        <v>7853299388</v>
      </c>
      <c r="G4147" s="1">
        <v>44660</v>
      </c>
      <c r="H4147" t="str">
        <f t="shared" si="911"/>
        <v>91197</v>
      </c>
      <c r="I4147">
        <v>1</v>
      </c>
      <c r="J4147">
        <v>1046</v>
      </c>
      <c r="K4147">
        <v>0</v>
      </c>
      <c r="L4147">
        <v>815.88</v>
      </c>
    </row>
    <row r="4148" spans="1:12" x14ac:dyDescent="0.25">
      <c r="A4148" t="str">
        <f t="shared" si="901"/>
        <v>89301000</v>
      </c>
      <c r="B4148" t="str">
        <f t="shared" ref="B4148:B4204" si="912">"06539000"</f>
        <v>06539000</v>
      </c>
      <c r="C4148" t="str">
        <f t="shared" si="908"/>
        <v>06539003</v>
      </c>
      <c r="D4148" t="str">
        <f t="shared" si="909"/>
        <v>813</v>
      </c>
      <c r="E4148" t="str">
        <f t="shared" si="907"/>
        <v>89301171</v>
      </c>
      <c r="F4148" t="str">
        <f t="shared" si="903"/>
        <v>7853299388</v>
      </c>
      <c r="G4148" s="1">
        <v>44664</v>
      </c>
      <c r="H4148" t="str">
        <f>"91329"</f>
        <v>91329</v>
      </c>
      <c r="I4148">
        <v>2</v>
      </c>
      <c r="J4148">
        <v>428</v>
      </c>
      <c r="K4148">
        <v>0</v>
      </c>
      <c r="L4148">
        <v>333.84</v>
      </c>
    </row>
    <row r="4149" spans="1:12" x14ac:dyDescent="0.25">
      <c r="A4149" t="str">
        <f t="shared" si="901"/>
        <v>89301000</v>
      </c>
      <c r="B4149" t="str">
        <f t="shared" si="912"/>
        <v>06539000</v>
      </c>
      <c r="C4149" t="str">
        <f t="shared" si="908"/>
        <v>06539003</v>
      </c>
      <c r="D4149" t="str">
        <f t="shared" si="909"/>
        <v>813</v>
      </c>
      <c r="E4149" t="str">
        <f t="shared" si="907"/>
        <v>89301171</v>
      </c>
      <c r="F4149" t="str">
        <f t="shared" si="903"/>
        <v>7853299388</v>
      </c>
      <c r="G4149" s="1">
        <v>44664</v>
      </c>
      <c r="H4149" t="str">
        <f>"91329"</f>
        <v>91329</v>
      </c>
      <c r="I4149">
        <v>2</v>
      </c>
      <c r="J4149">
        <v>428</v>
      </c>
      <c r="K4149">
        <v>0</v>
      </c>
      <c r="L4149">
        <v>333.84</v>
      </c>
    </row>
    <row r="4150" spans="1:12" x14ac:dyDescent="0.25">
      <c r="A4150" t="str">
        <f t="shared" si="901"/>
        <v>89301000</v>
      </c>
      <c r="B4150" t="str">
        <f t="shared" si="912"/>
        <v>06539000</v>
      </c>
      <c r="C4150" t="str">
        <f t="shared" si="908"/>
        <v>06539003</v>
      </c>
      <c r="D4150" t="str">
        <f t="shared" si="909"/>
        <v>813</v>
      </c>
      <c r="E4150" t="str">
        <f t="shared" si="907"/>
        <v>89301171</v>
      </c>
      <c r="F4150" t="str">
        <f t="shared" si="903"/>
        <v>7853299388</v>
      </c>
      <c r="G4150" s="1">
        <v>44664</v>
      </c>
      <c r="H4150" t="str">
        <f>"91329"</f>
        <v>91329</v>
      </c>
      <c r="I4150">
        <v>2</v>
      </c>
      <c r="J4150">
        <v>428</v>
      </c>
      <c r="K4150">
        <v>0</v>
      </c>
      <c r="L4150">
        <v>333.84</v>
      </c>
    </row>
    <row r="4151" spans="1:12" x14ac:dyDescent="0.25">
      <c r="A4151" t="str">
        <f t="shared" si="901"/>
        <v>89301000</v>
      </c>
      <c r="B4151" t="str">
        <f t="shared" si="912"/>
        <v>06539000</v>
      </c>
      <c r="C4151" t="str">
        <f t="shared" si="908"/>
        <v>06539003</v>
      </c>
      <c r="D4151" t="str">
        <f t="shared" si="909"/>
        <v>813</v>
      </c>
      <c r="E4151" t="str">
        <f t="shared" si="907"/>
        <v>89301171</v>
      </c>
      <c r="F4151" t="str">
        <f t="shared" si="903"/>
        <v>7853299388</v>
      </c>
      <c r="G4151" s="1">
        <v>44664</v>
      </c>
      <c r="H4151" t="str">
        <f>"91329"</f>
        <v>91329</v>
      </c>
      <c r="I4151">
        <v>2</v>
      </c>
      <c r="J4151">
        <v>428</v>
      </c>
      <c r="K4151">
        <v>0</v>
      </c>
      <c r="L4151">
        <v>333.84</v>
      </c>
    </row>
    <row r="4152" spans="1:12" x14ac:dyDescent="0.25">
      <c r="A4152" t="str">
        <f t="shared" si="901"/>
        <v>89301000</v>
      </c>
      <c r="B4152" t="str">
        <f t="shared" si="912"/>
        <v>06539000</v>
      </c>
      <c r="C4152" t="str">
        <f t="shared" si="908"/>
        <v>06539003</v>
      </c>
      <c r="D4152" t="str">
        <f t="shared" si="909"/>
        <v>813</v>
      </c>
      <c r="E4152" t="str">
        <f t="shared" si="907"/>
        <v>89301171</v>
      </c>
      <c r="F4152" t="str">
        <f t="shared" si="903"/>
        <v>7853299388</v>
      </c>
      <c r="G4152" s="1">
        <v>44659</v>
      </c>
      <c r="H4152" t="str">
        <f>"91129"</f>
        <v>91129</v>
      </c>
      <c r="I4152">
        <v>1</v>
      </c>
      <c r="J4152">
        <v>174</v>
      </c>
      <c r="K4152">
        <v>0</v>
      </c>
      <c r="L4152">
        <v>135.72</v>
      </c>
    </row>
    <row r="4153" spans="1:12" x14ac:dyDescent="0.25">
      <c r="A4153" t="str">
        <f t="shared" si="901"/>
        <v>89301000</v>
      </c>
      <c r="B4153" t="str">
        <f t="shared" si="912"/>
        <v>06539000</v>
      </c>
      <c r="C4153" t="str">
        <f t="shared" si="908"/>
        <v>06539003</v>
      </c>
      <c r="D4153" t="str">
        <f t="shared" si="909"/>
        <v>813</v>
      </c>
      <c r="E4153" t="str">
        <f t="shared" si="907"/>
        <v>89301171</v>
      </c>
      <c r="F4153" t="str">
        <f t="shared" si="903"/>
        <v>7853299388</v>
      </c>
      <c r="G4153" s="1">
        <v>44659</v>
      </c>
      <c r="H4153" t="str">
        <f>"91131"</f>
        <v>91131</v>
      </c>
      <c r="I4153">
        <v>1</v>
      </c>
      <c r="J4153">
        <v>171</v>
      </c>
      <c r="K4153">
        <v>0</v>
      </c>
      <c r="L4153">
        <v>133.38</v>
      </c>
    </row>
    <row r="4154" spans="1:12" x14ac:dyDescent="0.25">
      <c r="A4154" t="str">
        <f t="shared" si="901"/>
        <v>89301000</v>
      </c>
      <c r="B4154" t="str">
        <f t="shared" si="912"/>
        <v>06539000</v>
      </c>
      <c r="C4154" t="str">
        <f t="shared" si="908"/>
        <v>06539003</v>
      </c>
      <c r="D4154" t="str">
        <f t="shared" si="909"/>
        <v>813</v>
      </c>
      <c r="E4154" t="str">
        <f t="shared" si="907"/>
        <v>89301171</v>
      </c>
      <c r="F4154" t="str">
        <f t="shared" si="903"/>
        <v>7853299388</v>
      </c>
      <c r="G4154" s="1">
        <v>44659</v>
      </c>
      <c r="H4154" t="str">
        <f>"91133"</f>
        <v>91133</v>
      </c>
      <c r="I4154">
        <v>1</v>
      </c>
      <c r="J4154">
        <v>176</v>
      </c>
      <c r="K4154">
        <v>0</v>
      </c>
      <c r="L4154">
        <v>137.28</v>
      </c>
    </row>
    <row r="4155" spans="1:12" x14ac:dyDescent="0.25">
      <c r="A4155" t="str">
        <f t="shared" si="901"/>
        <v>89301000</v>
      </c>
      <c r="B4155" t="str">
        <f t="shared" si="912"/>
        <v>06539000</v>
      </c>
      <c r="C4155" t="str">
        <f t="shared" si="908"/>
        <v>06539003</v>
      </c>
      <c r="D4155" t="str">
        <f t="shared" si="909"/>
        <v>813</v>
      </c>
      <c r="E4155" t="str">
        <f t="shared" si="907"/>
        <v>89301171</v>
      </c>
      <c r="F4155" t="str">
        <f t="shared" si="903"/>
        <v>7853299388</v>
      </c>
      <c r="G4155" s="1">
        <v>44659</v>
      </c>
      <c r="H4155" t="str">
        <f>"91171"</f>
        <v>91171</v>
      </c>
      <c r="I4155">
        <v>1</v>
      </c>
      <c r="J4155">
        <v>360</v>
      </c>
      <c r="K4155">
        <v>0</v>
      </c>
      <c r="L4155">
        <v>280.8</v>
      </c>
    </row>
    <row r="4156" spans="1:12" x14ac:dyDescent="0.25">
      <c r="A4156" t="str">
        <f t="shared" si="901"/>
        <v>89301000</v>
      </c>
      <c r="B4156" t="str">
        <f t="shared" si="912"/>
        <v>06539000</v>
      </c>
      <c r="C4156" t="str">
        <f t="shared" si="908"/>
        <v>06539003</v>
      </c>
      <c r="D4156" t="str">
        <f t="shared" si="909"/>
        <v>813</v>
      </c>
      <c r="E4156" t="str">
        <f t="shared" si="907"/>
        <v>89301171</v>
      </c>
      <c r="F4156" t="str">
        <f t="shared" si="903"/>
        <v>7853299388</v>
      </c>
      <c r="G4156" s="1">
        <v>44659</v>
      </c>
      <c r="H4156" t="str">
        <f>"91173"</f>
        <v>91173</v>
      </c>
      <c r="I4156">
        <v>1</v>
      </c>
      <c r="J4156">
        <v>335</v>
      </c>
      <c r="K4156">
        <v>0</v>
      </c>
      <c r="L4156">
        <v>261.3</v>
      </c>
    </row>
    <row r="4157" spans="1:12" x14ac:dyDescent="0.25">
      <c r="A4157" t="str">
        <f t="shared" si="901"/>
        <v>89301000</v>
      </c>
      <c r="B4157" t="str">
        <f t="shared" si="912"/>
        <v>06539000</v>
      </c>
      <c r="C4157" t="str">
        <f t="shared" si="908"/>
        <v>06539003</v>
      </c>
      <c r="D4157" t="str">
        <f t="shared" si="909"/>
        <v>813</v>
      </c>
      <c r="E4157" t="str">
        <f t="shared" si="907"/>
        <v>89301171</v>
      </c>
      <c r="F4157" t="str">
        <f t="shared" si="903"/>
        <v>7853299388</v>
      </c>
      <c r="G4157" s="1">
        <v>44659</v>
      </c>
      <c r="H4157" t="str">
        <f>"91175"</f>
        <v>91175</v>
      </c>
      <c r="I4157">
        <v>1</v>
      </c>
      <c r="J4157">
        <v>360</v>
      </c>
      <c r="K4157">
        <v>0</v>
      </c>
      <c r="L4157">
        <v>280.8</v>
      </c>
    </row>
    <row r="4158" spans="1:12" x14ac:dyDescent="0.25">
      <c r="A4158" t="str">
        <f t="shared" si="901"/>
        <v>89301000</v>
      </c>
      <c r="B4158" t="str">
        <f t="shared" si="912"/>
        <v>06539000</v>
      </c>
      <c r="C4158" t="str">
        <f t="shared" ref="C4158:C4189" si="913">"06539003"</f>
        <v>06539003</v>
      </c>
      <c r="D4158" t="str">
        <f t="shared" ref="D4158:D4189" si="914">"813"</f>
        <v>813</v>
      </c>
      <c r="E4158" t="str">
        <f t="shared" si="907"/>
        <v>89301171</v>
      </c>
      <c r="F4158" t="str">
        <f t="shared" si="903"/>
        <v>7853299388</v>
      </c>
      <c r="G4158" s="1">
        <v>44660</v>
      </c>
      <c r="H4158" t="str">
        <f>"91167"</f>
        <v>91167</v>
      </c>
      <c r="I4158">
        <v>1</v>
      </c>
      <c r="J4158">
        <v>425</v>
      </c>
      <c r="K4158">
        <v>0</v>
      </c>
      <c r="L4158">
        <v>331.5</v>
      </c>
    </row>
    <row r="4159" spans="1:12" x14ac:dyDescent="0.25">
      <c r="A4159" t="str">
        <f t="shared" si="901"/>
        <v>89301000</v>
      </c>
      <c r="B4159" t="str">
        <f t="shared" si="912"/>
        <v>06539000</v>
      </c>
      <c r="C4159" t="str">
        <f t="shared" si="913"/>
        <v>06539003</v>
      </c>
      <c r="D4159" t="str">
        <f t="shared" si="914"/>
        <v>813</v>
      </c>
      <c r="E4159" t="str">
        <f t="shared" si="907"/>
        <v>89301171</v>
      </c>
      <c r="F4159" t="str">
        <f t="shared" si="903"/>
        <v>7853299388</v>
      </c>
      <c r="G4159" s="1">
        <v>44660</v>
      </c>
      <c r="H4159" t="str">
        <f>"91169"</f>
        <v>91169</v>
      </c>
      <c r="I4159">
        <v>1</v>
      </c>
      <c r="J4159">
        <v>425</v>
      </c>
      <c r="K4159">
        <v>0</v>
      </c>
      <c r="L4159">
        <v>331.5</v>
      </c>
    </row>
    <row r="4160" spans="1:12" x14ac:dyDescent="0.25">
      <c r="A4160" t="str">
        <f t="shared" si="901"/>
        <v>89301000</v>
      </c>
      <c r="B4160" t="str">
        <f t="shared" si="912"/>
        <v>06539000</v>
      </c>
      <c r="C4160" t="str">
        <f t="shared" si="913"/>
        <v>06539003</v>
      </c>
      <c r="D4160" t="str">
        <f t="shared" si="914"/>
        <v>813</v>
      </c>
      <c r="E4160" t="str">
        <f t="shared" si="907"/>
        <v>89301171</v>
      </c>
      <c r="F4160" t="str">
        <f t="shared" si="903"/>
        <v>7853299388</v>
      </c>
      <c r="G4160" s="1">
        <v>44659</v>
      </c>
      <c r="H4160" t="str">
        <f>"91167"</f>
        <v>91167</v>
      </c>
      <c r="I4160">
        <v>1</v>
      </c>
      <c r="J4160">
        <v>425</v>
      </c>
      <c r="K4160">
        <v>0</v>
      </c>
      <c r="L4160">
        <v>331.5</v>
      </c>
    </row>
    <row r="4161" spans="1:12" x14ac:dyDescent="0.25">
      <c r="A4161" t="str">
        <f t="shared" si="901"/>
        <v>89301000</v>
      </c>
      <c r="B4161" t="str">
        <f t="shared" si="912"/>
        <v>06539000</v>
      </c>
      <c r="C4161" t="str">
        <f t="shared" si="913"/>
        <v>06539003</v>
      </c>
      <c r="D4161" t="str">
        <f t="shared" si="914"/>
        <v>813</v>
      </c>
      <c r="E4161" t="str">
        <f t="shared" si="907"/>
        <v>89301171</v>
      </c>
      <c r="F4161" t="str">
        <f t="shared" si="903"/>
        <v>7853299388</v>
      </c>
      <c r="G4161" s="1">
        <v>44659</v>
      </c>
      <c r="H4161" t="str">
        <f>"91169"</f>
        <v>91169</v>
      </c>
      <c r="I4161">
        <v>1</v>
      </c>
      <c r="J4161">
        <v>425</v>
      </c>
      <c r="K4161">
        <v>0</v>
      </c>
      <c r="L4161">
        <v>331.5</v>
      </c>
    </row>
    <row r="4162" spans="1:12" x14ac:dyDescent="0.25">
      <c r="A4162" t="str">
        <f t="shared" ref="A4162:A4225" si="915">"89301000"</f>
        <v>89301000</v>
      </c>
      <c r="B4162" t="str">
        <f t="shared" si="912"/>
        <v>06539000</v>
      </c>
      <c r="C4162" t="str">
        <f t="shared" si="913"/>
        <v>06539003</v>
      </c>
      <c r="D4162" t="str">
        <f t="shared" si="914"/>
        <v>813</v>
      </c>
      <c r="E4162" t="str">
        <f t="shared" si="907"/>
        <v>89301171</v>
      </c>
      <c r="F4162" t="str">
        <f t="shared" si="903"/>
        <v>7853299388</v>
      </c>
      <c r="G4162" s="1">
        <v>44659</v>
      </c>
      <c r="H4162" t="str">
        <f>"91475"</f>
        <v>91475</v>
      </c>
      <c r="I4162">
        <v>1</v>
      </c>
      <c r="J4162">
        <v>206</v>
      </c>
      <c r="K4162">
        <v>0</v>
      </c>
      <c r="L4162">
        <v>160.68</v>
      </c>
    </row>
    <row r="4163" spans="1:12" x14ac:dyDescent="0.25">
      <c r="A4163" t="str">
        <f t="shared" si="915"/>
        <v>89301000</v>
      </c>
      <c r="B4163" t="str">
        <f t="shared" si="912"/>
        <v>06539000</v>
      </c>
      <c r="C4163" t="str">
        <f t="shared" si="913"/>
        <v>06539003</v>
      </c>
      <c r="D4163" t="str">
        <f t="shared" si="914"/>
        <v>813</v>
      </c>
      <c r="E4163" t="str">
        <f t="shared" ref="E4163:E4204" si="916">"89301172"</f>
        <v>89301172</v>
      </c>
      <c r="F4163" t="str">
        <f t="shared" ref="F4163:F4204" si="917">"6808040767"</f>
        <v>6808040767</v>
      </c>
      <c r="G4163" s="1">
        <v>44665</v>
      </c>
      <c r="H4163" t="str">
        <f t="shared" ref="H4163:H4176" si="918">"91411"</f>
        <v>91411</v>
      </c>
      <c r="I4163">
        <v>1</v>
      </c>
      <c r="J4163">
        <v>1600</v>
      </c>
      <c r="K4163">
        <v>0</v>
      </c>
      <c r="L4163">
        <v>1248</v>
      </c>
    </row>
    <row r="4164" spans="1:12" x14ac:dyDescent="0.25">
      <c r="A4164" t="str">
        <f t="shared" si="915"/>
        <v>89301000</v>
      </c>
      <c r="B4164" t="str">
        <f t="shared" si="912"/>
        <v>06539000</v>
      </c>
      <c r="C4164" t="str">
        <f t="shared" si="913"/>
        <v>06539003</v>
      </c>
      <c r="D4164" t="str">
        <f t="shared" si="914"/>
        <v>813</v>
      </c>
      <c r="E4164" t="str">
        <f t="shared" si="916"/>
        <v>89301172</v>
      </c>
      <c r="F4164" t="str">
        <f t="shared" si="917"/>
        <v>6808040767</v>
      </c>
      <c r="G4164" s="1">
        <v>44665</v>
      </c>
      <c r="H4164" t="str">
        <f t="shared" si="918"/>
        <v>91411</v>
      </c>
      <c r="I4164">
        <v>1</v>
      </c>
      <c r="J4164">
        <v>1600</v>
      </c>
      <c r="K4164">
        <v>0</v>
      </c>
      <c r="L4164">
        <v>1248</v>
      </c>
    </row>
    <row r="4165" spans="1:12" x14ac:dyDescent="0.25">
      <c r="A4165" t="str">
        <f t="shared" si="915"/>
        <v>89301000</v>
      </c>
      <c r="B4165" t="str">
        <f t="shared" si="912"/>
        <v>06539000</v>
      </c>
      <c r="C4165" t="str">
        <f t="shared" si="913"/>
        <v>06539003</v>
      </c>
      <c r="D4165" t="str">
        <f t="shared" si="914"/>
        <v>813</v>
      </c>
      <c r="E4165" t="str">
        <f t="shared" si="916"/>
        <v>89301172</v>
      </c>
      <c r="F4165" t="str">
        <f t="shared" si="917"/>
        <v>6808040767</v>
      </c>
      <c r="G4165" s="1">
        <v>44665</v>
      </c>
      <c r="H4165" t="str">
        <f t="shared" si="918"/>
        <v>91411</v>
      </c>
      <c r="I4165">
        <v>1</v>
      </c>
      <c r="J4165">
        <v>1600</v>
      </c>
      <c r="K4165">
        <v>0</v>
      </c>
      <c r="L4165">
        <v>1248</v>
      </c>
    </row>
    <row r="4166" spans="1:12" x14ac:dyDescent="0.25">
      <c r="A4166" t="str">
        <f t="shared" si="915"/>
        <v>89301000</v>
      </c>
      <c r="B4166" t="str">
        <f t="shared" si="912"/>
        <v>06539000</v>
      </c>
      <c r="C4166" t="str">
        <f t="shared" si="913"/>
        <v>06539003</v>
      </c>
      <c r="D4166" t="str">
        <f t="shared" si="914"/>
        <v>813</v>
      </c>
      <c r="E4166" t="str">
        <f t="shared" si="916"/>
        <v>89301172</v>
      </c>
      <c r="F4166" t="str">
        <f t="shared" si="917"/>
        <v>6808040767</v>
      </c>
      <c r="G4166" s="1">
        <v>44665</v>
      </c>
      <c r="H4166" t="str">
        <f t="shared" si="918"/>
        <v>91411</v>
      </c>
      <c r="I4166">
        <v>1</v>
      </c>
      <c r="J4166">
        <v>1600</v>
      </c>
      <c r="K4166">
        <v>0</v>
      </c>
      <c r="L4166">
        <v>1248</v>
      </c>
    </row>
    <row r="4167" spans="1:12" x14ac:dyDescent="0.25">
      <c r="A4167" t="str">
        <f t="shared" si="915"/>
        <v>89301000</v>
      </c>
      <c r="B4167" t="str">
        <f t="shared" si="912"/>
        <v>06539000</v>
      </c>
      <c r="C4167" t="str">
        <f t="shared" si="913"/>
        <v>06539003</v>
      </c>
      <c r="D4167" t="str">
        <f t="shared" si="914"/>
        <v>813</v>
      </c>
      <c r="E4167" t="str">
        <f t="shared" si="916"/>
        <v>89301172</v>
      </c>
      <c r="F4167" t="str">
        <f t="shared" si="917"/>
        <v>6808040767</v>
      </c>
      <c r="G4167" s="1">
        <v>44665</v>
      </c>
      <c r="H4167" t="str">
        <f t="shared" si="918"/>
        <v>91411</v>
      </c>
      <c r="I4167">
        <v>1</v>
      </c>
      <c r="J4167">
        <v>1600</v>
      </c>
      <c r="K4167">
        <v>0</v>
      </c>
      <c r="L4167">
        <v>1248</v>
      </c>
    </row>
    <row r="4168" spans="1:12" x14ac:dyDescent="0.25">
      <c r="A4168" t="str">
        <f t="shared" si="915"/>
        <v>89301000</v>
      </c>
      <c r="B4168" t="str">
        <f t="shared" si="912"/>
        <v>06539000</v>
      </c>
      <c r="C4168" t="str">
        <f t="shared" si="913"/>
        <v>06539003</v>
      </c>
      <c r="D4168" t="str">
        <f t="shared" si="914"/>
        <v>813</v>
      </c>
      <c r="E4168" t="str">
        <f t="shared" si="916"/>
        <v>89301172</v>
      </c>
      <c r="F4168" t="str">
        <f t="shared" si="917"/>
        <v>6808040767</v>
      </c>
      <c r="G4168" s="1">
        <v>44665</v>
      </c>
      <c r="H4168" t="str">
        <f t="shared" si="918"/>
        <v>91411</v>
      </c>
      <c r="I4168">
        <v>1</v>
      </c>
      <c r="J4168">
        <v>1600</v>
      </c>
      <c r="K4168">
        <v>0</v>
      </c>
      <c r="L4168">
        <v>1248</v>
      </c>
    </row>
    <row r="4169" spans="1:12" x14ac:dyDescent="0.25">
      <c r="A4169" t="str">
        <f t="shared" si="915"/>
        <v>89301000</v>
      </c>
      <c r="B4169" t="str">
        <f t="shared" si="912"/>
        <v>06539000</v>
      </c>
      <c r="C4169" t="str">
        <f t="shared" si="913"/>
        <v>06539003</v>
      </c>
      <c r="D4169" t="str">
        <f t="shared" si="914"/>
        <v>813</v>
      </c>
      <c r="E4169" t="str">
        <f t="shared" si="916"/>
        <v>89301172</v>
      </c>
      <c r="F4169" t="str">
        <f t="shared" si="917"/>
        <v>6808040767</v>
      </c>
      <c r="G4169" s="1">
        <v>44665</v>
      </c>
      <c r="H4169" t="str">
        <f t="shared" si="918"/>
        <v>91411</v>
      </c>
      <c r="I4169">
        <v>1</v>
      </c>
      <c r="J4169">
        <v>1600</v>
      </c>
      <c r="K4169">
        <v>0</v>
      </c>
      <c r="L4169">
        <v>1248</v>
      </c>
    </row>
    <row r="4170" spans="1:12" x14ac:dyDescent="0.25">
      <c r="A4170" t="str">
        <f t="shared" si="915"/>
        <v>89301000</v>
      </c>
      <c r="B4170" t="str">
        <f t="shared" si="912"/>
        <v>06539000</v>
      </c>
      <c r="C4170" t="str">
        <f t="shared" si="913"/>
        <v>06539003</v>
      </c>
      <c r="D4170" t="str">
        <f t="shared" si="914"/>
        <v>813</v>
      </c>
      <c r="E4170" t="str">
        <f t="shared" si="916"/>
        <v>89301172</v>
      </c>
      <c r="F4170" t="str">
        <f t="shared" si="917"/>
        <v>6808040767</v>
      </c>
      <c r="G4170" s="1">
        <v>44665</v>
      </c>
      <c r="H4170" t="str">
        <f t="shared" si="918"/>
        <v>91411</v>
      </c>
      <c r="I4170">
        <v>1</v>
      </c>
      <c r="J4170">
        <v>1600</v>
      </c>
      <c r="K4170">
        <v>0</v>
      </c>
      <c r="L4170">
        <v>1248</v>
      </c>
    </row>
    <row r="4171" spans="1:12" x14ac:dyDescent="0.25">
      <c r="A4171" t="str">
        <f t="shared" si="915"/>
        <v>89301000</v>
      </c>
      <c r="B4171" t="str">
        <f t="shared" si="912"/>
        <v>06539000</v>
      </c>
      <c r="C4171" t="str">
        <f t="shared" si="913"/>
        <v>06539003</v>
      </c>
      <c r="D4171" t="str">
        <f t="shared" si="914"/>
        <v>813</v>
      </c>
      <c r="E4171" t="str">
        <f t="shared" si="916"/>
        <v>89301172</v>
      </c>
      <c r="F4171" t="str">
        <f t="shared" si="917"/>
        <v>6808040767</v>
      </c>
      <c r="G4171" s="1">
        <v>44665</v>
      </c>
      <c r="H4171" t="str">
        <f t="shared" si="918"/>
        <v>91411</v>
      </c>
      <c r="I4171">
        <v>1</v>
      </c>
      <c r="J4171">
        <v>1600</v>
      </c>
      <c r="K4171">
        <v>0</v>
      </c>
      <c r="L4171">
        <v>1248</v>
      </c>
    </row>
    <row r="4172" spans="1:12" x14ac:dyDescent="0.25">
      <c r="A4172" t="str">
        <f t="shared" si="915"/>
        <v>89301000</v>
      </c>
      <c r="B4172" t="str">
        <f t="shared" si="912"/>
        <v>06539000</v>
      </c>
      <c r="C4172" t="str">
        <f t="shared" si="913"/>
        <v>06539003</v>
      </c>
      <c r="D4172" t="str">
        <f t="shared" si="914"/>
        <v>813</v>
      </c>
      <c r="E4172" t="str">
        <f t="shared" si="916"/>
        <v>89301172</v>
      </c>
      <c r="F4172" t="str">
        <f t="shared" si="917"/>
        <v>6808040767</v>
      </c>
      <c r="G4172" s="1">
        <v>44665</v>
      </c>
      <c r="H4172" t="str">
        <f t="shared" si="918"/>
        <v>91411</v>
      </c>
      <c r="I4172">
        <v>1</v>
      </c>
      <c r="J4172">
        <v>1600</v>
      </c>
      <c r="K4172">
        <v>0</v>
      </c>
      <c r="L4172">
        <v>1248</v>
      </c>
    </row>
    <row r="4173" spans="1:12" x14ac:dyDescent="0.25">
      <c r="A4173" t="str">
        <f t="shared" si="915"/>
        <v>89301000</v>
      </c>
      <c r="B4173" t="str">
        <f t="shared" si="912"/>
        <v>06539000</v>
      </c>
      <c r="C4173" t="str">
        <f t="shared" si="913"/>
        <v>06539003</v>
      </c>
      <c r="D4173" t="str">
        <f t="shared" si="914"/>
        <v>813</v>
      </c>
      <c r="E4173" t="str">
        <f t="shared" si="916"/>
        <v>89301172</v>
      </c>
      <c r="F4173" t="str">
        <f t="shared" si="917"/>
        <v>6808040767</v>
      </c>
      <c r="G4173" s="1">
        <v>44665</v>
      </c>
      <c r="H4173" t="str">
        <f t="shared" si="918"/>
        <v>91411</v>
      </c>
      <c r="I4173">
        <v>1</v>
      </c>
      <c r="J4173">
        <v>1600</v>
      </c>
      <c r="K4173">
        <v>0</v>
      </c>
      <c r="L4173">
        <v>1248</v>
      </c>
    </row>
    <row r="4174" spans="1:12" x14ac:dyDescent="0.25">
      <c r="A4174" t="str">
        <f t="shared" si="915"/>
        <v>89301000</v>
      </c>
      <c r="B4174" t="str">
        <f t="shared" si="912"/>
        <v>06539000</v>
      </c>
      <c r="C4174" t="str">
        <f t="shared" si="913"/>
        <v>06539003</v>
      </c>
      <c r="D4174" t="str">
        <f t="shared" si="914"/>
        <v>813</v>
      </c>
      <c r="E4174" t="str">
        <f t="shared" si="916"/>
        <v>89301172</v>
      </c>
      <c r="F4174" t="str">
        <f t="shared" si="917"/>
        <v>6808040767</v>
      </c>
      <c r="G4174" s="1">
        <v>44665</v>
      </c>
      <c r="H4174" t="str">
        <f t="shared" si="918"/>
        <v>91411</v>
      </c>
      <c r="I4174">
        <v>1</v>
      </c>
      <c r="J4174">
        <v>1600</v>
      </c>
      <c r="K4174">
        <v>0</v>
      </c>
      <c r="L4174">
        <v>1248</v>
      </c>
    </row>
    <row r="4175" spans="1:12" x14ac:dyDescent="0.25">
      <c r="A4175" t="str">
        <f t="shared" si="915"/>
        <v>89301000</v>
      </c>
      <c r="B4175" t="str">
        <f t="shared" si="912"/>
        <v>06539000</v>
      </c>
      <c r="C4175" t="str">
        <f t="shared" si="913"/>
        <v>06539003</v>
      </c>
      <c r="D4175" t="str">
        <f t="shared" si="914"/>
        <v>813</v>
      </c>
      <c r="E4175" t="str">
        <f t="shared" si="916"/>
        <v>89301172</v>
      </c>
      <c r="F4175" t="str">
        <f t="shared" si="917"/>
        <v>6808040767</v>
      </c>
      <c r="G4175" s="1">
        <v>44665</v>
      </c>
      <c r="H4175" t="str">
        <f t="shared" si="918"/>
        <v>91411</v>
      </c>
      <c r="I4175">
        <v>1</v>
      </c>
      <c r="J4175">
        <v>1600</v>
      </c>
      <c r="K4175">
        <v>0</v>
      </c>
      <c r="L4175">
        <v>1248</v>
      </c>
    </row>
    <row r="4176" spans="1:12" x14ac:dyDescent="0.25">
      <c r="A4176" t="str">
        <f t="shared" si="915"/>
        <v>89301000</v>
      </c>
      <c r="B4176" t="str">
        <f t="shared" si="912"/>
        <v>06539000</v>
      </c>
      <c r="C4176" t="str">
        <f t="shared" si="913"/>
        <v>06539003</v>
      </c>
      <c r="D4176" t="str">
        <f t="shared" si="914"/>
        <v>813</v>
      </c>
      <c r="E4176" t="str">
        <f t="shared" si="916"/>
        <v>89301172</v>
      </c>
      <c r="F4176" t="str">
        <f t="shared" si="917"/>
        <v>6808040767</v>
      </c>
      <c r="G4176" s="1">
        <v>44665</v>
      </c>
      <c r="H4176" t="str">
        <f t="shared" si="918"/>
        <v>91411</v>
      </c>
      <c r="I4176">
        <v>1</v>
      </c>
      <c r="J4176">
        <v>1600</v>
      </c>
      <c r="K4176">
        <v>0</v>
      </c>
      <c r="L4176">
        <v>1248</v>
      </c>
    </row>
    <row r="4177" spans="1:12" x14ac:dyDescent="0.25">
      <c r="A4177" t="str">
        <f t="shared" si="915"/>
        <v>89301000</v>
      </c>
      <c r="B4177" t="str">
        <f t="shared" si="912"/>
        <v>06539000</v>
      </c>
      <c r="C4177" t="str">
        <f t="shared" si="913"/>
        <v>06539003</v>
      </c>
      <c r="D4177" t="str">
        <f t="shared" si="914"/>
        <v>813</v>
      </c>
      <c r="E4177" t="str">
        <f t="shared" si="916"/>
        <v>89301172</v>
      </c>
      <c r="F4177" t="str">
        <f t="shared" si="917"/>
        <v>6808040767</v>
      </c>
      <c r="G4177" s="1">
        <v>44671</v>
      </c>
      <c r="H4177" t="str">
        <f>"91495"</f>
        <v>91495</v>
      </c>
      <c r="I4177">
        <v>1</v>
      </c>
      <c r="J4177">
        <v>592</v>
      </c>
      <c r="K4177">
        <v>0</v>
      </c>
      <c r="L4177">
        <v>461.76</v>
      </c>
    </row>
    <row r="4178" spans="1:12" x14ac:dyDescent="0.25">
      <c r="A4178" t="str">
        <f t="shared" si="915"/>
        <v>89301000</v>
      </c>
      <c r="B4178" t="str">
        <f t="shared" si="912"/>
        <v>06539000</v>
      </c>
      <c r="C4178" t="str">
        <f t="shared" si="913"/>
        <v>06539003</v>
      </c>
      <c r="D4178" t="str">
        <f t="shared" si="914"/>
        <v>813</v>
      </c>
      <c r="E4178" t="str">
        <f t="shared" si="916"/>
        <v>89301172</v>
      </c>
      <c r="F4178" t="str">
        <f t="shared" si="917"/>
        <v>6808040767</v>
      </c>
      <c r="G4178" s="1">
        <v>44671</v>
      </c>
      <c r="H4178" t="str">
        <f>"91329"</f>
        <v>91329</v>
      </c>
      <c r="I4178">
        <v>2</v>
      </c>
      <c r="J4178">
        <v>428</v>
      </c>
      <c r="K4178">
        <v>0</v>
      </c>
      <c r="L4178">
        <v>333.84</v>
      </c>
    </row>
    <row r="4179" spans="1:12" x14ac:dyDescent="0.25">
      <c r="A4179" t="str">
        <f t="shared" si="915"/>
        <v>89301000</v>
      </c>
      <c r="B4179" t="str">
        <f t="shared" si="912"/>
        <v>06539000</v>
      </c>
      <c r="C4179" t="str">
        <f t="shared" si="913"/>
        <v>06539003</v>
      </c>
      <c r="D4179" t="str">
        <f t="shared" si="914"/>
        <v>813</v>
      </c>
      <c r="E4179" t="str">
        <f t="shared" si="916"/>
        <v>89301172</v>
      </c>
      <c r="F4179" t="str">
        <f t="shared" si="917"/>
        <v>6808040767</v>
      </c>
      <c r="G4179" s="1">
        <v>44671</v>
      </c>
      <c r="H4179" t="str">
        <f>"91329"</f>
        <v>91329</v>
      </c>
      <c r="I4179">
        <v>2</v>
      </c>
      <c r="J4179">
        <v>428</v>
      </c>
      <c r="K4179">
        <v>0</v>
      </c>
      <c r="L4179">
        <v>333.84</v>
      </c>
    </row>
    <row r="4180" spans="1:12" x14ac:dyDescent="0.25">
      <c r="A4180" t="str">
        <f t="shared" si="915"/>
        <v>89301000</v>
      </c>
      <c r="B4180" t="str">
        <f t="shared" si="912"/>
        <v>06539000</v>
      </c>
      <c r="C4180" t="str">
        <f t="shared" si="913"/>
        <v>06539003</v>
      </c>
      <c r="D4180" t="str">
        <f t="shared" si="914"/>
        <v>813</v>
      </c>
      <c r="E4180" t="str">
        <f t="shared" si="916"/>
        <v>89301172</v>
      </c>
      <c r="F4180" t="str">
        <f t="shared" si="917"/>
        <v>6808040767</v>
      </c>
      <c r="G4180" s="1">
        <v>44671</v>
      </c>
      <c r="H4180" t="str">
        <f>"91329"</f>
        <v>91329</v>
      </c>
      <c r="I4180">
        <v>2</v>
      </c>
      <c r="J4180">
        <v>428</v>
      </c>
      <c r="K4180">
        <v>0</v>
      </c>
      <c r="L4180">
        <v>333.84</v>
      </c>
    </row>
    <row r="4181" spans="1:12" x14ac:dyDescent="0.25">
      <c r="A4181" t="str">
        <f t="shared" si="915"/>
        <v>89301000</v>
      </c>
      <c r="B4181" t="str">
        <f t="shared" si="912"/>
        <v>06539000</v>
      </c>
      <c r="C4181" t="str">
        <f t="shared" si="913"/>
        <v>06539003</v>
      </c>
      <c r="D4181" t="str">
        <f t="shared" si="914"/>
        <v>813</v>
      </c>
      <c r="E4181" t="str">
        <f t="shared" si="916"/>
        <v>89301172</v>
      </c>
      <c r="F4181" t="str">
        <f t="shared" si="917"/>
        <v>6808040767</v>
      </c>
      <c r="G4181" s="1">
        <v>44671</v>
      </c>
      <c r="H4181" t="str">
        <f>"91329"</f>
        <v>91329</v>
      </c>
      <c r="I4181">
        <v>2</v>
      </c>
      <c r="J4181">
        <v>428</v>
      </c>
      <c r="K4181">
        <v>0</v>
      </c>
      <c r="L4181">
        <v>333.84</v>
      </c>
    </row>
    <row r="4182" spans="1:12" x14ac:dyDescent="0.25">
      <c r="A4182" t="str">
        <f t="shared" si="915"/>
        <v>89301000</v>
      </c>
      <c r="B4182" t="str">
        <f t="shared" si="912"/>
        <v>06539000</v>
      </c>
      <c r="C4182" t="str">
        <f t="shared" si="913"/>
        <v>06539003</v>
      </c>
      <c r="D4182" t="str">
        <f t="shared" si="914"/>
        <v>813</v>
      </c>
      <c r="E4182" t="str">
        <f t="shared" si="916"/>
        <v>89301172</v>
      </c>
      <c r="F4182" t="str">
        <f t="shared" si="917"/>
        <v>6808040767</v>
      </c>
      <c r="G4182" s="1">
        <v>44665</v>
      </c>
      <c r="H4182" t="str">
        <f t="shared" ref="H4182:H4203" si="919">"91411"</f>
        <v>91411</v>
      </c>
      <c r="I4182">
        <v>1</v>
      </c>
      <c r="J4182">
        <v>1600</v>
      </c>
      <c r="K4182">
        <v>0</v>
      </c>
      <c r="L4182">
        <v>1248</v>
      </c>
    </row>
    <row r="4183" spans="1:12" x14ac:dyDescent="0.25">
      <c r="A4183" t="str">
        <f t="shared" si="915"/>
        <v>89301000</v>
      </c>
      <c r="B4183" t="str">
        <f t="shared" si="912"/>
        <v>06539000</v>
      </c>
      <c r="C4183" t="str">
        <f t="shared" si="913"/>
        <v>06539003</v>
      </c>
      <c r="D4183" t="str">
        <f t="shared" si="914"/>
        <v>813</v>
      </c>
      <c r="E4183" t="str">
        <f t="shared" si="916"/>
        <v>89301172</v>
      </c>
      <c r="F4183" t="str">
        <f t="shared" si="917"/>
        <v>6808040767</v>
      </c>
      <c r="G4183" s="1">
        <v>44665</v>
      </c>
      <c r="H4183" t="str">
        <f t="shared" si="919"/>
        <v>91411</v>
      </c>
      <c r="I4183">
        <v>1</v>
      </c>
      <c r="J4183">
        <v>1600</v>
      </c>
      <c r="K4183">
        <v>0</v>
      </c>
      <c r="L4183">
        <v>1248</v>
      </c>
    </row>
    <row r="4184" spans="1:12" x14ac:dyDescent="0.25">
      <c r="A4184" t="str">
        <f t="shared" si="915"/>
        <v>89301000</v>
      </c>
      <c r="B4184" t="str">
        <f t="shared" si="912"/>
        <v>06539000</v>
      </c>
      <c r="C4184" t="str">
        <f t="shared" si="913"/>
        <v>06539003</v>
      </c>
      <c r="D4184" t="str">
        <f t="shared" si="914"/>
        <v>813</v>
      </c>
      <c r="E4184" t="str">
        <f t="shared" si="916"/>
        <v>89301172</v>
      </c>
      <c r="F4184" t="str">
        <f t="shared" si="917"/>
        <v>6808040767</v>
      </c>
      <c r="G4184" s="1">
        <v>44665</v>
      </c>
      <c r="H4184" t="str">
        <f t="shared" si="919"/>
        <v>91411</v>
      </c>
      <c r="I4184">
        <v>1</v>
      </c>
      <c r="J4184">
        <v>1600</v>
      </c>
      <c r="K4184">
        <v>0</v>
      </c>
      <c r="L4184">
        <v>1248</v>
      </c>
    </row>
    <row r="4185" spans="1:12" x14ac:dyDescent="0.25">
      <c r="A4185" t="str">
        <f t="shared" si="915"/>
        <v>89301000</v>
      </c>
      <c r="B4185" t="str">
        <f t="shared" si="912"/>
        <v>06539000</v>
      </c>
      <c r="C4185" t="str">
        <f t="shared" si="913"/>
        <v>06539003</v>
      </c>
      <c r="D4185" t="str">
        <f t="shared" si="914"/>
        <v>813</v>
      </c>
      <c r="E4185" t="str">
        <f t="shared" si="916"/>
        <v>89301172</v>
      </c>
      <c r="F4185" t="str">
        <f t="shared" si="917"/>
        <v>6808040767</v>
      </c>
      <c r="G4185" s="1">
        <v>44665</v>
      </c>
      <c r="H4185" t="str">
        <f t="shared" si="919"/>
        <v>91411</v>
      </c>
      <c r="I4185">
        <v>1</v>
      </c>
      <c r="J4185">
        <v>1600</v>
      </c>
      <c r="K4185">
        <v>0</v>
      </c>
      <c r="L4185">
        <v>1248</v>
      </c>
    </row>
    <row r="4186" spans="1:12" x14ac:dyDescent="0.25">
      <c r="A4186" t="str">
        <f t="shared" si="915"/>
        <v>89301000</v>
      </c>
      <c r="B4186" t="str">
        <f t="shared" si="912"/>
        <v>06539000</v>
      </c>
      <c r="C4186" t="str">
        <f t="shared" si="913"/>
        <v>06539003</v>
      </c>
      <c r="D4186" t="str">
        <f t="shared" si="914"/>
        <v>813</v>
      </c>
      <c r="E4186" t="str">
        <f t="shared" si="916"/>
        <v>89301172</v>
      </c>
      <c r="F4186" t="str">
        <f t="shared" si="917"/>
        <v>6808040767</v>
      </c>
      <c r="G4186" s="1">
        <v>44665</v>
      </c>
      <c r="H4186" t="str">
        <f t="shared" si="919"/>
        <v>91411</v>
      </c>
      <c r="I4186">
        <v>1</v>
      </c>
      <c r="J4186">
        <v>1600</v>
      </c>
      <c r="K4186">
        <v>0</v>
      </c>
      <c r="L4186">
        <v>1248</v>
      </c>
    </row>
    <row r="4187" spans="1:12" x14ac:dyDescent="0.25">
      <c r="A4187" t="str">
        <f t="shared" si="915"/>
        <v>89301000</v>
      </c>
      <c r="B4187" t="str">
        <f t="shared" si="912"/>
        <v>06539000</v>
      </c>
      <c r="C4187" t="str">
        <f t="shared" si="913"/>
        <v>06539003</v>
      </c>
      <c r="D4187" t="str">
        <f t="shared" si="914"/>
        <v>813</v>
      </c>
      <c r="E4187" t="str">
        <f t="shared" si="916"/>
        <v>89301172</v>
      </c>
      <c r="F4187" t="str">
        <f t="shared" si="917"/>
        <v>6808040767</v>
      </c>
      <c r="G4187" s="1">
        <v>44666</v>
      </c>
      <c r="H4187" t="str">
        <f t="shared" si="919"/>
        <v>91411</v>
      </c>
      <c r="I4187">
        <v>1</v>
      </c>
      <c r="J4187">
        <v>1600</v>
      </c>
      <c r="K4187">
        <v>0</v>
      </c>
      <c r="L4187">
        <v>1248</v>
      </c>
    </row>
    <row r="4188" spans="1:12" x14ac:dyDescent="0.25">
      <c r="A4188" t="str">
        <f t="shared" si="915"/>
        <v>89301000</v>
      </c>
      <c r="B4188" t="str">
        <f t="shared" si="912"/>
        <v>06539000</v>
      </c>
      <c r="C4188" t="str">
        <f t="shared" si="913"/>
        <v>06539003</v>
      </c>
      <c r="D4188" t="str">
        <f t="shared" si="914"/>
        <v>813</v>
      </c>
      <c r="E4188" t="str">
        <f t="shared" si="916"/>
        <v>89301172</v>
      </c>
      <c r="F4188" t="str">
        <f t="shared" si="917"/>
        <v>6808040767</v>
      </c>
      <c r="G4188" s="1">
        <v>44666</v>
      </c>
      <c r="H4188" t="str">
        <f t="shared" si="919"/>
        <v>91411</v>
      </c>
      <c r="I4188">
        <v>1</v>
      </c>
      <c r="J4188">
        <v>1600</v>
      </c>
      <c r="K4188">
        <v>0</v>
      </c>
      <c r="L4188">
        <v>1248</v>
      </c>
    </row>
    <row r="4189" spans="1:12" x14ac:dyDescent="0.25">
      <c r="A4189" t="str">
        <f t="shared" si="915"/>
        <v>89301000</v>
      </c>
      <c r="B4189" t="str">
        <f t="shared" si="912"/>
        <v>06539000</v>
      </c>
      <c r="C4189" t="str">
        <f t="shared" si="913"/>
        <v>06539003</v>
      </c>
      <c r="D4189" t="str">
        <f t="shared" si="914"/>
        <v>813</v>
      </c>
      <c r="E4189" t="str">
        <f t="shared" si="916"/>
        <v>89301172</v>
      </c>
      <c r="F4189" t="str">
        <f t="shared" si="917"/>
        <v>6808040767</v>
      </c>
      <c r="G4189" s="1">
        <v>44666</v>
      </c>
      <c r="H4189" t="str">
        <f t="shared" si="919"/>
        <v>91411</v>
      </c>
      <c r="I4189">
        <v>1</v>
      </c>
      <c r="J4189">
        <v>1600</v>
      </c>
      <c r="K4189">
        <v>0</v>
      </c>
      <c r="L4189">
        <v>1248</v>
      </c>
    </row>
    <row r="4190" spans="1:12" x14ac:dyDescent="0.25">
      <c r="A4190" t="str">
        <f t="shared" si="915"/>
        <v>89301000</v>
      </c>
      <c r="B4190" t="str">
        <f t="shared" si="912"/>
        <v>06539000</v>
      </c>
      <c r="C4190" t="str">
        <f t="shared" ref="C4190:C4204" si="920">"06539003"</f>
        <v>06539003</v>
      </c>
      <c r="D4190" t="str">
        <f t="shared" ref="D4190:D4204" si="921">"813"</f>
        <v>813</v>
      </c>
      <c r="E4190" t="str">
        <f t="shared" si="916"/>
        <v>89301172</v>
      </c>
      <c r="F4190" t="str">
        <f t="shared" si="917"/>
        <v>6808040767</v>
      </c>
      <c r="G4190" s="1">
        <v>44666</v>
      </c>
      <c r="H4190" t="str">
        <f t="shared" si="919"/>
        <v>91411</v>
      </c>
      <c r="I4190">
        <v>1</v>
      </c>
      <c r="J4190">
        <v>1600</v>
      </c>
      <c r="K4190">
        <v>0</v>
      </c>
      <c r="L4190">
        <v>1248</v>
      </c>
    </row>
    <row r="4191" spans="1:12" x14ac:dyDescent="0.25">
      <c r="A4191" t="str">
        <f t="shared" si="915"/>
        <v>89301000</v>
      </c>
      <c r="B4191" t="str">
        <f t="shared" si="912"/>
        <v>06539000</v>
      </c>
      <c r="C4191" t="str">
        <f t="shared" si="920"/>
        <v>06539003</v>
      </c>
      <c r="D4191" t="str">
        <f t="shared" si="921"/>
        <v>813</v>
      </c>
      <c r="E4191" t="str">
        <f t="shared" si="916"/>
        <v>89301172</v>
      </c>
      <c r="F4191" t="str">
        <f t="shared" si="917"/>
        <v>6808040767</v>
      </c>
      <c r="G4191" s="1">
        <v>44666</v>
      </c>
      <c r="H4191" t="str">
        <f t="shared" si="919"/>
        <v>91411</v>
      </c>
      <c r="I4191">
        <v>1</v>
      </c>
      <c r="J4191">
        <v>1600</v>
      </c>
      <c r="K4191">
        <v>0</v>
      </c>
      <c r="L4191">
        <v>1248</v>
      </c>
    </row>
    <row r="4192" spans="1:12" x14ac:dyDescent="0.25">
      <c r="A4192" t="str">
        <f t="shared" si="915"/>
        <v>89301000</v>
      </c>
      <c r="B4192" t="str">
        <f t="shared" si="912"/>
        <v>06539000</v>
      </c>
      <c r="C4192" t="str">
        <f t="shared" si="920"/>
        <v>06539003</v>
      </c>
      <c r="D4192" t="str">
        <f t="shared" si="921"/>
        <v>813</v>
      </c>
      <c r="E4192" t="str">
        <f t="shared" si="916"/>
        <v>89301172</v>
      </c>
      <c r="F4192" t="str">
        <f t="shared" si="917"/>
        <v>6808040767</v>
      </c>
      <c r="G4192" s="1">
        <v>44666</v>
      </c>
      <c r="H4192" t="str">
        <f t="shared" si="919"/>
        <v>91411</v>
      </c>
      <c r="I4192">
        <v>1</v>
      </c>
      <c r="J4192">
        <v>1600</v>
      </c>
      <c r="K4192">
        <v>0</v>
      </c>
      <c r="L4192">
        <v>1248</v>
      </c>
    </row>
    <row r="4193" spans="1:12" x14ac:dyDescent="0.25">
      <c r="A4193" t="str">
        <f t="shared" si="915"/>
        <v>89301000</v>
      </c>
      <c r="B4193" t="str">
        <f t="shared" si="912"/>
        <v>06539000</v>
      </c>
      <c r="C4193" t="str">
        <f t="shared" si="920"/>
        <v>06539003</v>
      </c>
      <c r="D4193" t="str">
        <f t="shared" si="921"/>
        <v>813</v>
      </c>
      <c r="E4193" t="str">
        <f t="shared" si="916"/>
        <v>89301172</v>
      </c>
      <c r="F4193" t="str">
        <f t="shared" si="917"/>
        <v>6808040767</v>
      </c>
      <c r="G4193" s="1">
        <v>44666</v>
      </c>
      <c r="H4193" t="str">
        <f t="shared" si="919"/>
        <v>91411</v>
      </c>
      <c r="I4193">
        <v>1</v>
      </c>
      <c r="J4193">
        <v>1600</v>
      </c>
      <c r="K4193">
        <v>0</v>
      </c>
      <c r="L4193">
        <v>1248</v>
      </c>
    </row>
    <row r="4194" spans="1:12" x14ac:dyDescent="0.25">
      <c r="A4194" t="str">
        <f t="shared" si="915"/>
        <v>89301000</v>
      </c>
      <c r="B4194" t="str">
        <f t="shared" si="912"/>
        <v>06539000</v>
      </c>
      <c r="C4194" t="str">
        <f t="shared" si="920"/>
        <v>06539003</v>
      </c>
      <c r="D4194" t="str">
        <f t="shared" si="921"/>
        <v>813</v>
      </c>
      <c r="E4194" t="str">
        <f t="shared" si="916"/>
        <v>89301172</v>
      </c>
      <c r="F4194" t="str">
        <f t="shared" si="917"/>
        <v>6808040767</v>
      </c>
      <c r="G4194" s="1">
        <v>44666</v>
      </c>
      <c r="H4194" t="str">
        <f t="shared" si="919"/>
        <v>91411</v>
      </c>
      <c r="I4194">
        <v>1</v>
      </c>
      <c r="J4194">
        <v>1600</v>
      </c>
      <c r="K4194">
        <v>0</v>
      </c>
      <c r="L4194">
        <v>1248</v>
      </c>
    </row>
    <row r="4195" spans="1:12" x14ac:dyDescent="0.25">
      <c r="A4195" t="str">
        <f t="shared" si="915"/>
        <v>89301000</v>
      </c>
      <c r="B4195" t="str">
        <f t="shared" si="912"/>
        <v>06539000</v>
      </c>
      <c r="C4195" t="str">
        <f t="shared" si="920"/>
        <v>06539003</v>
      </c>
      <c r="D4195" t="str">
        <f t="shared" si="921"/>
        <v>813</v>
      </c>
      <c r="E4195" t="str">
        <f t="shared" si="916"/>
        <v>89301172</v>
      </c>
      <c r="F4195" t="str">
        <f t="shared" si="917"/>
        <v>6808040767</v>
      </c>
      <c r="G4195" s="1">
        <v>44666</v>
      </c>
      <c r="H4195" t="str">
        <f t="shared" si="919"/>
        <v>91411</v>
      </c>
      <c r="I4195">
        <v>1</v>
      </c>
      <c r="J4195">
        <v>1600</v>
      </c>
      <c r="K4195">
        <v>0</v>
      </c>
      <c r="L4195">
        <v>1248</v>
      </c>
    </row>
    <row r="4196" spans="1:12" x14ac:dyDescent="0.25">
      <c r="A4196" t="str">
        <f t="shared" si="915"/>
        <v>89301000</v>
      </c>
      <c r="B4196" t="str">
        <f t="shared" si="912"/>
        <v>06539000</v>
      </c>
      <c r="C4196" t="str">
        <f t="shared" si="920"/>
        <v>06539003</v>
      </c>
      <c r="D4196" t="str">
        <f t="shared" si="921"/>
        <v>813</v>
      </c>
      <c r="E4196" t="str">
        <f t="shared" si="916"/>
        <v>89301172</v>
      </c>
      <c r="F4196" t="str">
        <f t="shared" si="917"/>
        <v>6808040767</v>
      </c>
      <c r="G4196" s="1">
        <v>44666</v>
      </c>
      <c r="H4196" t="str">
        <f t="shared" si="919"/>
        <v>91411</v>
      </c>
      <c r="I4196">
        <v>1</v>
      </c>
      <c r="J4196">
        <v>1600</v>
      </c>
      <c r="K4196">
        <v>0</v>
      </c>
      <c r="L4196">
        <v>1248</v>
      </c>
    </row>
    <row r="4197" spans="1:12" x14ac:dyDescent="0.25">
      <c r="A4197" t="str">
        <f t="shared" si="915"/>
        <v>89301000</v>
      </c>
      <c r="B4197" t="str">
        <f t="shared" si="912"/>
        <v>06539000</v>
      </c>
      <c r="C4197" t="str">
        <f t="shared" si="920"/>
        <v>06539003</v>
      </c>
      <c r="D4197" t="str">
        <f t="shared" si="921"/>
        <v>813</v>
      </c>
      <c r="E4197" t="str">
        <f t="shared" si="916"/>
        <v>89301172</v>
      </c>
      <c r="F4197" t="str">
        <f t="shared" si="917"/>
        <v>6808040767</v>
      </c>
      <c r="G4197" s="1">
        <v>44666</v>
      </c>
      <c r="H4197" t="str">
        <f t="shared" si="919"/>
        <v>91411</v>
      </c>
      <c r="I4197">
        <v>1</v>
      </c>
      <c r="J4197">
        <v>1600</v>
      </c>
      <c r="K4197">
        <v>0</v>
      </c>
      <c r="L4197">
        <v>1248</v>
      </c>
    </row>
    <row r="4198" spans="1:12" x14ac:dyDescent="0.25">
      <c r="A4198" t="str">
        <f t="shared" si="915"/>
        <v>89301000</v>
      </c>
      <c r="B4198" t="str">
        <f t="shared" si="912"/>
        <v>06539000</v>
      </c>
      <c r="C4198" t="str">
        <f t="shared" si="920"/>
        <v>06539003</v>
      </c>
      <c r="D4198" t="str">
        <f t="shared" si="921"/>
        <v>813</v>
      </c>
      <c r="E4198" t="str">
        <f t="shared" si="916"/>
        <v>89301172</v>
      </c>
      <c r="F4198" t="str">
        <f t="shared" si="917"/>
        <v>6808040767</v>
      </c>
      <c r="G4198" s="1">
        <v>44666</v>
      </c>
      <c r="H4198" t="str">
        <f t="shared" si="919"/>
        <v>91411</v>
      </c>
      <c r="I4198">
        <v>1</v>
      </c>
      <c r="J4198">
        <v>1600</v>
      </c>
      <c r="K4198">
        <v>0</v>
      </c>
      <c r="L4198">
        <v>1248</v>
      </c>
    </row>
    <row r="4199" spans="1:12" x14ac:dyDescent="0.25">
      <c r="A4199" t="str">
        <f t="shared" si="915"/>
        <v>89301000</v>
      </c>
      <c r="B4199" t="str">
        <f t="shared" si="912"/>
        <v>06539000</v>
      </c>
      <c r="C4199" t="str">
        <f t="shared" si="920"/>
        <v>06539003</v>
      </c>
      <c r="D4199" t="str">
        <f t="shared" si="921"/>
        <v>813</v>
      </c>
      <c r="E4199" t="str">
        <f t="shared" si="916"/>
        <v>89301172</v>
      </c>
      <c r="F4199" t="str">
        <f t="shared" si="917"/>
        <v>6808040767</v>
      </c>
      <c r="G4199" s="1">
        <v>44666</v>
      </c>
      <c r="H4199" t="str">
        <f t="shared" si="919"/>
        <v>91411</v>
      </c>
      <c r="I4199">
        <v>1</v>
      </c>
      <c r="J4199">
        <v>1600</v>
      </c>
      <c r="K4199">
        <v>0</v>
      </c>
      <c r="L4199">
        <v>1248</v>
      </c>
    </row>
    <row r="4200" spans="1:12" x14ac:dyDescent="0.25">
      <c r="A4200" t="str">
        <f t="shared" si="915"/>
        <v>89301000</v>
      </c>
      <c r="B4200" t="str">
        <f t="shared" si="912"/>
        <v>06539000</v>
      </c>
      <c r="C4200" t="str">
        <f t="shared" si="920"/>
        <v>06539003</v>
      </c>
      <c r="D4200" t="str">
        <f t="shared" si="921"/>
        <v>813</v>
      </c>
      <c r="E4200" t="str">
        <f t="shared" si="916"/>
        <v>89301172</v>
      </c>
      <c r="F4200" t="str">
        <f t="shared" si="917"/>
        <v>6808040767</v>
      </c>
      <c r="G4200" s="1">
        <v>44666</v>
      </c>
      <c r="H4200" t="str">
        <f t="shared" si="919"/>
        <v>91411</v>
      </c>
      <c r="I4200">
        <v>1</v>
      </c>
      <c r="J4200">
        <v>1600</v>
      </c>
      <c r="K4200">
        <v>0</v>
      </c>
      <c r="L4200">
        <v>1248</v>
      </c>
    </row>
    <row r="4201" spans="1:12" x14ac:dyDescent="0.25">
      <c r="A4201" t="str">
        <f t="shared" si="915"/>
        <v>89301000</v>
      </c>
      <c r="B4201" t="str">
        <f t="shared" si="912"/>
        <v>06539000</v>
      </c>
      <c r="C4201" t="str">
        <f t="shared" si="920"/>
        <v>06539003</v>
      </c>
      <c r="D4201" t="str">
        <f t="shared" si="921"/>
        <v>813</v>
      </c>
      <c r="E4201" t="str">
        <f t="shared" si="916"/>
        <v>89301172</v>
      </c>
      <c r="F4201" t="str">
        <f t="shared" si="917"/>
        <v>6808040767</v>
      </c>
      <c r="G4201" s="1">
        <v>44666</v>
      </c>
      <c r="H4201" t="str">
        <f t="shared" si="919"/>
        <v>91411</v>
      </c>
      <c r="I4201">
        <v>1</v>
      </c>
      <c r="J4201">
        <v>1600</v>
      </c>
      <c r="K4201">
        <v>0</v>
      </c>
      <c r="L4201">
        <v>1248</v>
      </c>
    </row>
    <row r="4202" spans="1:12" x14ac:dyDescent="0.25">
      <c r="A4202" t="str">
        <f t="shared" si="915"/>
        <v>89301000</v>
      </c>
      <c r="B4202" t="str">
        <f t="shared" si="912"/>
        <v>06539000</v>
      </c>
      <c r="C4202" t="str">
        <f t="shared" si="920"/>
        <v>06539003</v>
      </c>
      <c r="D4202" t="str">
        <f t="shared" si="921"/>
        <v>813</v>
      </c>
      <c r="E4202" t="str">
        <f t="shared" si="916"/>
        <v>89301172</v>
      </c>
      <c r="F4202" t="str">
        <f t="shared" si="917"/>
        <v>6808040767</v>
      </c>
      <c r="G4202" s="1">
        <v>44666</v>
      </c>
      <c r="H4202" t="str">
        <f t="shared" si="919"/>
        <v>91411</v>
      </c>
      <c r="I4202">
        <v>1</v>
      </c>
      <c r="J4202">
        <v>1600</v>
      </c>
      <c r="K4202">
        <v>0</v>
      </c>
      <c r="L4202">
        <v>1248</v>
      </c>
    </row>
    <row r="4203" spans="1:12" x14ac:dyDescent="0.25">
      <c r="A4203" t="str">
        <f t="shared" si="915"/>
        <v>89301000</v>
      </c>
      <c r="B4203" t="str">
        <f t="shared" si="912"/>
        <v>06539000</v>
      </c>
      <c r="C4203" t="str">
        <f t="shared" si="920"/>
        <v>06539003</v>
      </c>
      <c r="D4203" t="str">
        <f t="shared" si="921"/>
        <v>813</v>
      </c>
      <c r="E4203" t="str">
        <f t="shared" si="916"/>
        <v>89301172</v>
      </c>
      <c r="F4203" t="str">
        <f t="shared" si="917"/>
        <v>6808040767</v>
      </c>
      <c r="G4203" s="1">
        <v>44666</v>
      </c>
      <c r="H4203" t="str">
        <f t="shared" si="919"/>
        <v>91411</v>
      </c>
      <c r="I4203">
        <v>1</v>
      </c>
      <c r="J4203">
        <v>1600</v>
      </c>
      <c r="K4203">
        <v>0</v>
      </c>
      <c r="L4203">
        <v>1248</v>
      </c>
    </row>
    <row r="4204" spans="1:12" x14ac:dyDescent="0.25">
      <c r="A4204" t="str">
        <f t="shared" si="915"/>
        <v>89301000</v>
      </c>
      <c r="B4204" t="str">
        <f t="shared" si="912"/>
        <v>06539000</v>
      </c>
      <c r="C4204" t="str">
        <f t="shared" si="920"/>
        <v>06539003</v>
      </c>
      <c r="D4204" t="str">
        <f t="shared" si="921"/>
        <v>813</v>
      </c>
      <c r="E4204" t="str">
        <f t="shared" si="916"/>
        <v>89301172</v>
      </c>
      <c r="F4204" t="str">
        <f t="shared" si="917"/>
        <v>6808040767</v>
      </c>
      <c r="G4204" s="1">
        <v>44665</v>
      </c>
      <c r="H4204" t="str">
        <f>"91475"</f>
        <v>91475</v>
      </c>
      <c r="I4204">
        <v>1</v>
      </c>
      <c r="J4204">
        <v>206</v>
      </c>
      <c r="K4204">
        <v>0</v>
      </c>
      <c r="L4204">
        <v>160.68</v>
      </c>
    </row>
    <row r="4205" spans="1:12" x14ac:dyDescent="0.25">
      <c r="A4205" t="str">
        <f t="shared" si="915"/>
        <v>89301000</v>
      </c>
      <c r="B4205" t="str">
        <f t="shared" ref="B4205:C4208" si="922">"89632000"</f>
        <v>89632000</v>
      </c>
      <c r="C4205" t="str">
        <f t="shared" si="922"/>
        <v>89632000</v>
      </c>
      <c r="D4205" t="str">
        <f>"809"</f>
        <v>809</v>
      </c>
      <c r="E4205" t="str">
        <f>"89301212"</f>
        <v>89301212</v>
      </c>
      <c r="F4205" t="str">
        <f>"505118030"</f>
        <v>505118030</v>
      </c>
      <c r="G4205" s="1">
        <v>44658</v>
      </c>
      <c r="H4205" t="str">
        <f>"89513"</f>
        <v>89513</v>
      </c>
      <c r="I4205">
        <v>1</v>
      </c>
      <c r="J4205">
        <v>371</v>
      </c>
      <c r="K4205">
        <v>0</v>
      </c>
      <c r="L4205">
        <v>519.4</v>
      </c>
    </row>
    <row r="4206" spans="1:12" x14ac:dyDescent="0.25">
      <c r="A4206" t="str">
        <f t="shared" si="915"/>
        <v>89301000</v>
      </c>
      <c r="B4206" t="str">
        <f t="shared" si="922"/>
        <v>89632000</v>
      </c>
      <c r="C4206" t="str">
        <f t="shared" si="922"/>
        <v>89632000</v>
      </c>
      <c r="D4206" t="str">
        <f>"809"</f>
        <v>809</v>
      </c>
      <c r="E4206" t="str">
        <f>"89301212"</f>
        <v>89301212</v>
      </c>
      <c r="F4206" t="str">
        <f>"505118030"</f>
        <v>505118030</v>
      </c>
      <c r="G4206" s="1">
        <v>44658</v>
      </c>
      <c r="H4206" t="str">
        <f>"89514"</f>
        <v>89514</v>
      </c>
      <c r="I4206">
        <v>1</v>
      </c>
      <c r="J4206">
        <v>371</v>
      </c>
      <c r="K4206">
        <v>0</v>
      </c>
      <c r="L4206">
        <v>519.4</v>
      </c>
    </row>
    <row r="4207" spans="1:12" x14ac:dyDescent="0.25">
      <c r="A4207" t="str">
        <f t="shared" si="915"/>
        <v>89301000</v>
      </c>
      <c r="B4207" t="str">
        <f t="shared" si="922"/>
        <v>89632000</v>
      </c>
      <c r="C4207" t="str">
        <f t="shared" si="922"/>
        <v>89632000</v>
      </c>
      <c r="D4207" t="str">
        <f>"809"</f>
        <v>809</v>
      </c>
      <c r="E4207" t="str">
        <f>"89301212"</f>
        <v>89301212</v>
      </c>
      <c r="F4207" t="str">
        <f>"0159265700"</f>
        <v>0159265700</v>
      </c>
      <c r="G4207" s="1">
        <v>44680</v>
      </c>
      <c r="H4207" t="str">
        <f>"89513"</f>
        <v>89513</v>
      </c>
      <c r="I4207">
        <v>1</v>
      </c>
      <c r="J4207">
        <v>371</v>
      </c>
      <c r="K4207">
        <v>0</v>
      </c>
      <c r="L4207">
        <v>519.4</v>
      </c>
    </row>
    <row r="4208" spans="1:12" x14ac:dyDescent="0.25">
      <c r="A4208" t="str">
        <f t="shared" si="915"/>
        <v>89301000</v>
      </c>
      <c r="B4208" t="str">
        <f t="shared" si="922"/>
        <v>89632000</v>
      </c>
      <c r="C4208" t="str">
        <f t="shared" si="922"/>
        <v>89632000</v>
      </c>
      <c r="D4208" t="str">
        <f>"809"</f>
        <v>809</v>
      </c>
      <c r="E4208" t="str">
        <f>"89301212"</f>
        <v>89301212</v>
      </c>
      <c r="F4208" t="str">
        <f>"0159265700"</f>
        <v>0159265700</v>
      </c>
      <c r="G4208" s="1">
        <v>44680</v>
      </c>
      <c r="H4208" t="str">
        <f>"89514"</f>
        <v>89514</v>
      </c>
      <c r="I4208">
        <v>1</v>
      </c>
      <c r="J4208">
        <v>371</v>
      </c>
      <c r="K4208">
        <v>0</v>
      </c>
      <c r="L4208">
        <v>519.4</v>
      </c>
    </row>
    <row r="4209" spans="1:12" x14ac:dyDescent="0.25">
      <c r="A4209" t="str">
        <f t="shared" si="915"/>
        <v>89301000</v>
      </c>
      <c r="B4209" t="str">
        <f>"85600000"</f>
        <v>85600000</v>
      </c>
      <c r="C4209" t="str">
        <f>"85600021"</f>
        <v>85600021</v>
      </c>
      <c r="D4209" t="str">
        <f>"801"</f>
        <v>801</v>
      </c>
      <c r="E4209" t="str">
        <f>"89301082"</f>
        <v>89301082</v>
      </c>
      <c r="F4209" t="str">
        <f>"8552185477"</f>
        <v>8552185477</v>
      </c>
      <c r="G4209" s="1">
        <v>44677</v>
      </c>
      <c r="H4209" t="str">
        <f>"97111"</f>
        <v>97111</v>
      </c>
      <c r="I4209">
        <v>1</v>
      </c>
      <c r="J4209">
        <v>18</v>
      </c>
      <c r="K4209">
        <v>0</v>
      </c>
      <c r="L4209">
        <v>14.04</v>
      </c>
    </row>
    <row r="4210" spans="1:12" x14ac:dyDescent="0.25">
      <c r="A4210" t="str">
        <f t="shared" si="915"/>
        <v>89301000</v>
      </c>
      <c r="B4210" t="str">
        <f>"85600000"</f>
        <v>85600000</v>
      </c>
      <c r="C4210" t="str">
        <f>"85600775"</f>
        <v>85600775</v>
      </c>
      <c r="D4210" t="str">
        <f>"818"</f>
        <v>818</v>
      </c>
      <c r="E4210" t="str">
        <f>"89301082"</f>
        <v>89301082</v>
      </c>
      <c r="F4210" t="str">
        <f>"8552185477"</f>
        <v>8552185477</v>
      </c>
      <c r="G4210" s="1">
        <v>44677</v>
      </c>
      <c r="H4210" t="str">
        <f>"96167"</f>
        <v>96167</v>
      </c>
      <c r="I4210">
        <v>1</v>
      </c>
      <c r="J4210">
        <v>67</v>
      </c>
      <c r="K4210">
        <v>0</v>
      </c>
      <c r="L4210">
        <v>60.97</v>
      </c>
    </row>
    <row r="4211" spans="1:12" x14ac:dyDescent="0.25">
      <c r="A4211" t="str">
        <f t="shared" si="915"/>
        <v>89301000</v>
      </c>
      <c r="B4211" t="str">
        <f>"85600000"</f>
        <v>85600000</v>
      </c>
      <c r="C4211" t="str">
        <f>"85600857"</f>
        <v>85600857</v>
      </c>
      <c r="D4211" t="str">
        <f>"813"</f>
        <v>813</v>
      </c>
      <c r="E4211" t="str">
        <f>"89301082"</f>
        <v>89301082</v>
      </c>
      <c r="F4211" t="str">
        <f>"8552185477"</f>
        <v>8552185477</v>
      </c>
      <c r="G4211" s="1">
        <v>44677</v>
      </c>
      <c r="H4211" t="str">
        <f>"91153"</f>
        <v>91153</v>
      </c>
      <c r="I4211">
        <v>1</v>
      </c>
      <c r="J4211">
        <v>152</v>
      </c>
      <c r="K4211">
        <v>0</v>
      </c>
      <c r="L4211">
        <v>118.56</v>
      </c>
    </row>
    <row r="4212" spans="1:12" x14ac:dyDescent="0.25">
      <c r="A4212" t="str">
        <f t="shared" si="915"/>
        <v>89301000</v>
      </c>
      <c r="B4212" t="str">
        <f>"82001000"</f>
        <v>82001000</v>
      </c>
      <c r="C4212" t="str">
        <f>"82001180"</f>
        <v>82001180</v>
      </c>
      <c r="D4212" t="str">
        <f>"809"</f>
        <v>809</v>
      </c>
      <c r="E4212" t="str">
        <f>"89301212"</f>
        <v>89301212</v>
      </c>
      <c r="F4212" t="str">
        <f>"5801090548"</f>
        <v>5801090548</v>
      </c>
      <c r="G4212" s="1">
        <v>44656</v>
      </c>
      <c r="H4212" t="str">
        <f>"89611"</f>
        <v>89611</v>
      </c>
      <c r="I4212">
        <v>2</v>
      </c>
      <c r="J4212">
        <v>4482</v>
      </c>
      <c r="K4212">
        <v>0</v>
      </c>
      <c r="L4212">
        <v>2689.2</v>
      </c>
    </row>
    <row r="4213" spans="1:12" x14ac:dyDescent="0.25">
      <c r="A4213" t="str">
        <f t="shared" si="915"/>
        <v>89301000</v>
      </c>
      <c r="B4213" t="str">
        <f>"82001000"</f>
        <v>82001000</v>
      </c>
      <c r="C4213" t="str">
        <f>"82001180"</f>
        <v>82001180</v>
      </c>
      <c r="D4213" t="str">
        <f>"809"</f>
        <v>809</v>
      </c>
      <c r="E4213" t="str">
        <f>"89301212"</f>
        <v>89301212</v>
      </c>
      <c r="F4213" t="str">
        <f>"5801090548"</f>
        <v>5801090548</v>
      </c>
      <c r="G4213" s="1">
        <v>44656</v>
      </c>
      <c r="H4213" t="str">
        <f>"0137480"</f>
        <v>0137480</v>
      </c>
      <c r="I4213">
        <v>0.18</v>
      </c>
      <c r="K4213">
        <v>904.34</v>
      </c>
      <c r="L4213">
        <v>904.34</v>
      </c>
    </row>
    <row r="4214" spans="1:12" x14ac:dyDescent="0.25">
      <c r="A4214" t="str">
        <f t="shared" si="915"/>
        <v>89301000</v>
      </c>
      <c r="B4214" t="str">
        <f>"82001000"</f>
        <v>82001000</v>
      </c>
      <c r="C4214" t="str">
        <f>"82001180"</f>
        <v>82001180</v>
      </c>
      <c r="D4214" t="str">
        <f>"809"</f>
        <v>809</v>
      </c>
      <c r="E4214" t="str">
        <f>"89301212"</f>
        <v>89301212</v>
      </c>
      <c r="F4214" t="str">
        <f>"5801090548"</f>
        <v>5801090548</v>
      </c>
      <c r="G4214" s="1">
        <v>44656</v>
      </c>
      <c r="H4214" t="str">
        <f>"0234186"</f>
        <v>0234186</v>
      </c>
      <c r="I4214">
        <v>8.3000000000000004E-2</v>
      </c>
      <c r="K4214">
        <v>28.66</v>
      </c>
      <c r="L4214">
        <v>28.66</v>
      </c>
    </row>
    <row r="4215" spans="1:12" x14ac:dyDescent="0.25">
      <c r="A4215" t="str">
        <f t="shared" si="915"/>
        <v>89301000</v>
      </c>
      <c r="B4215" t="str">
        <f t="shared" ref="B4215:B4229" si="923">"93201000"</f>
        <v>93201000</v>
      </c>
      <c r="C4215" t="str">
        <f t="shared" ref="C4215:C4223" si="924">"93201250"</f>
        <v>93201250</v>
      </c>
      <c r="D4215" t="str">
        <f t="shared" ref="D4215:D4223" si="925">"801"</f>
        <v>801</v>
      </c>
      <c r="E4215" t="str">
        <f t="shared" ref="E4215:E4223" si="926">"89301082"</f>
        <v>89301082</v>
      </c>
      <c r="F4215" t="str">
        <f t="shared" ref="F4215:F4223" si="927">"8659126212"</f>
        <v>8659126212</v>
      </c>
      <c r="G4215" s="1">
        <v>44652</v>
      </c>
      <c r="H4215" t="str">
        <f>"09119"</f>
        <v>09119</v>
      </c>
      <c r="I4215">
        <v>1</v>
      </c>
      <c r="J4215">
        <v>42</v>
      </c>
      <c r="K4215">
        <v>0</v>
      </c>
      <c r="L4215">
        <v>32.76</v>
      </c>
    </row>
    <row r="4216" spans="1:12" x14ac:dyDescent="0.25">
      <c r="A4216" t="str">
        <f t="shared" si="915"/>
        <v>89301000</v>
      </c>
      <c r="B4216" t="str">
        <f t="shared" si="923"/>
        <v>93201000</v>
      </c>
      <c r="C4216" t="str">
        <f t="shared" si="924"/>
        <v>93201250</v>
      </c>
      <c r="D4216" t="str">
        <f t="shared" si="925"/>
        <v>801</v>
      </c>
      <c r="E4216" t="str">
        <f t="shared" si="926"/>
        <v>89301082</v>
      </c>
      <c r="F4216" t="str">
        <f t="shared" si="927"/>
        <v>8659126212</v>
      </c>
      <c r="G4216" s="1">
        <v>44652</v>
      </c>
      <c r="H4216" t="str">
        <f>"97111"</f>
        <v>97111</v>
      </c>
      <c r="I4216">
        <v>1</v>
      </c>
      <c r="J4216">
        <v>18</v>
      </c>
      <c r="K4216">
        <v>0</v>
      </c>
      <c r="L4216">
        <v>14.04</v>
      </c>
    </row>
    <row r="4217" spans="1:12" x14ac:dyDescent="0.25">
      <c r="A4217" t="str">
        <f t="shared" si="915"/>
        <v>89301000</v>
      </c>
      <c r="B4217" t="str">
        <f t="shared" si="923"/>
        <v>93201000</v>
      </c>
      <c r="C4217" t="str">
        <f t="shared" si="924"/>
        <v>93201250</v>
      </c>
      <c r="D4217" t="str">
        <f t="shared" si="925"/>
        <v>801</v>
      </c>
      <c r="E4217" t="str">
        <f t="shared" si="926"/>
        <v>89301082</v>
      </c>
      <c r="F4217" t="str">
        <f t="shared" si="927"/>
        <v>8659126212</v>
      </c>
      <c r="G4217" s="1">
        <v>44652</v>
      </c>
      <c r="H4217" t="str">
        <f>"93217"</f>
        <v>93217</v>
      </c>
      <c r="I4217">
        <v>1</v>
      </c>
      <c r="J4217">
        <v>420</v>
      </c>
      <c r="K4217">
        <v>0</v>
      </c>
      <c r="L4217">
        <v>327.60000000000002</v>
      </c>
    </row>
    <row r="4218" spans="1:12" x14ac:dyDescent="0.25">
      <c r="A4218" t="str">
        <f t="shared" si="915"/>
        <v>89301000</v>
      </c>
      <c r="B4218" t="str">
        <f t="shared" si="923"/>
        <v>93201000</v>
      </c>
      <c r="C4218" t="str">
        <f t="shared" si="924"/>
        <v>93201250</v>
      </c>
      <c r="D4218" t="str">
        <f t="shared" si="925"/>
        <v>801</v>
      </c>
      <c r="E4218" t="str">
        <f t="shared" si="926"/>
        <v>89301082</v>
      </c>
      <c r="F4218" t="str">
        <f t="shared" si="927"/>
        <v>8659126212</v>
      </c>
      <c r="G4218" s="1">
        <v>44652</v>
      </c>
      <c r="H4218" t="str">
        <f>"93129"</f>
        <v>93129</v>
      </c>
      <c r="I4218">
        <v>1</v>
      </c>
      <c r="J4218">
        <v>168</v>
      </c>
      <c r="K4218">
        <v>0</v>
      </c>
      <c r="L4218">
        <v>131.04</v>
      </c>
    </row>
    <row r="4219" spans="1:12" x14ac:dyDescent="0.25">
      <c r="A4219" t="str">
        <f t="shared" si="915"/>
        <v>89301000</v>
      </c>
      <c r="B4219" t="str">
        <f t="shared" si="923"/>
        <v>93201000</v>
      </c>
      <c r="C4219" t="str">
        <f t="shared" si="924"/>
        <v>93201250</v>
      </c>
      <c r="D4219" t="str">
        <f t="shared" si="925"/>
        <v>801</v>
      </c>
      <c r="E4219" t="str">
        <f t="shared" si="926"/>
        <v>89301082</v>
      </c>
      <c r="F4219" t="str">
        <f t="shared" si="927"/>
        <v>8659126212</v>
      </c>
      <c r="G4219" s="1">
        <v>44652</v>
      </c>
      <c r="H4219" t="str">
        <f>"93133"</f>
        <v>93133</v>
      </c>
      <c r="I4219">
        <v>1</v>
      </c>
      <c r="J4219">
        <v>168</v>
      </c>
      <c r="K4219">
        <v>0</v>
      </c>
      <c r="L4219">
        <v>131.04</v>
      </c>
    </row>
    <row r="4220" spans="1:12" x14ac:dyDescent="0.25">
      <c r="A4220" t="str">
        <f t="shared" si="915"/>
        <v>89301000</v>
      </c>
      <c r="B4220" t="str">
        <f t="shared" si="923"/>
        <v>93201000</v>
      </c>
      <c r="C4220" t="str">
        <f t="shared" si="924"/>
        <v>93201250</v>
      </c>
      <c r="D4220" t="str">
        <f t="shared" si="925"/>
        <v>801</v>
      </c>
      <c r="E4220" t="str">
        <f t="shared" si="926"/>
        <v>89301082</v>
      </c>
      <c r="F4220" t="str">
        <f t="shared" si="927"/>
        <v>8659126212</v>
      </c>
      <c r="G4220" s="1">
        <v>44652</v>
      </c>
      <c r="H4220" t="str">
        <f>"93149"</f>
        <v>93149</v>
      </c>
      <c r="I4220">
        <v>1</v>
      </c>
      <c r="J4220">
        <v>204</v>
      </c>
      <c r="K4220">
        <v>0</v>
      </c>
      <c r="L4220">
        <v>159.12</v>
      </c>
    </row>
    <row r="4221" spans="1:12" x14ac:dyDescent="0.25">
      <c r="A4221" t="str">
        <f t="shared" si="915"/>
        <v>89301000</v>
      </c>
      <c r="B4221" t="str">
        <f t="shared" si="923"/>
        <v>93201000</v>
      </c>
      <c r="C4221" t="str">
        <f t="shared" si="924"/>
        <v>93201250</v>
      </c>
      <c r="D4221" t="str">
        <f t="shared" si="925"/>
        <v>801</v>
      </c>
      <c r="E4221" t="str">
        <f t="shared" si="926"/>
        <v>89301082</v>
      </c>
      <c r="F4221" t="str">
        <f t="shared" si="927"/>
        <v>8659126212</v>
      </c>
      <c r="G4221" s="1">
        <v>44652</v>
      </c>
      <c r="H4221" t="str">
        <f>"93189"</f>
        <v>93189</v>
      </c>
      <c r="I4221">
        <v>1</v>
      </c>
      <c r="J4221">
        <v>189</v>
      </c>
      <c r="K4221">
        <v>0</v>
      </c>
      <c r="L4221">
        <v>147.41999999999999</v>
      </c>
    </row>
    <row r="4222" spans="1:12" x14ac:dyDescent="0.25">
      <c r="A4222" t="str">
        <f t="shared" si="915"/>
        <v>89301000</v>
      </c>
      <c r="B4222" t="str">
        <f t="shared" si="923"/>
        <v>93201000</v>
      </c>
      <c r="C4222" t="str">
        <f t="shared" si="924"/>
        <v>93201250</v>
      </c>
      <c r="D4222" t="str">
        <f t="shared" si="925"/>
        <v>801</v>
      </c>
      <c r="E4222" t="str">
        <f t="shared" si="926"/>
        <v>89301082</v>
      </c>
      <c r="F4222" t="str">
        <f t="shared" si="927"/>
        <v>8659126212</v>
      </c>
      <c r="G4222" s="1">
        <v>44652</v>
      </c>
      <c r="H4222" t="str">
        <f>"93195"</f>
        <v>93195</v>
      </c>
      <c r="I4222">
        <v>1</v>
      </c>
      <c r="J4222">
        <v>181</v>
      </c>
      <c r="K4222">
        <v>0</v>
      </c>
      <c r="L4222">
        <v>141.18</v>
      </c>
    </row>
    <row r="4223" spans="1:12" x14ac:dyDescent="0.25">
      <c r="A4223" t="str">
        <f t="shared" si="915"/>
        <v>89301000</v>
      </c>
      <c r="B4223" t="str">
        <f t="shared" si="923"/>
        <v>93201000</v>
      </c>
      <c r="C4223" t="str">
        <f t="shared" si="924"/>
        <v>93201250</v>
      </c>
      <c r="D4223" t="str">
        <f t="shared" si="925"/>
        <v>801</v>
      </c>
      <c r="E4223" t="str">
        <f t="shared" si="926"/>
        <v>89301082</v>
      </c>
      <c r="F4223" t="str">
        <f t="shared" si="927"/>
        <v>8659126212</v>
      </c>
      <c r="G4223" s="1">
        <v>44652</v>
      </c>
      <c r="H4223" t="str">
        <f>"93177"</f>
        <v>93177</v>
      </c>
      <c r="I4223">
        <v>1</v>
      </c>
      <c r="J4223">
        <v>178</v>
      </c>
      <c r="K4223">
        <v>0</v>
      </c>
      <c r="L4223">
        <v>138.84</v>
      </c>
    </row>
    <row r="4224" spans="1:12" x14ac:dyDescent="0.25">
      <c r="A4224" t="str">
        <f t="shared" si="915"/>
        <v>89301000</v>
      </c>
      <c r="B4224" t="str">
        <f t="shared" si="923"/>
        <v>93201000</v>
      </c>
      <c r="C4224" t="str">
        <f>"93201350"</f>
        <v>93201350</v>
      </c>
      <c r="D4224" t="str">
        <f>"809"</f>
        <v>809</v>
      </c>
      <c r="E4224" t="str">
        <f>"89301212"</f>
        <v>89301212</v>
      </c>
      <c r="F4224" t="str">
        <f>"6456101168"</f>
        <v>6456101168</v>
      </c>
      <c r="G4224" s="1">
        <v>44664</v>
      </c>
      <c r="H4224" t="str">
        <f>"89131"</f>
        <v>89131</v>
      </c>
      <c r="I4224">
        <v>1</v>
      </c>
      <c r="J4224">
        <v>187</v>
      </c>
      <c r="K4224">
        <v>0</v>
      </c>
      <c r="L4224">
        <v>261.8</v>
      </c>
    </row>
    <row r="4225" spans="1:12" x14ac:dyDescent="0.25">
      <c r="A4225" t="str">
        <f t="shared" si="915"/>
        <v>89301000</v>
      </c>
      <c r="B4225" t="str">
        <f t="shared" si="923"/>
        <v>93201000</v>
      </c>
      <c r="C4225" t="str">
        <f>"93201350"</f>
        <v>93201350</v>
      </c>
      <c r="D4225" t="str">
        <f>"809"</f>
        <v>809</v>
      </c>
      <c r="E4225" t="str">
        <f>"89301212"</f>
        <v>89301212</v>
      </c>
      <c r="F4225" t="str">
        <f>"485720450"</f>
        <v>485720450</v>
      </c>
      <c r="G4225" s="1">
        <v>44655</v>
      </c>
      <c r="H4225" t="str">
        <f>"89180"</f>
        <v>89180</v>
      </c>
      <c r="I4225">
        <v>2</v>
      </c>
      <c r="J4225">
        <v>752</v>
      </c>
      <c r="K4225">
        <v>0</v>
      </c>
      <c r="L4225">
        <v>1052.8</v>
      </c>
    </row>
    <row r="4226" spans="1:12" x14ac:dyDescent="0.25">
      <c r="A4226" t="str">
        <f t="shared" ref="A4226:A4289" si="928">"89301000"</f>
        <v>89301000</v>
      </c>
      <c r="B4226" t="str">
        <f t="shared" si="923"/>
        <v>93201000</v>
      </c>
      <c r="C4226" t="str">
        <f>"93201350"</f>
        <v>93201350</v>
      </c>
      <c r="D4226" t="str">
        <f>"809"</f>
        <v>809</v>
      </c>
      <c r="E4226" t="str">
        <f>"89301212"</f>
        <v>89301212</v>
      </c>
      <c r="F4226" t="str">
        <f>"7652075761"</f>
        <v>7652075761</v>
      </c>
      <c r="G4226" s="1">
        <v>44676</v>
      </c>
      <c r="H4226" t="str">
        <f>"89180"</f>
        <v>89180</v>
      </c>
      <c r="I4226">
        <v>2</v>
      </c>
      <c r="J4226">
        <v>752</v>
      </c>
      <c r="K4226">
        <v>0</v>
      </c>
      <c r="L4226">
        <v>1052.8</v>
      </c>
    </row>
    <row r="4227" spans="1:12" x14ac:dyDescent="0.25">
      <c r="A4227" t="str">
        <f t="shared" si="928"/>
        <v>89301000</v>
      </c>
      <c r="B4227" t="str">
        <f t="shared" si="923"/>
        <v>93201000</v>
      </c>
      <c r="C4227" t="str">
        <f>"93201350"</f>
        <v>93201350</v>
      </c>
      <c r="D4227" t="str">
        <f>"809"</f>
        <v>809</v>
      </c>
      <c r="E4227" t="str">
        <f>"89301212"</f>
        <v>89301212</v>
      </c>
      <c r="F4227" t="str">
        <f>"7652075761"</f>
        <v>7652075761</v>
      </c>
      <c r="G4227" s="1">
        <v>44676</v>
      </c>
      <c r="H4227" t="str">
        <f>"89512"</f>
        <v>89512</v>
      </c>
      <c r="I4227">
        <v>1</v>
      </c>
      <c r="J4227">
        <v>277</v>
      </c>
      <c r="K4227">
        <v>0</v>
      </c>
      <c r="L4227">
        <v>387.8</v>
      </c>
    </row>
    <row r="4228" spans="1:12" x14ac:dyDescent="0.25">
      <c r="A4228" t="str">
        <f t="shared" si="928"/>
        <v>89301000</v>
      </c>
      <c r="B4228" t="str">
        <f t="shared" si="923"/>
        <v>93201000</v>
      </c>
      <c r="C4228" t="str">
        <f>"93201355"</f>
        <v>93201355</v>
      </c>
      <c r="D4228" t="str">
        <f>"810"</f>
        <v>810</v>
      </c>
      <c r="E4228" t="str">
        <f>"89301062"</f>
        <v>89301062</v>
      </c>
      <c r="F4228" t="str">
        <f>"6307182255"</f>
        <v>6307182255</v>
      </c>
      <c r="G4228" s="1">
        <v>44665</v>
      </c>
      <c r="H4228" t="str">
        <f>"89713"</f>
        <v>89713</v>
      </c>
      <c r="I4228">
        <v>1</v>
      </c>
      <c r="J4228">
        <v>5362</v>
      </c>
      <c r="K4228">
        <v>0</v>
      </c>
      <c r="L4228">
        <v>3217.2</v>
      </c>
    </row>
    <row r="4229" spans="1:12" x14ac:dyDescent="0.25">
      <c r="A4229" t="str">
        <f t="shared" si="928"/>
        <v>89301000</v>
      </c>
      <c r="B4229" t="str">
        <f t="shared" si="923"/>
        <v>93201000</v>
      </c>
      <c r="C4229" t="str">
        <f>"93201355"</f>
        <v>93201355</v>
      </c>
      <c r="D4229" t="str">
        <f>"810"</f>
        <v>810</v>
      </c>
      <c r="E4229" t="str">
        <f>"89301062"</f>
        <v>89301062</v>
      </c>
      <c r="F4229" t="str">
        <f>"8659085820"</f>
        <v>8659085820</v>
      </c>
      <c r="G4229" s="1">
        <v>44659</v>
      </c>
      <c r="H4229" t="str">
        <f>"89713"</f>
        <v>89713</v>
      </c>
      <c r="I4229">
        <v>1</v>
      </c>
      <c r="J4229">
        <v>5362</v>
      </c>
      <c r="K4229">
        <v>0</v>
      </c>
      <c r="L4229">
        <v>3217.2</v>
      </c>
    </row>
    <row r="4230" spans="1:12" x14ac:dyDescent="0.25">
      <c r="A4230" t="str">
        <f t="shared" si="928"/>
        <v>89301000</v>
      </c>
      <c r="B4230" t="str">
        <f>"88001000"</f>
        <v>88001000</v>
      </c>
      <c r="C4230" t="str">
        <f>"88001842"</f>
        <v>88001842</v>
      </c>
      <c r="D4230" t="str">
        <f>"809"</f>
        <v>809</v>
      </c>
      <c r="E4230" t="str">
        <f>"89301062"</f>
        <v>89301062</v>
      </c>
      <c r="F4230" t="str">
        <f>"7657105588"</f>
        <v>7657105588</v>
      </c>
      <c r="G4230" s="1">
        <v>44660</v>
      </c>
      <c r="H4230" t="str">
        <f>"89713"</f>
        <v>89713</v>
      </c>
      <c r="I4230">
        <v>1</v>
      </c>
      <c r="J4230">
        <v>5362</v>
      </c>
      <c r="K4230">
        <v>0</v>
      </c>
      <c r="L4230">
        <v>3217.2</v>
      </c>
    </row>
    <row r="4231" spans="1:12" x14ac:dyDescent="0.25">
      <c r="A4231" t="str">
        <f t="shared" si="928"/>
        <v>89301000</v>
      </c>
      <c r="B4231" t="str">
        <f>"88001000"</f>
        <v>88001000</v>
      </c>
      <c r="C4231" t="str">
        <f>"88001842"</f>
        <v>88001842</v>
      </c>
      <c r="D4231" t="str">
        <f>"809"</f>
        <v>809</v>
      </c>
      <c r="E4231" t="str">
        <f>"89301062"</f>
        <v>89301062</v>
      </c>
      <c r="F4231" t="str">
        <f>"7657105588"</f>
        <v>7657105588</v>
      </c>
      <c r="G4231" s="1">
        <v>44660</v>
      </c>
      <c r="H4231" t="str">
        <f>"89725"</f>
        <v>89725</v>
      </c>
      <c r="I4231">
        <v>1</v>
      </c>
      <c r="J4231">
        <v>2839</v>
      </c>
      <c r="K4231">
        <v>0</v>
      </c>
      <c r="L4231">
        <v>1703.4</v>
      </c>
    </row>
    <row r="4232" spans="1:12" x14ac:dyDescent="0.25">
      <c r="A4232" t="str">
        <f t="shared" si="928"/>
        <v>89301000</v>
      </c>
      <c r="B4232" t="str">
        <f>"86102000"</f>
        <v>86102000</v>
      </c>
      <c r="C4232" t="str">
        <f>"86102476"</f>
        <v>86102476</v>
      </c>
      <c r="D4232" t="str">
        <f t="shared" ref="D4232:D4253" si="929">"801"</f>
        <v>801</v>
      </c>
      <c r="E4232" t="str">
        <f>"89301082"</f>
        <v>89301082</v>
      </c>
      <c r="F4232" t="str">
        <f>"9452085511"</f>
        <v>9452085511</v>
      </c>
      <c r="G4232" s="1">
        <v>44655</v>
      </c>
      <c r="H4232" t="str">
        <f>"09119"</f>
        <v>09119</v>
      </c>
      <c r="I4232">
        <v>1</v>
      </c>
      <c r="J4232">
        <v>42</v>
      </c>
      <c r="K4232">
        <v>0</v>
      </c>
      <c r="L4232">
        <v>32.76</v>
      </c>
    </row>
    <row r="4233" spans="1:12" x14ac:dyDescent="0.25">
      <c r="A4233" t="str">
        <f t="shared" si="928"/>
        <v>89301000</v>
      </c>
      <c r="B4233" t="str">
        <f>"86102000"</f>
        <v>86102000</v>
      </c>
      <c r="C4233" t="str">
        <f>"86102476"</f>
        <v>86102476</v>
      </c>
      <c r="D4233" t="str">
        <f t="shared" si="929"/>
        <v>801</v>
      </c>
      <c r="E4233" t="str">
        <f>"89301082"</f>
        <v>89301082</v>
      </c>
      <c r="F4233" t="str">
        <f>"9452085511"</f>
        <v>9452085511</v>
      </c>
      <c r="G4233" s="1">
        <v>44655</v>
      </c>
      <c r="H4233" t="str">
        <f>"93159"</f>
        <v>93159</v>
      </c>
      <c r="I4233">
        <v>1</v>
      </c>
      <c r="J4233">
        <v>195</v>
      </c>
      <c r="K4233">
        <v>0</v>
      </c>
      <c r="L4233">
        <v>152.1</v>
      </c>
    </row>
    <row r="4234" spans="1:12" x14ac:dyDescent="0.25">
      <c r="A4234" t="str">
        <f t="shared" si="928"/>
        <v>89301000</v>
      </c>
      <c r="B4234" t="str">
        <f>"86102000"</f>
        <v>86102000</v>
      </c>
      <c r="C4234" t="str">
        <f>"86102476"</f>
        <v>86102476</v>
      </c>
      <c r="D4234" t="str">
        <f t="shared" si="929"/>
        <v>801</v>
      </c>
      <c r="E4234" t="str">
        <f>"89301082"</f>
        <v>89301082</v>
      </c>
      <c r="F4234" t="str">
        <f>"9452085511"</f>
        <v>9452085511</v>
      </c>
      <c r="G4234" s="1">
        <v>44655</v>
      </c>
      <c r="H4234" t="str">
        <f>"97111"</f>
        <v>97111</v>
      </c>
      <c r="I4234">
        <v>1</v>
      </c>
      <c r="J4234">
        <v>18</v>
      </c>
      <c r="K4234">
        <v>0</v>
      </c>
      <c r="L4234">
        <v>14.04</v>
      </c>
    </row>
    <row r="4235" spans="1:12" x14ac:dyDescent="0.25">
      <c r="A4235" t="str">
        <f t="shared" si="928"/>
        <v>89301000</v>
      </c>
      <c r="B4235" t="str">
        <f t="shared" ref="B4235:B4253" si="930">"88805000"</f>
        <v>88805000</v>
      </c>
      <c r="C4235" t="str">
        <f t="shared" ref="C4235:C4253" si="931">"88805001"</f>
        <v>88805001</v>
      </c>
      <c r="D4235" t="str">
        <f t="shared" si="929"/>
        <v>801</v>
      </c>
      <c r="E4235" t="str">
        <f>"89301101"</f>
        <v>89301101</v>
      </c>
      <c r="F4235" t="str">
        <f>"0558063286"</f>
        <v>0558063286</v>
      </c>
      <c r="G4235" s="1">
        <v>44672</v>
      </c>
      <c r="H4235" t="str">
        <f>"81387"</f>
        <v>81387</v>
      </c>
      <c r="I4235">
        <v>1</v>
      </c>
      <c r="J4235">
        <v>76</v>
      </c>
      <c r="K4235">
        <v>0</v>
      </c>
      <c r="L4235">
        <v>59.28</v>
      </c>
    </row>
    <row r="4236" spans="1:12" x14ac:dyDescent="0.25">
      <c r="A4236" t="str">
        <f t="shared" si="928"/>
        <v>89301000</v>
      </c>
      <c r="B4236" t="str">
        <f t="shared" si="930"/>
        <v>88805000</v>
      </c>
      <c r="C4236" t="str">
        <f t="shared" si="931"/>
        <v>88805001</v>
      </c>
      <c r="D4236" t="str">
        <f t="shared" si="929"/>
        <v>801</v>
      </c>
      <c r="E4236" t="str">
        <f>"89301702"</f>
        <v>89301702</v>
      </c>
      <c r="F4236" t="str">
        <f>"1753210096"</f>
        <v>1753210096</v>
      </c>
      <c r="G4236" s="1">
        <v>44656</v>
      </c>
      <c r="H4236" t="str">
        <f>"81631"</f>
        <v>81631</v>
      </c>
      <c r="I4236">
        <v>1</v>
      </c>
      <c r="J4236">
        <v>294</v>
      </c>
      <c r="K4236">
        <v>0</v>
      </c>
      <c r="L4236">
        <v>229.32</v>
      </c>
    </row>
    <row r="4237" spans="1:12" x14ac:dyDescent="0.25">
      <c r="A4237" t="str">
        <f t="shared" si="928"/>
        <v>89301000</v>
      </c>
      <c r="B4237" t="str">
        <f t="shared" si="930"/>
        <v>88805000</v>
      </c>
      <c r="C4237" t="str">
        <f t="shared" si="931"/>
        <v>88805001</v>
      </c>
      <c r="D4237" t="str">
        <f t="shared" si="929"/>
        <v>801</v>
      </c>
      <c r="E4237" t="str">
        <f>"89301702"</f>
        <v>89301702</v>
      </c>
      <c r="F4237" t="str">
        <f>"1753210096"</f>
        <v>1753210096</v>
      </c>
      <c r="G4237" s="1">
        <v>44656</v>
      </c>
      <c r="H4237" t="str">
        <f>"92143"</f>
        <v>92143</v>
      </c>
      <c r="I4237">
        <v>1</v>
      </c>
      <c r="J4237">
        <v>1748</v>
      </c>
      <c r="K4237">
        <v>0</v>
      </c>
      <c r="L4237">
        <v>1363.44</v>
      </c>
    </row>
    <row r="4238" spans="1:12" x14ac:dyDescent="0.25">
      <c r="A4238" t="str">
        <f t="shared" si="928"/>
        <v>89301000</v>
      </c>
      <c r="B4238" t="str">
        <f t="shared" si="930"/>
        <v>88805000</v>
      </c>
      <c r="C4238" t="str">
        <f t="shared" si="931"/>
        <v>88805001</v>
      </c>
      <c r="D4238" t="str">
        <f t="shared" si="929"/>
        <v>801</v>
      </c>
      <c r="E4238" t="str">
        <f>"89301102"</f>
        <v>89301102</v>
      </c>
      <c r="F4238" t="str">
        <f>"0609186171"</f>
        <v>0609186171</v>
      </c>
      <c r="G4238" s="1">
        <v>44664</v>
      </c>
      <c r="H4238" t="str">
        <f>"81631"</f>
        <v>81631</v>
      </c>
      <c r="I4238">
        <v>1</v>
      </c>
      <c r="J4238">
        <v>294</v>
      </c>
      <c r="K4238">
        <v>0</v>
      </c>
      <c r="L4238">
        <v>229.32</v>
      </c>
    </row>
    <row r="4239" spans="1:12" x14ac:dyDescent="0.25">
      <c r="A4239" t="str">
        <f t="shared" si="928"/>
        <v>89301000</v>
      </c>
      <c r="B4239" t="str">
        <f t="shared" si="930"/>
        <v>88805000</v>
      </c>
      <c r="C4239" t="str">
        <f t="shared" si="931"/>
        <v>88805001</v>
      </c>
      <c r="D4239" t="str">
        <f t="shared" si="929"/>
        <v>801</v>
      </c>
      <c r="E4239" t="str">
        <f>"89301102"</f>
        <v>89301102</v>
      </c>
      <c r="F4239" t="str">
        <f>"0609186171"</f>
        <v>0609186171</v>
      </c>
      <c r="G4239" s="1">
        <v>44664</v>
      </c>
      <c r="H4239" t="str">
        <f>"92143"</f>
        <v>92143</v>
      </c>
      <c r="I4239">
        <v>1</v>
      </c>
      <c r="J4239">
        <v>1748</v>
      </c>
      <c r="K4239">
        <v>0</v>
      </c>
      <c r="L4239">
        <v>1363.44</v>
      </c>
    </row>
    <row r="4240" spans="1:12" x14ac:dyDescent="0.25">
      <c r="A4240" t="str">
        <f t="shared" si="928"/>
        <v>89301000</v>
      </c>
      <c r="B4240" t="str">
        <f t="shared" si="930"/>
        <v>88805000</v>
      </c>
      <c r="C4240" t="str">
        <f t="shared" si="931"/>
        <v>88805001</v>
      </c>
      <c r="D4240" t="str">
        <f t="shared" si="929"/>
        <v>801</v>
      </c>
      <c r="E4240" t="str">
        <f>"89301702"</f>
        <v>89301702</v>
      </c>
      <c r="F4240" t="str">
        <f>"2060160608"</f>
        <v>2060160608</v>
      </c>
      <c r="G4240" s="1">
        <v>44656</v>
      </c>
      <c r="H4240" t="str">
        <f>"81631"</f>
        <v>81631</v>
      </c>
      <c r="I4240">
        <v>1</v>
      </c>
      <c r="J4240">
        <v>294</v>
      </c>
      <c r="K4240">
        <v>0</v>
      </c>
      <c r="L4240">
        <v>229.32</v>
      </c>
    </row>
    <row r="4241" spans="1:12" x14ac:dyDescent="0.25">
      <c r="A4241" t="str">
        <f t="shared" si="928"/>
        <v>89301000</v>
      </c>
      <c r="B4241" t="str">
        <f t="shared" si="930"/>
        <v>88805000</v>
      </c>
      <c r="C4241" t="str">
        <f t="shared" si="931"/>
        <v>88805001</v>
      </c>
      <c r="D4241" t="str">
        <f t="shared" si="929"/>
        <v>801</v>
      </c>
      <c r="E4241" t="str">
        <f>"89301702"</f>
        <v>89301702</v>
      </c>
      <c r="F4241" t="str">
        <f>"2060160608"</f>
        <v>2060160608</v>
      </c>
      <c r="G4241" s="1">
        <v>44656</v>
      </c>
      <c r="H4241" t="str">
        <f>"92143"</f>
        <v>92143</v>
      </c>
      <c r="I4241">
        <v>1</v>
      </c>
      <c r="J4241">
        <v>1748</v>
      </c>
      <c r="K4241">
        <v>0</v>
      </c>
      <c r="L4241">
        <v>1363.44</v>
      </c>
    </row>
    <row r="4242" spans="1:12" x14ac:dyDescent="0.25">
      <c r="A4242" t="str">
        <f t="shared" si="928"/>
        <v>89301000</v>
      </c>
      <c r="B4242" t="str">
        <f t="shared" si="930"/>
        <v>88805000</v>
      </c>
      <c r="C4242" t="str">
        <f t="shared" si="931"/>
        <v>88805001</v>
      </c>
      <c r="D4242" t="str">
        <f t="shared" si="929"/>
        <v>801</v>
      </c>
      <c r="E4242" t="str">
        <f>"89301108"</f>
        <v>89301108</v>
      </c>
      <c r="F4242" t="str">
        <f>"0905076590"</f>
        <v>0905076590</v>
      </c>
      <c r="G4242" s="1">
        <v>44656</v>
      </c>
      <c r="H4242" t="str">
        <f>"81631"</f>
        <v>81631</v>
      </c>
      <c r="I4242">
        <v>1</v>
      </c>
      <c r="J4242">
        <v>294</v>
      </c>
      <c r="K4242">
        <v>0</v>
      </c>
      <c r="L4242">
        <v>229.32</v>
      </c>
    </row>
    <row r="4243" spans="1:12" x14ac:dyDescent="0.25">
      <c r="A4243" t="str">
        <f t="shared" si="928"/>
        <v>89301000</v>
      </c>
      <c r="B4243" t="str">
        <f t="shared" si="930"/>
        <v>88805000</v>
      </c>
      <c r="C4243" t="str">
        <f t="shared" si="931"/>
        <v>88805001</v>
      </c>
      <c r="D4243" t="str">
        <f t="shared" si="929"/>
        <v>801</v>
      </c>
      <c r="E4243" t="str">
        <f>"89301108"</f>
        <v>89301108</v>
      </c>
      <c r="F4243" t="str">
        <f>"0905076590"</f>
        <v>0905076590</v>
      </c>
      <c r="G4243" s="1">
        <v>44656</v>
      </c>
      <c r="H4243" t="str">
        <f>"92143"</f>
        <v>92143</v>
      </c>
      <c r="I4243">
        <v>1</v>
      </c>
      <c r="J4243">
        <v>1748</v>
      </c>
      <c r="K4243">
        <v>0</v>
      </c>
      <c r="L4243">
        <v>1363.44</v>
      </c>
    </row>
    <row r="4244" spans="1:12" x14ac:dyDescent="0.25">
      <c r="A4244" t="str">
        <f t="shared" si="928"/>
        <v>89301000</v>
      </c>
      <c r="B4244" t="str">
        <f t="shared" si="930"/>
        <v>88805000</v>
      </c>
      <c r="C4244" t="str">
        <f t="shared" si="931"/>
        <v>88805001</v>
      </c>
      <c r="D4244" t="str">
        <f t="shared" si="929"/>
        <v>801</v>
      </c>
      <c r="E4244" t="str">
        <f>"89301108"</f>
        <v>89301108</v>
      </c>
      <c r="F4244" t="str">
        <f>"0812223247"</f>
        <v>0812223247</v>
      </c>
      <c r="G4244" s="1">
        <v>44656</v>
      </c>
      <c r="H4244" t="str">
        <f>"81631"</f>
        <v>81631</v>
      </c>
      <c r="I4244">
        <v>1</v>
      </c>
      <c r="J4244">
        <v>294</v>
      </c>
      <c r="K4244">
        <v>0</v>
      </c>
      <c r="L4244">
        <v>229.32</v>
      </c>
    </row>
    <row r="4245" spans="1:12" x14ac:dyDescent="0.25">
      <c r="A4245" t="str">
        <f t="shared" si="928"/>
        <v>89301000</v>
      </c>
      <c r="B4245" t="str">
        <f t="shared" si="930"/>
        <v>88805000</v>
      </c>
      <c r="C4245" t="str">
        <f t="shared" si="931"/>
        <v>88805001</v>
      </c>
      <c r="D4245" t="str">
        <f t="shared" si="929"/>
        <v>801</v>
      </c>
      <c r="E4245" t="str">
        <f>"89301108"</f>
        <v>89301108</v>
      </c>
      <c r="F4245" t="str">
        <f>"0812223247"</f>
        <v>0812223247</v>
      </c>
      <c r="G4245" s="1">
        <v>44656</v>
      </c>
      <c r="H4245" t="str">
        <f>"92143"</f>
        <v>92143</v>
      </c>
      <c r="I4245">
        <v>1</v>
      </c>
      <c r="J4245">
        <v>1748</v>
      </c>
      <c r="K4245">
        <v>0</v>
      </c>
      <c r="L4245">
        <v>1363.44</v>
      </c>
    </row>
    <row r="4246" spans="1:12" x14ac:dyDescent="0.25">
      <c r="A4246" t="str">
        <f t="shared" si="928"/>
        <v>89301000</v>
      </c>
      <c r="B4246" t="str">
        <f t="shared" si="930"/>
        <v>88805000</v>
      </c>
      <c r="C4246" t="str">
        <f t="shared" si="931"/>
        <v>88805001</v>
      </c>
      <c r="D4246" t="str">
        <f t="shared" si="929"/>
        <v>801</v>
      </c>
      <c r="E4246" t="str">
        <f>"89301101"</f>
        <v>89301101</v>
      </c>
      <c r="F4246" t="str">
        <f>"0558063286"</f>
        <v>0558063286</v>
      </c>
      <c r="G4246" s="1">
        <v>44663</v>
      </c>
      <c r="H4246" t="str">
        <f>"81643"</f>
        <v>81643</v>
      </c>
      <c r="I4246">
        <v>1</v>
      </c>
      <c r="J4246">
        <v>104</v>
      </c>
      <c r="K4246">
        <v>0</v>
      </c>
      <c r="L4246">
        <v>81.12</v>
      </c>
    </row>
    <row r="4247" spans="1:12" x14ac:dyDescent="0.25">
      <c r="A4247" t="str">
        <f t="shared" si="928"/>
        <v>89301000</v>
      </c>
      <c r="B4247" t="str">
        <f t="shared" si="930"/>
        <v>88805000</v>
      </c>
      <c r="C4247" t="str">
        <f t="shared" si="931"/>
        <v>88805001</v>
      </c>
      <c r="D4247" t="str">
        <f t="shared" si="929"/>
        <v>801</v>
      </c>
      <c r="E4247" t="str">
        <f>"89301101"</f>
        <v>89301101</v>
      </c>
      <c r="F4247" t="str">
        <f>"0909103272"</f>
        <v>0909103272</v>
      </c>
      <c r="G4247" s="1">
        <v>44657</v>
      </c>
      <c r="H4247" t="str">
        <f>"93179"</f>
        <v>93179</v>
      </c>
      <c r="I4247">
        <v>1</v>
      </c>
      <c r="J4247">
        <v>366</v>
      </c>
      <c r="K4247">
        <v>0</v>
      </c>
      <c r="L4247">
        <v>285.48</v>
      </c>
    </row>
    <row r="4248" spans="1:12" x14ac:dyDescent="0.25">
      <c r="A4248" t="str">
        <f t="shared" si="928"/>
        <v>89301000</v>
      </c>
      <c r="B4248" t="str">
        <f t="shared" si="930"/>
        <v>88805000</v>
      </c>
      <c r="C4248" t="str">
        <f t="shared" si="931"/>
        <v>88805001</v>
      </c>
      <c r="D4248" t="str">
        <f t="shared" si="929"/>
        <v>801</v>
      </c>
      <c r="E4248" t="str">
        <f>"89301102"</f>
        <v>89301102</v>
      </c>
      <c r="F4248" t="str">
        <f>"0609186171"</f>
        <v>0609186171</v>
      </c>
      <c r="G4248" s="1">
        <v>44664</v>
      </c>
      <c r="H4248" t="str">
        <f t="shared" ref="H4248:H4253" si="932">"97111"</f>
        <v>97111</v>
      </c>
      <c r="I4248">
        <v>1</v>
      </c>
      <c r="J4248">
        <v>18</v>
      </c>
      <c r="K4248">
        <v>0</v>
      </c>
      <c r="L4248">
        <v>14.04</v>
      </c>
    </row>
    <row r="4249" spans="1:12" x14ac:dyDescent="0.25">
      <c r="A4249" t="str">
        <f t="shared" si="928"/>
        <v>89301000</v>
      </c>
      <c r="B4249" t="str">
        <f t="shared" si="930"/>
        <v>88805000</v>
      </c>
      <c r="C4249" t="str">
        <f t="shared" si="931"/>
        <v>88805001</v>
      </c>
      <c r="D4249" t="str">
        <f t="shared" si="929"/>
        <v>801</v>
      </c>
      <c r="E4249" t="str">
        <f>"89301101"</f>
        <v>89301101</v>
      </c>
      <c r="F4249" t="str">
        <f>"0558063286"</f>
        <v>0558063286</v>
      </c>
      <c r="G4249" s="1">
        <v>44672</v>
      </c>
      <c r="H4249" t="str">
        <f t="shared" si="932"/>
        <v>97111</v>
      </c>
      <c r="I4249">
        <v>1</v>
      </c>
      <c r="J4249">
        <v>18</v>
      </c>
      <c r="K4249">
        <v>0</v>
      </c>
      <c r="L4249">
        <v>14.04</v>
      </c>
    </row>
    <row r="4250" spans="1:12" x14ac:dyDescent="0.25">
      <c r="A4250" t="str">
        <f t="shared" si="928"/>
        <v>89301000</v>
      </c>
      <c r="B4250" t="str">
        <f t="shared" si="930"/>
        <v>88805000</v>
      </c>
      <c r="C4250" t="str">
        <f t="shared" si="931"/>
        <v>88805001</v>
      </c>
      <c r="D4250" t="str">
        <f t="shared" si="929"/>
        <v>801</v>
      </c>
      <c r="E4250" t="str">
        <f>"89301101"</f>
        <v>89301101</v>
      </c>
      <c r="F4250" t="str">
        <f>"0909103272"</f>
        <v>0909103272</v>
      </c>
      <c r="G4250" s="1">
        <v>44657</v>
      </c>
      <c r="H4250" t="str">
        <f t="shared" si="932"/>
        <v>97111</v>
      </c>
      <c r="I4250">
        <v>1</v>
      </c>
      <c r="J4250">
        <v>18</v>
      </c>
      <c r="K4250">
        <v>0</v>
      </c>
      <c r="L4250">
        <v>14.04</v>
      </c>
    </row>
    <row r="4251" spans="1:12" x14ac:dyDescent="0.25">
      <c r="A4251" t="str">
        <f t="shared" si="928"/>
        <v>89301000</v>
      </c>
      <c r="B4251" t="str">
        <f t="shared" si="930"/>
        <v>88805000</v>
      </c>
      <c r="C4251" t="str">
        <f t="shared" si="931"/>
        <v>88805001</v>
      </c>
      <c r="D4251" t="str">
        <f t="shared" si="929"/>
        <v>801</v>
      </c>
      <c r="E4251" t="str">
        <f>"89301702"</f>
        <v>89301702</v>
      </c>
      <c r="F4251" t="str">
        <f>"2060160608"</f>
        <v>2060160608</v>
      </c>
      <c r="G4251" s="1">
        <v>44656</v>
      </c>
      <c r="H4251" t="str">
        <f t="shared" si="932"/>
        <v>97111</v>
      </c>
      <c r="I4251">
        <v>1</v>
      </c>
      <c r="J4251">
        <v>18</v>
      </c>
      <c r="K4251">
        <v>0</v>
      </c>
      <c r="L4251">
        <v>14.04</v>
      </c>
    </row>
    <row r="4252" spans="1:12" x14ac:dyDescent="0.25">
      <c r="A4252" t="str">
        <f t="shared" si="928"/>
        <v>89301000</v>
      </c>
      <c r="B4252" t="str">
        <f t="shared" si="930"/>
        <v>88805000</v>
      </c>
      <c r="C4252" t="str">
        <f t="shared" si="931"/>
        <v>88805001</v>
      </c>
      <c r="D4252" t="str">
        <f t="shared" si="929"/>
        <v>801</v>
      </c>
      <c r="E4252" t="str">
        <f>"89301108"</f>
        <v>89301108</v>
      </c>
      <c r="F4252" t="str">
        <f>"0905076590"</f>
        <v>0905076590</v>
      </c>
      <c r="G4252" s="1">
        <v>44656</v>
      </c>
      <c r="H4252" t="str">
        <f t="shared" si="932"/>
        <v>97111</v>
      </c>
      <c r="I4252">
        <v>1</v>
      </c>
      <c r="J4252">
        <v>18</v>
      </c>
      <c r="K4252">
        <v>0</v>
      </c>
      <c r="L4252">
        <v>14.04</v>
      </c>
    </row>
    <row r="4253" spans="1:12" x14ac:dyDescent="0.25">
      <c r="A4253" t="str">
        <f t="shared" si="928"/>
        <v>89301000</v>
      </c>
      <c r="B4253" t="str">
        <f t="shared" si="930"/>
        <v>88805000</v>
      </c>
      <c r="C4253" t="str">
        <f t="shared" si="931"/>
        <v>88805001</v>
      </c>
      <c r="D4253" t="str">
        <f t="shared" si="929"/>
        <v>801</v>
      </c>
      <c r="E4253" t="str">
        <f>"89301108"</f>
        <v>89301108</v>
      </c>
      <c r="F4253" t="str">
        <f>"0812223247"</f>
        <v>0812223247</v>
      </c>
      <c r="G4253" s="1">
        <v>44656</v>
      </c>
      <c r="H4253" t="str">
        <f t="shared" si="932"/>
        <v>97111</v>
      </c>
      <c r="I4253">
        <v>1</v>
      </c>
      <c r="J4253">
        <v>18</v>
      </c>
      <c r="K4253">
        <v>0</v>
      </c>
      <c r="L4253">
        <v>14.04</v>
      </c>
    </row>
    <row r="4254" spans="1:12" x14ac:dyDescent="0.25">
      <c r="A4254" t="str">
        <f t="shared" si="928"/>
        <v>89301000</v>
      </c>
      <c r="B4254" t="str">
        <f>"87013000"</f>
        <v>87013000</v>
      </c>
      <c r="C4254" t="str">
        <f>"87013880"</f>
        <v>87013880</v>
      </c>
      <c r="D4254" t="str">
        <f>"810"</f>
        <v>810</v>
      </c>
      <c r="E4254" t="str">
        <f>"89301112"</f>
        <v>89301112</v>
      </c>
      <c r="F4254" t="str">
        <f>"9712165727"</f>
        <v>9712165727</v>
      </c>
      <c r="G4254" s="1">
        <v>44664</v>
      </c>
      <c r="H4254" t="str">
        <f>"89713"</f>
        <v>89713</v>
      </c>
      <c r="I4254">
        <v>1</v>
      </c>
      <c r="J4254">
        <v>5362</v>
      </c>
      <c r="K4254">
        <v>0</v>
      </c>
      <c r="L4254">
        <v>3217.2</v>
      </c>
    </row>
    <row r="4255" spans="1:12" x14ac:dyDescent="0.25">
      <c r="A4255" t="str">
        <f t="shared" si="928"/>
        <v>89301000</v>
      </c>
      <c r="B4255" t="str">
        <f>"87013000"</f>
        <v>87013000</v>
      </c>
      <c r="C4255" t="str">
        <f>"87013880"</f>
        <v>87013880</v>
      </c>
      <c r="D4255" t="str">
        <f>"810"</f>
        <v>810</v>
      </c>
      <c r="E4255" t="str">
        <f>"89301112"</f>
        <v>89301112</v>
      </c>
      <c r="F4255" t="str">
        <f>"9712165727"</f>
        <v>9712165727</v>
      </c>
      <c r="G4255" s="1">
        <v>44664</v>
      </c>
      <c r="H4255" t="str">
        <f>"89725"</f>
        <v>89725</v>
      </c>
      <c r="I4255">
        <v>1</v>
      </c>
      <c r="J4255">
        <v>2839</v>
      </c>
      <c r="K4255">
        <v>0</v>
      </c>
      <c r="L4255">
        <v>1703.4</v>
      </c>
    </row>
    <row r="4256" spans="1:12" x14ac:dyDescent="0.25">
      <c r="A4256" t="str">
        <f t="shared" si="928"/>
        <v>89301000</v>
      </c>
      <c r="B4256" t="str">
        <f>"87004000"</f>
        <v>87004000</v>
      </c>
      <c r="C4256" t="str">
        <f>"87004900"</f>
        <v>87004900</v>
      </c>
      <c r="D4256" t="str">
        <f>"810"</f>
        <v>810</v>
      </c>
      <c r="E4256" t="str">
        <f>"89301032"</f>
        <v>89301032</v>
      </c>
      <c r="F4256" t="str">
        <f>"7658125277"</f>
        <v>7658125277</v>
      </c>
      <c r="G4256" s="1">
        <v>44664</v>
      </c>
      <c r="H4256" t="str">
        <f>"89713"</f>
        <v>89713</v>
      </c>
      <c r="I4256">
        <v>1</v>
      </c>
      <c r="J4256">
        <v>5362</v>
      </c>
      <c r="K4256">
        <v>0</v>
      </c>
      <c r="L4256">
        <v>3217.2</v>
      </c>
    </row>
    <row r="4257" spans="1:12" x14ac:dyDescent="0.25">
      <c r="A4257" t="str">
        <f t="shared" si="928"/>
        <v>89301000</v>
      </c>
      <c r="B4257" t="str">
        <f>"87004000"</f>
        <v>87004000</v>
      </c>
      <c r="C4257" t="str">
        <f>"87004900"</f>
        <v>87004900</v>
      </c>
      <c r="D4257" t="str">
        <f>"810"</f>
        <v>810</v>
      </c>
      <c r="E4257" t="str">
        <f>"89301032"</f>
        <v>89301032</v>
      </c>
      <c r="F4257" t="str">
        <f>"7658125277"</f>
        <v>7658125277</v>
      </c>
      <c r="G4257" s="1">
        <v>44664</v>
      </c>
      <c r="H4257" t="str">
        <f>"89725"</f>
        <v>89725</v>
      </c>
      <c r="I4257">
        <v>1</v>
      </c>
      <c r="J4257">
        <v>2839</v>
      </c>
      <c r="K4257">
        <v>0</v>
      </c>
      <c r="L4257">
        <v>1703.4</v>
      </c>
    </row>
    <row r="4258" spans="1:12" x14ac:dyDescent="0.25">
      <c r="A4258" t="str">
        <f t="shared" si="928"/>
        <v>89301000</v>
      </c>
      <c r="B4258" t="str">
        <f t="shared" ref="B4258:B4292" si="933">"10510000"</f>
        <v>10510000</v>
      </c>
      <c r="C4258" t="str">
        <f t="shared" ref="C4258:C4292" si="934">"10510001"</f>
        <v>10510001</v>
      </c>
      <c r="D4258" t="str">
        <f t="shared" ref="D4258:D4292" si="935">"802"</f>
        <v>802</v>
      </c>
      <c r="E4258" t="str">
        <f t="shared" ref="E4258:E4275" si="936">"89301171"</f>
        <v>89301171</v>
      </c>
      <c r="F4258" t="str">
        <f>"8009055340"</f>
        <v>8009055340</v>
      </c>
      <c r="G4258" s="1">
        <v>44655</v>
      </c>
      <c r="H4258" t="str">
        <f>"82034"</f>
        <v>82034</v>
      </c>
      <c r="I4258">
        <v>1</v>
      </c>
      <c r="J4258">
        <v>348</v>
      </c>
      <c r="K4258">
        <v>0</v>
      </c>
      <c r="L4258">
        <v>316.68</v>
      </c>
    </row>
    <row r="4259" spans="1:12" x14ac:dyDescent="0.25">
      <c r="A4259" t="str">
        <f t="shared" si="928"/>
        <v>89301000</v>
      </c>
      <c r="B4259" t="str">
        <f t="shared" si="933"/>
        <v>10510000</v>
      </c>
      <c r="C4259" t="str">
        <f t="shared" si="934"/>
        <v>10510001</v>
      </c>
      <c r="D4259" t="str">
        <f t="shared" si="935"/>
        <v>802</v>
      </c>
      <c r="E4259" t="str">
        <f t="shared" si="936"/>
        <v>89301171</v>
      </c>
      <c r="F4259" t="str">
        <f>"8009055340"</f>
        <v>8009055340</v>
      </c>
      <c r="G4259" s="1">
        <v>44655</v>
      </c>
      <c r="H4259" t="str">
        <f>"82041"</f>
        <v>82041</v>
      </c>
      <c r="I4259">
        <v>1</v>
      </c>
      <c r="J4259">
        <v>1090</v>
      </c>
      <c r="K4259">
        <v>0</v>
      </c>
      <c r="L4259">
        <v>991.9</v>
      </c>
    </row>
    <row r="4260" spans="1:12" x14ac:dyDescent="0.25">
      <c r="A4260" t="str">
        <f t="shared" si="928"/>
        <v>89301000</v>
      </c>
      <c r="B4260" t="str">
        <f t="shared" si="933"/>
        <v>10510000</v>
      </c>
      <c r="C4260" t="str">
        <f t="shared" si="934"/>
        <v>10510001</v>
      </c>
      <c r="D4260" t="str">
        <f t="shared" si="935"/>
        <v>802</v>
      </c>
      <c r="E4260" t="str">
        <f t="shared" si="936"/>
        <v>89301171</v>
      </c>
      <c r="F4260" t="str">
        <f>"8009055340"</f>
        <v>8009055340</v>
      </c>
      <c r="G4260" s="1">
        <v>44655</v>
      </c>
      <c r="H4260" t="str">
        <f>"82041"</f>
        <v>82041</v>
      </c>
      <c r="I4260">
        <v>1</v>
      </c>
      <c r="J4260">
        <v>1090</v>
      </c>
      <c r="K4260">
        <v>0</v>
      </c>
      <c r="L4260">
        <v>991.9</v>
      </c>
    </row>
    <row r="4261" spans="1:12" x14ac:dyDescent="0.25">
      <c r="A4261" t="str">
        <f t="shared" si="928"/>
        <v>89301000</v>
      </c>
      <c r="B4261" t="str">
        <f t="shared" si="933"/>
        <v>10510000</v>
      </c>
      <c r="C4261" t="str">
        <f t="shared" si="934"/>
        <v>10510001</v>
      </c>
      <c r="D4261" t="str">
        <f t="shared" si="935"/>
        <v>802</v>
      </c>
      <c r="E4261" t="str">
        <f t="shared" si="936"/>
        <v>89301171</v>
      </c>
      <c r="F4261" t="str">
        <f>"6059121585"</f>
        <v>6059121585</v>
      </c>
      <c r="G4261" s="1">
        <v>44663</v>
      </c>
      <c r="H4261" t="str">
        <f>"82034"</f>
        <v>82034</v>
      </c>
      <c r="I4261">
        <v>1</v>
      </c>
      <c r="J4261">
        <v>348</v>
      </c>
      <c r="K4261">
        <v>0</v>
      </c>
      <c r="L4261">
        <v>316.68</v>
      </c>
    </row>
    <row r="4262" spans="1:12" x14ac:dyDescent="0.25">
      <c r="A4262" t="str">
        <f t="shared" si="928"/>
        <v>89301000</v>
      </c>
      <c r="B4262" t="str">
        <f t="shared" si="933"/>
        <v>10510000</v>
      </c>
      <c r="C4262" t="str">
        <f t="shared" si="934"/>
        <v>10510001</v>
      </c>
      <c r="D4262" t="str">
        <f t="shared" si="935"/>
        <v>802</v>
      </c>
      <c r="E4262" t="str">
        <f t="shared" si="936"/>
        <v>89301171</v>
      </c>
      <c r="F4262" t="str">
        <f>"6059121585"</f>
        <v>6059121585</v>
      </c>
      <c r="G4262" s="1">
        <v>44663</v>
      </c>
      <c r="H4262" t="str">
        <f>"82041"</f>
        <v>82041</v>
      </c>
      <c r="I4262">
        <v>1</v>
      </c>
      <c r="J4262">
        <v>1090</v>
      </c>
      <c r="K4262">
        <v>0</v>
      </c>
      <c r="L4262">
        <v>991.9</v>
      </c>
    </row>
    <row r="4263" spans="1:12" x14ac:dyDescent="0.25">
      <c r="A4263" t="str">
        <f t="shared" si="928"/>
        <v>89301000</v>
      </c>
      <c r="B4263" t="str">
        <f t="shared" si="933"/>
        <v>10510000</v>
      </c>
      <c r="C4263" t="str">
        <f t="shared" si="934"/>
        <v>10510001</v>
      </c>
      <c r="D4263" t="str">
        <f t="shared" si="935"/>
        <v>802</v>
      </c>
      <c r="E4263" t="str">
        <f t="shared" si="936"/>
        <v>89301171</v>
      </c>
      <c r="F4263" t="str">
        <f>"6059121585"</f>
        <v>6059121585</v>
      </c>
      <c r="G4263" s="1">
        <v>44663</v>
      </c>
      <c r="H4263" t="str">
        <f>"82041"</f>
        <v>82041</v>
      </c>
      <c r="I4263">
        <v>1</v>
      </c>
      <c r="J4263">
        <v>1090</v>
      </c>
      <c r="K4263">
        <v>0</v>
      </c>
      <c r="L4263">
        <v>991.9</v>
      </c>
    </row>
    <row r="4264" spans="1:12" x14ac:dyDescent="0.25">
      <c r="A4264" t="str">
        <f t="shared" si="928"/>
        <v>89301000</v>
      </c>
      <c r="B4264" t="str">
        <f t="shared" si="933"/>
        <v>10510000</v>
      </c>
      <c r="C4264" t="str">
        <f t="shared" si="934"/>
        <v>10510001</v>
      </c>
      <c r="D4264" t="str">
        <f t="shared" si="935"/>
        <v>802</v>
      </c>
      <c r="E4264" t="str">
        <f t="shared" si="936"/>
        <v>89301171</v>
      </c>
      <c r="F4264" t="str">
        <f>"7853299388"</f>
        <v>7853299388</v>
      </c>
      <c r="G4264" s="1">
        <v>44663</v>
      </c>
      <c r="H4264" t="str">
        <f>"82034"</f>
        <v>82034</v>
      </c>
      <c r="I4264">
        <v>1</v>
      </c>
      <c r="J4264">
        <v>348</v>
      </c>
      <c r="K4264">
        <v>0</v>
      </c>
      <c r="L4264">
        <v>316.68</v>
      </c>
    </row>
    <row r="4265" spans="1:12" x14ac:dyDescent="0.25">
      <c r="A4265" t="str">
        <f t="shared" si="928"/>
        <v>89301000</v>
      </c>
      <c r="B4265" t="str">
        <f t="shared" si="933"/>
        <v>10510000</v>
      </c>
      <c r="C4265" t="str">
        <f t="shared" si="934"/>
        <v>10510001</v>
      </c>
      <c r="D4265" t="str">
        <f t="shared" si="935"/>
        <v>802</v>
      </c>
      <c r="E4265" t="str">
        <f t="shared" si="936"/>
        <v>89301171</v>
      </c>
      <c r="F4265" t="str">
        <f>"7853299388"</f>
        <v>7853299388</v>
      </c>
      <c r="G4265" s="1">
        <v>44663</v>
      </c>
      <c r="H4265" t="str">
        <f>"82041"</f>
        <v>82041</v>
      </c>
      <c r="I4265">
        <v>1</v>
      </c>
      <c r="J4265">
        <v>1090</v>
      </c>
      <c r="K4265">
        <v>0</v>
      </c>
      <c r="L4265">
        <v>991.9</v>
      </c>
    </row>
    <row r="4266" spans="1:12" x14ac:dyDescent="0.25">
      <c r="A4266" t="str">
        <f t="shared" si="928"/>
        <v>89301000</v>
      </c>
      <c r="B4266" t="str">
        <f t="shared" si="933"/>
        <v>10510000</v>
      </c>
      <c r="C4266" t="str">
        <f t="shared" si="934"/>
        <v>10510001</v>
      </c>
      <c r="D4266" t="str">
        <f t="shared" si="935"/>
        <v>802</v>
      </c>
      <c r="E4266" t="str">
        <f t="shared" si="936"/>
        <v>89301171</v>
      </c>
      <c r="F4266" t="str">
        <f>"7853299388"</f>
        <v>7853299388</v>
      </c>
      <c r="G4266" s="1">
        <v>44663</v>
      </c>
      <c r="H4266" t="str">
        <f>"82041"</f>
        <v>82041</v>
      </c>
      <c r="I4266">
        <v>1</v>
      </c>
      <c r="J4266">
        <v>1090</v>
      </c>
      <c r="K4266">
        <v>0</v>
      </c>
      <c r="L4266">
        <v>991.9</v>
      </c>
    </row>
    <row r="4267" spans="1:12" x14ac:dyDescent="0.25">
      <c r="A4267" t="str">
        <f t="shared" si="928"/>
        <v>89301000</v>
      </c>
      <c r="B4267" t="str">
        <f t="shared" si="933"/>
        <v>10510000</v>
      </c>
      <c r="C4267" t="str">
        <f t="shared" si="934"/>
        <v>10510001</v>
      </c>
      <c r="D4267" t="str">
        <f t="shared" si="935"/>
        <v>802</v>
      </c>
      <c r="E4267" t="str">
        <f t="shared" si="936"/>
        <v>89301171</v>
      </c>
      <c r="F4267" t="str">
        <f>"6455180490"</f>
        <v>6455180490</v>
      </c>
      <c r="G4267" s="1">
        <v>44663</v>
      </c>
      <c r="H4267" t="str">
        <f>"82034"</f>
        <v>82034</v>
      </c>
      <c r="I4267">
        <v>1</v>
      </c>
      <c r="J4267">
        <v>348</v>
      </c>
      <c r="K4267">
        <v>0</v>
      </c>
      <c r="L4267">
        <v>316.68</v>
      </c>
    </row>
    <row r="4268" spans="1:12" x14ac:dyDescent="0.25">
      <c r="A4268" t="str">
        <f t="shared" si="928"/>
        <v>89301000</v>
      </c>
      <c r="B4268" t="str">
        <f t="shared" si="933"/>
        <v>10510000</v>
      </c>
      <c r="C4268" t="str">
        <f t="shared" si="934"/>
        <v>10510001</v>
      </c>
      <c r="D4268" t="str">
        <f t="shared" si="935"/>
        <v>802</v>
      </c>
      <c r="E4268" t="str">
        <f t="shared" si="936"/>
        <v>89301171</v>
      </c>
      <c r="F4268" t="str">
        <f>"6455180490"</f>
        <v>6455180490</v>
      </c>
      <c r="G4268" s="1">
        <v>44663</v>
      </c>
      <c r="H4268" t="str">
        <f>"82041"</f>
        <v>82041</v>
      </c>
      <c r="I4268">
        <v>1</v>
      </c>
      <c r="J4268">
        <v>1090</v>
      </c>
      <c r="K4268">
        <v>0</v>
      </c>
      <c r="L4268">
        <v>991.9</v>
      </c>
    </row>
    <row r="4269" spans="1:12" x14ac:dyDescent="0.25">
      <c r="A4269" t="str">
        <f t="shared" si="928"/>
        <v>89301000</v>
      </c>
      <c r="B4269" t="str">
        <f t="shared" si="933"/>
        <v>10510000</v>
      </c>
      <c r="C4269" t="str">
        <f t="shared" si="934"/>
        <v>10510001</v>
      </c>
      <c r="D4269" t="str">
        <f t="shared" si="935"/>
        <v>802</v>
      </c>
      <c r="E4269" t="str">
        <f t="shared" si="936"/>
        <v>89301171</v>
      </c>
      <c r="F4269" t="str">
        <f>"6455180490"</f>
        <v>6455180490</v>
      </c>
      <c r="G4269" s="1">
        <v>44663</v>
      </c>
      <c r="H4269" t="str">
        <f>"82041"</f>
        <v>82041</v>
      </c>
      <c r="I4269">
        <v>1</v>
      </c>
      <c r="J4269">
        <v>1090</v>
      </c>
      <c r="K4269">
        <v>0</v>
      </c>
      <c r="L4269">
        <v>991.9</v>
      </c>
    </row>
    <row r="4270" spans="1:12" x14ac:dyDescent="0.25">
      <c r="A4270" t="str">
        <f t="shared" si="928"/>
        <v>89301000</v>
      </c>
      <c r="B4270" t="str">
        <f t="shared" si="933"/>
        <v>10510000</v>
      </c>
      <c r="C4270" t="str">
        <f t="shared" si="934"/>
        <v>10510001</v>
      </c>
      <c r="D4270" t="str">
        <f t="shared" si="935"/>
        <v>802</v>
      </c>
      <c r="E4270" t="str">
        <f t="shared" si="936"/>
        <v>89301171</v>
      </c>
      <c r="F4270" t="str">
        <f>"5852221397"</f>
        <v>5852221397</v>
      </c>
      <c r="G4270" s="1">
        <v>44663</v>
      </c>
      <c r="H4270" t="str">
        <f>"82041"</f>
        <v>82041</v>
      </c>
      <c r="I4270">
        <v>1</v>
      </c>
      <c r="J4270">
        <v>1090</v>
      </c>
      <c r="K4270">
        <v>0</v>
      </c>
      <c r="L4270">
        <v>991.9</v>
      </c>
    </row>
    <row r="4271" spans="1:12" x14ac:dyDescent="0.25">
      <c r="A4271" t="str">
        <f t="shared" si="928"/>
        <v>89301000</v>
      </c>
      <c r="B4271" t="str">
        <f t="shared" si="933"/>
        <v>10510000</v>
      </c>
      <c r="C4271" t="str">
        <f t="shared" si="934"/>
        <v>10510001</v>
      </c>
      <c r="D4271" t="str">
        <f t="shared" si="935"/>
        <v>802</v>
      </c>
      <c r="E4271" t="str">
        <f t="shared" si="936"/>
        <v>89301171</v>
      </c>
      <c r="F4271" t="str">
        <f>"5852221397"</f>
        <v>5852221397</v>
      </c>
      <c r="G4271" s="1">
        <v>44663</v>
      </c>
      <c r="H4271" t="str">
        <f>"82041"</f>
        <v>82041</v>
      </c>
      <c r="I4271">
        <v>1</v>
      </c>
      <c r="J4271">
        <v>1090</v>
      </c>
      <c r="K4271">
        <v>0</v>
      </c>
      <c r="L4271">
        <v>991.9</v>
      </c>
    </row>
    <row r="4272" spans="1:12" x14ac:dyDescent="0.25">
      <c r="A4272" t="str">
        <f t="shared" si="928"/>
        <v>89301000</v>
      </c>
      <c r="B4272" t="str">
        <f t="shared" si="933"/>
        <v>10510000</v>
      </c>
      <c r="C4272" t="str">
        <f t="shared" si="934"/>
        <v>10510001</v>
      </c>
      <c r="D4272" t="str">
        <f t="shared" si="935"/>
        <v>802</v>
      </c>
      <c r="E4272" t="str">
        <f t="shared" si="936"/>
        <v>89301171</v>
      </c>
      <c r="F4272" t="str">
        <f>"5852221397"</f>
        <v>5852221397</v>
      </c>
      <c r="G4272" s="1">
        <v>44663</v>
      </c>
      <c r="H4272" t="str">
        <f>"82034"</f>
        <v>82034</v>
      </c>
      <c r="I4272">
        <v>1</v>
      </c>
      <c r="J4272">
        <v>348</v>
      </c>
      <c r="K4272">
        <v>0</v>
      </c>
      <c r="L4272">
        <v>316.68</v>
      </c>
    </row>
    <row r="4273" spans="1:12" x14ac:dyDescent="0.25">
      <c r="A4273" t="str">
        <f t="shared" si="928"/>
        <v>89301000</v>
      </c>
      <c r="B4273" t="str">
        <f t="shared" si="933"/>
        <v>10510000</v>
      </c>
      <c r="C4273" t="str">
        <f t="shared" si="934"/>
        <v>10510001</v>
      </c>
      <c r="D4273" t="str">
        <f t="shared" si="935"/>
        <v>802</v>
      </c>
      <c r="E4273" t="str">
        <f t="shared" si="936"/>
        <v>89301171</v>
      </c>
      <c r="F4273" t="str">
        <f>"6808040767"</f>
        <v>6808040767</v>
      </c>
      <c r="G4273" s="1">
        <v>44670</v>
      </c>
      <c r="H4273" t="str">
        <f>"82034"</f>
        <v>82034</v>
      </c>
      <c r="I4273">
        <v>1</v>
      </c>
      <c r="J4273">
        <v>348</v>
      </c>
      <c r="K4273">
        <v>0</v>
      </c>
      <c r="L4273">
        <v>316.68</v>
      </c>
    </row>
    <row r="4274" spans="1:12" x14ac:dyDescent="0.25">
      <c r="A4274" t="str">
        <f t="shared" si="928"/>
        <v>89301000</v>
      </c>
      <c r="B4274" t="str">
        <f t="shared" si="933"/>
        <v>10510000</v>
      </c>
      <c r="C4274" t="str">
        <f t="shared" si="934"/>
        <v>10510001</v>
      </c>
      <c r="D4274" t="str">
        <f t="shared" si="935"/>
        <v>802</v>
      </c>
      <c r="E4274" t="str">
        <f t="shared" si="936"/>
        <v>89301171</v>
      </c>
      <c r="F4274" t="str">
        <f>"6808040767"</f>
        <v>6808040767</v>
      </c>
      <c r="G4274" s="1">
        <v>44670</v>
      </c>
      <c r="H4274" t="str">
        <f>"82041"</f>
        <v>82041</v>
      </c>
      <c r="I4274">
        <v>1</v>
      </c>
      <c r="J4274">
        <v>1090</v>
      </c>
      <c r="K4274">
        <v>0</v>
      </c>
      <c r="L4274">
        <v>991.9</v>
      </c>
    </row>
    <row r="4275" spans="1:12" x14ac:dyDescent="0.25">
      <c r="A4275" t="str">
        <f t="shared" si="928"/>
        <v>89301000</v>
      </c>
      <c r="B4275" t="str">
        <f t="shared" si="933"/>
        <v>10510000</v>
      </c>
      <c r="C4275" t="str">
        <f t="shared" si="934"/>
        <v>10510001</v>
      </c>
      <c r="D4275" t="str">
        <f t="shared" si="935"/>
        <v>802</v>
      </c>
      <c r="E4275" t="str">
        <f t="shared" si="936"/>
        <v>89301171</v>
      </c>
      <c r="F4275" t="str">
        <f>"6808040767"</f>
        <v>6808040767</v>
      </c>
      <c r="G4275" s="1">
        <v>44670</v>
      </c>
      <c r="H4275" t="str">
        <f>"82041"</f>
        <v>82041</v>
      </c>
      <c r="I4275">
        <v>1</v>
      </c>
      <c r="J4275">
        <v>1090</v>
      </c>
      <c r="K4275">
        <v>0</v>
      </c>
      <c r="L4275">
        <v>991.9</v>
      </c>
    </row>
    <row r="4276" spans="1:12" x14ac:dyDescent="0.25">
      <c r="A4276" t="str">
        <f t="shared" si="928"/>
        <v>89301000</v>
      </c>
      <c r="B4276" t="str">
        <f t="shared" si="933"/>
        <v>10510000</v>
      </c>
      <c r="C4276" t="str">
        <f t="shared" si="934"/>
        <v>10510001</v>
      </c>
      <c r="D4276" t="str">
        <f t="shared" si="935"/>
        <v>802</v>
      </c>
      <c r="E4276" t="str">
        <f t="shared" ref="E4276:E4292" si="937">"89301202"</f>
        <v>89301202</v>
      </c>
      <c r="F4276" t="str">
        <f>"8807094923"</f>
        <v>8807094923</v>
      </c>
      <c r="G4276" s="1">
        <v>44630</v>
      </c>
      <c r="H4276" t="str">
        <f>"82079"</f>
        <v>82079</v>
      </c>
      <c r="I4276">
        <v>1</v>
      </c>
      <c r="J4276">
        <v>332</v>
      </c>
      <c r="K4276">
        <v>0</v>
      </c>
      <c r="L4276">
        <v>302.12</v>
      </c>
    </row>
    <row r="4277" spans="1:12" x14ac:dyDescent="0.25">
      <c r="A4277" t="str">
        <f t="shared" si="928"/>
        <v>89301000</v>
      </c>
      <c r="B4277" t="str">
        <f t="shared" si="933"/>
        <v>10510000</v>
      </c>
      <c r="C4277" t="str">
        <f t="shared" si="934"/>
        <v>10510001</v>
      </c>
      <c r="D4277" t="str">
        <f t="shared" si="935"/>
        <v>802</v>
      </c>
      <c r="E4277" t="str">
        <f t="shared" si="937"/>
        <v>89301202</v>
      </c>
      <c r="F4277" t="str">
        <f>"8807094923"</f>
        <v>8807094923</v>
      </c>
      <c r="G4277" s="1">
        <v>44630</v>
      </c>
      <c r="H4277" t="str">
        <f>"82111"</f>
        <v>82111</v>
      </c>
      <c r="I4277">
        <v>1</v>
      </c>
      <c r="J4277">
        <v>36</v>
      </c>
      <c r="K4277">
        <v>0</v>
      </c>
      <c r="L4277">
        <v>32.76</v>
      </c>
    </row>
    <row r="4278" spans="1:12" x14ac:dyDescent="0.25">
      <c r="A4278" t="str">
        <f t="shared" si="928"/>
        <v>89301000</v>
      </c>
      <c r="B4278" t="str">
        <f t="shared" si="933"/>
        <v>10510000</v>
      </c>
      <c r="C4278" t="str">
        <f t="shared" si="934"/>
        <v>10510001</v>
      </c>
      <c r="D4278" t="str">
        <f t="shared" si="935"/>
        <v>802</v>
      </c>
      <c r="E4278" t="str">
        <f t="shared" si="937"/>
        <v>89301202</v>
      </c>
      <c r="F4278" t="str">
        <f>"8807094923"</f>
        <v>8807094923</v>
      </c>
      <c r="G4278" s="1">
        <v>44630</v>
      </c>
      <c r="H4278" t="str">
        <f>"82145"</f>
        <v>82145</v>
      </c>
      <c r="I4278">
        <v>6</v>
      </c>
      <c r="J4278">
        <v>342</v>
      </c>
      <c r="K4278">
        <v>0</v>
      </c>
      <c r="L4278">
        <v>311.22000000000003</v>
      </c>
    </row>
    <row r="4279" spans="1:12" x14ac:dyDescent="0.25">
      <c r="A4279" t="str">
        <f t="shared" si="928"/>
        <v>89301000</v>
      </c>
      <c r="B4279" t="str">
        <f t="shared" si="933"/>
        <v>10510000</v>
      </c>
      <c r="C4279" t="str">
        <f t="shared" si="934"/>
        <v>10510001</v>
      </c>
      <c r="D4279" t="str">
        <f t="shared" si="935"/>
        <v>802</v>
      </c>
      <c r="E4279" t="str">
        <f t="shared" si="937"/>
        <v>89301202</v>
      </c>
      <c r="F4279" t="str">
        <f>"8807094923"</f>
        <v>8807094923</v>
      </c>
      <c r="G4279" s="1">
        <v>44629</v>
      </c>
      <c r="H4279" t="str">
        <f>"97111"</f>
        <v>97111</v>
      </c>
      <c r="I4279">
        <v>1</v>
      </c>
      <c r="J4279">
        <v>18</v>
      </c>
      <c r="K4279">
        <v>0</v>
      </c>
      <c r="L4279">
        <v>16.38</v>
      </c>
    </row>
    <row r="4280" spans="1:12" x14ac:dyDescent="0.25">
      <c r="A4280" t="str">
        <f t="shared" si="928"/>
        <v>89301000</v>
      </c>
      <c r="B4280" t="str">
        <f t="shared" si="933"/>
        <v>10510000</v>
      </c>
      <c r="C4280" t="str">
        <f t="shared" si="934"/>
        <v>10510001</v>
      </c>
      <c r="D4280" t="str">
        <f t="shared" si="935"/>
        <v>802</v>
      </c>
      <c r="E4280" t="str">
        <f t="shared" si="937"/>
        <v>89301202</v>
      </c>
      <c r="F4280" t="str">
        <f>"8807094923"</f>
        <v>8807094923</v>
      </c>
      <c r="G4280" s="1">
        <v>44630</v>
      </c>
      <c r="H4280" t="str">
        <f>"82113"</f>
        <v>82113</v>
      </c>
      <c r="I4280">
        <v>1</v>
      </c>
      <c r="J4280">
        <v>362</v>
      </c>
      <c r="K4280">
        <v>0</v>
      </c>
      <c r="L4280">
        <v>329.42</v>
      </c>
    </row>
    <row r="4281" spans="1:12" x14ac:dyDescent="0.25">
      <c r="A4281" t="str">
        <f t="shared" si="928"/>
        <v>89301000</v>
      </c>
      <c r="B4281" t="str">
        <f t="shared" si="933"/>
        <v>10510000</v>
      </c>
      <c r="C4281" t="str">
        <f t="shared" si="934"/>
        <v>10510001</v>
      </c>
      <c r="D4281" t="str">
        <f t="shared" si="935"/>
        <v>802</v>
      </c>
      <c r="E4281" t="str">
        <f t="shared" si="937"/>
        <v>89301202</v>
      </c>
      <c r="F4281" t="str">
        <f t="shared" ref="F4281:F4287" si="938">"7754055001"</f>
        <v>7754055001</v>
      </c>
      <c r="G4281" s="1">
        <v>44635</v>
      </c>
      <c r="H4281" t="str">
        <f>"82113"</f>
        <v>82113</v>
      </c>
      <c r="I4281">
        <v>1</v>
      </c>
      <c r="J4281">
        <v>362</v>
      </c>
      <c r="K4281">
        <v>0</v>
      </c>
      <c r="L4281">
        <v>329.42</v>
      </c>
    </row>
    <row r="4282" spans="1:12" x14ac:dyDescent="0.25">
      <c r="A4282" t="str">
        <f t="shared" si="928"/>
        <v>89301000</v>
      </c>
      <c r="B4282" t="str">
        <f t="shared" si="933"/>
        <v>10510000</v>
      </c>
      <c r="C4282" t="str">
        <f t="shared" si="934"/>
        <v>10510001</v>
      </c>
      <c r="D4282" t="str">
        <f t="shared" si="935"/>
        <v>802</v>
      </c>
      <c r="E4282" t="str">
        <f t="shared" si="937"/>
        <v>89301202</v>
      </c>
      <c r="F4282" t="str">
        <f t="shared" si="938"/>
        <v>7754055001</v>
      </c>
      <c r="G4282" s="1">
        <v>44635</v>
      </c>
      <c r="H4282" t="str">
        <f>"82113"</f>
        <v>82113</v>
      </c>
      <c r="I4282">
        <v>1</v>
      </c>
      <c r="J4282">
        <v>362</v>
      </c>
      <c r="K4282">
        <v>0</v>
      </c>
      <c r="L4282">
        <v>329.42</v>
      </c>
    </row>
    <row r="4283" spans="1:12" x14ac:dyDescent="0.25">
      <c r="A4283" t="str">
        <f t="shared" si="928"/>
        <v>89301000</v>
      </c>
      <c r="B4283" t="str">
        <f t="shared" si="933"/>
        <v>10510000</v>
      </c>
      <c r="C4283" t="str">
        <f t="shared" si="934"/>
        <v>10510001</v>
      </c>
      <c r="D4283" t="str">
        <f t="shared" si="935"/>
        <v>802</v>
      </c>
      <c r="E4283" t="str">
        <f t="shared" si="937"/>
        <v>89301202</v>
      </c>
      <c r="F4283" t="str">
        <f t="shared" si="938"/>
        <v>7754055001</v>
      </c>
      <c r="G4283" s="1">
        <v>44636</v>
      </c>
      <c r="H4283" t="str">
        <f>"82075"</f>
        <v>82075</v>
      </c>
      <c r="I4283">
        <v>1</v>
      </c>
      <c r="J4283">
        <v>486</v>
      </c>
      <c r="K4283">
        <v>0</v>
      </c>
      <c r="L4283">
        <v>442.26</v>
      </c>
    </row>
    <row r="4284" spans="1:12" x14ac:dyDescent="0.25">
      <c r="A4284" t="str">
        <f t="shared" si="928"/>
        <v>89301000</v>
      </c>
      <c r="B4284" t="str">
        <f t="shared" si="933"/>
        <v>10510000</v>
      </c>
      <c r="C4284" t="str">
        <f t="shared" si="934"/>
        <v>10510001</v>
      </c>
      <c r="D4284" t="str">
        <f t="shared" si="935"/>
        <v>802</v>
      </c>
      <c r="E4284" t="str">
        <f t="shared" si="937"/>
        <v>89301202</v>
      </c>
      <c r="F4284" t="str">
        <f t="shared" si="938"/>
        <v>7754055001</v>
      </c>
      <c r="G4284" s="1">
        <v>44634</v>
      </c>
      <c r="H4284" t="str">
        <f>"97111"</f>
        <v>97111</v>
      </c>
      <c r="I4284">
        <v>1</v>
      </c>
      <c r="J4284">
        <v>18</v>
      </c>
      <c r="K4284">
        <v>0</v>
      </c>
      <c r="L4284">
        <v>16.38</v>
      </c>
    </row>
    <row r="4285" spans="1:12" x14ac:dyDescent="0.25">
      <c r="A4285" t="str">
        <f t="shared" si="928"/>
        <v>89301000</v>
      </c>
      <c r="B4285" t="str">
        <f t="shared" si="933"/>
        <v>10510000</v>
      </c>
      <c r="C4285" t="str">
        <f t="shared" si="934"/>
        <v>10510001</v>
      </c>
      <c r="D4285" t="str">
        <f t="shared" si="935"/>
        <v>802</v>
      </c>
      <c r="E4285" t="str">
        <f t="shared" si="937"/>
        <v>89301202</v>
      </c>
      <c r="F4285" t="str">
        <f t="shared" si="938"/>
        <v>7754055001</v>
      </c>
      <c r="G4285" s="1">
        <v>44635</v>
      </c>
      <c r="H4285" t="str">
        <f>"82111"</f>
        <v>82111</v>
      </c>
      <c r="I4285">
        <v>1</v>
      </c>
      <c r="J4285">
        <v>36</v>
      </c>
      <c r="K4285">
        <v>0</v>
      </c>
      <c r="L4285">
        <v>32.76</v>
      </c>
    </row>
    <row r="4286" spans="1:12" x14ac:dyDescent="0.25">
      <c r="A4286" t="str">
        <f t="shared" si="928"/>
        <v>89301000</v>
      </c>
      <c r="B4286" t="str">
        <f t="shared" si="933"/>
        <v>10510000</v>
      </c>
      <c r="C4286" t="str">
        <f t="shared" si="934"/>
        <v>10510001</v>
      </c>
      <c r="D4286" t="str">
        <f t="shared" si="935"/>
        <v>802</v>
      </c>
      <c r="E4286" t="str">
        <f t="shared" si="937"/>
        <v>89301202</v>
      </c>
      <c r="F4286" t="str">
        <f t="shared" si="938"/>
        <v>7754055001</v>
      </c>
      <c r="G4286" s="1">
        <v>44635</v>
      </c>
      <c r="H4286" t="str">
        <f>"82145"</f>
        <v>82145</v>
      </c>
      <c r="I4286">
        <v>1</v>
      </c>
      <c r="J4286">
        <v>57</v>
      </c>
      <c r="K4286">
        <v>0</v>
      </c>
      <c r="L4286">
        <v>51.87</v>
      </c>
    </row>
    <row r="4287" spans="1:12" x14ac:dyDescent="0.25">
      <c r="A4287" t="str">
        <f t="shared" si="928"/>
        <v>89301000</v>
      </c>
      <c r="B4287" t="str">
        <f t="shared" si="933"/>
        <v>10510000</v>
      </c>
      <c r="C4287" t="str">
        <f t="shared" si="934"/>
        <v>10510001</v>
      </c>
      <c r="D4287" t="str">
        <f t="shared" si="935"/>
        <v>802</v>
      </c>
      <c r="E4287" t="str">
        <f t="shared" si="937"/>
        <v>89301202</v>
      </c>
      <c r="F4287" t="str">
        <f t="shared" si="938"/>
        <v>7754055001</v>
      </c>
      <c r="G4287" s="1">
        <v>44635</v>
      </c>
      <c r="H4287" t="str">
        <f>"82079"</f>
        <v>82079</v>
      </c>
      <c r="I4287">
        <v>1</v>
      </c>
      <c r="J4287">
        <v>332</v>
      </c>
      <c r="K4287">
        <v>0</v>
      </c>
      <c r="L4287">
        <v>302.12</v>
      </c>
    </row>
    <row r="4288" spans="1:12" x14ac:dyDescent="0.25">
      <c r="A4288" t="str">
        <f t="shared" si="928"/>
        <v>89301000</v>
      </c>
      <c r="B4288" t="str">
        <f t="shared" si="933"/>
        <v>10510000</v>
      </c>
      <c r="C4288" t="str">
        <f t="shared" si="934"/>
        <v>10510001</v>
      </c>
      <c r="D4288" t="str">
        <f t="shared" si="935"/>
        <v>802</v>
      </c>
      <c r="E4288" t="str">
        <f t="shared" si="937"/>
        <v>89301202</v>
      </c>
      <c r="F4288" t="str">
        <f>"8208225311"</f>
        <v>8208225311</v>
      </c>
      <c r="G4288" s="1">
        <v>44651</v>
      </c>
      <c r="H4288" t="str">
        <f>"82113"</f>
        <v>82113</v>
      </c>
      <c r="I4288">
        <v>1</v>
      </c>
      <c r="J4288">
        <v>362</v>
      </c>
      <c r="K4288">
        <v>0</v>
      </c>
      <c r="L4288">
        <v>329.42</v>
      </c>
    </row>
    <row r="4289" spans="1:12" x14ac:dyDescent="0.25">
      <c r="A4289" t="str">
        <f t="shared" si="928"/>
        <v>89301000</v>
      </c>
      <c r="B4289" t="str">
        <f t="shared" si="933"/>
        <v>10510000</v>
      </c>
      <c r="C4289" t="str">
        <f t="shared" si="934"/>
        <v>10510001</v>
      </c>
      <c r="D4289" t="str">
        <f t="shared" si="935"/>
        <v>802</v>
      </c>
      <c r="E4289" t="str">
        <f t="shared" si="937"/>
        <v>89301202</v>
      </c>
      <c r="F4289" t="str">
        <f>"8208225311"</f>
        <v>8208225311</v>
      </c>
      <c r="G4289" s="1">
        <v>44650</v>
      </c>
      <c r="H4289" t="str">
        <f>"97111"</f>
        <v>97111</v>
      </c>
      <c r="I4289">
        <v>1</v>
      </c>
      <c r="J4289">
        <v>18</v>
      </c>
      <c r="K4289">
        <v>0</v>
      </c>
      <c r="L4289">
        <v>16.38</v>
      </c>
    </row>
    <row r="4290" spans="1:12" x14ac:dyDescent="0.25">
      <c r="A4290" t="str">
        <f t="shared" ref="A4290:A4353" si="939">"89301000"</f>
        <v>89301000</v>
      </c>
      <c r="B4290" t="str">
        <f t="shared" si="933"/>
        <v>10510000</v>
      </c>
      <c r="C4290" t="str">
        <f t="shared" si="934"/>
        <v>10510001</v>
      </c>
      <c r="D4290" t="str">
        <f t="shared" si="935"/>
        <v>802</v>
      </c>
      <c r="E4290" t="str">
        <f t="shared" si="937"/>
        <v>89301202</v>
      </c>
      <c r="F4290" t="str">
        <f>"8208225311"</f>
        <v>8208225311</v>
      </c>
      <c r="G4290" s="1">
        <v>44651</v>
      </c>
      <c r="H4290" t="str">
        <f>"82079"</f>
        <v>82079</v>
      </c>
      <c r="I4290">
        <v>1</v>
      </c>
      <c r="J4290">
        <v>332</v>
      </c>
      <c r="K4290">
        <v>0</v>
      </c>
      <c r="L4290">
        <v>302.12</v>
      </c>
    </row>
    <row r="4291" spans="1:12" x14ac:dyDescent="0.25">
      <c r="A4291" t="str">
        <f t="shared" si="939"/>
        <v>89301000</v>
      </c>
      <c r="B4291" t="str">
        <f t="shared" si="933"/>
        <v>10510000</v>
      </c>
      <c r="C4291" t="str">
        <f t="shared" si="934"/>
        <v>10510001</v>
      </c>
      <c r="D4291" t="str">
        <f t="shared" si="935"/>
        <v>802</v>
      </c>
      <c r="E4291" t="str">
        <f t="shared" si="937"/>
        <v>89301202</v>
      </c>
      <c r="F4291" t="str">
        <f>"8208225311"</f>
        <v>8208225311</v>
      </c>
      <c r="G4291" s="1">
        <v>44651</v>
      </c>
      <c r="H4291" t="str">
        <f>"82111"</f>
        <v>82111</v>
      </c>
      <c r="I4291">
        <v>1</v>
      </c>
      <c r="J4291">
        <v>36</v>
      </c>
      <c r="K4291">
        <v>0</v>
      </c>
      <c r="L4291">
        <v>32.76</v>
      </c>
    </row>
    <row r="4292" spans="1:12" x14ac:dyDescent="0.25">
      <c r="A4292" t="str">
        <f t="shared" si="939"/>
        <v>89301000</v>
      </c>
      <c r="B4292" t="str">
        <f t="shared" si="933"/>
        <v>10510000</v>
      </c>
      <c r="C4292" t="str">
        <f t="shared" si="934"/>
        <v>10510001</v>
      </c>
      <c r="D4292" t="str">
        <f t="shared" si="935"/>
        <v>802</v>
      </c>
      <c r="E4292" t="str">
        <f t="shared" si="937"/>
        <v>89301202</v>
      </c>
      <c r="F4292" t="str">
        <f>"8208225311"</f>
        <v>8208225311</v>
      </c>
      <c r="G4292" s="1">
        <v>44651</v>
      </c>
      <c r="H4292" t="str">
        <f>"82145"</f>
        <v>82145</v>
      </c>
      <c r="I4292">
        <v>1</v>
      </c>
      <c r="J4292">
        <v>57</v>
      </c>
      <c r="K4292">
        <v>0</v>
      </c>
      <c r="L4292">
        <v>51.87</v>
      </c>
    </row>
    <row r="4293" spans="1:12" x14ac:dyDescent="0.25">
      <c r="A4293" t="str">
        <f t="shared" si="939"/>
        <v>89301000</v>
      </c>
      <c r="B4293" t="str">
        <f>"74001000"</f>
        <v>74001000</v>
      </c>
      <c r="C4293" t="str">
        <f>"74001898"</f>
        <v>74001898</v>
      </c>
      <c r="D4293" t="str">
        <f t="shared" ref="D4293:D4304" si="940">"809"</f>
        <v>809</v>
      </c>
      <c r="E4293" t="str">
        <f>"89301032"</f>
        <v>89301032</v>
      </c>
      <c r="F4293" t="str">
        <f>"6009161532"</f>
        <v>6009161532</v>
      </c>
      <c r="G4293" s="1">
        <v>44655</v>
      </c>
      <c r="H4293" t="str">
        <f>"89615"</f>
        <v>89615</v>
      </c>
      <c r="I4293">
        <v>1</v>
      </c>
      <c r="J4293">
        <v>2170</v>
      </c>
      <c r="K4293">
        <v>0</v>
      </c>
      <c r="L4293">
        <v>1302</v>
      </c>
    </row>
    <row r="4294" spans="1:12" x14ac:dyDescent="0.25">
      <c r="A4294" t="str">
        <f t="shared" si="939"/>
        <v>89301000</v>
      </c>
      <c r="B4294" t="str">
        <f t="shared" ref="B4294:B4325" si="941">"78006000"</f>
        <v>78006000</v>
      </c>
      <c r="C4294" t="str">
        <f t="shared" ref="C4294:C4304" si="942">"78006231"</f>
        <v>78006231</v>
      </c>
      <c r="D4294" t="str">
        <f t="shared" si="940"/>
        <v>809</v>
      </c>
      <c r="E4294" t="str">
        <f>"89301112"</f>
        <v>89301112</v>
      </c>
      <c r="F4294" t="str">
        <f>"515604179"</f>
        <v>515604179</v>
      </c>
      <c r="G4294" s="1">
        <v>44657</v>
      </c>
      <c r="H4294" t="str">
        <f>"89615"</f>
        <v>89615</v>
      </c>
      <c r="I4294">
        <v>1</v>
      </c>
      <c r="J4294">
        <v>2170</v>
      </c>
      <c r="K4294">
        <v>0</v>
      </c>
      <c r="L4294">
        <v>1302</v>
      </c>
    </row>
    <row r="4295" spans="1:12" x14ac:dyDescent="0.25">
      <c r="A4295" t="str">
        <f t="shared" si="939"/>
        <v>89301000</v>
      </c>
      <c r="B4295" t="str">
        <f t="shared" si="941"/>
        <v>78006000</v>
      </c>
      <c r="C4295" t="str">
        <f t="shared" si="942"/>
        <v>78006231</v>
      </c>
      <c r="D4295" t="str">
        <f t="shared" si="940"/>
        <v>809</v>
      </c>
      <c r="E4295" t="str">
        <f>"89301132"</f>
        <v>89301132</v>
      </c>
      <c r="F4295" t="str">
        <f>"8755154914"</f>
        <v>8755154914</v>
      </c>
      <c r="G4295" s="1">
        <v>44678</v>
      </c>
      <c r="H4295" t="str">
        <f>"89615"</f>
        <v>89615</v>
      </c>
      <c r="I4295">
        <v>1</v>
      </c>
      <c r="J4295">
        <v>2170</v>
      </c>
      <c r="K4295">
        <v>0</v>
      </c>
      <c r="L4295">
        <v>1302</v>
      </c>
    </row>
    <row r="4296" spans="1:12" x14ac:dyDescent="0.25">
      <c r="A4296" t="str">
        <f t="shared" si="939"/>
        <v>89301000</v>
      </c>
      <c r="B4296" t="str">
        <f t="shared" si="941"/>
        <v>78006000</v>
      </c>
      <c r="C4296" t="str">
        <f t="shared" si="942"/>
        <v>78006231</v>
      </c>
      <c r="D4296" t="str">
        <f t="shared" si="940"/>
        <v>809</v>
      </c>
      <c r="E4296" t="str">
        <f t="shared" ref="E4296:E4301" si="943">"89301212"</f>
        <v>89301212</v>
      </c>
      <c r="F4296" t="str">
        <f>"5859161385"</f>
        <v>5859161385</v>
      </c>
      <c r="G4296" s="1">
        <v>44652</v>
      </c>
      <c r="H4296" t="str">
        <f>"89180"</f>
        <v>89180</v>
      </c>
      <c r="I4296">
        <v>1</v>
      </c>
      <c r="J4296">
        <v>376</v>
      </c>
      <c r="K4296">
        <v>0</v>
      </c>
      <c r="L4296">
        <v>526.4</v>
      </c>
    </row>
    <row r="4297" spans="1:12" x14ac:dyDescent="0.25">
      <c r="A4297" t="str">
        <f t="shared" si="939"/>
        <v>89301000</v>
      </c>
      <c r="B4297" t="str">
        <f t="shared" si="941"/>
        <v>78006000</v>
      </c>
      <c r="C4297" t="str">
        <f t="shared" si="942"/>
        <v>78006231</v>
      </c>
      <c r="D4297" t="str">
        <f t="shared" si="940"/>
        <v>809</v>
      </c>
      <c r="E4297" t="str">
        <f t="shared" si="943"/>
        <v>89301212</v>
      </c>
      <c r="F4297" t="str">
        <f>"515422191"</f>
        <v>515422191</v>
      </c>
      <c r="G4297" s="1">
        <v>44656</v>
      </c>
      <c r="H4297" t="str">
        <f>"89180"</f>
        <v>89180</v>
      </c>
      <c r="I4297">
        <v>2</v>
      </c>
      <c r="J4297">
        <v>752</v>
      </c>
      <c r="K4297">
        <v>0</v>
      </c>
      <c r="L4297">
        <v>1052.8</v>
      </c>
    </row>
    <row r="4298" spans="1:12" x14ac:dyDescent="0.25">
      <c r="A4298" t="str">
        <f t="shared" si="939"/>
        <v>89301000</v>
      </c>
      <c r="B4298" t="str">
        <f t="shared" si="941"/>
        <v>78006000</v>
      </c>
      <c r="C4298" t="str">
        <f t="shared" si="942"/>
        <v>78006231</v>
      </c>
      <c r="D4298" t="str">
        <f t="shared" si="940"/>
        <v>809</v>
      </c>
      <c r="E4298" t="str">
        <f t="shared" si="943"/>
        <v>89301212</v>
      </c>
      <c r="F4298" t="str">
        <f>"7561145350"</f>
        <v>7561145350</v>
      </c>
      <c r="G4298" s="1">
        <v>44665</v>
      </c>
      <c r="H4298" t="str">
        <f>"89180"</f>
        <v>89180</v>
      </c>
      <c r="I4298">
        <v>1</v>
      </c>
      <c r="J4298">
        <v>376</v>
      </c>
      <c r="K4298">
        <v>0</v>
      </c>
      <c r="L4298">
        <v>526.4</v>
      </c>
    </row>
    <row r="4299" spans="1:12" x14ac:dyDescent="0.25">
      <c r="A4299" t="str">
        <f t="shared" si="939"/>
        <v>89301000</v>
      </c>
      <c r="B4299" t="str">
        <f t="shared" si="941"/>
        <v>78006000</v>
      </c>
      <c r="C4299" t="str">
        <f t="shared" si="942"/>
        <v>78006231</v>
      </c>
      <c r="D4299" t="str">
        <f t="shared" si="940"/>
        <v>809</v>
      </c>
      <c r="E4299" t="str">
        <f t="shared" si="943"/>
        <v>89301212</v>
      </c>
      <c r="F4299" t="str">
        <f>"7561145350"</f>
        <v>7561145350</v>
      </c>
      <c r="G4299" s="1">
        <v>44665</v>
      </c>
      <c r="H4299" t="str">
        <f>"89512"</f>
        <v>89512</v>
      </c>
      <c r="I4299">
        <v>1</v>
      </c>
      <c r="J4299">
        <v>277</v>
      </c>
      <c r="K4299">
        <v>0</v>
      </c>
      <c r="L4299">
        <v>387.8</v>
      </c>
    </row>
    <row r="4300" spans="1:12" x14ac:dyDescent="0.25">
      <c r="A4300" t="str">
        <f t="shared" si="939"/>
        <v>89301000</v>
      </c>
      <c r="B4300" t="str">
        <f t="shared" si="941"/>
        <v>78006000</v>
      </c>
      <c r="C4300" t="str">
        <f t="shared" si="942"/>
        <v>78006231</v>
      </c>
      <c r="D4300" t="str">
        <f t="shared" si="940"/>
        <v>809</v>
      </c>
      <c r="E4300" t="str">
        <f t="shared" si="943"/>
        <v>89301212</v>
      </c>
      <c r="F4300" t="str">
        <f>"5859161385"</f>
        <v>5859161385</v>
      </c>
      <c r="G4300" s="1">
        <v>44652</v>
      </c>
      <c r="H4300" t="str">
        <f>"89513"</f>
        <v>89513</v>
      </c>
      <c r="I4300">
        <v>1</v>
      </c>
      <c r="J4300">
        <v>371</v>
      </c>
      <c r="K4300">
        <v>0</v>
      </c>
      <c r="L4300">
        <v>519.4</v>
      </c>
    </row>
    <row r="4301" spans="1:12" x14ac:dyDescent="0.25">
      <c r="A4301" t="str">
        <f t="shared" si="939"/>
        <v>89301000</v>
      </c>
      <c r="B4301" t="str">
        <f t="shared" si="941"/>
        <v>78006000</v>
      </c>
      <c r="C4301" t="str">
        <f t="shared" si="942"/>
        <v>78006231</v>
      </c>
      <c r="D4301" t="str">
        <f t="shared" si="940"/>
        <v>809</v>
      </c>
      <c r="E4301" t="str">
        <f t="shared" si="943"/>
        <v>89301212</v>
      </c>
      <c r="F4301" t="str">
        <f>"5859161385"</f>
        <v>5859161385</v>
      </c>
      <c r="G4301" s="1">
        <v>44652</v>
      </c>
      <c r="H4301" t="str">
        <f>"89514"</f>
        <v>89514</v>
      </c>
      <c r="I4301">
        <v>1</v>
      </c>
      <c r="J4301">
        <v>371</v>
      </c>
      <c r="K4301">
        <v>0</v>
      </c>
      <c r="L4301">
        <v>519.4</v>
      </c>
    </row>
    <row r="4302" spans="1:12" x14ac:dyDescent="0.25">
      <c r="A4302" t="str">
        <f t="shared" si="939"/>
        <v>89301000</v>
      </c>
      <c r="B4302" t="str">
        <f t="shared" si="941"/>
        <v>78006000</v>
      </c>
      <c r="C4302" t="str">
        <f t="shared" si="942"/>
        <v>78006231</v>
      </c>
      <c r="D4302" t="str">
        <f t="shared" si="940"/>
        <v>809</v>
      </c>
      <c r="E4302" t="str">
        <f>"89301062"</f>
        <v>89301062</v>
      </c>
      <c r="F4302" t="str">
        <f>"6710161975"</f>
        <v>6710161975</v>
      </c>
      <c r="G4302" s="1">
        <v>44662</v>
      </c>
      <c r="H4302" t="str">
        <f>"89119"</f>
        <v>89119</v>
      </c>
      <c r="I4302">
        <v>1</v>
      </c>
      <c r="J4302">
        <v>200</v>
      </c>
      <c r="K4302">
        <v>0</v>
      </c>
      <c r="L4302">
        <v>280</v>
      </c>
    </row>
    <row r="4303" spans="1:12" x14ac:dyDescent="0.25">
      <c r="A4303" t="str">
        <f t="shared" si="939"/>
        <v>89301000</v>
      </c>
      <c r="B4303" t="str">
        <f t="shared" si="941"/>
        <v>78006000</v>
      </c>
      <c r="C4303" t="str">
        <f t="shared" si="942"/>
        <v>78006231</v>
      </c>
      <c r="D4303" t="str">
        <f t="shared" si="940"/>
        <v>809</v>
      </c>
      <c r="E4303" t="str">
        <f>"89301062"</f>
        <v>89301062</v>
      </c>
      <c r="F4303" t="str">
        <f>"6710161975"</f>
        <v>6710161975</v>
      </c>
      <c r="G4303" s="1">
        <v>44662</v>
      </c>
      <c r="H4303" t="str">
        <f>"89119"</f>
        <v>89119</v>
      </c>
      <c r="I4303">
        <v>1</v>
      </c>
      <c r="J4303">
        <v>200</v>
      </c>
      <c r="K4303">
        <v>0</v>
      </c>
      <c r="L4303">
        <v>280</v>
      </c>
    </row>
    <row r="4304" spans="1:12" x14ac:dyDescent="0.25">
      <c r="A4304" t="str">
        <f t="shared" si="939"/>
        <v>89301000</v>
      </c>
      <c r="B4304" t="str">
        <f t="shared" si="941"/>
        <v>78006000</v>
      </c>
      <c r="C4304" t="str">
        <f t="shared" si="942"/>
        <v>78006231</v>
      </c>
      <c r="D4304" t="str">
        <f t="shared" si="940"/>
        <v>809</v>
      </c>
      <c r="E4304" t="str">
        <f>"89301212"</f>
        <v>89301212</v>
      </c>
      <c r="F4304" t="str">
        <f>"535528129"</f>
        <v>535528129</v>
      </c>
      <c r="G4304" s="1">
        <v>44658</v>
      </c>
      <c r="H4304" t="str">
        <f>"09135"</f>
        <v>09135</v>
      </c>
      <c r="I4304">
        <v>1</v>
      </c>
      <c r="J4304">
        <v>174</v>
      </c>
      <c r="K4304">
        <v>0</v>
      </c>
      <c r="L4304">
        <v>243.6</v>
      </c>
    </row>
    <row r="4305" spans="1:12" x14ac:dyDescent="0.25">
      <c r="A4305" t="str">
        <f t="shared" si="939"/>
        <v>89301000</v>
      </c>
      <c r="B4305" t="str">
        <f t="shared" si="941"/>
        <v>78006000</v>
      </c>
      <c r="C4305" t="str">
        <f t="shared" ref="C4305:C4314" si="944">"78006201"</f>
        <v>78006201</v>
      </c>
      <c r="D4305" t="str">
        <f t="shared" ref="D4305:D4314" si="945">"801"</f>
        <v>801</v>
      </c>
      <c r="E4305" t="str">
        <f t="shared" ref="E4305:E4314" si="946">"89301167"</f>
        <v>89301167</v>
      </c>
      <c r="F4305" t="str">
        <f t="shared" ref="F4305:F4314" si="947">"6459211253"</f>
        <v>6459211253</v>
      </c>
      <c r="G4305" s="1">
        <v>44655</v>
      </c>
      <c r="H4305" t="str">
        <f>"81329"</f>
        <v>81329</v>
      </c>
      <c r="I4305">
        <v>1</v>
      </c>
      <c r="J4305">
        <v>16</v>
      </c>
      <c r="K4305">
        <v>0</v>
      </c>
      <c r="L4305">
        <v>12.48</v>
      </c>
    </row>
    <row r="4306" spans="1:12" x14ac:dyDescent="0.25">
      <c r="A4306" t="str">
        <f t="shared" si="939"/>
        <v>89301000</v>
      </c>
      <c r="B4306" t="str">
        <f t="shared" si="941"/>
        <v>78006000</v>
      </c>
      <c r="C4306" t="str">
        <f t="shared" si="944"/>
        <v>78006201</v>
      </c>
      <c r="D4306" t="str">
        <f t="shared" si="945"/>
        <v>801</v>
      </c>
      <c r="E4306" t="str">
        <f t="shared" si="946"/>
        <v>89301167</v>
      </c>
      <c r="F4306" t="str">
        <f t="shared" si="947"/>
        <v>6459211253</v>
      </c>
      <c r="G4306" s="1">
        <v>44655</v>
      </c>
      <c r="H4306" t="str">
        <f>"81383"</f>
        <v>81383</v>
      </c>
      <c r="I4306">
        <v>1</v>
      </c>
      <c r="J4306">
        <v>23</v>
      </c>
      <c r="K4306">
        <v>0</v>
      </c>
      <c r="L4306">
        <v>17.940000000000001</v>
      </c>
    </row>
    <row r="4307" spans="1:12" x14ac:dyDescent="0.25">
      <c r="A4307" t="str">
        <f t="shared" si="939"/>
        <v>89301000</v>
      </c>
      <c r="B4307" t="str">
        <f t="shared" si="941"/>
        <v>78006000</v>
      </c>
      <c r="C4307" t="str">
        <f t="shared" si="944"/>
        <v>78006201</v>
      </c>
      <c r="D4307" t="str">
        <f t="shared" si="945"/>
        <v>801</v>
      </c>
      <c r="E4307" t="str">
        <f t="shared" si="946"/>
        <v>89301167</v>
      </c>
      <c r="F4307" t="str">
        <f t="shared" si="947"/>
        <v>6459211253</v>
      </c>
      <c r="G4307" s="1">
        <v>44655</v>
      </c>
      <c r="H4307" t="str">
        <f>"81625"</f>
        <v>81625</v>
      </c>
      <c r="I4307">
        <v>1</v>
      </c>
      <c r="J4307">
        <v>20</v>
      </c>
      <c r="K4307">
        <v>0</v>
      </c>
      <c r="L4307">
        <v>15.6</v>
      </c>
    </row>
    <row r="4308" spans="1:12" x14ac:dyDescent="0.25">
      <c r="A4308" t="str">
        <f t="shared" si="939"/>
        <v>89301000</v>
      </c>
      <c r="B4308" t="str">
        <f t="shared" si="941"/>
        <v>78006000</v>
      </c>
      <c r="C4308" t="str">
        <f t="shared" si="944"/>
        <v>78006201</v>
      </c>
      <c r="D4308" t="str">
        <f t="shared" si="945"/>
        <v>801</v>
      </c>
      <c r="E4308" t="str">
        <f t="shared" si="946"/>
        <v>89301167</v>
      </c>
      <c r="F4308" t="str">
        <f t="shared" si="947"/>
        <v>6459211253</v>
      </c>
      <c r="G4308" s="1">
        <v>44655</v>
      </c>
      <c r="H4308" t="str">
        <f>"97111"</f>
        <v>97111</v>
      </c>
      <c r="I4308">
        <v>1</v>
      </c>
      <c r="J4308">
        <v>18</v>
      </c>
      <c r="K4308">
        <v>0</v>
      </c>
      <c r="L4308">
        <v>14.04</v>
      </c>
    </row>
    <row r="4309" spans="1:12" x14ac:dyDescent="0.25">
      <c r="A4309" t="str">
        <f t="shared" si="939"/>
        <v>89301000</v>
      </c>
      <c r="B4309" t="str">
        <f t="shared" si="941"/>
        <v>78006000</v>
      </c>
      <c r="C4309" t="str">
        <f t="shared" si="944"/>
        <v>78006201</v>
      </c>
      <c r="D4309" t="str">
        <f t="shared" si="945"/>
        <v>801</v>
      </c>
      <c r="E4309" t="str">
        <f t="shared" si="946"/>
        <v>89301167</v>
      </c>
      <c r="F4309" t="str">
        <f t="shared" si="947"/>
        <v>6459211253</v>
      </c>
      <c r="G4309" s="1">
        <v>44669</v>
      </c>
      <c r="H4309" t="str">
        <f>"81329"</f>
        <v>81329</v>
      </c>
      <c r="I4309">
        <v>1</v>
      </c>
      <c r="J4309">
        <v>16</v>
      </c>
      <c r="K4309">
        <v>0</v>
      </c>
      <c r="L4309">
        <v>12.48</v>
      </c>
    </row>
    <row r="4310" spans="1:12" x14ac:dyDescent="0.25">
      <c r="A4310" t="str">
        <f t="shared" si="939"/>
        <v>89301000</v>
      </c>
      <c r="B4310" t="str">
        <f t="shared" si="941"/>
        <v>78006000</v>
      </c>
      <c r="C4310" t="str">
        <f t="shared" si="944"/>
        <v>78006201</v>
      </c>
      <c r="D4310" t="str">
        <f t="shared" si="945"/>
        <v>801</v>
      </c>
      <c r="E4310" t="str">
        <f t="shared" si="946"/>
        <v>89301167</v>
      </c>
      <c r="F4310" t="str">
        <f t="shared" si="947"/>
        <v>6459211253</v>
      </c>
      <c r="G4310" s="1">
        <v>44669</v>
      </c>
      <c r="H4310" t="str">
        <f>"81383"</f>
        <v>81383</v>
      </c>
      <c r="I4310">
        <v>1</v>
      </c>
      <c r="J4310">
        <v>23</v>
      </c>
      <c r="K4310">
        <v>0</v>
      </c>
      <c r="L4310">
        <v>17.940000000000001</v>
      </c>
    </row>
    <row r="4311" spans="1:12" x14ac:dyDescent="0.25">
      <c r="A4311" t="str">
        <f t="shared" si="939"/>
        <v>89301000</v>
      </c>
      <c r="B4311" t="str">
        <f t="shared" si="941"/>
        <v>78006000</v>
      </c>
      <c r="C4311" t="str">
        <f t="shared" si="944"/>
        <v>78006201</v>
      </c>
      <c r="D4311" t="str">
        <f t="shared" si="945"/>
        <v>801</v>
      </c>
      <c r="E4311" t="str">
        <f t="shared" si="946"/>
        <v>89301167</v>
      </c>
      <c r="F4311" t="str">
        <f t="shared" si="947"/>
        <v>6459211253</v>
      </c>
      <c r="G4311" s="1">
        <v>44669</v>
      </c>
      <c r="H4311" t="str">
        <f>"81495"</f>
        <v>81495</v>
      </c>
      <c r="I4311">
        <v>1</v>
      </c>
      <c r="J4311">
        <v>31</v>
      </c>
      <c r="K4311">
        <v>0</v>
      </c>
      <c r="L4311">
        <v>24.18</v>
      </c>
    </row>
    <row r="4312" spans="1:12" x14ac:dyDescent="0.25">
      <c r="A4312" t="str">
        <f t="shared" si="939"/>
        <v>89301000</v>
      </c>
      <c r="B4312" t="str">
        <f t="shared" si="941"/>
        <v>78006000</v>
      </c>
      <c r="C4312" t="str">
        <f t="shared" si="944"/>
        <v>78006201</v>
      </c>
      <c r="D4312" t="str">
        <f t="shared" si="945"/>
        <v>801</v>
      </c>
      <c r="E4312" t="str">
        <f t="shared" si="946"/>
        <v>89301167</v>
      </c>
      <c r="F4312" t="str">
        <f t="shared" si="947"/>
        <v>6459211253</v>
      </c>
      <c r="G4312" s="1">
        <v>44669</v>
      </c>
      <c r="H4312" t="str">
        <f>"81625"</f>
        <v>81625</v>
      </c>
      <c r="I4312">
        <v>1</v>
      </c>
      <c r="J4312">
        <v>20</v>
      </c>
      <c r="K4312">
        <v>0</v>
      </c>
      <c r="L4312">
        <v>15.6</v>
      </c>
    </row>
    <row r="4313" spans="1:12" x14ac:dyDescent="0.25">
      <c r="A4313" t="str">
        <f t="shared" si="939"/>
        <v>89301000</v>
      </c>
      <c r="B4313" t="str">
        <f t="shared" si="941"/>
        <v>78006000</v>
      </c>
      <c r="C4313" t="str">
        <f t="shared" si="944"/>
        <v>78006201</v>
      </c>
      <c r="D4313" t="str">
        <f t="shared" si="945"/>
        <v>801</v>
      </c>
      <c r="E4313" t="str">
        <f t="shared" si="946"/>
        <v>89301167</v>
      </c>
      <c r="F4313" t="str">
        <f t="shared" si="947"/>
        <v>6459211253</v>
      </c>
      <c r="G4313" s="1">
        <v>44669</v>
      </c>
      <c r="H4313" t="str">
        <f>"93135"</f>
        <v>93135</v>
      </c>
      <c r="I4313">
        <v>1</v>
      </c>
      <c r="J4313">
        <v>300</v>
      </c>
      <c r="K4313">
        <v>0</v>
      </c>
      <c r="L4313">
        <v>234</v>
      </c>
    </row>
    <row r="4314" spans="1:12" x14ac:dyDescent="0.25">
      <c r="A4314" t="str">
        <f t="shared" si="939"/>
        <v>89301000</v>
      </c>
      <c r="B4314" t="str">
        <f t="shared" si="941"/>
        <v>78006000</v>
      </c>
      <c r="C4314" t="str">
        <f t="shared" si="944"/>
        <v>78006201</v>
      </c>
      <c r="D4314" t="str">
        <f t="shared" si="945"/>
        <v>801</v>
      </c>
      <c r="E4314" t="str">
        <f t="shared" si="946"/>
        <v>89301167</v>
      </c>
      <c r="F4314" t="str">
        <f t="shared" si="947"/>
        <v>6459211253</v>
      </c>
      <c r="G4314" s="1">
        <v>44670</v>
      </c>
      <c r="H4314" t="str">
        <f>"97111"</f>
        <v>97111</v>
      </c>
      <c r="I4314">
        <v>1</v>
      </c>
      <c r="J4314">
        <v>18</v>
      </c>
      <c r="K4314">
        <v>0</v>
      </c>
      <c r="L4314">
        <v>14.04</v>
      </c>
    </row>
    <row r="4315" spans="1:12" x14ac:dyDescent="0.25">
      <c r="A4315" t="str">
        <f t="shared" si="939"/>
        <v>89301000</v>
      </c>
      <c r="B4315" t="str">
        <f t="shared" si="941"/>
        <v>78006000</v>
      </c>
      <c r="C4315" t="str">
        <f t="shared" ref="C4315:C4323" si="948">"78006207"</f>
        <v>78006207</v>
      </c>
      <c r="D4315" t="str">
        <f t="shared" ref="D4315:D4323" si="949">"813"</f>
        <v>813</v>
      </c>
      <c r="E4315" t="str">
        <f t="shared" ref="E4315:E4321" si="950">"89301171"</f>
        <v>89301171</v>
      </c>
      <c r="F4315" t="str">
        <f>"7853299388"</f>
        <v>7853299388</v>
      </c>
      <c r="G4315" s="1">
        <v>44672</v>
      </c>
      <c r="H4315" t="str">
        <f t="shared" ref="H4315:H4321" si="951">"91197"</f>
        <v>91197</v>
      </c>
      <c r="I4315">
        <v>6</v>
      </c>
      <c r="J4315">
        <v>6276</v>
      </c>
      <c r="K4315">
        <v>0</v>
      </c>
      <c r="L4315">
        <v>4895.28</v>
      </c>
    </row>
    <row r="4316" spans="1:12" x14ac:dyDescent="0.25">
      <c r="A4316" t="str">
        <f t="shared" si="939"/>
        <v>89301000</v>
      </c>
      <c r="B4316" t="str">
        <f t="shared" si="941"/>
        <v>78006000</v>
      </c>
      <c r="C4316" t="str">
        <f t="shared" si="948"/>
        <v>78006207</v>
      </c>
      <c r="D4316" t="str">
        <f t="shared" si="949"/>
        <v>813</v>
      </c>
      <c r="E4316" t="str">
        <f t="shared" si="950"/>
        <v>89301171</v>
      </c>
      <c r="F4316" t="str">
        <f>"8857145770"</f>
        <v>8857145770</v>
      </c>
      <c r="G4316" s="1">
        <v>44670</v>
      </c>
      <c r="H4316" t="str">
        <f t="shared" si="951"/>
        <v>91197</v>
      </c>
      <c r="I4316">
        <v>6</v>
      </c>
      <c r="J4316">
        <v>6276</v>
      </c>
      <c r="K4316">
        <v>0</v>
      </c>
      <c r="L4316">
        <v>4895.28</v>
      </c>
    </row>
    <row r="4317" spans="1:12" x14ac:dyDescent="0.25">
      <c r="A4317" t="str">
        <f t="shared" si="939"/>
        <v>89301000</v>
      </c>
      <c r="B4317" t="str">
        <f t="shared" si="941"/>
        <v>78006000</v>
      </c>
      <c r="C4317" t="str">
        <f t="shared" si="948"/>
        <v>78006207</v>
      </c>
      <c r="D4317" t="str">
        <f t="shared" si="949"/>
        <v>813</v>
      </c>
      <c r="E4317" t="str">
        <f t="shared" si="950"/>
        <v>89301171</v>
      </c>
      <c r="F4317" t="str">
        <f>"5552180920"</f>
        <v>5552180920</v>
      </c>
      <c r="G4317" s="1">
        <v>44670</v>
      </c>
      <c r="H4317" t="str">
        <f t="shared" si="951"/>
        <v>91197</v>
      </c>
      <c r="I4317">
        <v>6</v>
      </c>
      <c r="J4317">
        <v>6276</v>
      </c>
      <c r="K4317">
        <v>0</v>
      </c>
      <c r="L4317">
        <v>4895.28</v>
      </c>
    </row>
    <row r="4318" spans="1:12" x14ac:dyDescent="0.25">
      <c r="A4318" t="str">
        <f t="shared" si="939"/>
        <v>89301000</v>
      </c>
      <c r="B4318" t="str">
        <f t="shared" si="941"/>
        <v>78006000</v>
      </c>
      <c r="C4318" t="str">
        <f t="shared" si="948"/>
        <v>78006207</v>
      </c>
      <c r="D4318" t="str">
        <f t="shared" si="949"/>
        <v>813</v>
      </c>
      <c r="E4318" t="str">
        <f t="shared" si="950"/>
        <v>89301171</v>
      </c>
      <c r="F4318" t="str">
        <f>"7057025360"</f>
        <v>7057025360</v>
      </c>
      <c r="G4318" s="1">
        <v>44670</v>
      </c>
      <c r="H4318" t="str">
        <f t="shared" si="951"/>
        <v>91197</v>
      </c>
      <c r="I4318">
        <v>6</v>
      </c>
      <c r="J4318">
        <v>6276</v>
      </c>
      <c r="K4318">
        <v>0</v>
      </c>
      <c r="L4318">
        <v>4895.28</v>
      </c>
    </row>
    <row r="4319" spans="1:12" x14ac:dyDescent="0.25">
      <c r="A4319" t="str">
        <f t="shared" si="939"/>
        <v>89301000</v>
      </c>
      <c r="B4319" t="str">
        <f t="shared" si="941"/>
        <v>78006000</v>
      </c>
      <c r="C4319" t="str">
        <f t="shared" si="948"/>
        <v>78006207</v>
      </c>
      <c r="D4319" t="str">
        <f t="shared" si="949"/>
        <v>813</v>
      </c>
      <c r="E4319" t="str">
        <f t="shared" si="950"/>
        <v>89301171</v>
      </c>
      <c r="F4319" t="str">
        <f>"8356184463"</f>
        <v>8356184463</v>
      </c>
      <c r="G4319" s="1">
        <v>44658</v>
      </c>
      <c r="H4319" t="str">
        <f t="shared" si="951"/>
        <v>91197</v>
      </c>
      <c r="I4319">
        <v>6</v>
      </c>
      <c r="J4319">
        <v>6276</v>
      </c>
      <c r="K4319">
        <v>0</v>
      </c>
      <c r="L4319">
        <v>4895.28</v>
      </c>
    </row>
    <row r="4320" spans="1:12" x14ac:dyDescent="0.25">
      <c r="A4320" t="str">
        <f t="shared" si="939"/>
        <v>89301000</v>
      </c>
      <c r="B4320" t="str">
        <f t="shared" si="941"/>
        <v>78006000</v>
      </c>
      <c r="C4320" t="str">
        <f t="shared" si="948"/>
        <v>78006207</v>
      </c>
      <c r="D4320" t="str">
        <f t="shared" si="949"/>
        <v>813</v>
      </c>
      <c r="E4320" t="str">
        <f t="shared" si="950"/>
        <v>89301171</v>
      </c>
      <c r="F4320" t="str">
        <f>"5852221397"</f>
        <v>5852221397</v>
      </c>
      <c r="G4320" s="1">
        <v>44672</v>
      </c>
      <c r="H4320" t="str">
        <f t="shared" si="951"/>
        <v>91197</v>
      </c>
      <c r="I4320">
        <v>6</v>
      </c>
      <c r="J4320">
        <v>6276</v>
      </c>
      <c r="K4320">
        <v>0</v>
      </c>
      <c r="L4320">
        <v>4895.28</v>
      </c>
    </row>
    <row r="4321" spans="1:12" x14ac:dyDescent="0.25">
      <c r="A4321" t="str">
        <f t="shared" si="939"/>
        <v>89301000</v>
      </c>
      <c r="B4321" t="str">
        <f t="shared" si="941"/>
        <v>78006000</v>
      </c>
      <c r="C4321" t="str">
        <f t="shared" si="948"/>
        <v>78006207</v>
      </c>
      <c r="D4321" t="str">
        <f t="shared" si="949"/>
        <v>813</v>
      </c>
      <c r="E4321" t="str">
        <f t="shared" si="950"/>
        <v>89301171</v>
      </c>
      <c r="F4321" t="str">
        <f>"5655290476"</f>
        <v>5655290476</v>
      </c>
      <c r="G4321" s="1">
        <v>44672</v>
      </c>
      <c r="H4321" t="str">
        <f t="shared" si="951"/>
        <v>91197</v>
      </c>
      <c r="I4321">
        <v>6</v>
      </c>
      <c r="J4321">
        <v>6276</v>
      </c>
      <c r="K4321">
        <v>0</v>
      </c>
      <c r="L4321">
        <v>4895.28</v>
      </c>
    </row>
    <row r="4322" spans="1:12" x14ac:dyDescent="0.25">
      <c r="A4322" t="str">
        <f t="shared" si="939"/>
        <v>89301000</v>
      </c>
      <c r="B4322" t="str">
        <f t="shared" si="941"/>
        <v>78006000</v>
      </c>
      <c r="C4322" t="str">
        <f t="shared" si="948"/>
        <v>78006207</v>
      </c>
      <c r="D4322" t="str">
        <f t="shared" si="949"/>
        <v>813</v>
      </c>
      <c r="E4322" t="str">
        <f>"89301167"</f>
        <v>89301167</v>
      </c>
      <c r="F4322" t="str">
        <f>"6459211253"</f>
        <v>6459211253</v>
      </c>
      <c r="G4322" s="1">
        <v>44655</v>
      </c>
      <c r="H4322" t="str">
        <f>"91153"</f>
        <v>91153</v>
      </c>
      <c r="I4322">
        <v>1</v>
      </c>
      <c r="J4322">
        <v>152</v>
      </c>
      <c r="K4322">
        <v>0</v>
      </c>
      <c r="L4322">
        <v>118.56</v>
      </c>
    </row>
    <row r="4323" spans="1:12" x14ac:dyDescent="0.25">
      <c r="A4323" t="str">
        <f t="shared" si="939"/>
        <v>89301000</v>
      </c>
      <c r="B4323" t="str">
        <f t="shared" si="941"/>
        <v>78006000</v>
      </c>
      <c r="C4323" t="str">
        <f t="shared" si="948"/>
        <v>78006207</v>
      </c>
      <c r="D4323" t="str">
        <f t="shared" si="949"/>
        <v>813</v>
      </c>
      <c r="E4323" t="str">
        <f>"89301167"</f>
        <v>89301167</v>
      </c>
      <c r="F4323" t="str">
        <f>"6459211253"</f>
        <v>6459211253</v>
      </c>
      <c r="G4323" s="1">
        <v>44669</v>
      </c>
      <c r="H4323" t="str">
        <f>"91153"</f>
        <v>91153</v>
      </c>
      <c r="I4323">
        <v>1</v>
      </c>
      <c r="J4323">
        <v>152</v>
      </c>
      <c r="K4323">
        <v>0</v>
      </c>
      <c r="L4323">
        <v>118.56</v>
      </c>
    </row>
    <row r="4324" spans="1:12" x14ac:dyDescent="0.25">
      <c r="A4324" t="str">
        <f t="shared" si="939"/>
        <v>89301000</v>
      </c>
      <c r="B4324" t="str">
        <f t="shared" si="941"/>
        <v>78006000</v>
      </c>
      <c r="C4324" t="str">
        <f t="shared" ref="C4324:C4329" si="952">"78006233"</f>
        <v>78006233</v>
      </c>
      <c r="D4324" t="str">
        <f t="shared" ref="D4324:D4329" si="953">"810"</f>
        <v>810</v>
      </c>
      <c r="E4324" t="str">
        <f>"89301062"</f>
        <v>89301062</v>
      </c>
      <c r="F4324" t="str">
        <f>"6852241935"</f>
        <v>6852241935</v>
      </c>
      <c r="G4324" s="1">
        <v>44657</v>
      </c>
      <c r="H4324" t="str">
        <f>"89713"</f>
        <v>89713</v>
      </c>
      <c r="I4324">
        <v>1</v>
      </c>
      <c r="J4324">
        <v>5362</v>
      </c>
      <c r="K4324">
        <v>0</v>
      </c>
      <c r="L4324">
        <v>3217.2</v>
      </c>
    </row>
    <row r="4325" spans="1:12" x14ac:dyDescent="0.25">
      <c r="A4325" t="str">
        <f t="shared" si="939"/>
        <v>89301000</v>
      </c>
      <c r="B4325" t="str">
        <f t="shared" si="941"/>
        <v>78006000</v>
      </c>
      <c r="C4325" t="str">
        <f t="shared" si="952"/>
        <v>78006233</v>
      </c>
      <c r="D4325" t="str">
        <f t="shared" si="953"/>
        <v>810</v>
      </c>
      <c r="E4325" t="str">
        <f>"89301062"</f>
        <v>89301062</v>
      </c>
      <c r="F4325" t="str">
        <f>"6852241935"</f>
        <v>6852241935</v>
      </c>
      <c r="G4325" s="1">
        <v>44657</v>
      </c>
      <c r="H4325" t="str">
        <f>"89725"</f>
        <v>89725</v>
      </c>
      <c r="I4325">
        <v>1</v>
      </c>
      <c r="J4325">
        <v>2839</v>
      </c>
      <c r="K4325">
        <v>0</v>
      </c>
      <c r="L4325">
        <v>1703.4</v>
      </c>
    </row>
    <row r="4326" spans="1:12" x14ac:dyDescent="0.25">
      <c r="A4326" t="str">
        <f t="shared" si="939"/>
        <v>89301000</v>
      </c>
      <c r="B4326" t="str">
        <f t="shared" ref="B4326:B4351" si="954">"78006000"</f>
        <v>78006000</v>
      </c>
      <c r="C4326" t="str">
        <f t="shared" si="952"/>
        <v>78006233</v>
      </c>
      <c r="D4326" t="str">
        <f t="shared" si="953"/>
        <v>810</v>
      </c>
      <c r="E4326" t="str">
        <f>"89301061"</f>
        <v>89301061</v>
      </c>
      <c r="F4326" t="str">
        <f>"7901294467"</f>
        <v>7901294467</v>
      </c>
      <c r="G4326" s="1">
        <v>44665</v>
      </c>
      <c r="H4326" t="str">
        <f>"89713"</f>
        <v>89713</v>
      </c>
      <c r="I4326">
        <v>1</v>
      </c>
      <c r="J4326">
        <v>5362</v>
      </c>
      <c r="K4326">
        <v>0</v>
      </c>
      <c r="L4326">
        <v>3217.2</v>
      </c>
    </row>
    <row r="4327" spans="1:12" x14ac:dyDescent="0.25">
      <c r="A4327" t="str">
        <f t="shared" si="939"/>
        <v>89301000</v>
      </c>
      <c r="B4327" t="str">
        <f t="shared" si="954"/>
        <v>78006000</v>
      </c>
      <c r="C4327" t="str">
        <f t="shared" si="952"/>
        <v>78006233</v>
      </c>
      <c r="D4327" t="str">
        <f t="shared" si="953"/>
        <v>810</v>
      </c>
      <c r="E4327" t="str">
        <f>"89301061"</f>
        <v>89301061</v>
      </c>
      <c r="F4327" t="str">
        <f>"7901294467"</f>
        <v>7901294467</v>
      </c>
      <c r="G4327" s="1">
        <v>44665</v>
      </c>
      <c r="H4327" t="str">
        <f>"89725"</f>
        <v>89725</v>
      </c>
      <c r="I4327">
        <v>1</v>
      </c>
      <c r="J4327">
        <v>2839</v>
      </c>
      <c r="K4327">
        <v>0</v>
      </c>
      <c r="L4327">
        <v>1703.4</v>
      </c>
    </row>
    <row r="4328" spans="1:12" x14ac:dyDescent="0.25">
      <c r="A4328" t="str">
        <f t="shared" si="939"/>
        <v>89301000</v>
      </c>
      <c r="B4328" t="str">
        <f t="shared" si="954"/>
        <v>78006000</v>
      </c>
      <c r="C4328" t="str">
        <f t="shared" si="952"/>
        <v>78006233</v>
      </c>
      <c r="D4328" t="str">
        <f t="shared" si="953"/>
        <v>810</v>
      </c>
      <c r="E4328" t="str">
        <f>"89301172"</f>
        <v>89301172</v>
      </c>
      <c r="F4328" t="str">
        <f>"6356150493"</f>
        <v>6356150493</v>
      </c>
      <c r="G4328" s="1">
        <v>44673</v>
      </c>
      <c r="H4328" t="str">
        <f>"89713"</f>
        <v>89713</v>
      </c>
      <c r="I4328">
        <v>1</v>
      </c>
      <c r="J4328">
        <v>5362</v>
      </c>
      <c r="K4328">
        <v>0</v>
      </c>
      <c r="L4328">
        <v>3217.2</v>
      </c>
    </row>
    <row r="4329" spans="1:12" x14ac:dyDescent="0.25">
      <c r="A4329" t="str">
        <f t="shared" si="939"/>
        <v>89301000</v>
      </c>
      <c r="B4329" t="str">
        <f t="shared" si="954"/>
        <v>78006000</v>
      </c>
      <c r="C4329" t="str">
        <f t="shared" si="952"/>
        <v>78006233</v>
      </c>
      <c r="D4329" t="str">
        <f t="shared" si="953"/>
        <v>810</v>
      </c>
      <c r="E4329" t="str">
        <f>"89301172"</f>
        <v>89301172</v>
      </c>
      <c r="F4329" t="str">
        <f>"6356150493"</f>
        <v>6356150493</v>
      </c>
      <c r="G4329" s="1">
        <v>44673</v>
      </c>
      <c r="H4329" t="str">
        <f>"89725"</f>
        <v>89725</v>
      </c>
      <c r="I4329">
        <v>1</v>
      </c>
      <c r="J4329">
        <v>2839</v>
      </c>
      <c r="K4329">
        <v>0</v>
      </c>
      <c r="L4329">
        <v>1703.4</v>
      </c>
    </row>
    <row r="4330" spans="1:12" x14ac:dyDescent="0.25">
      <c r="A4330" t="str">
        <f t="shared" si="939"/>
        <v>89301000</v>
      </c>
      <c r="B4330" t="str">
        <f t="shared" si="954"/>
        <v>78006000</v>
      </c>
      <c r="C4330" t="str">
        <f t="shared" ref="C4330:C4335" si="955">"78006205"</f>
        <v>78006205</v>
      </c>
      <c r="D4330" t="str">
        <f t="shared" ref="D4330:D4335" si="956">"818"</f>
        <v>818</v>
      </c>
      <c r="E4330" t="str">
        <f t="shared" ref="E4330:E4335" si="957">"89301167"</f>
        <v>89301167</v>
      </c>
      <c r="F4330" t="str">
        <f t="shared" ref="F4330:F4335" si="958">"6459211253"</f>
        <v>6459211253</v>
      </c>
      <c r="G4330" s="1">
        <v>44669</v>
      </c>
      <c r="H4330" t="str">
        <f>"96167"</f>
        <v>96167</v>
      </c>
      <c r="I4330">
        <v>1</v>
      </c>
      <c r="J4330">
        <v>67</v>
      </c>
      <c r="K4330">
        <v>0</v>
      </c>
      <c r="L4330">
        <v>60.97</v>
      </c>
    </row>
    <row r="4331" spans="1:12" x14ac:dyDescent="0.25">
      <c r="A4331" t="str">
        <f t="shared" si="939"/>
        <v>89301000</v>
      </c>
      <c r="B4331" t="str">
        <f t="shared" si="954"/>
        <v>78006000</v>
      </c>
      <c r="C4331" t="str">
        <f t="shared" si="955"/>
        <v>78006205</v>
      </c>
      <c r="D4331" t="str">
        <f t="shared" si="956"/>
        <v>818</v>
      </c>
      <c r="E4331" t="str">
        <f t="shared" si="957"/>
        <v>89301167</v>
      </c>
      <c r="F4331" t="str">
        <f t="shared" si="958"/>
        <v>6459211253</v>
      </c>
      <c r="G4331" s="1">
        <v>44669</v>
      </c>
      <c r="H4331" t="str">
        <f>"96315"</f>
        <v>96315</v>
      </c>
      <c r="I4331">
        <v>1</v>
      </c>
      <c r="J4331">
        <v>29</v>
      </c>
      <c r="K4331">
        <v>0</v>
      </c>
      <c r="L4331">
        <v>26.39</v>
      </c>
    </row>
    <row r="4332" spans="1:12" x14ac:dyDescent="0.25">
      <c r="A4332" t="str">
        <f t="shared" si="939"/>
        <v>89301000</v>
      </c>
      <c r="B4332" t="str">
        <f t="shared" si="954"/>
        <v>78006000</v>
      </c>
      <c r="C4332" t="str">
        <f t="shared" si="955"/>
        <v>78006205</v>
      </c>
      <c r="D4332" t="str">
        <f t="shared" si="956"/>
        <v>818</v>
      </c>
      <c r="E4332" t="str">
        <f t="shared" si="957"/>
        <v>89301167</v>
      </c>
      <c r="F4332" t="str">
        <f t="shared" si="958"/>
        <v>6459211253</v>
      </c>
      <c r="G4332" s="1">
        <v>44669</v>
      </c>
      <c r="H4332" t="str">
        <f>"96711"</f>
        <v>96711</v>
      </c>
      <c r="I4332">
        <v>1</v>
      </c>
      <c r="J4332">
        <v>27</v>
      </c>
      <c r="K4332">
        <v>0</v>
      </c>
      <c r="L4332">
        <v>24.57</v>
      </c>
    </row>
    <row r="4333" spans="1:12" x14ac:dyDescent="0.25">
      <c r="A4333" t="str">
        <f t="shared" si="939"/>
        <v>89301000</v>
      </c>
      <c r="B4333" t="str">
        <f t="shared" si="954"/>
        <v>78006000</v>
      </c>
      <c r="C4333" t="str">
        <f t="shared" si="955"/>
        <v>78006205</v>
      </c>
      <c r="D4333" t="str">
        <f t="shared" si="956"/>
        <v>818</v>
      </c>
      <c r="E4333" t="str">
        <f t="shared" si="957"/>
        <v>89301167</v>
      </c>
      <c r="F4333" t="str">
        <f t="shared" si="958"/>
        <v>6459211253</v>
      </c>
      <c r="G4333" s="1">
        <v>44655</v>
      </c>
      <c r="H4333" t="str">
        <f>"96167"</f>
        <v>96167</v>
      </c>
      <c r="I4333">
        <v>1</v>
      </c>
      <c r="J4333">
        <v>67</v>
      </c>
      <c r="K4333">
        <v>0</v>
      </c>
      <c r="L4333">
        <v>60.97</v>
      </c>
    </row>
    <row r="4334" spans="1:12" x14ac:dyDescent="0.25">
      <c r="A4334" t="str">
        <f t="shared" si="939"/>
        <v>89301000</v>
      </c>
      <c r="B4334" t="str">
        <f t="shared" si="954"/>
        <v>78006000</v>
      </c>
      <c r="C4334" t="str">
        <f t="shared" si="955"/>
        <v>78006205</v>
      </c>
      <c r="D4334" t="str">
        <f t="shared" si="956"/>
        <v>818</v>
      </c>
      <c r="E4334" t="str">
        <f t="shared" si="957"/>
        <v>89301167</v>
      </c>
      <c r="F4334" t="str">
        <f t="shared" si="958"/>
        <v>6459211253</v>
      </c>
      <c r="G4334" s="1">
        <v>44655</v>
      </c>
      <c r="H4334" t="str">
        <f>"96315"</f>
        <v>96315</v>
      </c>
      <c r="I4334">
        <v>1</v>
      </c>
      <c r="J4334">
        <v>29</v>
      </c>
      <c r="K4334">
        <v>0</v>
      </c>
      <c r="L4334">
        <v>26.39</v>
      </c>
    </row>
    <row r="4335" spans="1:12" x14ac:dyDescent="0.25">
      <c r="A4335" t="str">
        <f t="shared" si="939"/>
        <v>89301000</v>
      </c>
      <c r="B4335" t="str">
        <f t="shared" si="954"/>
        <v>78006000</v>
      </c>
      <c r="C4335" t="str">
        <f t="shared" si="955"/>
        <v>78006205</v>
      </c>
      <c r="D4335" t="str">
        <f t="shared" si="956"/>
        <v>818</v>
      </c>
      <c r="E4335" t="str">
        <f t="shared" si="957"/>
        <v>89301167</v>
      </c>
      <c r="F4335" t="str">
        <f t="shared" si="958"/>
        <v>6459211253</v>
      </c>
      <c r="G4335" s="1">
        <v>44655</v>
      </c>
      <c r="H4335" t="str">
        <f>"96711"</f>
        <v>96711</v>
      </c>
      <c r="I4335">
        <v>1</v>
      </c>
      <c r="J4335">
        <v>27</v>
      </c>
      <c r="K4335">
        <v>0</v>
      </c>
      <c r="L4335">
        <v>24.57</v>
      </c>
    </row>
    <row r="4336" spans="1:12" x14ac:dyDescent="0.25">
      <c r="A4336" t="str">
        <f t="shared" si="939"/>
        <v>89301000</v>
      </c>
      <c r="B4336" t="str">
        <f t="shared" si="954"/>
        <v>78006000</v>
      </c>
      <c r="C4336" t="str">
        <f t="shared" ref="C4336:C4344" si="959">"78006201"</f>
        <v>78006201</v>
      </c>
      <c r="D4336" t="str">
        <f t="shared" ref="D4336:D4344" si="960">"801"</f>
        <v>801</v>
      </c>
      <c r="E4336" t="str">
        <f>"89301101"</f>
        <v>89301101</v>
      </c>
      <c r="F4336" t="str">
        <f>"0558063286"</f>
        <v>0558063286</v>
      </c>
      <c r="G4336" s="1">
        <v>44658</v>
      </c>
      <c r="H4336" t="str">
        <f>"81581"</f>
        <v>81581</v>
      </c>
      <c r="I4336">
        <v>1</v>
      </c>
      <c r="J4336">
        <v>37</v>
      </c>
      <c r="K4336">
        <v>0</v>
      </c>
      <c r="L4336">
        <v>28.86</v>
      </c>
    </row>
    <row r="4337" spans="1:12" x14ac:dyDescent="0.25">
      <c r="A4337" t="str">
        <f t="shared" si="939"/>
        <v>89301000</v>
      </c>
      <c r="B4337" t="str">
        <f t="shared" si="954"/>
        <v>78006000</v>
      </c>
      <c r="C4337" t="str">
        <f t="shared" si="959"/>
        <v>78006201</v>
      </c>
      <c r="D4337" t="str">
        <f t="shared" si="960"/>
        <v>801</v>
      </c>
      <c r="E4337" t="str">
        <f>"89301171"</f>
        <v>89301171</v>
      </c>
      <c r="F4337" t="str">
        <f>"7853299388"</f>
        <v>7853299388</v>
      </c>
      <c r="G4337" s="1">
        <v>44658</v>
      </c>
      <c r="H4337" t="str">
        <f>"81703"</f>
        <v>81703</v>
      </c>
      <c r="I4337">
        <v>2</v>
      </c>
      <c r="J4337">
        <v>556</v>
      </c>
      <c r="K4337">
        <v>0</v>
      </c>
      <c r="L4337">
        <v>433.68</v>
      </c>
    </row>
    <row r="4338" spans="1:12" x14ac:dyDescent="0.25">
      <c r="A4338" t="str">
        <f t="shared" si="939"/>
        <v>89301000</v>
      </c>
      <c r="B4338" t="str">
        <f t="shared" si="954"/>
        <v>78006000</v>
      </c>
      <c r="C4338" t="str">
        <f t="shared" si="959"/>
        <v>78006201</v>
      </c>
      <c r="D4338" t="str">
        <f t="shared" si="960"/>
        <v>801</v>
      </c>
      <c r="E4338" t="str">
        <f>"89301171"</f>
        <v>89301171</v>
      </c>
      <c r="F4338" t="str">
        <f>"5504167196"</f>
        <v>5504167196</v>
      </c>
      <c r="G4338" s="1">
        <v>44678</v>
      </c>
      <c r="H4338" t="str">
        <f>"81703"</f>
        <v>81703</v>
      </c>
      <c r="I4338">
        <v>2</v>
      </c>
      <c r="J4338">
        <v>556</v>
      </c>
      <c r="K4338">
        <v>0</v>
      </c>
      <c r="L4338">
        <v>433.68</v>
      </c>
    </row>
    <row r="4339" spans="1:12" x14ac:dyDescent="0.25">
      <c r="A4339" t="str">
        <f t="shared" si="939"/>
        <v>89301000</v>
      </c>
      <c r="B4339" t="str">
        <f t="shared" si="954"/>
        <v>78006000</v>
      </c>
      <c r="C4339" t="str">
        <f t="shared" si="959"/>
        <v>78006201</v>
      </c>
      <c r="D4339" t="str">
        <f t="shared" si="960"/>
        <v>801</v>
      </c>
      <c r="E4339" t="str">
        <f>"89301171"</f>
        <v>89301171</v>
      </c>
      <c r="F4339" t="str">
        <f>"5852221397"</f>
        <v>5852221397</v>
      </c>
      <c r="G4339" s="1">
        <v>44662</v>
      </c>
      <c r="H4339" t="str">
        <f>"81703"</f>
        <v>81703</v>
      </c>
      <c r="I4339">
        <v>2</v>
      </c>
      <c r="J4339">
        <v>556</v>
      </c>
      <c r="K4339">
        <v>0</v>
      </c>
      <c r="L4339">
        <v>433.68</v>
      </c>
    </row>
    <row r="4340" spans="1:12" x14ac:dyDescent="0.25">
      <c r="A4340" t="str">
        <f t="shared" si="939"/>
        <v>89301000</v>
      </c>
      <c r="B4340" t="str">
        <f t="shared" si="954"/>
        <v>78006000</v>
      </c>
      <c r="C4340" t="str">
        <f t="shared" si="959"/>
        <v>78006201</v>
      </c>
      <c r="D4340" t="str">
        <f t="shared" si="960"/>
        <v>801</v>
      </c>
      <c r="E4340" t="str">
        <f>"89301171"</f>
        <v>89301171</v>
      </c>
      <c r="F4340" t="str">
        <f>"5655290476"</f>
        <v>5655290476</v>
      </c>
      <c r="G4340" s="1">
        <v>44658</v>
      </c>
      <c r="H4340" t="str">
        <f>"81703"</f>
        <v>81703</v>
      </c>
      <c r="I4340">
        <v>2</v>
      </c>
      <c r="J4340">
        <v>556</v>
      </c>
      <c r="K4340">
        <v>0</v>
      </c>
      <c r="L4340">
        <v>433.68</v>
      </c>
    </row>
    <row r="4341" spans="1:12" x14ac:dyDescent="0.25">
      <c r="A4341" t="str">
        <f t="shared" si="939"/>
        <v>89301000</v>
      </c>
      <c r="B4341" t="str">
        <f t="shared" si="954"/>
        <v>78006000</v>
      </c>
      <c r="C4341" t="str">
        <f t="shared" si="959"/>
        <v>78006201</v>
      </c>
      <c r="D4341" t="str">
        <f t="shared" si="960"/>
        <v>801</v>
      </c>
      <c r="E4341" t="str">
        <f>"89301171"</f>
        <v>89301171</v>
      </c>
      <c r="F4341" t="str">
        <f>"8607035811"</f>
        <v>8607035811</v>
      </c>
      <c r="G4341" s="1">
        <v>44678</v>
      </c>
      <c r="H4341" t="str">
        <f>"81703"</f>
        <v>81703</v>
      </c>
      <c r="I4341">
        <v>2</v>
      </c>
      <c r="J4341">
        <v>556</v>
      </c>
      <c r="K4341">
        <v>0</v>
      </c>
      <c r="L4341">
        <v>433.68</v>
      </c>
    </row>
    <row r="4342" spans="1:12" x14ac:dyDescent="0.25">
      <c r="A4342" t="str">
        <f t="shared" si="939"/>
        <v>89301000</v>
      </c>
      <c r="B4342" t="str">
        <f t="shared" si="954"/>
        <v>78006000</v>
      </c>
      <c r="C4342" t="str">
        <f t="shared" si="959"/>
        <v>78006201</v>
      </c>
      <c r="D4342" t="str">
        <f t="shared" si="960"/>
        <v>801</v>
      </c>
      <c r="E4342" t="str">
        <f>"89301202"</f>
        <v>89301202</v>
      </c>
      <c r="F4342" t="str">
        <f>"7056245779"</f>
        <v>7056245779</v>
      </c>
      <c r="G4342" s="1">
        <v>44670</v>
      </c>
      <c r="H4342" t="str">
        <f>"92169"</f>
        <v>92169</v>
      </c>
      <c r="I4342">
        <v>1</v>
      </c>
      <c r="J4342">
        <v>944</v>
      </c>
      <c r="K4342">
        <v>0</v>
      </c>
      <c r="L4342">
        <v>736.32</v>
      </c>
    </row>
    <row r="4343" spans="1:12" x14ac:dyDescent="0.25">
      <c r="A4343" t="str">
        <f t="shared" si="939"/>
        <v>89301000</v>
      </c>
      <c r="B4343" t="str">
        <f t="shared" si="954"/>
        <v>78006000</v>
      </c>
      <c r="C4343" t="str">
        <f t="shared" si="959"/>
        <v>78006201</v>
      </c>
      <c r="D4343" t="str">
        <f t="shared" si="960"/>
        <v>801</v>
      </c>
      <c r="E4343" t="str">
        <f>"89301202"</f>
        <v>89301202</v>
      </c>
      <c r="F4343" t="str">
        <f>"7056245779"</f>
        <v>7056245779</v>
      </c>
      <c r="G4343" s="1">
        <v>44670</v>
      </c>
      <c r="H4343" t="str">
        <f>"97111"</f>
        <v>97111</v>
      </c>
      <c r="I4343">
        <v>1</v>
      </c>
      <c r="J4343">
        <v>18</v>
      </c>
      <c r="K4343">
        <v>0</v>
      </c>
      <c r="L4343">
        <v>14.04</v>
      </c>
    </row>
    <row r="4344" spans="1:12" x14ac:dyDescent="0.25">
      <c r="A4344" t="str">
        <f t="shared" si="939"/>
        <v>89301000</v>
      </c>
      <c r="B4344" t="str">
        <f t="shared" si="954"/>
        <v>78006000</v>
      </c>
      <c r="C4344" t="str">
        <f t="shared" si="959"/>
        <v>78006201</v>
      </c>
      <c r="D4344" t="str">
        <f t="shared" si="960"/>
        <v>801</v>
      </c>
      <c r="E4344" t="str">
        <f>"89301167"</f>
        <v>89301167</v>
      </c>
      <c r="F4344" t="str">
        <f>"6459211253"</f>
        <v>6459211253</v>
      </c>
      <c r="G4344" s="1">
        <v>44670</v>
      </c>
      <c r="H4344" t="str">
        <f>"81249"</f>
        <v>81249</v>
      </c>
      <c r="I4344">
        <v>1</v>
      </c>
      <c r="J4344">
        <v>333</v>
      </c>
      <c r="K4344">
        <v>0</v>
      </c>
      <c r="L4344">
        <v>259.74</v>
      </c>
    </row>
    <row r="4345" spans="1:12" x14ac:dyDescent="0.25">
      <c r="A4345" t="str">
        <f t="shared" si="939"/>
        <v>89301000</v>
      </c>
      <c r="B4345" t="str">
        <f t="shared" si="954"/>
        <v>78006000</v>
      </c>
      <c r="C4345" t="str">
        <f t="shared" ref="C4345:C4351" si="961">"78006831"</f>
        <v>78006831</v>
      </c>
      <c r="D4345" t="str">
        <f t="shared" ref="D4345:D4351" si="962">"809"</f>
        <v>809</v>
      </c>
      <c r="E4345" t="str">
        <f>"89301212"</f>
        <v>89301212</v>
      </c>
      <c r="F4345" t="str">
        <f>"7059015326"</f>
        <v>7059015326</v>
      </c>
      <c r="G4345" s="1">
        <v>44670</v>
      </c>
      <c r="H4345" t="str">
        <f>"89513"</f>
        <v>89513</v>
      </c>
      <c r="I4345">
        <v>1</v>
      </c>
      <c r="J4345">
        <v>371</v>
      </c>
      <c r="K4345">
        <v>0</v>
      </c>
      <c r="L4345">
        <v>519.4</v>
      </c>
    </row>
    <row r="4346" spans="1:12" x14ac:dyDescent="0.25">
      <c r="A4346" t="str">
        <f t="shared" si="939"/>
        <v>89301000</v>
      </c>
      <c r="B4346" t="str">
        <f t="shared" si="954"/>
        <v>78006000</v>
      </c>
      <c r="C4346" t="str">
        <f t="shared" si="961"/>
        <v>78006831</v>
      </c>
      <c r="D4346" t="str">
        <f t="shared" si="962"/>
        <v>809</v>
      </c>
      <c r="E4346" t="str">
        <f>"89301212"</f>
        <v>89301212</v>
      </c>
      <c r="F4346" t="str">
        <f>"7059015326"</f>
        <v>7059015326</v>
      </c>
      <c r="G4346" s="1">
        <v>44670</v>
      </c>
      <c r="H4346" t="str">
        <f>"89514"</f>
        <v>89514</v>
      </c>
      <c r="I4346">
        <v>1</v>
      </c>
      <c r="J4346">
        <v>371</v>
      </c>
      <c r="K4346">
        <v>0</v>
      </c>
      <c r="L4346">
        <v>519.4</v>
      </c>
    </row>
    <row r="4347" spans="1:12" x14ac:dyDescent="0.25">
      <c r="A4347" t="str">
        <f t="shared" si="939"/>
        <v>89301000</v>
      </c>
      <c r="B4347" t="str">
        <f t="shared" si="954"/>
        <v>78006000</v>
      </c>
      <c r="C4347" t="str">
        <f t="shared" si="961"/>
        <v>78006831</v>
      </c>
      <c r="D4347" t="str">
        <f t="shared" si="962"/>
        <v>809</v>
      </c>
      <c r="E4347" t="str">
        <f>"89301212"</f>
        <v>89301212</v>
      </c>
      <c r="F4347" t="str">
        <f>"535404202"</f>
        <v>535404202</v>
      </c>
      <c r="G4347" s="1">
        <v>44671</v>
      </c>
      <c r="H4347" t="str">
        <f>"89513"</f>
        <v>89513</v>
      </c>
      <c r="I4347">
        <v>1</v>
      </c>
      <c r="J4347">
        <v>371</v>
      </c>
      <c r="K4347">
        <v>0</v>
      </c>
      <c r="L4347">
        <v>519.4</v>
      </c>
    </row>
    <row r="4348" spans="1:12" x14ac:dyDescent="0.25">
      <c r="A4348" t="str">
        <f t="shared" si="939"/>
        <v>89301000</v>
      </c>
      <c r="B4348" t="str">
        <f t="shared" si="954"/>
        <v>78006000</v>
      </c>
      <c r="C4348" t="str">
        <f t="shared" si="961"/>
        <v>78006831</v>
      </c>
      <c r="D4348" t="str">
        <f t="shared" si="962"/>
        <v>809</v>
      </c>
      <c r="E4348" t="str">
        <f>"89301212"</f>
        <v>89301212</v>
      </c>
      <c r="F4348" t="str">
        <f>"535404202"</f>
        <v>535404202</v>
      </c>
      <c r="G4348" s="1">
        <v>44671</v>
      </c>
      <c r="H4348" t="str">
        <f>"89514"</f>
        <v>89514</v>
      </c>
      <c r="I4348">
        <v>1</v>
      </c>
      <c r="J4348">
        <v>371</v>
      </c>
      <c r="K4348">
        <v>0</v>
      </c>
      <c r="L4348">
        <v>519.4</v>
      </c>
    </row>
    <row r="4349" spans="1:12" x14ac:dyDescent="0.25">
      <c r="A4349" t="str">
        <f t="shared" si="939"/>
        <v>89301000</v>
      </c>
      <c r="B4349" t="str">
        <f t="shared" si="954"/>
        <v>78006000</v>
      </c>
      <c r="C4349" t="str">
        <f t="shared" si="961"/>
        <v>78006831</v>
      </c>
      <c r="D4349" t="str">
        <f t="shared" si="962"/>
        <v>809</v>
      </c>
      <c r="E4349" t="str">
        <f>"89301730"</f>
        <v>89301730</v>
      </c>
      <c r="F4349" t="str">
        <f>"7756125322"</f>
        <v>7756125322</v>
      </c>
      <c r="G4349" s="1">
        <v>44672</v>
      </c>
      <c r="H4349" t="str">
        <f>"09135"</f>
        <v>09135</v>
      </c>
      <c r="I4349">
        <v>1</v>
      </c>
      <c r="J4349">
        <v>174</v>
      </c>
      <c r="K4349">
        <v>0</v>
      </c>
      <c r="L4349">
        <v>243.6</v>
      </c>
    </row>
    <row r="4350" spans="1:12" x14ac:dyDescent="0.25">
      <c r="A4350" t="str">
        <f t="shared" si="939"/>
        <v>89301000</v>
      </c>
      <c r="B4350" t="str">
        <f t="shared" si="954"/>
        <v>78006000</v>
      </c>
      <c r="C4350" t="str">
        <f t="shared" si="961"/>
        <v>78006831</v>
      </c>
      <c r="D4350" t="str">
        <f t="shared" si="962"/>
        <v>809</v>
      </c>
      <c r="E4350" t="str">
        <f>"89301032"</f>
        <v>89301032</v>
      </c>
      <c r="F4350" t="str">
        <f>"8958165095"</f>
        <v>8958165095</v>
      </c>
      <c r="G4350" s="1">
        <v>44673</v>
      </c>
      <c r="H4350" t="str">
        <f>"89513"</f>
        <v>89513</v>
      </c>
      <c r="I4350">
        <v>1</v>
      </c>
      <c r="J4350">
        <v>371</v>
      </c>
      <c r="K4350">
        <v>0</v>
      </c>
      <c r="L4350">
        <v>519.4</v>
      </c>
    </row>
    <row r="4351" spans="1:12" x14ac:dyDescent="0.25">
      <c r="A4351" t="str">
        <f t="shared" si="939"/>
        <v>89301000</v>
      </c>
      <c r="B4351" t="str">
        <f t="shared" si="954"/>
        <v>78006000</v>
      </c>
      <c r="C4351" t="str">
        <f t="shared" si="961"/>
        <v>78006831</v>
      </c>
      <c r="D4351" t="str">
        <f t="shared" si="962"/>
        <v>809</v>
      </c>
      <c r="E4351" t="str">
        <f>"89301032"</f>
        <v>89301032</v>
      </c>
      <c r="F4351" t="str">
        <f>"8958165095"</f>
        <v>8958165095</v>
      </c>
      <c r="G4351" s="1">
        <v>44673</v>
      </c>
      <c r="H4351" t="str">
        <f>"89514"</f>
        <v>89514</v>
      </c>
      <c r="I4351">
        <v>1</v>
      </c>
      <c r="J4351">
        <v>371</v>
      </c>
      <c r="K4351">
        <v>0</v>
      </c>
      <c r="L4351">
        <v>519.4</v>
      </c>
    </row>
    <row r="4352" spans="1:12" x14ac:dyDescent="0.25">
      <c r="A4352" t="str">
        <f t="shared" si="939"/>
        <v>89301000</v>
      </c>
      <c r="B4352" t="str">
        <f t="shared" ref="B4352:B4383" si="963">"72100000"</f>
        <v>72100000</v>
      </c>
      <c r="C4352" t="str">
        <f t="shared" ref="C4352:C4383" si="964">"72100632"</f>
        <v>72100632</v>
      </c>
      <c r="D4352" t="str">
        <f t="shared" ref="D4352:D4383" si="965">"816"</f>
        <v>816</v>
      </c>
      <c r="E4352" t="str">
        <f t="shared" ref="E4352:E4383" si="966">"89301091"</f>
        <v>89301091</v>
      </c>
      <c r="F4352" t="str">
        <f>"2252210125"</f>
        <v>2252210125</v>
      </c>
      <c r="G4352" s="1">
        <v>44623</v>
      </c>
      <c r="H4352" t="str">
        <f t="shared" ref="H4352:H4383" si="967">"94297"</f>
        <v>94297</v>
      </c>
      <c r="I4352">
        <v>1</v>
      </c>
      <c r="J4352">
        <v>298</v>
      </c>
      <c r="K4352">
        <v>0</v>
      </c>
      <c r="L4352">
        <v>366.54</v>
      </c>
    </row>
    <row r="4353" spans="1:12" x14ac:dyDescent="0.25">
      <c r="A4353" t="str">
        <f t="shared" si="939"/>
        <v>89301000</v>
      </c>
      <c r="B4353" t="str">
        <f t="shared" si="963"/>
        <v>72100000</v>
      </c>
      <c r="C4353" t="str">
        <f t="shared" si="964"/>
        <v>72100632</v>
      </c>
      <c r="D4353" t="str">
        <f t="shared" si="965"/>
        <v>816</v>
      </c>
      <c r="E4353" t="str">
        <f t="shared" si="966"/>
        <v>89301091</v>
      </c>
      <c r="F4353" t="str">
        <f>"2202210516"</f>
        <v>2202210516</v>
      </c>
      <c r="G4353" s="1">
        <v>44623</v>
      </c>
      <c r="H4353" t="str">
        <f t="shared" si="967"/>
        <v>94297</v>
      </c>
      <c r="I4353">
        <v>1</v>
      </c>
      <c r="J4353">
        <v>298</v>
      </c>
      <c r="K4353">
        <v>0</v>
      </c>
      <c r="L4353">
        <v>366.54</v>
      </c>
    </row>
    <row r="4354" spans="1:12" x14ac:dyDescent="0.25">
      <c r="A4354" t="str">
        <f t="shared" ref="A4354:A4417" si="968">"89301000"</f>
        <v>89301000</v>
      </c>
      <c r="B4354" t="str">
        <f t="shared" si="963"/>
        <v>72100000</v>
      </c>
      <c r="C4354" t="str">
        <f t="shared" si="964"/>
        <v>72100632</v>
      </c>
      <c r="D4354" t="str">
        <f t="shared" si="965"/>
        <v>816</v>
      </c>
      <c r="E4354" t="str">
        <f t="shared" si="966"/>
        <v>89301091</v>
      </c>
      <c r="F4354" t="str">
        <f>"2202210527"</f>
        <v>2202210527</v>
      </c>
      <c r="G4354" s="1">
        <v>44623</v>
      </c>
      <c r="H4354" t="str">
        <f t="shared" si="967"/>
        <v>94297</v>
      </c>
      <c r="I4354">
        <v>1</v>
      </c>
      <c r="J4354">
        <v>298</v>
      </c>
      <c r="K4354">
        <v>0</v>
      </c>
      <c r="L4354">
        <v>366.54</v>
      </c>
    </row>
    <row r="4355" spans="1:12" x14ac:dyDescent="0.25">
      <c r="A4355" t="str">
        <f t="shared" si="968"/>
        <v>89301000</v>
      </c>
      <c r="B4355" t="str">
        <f t="shared" si="963"/>
        <v>72100000</v>
      </c>
      <c r="C4355" t="str">
        <f t="shared" si="964"/>
        <v>72100632</v>
      </c>
      <c r="D4355" t="str">
        <f t="shared" si="965"/>
        <v>816</v>
      </c>
      <c r="E4355" t="str">
        <f t="shared" si="966"/>
        <v>89301091</v>
      </c>
      <c r="F4355" t="str">
        <f>"2202210538"</f>
        <v>2202210538</v>
      </c>
      <c r="G4355" s="1">
        <v>44623</v>
      </c>
      <c r="H4355" t="str">
        <f t="shared" si="967"/>
        <v>94297</v>
      </c>
      <c r="I4355">
        <v>1</v>
      </c>
      <c r="J4355">
        <v>298</v>
      </c>
      <c r="K4355">
        <v>0</v>
      </c>
      <c r="L4355">
        <v>366.54</v>
      </c>
    </row>
    <row r="4356" spans="1:12" x14ac:dyDescent="0.25">
      <c r="A4356" t="str">
        <f t="shared" si="968"/>
        <v>89301000</v>
      </c>
      <c r="B4356" t="str">
        <f t="shared" si="963"/>
        <v>72100000</v>
      </c>
      <c r="C4356" t="str">
        <f t="shared" si="964"/>
        <v>72100632</v>
      </c>
      <c r="D4356" t="str">
        <f t="shared" si="965"/>
        <v>816</v>
      </c>
      <c r="E4356" t="str">
        <f t="shared" si="966"/>
        <v>89301091</v>
      </c>
      <c r="F4356" t="str">
        <f>"2202220097"</f>
        <v>2202220097</v>
      </c>
      <c r="G4356" s="1">
        <v>44623</v>
      </c>
      <c r="H4356" t="str">
        <f t="shared" si="967"/>
        <v>94297</v>
      </c>
      <c r="I4356">
        <v>1</v>
      </c>
      <c r="J4356">
        <v>298</v>
      </c>
      <c r="K4356">
        <v>0</v>
      </c>
      <c r="L4356">
        <v>366.54</v>
      </c>
    </row>
    <row r="4357" spans="1:12" x14ac:dyDescent="0.25">
      <c r="A4357" t="str">
        <f t="shared" si="968"/>
        <v>89301000</v>
      </c>
      <c r="B4357" t="str">
        <f t="shared" si="963"/>
        <v>72100000</v>
      </c>
      <c r="C4357" t="str">
        <f t="shared" si="964"/>
        <v>72100632</v>
      </c>
      <c r="D4357" t="str">
        <f t="shared" si="965"/>
        <v>816</v>
      </c>
      <c r="E4357" t="str">
        <f t="shared" si="966"/>
        <v>89301091</v>
      </c>
      <c r="F4357" t="str">
        <f>"2252220685"</f>
        <v>2252220685</v>
      </c>
      <c r="G4357" s="1">
        <v>44623</v>
      </c>
      <c r="H4357" t="str">
        <f t="shared" si="967"/>
        <v>94297</v>
      </c>
      <c r="I4357">
        <v>1</v>
      </c>
      <c r="J4357">
        <v>298</v>
      </c>
      <c r="K4357">
        <v>0</v>
      </c>
      <c r="L4357">
        <v>366.54</v>
      </c>
    </row>
    <row r="4358" spans="1:12" x14ac:dyDescent="0.25">
      <c r="A4358" t="str">
        <f t="shared" si="968"/>
        <v>89301000</v>
      </c>
      <c r="B4358" t="str">
        <f t="shared" si="963"/>
        <v>72100000</v>
      </c>
      <c r="C4358" t="str">
        <f t="shared" si="964"/>
        <v>72100632</v>
      </c>
      <c r="D4358" t="str">
        <f t="shared" si="965"/>
        <v>816</v>
      </c>
      <c r="E4358" t="str">
        <f t="shared" si="966"/>
        <v>89301091</v>
      </c>
      <c r="F4358" t="str">
        <f>"2252220718"</f>
        <v>2252220718</v>
      </c>
      <c r="G4358" s="1">
        <v>44623</v>
      </c>
      <c r="H4358" t="str">
        <f t="shared" si="967"/>
        <v>94297</v>
      </c>
      <c r="I4358">
        <v>1</v>
      </c>
      <c r="J4358">
        <v>298</v>
      </c>
      <c r="K4358">
        <v>0</v>
      </c>
      <c r="L4358">
        <v>366.54</v>
      </c>
    </row>
    <row r="4359" spans="1:12" x14ac:dyDescent="0.25">
      <c r="A4359" t="str">
        <f t="shared" si="968"/>
        <v>89301000</v>
      </c>
      <c r="B4359" t="str">
        <f t="shared" si="963"/>
        <v>72100000</v>
      </c>
      <c r="C4359" t="str">
        <f t="shared" si="964"/>
        <v>72100632</v>
      </c>
      <c r="D4359" t="str">
        <f t="shared" si="965"/>
        <v>816</v>
      </c>
      <c r="E4359" t="str">
        <f t="shared" si="966"/>
        <v>89301091</v>
      </c>
      <c r="F4359" t="str">
        <f>"2202220856"</f>
        <v>2202220856</v>
      </c>
      <c r="G4359" s="1">
        <v>44623</v>
      </c>
      <c r="H4359" t="str">
        <f t="shared" si="967"/>
        <v>94297</v>
      </c>
      <c r="I4359">
        <v>1</v>
      </c>
      <c r="J4359">
        <v>298</v>
      </c>
      <c r="K4359">
        <v>0</v>
      </c>
      <c r="L4359">
        <v>366.54</v>
      </c>
    </row>
    <row r="4360" spans="1:12" x14ac:dyDescent="0.25">
      <c r="A4360" t="str">
        <f t="shared" si="968"/>
        <v>89301000</v>
      </c>
      <c r="B4360" t="str">
        <f t="shared" si="963"/>
        <v>72100000</v>
      </c>
      <c r="C4360" t="str">
        <f t="shared" si="964"/>
        <v>72100632</v>
      </c>
      <c r="D4360" t="str">
        <f t="shared" si="965"/>
        <v>816</v>
      </c>
      <c r="E4360" t="str">
        <f t="shared" si="966"/>
        <v>89301091</v>
      </c>
      <c r="F4360" t="str">
        <f>"2252220729"</f>
        <v>2252220729</v>
      </c>
      <c r="G4360" s="1">
        <v>44623</v>
      </c>
      <c r="H4360" t="str">
        <f t="shared" si="967"/>
        <v>94297</v>
      </c>
      <c r="I4360">
        <v>1</v>
      </c>
      <c r="J4360">
        <v>298</v>
      </c>
      <c r="K4360">
        <v>0</v>
      </c>
      <c r="L4360">
        <v>366.54</v>
      </c>
    </row>
    <row r="4361" spans="1:12" x14ac:dyDescent="0.25">
      <c r="A4361" t="str">
        <f t="shared" si="968"/>
        <v>89301000</v>
      </c>
      <c r="B4361" t="str">
        <f t="shared" si="963"/>
        <v>72100000</v>
      </c>
      <c r="C4361" t="str">
        <f t="shared" si="964"/>
        <v>72100632</v>
      </c>
      <c r="D4361" t="str">
        <f t="shared" si="965"/>
        <v>816</v>
      </c>
      <c r="E4361" t="str">
        <f t="shared" si="966"/>
        <v>89301091</v>
      </c>
      <c r="F4361" t="str">
        <f>"2202220867"</f>
        <v>2202220867</v>
      </c>
      <c r="G4361" s="1">
        <v>44623</v>
      </c>
      <c r="H4361" t="str">
        <f t="shared" si="967"/>
        <v>94297</v>
      </c>
      <c r="I4361">
        <v>1</v>
      </c>
      <c r="J4361">
        <v>298</v>
      </c>
      <c r="K4361">
        <v>0</v>
      </c>
      <c r="L4361">
        <v>366.54</v>
      </c>
    </row>
    <row r="4362" spans="1:12" x14ac:dyDescent="0.25">
      <c r="A4362" t="str">
        <f t="shared" si="968"/>
        <v>89301000</v>
      </c>
      <c r="B4362" t="str">
        <f t="shared" si="963"/>
        <v>72100000</v>
      </c>
      <c r="C4362" t="str">
        <f t="shared" si="964"/>
        <v>72100632</v>
      </c>
      <c r="D4362" t="str">
        <f t="shared" si="965"/>
        <v>816</v>
      </c>
      <c r="E4362" t="str">
        <f t="shared" si="966"/>
        <v>89301091</v>
      </c>
      <c r="F4362" t="str">
        <f>"2202230096"</f>
        <v>2202230096</v>
      </c>
      <c r="G4362" s="1">
        <v>44624</v>
      </c>
      <c r="H4362" t="str">
        <f t="shared" si="967"/>
        <v>94297</v>
      </c>
      <c r="I4362">
        <v>1</v>
      </c>
      <c r="J4362">
        <v>298</v>
      </c>
      <c r="K4362">
        <v>0</v>
      </c>
      <c r="L4362">
        <v>366.54</v>
      </c>
    </row>
    <row r="4363" spans="1:12" x14ac:dyDescent="0.25">
      <c r="A4363" t="str">
        <f t="shared" si="968"/>
        <v>89301000</v>
      </c>
      <c r="B4363" t="str">
        <f t="shared" si="963"/>
        <v>72100000</v>
      </c>
      <c r="C4363" t="str">
        <f t="shared" si="964"/>
        <v>72100632</v>
      </c>
      <c r="D4363" t="str">
        <f t="shared" si="965"/>
        <v>816</v>
      </c>
      <c r="E4363" t="str">
        <f t="shared" si="966"/>
        <v>89301091</v>
      </c>
      <c r="F4363" t="str">
        <f>"2202230558"</f>
        <v>2202230558</v>
      </c>
      <c r="G4363" s="1">
        <v>44624</v>
      </c>
      <c r="H4363" t="str">
        <f t="shared" si="967"/>
        <v>94297</v>
      </c>
      <c r="I4363">
        <v>1</v>
      </c>
      <c r="J4363">
        <v>298</v>
      </c>
      <c r="K4363">
        <v>0</v>
      </c>
      <c r="L4363">
        <v>366.54</v>
      </c>
    </row>
    <row r="4364" spans="1:12" x14ac:dyDescent="0.25">
      <c r="A4364" t="str">
        <f t="shared" si="968"/>
        <v>89301000</v>
      </c>
      <c r="B4364" t="str">
        <f t="shared" si="963"/>
        <v>72100000</v>
      </c>
      <c r="C4364" t="str">
        <f t="shared" si="964"/>
        <v>72100632</v>
      </c>
      <c r="D4364" t="str">
        <f t="shared" si="965"/>
        <v>816</v>
      </c>
      <c r="E4364" t="str">
        <f t="shared" si="966"/>
        <v>89301091</v>
      </c>
      <c r="F4364" t="str">
        <f>"2202230591"</f>
        <v>2202230591</v>
      </c>
      <c r="G4364" s="1">
        <v>44624</v>
      </c>
      <c r="H4364" t="str">
        <f t="shared" si="967"/>
        <v>94297</v>
      </c>
      <c r="I4364">
        <v>1</v>
      </c>
      <c r="J4364">
        <v>298</v>
      </c>
      <c r="K4364">
        <v>0</v>
      </c>
      <c r="L4364">
        <v>366.54</v>
      </c>
    </row>
    <row r="4365" spans="1:12" x14ac:dyDescent="0.25">
      <c r="A4365" t="str">
        <f t="shared" si="968"/>
        <v>89301000</v>
      </c>
      <c r="B4365" t="str">
        <f t="shared" si="963"/>
        <v>72100000</v>
      </c>
      <c r="C4365" t="str">
        <f t="shared" si="964"/>
        <v>72100632</v>
      </c>
      <c r="D4365" t="str">
        <f t="shared" si="965"/>
        <v>816</v>
      </c>
      <c r="E4365" t="str">
        <f t="shared" si="966"/>
        <v>89301091</v>
      </c>
      <c r="F4365" t="str">
        <f>"2202240612"</f>
        <v>2202240612</v>
      </c>
      <c r="G4365" s="1">
        <v>44624</v>
      </c>
      <c r="H4365" t="str">
        <f t="shared" si="967"/>
        <v>94297</v>
      </c>
      <c r="I4365">
        <v>1</v>
      </c>
      <c r="J4365">
        <v>298</v>
      </c>
      <c r="K4365">
        <v>0</v>
      </c>
      <c r="L4365">
        <v>366.54</v>
      </c>
    </row>
    <row r="4366" spans="1:12" x14ac:dyDescent="0.25">
      <c r="A4366" t="str">
        <f t="shared" si="968"/>
        <v>89301000</v>
      </c>
      <c r="B4366" t="str">
        <f t="shared" si="963"/>
        <v>72100000</v>
      </c>
      <c r="C4366" t="str">
        <f t="shared" si="964"/>
        <v>72100632</v>
      </c>
      <c r="D4366" t="str">
        <f t="shared" si="965"/>
        <v>816</v>
      </c>
      <c r="E4366" t="str">
        <f t="shared" si="966"/>
        <v>89301091</v>
      </c>
      <c r="F4366" t="str">
        <f>"2202250160"</f>
        <v>2202250160</v>
      </c>
      <c r="G4366" s="1">
        <v>44624</v>
      </c>
      <c r="H4366" t="str">
        <f t="shared" si="967"/>
        <v>94297</v>
      </c>
      <c r="I4366">
        <v>1</v>
      </c>
      <c r="J4366">
        <v>298</v>
      </c>
      <c r="K4366">
        <v>0</v>
      </c>
      <c r="L4366">
        <v>366.54</v>
      </c>
    </row>
    <row r="4367" spans="1:12" x14ac:dyDescent="0.25">
      <c r="A4367" t="str">
        <f t="shared" si="968"/>
        <v>89301000</v>
      </c>
      <c r="B4367" t="str">
        <f t="shared" si="963"/>
        <v>72100000</v>
      </c>
      <c r="C4367" t="str">
        <f t="shared" si="964"/>
        <v>72100632</v>
      </c>
      <c r="D4367" t="str">
        <f t="shared" si="965"/>
        <v>816</v>
      </c>
      <c r="E4367" t="str">
        <f t="shared" si="966"/>
        <v>89301091</v>
      </c>
      <c r="F4367" t="str">
        <f>"8755114929"</f>
        <v>8755114929</v>
      </c>
      <c r="G4367" s="1">
        <v>44624</v>
      </c>
      <c r="H4367" t="str">
        <f t="shared" si="967"/>
        <v>94297</v>
      </c>
      <c r="I4367">
        <v>1</v>
      </c>
      <c r="J4367">
        <v>298</v>
      </c>
      <c r="K4367">
        <v>0</v>
      </c>
      <c r="L4367">
        <v>366.54</v>
      </c>
    </row>
    <row r="4368" spans="1:12" x14ac:dyDescent="0.25">
      <c r="A4368" t="str">
        <f t="shared" si="968"/>
        <v>89301000</v>
      </c>
      <c r="B4368" t="str">
        <f t="shared" si="963"/>
        <v>72100000</v>
      </c>
      <c r="C4368" t="str">
        <f t="shared" si="964"/>
        <v>72100632</v>
      </c>
      <c r="D4368" t="str">
        <f t="shared" si="965"/>
        <v>816</v>
      </c>
      <c r="E4368" t="str">
        <f t="shared" si="966"/>
        <v>89301091</v>
      </c>
      <c r="F4368" t="str">
        <f>"8853115777"</f>
        <v>8853115777</v>
      </c>
      <c r="G4368" s="1">
        <v>44624</v>
      </c>
      <c r="H4368" t="str">
        <f t="shared" si="967"/>
        <v>94297</v>
      </c>
      <c r="I4368">
        <v>1</v>
      </c>
      <c r="J4368">
        <v>298</v>
      </c>
      <c r="K4368">
        <v>0</v>
      </c>
      <c r="L4368">
        <v>366.54</v>
      </c>
    </row>
    <row r="4369" spans="1:12" x14ac:dyDescent="0.25">
      <c r="A4369" t="str">
        <f t="shared" si="968"/>
        <v>89301000</v>
      </c>
      <c r="B4369" t="str">
        <f t="shared" si="963"/>
        <v>72100000</v>
      </c>
      <c r="C4369" t="str">
        <f t="shared" si="964"/>
        <v>72100632</v>
      </c>
      <c r="D4369" t="str">
        <f t="shared" si="965"/>
        <v>816</v>
      </c>
      <c r="E4369" t="str">
        <f t="shared" si="966"/>
        <v>89301091</v>
      </c>
      <c r="F4369" t="str">
        <f>"2202260324"</f>
        <v>2202260324</v>
      </c>
      <c r="G4369" s="1">
        <v>44628</v>
      </c>
      <c r="H4369" t="str">
        <f t="shared" si="967"/>
        <v>94297</v>
      </c>
      <c r="I4369">
        <v>1</v>
      </c>
      <c r="J4369">
        <v>298</v>
      </c>
      <c r="K4369">
        <v>0</v>
      </c>
      <c r="L4369">
        <v>366.54</v>
      </c>
    </row>
    <row r="4370" spans="1:12" x14ac:dyDescent="0.25">
      <c r="A4370" t="str">
        <f t="shared" si="968"/>
        <v>89301000</v>
      </c>
      <c r="B4370" t="str">
        <f t="shared" si="963"/>
        <v>72100000</v>
      </c>
      <c r="C4370" t="str">
        <f t="shared" si="964"/>
        <v>72100632</v>
      </c>
      <c r="D4370" t="str">
        <f t="shared" si="965"/>
        <v>816</v>
      </c>
      <c r="E4370" t="str">
        <f t="shared" si="966"/>
        <v>89301091</v>
      </c>
      <c r="F4370" t="str">
        <f>"2202270268"</f>
        <v>2202270268</v>
      </c>
      <c r="G4370" s="1">
        <v>44628</v>
      </c>
      <c r="H4370" t="str">
        <f t="shared" si="967"/>
        <v>94297</v>
      </c>
      <c r="I4370">
        <v>1</v>
      </c>
      <c r="J4370">
        <v>298</v>
      </c>
      <c r="K4370">
        <v>0</v>
      </c>
      <c r="L4370">
        <v>366.54</v>
      </c>
    </row>
    <row r="4371" spans="1:12" x14ac:dyDescent="0.25">
      <c r="A4371" t="str">
        <f t="shared" si="968"/>
        <v>89301000</v>
      </c>
      <c r="B4371" t="str">
        <f t="shared" si="963"/>
        <v>72100000</v>
      </c>
      <c r="C4371" t="str">
        <f t="shared" si="964"/>
        <v>72100632</v>
      </c>
      <c r="D4371" t="str">
        <f t="shared" si="965"/>
        <v>816</v>
      </c>
      <c r="E4371" t="str">
        <f t="shared" si="966"/>
        <v>89301091</v>
      </c>
      <c r="F4371" t="str">
        <f>"2202270301"</f>
        <v>2202270301</v>
      </c>
      <c r="G4371" s="1">
        <v>44628</v>
      </c>
      <c r="H4371" t="str">
        <f t="shared" si="967"/>
        <v>94297</v>
      </c>
      <c r="I4371">
        <v>1</v>
      </c>
      <c r="J4371">
        <v>298</v>
      </c>
      <c r="K4371">
        <v>0</v>
      </c>
      <c r="L4371">
        <v>366.54</v>
      </c>
    </row>
    <row r="4372" spans="1:12" x14ac:dyDescent="0.25">
      <c r="A4372" t="str">
        <f t="shared" si="968"/>
        <v>89301000</v>
      </c>
      <c r="B4372" t="str">
        <f t="shared" si="963"/>
        <v>72100000</v>
      </c>
      <c r="C4372" t="str">
        <f t="shared" si="964"/>
        <v>72100632</v>
      </c>
      <c r="D4372" t="str">
        <f t="shared" si="965"/>
        <v>816</v>
      </c>
      <c r="E4372" t="str">
        <f t="shared" si="966"/>
        <v>89301091</v>
      </c>
      <c r="F4372" t="str">
        <f>"2252240694"</f>
        <v>2252240694</v>
      </c>
      <c r="G4372" s="1">
        <v>44628</v>
      </c>
      <c r="H4372" t="str">
        <f t="shared" si="967"/>
        <v>94297</v>
      </c>
      <c r="I4372">
        <v>1</v>
      </c>
      <c r="J4372">
        <v>298</v>
      </c>
      <c r="K4372">
        <v>0</v>
      </c>
      <c r="L4372">
        <v>366.54</v>
      </c>
    </row>
    <row r="4373" spans="1:12" x14ac:dyDescent="0.25">
      <c r="A4373" t="str">
        <f t="shared" si="968"/>
        <v>89301000</v>
      </c>
      <c r="B4373" t="str">
        <f t="shared" si="963"/>
        <v>72100000</v>
      </c>
      <c r="C4373" t="str">
        <f t="shared" si="964"/>
        <v>72100632</v>
      </c>
      <c r="D4373" t="str">
        <f t="shared" si="965"/>
        <v>816</v>
      </c>
      <c r="E4373" t="str">
        <f t="shared" si="966"/>
        <v>89301091</v>
      </c>
      <c r="F4373" t="str">
        <f>"2252280569"</f>
        <v>2252280569</v>
      </c>
      <c r="G4373" s="1">
        <v>44629</v>
      </c>
      <c r="H4373" t="str">
        <f t="shared" si="967"/>
        <v>94297</v>
      </c>
      <c r="I4373">
        <v>1</v>
      </c>
      <c r="J4373">
        <v>298</v>
      </c>
      <c r="K4373">
        <v>0</v>
      </c>
      <c r="L4373">
        <v>366.54</v>
      </c>
    </row>
    <row r="4374" spans="1:12" x14ac:dyDescent="0.25">
      <c r="A4374" t="str">
        <f t="shared" si="968"/>
        <v>89301000</v>
      </c>
      <c r="B4374" t="str">
        <f t="shared" si="963"/>
        <v>72100000</v>
      </c>
      <c r="C4374" t="str">
        <f t="shared" si="964"/>
        <v>72100632</v>
      </c>
      <c r="D4374" t="str">
        <f t="shared" si="965"/>
        <v>816</v>
      </c>
      <c r="E4374" t="str">
        <f t="shared" si="966"/>
        <v>89301091</v>
      </c>
      <c r="F4374" t="str">
        <f>"2202280597"</f>
        <v>2202280597</v>
      </c>
      <c r="G4374" s="1">
        <v>44629</v>
      </c>
      <c r="H4374" t="str">
        <f t="shared" si="967"/>
        <v>94297</v>
      </c>
      <c r="I4374">
        <v>1</v>
      </c>
      <c r="J4374">
        <v>298</v>
      </c>
      <c r="K4374">
        <v>0</v>
      </c>
      <c r="L4374">
        <v>366.54</v>
      </c>
    </row>
    <row r="4375" spans="1:12" x14ac:dyDescent="0.25">
      <c r="A4375" t="str">
        <f t="shared" si="968"/>
        <v>89301000</v>
      </c>
      <c r="B4375" t="str">
        <f t="shared" si="963"/>
        <v>72100000</v>
      </c>
      <c r="C4375" t="str">
        <f t="shared" si="964"/>
        <v>72100632</v>
      </c>
      <c r="D4375" t="str">
        <f t="shared" si="965"/>
        <v>816</v>
      </c>
      <c r="E4375" t="str">
        <f t="shared" si="966"/>
        <v>89301091</v>
      </c>
      <c r="F4375" t="str">
        <f>"2202280630"</f>
        <v>2202280630</v>
      </c>
      <c r="G4375" s="1">
        <v>44629</v>
      </c>
      <c r="H4375" t="str">
        <f t="shared" si="967"/>
        <v>94297</v>
      </c>
      <c r="I4375">
        <v>1</v>
      </c>
      <c r="J4375">
        <v>298</v>
      </c>
      <c r="K4375">
        <v>0</v>
      </c>
      <c r="L4375">
        <v>366.54</v>
      </c>
    </row>
    <row r="4376" spans="1:12" x14ac:dyDescent="0.25">
      <c r="A4376" t="str">
        <f t="shared" si="968"/>
        <v>89301000</v>
      </c>
      <c r="B4376" t="str">
        <f t="shared" si="963"/>
        <v>72100000</v>
      </c>
      <c r="C4376" t="str">
        <f t="shared" si="964"/>
        <v>72100632</v>
      </c>
      <c r="D4376" t="str">
        <f t="shared" si="965"/>
        <v>816</v>
      </c>
      <c r="E4376" t="str">
        <f t="shared" si="966"/>
        <v>89301091</v>
      </c>
      <c r="F4376" t="str">
        <f>"2203020699"</f>
        <v>2203020699</v>
      </c>
      <c r="G4376" s="1">
        <v>44629</v>
      </c>
      <c r="H4376" t="str">
        <f t="shared" si="967"/>
        <v>94297</v>
      </c>
      <c r="I4376">
        <v>1</v>
      </c>
      <c r="J4376">
        <v>298</v>
      </c>
      <c r="K4376">
        <v>0</v>
      </c>
      <c r="L4376">
        <v>366.54</v>
      </c>
    </row>
    <row r="4377" spans="1:12" x14ac:dyDescent="0.25">
      <c r="A4377" t="str">
        <f t="shared" si="968"/>
        <v>89301000</v>
      </c>
      <c r="B4377" t="str">
        <f t="shared" si="963"/>
        <v>72100000</v>
      </c>
      <c r="C4377" t="str">
        <f t="shared" si="964"/>
        <v>72100632</v>
      </c>
      <c r="D4377" t="str">
        <f t="shared" si="965"/>
        <v>816</v>
      </c>
      <c r="E4377" t="str">
        <f t="shared" si="966"/>
        <v>89301091</v>
      </c>
      <c r="F4377" t="str">
        <f>"2203030632"</f>
        <v>2203030632</v>
      </c>
      <c r="G4377" s="1">
        <v>44629</v>
      </c>
      <c r="H4377" t="str">
        <f t="shared" si="967"/>
        <v>94297</v>
      </c>
      <c r="I4377">
        <v>1</v>
      </c>
      <c r="J4377">
        <v>298</v>
      </c>
      <c r="K4377">
        <v>0</v>
      </c>
      <c r="L4377">
        <v>366.54</v>
      </c>
    </row>
    <row r="4378" spans="1:12" x14ac:dyDescent="0.25">
      <c r="A4378" t="str">
        <f t="shared" si="968"/>
        <v>89301000</v>
      </c>
      <c r="B4378" t="str">
        <f t="shared" si="963"/>
        <v>72100000</v>
      </c>
      <c r="C4378" t="str">
        <f t="shared" si="964"/>
        <v>72100632</v>
      </c>
      <c r="D4378" t="str">
        <f t="shared" si="965"/>
        <v>816</v>
      </c>
      <c r="E4378" t="str">
        <f t="shared" si="966"/>
        <v>89301091</v>
      </c>
      <c r="F4378" t="str">
        <f>"8159174848"</f>
        <v>8159174848</v>
      </c>
      <c r="G4378" s="1">
        <v>44629</v>
      </c>
      <c r="H4378" t="str">
        <f t="shared" si="967"/>
        <v>94297</v>
      </c>
      <c r="I4378">
        <v>1</v>
      </c>
      <c r="J4378">
        <v>298</v>
      </c>
      <c r="K4378">
        <v>0</v>
      </c>
      <c r="L4378">
        <v>366.54</v>
      </c>
    </row>
    <row r="4379" spans="1:12" x14ac:dyDescent="0.25">
      <c r="A4379" t="str">
        <f t="shared" si="968"/>
        <v>89301000</v>
      </c>
      <c r="B4379" t="str">
        <f t="shared" si="963"/>
        <v>72100000</v>
      </c>
      <c r="C4379" t="str">
        <f t="shared" si="964"/>
        <v>72100632</v>
      </c>
      <c r="D4379" t="str">
        <f t="shared" si="965"/>
        <v>816</v>
      </c>
      <c r="E4379" t="str">
        <f t="shared" si="966"/>
        <v>89301091</v>
      </c>
      <c r="F4379" t="str">
        <f>"8251044472"</f>
        <v>8251044472</v>
      </c>
      <c r="G4379" s="1">
        <v>44629</v>
      </c>
      <c r="H4379" t="str">
        <f t="shared" si="967"/>
        <v>94297</v>
      </c>
      <c r="I4379">
        <v>1</v>
      </c>
      <c r="J4379">
        <v>298</v>
      </c>
      <c r="K4379">
        <v>0</v>
      </c>
      <c r="L4379">
        <v>366.54</v>
      </c>
    </row>
    <row r="4380" spans="1:12" x14ac:dyDescent="0.25">
      <c r="A4380" t="str">
        <f t="shared" si="968"/>
        <v>89301000</v>
      </c>
      <c r="B4380" t="str">
        <f t="shared" si="963"/>
        <v>72100000</v>
      </c>
      <c r="C4380" t="str">
        <f t="shared" si="964"/>
        <v>72100632</v>
      </c>
      <c r="D4380" t="str">
        <f t="shared" si="965"/>
        <v>816</v>
      </c>
      <c r="E4380" t="str">
        <f t="shared" si="966"/>
        <v>89301091</v>
      </c>
      <c r="F4380" t="str">
        <f>"2253050360"</f>
        <v>2253050360</v>
      </c>
      <c r="G4380" s="1">
        <v>44630</v>
      </c>
      <c r="H4380" t="str">
        <f t="shared" si="967"/>
        <v>94297</v>
      </c>
      <c r="I4380">
        <v>1</v>
      </c>
      <c r="J4380">
        <v>298</v>
      </c>
      <c r="K4380">
        <v>0</v>
      </c>
      <c r="L4380">
        <v>366.54</v>
      </c>
    </row>
    <row r="4381" spans="1:12" x14ac:dyDescent="0.25">
      <c r="A4381" t="str">
        <f t="shared" si="968"/>
        <v>89301000</v>
      </c>
      <c r="B4381" t="str">
        <f t="shared" si="963"/>
        <v>72100000</v>
      </c>
      <c r="C4381" t="str">
        <f t="shared" si="964"/>
        <v>72100632</v>
      </c>
      <c r="D4381" t="str">
        <f t="shared" si="965"/>
        <v>816</v>
      </c>
      <c r="E4381" t="str">
        <f t="shared" si="966"/>
        <v>89301091</v>
      </c>
      <c r="F4381" t="str">
        <f>"2253050371"</f>
        <v>2253050371</v>
      </c>
      <c r="G4381" s="1">
        <v>44630</v>
      </c>
      <c r="H4381" t="str">
        <f t="shared" si="967"/>
        <v>94297</v>
      </c>
      <c r="I4381">
        <v>1</v>
      </c>
      <c r="J4381">
        <v>298</v>
      </c>
      <c r="K4381">
        <v>0</v>
      </c>
      <c r="L4381">
        <v>366.54</v>
      </c>
    </row>
    <row r="4382" spans="1:12" x14ac:dyDescent="0.25">
      <c r="A4382" t="str">
        <f t="shared" si="968"/>
        <v>89301000</v>
      </c>
      <c r="B4382" t="str">
        <f t="shared" si="963"/>
        <v>72100000</v>
      </c>
      <c r="C4382" t="str">
        <f t="shared" si="964"/>
        <v>72100632</v>
      </c>
      <c r="D4382" t="str">
        <f t="shared" si="965"/>
        <v>816</v>
      </c>
      <c r="E4382" t="str">
        <f t="shared" si="966"/>
        <v>89301091</v>
      </c>
      <c r="F4382" t="str">
        <f>"2253050393"</f>
        <v>2253050393</v>
      </c>
      <c r="G4382" s="1">
        <v>44630</v>
      </c>
      <c r="H4382" t="str">
        <f t="shared" si="967"/>
        <v>94297</v>
      </c>
      <c r="I4382">
        <v>1</v>
      </c>
      <c r="J4382">
        <v>298</v>
      </c>
      <c r="K4382">
        <v>0</v>
      </c>
      <c r="L4382">
        <v>366.54</v>
      </c>
    </row>
    <row r="4383" spans="1:12" x14ac:dyDescent="0.25">
      <c r="A4383" t="str">
        <f t="shared" si="968"/>
        <v>89301000</v>
      </c>
      <c r="B4383" t="str">
        <f t="shared" si="963"/>
        <v>72100000</v>
      </c>
      <c r="C4383" t="str">
        <f t="shared" si="964"/>
        <v>72100632</v>
      </c>
      <c r="D4383" t="str">
        <f t="shared" si="965"/>
        <v>816</v>
      </c>
      <c r="E4383" t="str">
        <f t="shared" si="966"/>
        <v>89301091</v>
      </c>
      <c r="F4383" t="str">
        <f>"2203010612"</f>
        <v>2203010612</v>
      </c>
      <c r="G4383" s="1">
        <v>44630</v>
      </c>
      <c r="H4383" t="str">
        <f t="shared" si="967"/>
        <v>94297</v>
      </c>
      <c r="I4383">
        <v>1</v>
      </c>
      <c r="J4383">
        <v>298</v>
      </c>
      <c r="K4383">
        <v>0</v>
      </c>
      <c r="L4383">
        <v>366.54</v>
      </c>
    </row>
    <row r="4384" spans="1:12" x14ac:dyDescent="0.25">
      <c r="A4384" t="str">
        <f t="shared" si="968"/>
        <v>89301000</v>
      </c>
      <c r="B4384" t="str">
        <f t="shared" ref="B4384:B4415" si="969">"72100000"</f>
        <v>72100000</v>
      </c>
      <c r="C4384" t="str">
        <f t="shared" ref="C4384:C4415" si="970">"72100632"</f>
        <v>72100632</v>
      </c>
      <c r="D4384" t="str">
        <f t="shared" ref="D4384:D4415" si="971">"816"</f>
        <v>816</v>
      </c>
      <c r="E4384" t="str">
        <f t="shared" ref="E4384:E4415" si="972">"89301091"</f>
        <v>89301091</v>
      </c>
      <c r="F4384" t="str">
        <f>"2203010634"</f>
        <v>2203010634</v>
      </c>
      <c r="G4384" s="1">
        <v>44630</v>
      </c>
      <c r="H4384" t="str">
        <f t="shared" ref="H4384:H4415" si="973">"94297"</f>
        <v>94297</v>
      </c>
      <c r="I4384">
        <v>1</v>
      </c>
      <c r="J4384">
        <v>298</v>
      </c>
      <c r="K4384">
        <v>0</v>
      </c>
      <c r="L4384">
        <v>366.54</v>
      </c>
    </row>
    <row r="4385" spans="1:12" x14ac:dyDescent="0.25">
      <c r="A4385" t="str">
        <f t="shared" si="968"/>
        <v>89301000</v>
      </c>
      <c r="B4385" t="str">
        <f t="shared" si="969"/>
        <v>72100000</v>
      </c>
      <c r="C4385" t="str">
        <f t="shared" si="970"/>
        <v>72100632</v>
      </c>
      <c r="D4385" t="str">
        <f t="shared" si="971"/>
        <v>816</v>
      </c>
      <c r="E4385" t="str">
        <f t="shared" si="972"/>
        <v>89301091</v>
      </c>
      <c r="F4385" t="str">
        <f>"2253010529"</f>
        <v>2253010529</v>
      </c>
      <c r="G4385" s="1">
        <v>44630</v>
      </c>
      <c r="H4385" t="str">
        <f t="shared" si="973"/>
        <v>94297</v>
      </c>
      <c r="I4385">
        <v>1</v>
      </c>
      <c r="J4385">
        <v>298</v>
      </c>
      <c r="K4385">
        <v>0</v>
      </c>
      <c r="L4385">
        <v>366.54</v>
      </c>
    </row>
    <row r="4386" spans="1:12" x14ac:dyDescent="0.25">
      <c r="A4386" t="str">
        <f t="shared" si="968"/>
        <v>89301000</v>
      </c>
      <c r="B4386" t="str">
        <f t="shared" si="969"/>
        <v>72100000</v>
      </c>
      <c r="C4386" t="str">
        <f t="shared" si="970"/>
        <v>72100632</v>
      </c>
      <c r="D4386" t="str">
        <f t="shared" si="971"/>
        <v>816</v>
      </c>
      <c r="E4386" t="str">
        <f t="shared" si="972"/>
        <v>89301091</v>
      </c>
      <c r="F4386" t="str">
        <f>"2203010645"</f>
        <v>2203010645</v>
      </c>
      <c r="G4386" s="1">
        <v>44630</v>
      </c>
      <c r="H4386" t="str">
        <f t="shared" si="973"/>
        <v>94297</v>
      </c>
      <c r="I4386">
        <v>1</v>
      </c>
      <c r="J4386">
        <v>298</v>
      </c>
      <c r="K4386">
        <v>0</v>
      </c>
      <c r="L4386">
        <v>366.54</v>
      </c>
    </row>
    <row r="4387" spans="1:12" x14ac:dyDescent="0.25">
      <c r="A4387" t="str">
        <f t="shared" si="968"/>
        <v>89301000</v>
      </c>
      <c r="B4387" t="str">
        <f t="shared" si="969"/>
        <v>72100000</v>
      </c>
      <c r="C4387" t="str">
        <f t="shared" si="970"/>
        <v>72100632</v>
      </c>
      <c r="D4387" t="str">
        <f t="shared" si="971"/>
        <v>816</v>
      </c>
      <c r="E4387" t="str">
        <f t="shared" si="972"/>
        <v>89301091</v>
      </c>
      <c r="F4387" t="str">
        <f>"2253060348"</f>
        <v>2253060348</v>
      </c>
      <c r="G4387" s="1">
        <v>44634</v>
      </c>
      <c r="H4387" t="str">
        <f t="shared" si="973"/>
        <v>94297</v>
      </c>
      <c r="I4387">
        <v>1</v>
      </c>
      <c r="J4387">
        <v>298</v>
      </c>
      <c r="K4387">
        <v>0</v>
      </c>
      <c r="L4387">
        <v>366.54</v>
      </c>
    </row>
    <row r="4388" spans="1:12" x14ac:dyDescent="0.25">
      <c r="A4388" t="str">
        <f t="shared" si="968"/>
        <v>89301000</v>
      </c>
      <c r="B4388" t="str">
        <f t="shared" si="969"/>
        <v>72100000</v>
      </c>
      <c r="C4388" t="str">
        <f t="shared" si="970"/>
        <v>72100632</v>
      </c>
      <c r="D4388" t="str">
        <f t="shared" si="971"/>
        <v>816</v>
      </c>
      <c r="E4388" t="str">
        <f t="shared" si="972"/>
        <v>89301091</v>
      </c>
      <c r="F4388" t="str">
        <f>"2253060359"</f>
        <v>2253060359</v>
      </c>
      <c r="G4388" s="1">
        <v>44634</v>
      </c>
      <c r="H4388" t="str">
        <f t="shared" si="973"/>
        <v>94297</v>
      </c>
      <c r="I4388">
        <v>1</v>
      </c>
      <c r="J4388">
        <v>298</v>
      </c>
      <c r="K4388">
        <v>0</v>
      </c>
      <c r="L4388">
        <v>366.54</v>
      </c>
    </row>
    <row r="4389" spans="1:12" x14ac:dyDescent="0.25">
      <c r="A4389" t="str">
        <f t="shared" si="968"/>
        <v>89301000</v>
      </c>
      <c r="B4389" t="str">
        <f t="shared" si="969"/>
        <v>72100000</v>
      </c>
      <c r="C4389" t="str">
        <f t="shared" si="970"/>
        <v>72100632</v>
      </c>
      <c r="D4389" t="str">
        <f t="shared" si="971"/>
        <v>816</v>
      </c>
      <c r="E4389" t="str">
        <f t="shared" si="972"/>
        <v>89301091</v>
      </c>
      <c r="F4389" t="str">
        <f>"2253080665"</f>
        <v>2253080665</v>
      </c>
      <c r="G4389" s="1">
        <v>44635</v>
      </c>
      <c r="H4389" t="str">
        <f t="shared" si="973"/>
        <v>94297</v>
      </c>
      <c r="I4389">
        <v>1</v>
      </c>
      <c r="J4389">
        <v>298</v>
      </c>
      <c r="K4389">
        <v>0</v>
      </c>
      <c r="L4389">
        <v>366.54</v>
      </c>
    </row>
    <row r="4390" spans="1:12" x14ac:dyDescent="0.25">
      <c r="A4390" t="str">
        <f t="shared" si="968"/>
        <v>89301000</v>
      </c>
      <c r="B4390" t="str">
        <f t="shared" si="969"/>
        <v>72100000</v>
      </c>
      <c r="C4390" t="str">
        <f t="shared" si="970"/>
        <v>72100632</v>
      </c>
      <c r="D4390" t="str">
        <f t="shared" si="971"/>
        <v>816</v>
      </c>
      <c r="E4390" t="str">
        <f t="shared" si="972"/>
        <v>89301091</v>
      </c>
      <c r="F4390" t="str">
        <f>"2203080605"</f>
        <v>2203080605</v>
      </c>
      <c r="G4390" s="1">
        <v>44635</v>
      </c>
      <c r="H4390" t="str">
        <f t="shared" si="973"/>
        <v>94297</v>
      </c>
      <c r="I4390">
        <v>1</v>
      </c>
      <c r="J4390">
        <v>298</v>
      </c>
      <c r="K4390">
        <v>0</v>
      </c>
      <c r="L4390">
        <v>366.54</v>
      </c>
    </row>
    <row r="4391" spans="1:12" x14ac:dyDescent="0.25">
      <c r="A4391" t="str">
        <f t="shared" si="968"/>
        <v>89301000</v>
      </c>
      <c r="B4391" t="str">
        <f t="shared" si="969"/>
        <v>72100000</v>
      </c>
      <c r="C4391" t="str">
        <f t="shared" si="970"/>
        <v>72100632</v>
      </c>
      <c r="D4391" t="str">
        <f t="shared" si="971"/>
        <v>816</v>
      </c>
      <c r="E4391" t="str">
        <f t="shared" si="972"/>
        <v>89301091</v>
      </c>
      <c r="F4391" t="str">
        <f>"2203080638"</f>
        <v>2203080638</v>
      </c>
      <c r="G4391" s="1">
        <v>44635</v>
      </c>
      <c r="H4391" t="str">
        <f t="shared" si="973"/>
        <v>94297</v>
      </c>
      <c r="I4391">
        <v>1</v>
      </c>
      <c r="J4391">
        <v>298</v>
      </c>
      <c r="K4391">
        <v>0</v>
      </c>
      <c r="L4391">
        <v>366.54</v>
      </c>
    </row>
    <row r="4392" spans="1:12" x14ac:dyDescent="0.25">
      <c r="A4392" t="str">
        <f t="shared" si="968"/>
        <v>89301000</v>
      </c>
      <c r="B4392" t="str">
        <f t="shared" si="969"/>
        <v>72100000</v>
      </c>
      <c r="C4392" t="str">
        <f t="shared" si="970"/>
        <v>72100632</v>
      </c>
      <c r="D4392" t="str">
        <f t="shared" si="971"/>
        <v>816</v>
      </c>
      <c r="E4392" t="str">
        <f t="shared" si="972"/>
        <v>89301091</v>
      </c>
      <c r="F4392" t="str">
        <f>"2203080649"</f>
        <v>2203080649</v>
      </c>
      <c r="G4392" s="1">
        <v>44635</v>
      </c>
      <c r="H4392" t="str">
        <f t="shared" si="973"/>
        <v>94297</v>
      </c>
      <c r="I4392">
        <v>1</v>
      </c>
      <c r="J4392">
        <v>298</v>
      </c>
      <c r="K4392">
        <v>0</v>
      </c>
      <c r="L4392">
        <v>366.54</v>
      </c>
    </row>
    <row r="4393" spans="1:12" x14ac:dyDescent="0.25">
      <c r="A4393" t="str">
        <f t="shared" si="968"/>
        <v>89301000</v>
      </c>
      <c r="B4393" t="str">
        <f t="shared" si="969"/>
        <v>72100000</v>
      </c>
      <c r="C4393" t="str">
        <f t="shared" si="970"/>
        <v>72100632</v>
      </c>
      <c r="D4393" t="str">
        <f t="shared" si="971"/>
        <v>816</v>
      </c>
      <c r="E4393" t="str">
        <f t="shared" si="972"/>
        <v>89301091</v>
      </c>
      <c r="F4393" t="str">
        <f>"2203070100"</f>
        <v>2203070100</v>
      </c>
      <c r="G4393" s="1">
        <v>44636</v>
      </c>
      <c r="H4393" t="str">
        <f t="shared" si="973"/>
        <v>94297</v>
      </c>
      <c r="I4393">
        <v>1</v>
      </c>
      <c r="J4393">
        <v>298</v>
      </c>
      <c r="K4393">
        <v>0</v>
      </c>
      <c r="L4393">
        <v>366.54</v>
      </c>
    </row>
    <row r="4394" spans="1:12" x14ac:dyDescent="0.25">
      <c r="A4394" t="str">
        <f t="shared" si="968"/>
        <v>89301000</v>
      </c>
      <c r="B4394" t="str">
        <f t="shared" si="969"/>
        <v>72100000</v>
      </c>
      <c r="C4394" t="str">
        <f t="shared" si="970"/>
        <v>72100632</v>
      </c>
      <c r="D4394" t="str">
        <f t="shared" si="971"/>
        <v>816</v>
      </c>
      <c r="E4394" t="str">
        <f t="shared" si="972"/>
        <v>89301091</v>
      </c>
      <c r="F4394" t="str">
        <f>"2253070105"</f>
        <v>2253070105</v>
      </c>
      <c r="G4394" s="1">
        <v>44636</v>
      </c>
      <c r="H4394" t="str">
        <f t="shared" si="973"/>
        <v>94297</v>
      </c>
      <c r="I4394">
        <v>1</v>
      </c>
      <c r="J4394">
        <v>298</v>
      </c>
      <c r="K4394">
        <v>0</v>
      </c>
      <c r="L4394">
        <v>366.54</v>
      </c>
    </row>
    <row r="4395" spans="1:12" x14ac:dyDescent="0.25">
      <c r="A4395" t="str">
        <f t="shared" si="968"/>
        <v>89301000</v>
      </c>
      <c r="B4395" t="str">
        <f t="shared" si="969"/>
        <v>72100000</v>
      </c>
      <c r="C4395" t="str">
        <f t="shared" si="970"/>
        <v>72100632</v>
      </c>
      <c r="D4395" t="str">
        <f t="shared" si="971"/>
        <v>816</v>
      </c>
      <c r="E4395" t="str">
        <f t="shared" si="972"/>
        <v>89301091</v>
      </c>
      <c r="F4395" t="str">
        <f>"2253080676"</f>
        <v>2253080676</v>
      </c>
      <c r="G4395" s="1">
        <v>44636</v>
      </c>
      <c r="H4395" t="str">
        <f t="shared" si="973"/>
        <v>94297</v>
      </c>
      <c r="I4395">
        <v>1</v>
      </c>
      <c r="J4395">
        <v>298</v>
      </c>
      <c r="K4395">
        <v>0</v>
      </c>
      <c r="L4395">
        <v>366.54</v>
      </c>
    </row>
    <row r="4396" spans="1:12" x14ac:dyDescent="0.25">
      <c r="A4396" t="str">
        <f t="shared" si="968"/>
        <v>89301000</v>
      </c>
      <c r="B4396" t="str">
        <f t="shared" si="969"/>
        <v>72100000</v>
      </c>
      <c r="C4396" t="str">
        <f t="shared" si="970"/>
        <v>72100632</v>
      </c>
      <c r="D4396" t="str">
        <f t="shared" si="971"/>
        <v>816</v>
      </c>
      <c r="E4396" t="str">
        <f t="shared" si="972"/>
        <v>89301091</v>
      </c>
      <c r="F4396" t="str">
        <f>"2253090048"</f>
        <v>2253090048</v>
      </c>
      <c r="G4396" s="1">
        <v>44636</v>
      </c>
      <c r="H4396" t="str">
        <f t="shared" si="973"/>
        <v>94297</v>
      </c>
      <c r="I4396">
        <v>1</v>
      </c>
      <c r="J4396">
        <v>298</v>
      </c>
      <c r="K4396">
        <v>0</v>
      </c>
      <c r="L4396">
        <v>366.54</v>
      </c>
    </row>
    <row r="4397" spans="1:12" x14ac:dyDescent="0.25">
      <c r="A4397" t="str">
        <f t="shared" si="968"/>
        <v>89301000</v>
      </c>
      <c r="B4397" t="str">
        <f t="shared" si="969"/>
        <v>72100000</v>
      </c>
      <c r="C4397" t="str">
        <f t="shared" si="970"/>
        <v>72100632</v>
      </c>
      <c r="D4397" t="str">
        <f t="shared" si="971"/>
        <v>816</v>
      </c>
      <c r="E4397" t="str">
        <f t="shared" si="972"/>
        <v>89301091</v>
      </c>
      <c r="F4397" t="str">
        <f>"2253090059"</f>
        <v>2253090059</v>
      </c>
      <c r="G4397" s="1">
        <v>44636</v>
      </c>
      <c r="H4397" t="str">
        <f t="shared" si="973"/>
        <v>94297</v>
      </c>
      <c r="I4397">
        <v>1</v>
      </c>
      <c r="J4397">
        <v>298</v>
      </c>
      <c r="K4397">
        <v>0</v>
      </c>
      <c r="L4397">
        <v>366.54</v>
      </c>
    </row>
    <row r="4398" spans="1:12" x14ac:dyDescent="0.25">
      <c r="A4398" t="str">
        <f t="shared" si="968"/>
        <v>89301000</v>
      </c>
      <c r="B4398" t="str">
        <f t="shared" si="969"/>
        <v>72100000</v>
      </c>
      <c r="C4398" t="str">
        <f t="shared" si="970"/>
        <v>72100632</v>
      </c>
      <c r="D4398" t="str">
        <f t="shared" si="971"/>
        <v>816</v>
      </c>
      <c r="E4398" t="str">
        <f t="shared" si="972"/>
        <v>89301091</v>
      </c>
      <c r="F4398" t="str">
        <f>"2203090637"</f>
        <v>2203090637</v>
      </c>
      <c r="G4398" s="1">
        <v>44636</v>
      </c>
      <c r="H4398" t="str">
        <f t="shared" si="973"/>
        <v>94297</v>
      </c>
      <c r="I4398">
        <v>1</v>
      </c>
      <c r="J4398">
        <v>298</v>
      </c>
      <c r="K4398">
        <v>0</v>
      </c>
      <c r="L4398">
        <v>366.54</v>
      </c>
    </row>
    <row r="4399" spans="1:12" x14ac:dyDescent="0.25">
      <c r="A4399" t="str">
        <f t="shared" si="968"/>
        <v>89301000</v>
      </c>
      <c r="B4399" t="str">
        <f t="shared" si="969"/>
        <v>72100000</v>
      </c>
      <c r="C4399" t="str">
        <f t="shared" si="970"/>
        <v>72100632</v>
      </c>
      <c r="D4399" t="str">
        <f t="shared" si="971"/>
        <v>816</v>
      </c>
      <c r="E4399" t="str">
        <f t="shared" si="972"/>
        <v>89301091</v>
      </c>
      <c r="F4399" t="str">
        <f>"2203090670"</f>
        <v>2203090670</v>
      </c>
      <c r="G4399" s="1">
        <v>44636</v>
      </c>
      <c r="H4399" t="str">
        <f t="shared" si="973"/>
        <v>94297</v>
      </c>
      <c r="I4399">
        <v>1</v>
      </c>
      <c r="J4399">
        <v>298</v>
      </c>
      <c r="K4399">
        <v>0</v>
      </c>
      <c r="L4399">
        <v>366.54</v>
      </c>
    </row>
    <row r="4400" spans="1:12" x14ac:dyDescent="0.25">
      <c r="A4400" t="str">
        <f t="shared" si="968"/>
        <v>89301000</v>
      </c>
      <c r="B4400" t="str">
        <f t="shared" si="969"/>
        <v>72100000</v>
      </c>
      <c r="C4400" t="str">
        <f t="shared" si="970"/>
        <v>72100632</v>
      </c>
      <c r="D4400" t="str">
        <f t="shared" si="971"/>
        <v>816</v>
      </c>
      <c r="E4400" t="str">
        <f t="shared" si="972"/>
        <v>89301091</v>
      </c>
      <c r="F4400" t="str">
        <f>"2253100663"</f>
        <v>2253100663</v>
      </c>
      <c r="G4400" s="1">
        <v>44636</v>
      </c>
      <c r="H4400" t="str">
        <f t="shared" si="973"/>
        <v>94297</v>
      </c>
      <c r="I4400">
        <v>1</v>
      </c>
      <c r="J4400">
        <v>298</v>
      </c>
      <c r="K4400">
        <v>0</v>
      </c>
      <c r="L4400">
        <v>366.54</v>
      </c>
    </row>
    <row r="4401" spans="1:12" x14ac:dyDescent="0.25">
      <c r="A4401" t="str">
        <f t="shared" si="968"/>
        <v>89301000</v>
      </c>
      <c r="B4401" t="str">
        <f t="shared" si="969"/>
        <v>72100000</v>
      </c>
      <c r="C4401" t="str">
        <f t="shared" si="970"/>
        <v>72100632</v>
      </c>
      <c r="D4401" t="str">
        <f t="shared" si="971"/>
        <v>816</v>
      </c>
      <c r="E4401" t="str">
        <f t="shared" si="972"/>
        <v>89301091</v>
      </c>
      <c r="F4401" t="str">
        <f>"2203100581"</f>
        <v>2203100581</v>
      </c>
      <c r="G4401" s="1">
        <v>44636</v>
      </c>
      <c r="H4401" t="str">
        <f t="shared" si="973"/>
        <v>94297</v>
      </c>
      <c r="I4401">
        <v>1</v>
      </c>
      <c r="J4401">
        <v>298</v>
      </c>
      <c r="K4401">
        <v>0</v>
      </c>
      <c r="L4401">
        <v>366.54</v>
      </c>
    </row>
    <row r="4402" spans="1:12" x14ac:dyDescent="0.25">
      <c r="A4402" t="str">
        <f t="shared" si="968"/>
        <v>89301000</v>
      </c>
      <c r="B4402" t="str">
        <f t="shared" si="969"/>
        <v>72100000</v>
      </c>
      <c r="C4402" t="str">
        <f t="shared" si="970"/>
        <v>72100632</v>
      </c>
      <c r="D4402" t="str">
        <f t="shared" si="971"/>
        <v>816</v>
      </c>
      <c r="E4402" t="str">
        <f t="shared" si="972"/>
        <v>89301091</v>
      </c>
      <c r="F4402" t="str">
        <f>"2253110123"</f>
        <v>2253110123</v>
      </c>
      <c r="G4402" s="1">
        <v>44636</v>
      </c>
      <c r="H4402" t="str">
        <f t="shared" si="973"/>
        <v>94297</v>
      </c>
      <c r="I4402">
        <v>1</v>
      </c>
      <c r="J4402">
        <v>298</v>
      </c>
      <c r="K4402">
        <v>0</v>
      </c>
      <c r="L4402">
        <v>366.54</v>
      </c>
    </row>
    <row r="4403" spans="1:12" x14ac:dyDescent="0.25">
      <c r="A4403" t="str">
        <f t="shared" si="968"/>
        <v>89301000</v>
      </c>
      <c r="B4403" t="str">
        <f t="shared" si="969"/>
        <v>72100000</v>
      </c>
      <c r="C4403" t="str">
        <f t="shared" si="970"/>
        <v>72100632</v>
      </c>
      <c r="D4403" t="str">
        <f t="shared" si="971"/>
        <v>816</v>
      </c>
      <c r="E4403" t="str">
        <f t="shared" si="972"/>
        <v>89301091</v>
      </c>
      <c r="F4403" t="str">
        <f>"9957224860"</f>
        <v>9957224860</v>
      </c>
      <c r="G4403" s="1">
        <v>44636</v>
      </c>
      <c r="H4403" t="str">
        <f t="shared" si="973"/>
        <v>94297</v>
      </c>
      <c r="I4403">
        <v>1</v>
      </c>
      <c r="J4403">
        <v>298</v>
      </c>
      <c r="K4403">
        <v>0</v>
      </c>
      <c r="L4403">
        <v>366.54</v>
      </c>
    </row>
    <row r="4404" spans="1:12" x14ac:dyDescent="0.25">
      <c r="A4404" t="str">
        <f t="shared" si="968"/>
        <v>89301000</v>
      </c>
      <c r="B4404" t="str">
        <f t="shared" si="969"/>
        <v>72100000</v>
      </c>
      <c r="C4404" t="str">
        <f t="shared" si="970"/>
        <v>72100632</v>
      </c>
      <c r="D4404" t="str">
        <f t="shared" si="971"/>
        <v>816</v>
      </c>
      <c r="E4404" t="str">
        <f t="shared" si="972"/>
        <v>89301091</v>
      </c>
      <c r="F4404" t="str">
        <f>"8755205800"</f>
        <v>8755205800</v>
      </c>
      <c r="G4404" s="1">
        <v>44636</v>
      </c>
      <c r="H4404" t="str">
        <f t="shared" si="973"/>
        <v>94297</v>
      </c>
      <c r="I4404">
        <v>1</v>
      </c>
      <c r="J4404">
        <v>298</v>
      </c>
      <c r="K4404">
        <v>0</v>
      </c>
      <c r="L4404">
        <v>366.54</v>
      </c>
    </row>
    <row r="4405" spans="1:12" x14ac:dyDescent="0.25">
      <c r="A4405" t="str">
        <f t="shared" si="968"/>
        <v>89301000</v>
      </c>
      <c r="B4405" t="str">
        <f t="shared" si="969"/>
        <v>72100000</v>
      </c>
      <c r="C4405" t="str">
        <f t="shared" si="970"/>
        <v>72100632</v>
      </c>
      <c r="D4405" t="str">
        <f t="shared" si="971"/>
        <v>816</v>
      </c>
      <c r="E4405" t="str">
        <f t="shared" si="972"/>
        <v>89301091</v>
      </c>
      <c r="F4405" t="str">
        <f>"8559205479"</f>
        <v>8559205479</v>
      </c>
      <c r="G4405" s="1">
        <v>44638</v>
      </c>
      <c r="H4405" t="str">
        <f t="shared" si="973"/>
        <v>94297</v>
      </c>
      <c r="I4405">
        <v>1</v>
      </c>
      <c r="J4405">
        <v>298</v>
      </c>
      <c r="K4405">
        <v>0</v>
      </c>
      <c r="L4405">
        <v>366.54</v>
      </c>
    </row>
    <row r="4406" spans="1:12" x14ac:dyDescent="0.25">
      <c r="A4406" t="str">
        <f t="shared" si="968"/>
        <v>89301000</v>
      </c>
      <c r="B4406" t="str">
        <f t="shared" si="969"/>
        <v>72100000</v>
      </c>
      <c r="C4406" t="str">
        <f t="shared" si="970"/>
        <v>72100632</v>
      </c>
      <c r="D4406" t="str">
        <f t="shared" si="971"/>
        <v>816</v>
      </c>
      <c r="E4406" t="str">
        <f t="shared" si="972"/>
        <v>89301091</v>
      </c>
      <c r="F4406" t="str">
        <f>"2253120386"</f>
        <v>2253120386</v>
      </c>
      <c r="G4406" s="1">
        <v>44638</v>
      </c>
      <c r="H4406" t="str">
        <f t="shared" si="973"/>
        <v>94297</v>
      </c>
      <c r="I4406">
        <v>1</v>
      </c>
      <c r="J4406">
        <v>298</v>
      </c>
      <c r="K4406">
        <v>0</v>
      </c>
      <c r="L4406">
        <v>366.54</v>
      </c>
    </row>
    <row r="4407" spans="1:12" x14ac:dyDescent="0.25">
      <c r="A4407" t="str">
        <f t="shared" si="968"/>
        <v>89301000</v>
      </c>
      <c r="B4407" t="str">
        <f t="shared" si="969"/>
        <v>72100000</v>
      </c>
      <c r="C4407" t="str">
        <f t="shared" si="970"/>
        <v>72100632</v>
      </c>
      <c r="D4407" t="str">
        <f t="shared" si="971"/>
        <v>816</v>
      </c>
      <c r="E4407" t="str">
        <f t="shared" si="972"/>
        <v>89301091</v>
      </c>
      <c r="F4407" t="str">
        <f>"2253120408"</f>
        <v>2253120408</v>
      </c>
      <c r="G4407" s="1">
        <v>44638</v>
      </c>
      <c r="H4407" t="str">
        <f t="shared" si="973"/>
        <v>94297</v>
      </c>
      <c r="I4407">
        <v>1</v>
      </c>
      <c r="J4407">
        <v>298</v>
      </c>
      <c r="K4407">
        <v>0</v>
      </c>
      <c r="L4407">
        <v>366.54</v>
      </c>
    </row>
    <row r="4408" spans="1:12" x14ac:dyDescent="0.25">
      <c r="A4408" t="str">
        <f t="shared" si="968"/>
        <v>89301000</v>
      </c>
      <c r="B4408" t="str">
        <f t="shared" si="969"/>
        <v>72100000</v>
      </c>
      <c r="C4408" t="str">
        <f t="shared" si="970"/>
        <v>72100632</v>
      </c>
      <c r="D4408" t="str">
        <f t="shared" si="971"/>
        <v>816</v>
      </c>
      <c r="E4408" t="str">
        <f t="shared" si="972"/>
        <v>89301091</v>
      </c>
      <c r="F4408" t="str">
        <f>"2253130341"</f>
        <v>2253130341</v>
      </c>
      <c r="G4408" s="1">
        <v>44638</v>
      </c>
      <c r="H4408" t="str">
        <f t="shared" si="973"/>
        <v>94297</v>
      </c>
      <c r="I4408">
        <v>1</v>
      </c>
      <c r="J4408">
        <v>298</v>
      </c>
      <c r="K4408">
        <v>0</v>
      </c>
      <c r="L4408">
        <v>366.54</v>
      </c>
    </row>
    <row r="4409" spans="1:12" x14ac:dyDescent="0.25">
      <c r="A4409" t="str">
        <f t="shared" si="968"/>
        <v>89301000</v>
      </c>
      <c r="B4409" t="str">
        <f t="shared" si="969"/>
        <v>72100000</v>
      </c>
      <c r="C4409" t="str">
        <f t="shared" si="970"/>
        <v>72100632</v>
      </c>
      <c r="D4409" t="str">
        <f t="shared" si="971"/>
        <v>816</v>
      </c>
      <c r="E4409" t="str">
        <f t="shared" si="972"/>
        <v>89301091</v>
      </c>
      <c r="F4409" t="str">
        <f>"2203140115"</f>
        <v>2203140115</v>
      </c>
      <c r="G4409" s="1">
        <v>44641</v>
      </c>
      <c r="H4409" t="str">
        <f t="shared" si="973"/>
        <v>94297</v>
      </c>
      <c r="I4409">
        <v>1</v>
      </c>
      <c r="J4409">
        <v>298</v>
      </c>
      <c r="K4409">
        <v>0</v>
      </c>
      <c r="L4409">
        <v>366.54</v>
      </c>
    </row>
    <row r="4410" spans="1:12" x14ac:dyDescent="0.25">
      <c r="A4410" t="str">
        <f t="shared" si="968"/>
        <v>89301000</v>
      </c>
      <c r="B4410" t="str">
        <f t="shared" si="969"/>
        <v>72100000</v>
      </c>
      <c r="C4410" t="str">
        <f t="shared" si="970"/>
        <v>72100632</v>
      </c>
      <c r="D4410" t="str">
        <f t="shared" si="971"/>
        <v>816</v>
      </c>
      <c r="E4410" t="str">
        <f t="shared" si="972"/>
        <v>89301091</v>
      </c>
      <c r="F4410" t="str">
        <f>"2253140593"</f>
        <v>2253140593</v>
      </c>
      <c r="G4410" s="1">
        <v>44641</v>
      </c>
      <c r="H4410" t="str">
        <f t="shared" si="973"/>
        <v>94297</v>
      </c>
      <c r="I4410">
        <v>1</v>
      </c>
      <c r="J4410">
        <v>298</v>
      </c>
      <c r="K4410">
        <v>0</v>
      </c>
      <c r="L4410">
        <v>366.54</v>
      </c>
    </row>
    <row r="4411" spans="1:12" x14ac:dyDescent="0.25">
      <c r="A4411" t="str">
        <f t="shared" si="968"/>
        <v>89301000</v>
      </c>
      <c r="B4411" t="str">
        <f t="shared" si="969"/>
        <v>72100000</v>
      </c>
      <c r="C4411" t="str">
        <f t="shared" si="970"/>
        <v>72100632</v>
      </c>
      <c r="D4411" t="str">
        <f t="shared" si="971"/>
        <v>816</v>
      </c>
      <c r="E4411" t="str">
        <f t="shared" si="972"/>
        <v>89301091</v>
      </c>
      <c r="F4411" t="str">
        <f>"2253150064"</f>
        <v>2253150064</v>
      </c>
      <c r="G4411" s="1">
        <v>44642</v>
      </c>
      <c r="H4411" t="str">
        <f t="shared" si="973"/>
        <v>94297</v>
      </c>
      <c r="I4411">
        <v>1</v>
      </c>
      <c r="J4411">
        <v>298</v>
      </c>
      <c r="K4411">
        <v>0</v>
      </c>
      <c r="L4411">
        <v>366.54</v>
      </c>
    </row>
    <row r="4412" spans="1:12" x14ac:dyDescent="0.25">
      <c r="A4412" t="str">
        <f t="shared" si="968"/>
        <v>89301000</v>
      </c>
      <c r="B4412" t="str">
        <f t="shared" si="969"/>
        <v>72100000</v>
      </c>
      <c r="C4412" t="str">
        <f t="shared" si="970"/>
        <v>72100632</v>
      </c>
      <c r="D4412" t="str">
        <f t="shared" si="971"/>
        <v>816</v>
      </c>
      <c r="E4412" t="str">
        <f t="shared" si="972"/>
        <v>89301091</v>
      </c>
      <c r="F4412" t="str">
        <f>"2203150400"</f>
        <v>2203150400</v>
      </c>
      <c r="G4412" s="1">
        <v>44642</v>
      </c>
      <c r="H4412" t="str">
        <f t="shared" si="973"/>
        <v>94297</v>
      </c>
      <c r="I4412">
        <v>1</v>
      </c>
      <c r="J4412">
        <v>298</v>
      </c>
      <c r="K4412">
        <v>0</v>
      </c>
      <c r="L4412">
        <v>366.54</v>
      </c>
    </row>
    <row r="4413" spans="1:12" x14ac:dyDescent="0.25">
      <c r="A4413" t="str">
        <f t="shared" si="968"/>
        <v>89301000</v>
      </c>
      <c r="B4413" t="str">
        <f t="shared" si="969"/>
        <v>72100000</v>
      </c>
      <c r="C4413" t="str">
        <f t="shared" si="970"/>
        <v>72100632</v>
      </c>
      <c r="D4413" t="str">
        <f t="shared" si="971"/>
        <v>816</v>
      </c>
      <c r="E4413" t="str">
        <f t="shared" si="972"/>
        <v>89301091</v>
      </c>
      <c r="F4413" t="str">
        <f>"2253150383"</f>
        <v>2253150383</v>
      </c>
      <c r="G4413" s="1">
        <v>44642</v>
      </c>
      <c r="H4413" t="str">
        <f t="shared" si="973"/>
        <v>94297</v>
      </c>
      <c r="I4413">
        <v>1</v>
      </c>
      <c r="J4413">
        <v>298</v>
      </c>
      <c r="K4413">
        <v>0</v>
      </c>
      <c r="L4413">
        <v>366.54</v>
      </c>
    </row>
    <row r="4414" spans="1:12" x14ac:dyDescent="0.25">
      <c r="A4414" t="str">
        <f t="shared" si="968"/>
        <v>89301000</v>
      </c>
      <c r="B4414" t="str">
        <f t="shared" si="969"/>
        <v>72100000</v>
      </c>
      <c r="C4414" t="str">
        <f t="shared" si="970"/>
        <v>72100632</v>
      </c>
      <c r="D4414" t="str">
        <f t="shared" si="971"/>
        <v>816</v>
      </c>
      <c r="E4414" t="str">
        <f t="shared" si="972"/>
        <v>89301091</v>
      </c>
      <c r="F4414" t="str">
        <f>"2203150444"</f>
        <v>2203150444</v>
      </c>
      <c r="G4414" s="1">
        <v>44642</v>
      </c>
      <c r="H4414" t="str">
        <f t="shared" si="973"/>
        <v>94297</v>
      </c>
      <c r="I4414">
        <v>1</v>
      </c>
      <c r="J4414">
        <v>298</v>
      </c>
      <c r="K4414">
        <v>0</v>
      </c>
      <c r="L4414">
        <v>366.54</v>
      </c>
    </row>
    <row r="4415" spans="1:12" x14ac:dyDescent="0.25">
      <c r="A4415" t="str">
        <f t="shared" si="968"/>
        <v>89301000</v>
      </c>
      <c r="B4415" t="str">
        <f t="shared" si="969"/>
        <v>72100000</v>
      </c>
      <c r="C4415" t="str">
        <f t="shared" si="970"/>
        <v>72100632</v>
      </c>
      <c r="D4415" t="str">
        <f t="shared" si="971"/>
        <v>816</v>
      </c>
      <c r="E4415" t="str">
        <f t="shared" si="972"/>
        <v>89301091</v>
      </c>
      <c r="F4415" t="str">
        <f>"2253150394"</f>
        <v>2253150394</v>
      </c>
      <c r="G4415" s="1">
        <v>44642</v>
      </c>
      <c r="H4415" t="str">
        <f t="shared" si="973"/>
        <v>94297</v>
      </c>
      <c r="I4415">
        <v>1</v>
      </c>
      <c r="J4415">
        <v>298</v>
      </c>
      <c r="K4415">
        <v>0</v>
      </c>
      <c r="L4415">
        <v>366.54</v>
      </c>
    </row>
    <row r="4416" spans="1:12" x14ac:dyDescent="0.25">
      <c r="A4416" t="str">
        <f t="shared" si="968"/>
        <v>89301000</v>
      </c>
      <c r="B4416" t="str">
        <f t="shared" ref="B4416:B4445" si="974">"72100000"</f>
        <v>72100000</v>
      </c>
      <c r="C4416" t="str">
        <f t="shared" ref="C4416:C4445" si="975">"72100632"</f>
        <v>72100632</v>
      </c>
      <c r="D4416" t="str">
        <f t="shared" ref="D4416:D4445" si="976">"816"</f>
        <v>816</v>
      </c>
      <c r="E4416" t="str">
        <f t="shared" ref="E4416:E4443" si="977">"89301091"</f>
        <v>89301091</v>
      </c>
      <c r="F4416" t="str">
        <f>"2203160740"</f>
        <v>2203160740</v>
      </c>
      <c r="G4416" s="1">
        <v>44643</v>
      </c>
      <c r="H4416" t="str">
        <f t="shared" ref="H4416:H4443" si="978">"94297"</f>
        <v>94297</v>
      </c>
      <c r="I4416">
        <v>1</v>
      </c>
      <c r="J4416">
        <v>298</v>
      </c>
      <c r="K4416">
        <v>0</v>
      </c>
      <c r="L4416">
        <v>366.54</v>
      </c>
    </row>
    <row r="4417" spans="1:12" x14ac:dyDescent="0.25">
      <c r="A4417" t="str">
        <f t="shared" si="968"/>
        <v>89301000</v>
      </c>
      <c r="B4417" t="str">
        <f t="shared" si="974"/>
        <v>72100000</v>
      </c>
      <c r="C4417" t="str">
        <f t="shared" si="975"/>
        <v>72100632</v>
      </c>
      <c r="D4417" t="str">
        <f t="shared" si="976"/>
        <v>816</v>
      </c>
      <c r="E4417" t="str">
        <f t="shared" si="977"/>
        <v>89301091</v>
      </c>
      <c r="F4417" t="str">
        <f>"2203160729"</f>
        <v>2203160729</v>
      </c>
      <c r="G4417" s="1">
        <v>44643</v>
      </c>
      <c r="H4417" t="str">
        <f t="shared" si="978"/>
        <v>94297</v>
      </c>
      <c r="I4417">
        <v>1</v>
      </c>
      <c r="J4417">
        <v>298</v>
      </c>
      <c r="K4417">
        <v>0</v>
      </c>
      <c r="L4417">
        <v>366.54</v>
      </c>
    </row>
    <row r="4418" spans="1:12" x14ac:dyDescent="0.25">
      <c r="A4418" t="str">
        <f t="shared" ref="A4418:A4481" si="979">"89301000"</f>
        <v>89301000</v>
      </c>
      <c r="B4418" t="str">
        <f t="shared" si="974"/>
        <v>72100000</v>
      </c>
      <c r="C4418" t="str">
        <f t="shared" si="975"/>
        <v>72100632</v>
      </c>
      <c r="D4418" t="str">
        <f t="shared" si="976"/>
        <v>816</v>
      </c>
      <c r="E4418" t="str">
        <f t="shared" si="977"/>
        <v>89301091</v>
      </c>
      <c r="F4418" t="str">
        <f>"2253170601"</f>
        <v>2253170601</v>
      </c>
      <c r="G4418" s="1">
        <v>44643</v>
      </c>
      <c r="H4418" t="str">
        <f t="shared" si="978"/>
        <v>94297</v>
      </c>
      <c r="I4418">
        <v>1</v>
      </c>
      <c r="J4418">
        <v>298</v>
      </c>
      <c r="K4418">
        <v>0</v>
      </c>
      <c r="L4418">
        <v>366.54</v>
      </c>
    </row>
    <row r="4419" spans="1:12" x14ac:dyDescent="0.25">
      <c r="A4419" t="str">
        <f t="shared" si="979"/>
        <v>89301000</v>
      </c>
      <c r="B4419" t="str">
        <f t="shared" si="974"/>
        <v>72100000</v>
      </c>
      <c r="C4419" t="str">
        <f t="shared" si="975"/>
        <v>72100632</v>
      </c>
      <c r="D4419" t="str">
        <f t="shared" si="976"/>
        <v>816</v>
      </c>
      <c r="E4419" t="str">
        <f t="shared" si="977"/>
        <v>89301091</v>
      </c>
      <c r="F4419" t="str">
        <f>"9853155708"</f>
        <v>9853155708</v>
      </c>
      <c r="G4419" s="1">
        <v>44643</v>
      </c>
      <c r="H4419" t="str">
        <f t="shared" si="978"/>
        <v>94297</v>
      </c>
      <c r="I4419">
        <v>1</v>
      </c>
      <c r="J4419">
        <v>298</v>
      </c>
      <c r="K4419">
        <v>0</v>
      </c>
      <c r="L4419">
        <v>366.54</v>
      </c>
    </row>
    <row r="4420" spans="1:12" x14ac:dyDescent="0.25">
      <c r="A4420" t="str">
        <f t="shared" si="979"/>
        <v>89301000</v>
      </c>
      <c r="B4420" t="str">
        <f t="shared" si="974"/>
        <v>72100000</v>
      </c>
      <c r="C4420" t="str">
        <f t="shared" si="975"/>
        <v>72100632</v>
      </c>
      <c r="D4420" t="str">
        <f t="shared" si="976"/>
        <v>816</v>
      </c>
      <c r="E4420" t="str">
        <f t="shared" si="977"/>
        <v>89301091</v>
      </c>
      <c r="F4420" t="str">
        <f>"2203170640"</f>
        <v>2203170640</v>
      </c>
      <c r="G4420" s="1">
        <v>44643</v>
      </c>
      <c r="H4420" t="str">
        <f t="shared" si="978"/>
        <v>94297</v>
      </c>
      <c r="I4420">
        <v>1</v>
      </c>
      <c r="J4420">
        <v>298</v>
      </c>
      <c r="K4420">
        <v>0</v>
      </c>
      <c r="L4420">
        <v>366.54</v>
      </c>
    </row>
    <row r="4421" spans="1:12" x14ac:dyDescent="0.25">
      <c r="A4421" t="str">
        <f t="shared" si="979"/>
        <v>89301000</v>
      </c>
      <c r="B4421" t="str">
        <f t="shared" si="974"/>
        <v>72100000</v>
      </c>
      <c r="C4421" t="str">
        <f t="shared" si="975"/>
        <v>72100632</v>
      </c>
      <c r="D4421" t="str">
        <f t="shared" si="976"/>
        <v>816</v>
      </c>
      <c r="E4421" t="str">
        <f t="shared" si="977"/>
        <v>89301091</v>
      </c>
      <c r="F4421" t="str">
        <f>"2253170634"</f>
        <v>2253170634</v>
      </c>
      <c r="G4421" s="1">
        <v>44643</v>
      </c>
      <c r="H4421" t="str">
        <f t="shared" si="978"/>
        <v>94297</v>
      </c>
      <c r="I4421">
        <v>1</v>
      </c>
      <c r="J4421">
        <v>298</v>
      </c>
      <c r="K4421">
        <v>0</v>
      </c>
      <c r="L4421">
        <v>366.54</v>
      </c>
    </row>
    <row r="4422" spans="1:12" x14ac:dyDescent="0.25">
      <c r="A4422" t="str">
        <f t="shared" si="979"/>
        <v>89301000</v>
      </c>
      <c r="B4422" t="str">
        <f t="shared" si="974"/>
        <v>72100000</v>
      </c>
      <c r="C4422" t="str">
        <f t="shared" si="975"/>
        <v>72100632</v>
      </c>
      <c r="D4422" t="str">
        <f t="shared" si="976"/>
        <v>816</v>
      </c>
      <c r="E4422" t="str">
        <f t="shared" si="977"/>
        <v>89301091</v>
      </c>
      <c r="F4422" t="str">
        <f>"8460125333"</f>
        <v>8460125333</v>
      </c>
      <c r="G4422" s="1">
        <v>44643</v>
      </c>
      <c r="H4422" t="str">
        <f t="shared" si="978"/>
        <v>94297</v>
      </c>
      <c r="I4422">
        <v>1</v>
      </c>
      <c r="J4422">
        <v>298</v>
      </c>
      <c r="K4422">
        <v>0</v>
      </c>
      <c r="L4422">
        <v>366.54</v>
      </c>
    </row>
    <row r="4423" spans="1:12" x14ac:dyDescent="0.25">
      <c r="A4423" t="str">
        <f t="shared" si="979"/>
        <v>89301000</v>
      </c>
      <c r="B4423" t="str">
        <f t="shared" si="974"/>
        <v>72100000</v>
      </c>
      <c r="C4423" t="str">
        <f t="shared" si="975"/>
        <v>72100632</v>
      </c>
      <c r="D4423" t="str">
        <f t="shared" si="976"/>
        <v>816</v>
      </c>
      <c r="E4423" t="str">
        <f t="shared" si="977"/>
        <v>89301091</v>
      </c>
      <c r="F4423" t="str">
        <f>"8761265788"</f>
        <v>8761265788</v>
      </c>
      <c r="G4423" s="1">
        <v>44643</v>
      </c>
      <c r="H4423" t="str">
        <f t="shared" si="978"/>
        <v>94297</v>
      </c>
      <c r="I4423">
        <v>1</v>
      </c>
      <c r="J4423">
        <v>298</v>
      </c>
      <c r="K4423">
        <v>0</v>
      </c>
      <c r="L4423">
        <v>366.54</v>
      </c>
    </row>
    <row r="4424" spans="1:12" x14ac:dyDescent="0.25">
      <c r="A4424" t="str">
        <f t="shared" si="979"/>
        <v>89301000</v>
      </c>
      <c r="B4424" t="str">
        <f t="shared" si="974"/>
        <v>72100000</v>
      </c>
      <c r="C4424" t="str">
        <f t="shared" si="975"/>
        <v>72100632</v>
      </c>
      <c r="D4424" t="str">
        <f t="shared" si="976"/>
        <v>816</v>
      </c>
      <c r="E4424" t="str">
        <f t="shared" si="977"/>
        <v>89301091</v>
      </c>
      <c r="F4424" t="str">
        <f>"9957305303"</f>
        <v>9957305303</v>
      </c>
      <c r="G4424" s="1">
        <v>44643</v>
      </c>
      <c r="H4424" t="str">
        <f t="shared" si="978"/>
        <v>94297</v>
      </c>
      <c r="I4424">
        <v>1</v>
      </c>
      <c r="J4424">
        <v>298</v>
      </c>
      <c r="K4424">
        <v>0</v>
      </c>
      <c r="L4424">
        <v>366.54</v>
      </c>
    </row>
    <row r="4425" spans="1:12" x14ac:dyDescent="0.25">
      <c r="A4425" t="str">
        <f t="shared" si="979"/>
        <v>89301000</v>
      </c>
      <c r="B4425" t="str">
        <f t="shared" si="974"/>
        <v>72100000</v>
      </c>
      <c r="C4425" t="str">
        <f t="shared" si="975"/>
        <v>72100632</v>
      </c>
      <c r="D4425" t="str">
        <f t="shared" si="976"/>
        <v>816</v>
      </c>
      <c r="E4425" t="str">
        <f t="shared" si="977"/>
        <v>89301091</v>
      </c>
      <c r="F4425" t="str">
        <f>"9253255726"</f>
        <v>9253255726</v>
      </c>
      <c r="G4425" s="1">
        <v>44643</v>
      </c>
      <c r="H4425" t="str">
        <f t="shared" si="978"/>
        <v>94297</v>
      </c>
      <c r="I4425">
        <v>1</v>
      </c>
      <c r="J4425">
        <v>298</v>
      </c>
      <c r="K4425">
        <v>0</v>
      </c>
      <c r="L4425">
        <v>366.54</v>
      </c>
    </row>
    <row r="4426" spans="1:12" x14ac:dyDescent="0.25">
      <c r="A4426" t="str">
        <f t="shared" si="979"/>
        <v>89301000</v>
      </c>
      <c r="B4426" t="str">
        <f t="shared" si="974"/>
        <v>72100000</v>
      </c>
      <c r="C4426" t="str">
        <f t="shared" si="975"/>
        <v>72100632</v>
      </c>
      <c r="D4426" t="str">
        <f t="shared" si="976"/>
        <v>816</v>
      </c>
      <c r="E4426" t="str">
        <f t="shared" si="977"/>
        <v>89301091</v>
      </c>
      <c r="F4426" t="str">
        <f>"2203190330"</f>
        <v>2203190330</v>
      </c>
      <c r="G4426" s="1">
        <v>44644</v>
      </c>
      <c r="H4426" t="str">
        <f t="shared" si="978"/>
        <v>94297</v>
      </c>
      <c r="I4426">
        <v>1</v>
      </c>
      <c r="J4426">
        <v>298</v>
      </c>
      <c r="K4426">
        <v>0</v>
      </c>
      <c r="L4426">
        <v>366.54</v>
      </c>
    </row>
    <row r="4427" spans="1:12" x14ac:dyDescent="0.25">
      <c r="A4427" t="str">
        <f t="shared" si="979"/>
        <v>89301000</v>
      </c>
      <c r="B4427" t="str">
        <f t="shared" si="974"/>
        <v>72100000</v>
      </c>
      <c r="C4427" t="str">
        <f t="shared" si="975"/>
        <v>72100632</v>
      </c>
      <c r="D4427" t="str">
        <f t="shared" si="976"/>
        <v>816</v>
      </c>
      <c r="E4427" t="str">
        <f t="shared" si="977"/>
        <v>89301091</v>
      </c>
      <c r="F4427" t="str">
        <f>"2203190341"</f>
        <v>2203190341</v>
      </c>
      <c r="G4427" s="1">
        <v>44644</v>
      </c>
      <c r="H4427" t="str">
        <f t="shared" si="978"/>
        <v>94297</v>
      </c>
      <c r="I4427">
        <v>1</v>
      </c>
      <c r="J4427">
        <v>298</v>
      </c>
      <c r="K4427">
        <v>0</v>
      </c>
      <c r="L4427">
        <v>366.54</v>
      </c>
    </row>
    <row r="4428" spans="1:12" x14ac:dyDescent="0.25">
      <c r="A4428" t="str">
        <f t="shared" si="979"/>
        <v>89301000</v>
      </c>
      <c r="B4428" t="str">
        <f t="shared" si="974"/>
        <v>72100000</v>
      </c>
      <c r="C4428" t="str">
        <f t="shared" si="975"/>
        <v>72100632</v>
      </c>
      <c r="D4428" t="str">
        <f t="shared" si="976"/>
        <v>816</v>
      </c>
      <c r="E4428" t="str">
        <f t="shared" si="977"/>
        <v>89301091</v>
      </c>
      <c r="F4428" t="str">
        <f>"2203210526"</f>
        <v>2203210526</v>
      </c>
      <c r="G4428" s="1">
        <v>44648</v>
      </c>
      <c r="H4428" t="str">
        <f t="shared" si="978"/>
        <v>94297</v>
      </c>
      <c r="I4428">
        <v>1</v>
      </c>
      <c r="J4428">
        <v>298</v>
      </c>
      <c r="K4428">
        <v>0</v>
      </c>
      <c r="L4428">
        <v>366.54</v>
      </c>
    </row>
    <row r="4429" spans="1:12" x14ac:dyDescent="0.25">
      <c r="A4429" t="str">
        <f t="shared" si="979"/>
        <v>89301000</v>
      </c>
      <c r="B4429" t="str">
        <f t="shared" si="974"/>
        <v>72100000</v>
      </c>
      <c r="C4429" t="str">
        <f t="shared" si="975"/>
        <v>72100632</v>
      </c>
      <c r="D4429" t="str">
        <f t="shared" si="976"/>
        <v>816</v>
      </c>
      <c r="E4429" t="str">
        <f t="shared" si="977"/>
        <v>89301091</v>
      </c>
      <c r="F4429" t="str">
        <f>"2253210729"</f>
        <v>2253210729</v>
      </c>
      <c r="G4429" s="1">
        <v>44648</v>
      </c>
      <c r="H4429" t="str">
        <f t="shared" si="978"/>
        <v>94297</v>
      </c>
      <c r="I4429">
        <v>1</v>
      </c>
      <c r="J4429">
        <v>298</v>
      </c>
      <c r="K4429">
        <v>0</v>
      </c>
      <c r="L4429">
        <v>366.54</v>
      </c>
    </row>
    <row r="4430" spans="1:12" x14ac:dyDescent="0.25">
      <c r="A4430" t="str">
        <f t="shared" si="979"/>
        <v>89301000</v>
      </c>
      <c r="B4430" t="str">
        <f t="shared" si="974"/>
        <v>72100000</v>
      </c>
      <c r="C4430" t="str">
        <f t="shared" si="975"/>
        <v>72100632</v>
      </c>
      <c r="D4430" t="str">
        <f t="shared" si="976"/>
        <v>816</v>
      </c>
      <c r="E4430" t="str">
        <f t="shared" si="977"/>
        <v>89301091</v>
      </c>
      <c r="F4430" t="str">
        <f>"2203220085"</f>
        <v>2203220085</v>
      </c>
      <c r="G4430" s="1">
        <v>44649</v>
      </c>
      <c r="H4430" t="str">
        <f t="shared" si="978"/>
        <v>94297</v>
      </c>
      <c r="I4430">
        <v>1</v>
      </c>
      <c r="J4430">
        <v>298</v>
      </c>
      <c r="K4430">
        <v>0</v>
      </c>
      <c r="L4430">
        <v>366.54</v>
      </c>
    </row>
    <row r="4431" spans="1:12" x14ac:dyDescent="0.25">
      <c r="A4431" t="str">
        <f t="shared" si="979"/>
        <v>89301000</v>
      </c>
      <c r="B4431" t="str">
        <f t="shared" si="974"/>
        <v>72100000</v>
      </c>
      <c r="C4431" t="str">
        <f t="shared" si="975"/>
        <v>72100632</v>
      </c>
      <c r="D4431" t="str">
        <f t="shared" si="976"/>
        <v>816</v>
      </c>
      <c r="E4431" t="str">
        <f t="shared" si="977"/>
        <v>89301091</v>
      </c>
      <c r="F4431" t="str">
        <f>"2253220431"</f>
        <v>2253220431</v>
      </c>
      <c r="G4431" s="1">
        <v>44649</v>
      </c>
      <c r="H4431" t="str">
        <f t="shared" si="978"/>
        <v>94297</v>
      </c>
      <c r="I4431">
        <v>1</v>
      </c>
      <c r="J4431">
        <v>298</v>
      </c>
      <c r="K4431">
        <v>0</v>
      </c>
      <c r="L4431">
        <v>366.54</v>
      </c>
    </row>
    <row r="4432" spans="1:12" x14ac:dyDescent="0.25">
      <c r="A4432" t="str">
        <f t="shared" si="979"/>
        <v>89301000</v>
      </c>
      <c r="B4432" t="str">
        <f t="shared" si="974"/>
        <v>72100000</v>
      </c>
      <c r="C4432" t="str">
        <f t="shared" si="975"/>
        <v>72100632</v>
      </c>
      <c r="D4432" t="str">
        <f t="shared" si="976"/>
        <v>816</v>
      </c>
      <c r="E4432" t="str">
        <f t="shared" si="977"/>
        <v>89301091</v>
      </c>
      <c r="F4432" t="str">
        <f>"2203220569"</f>
        <v>2203220569</v>
      </c>
      <c r="G4432" s="1">
        <v>44649</v>
      </c>
      <c r="H4432" t="str">
        <f t="shared" si="978"/>
        <v>94297</v>
      </c>
      <c r="I4432">
        <v>1</v>
      </c>
      <c r="J4432">
        <v>298</v>
      </c>
      <c r="K4432">
        <v>0</v>
      </c>
      <c r="L4432">
        <v>366.54</v>
      </c>
    </row>
    <row r="4433" spans="1:12" x14ac:dyDescent="0.25">
      <c r="A4433" t="str">
        <f t="shared" si="979"/>
        <v>89301000</v>
      </c>
      <c r="B4433" t="str">
        <f t="shared" si="974"/>
        <v>72100000</v>
      </c>
      <c r="C4433" t="str">
        <f t="shared" si="975"/>
        <v>72100632</v>
      </c>
      <c r="D4433" t="str">
        <f t="shared" si="976"/>
        <v>816</v>
      </c>
      <c r="E4433" t="str">
        <f t="shared" si="977"/>
        <v>89301091</v>
      </c>
      <c r="F4433" t="str">
        <f>"2203230128"</f>
        <v>2203230128</v>
      </c>
      <c r="G4433" s="1">
        <v>44650</v>
      </c>
      <c r="H4433" t="str">
        <f t="shared" si="978"/>
        <v>94297</v>
      </c>
      <c r="I4433">
        <v>1</v>
      </c>
      <c r="J4433">
        <v>298</v>
      </c>
      <c r="K4433">
        <v>0</v>
      </c>
      <c r="L4433">
        <v>366.54</v>
      </c>
    </row>
    <row r="4434" spans="1:12" x14ac:dyDescent="0.25">
      <c r="A4434" t="str">
        <f t="shared" si="979"/>
        <v>89301000</v>
      </c>
      <c r="B4434" t="str">
        <f t="shared" si="974"/>
        <v>72100000</v>
      </c>
      <c r="C4434" t="str">
        <f t="shared" si="975"/>
        <v>72100632</v>
      </c>
      <c r="D4434" t="str">
        <f t="shared" si="976"/>
        <v>816</v>
      </c>
      <c r="E4434" t="str">
        <f t="shared" si="977"/>
        <v>89301091</v>
      </c>
      <c r="F4434" t="str">
        <f>"2203230645"</f>
        <v>2203230645</v>
      </c>
      <c r="G4434" s="1">
        <v>44650</v>
      </c>
      <c r="H4434" t="str">
        <f t="shared" si="978"/>
        <v>94297</v>
      </c>
      <c r="I4434">
        <v>1</v>
      </c>
      <c r="J4434">
        <v>298</v>
      </c>
      <c r="K4434">
        <v>0</v>
      </c>
      <c r="L4434">
        <v>366.54</v>
      </c>
    </row>
    <row r="4435" spans="1:12" x14ac:dyDescent="0.25">
      <c r="A4435" t="str">
        <f t="shared" si="979"/>
        <v>89301000</v>
      </c>
      <c r="B4435" t="str">
        <f t="shared" si="974"/>
        <v>72100000</v>
      </c>
      <c r="C4435" t="str">
        <f t="shared" si="975"/>
        <v>72100632</v>
      </c>
      <c r="D4435" t="str">
        <f t="shared" si="976"/>
        <v>816</v>
      </c>
      <c r="E4435" t="str">
        <f t="shared" si="977"/>
        <v>89301091</v>
      </c>
      <c r="F4435" t="str">
        <f>"2203230689"</f>
        <v>2203230689</v>
      </c>
      <c r="G4435" s="1">
        <v>44650</v>
      </c>
      <c r="H4435" t="str">
        <f t="shared" si="978"/>
        <v>94297</v>
      </c>
      <c r="I4435">
        <v>1</v>
      </c>
      <c r="J4435">
        <v>298</v>
      </c>
      <c r="K4435">
        <v>0</v>
      </c>
      <c r="L4435">
        <v>366.54</v>
      </c>
    </row>
    <row r="4436" spans="1:12" x14ac:dyDescent="0.25">
      <c r="A4436" t="str">
        <f t="shared" si="979"/>
        <v>89301000</v>
      </c>
      <c r="B4436" t="str">
        <f t="shared" si="974"/>
        <v>72100000</v>
      </c>
      <c r="C4436" t="str">
        <f t="shared" si="975"/>
        <v>72100632</v>
      </c>
      <c r="D4436" t="str">
        <f t="shared" si="976"/>
        <v>816</v>
      </c>
      <c r="E4436" t="str">
        <f t="shared" si="977"/>
        <v>89301091</v>
      </c>
      <c r="F4436" t="str">
        <f>"2203240028"</f>
        <v>2203240028</v>
      </c>
      <c r="G4436" s="1">
        <v>44650</v>
      </c>
      <c r="H4436" t="str">
        <f t="shared" si="978"/>
        <v>94297</v>
      </c>
      <c r="I4436">
        <v>1</v>
      </c>
      <c r="J4436">
        <v>298</v>
      </c>
      <c r="K4436">
        <v>0</v>
      </c>
      <c r="L4436">
        <v>366.54</v>
      </c>
    </row>
    <row r="4437" spans="1:12" x14ac:dyDescent="0.25">
      <c r="A4437" t="str">
        <f t="shared" si="979"/>
        <v>89301000</v>
      </c>
      <c r="B4437" t="str">
        <f t="shared" si="974"/>
        <v>72100000</v>
      </c>
      <c r="C4437" t="str">
        <f t="shared" si="975"/>
        <v>72100632</v>
      </c>
      <c r="D4437" t="str">
        <f t="shared" si="976"/>
        <v>816</v>
      </c>
      <c r="E4437" t="str">
        <f t="shared" si="977"/>
        <v>89301091</v>
      </c>
      <c r="F4437" t="str">
        <f>"9352115718"</f>
        <v>9352115718</v>
      </c>
      <c r="G4437" s="1">
        <v>44650</v>
      </c>
      <c r="H4437" t="str">
        <f t="shared" si="978"/>
        <v>94297</v>
      </c>
      <c r="I4437">
        <v>1</v>
      </c>
      <c r="J4437">
        <v>298</v>
      </c>
      <c r="K4437">
        <v>0</v>
      </c>
      <c r="L4437">
        <v>366.54</v>
      </c>
    </row>
    <row r="4438" spans="1:12" x14ac:dyDescent="0.25">
      <c r="A4438" t="str">
        <f t="shared" si="979"/>
        <v>89301000</v>
      </c>
      <c r="B4438" t="str">
        <f t="shared" si="974"/>
        <v>72100000</v>
      </c>
      <c r="C4438" t="str">
        <f t="shared" si="975"/>
        <v>72100632</v>
      </c>
      <c r="D4438" t="str">
        <f t="shared" si="976"/>
        <v>816</v>
      </c>
      <c r="E4438" t="str">
        <f t="shared" si="977"/>
        <v>89301091</v>
      </c>
      <c r="F4438" t="str">
        <f>"2253240748"</f>
        <v>2253240748</v>
      </c>
      <c r="G4438" s="1">
        <v>44650</v>
      </c>
      <c r="H4438" t="str">
        <f t="shared" si="978"/>
        <v>94297</v>
      </c>
      <c r="I4438">
        <v>1</v>
      </c>
      <c r="J4438">
        <v>298</v>
      </c>
      <c r="K4438">
        <v>0</v>
      </c>
      <c r="L4438">
        <v>366.54</v>
      </c>
    </row>
    <row r="4439" spans="1:12" x14ac:dyDescent="0.25">
      <c r="A4439" t="str">
        <f t="shared" si="979"/>
        <v>89301000</v>
      </c>
      <c r="B4439" t="str">
        <f t="shared" si="974"/>
        <v>72100000</v>
      </c>
      <c r="C4439" t="str">
        <f t="shared" si="975"/>
        <v>72100632</v>
      </c>
      <c r="D4439" t="str">
        <f t="shared" si="976"/>
        <v>816</v>
      </c>
      <c r="E4439" t="str">
        <f t="shared" si="977"/>
        <v>89301091</v>
      </c>
      <c r="F4439" t="str">
        <f>"2203240468"</f>
        <v>2203240468</v>
      </c>
      <c r="G4439" s="1">
        <v>44650</v>
      </c>
      <c r="H4439" t="str">
        <f t="shared" si="978"/>
        <v>94297</v>
      </c>
      <c r="I4439">
        <v>1</v>
      </c>
      <c r="J4439">
        <v>298</v>
      </c>
      <c r="K4439">
        <v>0</v>
      </c>
      <c r="L4439">
        <v>366.54</v>
      </c>
    </row>
    <row r="4440" spans="1:12" x14ac:dyDescent="0.25">
      <c r="A4440" t="str">
        <f t="shared" si="979"/>
        <v>89301000</v>
      </c>
      <c r="B4440" t="str">
        <f t="shared" si="974"/>
        <v>72100000</v>
      </c>
      <c r="C4440" t="str">
        <f t="shared" si="975"/>
        <v>72100632</v>
      </c>
      <c r="D4440" t="str">
        <f t="shared" si="976"/>
        <v>816</v>
      </c>
      <c r="E4440" t="str">
        <f t="shared" si="977"/>
        <v>89301091</v>
      </c>
      <c r="F4440" t="str">
        <f>"2203240479"</f>
        <v>2203240479</v>
      </c>
      <c r="G4440" s="1">
        <v>44650</v>
      </c>
      <c r="H4440" t="str">
        <f t="shared" si="978"/>
        <v>94297</v>
      </c>
      <c r="I4440">
        <v>1</v>
      </c>
      <c r="J4440">
        <v>298</v>
      </c>
      <c r="K4440">
        <v>0</v>
      </c>
      <c r="L4440">
        <v>366.54</v>
      </c>
    </row>
    <row r="4441" spans="1:12" x14ac:dyDescent="0.25">
      <c r="A4441" t="str">
        <f t="shared" si="979"/>
        <v>89301000</v>
      </c>
      <c r="B4441" t="str">
        <f t="shared" si="974"/>
        <v>72100000</v>
      </c>
      <c r="C4441" t="str">
        <f t="shared" si="975"/>
        <v>72100632</v>
      </c>
      <c r="D4441" t="str">
        <f t="shared" si="976"/>
        <v>816</v>
      </c>
      <c r="E4441" t="str">
        <f t="shared" si="977"/>
        <v>89301091</v>
      </c>
      <c r="F4441" t="str">
        <f>"7960145303"</f>
        <v>7960145303</v>
      </c>
      <c r="G4441" s="1">
        <v>44650</v>
      </c>
      <c r="H4441" t="str">
        <f t="shared" si="978"/>
        <v>94297</v>
      </c>
      <c r="I4441">
        <v>1</v>
      </c>
      <c r="J4441">
        <v>298</v>
      </c>
      <c r="K4441">
        <v>0</v>
      </c>
      <c r="L4441">
        <v>366.54</v>
      </c>
    </row>
    <row r="4442" spans="1:12" x14ac:dyDescent="0.25">
      <c r="A4442" t="str">
        <f t="shared" si="979"/>
        <v>89301000</v>
      </c>
      <c r="B4442" t="str">
        <f t="shared" si="974"/>
        <v>72100000</v>
      </c>
      <c r="C4442" t="str">
        <f t="shared" si="975"/>
        <v>72100632</v>
      </c>
      <c r="D4442" t="str">
        <f t="shared" si="976"/>
        <v>816</v>
      </c>
      <c r="E4442" t="str">
        <f t="shared" si="977"/>
        <v>89301091</v>
      </c>
      <c r="F4442" t="str">
        <f>"8257295321"</f>
        <v>8257295321</v>
      </c>
      <c r="G4442" s="1">
        <v>44602</v>
      </c>
      <c r="H4442" t="str">
        <f t="shared" si="978"/>
        <v>94297</v>
      </c>
      <c r="I4442">
        <v>1</v>
      </c>
      <c r="J4442">
        <v>298</v>
      </c>
      <c r="K4442">
        <v>0</v>
      </c>
      <c r="L4442">
        <v>366.54</v>
      </c>
    </row>
    <row r="4443" spans="1:12" x14ac:dyDescent="0.25">
      <c r="A4443" t="str">
        <f t="shared" si="979"/>
        <v>89301000</v>
      </c>
      <c r="B4443" t="str">
        <f t="shared" si="974"/>
        <v>72100000</v>
      </c>
      <c r="C4443" t="str">
        <f t="shared" si="975"/>
        <v>72100632</v>
      </c>
      <c r="D4443" t="str">
        <f t="shared" si="976"/>
        <v>816</v>
      </c>
      <c r="E4443" t="str">
        <f t="shared" si="977"/>
        <v>89301091</v>
      </c>
      <c r="F4443" t="str">
        <f>"2162030673"</f>
        <v>2162030673</v>
      </c>
      <c r="G4443" s="1">
        <v>44613</v>
      </c>
      <c r="H4443" t="str">
        <f t="shared" si="978"/>
        <v>94297</v>
      </c>
      <c r="I4443">
        <v>1</v>
      </c>
      <c r="J4443">
        <v>298</v>
      </c>
      <c r="K4443">
        <v>0</v>
      </c>
      <c r="L4443">
        <v>366.54</v>
      </c>
    </row>
    <row r="4444" spans="1:12" x14ac:dyDescent="0.25">
      <c r="A4444" t="str">
        <f t="shared" si="979"/>
        <v>89301000</v>
      </c>
      <c r="B4444" t="str">
        <f t="shared" si="974"/>
        <v>72100000</v>
      </c>
      <c r="C4444" t="str">
        <f t="shared" si="975"/>
        <v>72100632</v>
      </c>
      <c r="D4444" t="str">
        <f t="shared" si="976"/>
        <v>816</v>
      </c>
      <c r="E4444" t="str">
        <f>"89301282"</f>
        <v>89301282</v>
      </c>
      <c r="F4444" t="str">
        <f>"6362280672"</f>
        <v>6362280672</v>
      </c>
      <c r="G4444" s="1">
        <v>44595</v>
      </c>
      <c r="H4444" t="str">
        <f>"94982"</f>
        <v>94982</v>
      </c>
      <c r="I4444">
        <v>1</v>
      </c>
      <c r="J4444">
        <v>0</v>
      </c>
      <c r="K4444">
        <v>27500</v>
      </c>
      <c r="L4444">
        <v>27500</v>
      </c>
    </row>
    <row r="4445" spans="1:12" x14ac:dyDescent="0.25">
      <c r="A4445" t="str">
        <f t="shared" si="979"/>
        <v>89301000</v>
      </c>
      <c r="B4445" t="str">
        <f t="shared" si="974"/>
        <v>72100000</v>
      </c>
      <c r="C4445" t="str">
        <f t="shared" si="975"/>
        <v>72100632</v>
      </c>
      <c r="D4445" t="str">
        <f t="shared" si="976"/>
        <v>816</v>
      </c>
      <c r="E4445" t="str">
        <f>"89301282"</f>
        <v>89301282</v>
      </c>
      <c r="F4445" t="str">
        <f>"6362280672"</f>
        <v>6362280672</v>
      </c>
      <c r="G4445" s="1">
        <v>44595</v>
      </c>
      <c r="H4445" t="str">
        <f>"94996"</f>
        <v>94996</v>
      </c>
      <c r="I4445">
        <v>1</v>
      </c>
      <c r="J4445">
        <v>0</v>
      </c>
      <c r="K4445">
        <v>0</v>
      </c>
      <c r="L4445">
        <v>0</v>
      </c>
    </row>
    <row r="4446" spans="1:12" x14ac:dyDescent="0.25">
      <c r="A4446" t="str">
        <f t="shared" si="979"/>
        <v>89301000</v>
      </c>
      <c r="B4446" t="str">
        <f t="shared" ref="B4446:B4465" si="980">"04005000"</f>
        <v>04005000</v>
      </c>
      <c r="C4446" t="str">
        <f t="shared" ref="C4446:C4465" si="981">"04005364"</f>
        <v>04005364</v>
      </c>
      <c r="D4446" t="str">
        <f t="shared" ref="D4446:D4465" si="982">"807"</f>
        <v>807</v>
      </c>
      <c r="E4446" t="str">
        <f t="shared" ref="E4446:E4465" si="983">"89301171"</f>
        <v>89301171</v>
      </c>
      <c r="F4446" t="str">
        <f t="shared" ref="F4446:F4465" si="984">"465616476"</f>
        <v>465616476</v>
      </c>
      <c r="G4446" s="1">
        <v>44668</v>
      </c>
      <c r="H4446" t="str">
        <f>"87115"</f>
        <v>87115</v>
      </c>
      <c r="I4446">
        <v>1</v>
      </c>
      <c r="J4446">
        <v>2787</v>
      </c>
      <c r="K4446">
        <v>0</v>
      </c>
      <c r="L4446">
        <v>2173.86</v>
      </c>
    </row>
    <row r="4447" spans="1:12" x14ac:dyDescent="0.25">
      <c r="A4447" t="str">
        <f t="shared" si="979"/>
        <v>89301000</v>
      </c>
      <c r="B4447" t="str">
        <f t="shared" si="980"/>
        <v>04005000</v>
      </c>
      <c r="C4447" t="str">
        <f t="shared" si="981"/>
        <v>04005364</v>
      </c>
      <c r="D4447" t="str">
        <f t="shared" si="982"/>
        <v>807</v>
      </c>
      <c r="E4447" t="str">
        <f t="shared" si="983"/>
        <v>89301171</v>
      </c>
      <c r="F4447" t="str">
        <f t="shared" si="984"/>
        <v>465616476</v>
      </c>
      <c r="G4447" s="1">
        <v>44668</v>
      </c>
      <c r="H4447" t="str">
        <f>"87119"</f>
        <v>87119</v>
      </c>
      <c r="I4447">
        <v>1</v>
      </c>
      <c r="J4447">
        <v>600</v>
      </c>
      <c r="K4447">
        <v>0</v>
      </c>
      <c r="L4447">
        <v>468</v>
      </c>
    </row>
    <row r="4448" spans="1:12" x14ac:dyDescent="0.25">
      <c r="A4448" t="str">
        <f t="shared" si="979"/>
        <v>89301000</v>
      </c>
      <c r="B4448" t="str">
        <f t="shared" si="980"/>
        <v>04005000</v>
      </c>
      <c r="C4448" t="str">
        <f t="shared" si="981"/>
        <v>04005364</v>
      </c>
      <c r="D4448" t="str">
        <f t="shared" si="982"/>
        <v>807</v>
      </c>
      <c r="E4448" t="str">
        <f t="shared" si="983"/>
        <v>89301171</v>
      </c>
      <c r="F4448" t="str">
        <f t="shared" si="984"/>
        <v>465616476</v>
      </c>
      <c r="G4448" s="1">
        <v>44668</v>
      </c>
      <c r="H4448" t="str">
        <f>"87121"</f>
        <v>87121</v>
      </c>
      <c r="I4448">
        <v>1</v>
      </c>
      <c r="J4448">
        <v>515</v>
      </c>
      <c r="K4448">
        <v>0</v>
      </c>
      <c r="L4448">
        <v>401.7</v>
      </c>
    </row>
    <row r="4449" spans="1:12" x14ac:dyDescent="0.25">
      <c r="A4449" t="str">
        <f t="shared" si="979"/>
        <v>89301000</v>
      </c>
      <c r="B4449" t="str">
        <f t="shared" si="980"/>
        <v>04005000</v>
      </c>
      <c r="C4449" t="str">
        <f t="shared" si="981"/>
        <v>04005364</v>
      </c>
      <c r="D4449" t="str">
        <f t="shared" si="982"/>
        <v>807</v>
      </c>
      <c r="E4449" t="str">
        <f t="shared" si="983"/>
        <v>89301171</v>
      </c>
      <c r="F4449" t="str">
        <f t="shared" si="984"/>
        <v>465616476</v>
      </c>
      <c r="G4449" s="1">
        <v>44668</v>
      </c>
      <c r="H4449" t="str">
        <f>"87215"</f>
        <v>87215</v>
      </c>
      <c r="I4449">
        <v>9</v>
      </c>
      <c r="J4449">
        <v>1800</v>
      </c>
      <c r="K4449">
        <v>0</v>
      </c>
      <c r="L4449">
        <v>1404</v>
      </c>
    </row>
    <row r="4450" spans="1:12" x14ac:dyDescent="0.25">
      <c r="A4450" t="str">
        <f t="shared" si="979"/>
        <v>89301000</v>
      </c>
      <c r="B4450" t="str">
        <f t="shared" si="980"/>
        <v>04005000</v>
      </c>
      <c r="C4450" t="str">
        <f t="shared" si="981"/>
        <v>04005364</v>
      </c>
      <c r="D4450" t="str">
        <f t="shared" si="982"/>
        <v>807</v>
      </c>
      <c r="E4450" t="str">
        <f t="shared" si="983"/>
        <v>89301171</v>
      </c>
      <c r="F4450" t="str">
        <f t="shared" si="984"/>
        <v>465616476</v>
      </c>
      <c r="G4450" s="1">
        <v>44668</v>
      </c>
      <c r="H4450" t="str">
        <f>"87215"</f>
        <v>87215</v>
      </c>
      <c r="I4450">
        <v>9</v>
      </c>
      <c r="J4450">
        <v>1800</v>
      </c>
      <c r="K4450">
        <v>0</v>
      </c>
      <c r="L4450">
        <v>1404</v>
      </c>
    </row>
    <row r="4451" spans="1:12" x14ac:dyDescent="0.25">
      <c r="A4451" t="str">
        <f t="shared" si="979"/>
        <v>89301000</v>
      </c>
      <c r="B4451" t="str">
        <f t="shared" si="980"/>
        <v>04005000</v>
      </c>
      <c r="C4451" t="str">
        <f t="shared" si="981"/>
        <v>04005364</v>
      </c>
      <c r="D4451" t="str">
        <f t="shared" si="982"/>
        <v>807</v>
      </c>
      <c r="E4451" t="str">
        <f t="shared" si="983"/>
        <v>89301171</v>
      </c>
      <c r="F4451" t="str">
        <f t="shared" si="984"/>
        <v>465616476</v>
      </c>
      <c r="G4451" s="1">
        <v>44668</v>
      </c>
      <c r="H4451" t="str">
        <f>"87215"</f>
        <v>87215</v>
      </c>
      <c r="I4451">
        <v>9</v>
      </c>
      <c r="J4451">
        <v>1800</v>
      </c>
      <c r="K4451">
        <v>0</v>
      </c>
      <c r="L4451">
        <v>1404</v>
      </c>
    </row>
    <row r="4452" spans="1:12" x14ac:dyDescent="0.25">
      <c r="A4452" t="str">
        <f t="shared" si="979"/>
        <v>89301000</v>
      </c>
      <c r="B4452" t="str">
        <f t="shared" si="980"/>
        <v>04005000</v>
      </c>
      <c r="C4452" t="str">
        <f t="shared" si="981"/>
        <v>04005364</v>
      </c>
      <c r="D4452" t="str">
        <f t="shared" si="982"/>
        <v>807</v>
      </c>
      <c r="E4452" t="str">
        <f t="shared" si="983"/>
        <v>89301171</v>
      </c>
      <c r="F4452" t="str">
        <f t="shared" si="984"/>
        <v>465616476</v>
      </c>
      <c r="G4452" s="1">
        <v>44668</v>
      </c>
      <c r="H4452" t="str">
        <f>"87215"</f>
        <v>87215</v>
      </c>
      <c r="I4452">
        <v>1</v>
      </c>
      <c r="J4452">
        <v>200</v>
      </c>
      <c r="K4452">
        <v>0</v>
      </c>
      <c r="L4452">
        <v>156</v>
      </c>
    </row>
    <row r="4453" spans="1:12" x14ac:dyDescent="0.25">
      <c r="A4453" t="str">
        <f t="shared" si="979"/>
        <v>89301000</v>
      </c>
      <c r="B4453" t="str">
        <f t="shared" si="980"/>
        <v>04005000</v>
      </c>
      <c r="C4453" t="str">
        <f t="shared" si="981"/>
        <v>04005364</v>
      </c>
      <c r="D4453" t="str">
        <f t="shared" si="982"/>
        <v>807</v>
      </c>
      <c r="E4453" t="str">
        <f t="shared" si="983"/>
        <v>89301171</v>
      </c>
      <c r="F4453" t="str">
        <f t="shared" si="984"/>
        <v>465616476</v>
      </c>
      <c r="G4453" s="1">
        <v>44668</v>
      </c>
      <c r="H4453" t="str">
        <f>"87215"</f>
        <v>87215</v>
      </c>
      <c r="I4453">
        <v>9</v>
      </c>
      <c r="J4453">
        <v>1800</v>
      </c>
      <c r="K4453">
        <v>0</v>
      </c>
      <c r="L4453">
        <v>1404</v>
      </c>
    </row>
    <row r="4454" spans="1:12" x14ac:dyDescent="0.25">
      <c r="A4454" t="str">
        <f t="shared" si="979"/>
        <v>89301000</v>
      </c>
      <c r="B4454" t="str">
        <f t="shared" si="980"/>
        <v>04005000</v>
      </c>
      <c r="C4454" t="str">
        <f t="shared" si="981"/>
        <v>04005364</v>
      </c>
      <c r="D4454" t="str">
        <f t="shared" si="982"/>
        <v>807</v>
      </c>
      <c r="E4454" t="str">
        <f t="shared" si="983"/>
        <v>89301171</v>
      </c>
      <c r="F4454" t="str">
        <f t="shared" si="984"/>
        <v>465616476</v>
      </c>
      <c r="G4454" s="1">
        <v>44668</v>
      </c>
      <c r="H4454" t="str">
        <f>"87219"</f>
        <v>87219</v>
      </c>
      <c r="I4454">
        <v>9</v>
      </c>
      <c r="J4454">
        <v>1728</v>
      </c>
      <c r="K4454">
        <v>0</v>
      </c>
      <c r="L4454">
        <v>1347.84</v>
      </c>
    </row>
    <row r="4455" spans="1:12" x14ac:dyDescent="0.25">
      <c r="A4455" t="str">
        <f t="shared" si="979"/>
        <v>89301000</v>
      </c>
      <c r="B4455" t="str">
        <f t="shared" si="980"/>
        <v>04005000</v>
      </c>
      <c r="C4455" t="str">
        <f t="shared" si="981"/>
        <v>04005364</v>
      </c>
      <c r="D4455" t="str">
        <f t="shared" si="982"/>
        <v>807</v>
      </c>
      <c r="E4455" t="str">
        <f t="shared" si="983"/>
        <v>89301171</v>
      </c>
      <c r="F4455" t="str">
        <f t="shared" si="984"/>
        <v>465616476</v>
      </c>
      <c r="G4455" s="1">
        <v>44668</v>
      </c>
      <c r="H4455" t="str">
        <f>"87219"</f>
        <v>87219</v>
      </c>
      <c r="I4455">
        <v>2</v>
      </c>
      <c r="J4455">
        <v>384</v>
      </c>
      <c r="K4455">
        <v>0</v>
      </c>
      <c r="L4455">
        <v>299.52</v>
      </c>
    </row>
    <row r="4456" spans="1:12" x14ac:dyDescent="0.25">
      <c r="A4456" t="str">
        <f t="shared" si="979"/>
        <v>89301000</v>
      </c>
      <c r="B4456" t="str">
        <f t="shared" si="980"/>
        <v>04005000</v>
      </c>
      <c r="C4456" t="str">
        <f t="shared" si="981"/>
        <v>04005364</v>
      </c>
      <c r="D4456" t="str">
        <f t="shared" si="982"/>
        <v>807</v>
      </c>
      <c r="E4456" t="str">
        <f t="shared" si="983"/>
        <v>89301171</v>
      </c>
      <c r="F4456" t="str">
        <f t="shared" si="984"/>
        <v>465616476</v>
      </c>
      <c r="G4456" s="1">
        <v>44668</v>
      </c>
      <c r="H4456" t="str">
        <f>"87219"</f>
        <v>87219</v>
      </c>
      <c r="I4456">
        <v>9</v>
      </c>
      <c r="J4456">
        <v>1728</v>
      </c>
      <c r="K4456">
        <v>0</v>
      </c>
      <c r="L4456">
        <v>1347.84</v>
      </c>
    </row>
    <row r="4457" spans="1:12" x14ac:dyDescent="0.25">
      <c r="A4457" t="str">
        <f t="shared" si="979"/>
        <v>89301000</v>
      </c>
      <c r="B4457" t="str">
        <f t="shared" si="980"/>
        <v>04005000</v>
      </c>
      <c r="C4457" t="str">
        <f t="shared" si="981"/>
        <v>04005364</v>
      </c>
      <c r="D4457" t="str">
        <f t="shared" si="982"/>
        <v>807</v>
      </c>
      <c r="E4457" t="str">
        <f t="shared" si="983"/>
        <v>89301171</v>
      </c>
      <c r="F4457" t="str">
        <f t="shared" si="984"/>
        <v>465616476</v>
      </c>
      <c r="G4457" s="1">
        <v>44668</v>
      </c>
      <c r="H4457" t="str">
        <f>"87223"</f>
        <v>87223</v>
      </c>
      <c r="I4457">
        <v>9</v>
      </c>
      <c r="J4457">
        <v>3456</v>
      </c>
      <c r="K4457">
        <v>0</v>
      </c>
      <c r="L4457">
        <v>2695.68</v>
      </c>
    </row>
    <row r="4458" spans="1:12" x14ac:dyDescent="0.25">
      <c r="A4458" t="str">
        <f t="shared" si="979"/>
        <v>89301000</v>
      </c>
      <c r="B4458" t="str">
        <f t="shared" si="980"/>
        <v>04005000</v>
      </c>
      <c r="C4458" t="str">
        <f t="shared" si="981"/>
        <v>04005364</v>
      </c>
      <c r="D4458" t="str">
        <f t="shared" si="982"/>
        <v>807</v>
      </c>
      <c r="E4458" t="str">
        <f t="shared" si="983"/>
        <v>89301171</v>
      </c>
      <c r="F4458" t="str">
        <f t="shared" si="984"/>
        <v>465616476</v>
      </c>
      <c r="G4458" s="1">
        <v>44668</v>
      </c>
      <c r="H4458" t="str">
        <f>"87223"</f>
        <v>87223</v>
      </c>
      <c r="I4458">
        <v>3</v>
      </c>
      <c r="J4458">
        <v>1152</v>
      </c>
      <c r="K4458">
        <v>0</v>
      </c>
      <c r="L4458">
        <v>898.56</v>
      </c>
    </row>
    <row r="4459" spans="1:12" x14ac:dyDescent="0.25">
      <c r="A4459" t="str">
        <f t="shared" si="979"/>
        <v>89301000</v>
      </c>
      <c r="B4459" t="str">
        <f t="shared" si="980"/>
        <v>04005000</v>
      </c>
      <c r="C4459" t="str">
        <f t="shared" si="981"/>
        <v>04005364</v>
      </c>
      <c r="D4459" t="str">
        <f t="shared" si="982"/>
        <v>807</v>
      </c>
      <c r="E4459" t="str">
        <f t="shared" si="983"/>
        <v>89301171</v>
      </c>
      <c r="F4459" t="str">
        <f t="shared" si="984"/>
        <v>465616476</v>
      </c>
      <c r="G4459" s="1">
        <v>44668</v>
      </c>
      <c r="H4459" t="str">
        <f>"87225"</f>
        <v>87225</v>
      </c>
      <c r="I4459">
        <v>4</v>
      </c>
      <c r="J4459">
        <v>2080</v>
      </c>
      <c r="K4459">
        <v>0</v>
      </c>
      <c r="L4459">
        <v>1622.4</v>
      </c>
    </row>
    <row r="4460" spans="1:12" x14ac:dyDescent="0.25">
      <c r="A4460" t="str">
        <f t="shared" si="979"/>
        <v>89301000</v>
      </c>
      <c r="B4460" t="str">
        <f t="shared" si="980"/>
        <v>04005000</v>
      </c>
      <c r="C4460" t="str">
        <f t="shared" si="981"/>
        <v>04005364</v>
      </c>
      <c r="D4460" t="str">
        <f t="shared" si="982"/>
        <v>807</v>
      </c>
      <c r="E4460" t="str">
        <f t="shared" si="983"/>
        <v>89301171</v>
      </c>
      <c r="F4460" t="str">
        <f t="shared" si="984"/>
        <v>465616476</v>
      </c>
      <c r="G4460" s="1">
        <v>44668</v>
      </c>
      <c r="H4460" t="str">
        <f>"87231"</f>
        <v>87231</v>
      </c>
      <c r="I4460">
        <v>9</v>
      </c>
      <c r="J4460">
        <v>3366</v>
      </c>
      <c r="K4460">
        <v>0</v>
      </c>
      <c r="L4460">
        <v>2625.48</v>
      </c>
    </row>
    <row r="4461" spans="1:12" x14ac:dyDescent="0.25">
      <c r="A4461" t="str">
        <f t="shared" si="979"/>
        <v>89301000</v>
      </c>
      <c r="B4461" t="str">
        <f t="shared" si="980"/>
        <v>04005000</v>
      </c>
      <c r="C4461" t="str">
        <f t="shared" si="981"/>
        <v>04005364</v>
      </c>
      <c r="D4461" t="str">
        <f t="shared" si="982"/>
        <v>807</v>
      </c>
      <c r="E4461" t="str">
        <f t="shared" si="983"/>
        <v>89301171</v>
      </c>
      <c r="F4461" t="str">
        <f t="shared" si="984"/>
        <v>465616476</v>
      </c>
      <c r="G4461" s="1">
        <v>44668</v>
      </c>
      <c r="H4461" t="str">
        <f>"87231"</f>
        <v>87231</v>
      </c>
      <c r="I4461">
        <v>9</v>
      </c>
      <c r="J4461">
        <v>3366</v>
      </c>
      <c r="K4461">
        <v>0</v>
      </c>
      <c r="L4461">
        <v>2625.48</v>
      </c>
    </row>
    <row r="4462" spans="1:12" x14ac:dyDescent="0.25">
      <c r="A4462" t="str">
        <f t="shared" si="979"/>
        <v>89301000</v>
      </c>
      <c r="B4462" t="str">
        <f t="shared" si="980"/>
        <v>04005000</v>
      </c>
      <c r="C4462" t="str">
        <f t="shared" si="981"/>
        <v>04005364</v>
      </c>
      <c r="D4462" t="str">
        <f t="shared" si="982"/>
        <v>807</v>
      </c>
      <c r="E4462" t="str">
        <f t="shared" si="983"/>
        <v>89301171</v>
      </c>
      <c r="F4462" t="str">
        <f t="shared" si="984"/>
        <v>465616476</v>
      </c>
      <c r="G4462" s="1">
        <v>44668</v>
      </c>
      <c r="H4462" t="str">
        <f>"87231"</f>
        <v>87231</v>
      </c>
      <c r="I4462">
        <v>6</v>
      </c>
      <c r="J4462">
        <v>2244</v>
      </c>
      <c r="K4462">
        <v>0</v>
      </c>
      <c r="L4462">
        <v>1750.32</v>
      </c>
    </row>
    <row r="4463" spans="1:12" x14ac:dyDescent="0.25">
      <c r="A4463" t="str">
        <f t="shared" si="979"/>
        <v>89301000</v>
      </c>
      <c r="B4463" t="str">
        <f t="shared" si="980"/>
        <v>04005000</v>
      </c>
      <c r="C4463" t="str">
        <f t="shared" si="981"/>
        <v>04005364</v>
      </c>
      <c r="D4463" t="str">
        <f t="shared" si="982"/>
        <v>807</v>
      </c>
      <c r="E4463" t="str">
        <f t="shared" si="983"/>
        <v>89301171</v>
      </c>
      <c r="F4463" t="str">
        <f t="shared" si="984"/>
        <v>465616476</v>
      </c>
      <c r="G4463" s="1">
        <v>44668</v>
      </c>
      <c r="H4463" t="str">
        <f>"87527"</f>
        <v>87527</v>
      </c>
      <c r="I4463">
        <v>1</v>
      </c>
      <c r="J4463">
        <v>7714</v>
      </c>
      <c r="K4463">
        <v>0</v>
      </c>
      <c r="L4463">
        <v>6016.92</v>
      </c>
    </row>
    <row r="4464" spans="1:12" x14ac:dyDescent="0.25">
      <c r="A4464" t="str">
        <f t="shared" si="979"/>
        <v>89301000</v>
      </c>
      <c r="B4464" t="str">
        <f t="shared" si="980"/>
        <v>04005000</v>
      </c>
      <c r="C4464" t="str">
        <f t="shared" si="981"/>
        <v>04005364</v>
      </c>
      <c r="D4464" t="str">
        <f t="shared" si="982"/>
        <v>807</v>
      </c>
      <c r="E4464" t="str">
        <f t="shared" si="983"/>
        <v>89301171</v>
      </c>
      <c r="F4464" t="str">
        <f t="shared" si="984"/>
        <v>465616476</v>
      </c>
      <c r="G4464" s="1">
        <v>44668</v>
      </c>
      <c r="H4464" t="str">
        <f>"87611"</f>
        <v>87611</v>
      </c>
      <c r="I4464">
        <v>1</v>
      </c>
      <c r="J4464">
        <v>472</v>
      </c>
      <c r="K4464">
        <v>0</v>
      </c>
      <c r="L4464">
        <v>368.16</v>
      </c>
    </row>
    <row r="4465" spans="1:12" x14ac:dyDescent="0.25">
      <c r="A4465" t="str">
        <f t="shared" si="979"/>
        <v>89301000</v>
      </c>
      <c r="B4465" t="str">
        <f t="shared" si="980"/>
        <v>04005000</v>
      </c>
      <c r="C4465" t="str">
        <f t="shared" si="981"/>
        <v>04005364</v>
      </c>
      <c r="D4465" t="str">
        <f t="shared" si="982"/>
        <v>807</v>
      </c>
      <c r="E4465" t="str">
        <f t="shared" si="983"/>
        <v>89301171</v>
      </c>
      <c r="F4465" t="str">
        <f t="shared" si="984"/>
        <v>465616476</v>
      </c>
      <c r="G4465" s="1">
        <v>44668</v>
      </c>
      <c r="H4465" t="str">
        <f>"87622"</f>
        <v>87622</v>
      </c>
      <c r="I4465">
        <v>1</v>
      </c>
      <c r="J4465">
        <v>1176</v>
      </c>
      <c r="K4465">
        <v>0</v>
      </c>
      <c r="L4465">
        <v>917.28</v>
      </c>
    </row>
    <row r="4466" spans="1:12" x14ac:dyDescent="0.25">
      <c r="A4466" t="str">
        <f t="shared" si="979"/>
        <v>89301000</v>
      </c>
      <c r="B4466" t="str">
        <f t="shared" ref="B4466:B4485" si="985">"02004000"</f>
        <v>02004000</v>
      </c>
      <c r="C4466" t="str">
        <f>"02004561"</f>
        <v>02004561</v>
      </c>
      <c r="D4466" t="str">
        <f>"801"</f>
        <v>801</v>
      </c>
      <c r="E4466" t="str">
        <f>"89301702"</f>
        <v>89301702</v>
      </c>
      <c r="F4466" t="str">
        <f>"1951311879"</f>
        <v>1951311879</v>
      </c>
      <c r="G4466" s="1">
        <v>44664</v>
      </c>
      <c r="H4466" t="str">
        <f>"81655"</f>
        <v>81655</v>
      </c>
      <c r="I4466">
        <v>2</v>
      </c>
      <c r="J4466">
        <v>1144</v>
      </c>
      <c r="K4466">
        <v>0</v>
      </c>
      <c r="L4466">
        <v>892.32</v>
      </c>
    </row>
    <row r="4467" spans="1:12" x14ac:dyDescent="0.25">
      <c r="A4467" t="str">
        <f t="shared" si="979"/>
        <v>89301000</v>
      </c>
      <c r="B4467" t="str">
        <f t="shared" si="985"/>
        <v>02004000</v>
      </c>
      <c r="C4467" t="str">
        <f t="shared" ref="C4467:C4472" si="986">"02004556"</f>
        <v>02004556</v>
      </c>
      <c r="D4467" t="str">
        <f t="shared" ref="D4467:D4472" si="987">"813"</f>
        <v>813</v>
      </c>
      <c r="E4467" t="str">
        <f>"89301028"</f>
        <v>89301028</v>
      </c>
      <c r="F4467" t="str">
        <f>"9407154856"</f>
        <v>9407154856</v>
      </c>
      <c r="G4467" s="1">
        <v>44658</v>
      </c>
      <c r="H4467" t="str">
        <f>"91249"</f>
        <v>91249</v>
      </c>
      <c r="I4467">
        <v>1</v>
      </c>
      <c r="J4467">
        <v>1489</v>
      </c>
      <c r="K4467">
        <v>0</v>
      </c>
      <c r="L4467">
        <v>1161.42</v>
      </c>
    </row>
    <row r="4468" spans="1:12" x14ac:dyDescent="0.25">
      <c r="A4468" t="str">
        <f t="shared" si="979"/>
        <v>89301000</v>
      </c>
      <c r="B4468" t="str">
        <f t="shared" si="985"/>
        <v>02004000</v>
      </c>
      <c r="C4468" t="str">
        <f t="shared" si="986"/>
        <v>02004556</v>
      </c>
      <c r="D4468" t="str">
        <f t="shared" si="987"/>
        <v>813</v>
      </c>
      <c r="E4468" t="str">
        <f>"89301028"</f>
        <v>89301028</v>
      </c>
      <c r="F4468" t="str">
        <f>"9407154856"</f>
        <v>9407154856</v>
      </c>
      <c r="G4468" s="1">
        <v>44658</v>
      </c>
      <c r="H4468" t="str">
        <f>"91251"</f>
        <v>91251</v>
      </c>
      <c r="I4468">
        <v>1</v>
      </c>
      <c r="J4468">
        <v>1489</v>
      </c>
      <c r="K4468">
        <v>0</v>
      </c>
      <c r="L4468">
        <v>1161.42</v>
      </c>
    </row>
    <row r="4469" spans="1:12" x14ac:dyDescent="0.25">
      <c r="A4469" t="str">
        <f t="shared" si="979"/>
        <v>89301000</v>
      </c>
      <c r="B4469" t="str">
        <f t="shared" si="985"/>
        <v>02004000</v>
      </c>
      <c r="C4469" t="str">
        <f t="shared" si="986"/>
        <v>02004556</v>
      </c>
      <c r="D4469" t="str">
        <f t="shared" si="987"/>
        <v>813</v>
      </c>
      <c r="E4469" t="str">
        <f>"89301028"</f>
        <v>89301028</v>
      </c>
      <c r="F4469" t="str">
        <f>"8501265784"</f>
        <v>8501265784</v>
      </c>
      <c r="G4469" s="1">
        <v>44655</v>
      </c>
      <c r="H4469" t="str">
        <f>"91249"</f>
        <v>91249</v>
      </c>
      <c r="I4469">
        <v>1</v>
      </c>
      <c r="J4469">
        <v>1489</v>
      </c>
      <c r="K4469">
        <v>0</v>
      </c>
      <c r="L4469">
        <v>1161.42</v>
      </c>
    </row>
    <row r="4470" spans="1:12" x14ac:dyDescent="0.25">
      <c r="A4470" t="str">
        <f t="shared" si="979"/>
        <v>89301000</v>
      </c>
      <c r="B4470" t="str">
        <f t="shared" si="985"/>
        <v>02004000</v>
      </c>
      <c r="C4470" t="str">
        <f t="shared" si="986"/>
        <v>02004556</v>
      </c>
      <c r="D4470" t="str">
        <f t="shared" si="987"/>
        <v>813</v>
      </c>
      <c r="E4470" t="str">
        <f>"89301028"</f>
        <v>89301028</v>
      </c>
      <c r="F4470" t="str">
        <f>"8501265784"</f>
        <v>8501265784</v>
      </c>
      <c r="G4470" s="1">
        <v>44655</v>
      </c>
      <c r="H4470" t="str">
        <f>"91251"</f>
        <v>91251</v>
      </c>
      <c r="I4470">
        <v>1</v>
      </c>
      <c r="J4470">
        <v>1489</v>
      </c>
      <c r="K4470">
        <v>0</v>
      </c>
      <c r="L4470">
        <v>1161.42</v>
      </c>
    </row>
    <row r="4471" spans="1:12" x14ac:dyDescent="0.25">
      <c r="A4471" t="str">
        <f t="shared" si="979"/>
        <v>89301000</v>
      </c>
      <c r="B4471" t="str">
        <f t="shared" si="985"/>
        <v>02004000</v>
      </c>
      <c r="C4471" t="str">
        <f t="shared" si="986"/>
        <v>02004556</v>
      </c>
      <c r="D4471" t="str">
        <f t="shared" si="987"/>
        <v>813</v>
      </c>
      <c r="E4471" t="str">
        <f>"89301102"</f>
        <v>89301102</v>
      </c>
      <c r="F4471" t="str">
        <f>"0606161380"</f>
        <v>0606161380</v>
      </c>
      <c r="G4471" s="1">
        <v>44659</v>
      </c>
      <c r="H4471" t="str">
        <f>"91249"</f>
        <v>91249</v>
      </c>
      <c r="I4471">
        <v>1</v>
      </c>
      <c r="J4471">
        <v>1489</v>
      </c>
      <c r="K4471">
        <v>0</v>
      </c>
      <c r="L4471">
        <v>1161.42</v>
      </c>
    </row>
    <row r="4472" spans="1:12" x14ac:dyDescent="0.25">
      <c r="A4472" t="str">
        <f t="shared" si="979"/>
        <v>89301000</v>
      </c>
      <c r="B4472" t="str">
        <f t="shared" si="985"/>
        <v>02004000</v>
      </c>
      <c r="C4472" t="str">
        <f t="shared" si="986"/>
        <v>02004556</v>
      </c>
      <c r="D4472" t="str">
        <f t="shared" si="987"/>
        <v>813</v>
      </c>
      <c r="E4472" t="str">
        <f>"89301102"</f>
        <v>89301102</v>
      </c>
      <c r="F4472" t="str">
        <f>"0606161380"</f>
        <v>0606161380</v>
      </c>
      <c r="G4472" s="1">
        <v>44659</v>
      </c>
      <c r="H4472" t="str">
        <f>"91251"</f>
        <v>91251</v>
      </c>
      <c r="I4472">
        <v>1</v>
      </c>
      <c r="J4472">
        <v>1489</v>
      </c>
      <c r="K4472">
        <v>0</v>
      </c>
      <c r="L4472">
        <v>1161.42</v>
      </c>
    </row>
    <row r="4473" spans="1:12" x14ac:dyDescent="0.25">
      <c r="A4473" t="str">
        <f t="shared" si="979"/>
        <v>89301000</v>
      </c>
      <c r="B4473" t="str">
        <f t="shared" si="985"/>
        <v>02004000</v>
      </c>
      <c r="C4473" t="str">
        <f>"02004561"</f>
        <v>02004561</v>
      </c>
      <c r="D4473" t="str">
        <f>"801"</f>
        <v>801</v>
      </c>
      <c r="E4473" t="str">
        <f>"89301702"</f>
        <v>89301702</v>
      </c>
      <c r="F4473" t="str">
        <f>"2007300790"</f>
        <v>2007300790</v>
      </c>
      <c r="G4473" s="1">
        <v>44643</v>
      </c>
      <c r="H4473" t="str">
        <f>"81655"</f>
        <v>81655</v>
      </c>
      <c r="I4473">
        <v>2</v>
      </c>
      <c r="J4473">
        <v>1144</v>
      </c>
      <c r="K4473">
        <v>0</v>
      </c>
      <c r="L4473">
        <v>892.32</v>
      </c>
    </row>
    <row r="4474" spans="1:12" x14ac:dyDescent="0.25">
      <c r="A4474" t="str">
        <f t="shared" si="979"/>
        <v>89301000</v>
      </c>
      <c r="B4474" t="str">
        <f t="shared" si="985"/>
        <v>02004000</v>
      </c>
      <c r="C4474" t="str">
        <f>"02004153"</f>
        <v>02004153</v>
      </c>
      <c r="D4474" t="str">
        <f>"816"</f>
        <v>816</v>
      </c>
      <c r="E4474" t="str">
        <f>"89301282"</f>
        <v>89301282</v>
      </c>
      <c r="F4474" t="str">
        <f>"0002176218"</f>
        <v>0002176218</v>
      </c>
      <c r="G4474" s="1">
        <v>44651</v>
      </c>
      <c r="H4474" t="str">
        <f>"94996"</f>
        <v>94996</v>
      </c>
      <c r="I4474">
        <v>1</v>
      </c>
      <c r="J4474">
        <v>0</v>
      </c>
      <c r="K4474">
        <v>0</v>
      </c>
      <c r="L4474">
        <v>0</v>
      </c>
    </row>
    <row r="4475" spans="1:12" x14ac:dyDescent="0.25">
      <c r="A4475" t="str">
        <f t="shared" si="979"/>
        <v>89301000</v>
      </c>
      <c r="B4475" t="str">
        <f t="shared" si="985"/>
        <v>02004000</v>
      </c>
      <c r="C4475" t="str">
        <f>"02004153"</f>
        <v>02004153</v>
      </c>
      <c r="D4475" t="str">
        <f>"816"</f>
        <v>816</v>
      </c>
      <c r="E4475" t="str">
        <f>"89301282"</f>
        <v>89301282</v>
      </c>
      <c r="F4475" t="str">
        <f>"0002176218"</f>
        <v>0002176218</v>
      </c>
      <c r="G4475" s="1">
        <v>44651</v>
      </c>
      <c r="H4475" t="str">
        <f>"94983"</f>
        <v>94983</v>
      </c>
      <c r="I4475">
        <v>1</v>
      </c>
      <c r="J4475">
        <v>0</v>
      </c>
      <c r="K4475">
        <v>39600</v>
      </c>
      <c r="L4475">
        <v>39600</v>
      </c>
    </row>
    <row r="4476" spans="1:12" x14ac:dyDescent="0.25">
      <c r="A4476" t="str">
        <f t="shared" si="979"/>
        <v>89301000</v>
      </c>
      <c r="B4476" t="str">
        <f t="shared" si="985"/>
        <v>02004000</v>
      </c>
      <c r="C4476" t="str">
        <f>"02004561"</f>
        <v>02004561</v>
      </c>
      <c r="D4476" t="str">
        <f>"801"</f>
        <v>801</v>
      </c>
      <c r="E4476" t="str">
        <f>"89301702"</f>
        <v>89301702</v>
      </c>
      <c r="F4476" t="str">
        <f>"2008170593"</f>
        <v>2008170593</v>
      </c>
      <c r="G4476" s="1">
        <v>44636</v>
      </c>
      <c r="H4476" t="str">
        <f>"81657"</f>
        <v>81657</v>
      </c>
      <c r="I4476">
        <v>1</v>
      </c>
      <c r="J4476">
        <v>296</v>
      </c>
      <c r="K4476">
        <v>0</v>
      </c>
      <c r="L4476">
        <v>230.88</v>
      </c>
    </row>
    <row r="4477" spans="1:12" x14ac:dyDescent="0.25">
      <c r="A4477" t="str">
        <f t="shared" si="979"/>
        <v>89301000</v>
      </c>
      <c r="B4477" t="str">
        <f t="shared" si="985"/>
        <v>02004000</v>
      </c>
      <c r="C4477" t="str">
        <f>"02004561"</f>
        <v>02004561</v>
      </c>
      <c r="D4477" t="str">
        <f>"801"</f>
        <v>801</v>
      </c>
      <c r="E4477" t="str">
        <f>"89301702"</f>
        <v>89301702</v>
      </c>
      <c r="F4477" t="str">
        <f>"2008170593"</f>
        <v>2008170593</v>
      </c>
      <c r="G4477" s="1">
        <v>44636</v>
      </c>
      <c r="H4477" t="str">
        <f>"97111"</f>
        <v>97111</v>
      </c>
      <c r="I4477">
        <v>1</v>
      </c>
      <c r="J4477">
        <v>18</v>
      </c>
      <c r="K4477">
        <v>0</v>
      </c>
      <c r="L4477">
        <v>14.04</v>
      </c>
    </row>
    <row r="4478" spans="1:12" x14ac:dyDescent="0.25">
      <c r="A4478" t="str">
        <f t="shared" si="979"/>
        <v>89301000</v>
      </c>
      <c r="B4478" t="str">
        <f t="shared" si="985"/>
        <v>02004000</v>
      </c>
      <c r="C4478" t="str">
        <f t="shared" ref="C4478:C4485" si="988">"02004556"</f>
        <v>02004556</v>
      </c>
      <c r="D4478" t="str">
        <f t="shared" ref="D4478:D4485" si="989">"813"</f>
        <v>813</v>
      </c>
      <c r="E4478" t="str">
        <f>"89301102"</f>
        <v>89301102</v>
      </c>
      <c r="F4478" t="str">
        <f>"0756083383"</f>
        <v>0756083383</v>
      </c>
      <c r="G4478" s="1">
        <v>44651</v>
      </c>
      <c r="H4478" t="str">
        <f>"91249"</f>
        <v>91249</v>
      </c>
      <c r="I4478">
        <v>1</v>
      </c>
      <c r="J4478">
        <v>1489</v>
      </c>
      <c r="K4478">
        <v>0</v>
      </c>
      <c r="L4478">
        <v>1161.42</v>
      </c>
    </row>
    <row r="4479" spans="1:12" x14ac:dyDescent="0.25">
      <c r="A4479" t="str">
        <f t="shared" si="979"/>
        <v>89301000</v>
      </c>
      <c r="B4479" t="str">
        <f t="shared" si="985"/>
        <v>02004000</v>
      </c>
      <c r="C4479" t="str">
        <f t="shared" si="988"/>
        <v>02004556</v>
      </c>
      <c r="D4479" t="str">
        <f t="shared" si="989"/>
        <v>813</v>
      </c>
      <c r="E4479" t="str">
        <f>"89301102"</f>
        <v>89301102</v>
      </c>
      <c r="F4479" t="str">
        <f>"0756083383"</f>
        <v>0756083383</v>
      </c>
      <c r="G4479" s="1">
        <v>44651</v>
      </c>
      <c r="H4479" t="str">
        <f>"91251"</f>
        <v>91251</v>
      </c>
      <c r="I4479">
        <v>1</v>
      </c>
      <c r="J4479">
        <v>1489</v>
      </c>
      <c r="K4479">
        <v>0</v>
      </c>
      <c r="L4479">
        <v>1161.42</v>
      </c>
    </row>
    <row r="4480" spans="1:12" x14ac:dyDescent="0.25">
      <c r="A4480" t="str">
        <f t="shared" si="979"/>
        <v>89301000</v>
      </c>
      <c r="B4480" t="str">
        <f t="shared" si="985"/>
        <v>02004000</v>
      </c>
      <c r="C4480" t="str">
        <f t="shared" si="988"/>
        <v>02004556</v>
      </c>
      <c r="D4480" t="str">
        <f t="shared" si="989"/>
        <v>813</v>
      </c>
      <c r="E4480" t="str">
        <f>"89301102"</f>
        <v>89301102</v>
      </c>
      <c r="F4480" t="str">
        <f>"0707116157"</f>
        <v>0707116157</v>
      </c>
      <c r="G4480" s="1">
        <v>44648</v>
      </c>
      <c r="H4480" t="str">
        <f>"91249"</f>
        <v>91249</v>
      </c>
      <c r="I4480">
        <v>1</v>
      </c>
      <c r="J4480">
        <v>1489</v>
      </c>
      <c r="K4480">
        <v>0</v>
      </c>
      <c r="L4480">
        <v>1161.42</v>
      </c>
    </row>
    <row r="4481" spans="1:12" x14ac:dyDescent="0.25">
      <c r="A4481" t="str">
        <f t="shared" si="979"/>
        <v>89301000</v>
      </c>
      <c r="B4481" t="str">
        <f t="shared" si="985"/>
        <v>02004000</v>
      </c>
      <c r="C4481" t="str">
        <f t="shared" si="988"/>
        <v>02004556</v>
      </c>
      <c r="D4481" t="str">
        <f t="shared" si="989"/>
        <v>813</v>
      </c>
      <c r="E4481" t="str">
        <f>"89301102"</f>
        <v>89301102</v>
      </c>
      <c r="F4481" t="str">
        <f>"0707116157"</f>
        <v>0707116157</v>
      </c>
      <c r="G4481" s="1">
        <v>44648</v>
      </c>
      <c r="H4481" t="str">
        <f>"91251"</f>
        <v>91251</v>
      </c>
      <c r="I4481">
        <v>1</v>
      </c>
      <c r="J4481">
        <v>1489</v>
      </c>
      <c r="K4481">
        <v>0</v>
      </c>
      <c r="L4481">
        <v>1161.42</v>
      </c>
    </row>
    <row r="4482" spans="1:12" x14ac:dyDescent="0.25">
      <c r="A4482" t="str">
        <f t="shared" ref="A4482:A4545" si="990">"89301000"</f>
        <v>89301000</v>
      </c>
      <c r="B4482" t="str">
        <f t="shared" si="985"/>
        <v>02004000</v>
      </c>
      <c r="C4482" t="str">
        <f t="shared" si="988"/>
        <v>02004556</v>
      </c>
      <c r="D4482" t="str">
        <f t="shared" si="989"/>
        <v>813</v>
      </c>
      <c r="E4482" t="str">
        <f>"89301028"</f>
        <v>89301028</v>
      </c>
      <c r="F4482" t="str">
        <f>"9104116164"</f>
        <v>9104116164</v>
      </c>
      <c r="G4482" s="1">
        <v>44649</v>
      </c>
      <c r="H4482" t="str">
        <f>"91249"</f>
        <v>91249</v>
      </c>
      <c r="I4482">
        <v>1</v>
      </c>
      <c r="J4482">
        <v>1489</v>
      </c>
      <c r="K4482">
        <v>0</v>
      </c>
      <c r="L4482">
        <v>1161.42</v>
      </c>
    </row>
    <row r="4483" spans="1:12" x14ac:dyDescent="0.25">
      <c r="A4483" t="str">
        <f t="shared" si="990"/>
        <v>89301000</v>
      </c>
      <c r="B4483" t="str">
        <f t="shared" si="985"/>
        <v>02004000</v>
      </c>
      <c r="C4483" t="str">
        <f t="shared" si="988"/>
        <v>02004556</v>
      </c>
      <c r="D4483" t="str">
        <f t="shared" si="989"/>
        <v>813</v>
      </c>
      <c r="E4483" t="str">
        <f>"89301028"</f>
        <v>89301028</v>
      </c>
      <c r="F4483" t="str">
        <f>"9104116164"</f>
        <v>9104116164</v>
      </c>
      <c r="G4483" s="1">
        <v>44649</v>
      </c>
      <c r="H4483" t="str">
        <f>"91251"</f>
        <v>91251</v>
      </c>
      <c r="I4483">
        <v>1</v>
      </c>
      <c r="J4483">
        <v>1489</v>
      </c>
      <c r="K4483">
        <v>0</v>
      </c>
      <c r="L4483">
        <v>1161.42</v>
      </c>
    </row>
    <row r="4484" spans="1:12" x14ac:dyDescent="0.25">
      <c r="A4484" t="str">
        <f t="shared" si="990"/>
        <v>89301000</v>
      </c>
      <c r="B4484" t="str">
        <f t="shared" si="985"/>
        <v>02004000</v>
      </c>
      <c r="C4484" t="str">
        <f t="shared" si="988"/>
        <v>02004556</v>
      </c>
      <c r="D4484" t="str">
        <f t="shared" si="989"/>
        <v>813</v>
      </c>
      <c r="E4484" t="str">
        <f>"89301102"</f>
        <v>89301102</v>
      </c>
      <c r="F4484" t="str">
        <f>"0309275703"</f>
        <v>0309275703</v>
      </c>
      <c r="G4484" s="1">
        <v>44641</v>
      </c>
      <c r="H4484" t="str">
        <f>"91249"</f>
        <v>91249</v>
      </c>
      <c r="I4484">
        <v>1</v>
      </c>
      <c r="J4484">
        <v>1489</v>
      </c>
      <c r="K4484">
        <v>0</v>
      </c>
      <c r="L4484">
        <v>1161.42</v>
      </c>
    </row>
    <row r="4485" spans="1:12" x14ac:dyDescent="0.25">
      <c r="A4485" t="str">
        <f t="shared" si="990"/>
        <v>89301000</v>
      </c>
      <c r="B4485" t="str">
        <f t="shared" si="985"/>
        <v>02004000</v>
      </c>
      <c r="C4485" t="str">
        <f t="shared" si="988"/>
        <v>02004556</v>
      </c>
      <c r="D4485" t="str">
        <f t="shared" si="989"/>
        <v>813</v>
      </c>
      <c r="E4485" t="str">
        <f>"89301102"</f>
        <v>89301102</v>
      </c>
      <c r="F4485" t="str">
        <f>"0309275703"</f>
        <v>0309275703</v>
      </c>
      <c r="G4485" s="1">
        <v>44641</v>
      </c>
      <c r="H4485" t="str">
        <f>"91251"</f>
        <v>91251</v>
      </c>
      <c r="I4485">
        <v>1</v>
      </c>
      <c r="J4485">
        <v>1489</v>
      </c>
      <c r="K4485">
        <v>0</v>
      </c>
      <c r="L4485">
        <v>1161.42</v>
      </c>
    </row>
    <row r="4486" spans="1:12" x14ac:dyDescent="0.25">
      <c r="A4486" t="str">
        <f t="shared" si="990"/>
        <v>89301000</v>
      </c>
      <c r="B4486" t="str">
        <f t="shared" ref="B4486:B4491" si="991">"94101000"</f>
        <v>94101000</v>
      </c>
      <c r="C4486" t="str">
        <f t="shared" ref="C4486:C4491" si="992">"94101858"</f>
        <v>94101858</v>
      </c>
      <c r="D4486" t="str">
        <f t="shared" ref="D4486:D4491" si="993">"801"</f>
        <v>801</v>
      </c>
      <c r="E4486" t="str">
        <f t="shared" ref="E4486:E4491" si="994">"89301082"</f>
        <v>89301082</v>
      </c>
      <c r="F4486" t="str">
        <f t="shared" ref="F4486:F4491" si="995">"9556056268"</f>
        <v>9556056268</v>
      </c>
      <c r="G4486" s="1">
        <v>44664</v>
      </c>
      <c r="H4486" t="str">
        <f>"93149"</f>
        <v>93149</v>
      </c>
      <c r="I4486">
        <v>1</v>
      </c>
      <c r="J4486">
        <v>204</v>
      </c>
      <c r="K4486">
        <v>0</v>
      </c>
      <c r="L4486">
        <v>159.12</v>
      </c>
    </row>
    <row r="4487" spans="1:12" x14ac:dyDescent="0.25">
      <c r="A4487" t="str">
        <f t="shared" si="990"/>
        <v>89301000</v>
      </c>
      <c r="B4487" t="str">
        <f t="shared" si="991"/>
        <v>94101000</v>
      </c>
      <c r="C4487" t="str">
        <f t="shared" si="992"/>
        <v>94101858</v>
      </c>
      <c r="D4487" t="str">
        <f t="shared" si="993"/>
        <v>801</v>
      </c>
      <c r="E4487" t="str">
        <f t="shared" si="994"/>
        <v>89301082</v>
      </c>
      <c r="F4487" t="str">
        <f t="shared" si="995"/>
        <v>9556056268</v>
      </c>
      <c r="G4487" s="1">
        <v>44664</v>
      </c>
      <c r="H4487" t="str">
        <f>"93177"</f>
        <v>93177</v>
      </c>
      <c r="I4487">
        <v>1</v>
      </c>
      <c r="J4487">
        <v>178</v>
      </c>
      <c r="K4487">
        <v>0</v>
      </c>
      <c r="L4487">
        <v>138.84</v>
      </c>
    </row>
    <row r="4488" spans="1:12" x14ac:dyDescent="0.25">
      <c r="A4488" t="str">
        <f t="shared" si="990"/>
        <v>89301000</v>
      </c>
      <c r="B4488" t="str">
        <f t="shared" si="991"/>
        <v>94101000</v>
      </c>
      <c r="C4488" t="str">
        <f t="shared" si="992"/>
        <v>94101858</v>
      </c>
      <c r="D4488" t="str">
        <f t="shared" si="993"/>
        <v>801</v>
      </c>
      <c r="E4488" t="str">
        <f t="shared" si="994"/>
        <v>89301082</v>
      </c>
      <c r="F4488" t="str">
        <f t="shared" si="995"/>
        <v>9556056268</v>
      </c>
      <c r="G4488" s="1">
        <v>44664</v>
      </c>
      <c r="H4488" t="str">
        <f>"93133"</f>
        <v>93133</v>
      </c>
      <c r="I4488">
        <v>1</v>
      </c>
      <c r="J4488">
        <v>168</v>
      </c>
      <c r="K4488">
        <v>0</v>
      </c>
      <c r="L4488">
        <v>131.04</v>
      </c>
    </row>
    <row r="4489" spans="1:12" x14ac:dyDescent="0.25">
      <c r="A4489" t="str">
        <f t="shared" si="990"/>
        <v>89301000</v>
      </c>
      <c r="B4489" t="str">
        <f t="shared" si="991"/>
        <v>94101000</v>
      </c>
      <c r="C4489" t="str">
        <f t="shared" si="992"/>
        <v>94101858</v>
      </c>
      <c r="D4489" t="str">
        <f t="shared" si="993"/>
        <v>801</v>
      </c>
      <c r="E4489" t="str">
        <f t="shared" si="994"/>
        <v>89301082</v>
      </c>
      <c r="F4489" t="str">
        <f t="shared" si="995"/>
        <v>9556056268</v>
      </c>
      <c r="G4489" s="1">
        <v>44664</v>
      </c>
      <c r="H4489" t="str">
        <f>"93129"</f>
        <v>93129</v>
      </c>
      <c r="I4489">
        <v>1</v>
      </c>
      <c r="J4489">
        <v>168</v>
      </c>
      <c r="K4489">
        <v>0</v>
      </c>
      <c r="L4489">
        <v>131.04</v>
      </c>
    </row>
    <row r="4490" spans="1:12" x14ac:dyDescent="0.25">
      <c r="A4490" t="str">
        <f t="shared" si="990"/>
        <v>89301000</v>
      </c>
      <c r="B4490" t="str">
        <f t="shared" si="991"/>
        <v>94101000</v>
      </c>
      <c r="C4490" t="str">
        <f t="shared" si="992"/>
        <v>94101858</v>
      </c>
      <c r="D4490" t="str">
        <f t="shared" si="993"/>
        <v>801</v>
      </c>
      <c r="E4490" t="str">
        <f t="shared" si="994"/>
        <v>89301082</v>
      </c>
      <c r="F4490" t="str">
        <f t="shared" si="995"/>
        <v>9556056268</v>
      </c>
      <c r="G4490" s="1">
        <v>44664</v>
      </c>
      <c r="H4490" t="str">
        <f>"09119"</f>
        <v>09119</v>
      </c>
      <c r="I4490">
        <v>1</v>
      </c>
      <c r="J4490">
        <v>42</v>
      </c>
      <c r="K4490">
        <v>0</v>
      </c>
      <c r="L4490">
        <v>32.76</v>
      </c>
    </row>
    <row r="4491" spans="1:12" x14ac:dyDescent="0.25">
      <c r="A4491" t="str">
        <f t="shared" si="990"/>
        <v>89301000</v>
      </c>
      <c r="B4491" t="str">
        <f t="shared" si="991"/>
        <v>94101000</v>
      </c>
      <c r="C4491" t="str">
        <f t="shared" si="992"/>
        <v>94101858</v>
      </c>
      <c r="D4491" t="str">
        <f t="shared" si="993"/>
        <v>801</v>
      </c>
      <c r="E4491" t="str">
        <f t="shared" si="994"/>
        <v>89301082</v>
      </c>
      <c r="F4491" t="str">
        <f t="shared" si="995"/>
        <v>9556056268</v>
      </c>
      <c r="G4491" s="1">
        <v>44664</v>
      </c>
      <c r="H4491" t="str">
        <f>"97111"</f>
        <v>97111</v>
      </c>
      <c r="I4491">
        <v>1</v>
      </c>
      <c r="J4491">
        <v>18</v>
      </c>
      <c r="K4491">
        <v>0</v>
      </c>
      <c r="L4491">
        <v>14.04</v>
      </c>
    </row>
    <row r="4492" spans="1:12" x14ac:dyDescent="0.25">
      <c r="A4492" t="str">
        <f t="shared" si="990"/>
        <v>89301000</v>
      </c>
      <c r="B4492" t="str">
        <f t="shared" ref="B4492:B4505" si="996">"91009000"</f>
        <v>91009000</v>
      </c>
      <c r="C4492" t="str">
        <f>"91009605"</f>
        <v>91009605</v>
      </c>
      <c r="D4492" t="str">
        <f>"818"</f>
        <v>818</v>
      </c>
      <c r="E4492" t="str">
        <f>"89301109"</f>
        <v>89301109</v>
      </c>
      <c r="F4492" t="str">
        <f>"0706103233"</f>
        <v>0706103233</v>
      </c>
      <c r="G4492" s="1">
        <v>44656</v>
      </c>
      <c r="H4492" t="str">
        <f>"91431"</f>
        <v>91431</v>
      </c>
      <c r="I4492">
        <v>1</v>
      </c>
      <c r="J4492">
        <v>535</v>
      </c>
      <c r="K4492">
        <v>0</v>
      </c>
      <c r="L4492">
        <v>486.85</v>
      </c>
    </row>
    <row r="4493" spans="1:12" x14ac:dyDescent="0.25">
      <c r="A4493" t="str">
        <f t="shared" si="990"/>
        <v>89301000</v>
      </c>
      <c r="B4493" t="str">
        <f t="shared" si="996"/>
        <v>91009000</v>
      </c>
      <c r="C4493" t="str">
        <f>"91009605"</f>
        <v>91009605</v>
      </c>
      <c r="D4493" t="str">
        <f>"818"</f>
        <v>818</v>
      </c>
      <c r="E4493" t="str">
        <f>"89301109"</f>
        <v>89301109</v>
      </c>
      <c r="F4493" t="str">
        <f>"0706103233"</f>
        <v>0706103233</v>
      </c>
      <c r="G4493" s="1">
        <v>44658</v>
      </c>
      <c r="H4493" t="str">
        <f>"22122"</f>
        <v>22122</v>
      </c>
      <c r="I4493">
        <v>1</v>
      </c>
      <c r="J4493">
        <v>573</v>
      </c>
      <c r="K4493">
        <v>0</v>
      </c>
      <c r="L4493">
        <v>521.42999999999995</v>
      </c>
    </row>
    <row r="4494" spans="1:12" x14ac:dyDescent="0.25">
      <c r="A4494" t="str">
        <f t="shared" si="990"/>
        <v>89301000</v>
      </c>
      <c r="B4494" t="str">
        <f t="shared" si="996"/>
        <v>91009000</v>
      </c>
      <c r="C4494" t="str">
        <f>"91009605"</f>
        <v>91009605</v>
      </c>
      <c r="D4494" t="str">
        <f>"818"</f>
        <v>818</v>
      </c>
      <c r="E4494" t="str">
        <f>"89301109"</f>
        <v>89301109</v>
      </c>
      <c r="F4494" t="str">
        <f>"0706103233"</f>
        <v>0706103233</v>
      </c>
      <c r="G4494" s="1">
        <v>44658</v>
      </c>
      <c r="H4494" t="str">
        <f>"22123"</f>
        <v>22123</v>
      </c>
      <c r="I4494">
        <v>1</v>
      </c>
      <c r="J4494">
        <v>322</v>
      </c>
      <c r="K4494">
        <v>0</v>
      </c>
      <c r="L4494">
        <v>293.02</v>
      </c>
    </row>
    <row r="4495" spans="1:12" x14ac:dyDescent="0.25">
      <c r="A4495" t="str">
        <f t="shared" si="990"/>
        <v>89301000</v>
      </c>
      <c r="B4495" t="str">
        <f t="shared" si="996"/>
        <v>91009000</v>
      </c>
      <c r="C4495" t="str">
        <f>"91009605"</f>
        <v>91009605</v>
      </c>
      <c r="D4495" t="str">
        <f>"818"</f>
        <v>818</v>
      </c>
      <c r="E4495" t="str">
        <f>"89301109"</f>
        <v>89301109</v>
      </c>
      <c r="F4495" t="str">
        <f>"0706103233"</f>
        <v>0706103233</v>
      </c>
      <c r="G4495" s="1">
        <v>44658</v>
      </c>
      <c r="H4495" t="str">
        <f>"22127"</f>
        <v>22127</v>
      </c>
      <c r="I4495">
        <v>1</v>
      </c>
      <c r="J4495">
        <v>330</v>
      </c>
      <c r="K4495">
        <v>0</v>
      </c>
      <c r="L4495">
        <v>300.3</v>
      </c>
    </row>
    <row r="4496" spans="1:12" x14ac:dyDescent="0.25">
      <c r="A4496" t="str">
        <f t="shared" si="990"/>
        <v>89301000</v>
      </c>
      <c r="B4496" t="str">
        <f t="shared" si="996"/>
        <v>91009000</v>
      </c>
      <c r="C4496" t="str">
        <f t="shared" ref="C4496:C4502" si="997">"91009522"</f>
        <v>91009522</v>
      </c>
      <c r="D4496" t="str">
        <f t="shared" ref="D4496:D4502" si="998">"816"</f>
        <v>816</v>
      </c>
      <c r="E4496" t="str">
        <f t="shared" ref="E4496:E4502" si="999">"89301282"</f>
        <v>89301282</v>
      </c>
      <c r="F4496" t="str">
        <f>"1410160224"</f>
        <v>1410160224</v>
      </c>
      <c r="G4496" s="1">
        <v>44674</v>
      </c>
      <c r="H4496" t="str">
        <f>"94345"</f>
        <v>94345</v>
      </c>
      <c r="I4496">
        <v>2</v>
      </c>
      <c r="J4496">
        <v>9250</v>
      </c>
      <c r="K4496">
        <v>0</v>
      </c>
      <c r="L4496">
        <v>7862.5</v>
      </c>
    </row>
    <row r="4497" spans="1:12" x14ac:dyDescent="0.25">
      <c r="A4497" t="str">
        <f t="shared" si="990"/>
        <v>89301000</v>
      </c>
      <c r="B4497" t="str">
        <f t="shared" si="996"/>
        <v>91009000</v>
      </c>
      <c r="C4497" t="str">
        <f t="shared" si="997"/>
        <v>91009522</v>
      </c>
      <c r="D4497" t="str">
        <f t="shared" si="998"/>
        <v>816</v>
      </c>
      <c r="E4497" t="str">
        <f t="shared" si="999"/>
        <v>89301282</v>
      </c>
      <c r="F4497" t="str">
        <f>"1410160224"</f>
        <v>1410160224</v>
      </c>
      <c r="G4497" s="1">
        <v>44674</v>
      </c>
      <c r="H4497" t="str">
        <f>"94948"</f>
        <v>94948</v>
      </c>
      <c r="I4497">
        <v>2</v>
      </c>
      <c r="J4497">
        <v>0</v>
      </c>
      <c r="K4497">
        <v>0</v>
      </c>
      <c r="L4497">
        <v>0</v>
      </c>
    </row>
    <row r="4498" spans="1:12" x14ac:dyDescent="0.25">
      <c r="A4498" t="str">
        <f t="shared" si="990"/>
        <v>89301000</v>
      </c>
      <c r="B4498" t="str">
        <f t="shared" si="996"/>
        <v>91009000</v>
      </c>
      <c r="C4498" t="str">
        <f t="shared" si="997"/>
        <v>91009522</v>
      </c>
      <c r="D4498" t="str">
        <f t="shared" si="998"/>
        <v>816</v>
      </c>
      <c r="E4498" t="str">
        <f t="shared" si="999"/>
        <v>89301282</v>
      </c>
      <c r="F4498" t="str">
        <f>"1758210245"</f>
        <v>1758210245</v>
      </c>
      <c r="G4498" s="1">
        <v>44674</v>
      </c>
      <c r="H4498" t="str">
        <f>"94345"</f>
        <v>94345</v>
      </c>
      <c r="I4498">
        <v>2</v>
      </c>
      <c r="J4498">
        <v>9250</v>
      </c>
      <c r="K4498">
        <v>0</v>
      </c>
      <c r="L4498">
        <v>7862.5</v>
      </c>
    </row>
    <row r="4499" spans="1:12" x14ac:dyDescent="0.25">
      <c r="A4499" t="str">
        <f t="shared" si="990"/>
        <v>89301000</v>
      </c>
      <c r="B4499" t="str">
        <f t="shared" si="996"/>
        <v>91009000</v>
      </c>
      <c r="C4499" t="str">
        <f t="shared" si="997"/>
        <v>91009522</v>
      </c>
      <c r="D4499" t="str">
        <f t="shared" si="998"/>
        <v>816</v>
      </c>
      <c r="E4499" t="str">
        <f t="shared" si="999"/>
        <v>89301282</v>
      </c>
      <c r="F4499" t="str">
        <f>"1758210245"</f>
        <v>1758210245</v>
      </c>
      <c r="G4499" s="1">
        <v>44674</v>
      </c>
      <c r="H4499" t="str">
        <f>"94948"</f>
        <v>94948</v>
      </c>
      <c r="I4499">
        <v>2</v>
      </c>
      <c r="J4499">
        <v>0</v>
      </c>
      <c r="K4499">
        <v>0</v>
      </c>
      <c r="L4499">
        <v>0</v>
      </c>
    </row>
    <row r="4500" spans="1:12" x14ac:dyDescent="0.25">
      <c r="A4500" t="str">
        <f t="shared" si="990"/>
        <v>89301000</v>
      </c>
      <c r="B4500" t="str">
        <f t="shared" si="996"/>
        <v>91009000</v>
      </c>
      <c r="C4500" t="str">
        <f t="shared" si="997"/>
        <v>91009522</v>
      </c>
      <c r="D4500" t="str">
        <f t="shared" si="998"/>
        <v>816</v>
      </c>
      <c r="E4500" t="str">
        <f t="shared" si="999"/>
        <v>89301282</v>
      </c>
      <c r="F4500" t="str">
        <f>"0803285263"</f>
        <v>0803285263</v>
      </c>
      <c r="G4500" s="1">
        <v>44673</v>
      </c>
      <c r="H4500" t="str">
        <f>"94948"</f>
        <v>94948</v>
      </c>
      <c r="I4500">
        <v>2</v>
      </c>
      <c r="J4500">
        <v>0</v>
      </c>
      <c r="K4500">
        <v>0</v>
      </c>
      <c r="L4500">
        <v>0</v>
      </c>
    </row>
    <row r="4501" spans="1:12" x14ac:dyDescent="0.25">
      <c r="A4501" t="str">
        <f t="shared" si="990"/>
        <v>89301000</v>
      </c>
      <c r="B4501" t="str">
        <f t="shared" si="996"/>
        <v>91009000</v>
      </c>
      <c r="C4501" t="str">
        <f t="shared" si="997"/>
        <v>91009522</v>
      </c>
      <c r="D4501" t="str">
        <f t="shared" si="998"/>
        <v>816</v>
      </c>
      <c r="E4501" t="str">
        <f t="shared" si="999"/>
        <v>89301282</v>
      </c>
      <c r="F4501" t="str">
        <f>"0803285263"</f>
        <v>0803285263</v>
      </c>
      <c r="G4501" s="1">
        <v>44673</v>
      </c>
      <c r="H4501" t="str">
        <f>"94982"</f>
        <v>94982</v>
      </c>
      <c r="I4501">
        <v>1</v>
      </c>
      <c r="J4501">
        <v>0</v>
      </c>
      <c r="K4501">
        <v>27500</v>
      </c>
      <c r="L4501">
        <v>27500</v>
      </c>
    </row>
    <row r="4502" spans="1:12" x14ac:dyDescent="0.25">
      <c r="A4502" t="str">
        <f t="shared" si="990"/>
        <v>89301000</v>
      </c>
      <c r="B4502" t="str">
        <f t="shared" si="996"/>
        <v>91009000</v>
      </c>
      <c r="C4502" t="str">
        <f t="shared" si="997"/>
        <v>91009522</v>
      </c>
      <c r="D4502" t="str">
        <f t="shared" si="998"/>
        <v>816</v>
      </c>
      <c r="E4502" t="str">
        <f t="shared" si="999"/>
        <v>89301282</v>
      </c>
      <c r="F4502" t="str">
        <f>"0803285263"</f>
        <v>0803285263</v>
      </c>
      <c r="G4502" s="1">
        <v>44673</v>
      </c>
      <c r="H4502" t="str">
        <f>"94996"</f>
        <v>94996</v>
      </c>
      <c r="I4502">
        <v>1</v>
      </c>
      <c r="J4502">
        <v>0</v>
      </c>
      <c r="K4502">
        <v>0</v>
      </c>
      <c r="L4502">
        <v>0</v>
      </c>
    </row>
    <row r="4503" spans="1:12" x14ac:dyDescent="0.25">
      <c r="A4503" t="str">
        <f t="shared" si="990"/>
        <v>89301000</v>
      </c>
      <c r="B4503" t="str">
        <f t="shared" si="996"/>
        <v>91009000</v>
      </c>
      <c r="C4503" t="str">
        <f>"91009581"</f>
        <v>91009581</v>
      </c>
      <c r="D4503" t="str">
        <f>"801"</f>
        <v>801</v>
      </c>
      <c r="E4503" t="str">
        <f>"89301212"</f>
        <v>89301212</v>
      </c>
      <c r="F4503" t="str">
        <f>"8556125776"</f>
        <v>8556125776</v>
      </c>
      <c r="G4503" s="1">
        <v>44670</v>
      </c>
      <c r="H4503" t="str">
        <f>"97111"</f>
        <v>97111</v>
      </c>
      <c r="I4503">
        <v>1</v>
      </c>
      <c r="J4503">
        <v>18</v>
      </c>
      <c r="K4503">
        <v>0</v>
      </c>
      <c r="L4503">
        <v>14.04</v>
      </c>
    </row>
    <row r="4504" spans="1:12" x14ac:dyDescent="0.25">
      <c r="A4504" t="str">
        <f t="shared" si="990"/>
        <v>89301000</v>
      </c>
      <c r="B4504" t="str">
        <f t="shared" si="996"/>
        <v>91009000</v>
      </c>
      <c r="C4504" t="str">
        <f>"91009132"</f>
        <v>91009132</v>
      </c>
      <c r="D4504" t="str">
        <f>"812"</f>
        <v>812</v>
      </c>
      <c r="E4504" t="str">
        <f>"89301212"</f>
        <v>89301212</v>
      </c>
      <c r="F4504" t="str">
        <f>"8556125776"</f>
        <v>8556125776</v>
      </c>
      <c r="G4504" s="1">
        <v>44670</v>
      </c>
      <c r="H4504" t="str">
        <f>"92157"</f>
        <v>92157</v>
      </c>
      <c r="I4504">
        <v>1</v>
      </c>
      <c r="J4504">
        <v>1754</v>
      </c>
      <c r="K4504">
        <v>0</v>
      </c>
      <c r="L4504">
        <v>1368.12</v>
      </c>
    </row>
    <row r="4505" spans="1:12" x14ac:dyDescent="0.25">
      <c r="A4505" t="str">
        <f t="shared" si="990"/>
        <v>89301000</v>
      </c>
      <c r="B4505" t="str">
        <f t="shared" si="996"/>
        <v>91009000</v>
      </c>
      <c r="C4505" t="str">
        <f>"91009132"</f>
        <v>91009132</v>
      </c>
      <c r="D4505" t="str">
        <f>"812"</f>
        <v>812</v>
      </c>
      <c r="E4505" t="str">
        <f>"89301212"</f>
        <v>89301212</v>
      </c>
      <c r="F4505" t="str">
        <f>"8556125776"</f>
        <v>8556125776</v>
      </c>
      <c r="G4505" s="1">
        <v>44670</v>
      </c>
      <c r="H4505" t="str">
        <f>"99111"</f>
        <v>99111</v>
      </c>
      <c r="I4505">
        <v>1</v>
      </c>
      <c r="J4505">
        <v>206</v>
      </c>
      <c r="K4505">
        <v>0</v>
      </c>
      <c r="L4505">
        <v>160.68</v>
      </c>
    </row>
    <row r="4506" spans="1:12" x14ac:dyDescent="0.25">
      <c r="A4506" t="str">
        <f t="shared" si="990"/>
        <v>89301000</v>
      </c>
      <c r="B4506" t="str">
        <f>"89903000"</f>
        <v>89903000</v>
      </c>
      <c r="C4506" t="str">
        <f>"89903504"</f>
        <v>89903504</v>
      </c>
      <c r="D4506" t="str">
        <f>"810"</f>
        <v>810</v>
      </c>
      <c r="E4506" t="str">
        <f>"89301062"</f>
        <v>89301062</v>
      </c>
      <c r="F4506" t="str">
        <f>"6361121371"</f>
        <v>6361121371</v>
      </c>
      <c r="G4506" s="1">
        <v>44673</v>
      </c>
      <c r="H4506" t="str">
        <f>"89713"</f>
        <v>89713</v>
      </c>
      <c r="I4506">
        <v>2</v>
      </c>
      <c r="J4506">
        <v>10724</v>
      </c>
      <c r="K4506">
        <v>0</v>
      </c>
      <c r="L4506">
        <v>6434.4</v>
      </c>
    </row>
    <row r="4507" spans="1:12" x14ac:dyDescent="0.25">
      <c r="A4507" t="str">
        <f t="shared" si="990"/>
        <v>89301000</v>
      </c>
      <c r="B4507" t="str">
        <f>"89903000"</f>
        <v>89903000</v>
      </c>
      <c r="C4507" t="str">
        <f>"89903503"</f>
        <v>89903503</v>
      </c>
      <c r="D4507" t="str">
        <f>"809"</f>
        <v>809</v>
      </c>
      <c r="E4507" t="str">
        <f>"89301062"</f>
        <v>89301062</v>
      </c>
      <c r="F4507" t="str">
        <f>"6361121371"</f>
        <v>6361121371</v>
      </c>
      <c r="G4507" s="1">
        <v>44673</v>
      </c>
      <c r="H4507" t="str">
        <f>"89119"</f>
        <v>89119</v>
      </c>
      <c r="I4507">
        <v>2</v>
      </c>
      <c r="J4507">
        <v>400</v>
      </c>
      <c r="K4507">
        <v>0</v>
      </c>
      <c r="L4507">
        <v>560</v>
      </c>
    </row>
    <row r="4508" spans="1:12" x14ac:dyDescent="0.25">
      <c r="A4508" t="str">
        <f t="shared" si="990"/>
        <v>89301000</v>
      </c>
      <c r="B4508" t="str">
        <f>"89903000"</f>
        <v>89903000</v>
      </c>
      <c r="C4508" t="str">
        <f>"89903503"</f>
        <v>89903503</v>
      </c>
      <c r="D4508" t="str">
        <f>"809"</f>
        <v>809</v>
      </c>
      <c r="E4508" t="str">
        <f>"89301062"</f>
        <v>89301062</v>
      </c>
      <c r="F4508" t="str">
        <f>"6361121371"</f>
        <v>6361121371</v>
      </c>
      <c r="G4508" s="1">
        <v>44673</v>
      </c>
      <c r="H4508" t="str">
        <f>"89121"</f>
        <v>89121</v>
      </c>
      <c r="I4508">
        <v>1</v>
      </c>
      <c r="J4508">
        <v>176</v>
      </c>
      <c r="K4508">
        <v>0</v>
      </c>
      <c r="L4508">
        <v>246.4</v>
      </c>
    </row>
    <row r="4509" spans="1:12" x14ac:dyDescent="0.25">
      <c r="A4509" t="str">
        <f t="shared" si="990"/>
        <v>89301000</v>
      </c>
      <c r="B4509" t="str">
        <f t="shared" ref="B4509:B4514" si="1000">"78006000"</f>
        <v>78006000</v>
      </c>
      <c r="C4509" t="str">
        <f t="shared" ref="C4509:C4514" si="1001">"78006201"</f>
        <v>78006201</v>
      </c>
      <c r="D4509" t="str">
        <f t="shared" ref="D4509:D4520" si="1002">"801"</f>
        <v>801</v>
      </c>
      <c r="E4509" t="str">
        <f>"89301171"</f>
        <v>89301171</v>
      </c>
      <c r="F4509" t="str">
        <f>"5652011299"</f>
        <v>5652011299</v>
      </c>
      <c r="G4509" s="1">
        <v>44588</v>
      </c>
      <c r="H4509" t="str">
        <f>"81703"</f>
        <v>81703</v>
      </c>
      <c r="I4509">
        <v>2</v>
      </c>
      <c r="J4509">
        <v>556</v>
      </c>
      <c r="K4509">
        <v>0</v>
      </c>
      <c r="L4509">
        <v>433.68</v>
      </c>
    </row>
    <row r="4510" spans="1:12" x14ac:dyDescent="0.25">
      <c r="A4510" t="str">
        <f t="shared" si="990"/>
        <v>89301000</v>
      </c>
      <c r="B4510" t="str">
        <f t="shared" si="1000"/>
        <v>78006000</v>
      </c>
      <c r="C4510" t="str">
        <f t="shared" si="1001"/>
        <v>78006201</v>
      </c>
      <c r="D4510" t="str">
        <f t="shared" si="1002"/>
        <v>801</v>
      </c>
      <c r="E4510" t="str">
        <f>"89301171"</f>
        <v>89301171</v>
      </c>
      <c r="F4510" t="str">
        <f>"6454032002"</f>
        <v>6454032002</v>
      </c>
      <c r="G4510" s="1">
        <v>44578</v>
      </c>
      <c r="H4510" t="str">
        <f>"81703"</f>
        <v>81703</v>
      </c>
      <c r="I4510">
        <v>2</v>
      </c>
      <c r="J4510">
        <v>556</v>
      </c>
      <c r="K4510">
        <v>0</v>
      </c>
      <c r="L4510">
        <v>433.68</v>
      </c>
    </row>
    <row r="4511" spans="1:12" x14ac:dyDescent="0.25">
      <c r="A4511" t="str">
        <f t="shared" si="990"/>
        <v>89301000</v>
      </c>
      <c r="B4511" t="str">
        <f t="shared" si="1000"/>
        <v>78006000</v>
      </c>
      <c r="C4511" t="str">
        <f t="shared" si="1001"/>
        <v>78006201</v>
      </c>
      <c r="D4511" t="str">
        <f t="shared" si="1002"/>
        <v>801</v>
      </c>
      <c r="E4511" t="str">
        <f>"89301171"</f>
        <v>89301171</v>
      </c>
      <c r="F4511" t="str">
        <f>"9055235783"</f>
        <v>9055235783</v>
      </c>
      <c r="G4511" s="1">
        <v>44574</v>
      </c>
      <c r="H4511" t="str">
        <f>"81703"</f>
        <v>81703</v>
      </c>
      <c r="I4511">
        <v>2</v>
      </c>
      <c r="J4511">
        <v>556</v>
      </c>
      <c r="K4511">
        <v>0</v>
      </c>
      <c r="L4511">
        <v>433.68</v>
      </c>
    </row>
    <row r="4512" spans="1:12" x14ac:dyDescent="0.25">
      <c r="A4512" t="str">
        <f t="shared" si="990"/>
        <v>89301000</v>
      </c>
      <c r="B4512" t="str">
        <f t="shared" si="1000"/>
        <v>78006000</v>
      </c>
      <c r="C4512" t="str">
        <f t="shared" si="1001"/>
        <v>78006201</v>
      </c>
      <c r="D4512" t="str">
        <f t="shared" si="1002"/>
        <v>801</v>
      </c>
      <c r="E4512" t="str">
        <f>"89301171"</f>
        <v>89301171</v>
      </c>
      <c r="F4512" t="str">
        <f>"7307055305"</f>
        <v>7307055305</v>
      </c>
      <c r="G4512" s="1">
        <v>44592</v>
      </c>
      <c r="H4512" t="str">
        <f>"81703"</f>
        <v>81703</v>
      </c>
      <c r="I4512">
        <v>2</v>
      </c>
      <c r="J4512">
        <v>556</v>
      </c>
      <c r="K4512">
        <v>0</v>
      </c>
      <c r="L4512">
        <v>433.68</v>
      </c>
    </row>
    <row r="4513" spans="1:12" x14ac:dyDescent="0.25">
      <c r="A4513" t="str">
        <f t="shared" si="990"/>
        <v>89301000</v>
      </c>
      <c r="B4513" t="str">
        <f t="shared" si="1000"/>
        <v>78006000</v>
      </c>
      <c r="C4513" t="str">
        <f t="shared" si="1001"/>
        <v>78006201</v>
      </c>
      <c r="D4513" t="str">
        <f t="shared" si="1002"/>
        <v>801</v>
      </c>
      <c r="E4513" t="str">
        <f>"89301171"</f>
        <v>89301171</v>
      </c>
      <c r="F4513" t="str">
        <f>"9358105757"</f>
        <v>9358105757</v>
      </c>
      <c r="G4513" s="1">
        <v>44571</v>
      </c>
      <c r="H4513" t="str">
        <f>"81703"</f>
        <v>81703</v>
      </c>
      <c r="I4513">
        <v>2</v>
      </c>
      <c r="J4513">
        <v>556</v>
      </c>
      <c r="K4513">
        <v>0</v>
      </c>
      <c r="L4513">
        <v>433.68</v>
      </c>
    </row>
    <row r="4514" spans="1:12" x14ac:dyDescent="0.25">
      <c r="A4514" t="str">
        <f t="shared" si="990"/>
        <v>89301000</v>
      </c>
      <c r="B4514" t="str">
        <f t="shared" si="1000"/>
        <v>78006000</v>
      </c>
      <c r="C4514" t="str">
        <f t="shared" si="1001"/>
        <v>78006201</v>
      </c>
      <c r="D4514" t="str">
        <f t="shared" si="1002"/>
        <v>801</v>
      </c>
      <c r="E4514" t="str">
        <f>"89301202"</f>
        <v>89301202</v>
      </c>
      <c r="F4514" t="str">
        <f>"535910315"</f>
        <v>535910315</v>
      </c>
      <c r="G4514" s="1">
        <v>44573</v>
      </c>
      <c r="H4514" t="str">
        <f>"92169"</f>
        <v>92169</v>
      </c>
      <c r="I4514">
        <v>1</v>
      </c>
      <c r="J4514">
        <v>944</v>
      </c>
      <c r="K4514">
        <v>0</v>
      </c>
      <c r="L4514">
        <v>736.32</v>
      </c>
    </row>
    <row r="4515" spans="1:12" x14ac:dyDescent="0.25">
      <c r="A4515" t="str">
        <f t="shared" si="990"/>
        <v>89301000</v>
      </c>
      <c r="B4515" t="str">
        <f>"06223000"</f>
        <v>06223000</v>
      </c>
      <c r="C4515" t="str">
        <f>"06223043"</f>
        <v>06223043</v>
      </c>
      <c r="D4515" t="str">
        <f t="shared" si="1002"/>
        <v>801</v>
      </c>
      <c r="E4515" t="str">
        <f>"89301122"</f>
        <v>89301122</v>
      </c>
      <c r="F4515" t="str">
        <f>"520928233"</f>
        <v>520928233</v>
      </c>
      <c r="G4515" s="1">
        <v>44670</v>
      </c>
      <c r="H4515" t="str">
        <f>"81485"</f>
        <v>81485</v>
      </c>
      <c r="I4515">
        <v>1</v>
      </c>
      <c r="J4515">
        <v>453</v>
      </c>
      <c r="K4515">
        <v>0</v>
      </c>
      <c r="L4515">
        <v>353.34</v>
      </c>
    </row>
    <row r="4516" spans="1:12" x14ac:dyDescent="0.25">
      <c r="A4516" t="str">
        <f t="shared" si="990"/>
        <v>89301000</v>
      </c>
      <c r="B4516" t="str">
        <f>"06223000"</f>
        <v>06223000</v>
      </c>
      <c r="C4516" t="str">
        <f>"06223043"</f>
        <v>06223043</v>
      </c>
      <c r="D4516" t="str">
        <f t="shared" si="1002"/>
        <v>801</v>
      </c>
      <c r="E4516" t="str">
        <f>"89301122"</f>
        <v>89301122</v>
      </c>
      <c r="F4516" t="str">
        <f>"8508185774"</f>
        <v>8508185774</v>
      </c>
      <c r="G4516" s="1">
        <v>44678</v>
      </c>
      <c r="H4516" t="str">
        <f>"81485"</f>
        <v>81485</v>
      </c>
      <c r="I4516">
        <v>1</v>
      </c>
      <c r="J4516">
        <v>453</v>
      </c>
      <c r="K4516">
        <v>0</v>
      </c>
      <c r="L4516">
        <v>353.34</v>
      </c>
    </row>
    <row r="4517" spans="1:12" x14ac:dyDescent="0.25">
      <c r="A4517" t="str">
        <f t="shared" si="990"/>
        <v>89301000</v>
      </c>
      <c r="B4517" t="str">
        <f>"06223000"</f>
        <v>06223000</v>
      </c>
      <c r="C4517" t="str">
        <f>"06223043"</f>
        <v>06223043</v>
      </c>
      <c r="D4517" t="str">
        <f t="shared" si="1002"/>
        <v>801</v>
      </c>
      <c r="E4517" t="str">
        <f>"89301122"</f>
        <v>89301122</v>
      </c>
      <c r="F4517" t="str">
        <f>"505413206"</f>
        <v>505413206</v>
      </c>
      <c r="G4517" s="1">
        <v>44670</v>
      </c>
      <c r="H4517" t="str">
        <f>"81485"</f>
        <v>81485</v>
      </c>
      <c r="I4517">
        <v>1</v>
      </c>
      <c r="J4517">
        <v>453</v>
      </c>
      <c r="K4517">
        <v>0</v>
      </c>
      <c r="L4517">
        <v>353.34</v>
      </c>
    </row>
    <row r="4518" spans="1:12" x14ac:dyDescent="0.25">
      <c r="A4518" t="str">
        <f t="shared" si="990"/>
        <v>89301000</v>
      </c>
      <c r="B4518" t="str">
        <f>"06223000"</f>
        <v>06223000</v>
      </c>
      <c r="C4518" t="str">
        <f>"06223043"</f>
        <v>06223043</v>
      </c>
      <c r="D4518" t="str">
        <f t="shared" si="1002"/>
        <v>801</v>
      </c>
      <c r="E4518" t="str">
        <f>"89301122"</f>
        <v>89301122</v>
      </c>
      <c r="F4518" t="str">
        <f>"8302085330"</f>
        <v>8302085330</v>
      </c>
      <c r="G4518" s="1">
        <v>44655</v>
      </c>
      <c r="H4518" t="str">
        <f>"81485"</f>
        <v>81485</v>
      </c>
      <c r="I4518">
        <v>1</v>
      </c>
      <c r="J4518">
        <v>453</v>
      </c>
      <c r="K4518">
        <v>0</v>
      </c>
      <c r="L4518">
        <v>353.34</v>
      </c>
    </row>
    <row r="4519" spans="1:12" x14ac:dyDescent="0.25">
      <c r="A4519" t="str">
        <f t="shared" si="990"/>
        <v>89301000</v>
      </c>
      <c r="B4519" t="str">
        <f>"06223000"</f>
        <v>06223000</v>
      </c>
      <c r="C4519" t="str">
        <f>"06223043"</f>
        <v>06223043</v>
      </c>
      <c r="D4519" t="str">
        <f t="shared" si="1002"/>
        <v>801</v>
      </c>
      <c r="E4519" t="str">
        <f>"89301122"</f>
        <v>89301122</v>
      </c>
      <c r="F4519" t="str">
        <f>"8109201309"</f>
        <v>8109201309</v>
      </c>
      <c r="G4519" s="1">
        <v>44678</v>
      </c>
      <c r="H4519" t="str">
        <f>"81485"</f>
        <v>81485</v>
      </c>
      <c r="I4519">
        <v>1</v>
      </c>
      <c r="J4519">
        <v>453</v>
      </c>
      <c r="K4519">
        <v>0</v>
      </c>
      <c r="L4519">
        <v>353.34</v>
      </c>
    </row>
    <row r="4520" spans="1:12" x14ac:dyDescent="0.25">
      <c r="A4520" t="str">
        <f t="shared" si="990"/>
        <v>89301000</v>
      </c>
      <c r="B4520" t="str">
        <f t="shared" ref="B4520:B4527" si="1003">"78006000"</f>
        <v>78006000</v>
      </c>
      <c r="C4520" t="str">
        <f>"78006201"</f>
        <v>78006201</v>
      </c>
      <c r="D4520" t="str">
        <f t="shared" si="1002"/>
        <v>801</v>
      </c>
      <c r="E4520" t="str">
        <f>"89301167"</f>
        <v>89301167</v>
      </c>
      <c r="F4520" t="str">
        <f>"6459211253"</f>
        <v>6459211253</v>
      </c>
      <c r="G4520" s="1">
        <v>44587</v>
      </c>
      <c r="H4520" t="str">
        <f>"81249"</f>
        <v>81249</v>
      </c>
      <c r="I4520">
        <v>1</v>
      </c>
      <c r="J4520">
        <v>333</v>
      </c>
      <c r="K4520">
        <v>0</v>
      </c>
      <c r="L4520">
        <v>259.74</v>
      </c>
    </row>
    <row r="4521" spans="1:12" x14ac:dyDescent="0.25">
      <c r="A4521" t="str">
        <f t="shared" si="990"/>
        <v>89301000</v>
      </c>
      <c r="B4521" t="str">
        <f t="shared" si="1003"/>
        <v>78006000</v>
      </c>
      <c r="C4521" t="str">
        <f t="shared" ref="C4521:C4527" si="1004">"78006207"</f>
        <v>78006207</v>
      </c>
      <c r="D4521" t="str">
        <f t="shared" ref="D4521:D4527" si="1005">"813"</f>
        <v>813</v>
      </c>
      <c r="E4521" t="str">
        <f t="shared" ref="E4521:E4527" si="1006">"89301171"</f>
        <v>89301171</v>
      </c>
      <c r="F4521" t="str">
        <f>"6456282041"</f>
        <v>6456282041</v>
      </c>
      <c r="G4521" s="1">
        <v>44580</v>
      </c>
      <c r="H4521" t="str">
        <f t="shared" ref="H4521:H4527" si="1007">"91197"</f>
        <v>91197</v>
      </c>
      <c r="I4521">
        <v>6</v>
      </c>
      <c r="J4521">
        <v>6276</v>
      </c>
      <c r="K4521">
        <v>0</v>
      </c>
      <c r="L4521">
        <v>4895.28</v>
      </c>
    </row>
    <row r="4522" spans="1:12" x14ac:dyDescent="0.25">
      <c r="A4522" t="str">
        <f t="shared" si="990"/>
        <v>89301000</v>
      </c>
      <c r="B4522" t="str">
        <f t="shared" si="1003"/>
        <v>78006000</v>
      </c>
      <c r="C4522" t="str">
        <f t="shared" si="1004"/>
        <v>78006207</v>
      </c>
      <c r="D4522" t="str">
        <f t="shared" si="1005"/>
        <v>813</v>
      </c>
      <c r="E4522" t="str">
        <f t="shared" si="1006"/>
        <v>89301171</v>
      </c>
      <c r="F4522" t="str">
        <f>"9055235783"</f>
        <v>9055235783</v>
      </c>
      <c r="G4522" s="1">
        <v>44592</v>
      </c>
      <c r="H4522" t="str">
        <f t="shared" si="1007"/>
        <v>91197</v>
      </c>
      <c r="I4522">
        <v>6</v>
      </c>
      <c r="J4522">
        <v>6276</v>
      </c>
      <c r="K4522">
        <v>0</v>
      </c>
      <c r="L4522">
        <v>4895.28</v>
      </c>
    </row>
    <row r="4523" spans="1:12" x14ac:dyDescent="0.25">
      <c r="A4523" t="str">
        <f t="shared" si="990"/>
        <v>89301000</v>
      </c>
      <c r="B4523" t="str">
        <f t="shared" si="1003"/>
        <v>78006000</v>
      </c>
      <c r="C4523" t="str">
        <f t="shared" si="1004"/>
        <v>78006207</v>
      </c>
      <c r="D4523" t="str">
        <f t="shared" si="1005"/>
        <v>813</v>
      </c>
      <c r="E4523" t="str">
        <f t="shared" si="1006"/>
        <v>89301171</v>
      </c>
      <c r="F4523" t="str">
        <f>"7654015336"</f>
        <v>7654015336</v>
      </c>
      <c r="G4523" s="1">
        <v>44564</v>
      </c>
      <c r="H4523" t="str">
        <f t="shared" si="1007"/>
        <v>91197</v>
      </c>
      <c r="I4523">
        <v>6</v>
      </c>
      <c r="J4523">
        <v>6276</v>
      </c>
      <c r="K4523">
        <v>0</v>
      </c>
      <c r="L4523">
        <v>4895.28</v>
      </c>
    </row>
    <row r="4524" spans="1:12" x14ac:dyDescent="0.25">
      <c r="A4524" t="str">
        <f t="shared" si="990"/>
        <v>89301000</v>
      </c>
      <c r="B4524" t="str">
        <f t="shared" si="1003"/>
        <v>78006000</v>
      </c>
      <c r="C4524" t="str">
        <f t="shared" si="1004"/>
        <v>78006207</v>
      </c>
      <c r="D4524" t="str">
        <f t="shared" si="1005"/>
        <v>813</v>
      </c>
      <c r="E4524" t="str">
        <f t="shared" si="1006"/>
        <v>89301171</v>
      </c>
      <c r="F4524" t="str">
        <f>"7705115330"</f>
        <v>7705115330</v>
      </c>
      <c r="G4524" s="1">
        <v>44564</v>
      </c>
      <c r="H4524" t="str">
        <f t="shared" si="1007"/>
        <v>91197</v>
      </c>
      <c r="I4524">
        <v>6</v>
      </c>
      <c r="J4524">
        <v>6276</v>
      </c>
      <c r="K4524">
        <v>0</v>
      </c>
      <c r="L4524">
        <v>4895.28</v>
      </c>
    </row>
    <row r="4525" spans="1:12" x14ac:dyDescent="0.25">
      <c r="A4525" t="str">
        <f t="shared" si="990"/>
        <v>89301000</v>
      </c>
      <c r="B4525" t="str">
        <f t="shared" si="1003"/>
        <v>78006000</v>
      </c>
      <c r="C4525" t="str">
        <f t="shared" si="1004"/>
        <v>78006207</v>
      </c>
      <c r="D4525" t="str">
        <f t="shared" si="1005"/>
        <v>813</v>
      </c>
      <c r="E4525" t="str">
        <f t="shared" si="1006"/>
        <v>89301171</v>
      </c>
      <c r="F4525" t="str">
        <f>"8905255711"</f>
        <v>8905255711</v>
      </c>
      <c r="G4525" s="1">
        <v>44564</v>
      </c>
      <c r="H4525" t="str">
        <f t="shared" si="1007"/>
        <v>91197</v>
      </c>
      <c r="I4525">
        <v>6</v>
      </c>
      <c r="J4525">
        <v>6276</v>
      </c>
      <c r="K4525">
        <v>0</v>
      </c>
      <c r="L4525">
        <v>4895.28</v>
      </c>
    </row>
    <row r="4526" spans="1:12" x14ac:dyDescent="0.25">
      <c r="A4526" t="str">
        <f t="shared" si="990"/>
        <v>89301000</v>
      </c>
      <c r="B4526" t="str">
        <f t="shared" si="1003"/>
        <v>78006000</v>
      </c>
      <c r="C4526" t="str">
        <f t="shared" si="1004"/>
        <v>78006207</v>
      </c>
      <c r="D4526" t="str">
        <f t="shared" si="1005"/>
        <v>813</v>
      </c>
      <c r="E4526" t="str">
        <f t="shared" si="1006"/>
        <v>89301171</v>
      </c>
      <c r="F4526" t="str">
        <f>"9358105757"</f>
        <v>9358105757</v>
      </c>
      <c r="G4526" s="1">
        <v>44587</v>
      </c>
      <c r="H4526" t="str">
        <f t="shared" si="1007"/>
        <v>91197</v>
      </c>
      <c r="I4526">
        <v>6</v>
      </c>
      <c r="J4526">
        <v>6276</v>
      </c>
      <c r="K4526">
        <v>0</v>
      </c>
      <c r="L4526">
        <v>4895.28</v>
      </c>
    </row>
    <row r="4527" spans="1:12" x14ac:dyDescent="0.25">
      <c r="A4527" t="str">
        <f t="shared" si="990"/>
        <v>89301000</v>
      </c>
      <c r="B4527" t="str">
        <f t="shared" si="1003"/>
        <v>78006000</v>
      </c>
      <c r="C4527" t="str">
        <f t="shared" si="1004"/>
        <v>78006207</v>
      </c>
      <c r="D4527" t="str">
        <f t="shared" si="1005"/>
        <v>813</v>
      </c>
      <c r="E4527" t="str">
        <f t="shared" si="1006"/>
        <v>89301171</v>
      </c>
      <c r="F4527" t="str">
        <f>"461105164"</f>
        <v>461105164</v>
      </c>
      <c r="G4527" s="1">
        <v>44580</v>
      </c>
      <c r="H4527" t="str">
        <f t="shared" si="1007"/>
        <v>91197</v>
      </c>
      <c r="I4527">
        <v>6</v>
      </c>
      <c r="J4527">
        <v>6276</v>
      </c>
      <c r="K4527">
        <v>0</v>
      </c>
      <c r="L4527">
        <v>4895.28</v>
      </c>
    </row>
    <row r="4528" spans="1:12" x14ac:dyDescent="0.25">
      <c r="A4528" t="str">
        <f t="shared" si="990"/>
        <v>89301000</v>
      </c>
      <c r="B4528" t="str">
        <f>"06223000"</f>
        <v>06223000</v>
      </c>
      <c r="C4528" t="str">
        <f>"06223043"</f>
        <v>06223043</v>
      </c>
      <c r="D4528" t="str">
        <f>"801"</f>
        <v>801</v>
      </c>
      <c r="E4528" t="str">
        <f>"89301122"</f>
        <v>89301122</v>
      </c>
      <c r="F4528" t="str">
        <f>"6358310904"</f>
        <v>6358310904</v>
      </c>
      <c r="G4528" s="1">
        <v>44678</v>
      </c>
      <c r="H4528" t="str">
        <f>"81485"</f>
        <v>81485</v>
      </c>
      <c r="I4528">
        <v>1</v>
      </c>
      <c r="J4528">
        <v>453</v>
      </c>
      <c r="K4528">
        <v>0</v>
      </c>
      <c r="L4528">
        <v>353.34</v>
      </c>
    </row>
    <row r="4529" spans="1:12" x14ac:dyDescent="0.25">
      <c r="A4529" t="str">
        <f t="shared" si="990"/>
        <v>89301000</v>
      </c>
      <c r="B4529" t="str">
        <f t="shared" ref="B4529:B4534" si="1008">"78006000"</f>
        <v>78006000</v>
      </c>
      <c r="C4529" t="str">
        <f t="shared" ref="C4529:C4534" si="1009">"78006205"</f>
        <v>78006205</v>
      </c>
      <c r="D4529" t="str">
        <f t="shared" ref="D4529:D4534" si="1010">"818"</f>
        <v>818</v>
      </c>
      <c r="E4529" t="str">
        <f t="shared" ref="E4529:E4534" si="1011">"89301167"</f>
        <v>89301167</v>
      </c>
      <c r="F4529" t="str">
        <f t="shared" ref="F4529:F4534" si="1012">"6459211253"</f>
        <v>6459211253</v>
      </c>
      <c r="G4529" s="1">
        <v>44566</v>
      </c>
      <c r="H4529" t="str">
        <f>"96167"</f>
        <v>96167</v>
      </c>
      <c r="I4529">
        <v>1</v>
      </c>
      <c r="J4529">
        <v>67</v>
      </c>
      <c r="K4529">
        <v>0</v>
      </c>
      <c r="L4529">
        <v>60.97</v>
      </c>
    </row>
    <row r="4530" spans="1:12" x14ac:dyDescent="0.25">
      <c r="A4530" t="str">
        <f t="shared" si="990"/>
        <v>89301000</v>
      </c>
      <c r="B4530" t="str">
        <f t="shared" si="1008"/>
        <v>78006000</v>
      </c>
      <c r="C4530" t="str">
        <f t="shared" si="1009"/>
        <v>78006205</v>
      </c>
      <c r="D4530" t="str">
        <f t="shared" si="1010"/>
        <v>818</v>
      </c>
      <c r="E4530" t="str">
        <f t="shared" si="1011"/>
        <v>89301167</v>
      </c>
      <c r="F4530" t="str">
        <f t="shared" si="1012"/>
        <v>6459211253</v>
      </c>
      <c r="G4530" s="1">
        <v>44566</v>
      </c>
      <c r="H4530" t="str">
        <f>"96315"</f>
        <v>96315</v>
      </c>
      <c r="I4530">
        <v>1</v>
      </c>
      <c r="J4530">
        <v>29</v>
      </c>
      <c r="K4530">
        <v>0</v>
      </c>
      <c r="L4530">
        <v>26.39</v>
      </c>
    </row>
    <row r="4531" spans="1:12" x14ac:dyDescent="0.25">
      <c r="A4531" t="str">
        <f t="shared" si="990"/>
        <v>89301000</v>
      </c>
      <c r="B4531" t="str">
        <f t="shared" si="1008"/>
        <v>78006000</v>
      </c>
      <c r="C4531" t="str">
        <f t="shared" si="1009"/>
        <v>78006205</v>
      </c>
      <c r="D4531" t="str">
        <f t="shared" si="1010"/>
        <v>818</v>
      </c>
      <c r="E4531" t="str">
        <f t="shared" si="1011"/>
        <v>89301167</v>
      </c>
      <c r="F4531" t="str">
        <f t="shared" si="1012"/>
        <v>6459211253</v>
      </c>
      <c r="G4531" s="1">
        <v>44566</v>
      </c>
      <c r="H4531" t="str">
        <f>"96711"</f>
        <v>96711</v>
      </c>
      <c r="I4531">
        <v>1</v>
      </c>
      <c r="J4531">
        <v>27</v>
      </c>
      <c r="K4531">
        <v>0</v>
      </c>
      <c r="L4531">
        <v>24.57</v>
      </c>
    </row>
    <row r="4532" spans="1:12" x14ac:dyDescent="0.25">
      <c r="A4532" t="str">
        <f t="shared" si="990"/>
        <v>89301000</v>
      </c>
      <c r="B4532" t="str">
        <f t="shared" si="1008"/>
        <v>78006000</v>
      </c>
      <c r="C4532" t="str">
        <f t="shared" si="1009"/>
        <v>78006205</v>
      </c>
      <c r="D4532" t="str">
        <f t="shared" si="1010"/>
        <v>818</v>
      </c>
      <c r="E4532" t="str">
        <f t="shared" si="1011"/>
        <v>89301167</v>
      </c>
      <c r="F4532" t="str">
        <f t="shared" si="1012"/>
        <v>6459211253</v>
      </c>
      <c r="G4532" s="1">
        <v>44587</v>
      </c>
      <c r="H4532" t="str">
        <f>"96167"</f>
        <v>96167</v>
      </c>
      <c r="I4532">
        <v>1</v>
      </c>
      <c r="J4532">
        <v>67</v>
      </c>
      <c r="K4532">
        <v>0</v>
      </c>
      <c r="L4532">
        <v>60.97</v>
      </c>
    </row>
    <row r="4533" spans="1:12" x14ac:dyDescent="0.25">
      <c r="A4533" t="str">
        <f t="shared" si="990"/>
        <v>89301000</v>
      </c>
      <c r="B4533" t="str">
        <f t="shared" si="1008"/>
        <v>78006000</v>
      </c>
      <c r="C4533" t="str">
        <f t="shared" si="1009"/>
        <v>78006205</v>
      </c>
      <c r="D4533" t="str">
        <f t="shared" si="1010"/>
        <v>818</v>
      </c>
      <c r="E4533" t="str">
        <f t="shared" si="1011"/>
        <v>89301167</v>
      </c>
      <c r="F4533" t="str">
        <f t="shared" si="1012"/>
        <v>6459211253</v>
      </c>
      <c r="G4533" s="1">
        <v>44587</v>
      </c>
      <c r="H4533" t="str">
        <f>"96315"</f>
        <v>96315</v>
      </c>
      <c r="I4533">
        <v>1</v>
      </c>
      <c r="J4533">
        <v>29</v>
      </c>
      <c r="K4533">
        <v>0</v>
      </c>
      <c r="L4533">
        <v>26.39</v>
      </c>
    </row>
    <row r="4534" spans="1:12" x14ac:dyDescent="0.25">
      <c r="A4534" t="str">
        <f t="shared" si="990"/>
        <v>89301000</v>
      </c>
      <c r="B4534" t="str">
        <f t="shared" si="1008"/>
        <v>78006000</v>
      </c>
      <c r="C4534" t="str">
        <f t="shared" si="1009"/>
        <v>78006205</v>
      </c>
      <c r="D4534" t="str">
        <f t="shared" si="1010"/>
        <v>818</v>
      </c>
      <c r="E4534" t="str">
        <f t="shared" si="1011"/>
        <v>89301167</v>
      </c>
      <c r="F4534" t="str">
        <f t="shared" si="1012"/>
        <v>6459211253</v>
      </c>
      <c r="G4534" s="1">
        <v>44587</v>
      </c>
      <c r="H4534" t="str">
        <f>"96711"</f>
        <v>96711</v>
      </c>
      <c r="I4534">
        <v>1</v>
      </c>
      <c r="J4534">
        <v>27</v>
      </c>
      <c r="K4534">
        <v>0</v>
      </c>
      <c r="L4534">
        <v>24.57</v>
      </c>
    </row>
    <row r="4535" spans="1:12" x14ac:dyDescent="0.25">
      <c r="A4535" t="str">
        <f t="shared" si="990"/>
        <v>89301000</v>
      </c>
      <c r="B4535" t="str">
        <f>"06223000"</f>
        <v>06223000</v>
      </c>
      <c r="C4535" t="str">
        <f>"06223043"</f>
        <v>06223043</v>
      </c>
      <c r="D4535" t="str">
        <f t="shared" ref="D4535:D4551" si="1013">"801"</f>
        <v>801</v>
      </c>
      <c r="E4535" t="str">
        <f>"89301122"</f>
        <v>89301122</v>
      </c>
      <c r="F4535" t="str">
        <f>"6608211104"</f>
        <v>6608211104</v>
      </c>
      <c r="G4535" s="1">
        <v>44670</v>
      </c>
      <c r="H4535" t="str">
        <f>"81485"</f>
        <v>81485</v>
      </c>
      <c r="I4535">
        <v>1</v>
      </c>
      <c r="J4535">
        <v>453</v>
      </c>
      <c r="K4535">
        <v>0</v>
      </c>
      <c r="L4535">
        <v>353.34</v>
      </c>
    </row>
    <row r="4536" spans="1:12" x14ac:dyDescent="0.25">
      <c r="A4536" t="str">
        <f t="shared" si="990"/>
        <v>89301000</v>
      </c>
      <c r="B4536" t="str">
        <f>"06223000"</f>
        <v>06223000</v>
      </c>
      <c r="C4536" t="str">
        <f>"06223043"</f>
        <v>06223043</v>
      </c>
      <c r="D4536" t="str">
        <f t="shared" si="1013"/>
        <v>801</v>
      </c>
      <c r="E4536" t="str">
        <f>"89301122"</f>
        <v>89301122</v>
      </c>
      <c r="F4536" t="str">
        <f>"440526434"</f>
        <v>440526434</v>
      </c>
      <c r="G4536" s="1">
        <v>44655</v>
      </c>
      <c r="H4536" t="str">
        <f>"81485"</f>
        <v>81485</v>
      </c>
      <c r="I4536">
        <v>1</v>
      </c>
      <c r="J4536">
        <v>453</v>
      </c>
      <c r="K4536">
        <v>0</v>
      </c>
      <c r="L4536">
        <v>353.34</v>
      </c>
    </row>
    <row r="4537" spans="1:12" x14ac:dyDescent="0.25">
      <c r="A4537" t="str">
        <f t="shared" si="990"/>
        <v>89301000</v>
      </c>
      <c r="B4537" t="str">
        <f>"06223000"</f>
        <v>06223000</v>
      </c>
      <c r="C4537" t="str">
        <f>"06223043"</f>
        <v>06223043</v>
      </c>
      <c r="D4537" t="str">
        <f t="shared" si="1013"/>
        <v>801</v>
      </c>
      <c r="E4537" t="str">
        <f>"89301122"</f>
        <v>89301122</v>
      </c>
      <c r="F4537" t="str">
        <f>"6360070695"</f>
        <v>6360070695</v>
      </c>
      <c r="G4537" s="1">
        <v>44670</v>
      </c>
      <c r="H4537" t="str">
        <f>"81485"</f>
        <v>81485</v>
      </c>
      <c r="I4537">
        <v>1</v>
      </c>
      <c r="J4537">
        <v>453</v>
      </c>
      <c r="K4537">
        <v>0</v>
      </c>
      <c r="L4537">
        <v>353.34</v>
      </c>
    </row>
    <row r="4538" spans="1:12" x14ac:dyDescent="0.25">
      <c r="A4538" t="str">
        <f t="shared" si="990"/>
        <v>89301000</v>
      </c>
      <c r="B4538" t="str">
        <f>"06223000"</f>
        <v>06223000</v>
      </c>
      <c r="C4538" t="str">
        <f>"06223043"</f>
        <v>06223043</v>
      </c>
      <c r="D4538" t="str">
        <f t="shared" si="1013"/>
        <v>801</v>
      </c>
      <c r="E4538" t="str">
        <f>"89301122"</f>
        <v>89301122</v>
      </c>
      <c r="F4538" t="str">
        <f>"495917236"</f>
        <v>495917236</v>
      </c>
      <c r="G4538" s="1">
        <v>44678</v>
      </c>
      <c r="H4538" t="str">
        <f>"81485"</f>
        <v>81485</v>
      </c>
      <c r="I4538">
        <v>1</v>
      </c>
      <c r="J4538">
        <v>453</v>
      </c>
      <c r="K4538">
        <v>0</v>
      </c>
      <c r="L4538">
        <v>353.34</v>
      </c>
    </row>
    <row r="4539" spans="1:12" x14ac:dyDescent="0.25">
      <c r="A4539" t="str">
        <f t="shared" si="990"/>
        <v>89301000</v>
      </c>
      <c r="B4539" t="str">
        <f t="shared" ref="B4539:B4553" si="1014">"78006000"</f>
        <v>78006000</v>
      </c>
      <c r="C4539" t="str">
        <f t="shared" ref="C4539:C4551" si="1015">"78006201"</f>
        <v>78006201</v>
      </c>
      <c r="D4539" t="str">
        <f t="shared" si="1013"/>
        <v>801</v>
      </c>
      <c r="E4539" t="str">
        <f t="shared" ref="E4539:E4553" si="1016">"89301167"</f>
        <v>89301167</v>
      </c>
      <c r="F4539" t="str">
        <f t="shared" ref="F4539:F4553" si="1017">"6459211253"</f>
        <v>6459211253</v>
      </c>
      <c r="G4539" s="1">
        <v>44587</v>
      </c>
      <c r="H4539" t="str">
        <f>"81329"</f>
        <v>81329</v>
      </c>
      <c r="I4539">
        <v>1</v>
      </c>
      <c r="J4539">
        <v>16</v>
      </c>
      <c r="K4539">
        <v>0</v>
      </c>
      <c r="L4539">
        <v>12.48</v>
      </c>
    </row>
    <row r="4540" spans="1:12" x14ac:dyDescent="0.25">
      <c r="A4540" t="str">
        <f t="shared" si="990"/>
        <v>89301000</v>
      </c>
      <c r="B4540" t="str">
        <f t="shared" si="1014"/>
        <v>78006000</v>
      </c>
      <c r="C4540" t="str">
        <f t="shared" si="1015"/>
        <v>78006201</v>
      </c>
      <c r="D4540" t="str">
        <f t="shared" si="1013"/>
        <v>801</v>
      </c>
      <c r="E4540" t="str">
        <f t="shared" si="1016"/>
        <v>89301167</v>
      </c>
      <c r="F4540" t="str">
        <f t="shared" si="1017"/>
        <v>6459211253</v>
      </c>
      <c r="G4540" s="1">
        <v>44587</v>
      </c>
      <c r="H4540" t="str">
        <f>"81383"</f>
        <v>81383</v>
      </c>
      <c r="I4540">
        <v>1</v>
      </c>
      <c r="J4540">
        <v>23</v>
      </c>
      <c r="K4540">
        <v>0</v>
      </c>
      <c r="L4540">
        <v>17.940000000000001</v>
      </c>
    </row>
    <row r="4541" spans="1:12" x14ac:dyDescent="0.25">
      <c r="A4541" t="str">
        <f t="shared" si="990"/>
        <v>89301000</v>
      </c>
      <c r="B4541" t="str">
        <f t="shared" si="1014"/>
        <v>78006000</v>
      </c>
      <c r="C4541" t="str">
        <f t="shared" si="1015"/>
        <v>78006201</v>
      </c>
      <c r="D4541" t="str">
        <f t="shared" si="1013"/>
        <v>801</v>
      </c>
      <c r="E4541" t="str">
        <f t="shared" si="1016"/>
        <v>89301167</v>
      </c>
      <c r="F4541" t="str">
        <f t="shared" si="1017"/>
        <v>6459211253</v>
      </c>
      <c r="G4541" s="1">
        <v>44587</v>
      </c>
      <c r="H4541" t="str">
        <f>"81427"</f>
        <v>81427</v>
      </c>
      <c r="I4541">
        <v>1</v>
      </c>
      <c r="J4541">
        <v>18</v>
      </c>
      <c r="K4541">
        <v>0</v>
      </c>
      <c r="L4541">
        <v>14.04</v>
      </c>
    </row>
    <row r="4542" spans="1:12" x14ac:dyDescent="0.25">
      <c r="A4542" t="str">
        <f t="shared" si="990"/>
        <v>89301000</v>
      </c>
      <c r="B4542" t="str">
        <f t="shared" si="1014"/>
        <v>78006000</v>
      </c>
      <c r="C4542" t="str">
        <f t="shared" si="1015"/>
        <v>78006201</v>
      </c>
      <c r="D4542" t="str">
        <f t="shared" si="1013"/>
        <v>801</v>
      </c>
      <c r="E4542" t="str">
        <f t="shared" si="1016"/>
        <v>89301167</v>
      </c>
      <c r="F4542" t="str">
        <f t="shared" si="1017"/>
        <v>6459211253</v>
      </c>
      <c r="G4542" s="1">
        <v>44587</v>
      </c>
      <c r="H4542" t="str">
        <f>"81465"</f>
        <v>81465</v>
      </c>
      <c r="I4542">
        <v>1</v>
      </c>
      <c r="J4542">
        <v>21</v>
      </c>
      <c r="K4542">
        <v>0</v>
      </c>
      <c r="L4542">
        <v>16.38</v>
      </c>
    </row>
    <row r="4543" spans="1:12" x14ac:dyDescent="0.25">
      <c r="A4543" t="str">
        <f t="shared" si="990"/>
        <v>89301000</v>
      </c>
      <c r="B4543" t="str">
        <f t="shared" si="1014"/>
        <v>78006000</v>
      </c>
      <c r="C4543" t="str">
        <f t="shared" si="1015"/>
        <v>78006201</v>
      </c>
      <c r="D4543" t="str">
        <f t="shared" si="1013"/>
        <v>801</v>
      </c>
      <c r="E4543" t="str">
        <f t="shared" si="1016"/>
        <v>89301167</v>
      </c>
      <c r="F4543" t="str">
        <f t="shared" si="1017"/>
        <v>6459211253</v>
      </c>
      <c r="G4543" s="1">
        <v>44587</v>
      </c>
      <c r="H4543" t="str">
        <f>"81563"</f>
        <v>81563</v>
      </c>
      <c r="I4543">
        <v>1</v>
      </c>
      <c r="J4543">
        <v>14</v>
      </c>
      <c r="K4543">
        <v>0</v>
      </c>
      <c r="L4543">
        <v>10.92</v>
      </c>
    </row>
    <row r="4544" spans="1:12" x14ac:dyDescent="0.25">
      <c r="A4544" t="str">
        <f t="shared" si="990"/>
        <v>89301000</v>
      </c>
      <c r="B4544" t="str">
        <f t="shared" si="1014"/>
        <v>78006000</v>
      </c>
      <c r="C4544" t="str">
        <f t="shared" si="1015"/>
        <v>78006201</v>
      </c>
      <c r="D4544" t="str">
        <f t="shared" si="1013"/>
        <v>801</v>
      </c>
      <c r="E4544" t="str">
        <f t="shared" si="1016"/>
        <v>89301167</v>
      </c>
      <c r="F4544" t="str">
        <f t="shared" si="1017"/>
        <v>6459211253</v>
      </c>
      <c r="G4544" s="1">
        <v>44587</v>
      </c>
      <c r="H4544" t="str">
        <f>"81625"</f>
        <v>81625</v>
      </c>
      <c r="I4544">
        <v>1</v>
      </c>
      <c r="J4544">
        <v>20</v>
      </c>
      <c r="K4544">
        <v>0</v>
      </c>
      <c r="L4544">
        <v>15.6</v>
      </c>
    </row>
    <row r="4545" spans="1:12" x14ac:dyDescent="0.25">
      <c r="A4545" t="str">
        <f t="shared" si="990"/>
        <v>89301000</v>
      </c>
      <c r="B4545" t="str">
        <f t="shared" si="1014"/>
        <v>78006000</v>
      </c>
      <c r="C4545" t="str">
        <f t="shared" si="1015"/>
        <v>78006201</v>
      </c>
      <c r="D4545" t="str">
        <f t="shared" si="1013"/>
        <v>801</v>
      </c>
      <c r="E4545" t="str">
        <f t="shared" si="1016"/>
        <v>89301167</v>
      </c>
      <c r="F4545" t="str">
        <f t="shared" si="1017"/>
        <v>6459211253</v>
      </c>
      <c r="G4545" s="1">
        <v>44587</v>
      </c>
      <c r="H4545" t="str">
        <f>"97111"</f>
        <v>97111</v>
      </c>
      <c r="I4545">
        <v>1</v>
      </c>
      <c r="J4545">
        <v>18</v>
      </c>
      <c r="K4545">
        <v>0</v>
      </c>
      <c r="L4545">
        <v>14.04</v>
      </c>
    </row>
    <row r="4546" spans="1:12" x14ac:dyDescent="0.25">
      <c r="A4546" t="str">
        <f t="shared" ref="A4546:A4609" si="1018">"89301000"</f>
        <v>89301000</v>
      </c>
      <c r="B4546" t="str">
        <f t="shared" si="1014"/>
        <v>78006000</v>
      </c>
      <c r="C4546" t="str">
        <f t="shared" si="1015"/>
        <v>78006201</v>
      </c>
      <c r="D4546" t="str">
        <f t="shared" si="1013"/>
        <v>801</v>
      </c>
      <c r="E4546" t="str">
        <f t="shared" si="1016"/>
        <v>89301167</v>
      </c>
      <c r="F4546" t="str">
        <f t="shared" si="1017"/>
        <v>6459211253</v>
      </c>
      <c r="G4546" s="1">
        <v>44566</v>
      </c>
      <c r="H4546" t="str">
        <f>"81329"</f>
        <v>81329</v>
      </c>
      <c r="I4546">
        <v>1</v>
      </c>
      <c r="J4546">
        <v>16</v>
      </c>
      <c r="K4546">
        <v>0</v>
      </c>
      <c r="L4546">
        <v>12.48</v>
      </c>
    </row>
    <row r="4547" spans="1:12" x14ac:dyDescent="0.25">
      <c r="A4547" t="str">
        <f t="shared" si="1018"/>
        <v>89301000</v>
      </c>
      <c r="B4547" t="str">
        <f t="shared" si="1014"/>
        <v>78006000</v>
      </c>
      <c r="C4547" t="str">
        <f t="shared" si="1015"/>
        <v>78006201</v>
      </c>
      <c r="D4547" t="str">
        <f t="shared" si="1013"/>
        <v>801</v>
      </c>
      <c r="E4547" t="str">
        <f t="shared" si="1016"/>
        <v>89301167</v>
      </c>
      <c r="F4547" t="str">
        <f t="shared" si="1017"/>
        <v>6459211253</v>
      </c>
      <c r="G4547" s="1">
        <v>44566</v>
      </c>
      <c r="H4547" t="str">
        <f>"81383"</f>
        <v>81383</v>
      </c>
      <c r="I4547">
        <v>1</v>
      </c>
      <c r="J4547">
        <v>23</v>
      </c>
      <c r="K4547">
        <v>0</v>
      </c>
      <c r="L4547">
        <v>17.940000000000001</v>
      </c>
    </row>
    <row r="4548" spans="1:12" x14ac:dyDescent="0.25">
      <c r="A4548" t="str">
        <f t="shared" si="1018"/>
        <v>89301000</v>
      </c>
      <c r="B4548" t="str">
        <f t="shared" si="1014"/>
        <v>78006000</v>
      </c>
      <c r="C4548" t="str">
        <f t="shared" si="1015"/>
        <v>78006201</v>
      </c>
      <c r="D4548" t="str">
        <f t="shared" si="1013"/>
        <v>801</v>
      </c>
      <c r="E4548" t="str">
        <f t="shared" si="1016"/>
        <v>89301167</v>
      </c>
      <c r="F4548" t="str">
        <f t="shared" si="1017"/>
        <v>6459211253</v>
      </c>
      <c r="G4548" s="1">
        <v>44566</v>
      </c>
      <c r="H4548" t="str">
        <f>"81625"</f>
        <v>81625</v>
      </c>
      <c r="I4548">
        <v>1</v>
      </c>
      <c r="J4548">
        <v>20</v>
      </c>
      <c r="K4548">
        <v>0</v>
      </c>
      <c r="L4548">
        <v>15.6</v>
      </c>
    </row>
    <row r="4549" spans="1:12" x14ac:dyDescent="0.25">
      <c r="A4549" t="str">
        <f t="shared" si="1018"/>
        <v>89301000</v>
      </c>
      <c r="B4549" t="str">
        <f t="shared" si="1014"/>
        <v>78006000</v>
      </c>
      <c r="C4549" t="str">
        <f t="shared" si="1015"/>
        <v>78006201</v>
      </c>
      <c r="D4549" t="str">
        <f t="shared" si="1013"/>
        <v>801</v>
      </c>
      <c r="E4549" t="str">
        <f t="shared" si="1016"/>
        <v>89301167</v>
      </c>
      <c r="F4549" t="str">
        <f t="shared" si="1017"/>
        <v>6459211253</v>
      </c>
      <c r="G4549" s="1">
        <v>44566</v>
      </c>
      <c r="H4549" t="str">
        <f>"93189"</f>
        <v>93189</v>
      </c>
      <c r="I4549">
        <v>1</v>
      </c>
      <c r="J4549">
        <v>189</v>
      </c>
      <c r="K4549">
        <v>0</v>
      </c>
      <c r="L4549">
        <v>147.41999999999999</v>
      </c>
    </row>
    <row r="4550" spans="1:12" x14ac:dyDescent="0.25">
      <c r="A4550" t="str">
        <f t="shared" si="1018"/>
        <v>89301000</v>
      </c>
      <c r="B4550" t="str">
        <f t="shared" si="1014"/>
        <v>78006000</v>
      </c>
      <c r="C4550" t="str">
        <f t="shared" si="1015"/>
        <v>78006201</v>
      </c>
      <c r="D4550" t="str">
        <f t="shared" si="1013"/>
        <v>801</v>
      </c>
      <c r="E4550" t="str">
        <f t="shared" si="1016"/>
        <v>89301167</v>
      </c>
      <c r="F4550" t="str">
        <f t="shared" si="1017"/>
        <v>6459211253</v>
      </c>
      <c r="G4550" s="1">
        <v>44566</v>
      </c>
      <c r="H4550" t="str">
        <f>"93195"</f>
        <v>93195</v>
      </c>
      <c r="I4550">
        <v>1</v>
      </c>
      <c r="J4550">
        <v>181</v>
      </c>
      <c r="K4550">
        <v>0</v>
      </c>
      <c r="L4550">
        <v>141.18</v>
      </c>
    </row>
    <row r="4551" spans="1:12" x14ac:dyDescent="0.25">
      <c r="A4551" t="str">
        <f t="shared" si="1018"/>
        <v>89301000</v>
      </c>
      <c r="B4551" t="str">
        <f t="shared" si="1014"/>
        <v>78006000</v>
      </c>
      <c r="C4551" t="str">
        <f t="shared" si="1015"/>
        <v>78006201</v>
      </c>
      <c r="D4551" t="str">
        <f t="shared" si="1013"/>
        <v>801</v>
      </c>
      <c r="E4551" t="str">
        <f t="shared" si="1016"/>
        <v>89301167</v>
      </c>
      <c r="F4551" t="str">
        <f t="shared" si="1017"/>
        <v>6459211253</v>
      </c>
      <c r="G4551" s="1">
        <v>44566</v>
      </c>
      <c r="H4551" t="str">
        <f>"97111"</f>
        <v>97111</v>
      </c>
      <c r="I4551">
        <v>1</v>
      </c>
      <c r="J4551">
        <v>18</v>
      </c>
      <c r="K4551">
        <v>0</v>
      </c>
      <c r="L4551">
        <v>14.04</v>
      </c>
    </row>
    <row r="4552" spans="1:12" x14ac:dyDescent="0.25">
      <c r="A4552" t="str">
        <f t="shared" si="1018"/>
        <v>89301000</v>
      </c>
      <c r="B4552" t="str">
        <f t="shared" si="1014"/>
        <v>78006000</v>
      </c>
      <c r="C4552" t="str">
        <f>"78006207"</f>
        <v>78006207</v>
      </c>
      <c r="D4552" t="str">
        <f>"813"</f>
        <v>813</v>
      </c>
      <c r="E4552" t="str">
        <f t="shared" si="1016"/>
        <v>89301167</v>
      </c>
      <c r="F4552" t="str">
        <f t="shared" si="1017"/>
        <v>6459211253</v>
      </c>
      <c r="G4552" s="1">
        <v>44566</v>
      </c>
      <c r="H4552" t="str">
        <f>"91153"</f>
        <v>91153</v>
      </c>
      <c r="I4552">
        <v>1</v>
      </c>
      <c r="J4552">
        <v>152</v>
      </c>
      <c r="K4552">
        <v>0</v>
      </c>
      <c r="L4552">
        <v>118.56</v>
      </c>
    </row>
    <row r="4553" spans="1:12" x14ac:dyDescent="0.25">
      <c r="A4553" t="str">
        <f t="shared" si="1018"/>
        <v>89301000</v>
      </c>
      <c r="B4553" t="str">
        <f t="shared" si="1014"/>
        <v>78006000</v>
      </c>
      <c r="C4553" t="str">
        <f>"78006207"</f>
        <v>78006207</v>
      </c>
      <c r="D4553" t="str">
        <f>"813"</f>
        <v>813</v>
      </c>
      <c r="E4553" t="str">
        <f t="shared" si="1016"/>
        <v>89301167</v>
      </c>
      <c r="F4553" t="str">
        <f t="shared" si="1017"/>
        <v>6459211253</v>
      </c>
      <c r="G4553" s="1">
        <v>44587</v>
      </c>
      <c r="H4553" t="str">
        <f>"91153"</f>
        <v>91153</v>
      </c>
      <c r="I4553">
        <v>1</v>
      </c>
      <c r="J4553">
        <v>152</v>
      </c>
      <c r="K4553">
        <v>0</v>
      </c>
      <c r="L4553">
        <v>118.56</v>
      </c>
    </row>
    <row r="4554" spans="1:12" x14ac:dyDescent="0.25">
      <c r="A4554" t="str">
        <f t="shared" si="1018"/>
        <v>89301000</v>
      </c>
      <c r="B4554" t="str">
        <f>"05002000"</f>
        <v>05002000</v>
      </c>
      <c r="C4554" t="str">
        <f>"05002141"</f>
        <v>05002141</v>
      </c>
      <c r="D4554" t="str">
        <f>"816"</f>
        <v>816</v>
      </c>
      <c r="E4554" t="str">
        <f>"89301282"</f>
        <v>89301282</v>
      </c>
      <c r="F4554" t="str">
        <f>"0704043230"</f>
        <v>0704043230</v>
      </c>
      <c r="G4554" s="1">
        <v>44670</v>
      </c>
      <c r="H4554" t="str">
        <f>"94221"</f>
        <v>94221</v>
      </c>
      <c r="I4554">
        <v>9</v>
      </c>
      <c r="J4554">
        <v>22077</v>
      </c>
      <c r="K4554">
        <v>0</v>
      </c>
      <c r="L4554">
        <v>18765.45</v>
      </c>
    </row>
    <row r="4555" spans="1:12" x14ac:dyDescent="0.25">
      <c r="A4555" t="str">
        <f t="shared" si="1018"/>
        <v>89301000</v>
      </c>
      <c r="B4555" t="str">
        <f>"05002000"</f>
        <v>05002000</v>
      </c>
      <c r="C4555" t="str">
        <f>"05002141"</f>
        <v>05002141</v>
      </c>
      <c r="D4555" t="str">
        <f>"816"</f>
        <v>816</v>
      </c>
      <c r="E4555" t="str">
        <f>"89301282"</f>
        <v>89301282</v>
      </c>
      <c r="F4555" t="str">
        <f>"0704043230"</f>
        <v>0704043230</v>
      </c>
      <c r="G4555" s="1">
        <v>44670</v>
      </c>
      <c r="H4555" t="str">
        <f>"94221"</f>
        <v>94221</v>
      </c>
      <c r="I4555">
        <v>3</v>
      </c>
      <c r="J4555">
        <v>7359</v>
      </c>
      <c r="K4555">
        <v>0</v>
      </c>
      <c r="L4555">
        <v>6255.15</v>
      </c>
    </row>
    <row r="4556" spans="1:12" x14ac:dyDescent="0.25">
      <c r="A4556" t="str">
        <f t="shared" si="1018"/>
        <v>89301000</v>
      </c>
      <c r="B4556" t="str">
        <f>"05002000"</f>
        <v>05002000</v>
      </c>
      <c r="C4556" t="str">
        <f>"05002141"</f>
        <v>05002141</v>
      </c>
      <c r="D4556" t="str">
        <f>"816"</f>
        <v>816</v>
      </c>
      <c r="E4556" t="str">
        <f>"89301282"</f>
        <v>89301282</v>
      </c>
      <c r="F4556" t="str">
        <f>"5555312048"</f>
        <v>5555312048</v>
      </c>
      <c r="G4556" s="1">
        <v>44678</v>
      </c>
      <c r="H4556" t="str">
        <f>"94221"</f>
        <v>94221</v>
      </c>
      <c r="I4556">
        <v>6</v>
      </c>
      <c r="J4556">
        <v>14718</v>
      </c>
      <c r="K4556">
        <v>0</v>
      </c>
      <c r="L4556">
        <v>12510.3</v>
      </c>
    </row>
    <row r="4557" spans="1:12" x14ac:dyDescent="0.25">
      <c r="A4557" t="str">
        <f t="shared" si="1018"/>
        <v>89301000</v>
      </c>
      <c r="B4557" t="str">
        <f>"05002000"</f>
        <v>05002000</v>
      </c>
      <c r="C4557" t="str">
        <f>"05002174"</f>
        <v>05002174</v>
      </c>
      <c r="D4557" t="str">
        <f>"802"</f>
        <v>802</v>
      </c>
      <c r="E4557" t="str">
        <f>"89301172"</f>
        <v>89301172</v>
      </c>
      <c r="F4557" t="str">
        <f>"9003094430"</f>
        <v>9003094430</v>
      </c>
      <c r="G4557" s="1">
        <v>44628</v>
      </c>
      <c r="H4557" t="str">
        <f>"85115"</f>
        <v>85115</v>
      </c>
      <c r="I4557">
        <v>1</v>
      </c>
      <c r="J4557">
        <v>2423</v>
      </c>
      <c r="K4557">
        <v>0</v>
      </c>
      <c r="L4557">
        <v>2204.9299999999998</v>
      </c>
    </row>
    <row r="4558" spans="1:12" x14ac:dyDescent="0.25">
      <c r="A4558" t="str">
        <f t="shared" si="1018"/>
        <v>89301000</v>
      </c>
      <c r="B4558" t="str">
        <f>"05002000"</f>
        <v>05002000</v>
      </c>
      <c r="C4558" t="str">
        <f>"05002174"</f>
        <v>05002174</v>
      </c>
      <c r="D4558" t="str">
        <f>"802"</f>
        <v>802</v>
      </c>
      <c r="E4558" t="str">
        <f>"89301172"</f>
        <v>89301172</v>
      </c>
      <c r="F4558" t="str">
        <f>"9153055032"</f>
        <v>9153055032</v>
      </c>
      <c r="G4558" s="1">
        <v>44628</v>
      </c>
      <c r="H4558" t="str">
        <f>"85115"</f>
        <v>85115</v>
      </c>
      <c r="I4558">
        <v>1</v>
      </c>
      <c r="J4558">
        <v>2423</v>
      </c>
      <c r="K4558">
        <v>0</v>
      </c>
      <c r="L4558">
        <v>2204.9299999999998</v>
      </c>
    </row>
    <row r="4559" spans="1:12" x14ac:dyDescent="0.25">
      <c r="A4559" t="str">
        <f t="shared" si="1018"/>
        <v>89301000</v>
      </c>
      <c r="B4559" t="str">
        <f t="shared" ref="B4559:B4576" si="1019">"86240000"</f>
        <v>86240000</v>
      </c>
      <c r="C4559" t="str">
        <f t="shared" ref="C4559:C4574" si="1020">"86240002"</f>
        <v>86240002</v>
      </c>
      <c r="D4559" t="str">
        <f t="shared" ref="D4559:D4574" si="1021">"801"</f>
        <v>801</v>
      </c>
      <c r="E4559" t="str">
        <f t="shared" ref="E4559:E4576" si="1022">"89301167"</f>
        <v>89301167</v>
      </c>
      <c r="F4559" t="str">
        <f t="shared" ref="F4559:F4576" si="1023">"5461103197"</f>
        <v>5461103197</v>
      </c>
      <c r="G4559" s="1">
        <v>44694</v>
      </c>
      <c r="H4559" t="str">
        <f>"81593"</f>
        <v>81593</v>
      </c>
      <c r="I4559">
        <v>1</v>
      </c>
      <c r="J4559">
        <v>22</v>
      </c>
      <c r="K4559">
        <v>0</v>
      </c>
      <c r="L4559">
        <v>17.16</v>
      </c>
    </row>
    <row r="4560" spans="1:12" x14ac:dyDescent="0.25">
      <c r="A4560" t="str">
        <f t="shared" si="1018"/>
        <v>89301000</v>
      </c>
      <c r="B4560" t="str">
        <f t="shared" si="1019"/>
        <v>86240000</v>
      </c>
      <c r="C4560" t="str">
        <f t="shared" si="1020"/>
        <v>86240002</v>
      </c>
      <c r="D4560" t="str">
        <f t="shared" si="1021"/>
        <v>801</v>
      </c>
      <c r="E4560" t="str">
        <f t="shared" si="1022"/>
        <v>89301167</v>
      </c>
      <c r="F4560" t="str">
        <f t="shared" si="1023"/>
        <v>5461103197</v>
      </c>
      <c r="G4560" s="1">
        <v>44694</v>
      </c>
      <c r="H4560" t="str">
        <f>"97111"</f>
        <v>97111</v>
      </c>
      <c r="I4560">
        <v>1</v>
      </c>
      <c r="J4560">
        <v>18</v>
      </c>
      <c r="K4560">
        <v>0</v>
      </c>
      <c r="L4560">
        <v>14.04</v>
      </c>
    </row>
    <row r="4561" spans="1:12" x14ac:dyDescent="0.25">
      <c r="A4561" t="str">
        <f t="shared" si="1018"/>
        <v>89301000</v>
      </c>
      <c r="B4561" t="str">
        <f t="shared" si="1019"/>
        <v>86240000</v>
      </c>
      <c r="C4561" t="str">
        <f t="shared" si="1020"/>
        <v>86240002</v>
      </c>
      <c r="D4561" t="str">
        <f t="shared" si="1021"/>
        <v>801</v>
      </c>
      <c r="E4561" t="str">
        <f t="shared" si="1022"/>
        <v>89301167</v>
      </c>
      <c r="F4561" t="str">
        <f t="shared" si="1023"/>
        <v>5461103197</v>
      </c>
      <c r="G4561" s="1">
        <v>44694</v>
      </c>
      <c r="H4561" t="str">
        <f>"81393"</f>
        <v>81393</v>
      </c>
      <c r="I4561">
        <v>1</v>
      </c>
      <c r="J4561">
        <v>24</v>
      </c>
      <c r="K4561">
        <v>0</v>
      </c>
      <c r="L4561">
        <v>18.72</v>
      </c>
    </row>
    <row r="4562" spans="1:12" x14ac:dyDescent="0.25">
      <c r="A4562" t="str">
        <f t="shared" si="1018"/>
        <v>89301000</v>
      </c>
      <c r="B4562" t="str">
        <f t="shared" si="1019"/>
        <v>86240000</v>
      </c>
      <c r="C4562" t="str">
        <f t="shared" si="1020"/>
        <v>86240002</v>
      </c>
      <c r="D4562" t="str">
        <f t="shared" si="1021"/>
        <v>801</v>
      </c>
      <c r="E4562" t="str">
        <f t="shared" si="1022"/>
        <v>89301167</v>
      </c>
      <c r="F4562" t="str">
        <f t="shared" si="1023"/>
        <v>5461103197</v>
      </c>
      <c r="G4562" s="1">
        <v>44694</v>
      </c>
      <c r="H4562" t="str">
        <f>"81469"</f>
        <v>81469</v>
      </c>
      <c r="I4562">
        <v>1</v>
      </c>
      <c r="J4562">
        <v>16</v>
      </c>
      <c r="K4562">
        <v>0</v>
      </c>
      <c r="L4562">
        <v>12.48</v>
      </c>
    </row>
    <row r="4563" spans="1:12" x14ac:dyDescent="0.25">
      <c r="A4563" t="str">
        <f t="shared" si="1018"/>
        <v>89301000</v>
      </c>
      <c r="B4563" t="str">
        <f t="shared" si="1019"/>
        <v>86240000</v>
      </c>
      <c r="C4563" t="str">
        <f t="shared" si="1020"/>
        <v>86240002</v>
      </c>
      <c r="D4563" t="str">
        <f t="shared" si="1021"/>
        <v>801</v>
      </c>
      <c r="E4563" t="str">
        <f t="shared" si="1022"/>
        <v>89301167</v>
      </c>
      <c r="F4563" t="str">
        <f t="shared" si="1023"/>
        <v>5461103197</v>
      </c>
      <c r="G4563" s="1">
        <v>44694</v>
      </c>
      <c r="H4563" t="str">
        <f>"81625"</f>
        <v>81625</v>
      </c>
      <c r="I4563">
        <v>1</v>
      </c>
      <c r="J4563">
        <v>20</v>
      </c>
      <c r="K4563">
        <v>0</v>
      </c>
      <c r="L4563">
        <v>15.6</v>
      </c>
    </row>
    <row r="4564" spans="1:12" x14ac:dyDescent="0.25">
      <c r="A4564" t="str">
        <f t="shared" si="1018"/>
        <v>89301000</v>
      </c>
      <c r="B4564" t="str">
        <f t="shared" si="1019"/>
        <v>86240000</v>
      </c>
      <c r="C4564" t="str">
        <f t="shared" si="1020"/>
        <v>86240002</v>
      </c>
      <c r="D4564" t="str">
        <f t="shared" si="1021"/>
        <v>801</v>
      </c>
      <c r="E4564" t="str">
        <f t="shared" si="1022"/>
        <v>89301167</v>
      </c>
      <c r="F4564" t="str">
        <f t="shared" si="1023"/>
        <v>5461103197</v>
      </c>
      <c r="G4564" s="1">
        <v>44694</v>
      </c>
      <c r="H4564" t="str">
        <f>"81439"</f>
        <v>81439</v>
      </c>
      <c r="I4564">
        <v>1</v>
      </c>
      <c r="J4564">
        <v>16</v>
      </c>
      <c r="K4564">
        <v>0</v>
      </c>
      <c r="L4564">
        <v>12.48</v>
      </c>
    </row>
    <row r="4565" spans="1:12" x14ac:dyDescent="0.25">
      <c r="A4565" t="str">
        <f t="shared" si="1018"/>
        <v>89301000</v>
      </c>
      <c r="B4565" t="str">
        <f t="shared" si="1019"/>
        <v>86240000</v>
      </c>
      <c r="C4565" t="str">
        <f t="shared" si="1020"/>
        <v>86240002</v>
      </c>
      <c r="D4565" t="str">
        <f t="shared" si="1021"/>
        <v>801</v>
      </c>
      <c r="E4565" t="str">
        <f t="shared" si="1022"/>
        <v>89301167</v>
      </c>
      <c r="F4565" t="str">
        <f t="shared" si="1023"/>
        <v>5461103197</v>
      </c>
      <c r="G4565" s="1">
        <v>44694</v>
      </c>
      <c r="H4565" t="str">
        <f>"81621"</f>
        <v>81621</v>
      </c>
      <c r="I4565">
        <v>1</v>
      </c>
      <c r="J4565">
        <v>19</v>
      </c>
      <c r="K4565">
        <v>0</v>
      </c>
      <c r="L4565">
        <v>14.82</v>
      </c>
    </row>
    <row r="4566" spans="1:12" x14ac:dyDescent="0.25">
      <c r="A4566" t="str">
        <f t="shared" si="1018"/>
        <v>89301000</v>
      </c>
      <c r="B4566" t="str">
        <f t="shared" si="1019"/>
        <v>86240000</v>
      </c>
      <c r="C4566" t="str">
        <f t="shared" si="1020"/>
        <v>86240002</v>
      </c>
      <c r="D4566" t="str">
        <f t="shared" si="1021"/>
        <v>801</v>
      </c>
      <c r="E4566" t="str">
        <f t="shared" si="1022"/>
        <v>89301167</v>
      </c>
      <c r="F4566" t="str">
        <f t="shared" si="1023"/>
        <v>5461103197</v>
      </c>
      <c r="G4566" s="1">
        <v>44694</v>
      </c>
      <c r="H4566" t="str">
        <f>"81499"</f>
        <v>81499</v>
      </c>
      <c r="I4566">
        <v>1</v>
      </c>
      <c r="J4566">
        <v>18</v>
      </c>
      <c r="K4566">
        <v>0</v>
      </c>
      <c r="L4566">
        <v>14.04</v>
      </c>
    </row>
    <row r="4567" spans="1:12" x14ac:dyDescent="0.25">
      <c r="A4567" t="str">
        <f t="shared" si="1018"/>
        <v>89301000</v>
      </c>
      <c r="B4567" t="str">
        <f t="shared" si="1019"/>
        <v>86240000</v>
      </c>
      <c r="C4567" t="str">
        <f t="shared" si="1020"/>
        <v>86240002</v>
      </c>
      <c r="D4567" t="str">
        <f t="shared" si="1021"/>
        <v>801</v>
      </c>
      <c r="E4567" t="str">
        <f t="shared" si="1022"/>
        <v>89301167</v>
      </c>
      <c r="F4567" t="str">
        <f t="shared" si="1023"/>
        <v>5461103197</v>
      </c>
      <c r="G4567" s="1">
        <v>44694</v>
      </c>
      <c r="H4567" t="str">
        <f>"81361"</f>
        <v>81361</v>
      </c>
      <c r="I4567">
        <v>1</v>
      </c>
      <c r="J4567">
        <v>17</v>
      </c>
      <c r="K4567">
        <v>0</v>
      </c>
      <c r="L4567">
        <v>13.26</v>
      </c>
    </row>
    <row r="4568" spans="1:12" x14ac:dyDescent="0.25">
      <c r="A4568" t="str">
        <f t="shared" si="1018"/>
        <v>89301000</v>
      </c>
      <c r="B4568" t="str">
        <f t="shared" si="1019"/>
        <v>86240000</v>
      </c>
      <c r="C4568" t="str">
        <f t="shared" si="1020"/>
        <v>86240002</v>
      </c>
      <c r="D4568" t="str">
        <f t="shared" si="1021"/>
        <v>801</v>
      </c>
      <c r="E4568" t="str">
        <f t="shared" si="1022"/>
        <v>89301167</v>
      </c>
      <c r="F4568" t="str">
        <f t="shared" si="1023"/>
        <v>5461103197</v>
      </c>
      <c r="G4568" s="1">
        <v>44694</v>
      </c>
      <c r="H4568" t="str">
        <f>"81337"</f>
        <v>81337</v>
      </c>
      <c r="I4568">
        <v>1</v>
      </c>
      <c r="J4568">
        <v>19</v>
      </c>
      <c r="K4568">
        <v>0</v>
      </c>
      <c r="L4568">
        <v>14.82</v>
      </c>
    </row>
    <row r="4569" spans="1:12" x14ac:dyDescent="0.25">
      <c r="A4569" t="str">
        <f t="shared" si="1018"/>
        <v>89301000</v>
      </c>
      <c r="B4569" t="str">
        <f t="shared" si="1019"/>
        <v>86240000</v>
      </c>
      <c r="C4569" t="str">
        <f t="shared" si="1020"/>
        <v>86240002</v>
      </c>
      <c r="D4569" t="str">
        <f t="shared" si="1021"/>
        <v>801</v>
      </c>
      <c r="E4569" t="str">
        <f t="shared" si="1022"/>
        <v>89301167</v>
      </c>
      <c r="F4569" t="str">
        <f t="shared" si="1023"/>
        <v>5461103197</v>
      </c>
      <c r="G4569" s="1">
        <v>44694</v>
      </c>
      <c r="H4569" t="str">
        <f>"81357"</f>
        <v>81357</v>
      </c>
      <c r="I4569">
        <v>1</v>
      </c>
      <c r="J4569">
        <v>19</v>
      </c>
      <c r="K4569">
        <v>0</v>
      </c>
      <c r="L4569">
        <v>14.82</v>
      </c>
    </row>
    <row r="4570" spans="1:12" x14ac:dyDescent="0.25">
      <c r="A4570" t="str">
        <f t="shared" si="1018"/>
        <v>89301000</v>
      </c>
      <c r="B4570" t="str">
        <f t="shared" si="1019"/>
        <v>86240000</v>
      </c>
      <c r="C4570" t="str">
        <f t="shared" si="1020"/>
        <v>86240002</v>
      </c>
      <c r="D4570" t="str">
        <f t="shared" si="1021"/>
        <v>801</v>
      </c>
      <c r="E4570" t="str">
        <f t="shared" si="1022"/>
        <v>89301167</v>
      </c>
      <c r="F4570" t="str">
        <f t="shared" si="1023"/>
        <v>5461103197</v>
      </c>
      <c r="G4570" s="1">
        <v>44694</v>
      </c>
      <c r="H4570" t="str">
        <f>"81435"</f>
        <v>81435</v>
      </c>
      <c r="I4570">
        <v>1</v>
      </c>
      <c r="J4570">
        <v>22</v>
      </c>
      <c r="K4570">
        <v>0</v>
      </c>
      <c r="L4570">
        <v>17.16</v>
      </c>
    </row>
    <row r="4571" spans="1:12" x14ac:dyDescent="0.25">
      <c r="A4571" t="str">
        <f t="shared" si="1018"/>
        <v>89301000</v>
      </c>
      <c r="B4571" t="str">
        <f t="shared" si="1019"/>
        <v>86240000</v>
      </c>
      <c r="C4571" t="str">
        <f t="shared" si="1020"/>
        <v>86240002</v>
      </c>
      <c r="D4571" t="str">
        <f t="shared" si="1021"/>
        <v>801</v>
      </c>
      <c r="E4571" t="str">
        <f t="shared" si="1022"/>
        <v>89301167</v>
      </c>
      <c r="F4571" t="str">
        <f t="shared" si="1023"/>
        <v>5461103197</v>
      </c>
      <c r="G4571" s="1">
        <v>44694</v>
      </c>
      <c r="H4571" t="str">
        <f>"81421"</f>
        <v>81421</v>
      </c>
      <c r="I4571">
        <v>1</v>
      </c>
      <c r="J4571">
        <v>19</v>
      </c>
      <c r="K4571">
        <v>0</v>
      </c>
      <c r="L4571">
        <v>14.82</v>
      </c>
    </row>
    <row r="4572" spans="1:12" x14ac:dyDescent="0.25">
      <c r="A4572" t="str">
        <f t="shared" si="1018"/>
        <v>89301000</v>
      </c>
      <c r="B4572" t="str">
        <f t="shared" si="1019"/>
        <v>86240000</v>
      </c>
      <c r="C4572" t="str">
        <f t="shared" si="1020"/>
        <v>86240002</v>
      </c>
      <c r="D4572" t="str">
        <f t="shared" si="1021"/>
        <v>801</v>
      </c>
      <c r="E4572" t="str">
        <f t="shared" si="1022"/>
        <v>89301167</v>
      </c>
      <c r="F4572" t="str">
        <f t="shared" si="1023"/>
        <v>5461103197</v>
      </c>
      <c r="G4572" s="1">
        <v>44694</v>
      </c>
      <c r="H4572" t="str">
        <f>"81383"</f>
        <v>81383</v>
      </c>
      <c r="I4572">
        <v>1</v>
      </c>
      <c r="J4572">
        <v>23</v>
      </c>
      <c r="K4572">
        <v>0</v>
      </c>
      <c r="L4572">
        <v>17.940000000000001</v>
      </c>
    </row>
    <row r="4573" spans="1:12" x14ac:dyDescent="0.25">
      <c r="A4573" t="str">
        <f t="shared" si="1018"/>
        <v>89301000</v>
      </c>
      <c r="B4573" t="str">
        <f t="shared" si="1019"/>
        <v>86240000</v>
      </c>
      <c r="C4573" t="str">
        <f t="shared" si="1020"/>
        <v>86240002</v>
      </c>
      <c r="D4573" t="str">
        <f t="shared" si="1021"/>
        <v>801</v>
      </c>
      <c r="E4573" t="str">
        <f t="shared" si="1022"/>
        <v>89301167</v>
      </c>
      <c r="F4573" t="str">
        <f t="shared" si="1023"/>
        <v>5461103197</v>
      </c>
      <c r="G4573" s="1">
        <v>44694</v>
      </c>
      <c r="H4573" t="str">
        <f>"81329"</f>
        <v>81329</v>
      </c>
      <c r="I4573">
        <v>1</v>
      </c>
      <c r="J4573">
        <v>16</v>
      </c>
      <c r="K4573">
        <v>0</v>
      </c>
      <c r="L4573">
        <v>12.48</v>
      </c>
    </row>
    <row r="4574" spans="1:12" x14ac:dyDescent="0.25">
      <c r="A4574" t="str">
        <f t="shared" si="1018"/>
        <v>89301000</v>
      </c>
      <c r="B4574" t="str">
        <f t="shared" si="1019"/>
        <v>86240000</v>
      </c>
      <c r="C4574" t="str">
        <f t="shared" si="1020"/>
        <v>86240002</v>
      </c>
      <c r="D4574" t="str">
        <f t="shared" si="1021"/>
        <v>801</v>
      </c>
      <c r="E4574" t="str">
        <f t="shared" si="1022"/>
        <v>89301167</v>
      </c>
      <c r="F4574" t="str">
        <f t="shared" si="1023"/>
        <v>5461103197</v>
      </c>
      <c r="G4574" s="1">
        <v>44694</v>
      </c>
      <c r="H4574" t="str">
        <f>"81249"</f>
        <v>81249</v>
      </c>
      <c r="I4574">
        <v>1</v>
      </c>
      <c r="J4574">
        <v>333</v>
      </c>
      <c r="K4574">
        <v>0</v>
      </c>
      <c r="L4574">
        <v>259.74</v>
      </c>
    </row>
    <row r="4575" spans="1:12" x14ac:dyDescent="0.25">
      <c r="A4575" t="str">
        <f t="shared" si="1018"/>
        <v>89301000</v>
      </c>
      <c r="B4575" t="str">
        <f t="shared" si="1019"/>
        <v>86240000</v>
      </c>
      <c r="C4575" t="str">
        <f>"86240006"</f>
        <v>86240006</v>
      </c>
      <c r="D4575" t="str">
        <f>"813"</f>
        <v>813</v>
      </c>
      <c r="E4575" t="str">
        <f t="shared" si="1022"/>
        <v>89301167</v>
      </c>
      <c r="F4575" t="str">
        <f t="shared" si="1023"/>
        <v>5461103197</v>
      </c>
      <c r="G4575" s="1">
        <v>44694</v>
      </c>
      <c r="H4575" t="str">
        <f>"91153"</f>
        <v>91153</v>
      </c>
      <c r="I4575">
        <v>1</v>
      </c>
      <c r="J4575">
        <v>152</v>
      </c>
      <c r="K4575">
        <v>0</v>
      </c>
      <c r="L4575">
        <v>118.56</v>
      </c>
    </row>
    <row r="4576" spans="1:12" x14ac:dyDescent="0.25">
      <c r="A4576" t="str">
        <f t="shared" si="1018"/>
        <v>89301000</v>
      </c>
      <c r="B4576" t="str">
        <f t="shared" si="1019"/>
        <v>86240000</v>
      </c>
      <c r="C4576" t="str">
        <f>"86240003"</f>
        <v>86240003</v>
      </c>
      <c r="D4576" t="str">
        <f>"818"</f>
        <v>818</v>
      </c>
      <c r="E4576" t="str">
        <f t="shared" si="1022"/>
        <v>89301167</v>
      </c>
      <c r="F4576" t="str">
        <f t="shared" si="1023"/>
        <v>5461103197</v>
      </c>
      <c r="G4576" s="1">
        <v>44694</v>
      </c>
      <c r="H4576" t="str">
        <f>"96167"</f>
        <v>96167</v>
      </c>
      <c r="I4576">
        <v>1</v>
      </c>
      <c r="J4576">
        <v>67</v>
      </c>
      <c r="K4576">
        <v>0</v>
      </c>
      <c r="L4576">
        <v>60.97</v>
      </c>
    </row>
    <row r="4577" spans="1:12" x14ac:dyDescent="0.25">
      <c r="A4577" t="str">
        <f t="shared" si="1018"/>
        <v>89301000</v>
      </c>
      <c r="B4577" t="str">
        <f t="shared" ref="B4577:C4582" si="1024">"89434000"</f>
        <v>89434000</v>
      </c>
      <c r="C4577" t="str">
        <f t="shared" si="1024"/>
        <v>89434000</v>
      </c>
      <c r="D4577" t="str">
        <f t="shared" ref="D4577:D4608" si="1025">"809"</f>
        <v>809</v>
      </c>
      <c r="E4577" t="str">
        <f>"89301042"</f>
        <v>89301042</v>
      </c>
      <c r="F4577" t="str">
        <f>"515213276"</f>
        <v>515213276</v>
      </c>
      <c r="G4577" s="1">
        <v>44698</v>
      </c>
      <c r="H4577" t="str">
        <f>"89513"</f>
        <v>89513</v>
      </c>
      <c r="I4577">
        <v>1</v>
      </c>
      <c r="J4577">
        <v>371</v>
      </c>
      <c r="K4577">
        <v>0</v>
      </c>
      <c r="L4577">
        <v>519.4</v>
      </c>
    </row>
    <row r="4578" spans="1:12" x14ac:dyDescent="0.25">
      <c r="A4578" t="str">
        <f t="shared" si="1018"/>
        <v>89301000</v>
      </c>
      <c r="B4578" t="str">
        <f t="shared" si="1024"/>
        <v>89434000</v>
      </c>
      <c r="C4578" t="str">
        <f t="shared" si="1024"/>
        <v>89434000</v>
      </c>
      <c r="D4578" t="str">
        <f t="shared" si="1025"/>
        <v>809</v>
      </c>
      <c r="E4578" t="str">
        <f>"89301042"</f>
        <v>89301042</v>
      </c>
      <c r="F4578" t="str">
        <f>"515213276"</f>
        <v>515213276</v>
      </c>
      <c r="G4578" s="1">
        <v>44698</v>
      </c>
      <c r="H4578" t="str">
        <f>"89514"</f>
        <v>89514</v>
      </c>
      <c r="I4578">
        <v>1</v>
      </c>
      <c r="J4578">
        <v>371</v>
      </c>
      <c r="K4578">
        <v>0</v>
      </c>
      <c r="L4578">
        <v>519.4</v>
      </c>
    </row>
    <row r="4579" spans="1:12" x14ac:dyDescent="0.25">
      <c r="A4579" t="str">
        <f t="shared" si="1018"/>
        <v>89301000</v>
      </c>
      <c r="B4579" t="str">
        <f t="shared" si="1024"/>
        <v>89434000</v>
      </c>
      <c r="C4579" t="str">
        <f t="shared" si="1024"/>
        <v>89434000</v>
      </c>
      <c r="D4579" t="str">
        <f t="shared" si="1025"/>
        <v>809</v>
      </c>
      <c r="E4579" t="str">
        <f>"89301042"</f>
        <v>89301042</v>
      </c>
      <c r="F4579" t="str">
        <f>"515213276"</f>
        <v>515213276</v>
      </c>
      <c r="G4579" s="1">
        <v>44698</v>
      </c>
      <c r="H4579" t="str">
        <f>"89131"</f>
        <v>89131</v>
      </c>
      <c r="I4579">
        <v>1</v>
      </c>
      <c r="J4579">
        <v>187</v>
      </c>
      <c r="K4579">
        <v>0</v>
      </c>
      <c r="L4579">
        <v>261.8</v>
      </c>
    </row>
    <row r="4580" spans="1:12" x14ac:dyDescent="0.25">
      <c r="A4580" t="str">
        <f t="shared" si="1018"/>
        <v>89301000</v>
      </c>
      <c r="B4580" t="str">
        <f t="shared" si="1024"/>
        <v>89434000</v>
      </c>
      <c r="C4580" t="str">
        <f t="shared" si="1024"/>
        <v>89434000</v>
      </c>
      <c r="D4580" t="str">
        <f t="shared" si="1025"/>
        <v>809</v>
      </c>
      <c r="E4580" t="str">
        <f>"89301212"</f>
        <v>89301212</v>
      </c>
      <c r="F4580" t="str">
        <f>"7358175308"</f>
        <v>7358175308</v>
      </c>
      <c r="G4580" s="1">
        <v>44691</v>
      </c>
      <c r="H4580" t="str">
        <f>"89513"</f>
        <v>89513</v>
      </c>
      <c r="I4580">
        <v>1</v>
      </c>
      <c r="J4580">
        <v>371</v>
      </c>
      <c r="K4580">
        <v>0</v>
      </c>
      <c r="L4580">
        <v>519.4</v>
      </c>
    </row>
    <row r="4581" spans="1:12" x14ac:dyDescent="0.25">
      <c r="A4581" t="str">
        <f t="shared" si="1018"/>
        <v>89301000</v>
      </c>
      <c r="B4581" t="str">
        <f t="shared" si="1024"/>
        <v>89434000</v>
      </c>
      <c r="C4581" t="str">
        <f t="shared" si="1024"/>
        <v>89434000</v>
      </c>
      <c r="D4581" t="str">
        <f t="shared" si="1025"/>
        <v>809</v>
      </c>
      <c r="E4581" t="str">
        <f>"89301212"</f>
        <v>89301212</v>
      </c>
      <c r="F4581" t="str">
        <f>"7358175308"</f>
        <v>7358175308</v>
      </c>
      <c r="G4581" s="1">
        <v>44691</v>
      </c>
      <c r="H4581" t="str">
        <f>"89514"</f>
        <v>89514</v>
      </c>
      <c r="I4581">
        <v>1</v>
      </c>
      <c r="J4581">
        <v>371</v>
      </c>
      <c r="K4581">
        <v>0</v>
      </c>
      <c r="L4581">
        <v>519.4</v>
      </c>
    </row>
    <row r="4582" spans="1:12" x14ac:dyDescent="0.25">
      <c r="A4582" t="str">
        <f t="shared" si="1018"/>
        <v>89301000</v>
      </c>
      <c r="B4582" t="str">
        <f t="shared" si="1024"/>
        <v>89434000</v>
      </c>
      <c r="C4582" t="str">
        <f t="shared" si="1024"/>
        <v>89434000</v>
      </c>
      <c r="D4582" t="str">
        <f t="shared" si="1025"/>
        <v>809</v>
      </c>
      <c r="E4582" t="str">
        <f>"89301212"</f>
        <v>89301212</v>
      </c>
      <c r="F4582" t="str">
        <f>"7358175308"</f>
        <v>7358175308</v>
      </c>
      <c r="G4582" s="1">
        <v>44691</v>
      </c>
      <c r="H4582" t="str">
        <f>"89131"</f>
        <v>89131</v>
      </c>
      <c r="I4582">
        <v>1</v>
      </c>
      <c r="J4582">
        <v>187</v>
      </c>
      <c r="K4582">
        <v>0</v>
      </c>
      <c r="L4582">
        <v>261.8</v>
      </c>
    </row>
    <row r="4583" spans="1:12" x14ac:dyDescent="0.25">
      <c r="A4583" t="str">
        <f t="shared" si="1018"/>
        <v>89301000</v>
      </c>
      <c r="B4583" t="str">
        <f t="shared" ref="B4583:B4614" si="1026">"78915000"</f>
        <v>78915000</v>
      </c>
      <c r="C4583" t="str">
        <f t="shared" ref="C4583:C4614" si="1027">"78915001"</f>
        <v>78915001</v>
      </c>
      <c r="D4583" t="str">
        <f t="shared" si="1025"/>
        <v>809</v>
      </c>
      <c r="E4583" t="str">
        <f>"89301112"</f>
        <v>89301112</v>
      </c>
      <c r="F4583" t="str">
        <f>"0405016062"</f>
        <v>0405016062</v>
      </c>
      <c r="G4583" s="1">
        <v>44705</v>
      </c>
      <c r="H4583" t="str">
        <f>"09567"</f>
        <v>09567</v>
      </c>
      <c r="I4583">
        <v>1</v>
      </c>
      <c r="J4583">
        <v>0</v>
      </c>
      <c r="K4583">
        <v>0</v>
      </c>
      <c r="L4583">
        <v>0</v>
      </c>
    </row>
    <row r="4584" spans="1:12" x14ac:dyDescent="0.25">
      <c r="A4584" t="str">
        <f t="shared" si="1018"/>
        <v>89301000</v>
      </c>
      <c r="B4584" t="str">
        <f t="shared" si="1026"/>
        <v>78915000</v>
      </c>
      <c r="C4584" t="str">
        <f t="shared" si="1027"/>
        <v>78915001</v>
      </c>
      <c r="D4584" t="str">
        <f t="shared" si="1025"/>
        <v>809</v>
      </c>
      <c r="E4584" t="str">
        <f>"89301112"</f>
        <v>89301112</v>
      </c>
      <c r="F4584" t="str">
        <f>"0405016062"</f>
        <v>0405016062</v>
      </c>
      <c r="G4584" s="1">
        <v>44705</v>
      </c>
      <c r="H4584" t="str">
        <f>"89713"</f>
        <v>89713</v>
      </c>
      <c r="I4584">
        <v>1</v>
      </c>
      <c r="J4584">
        <v>5362</v>
      </c>
      <c r="K4584">
        <v>0</v>
      </c>
      <c r="L4584">
        <v>3217.2</v>
      </c>
    </row>
    <row r="4585" spans="1:12" x14ac:dyDescent="0.25">
      <c r="A4585" t="str">
        <f t="shared" si="1018"/>
        <v>89301000</v>
      </c>
      <c r="B4585" t="str">
        <f t="shared" si="1026"/>
        <v>78915000</v>
      </c>
      <c r="C4585" t="str">
        <f t="shared" si="1027"/>
        <v>78915001</v>
      </c>
      <c r="D4585" t="str">
        <f t="shared" si="1025"/>
        <v>809</v>
      </c>
      <c r="E4585" t="str">
        <f>"89301112"</f>
        <v>89301112</v>
      </c>
      <c r="F4585" t="str">
        <f>"0709137418"</f>
        <v>0709137418</v>
      </c>
      <c r="G4585" s="1">
        <v>44694</v>
      </c>
      <c r="H4585" t="str">
        <f>"09569"</f>
        <v>09569</v>
      </c>
      <c r="I4585">
        <v>1</v>
      </c>
      <c r="J4585">
        <v>0</v>
      </c>
      <c r="K4585">
        <v>0</v>
      </c>
      <c r="L4585">
        <v>0</v>
      </c>
    </row>
    <row r="4586" spans="1:12" x14ac:dyDescent="0.25">
      <c r="A4586" t="str">
        <f t="shared" si="1018"/>
        <v>89301000</v>
      </c>
      <c r="B4586" t="str">
        <f t="shared" si="1026"/>
        <v>78915000</v>
      </c>
      <c r="C4586" t="str">
        <f t="shared" si="1027"/>
        <v>78915001</v>
      </c>
      <c r="D4586" t="str">
        <f t="shared" si="1025"/>
        <v>809</v>
      </c>
      <c r="E4586" t="str">
        <f>"89301112"</f>
        <v>89301112</v>
      </c>
      <c r="F4586" t="str">
        <f>"0709137418"</f>
        <v>0709137418</v>
      </c>
      <c r="G4586" s="1">
        <v>44694</v>
      </c>
      <c r="H4586" t="str">
        <f>"89713"</f>
        <v>89713</v>
      </c>
      <c r="I4586">
        <v>1</v>
      </c>
      <c r="J4586">
        <v>5362</v>
      </c>
      <c r="K4586">
        <v>0</v>
      </c>
      <c r="L4586">
        <v>3217.2</v>
      </c>
    </row>
    <row r="4587" spans="1:12" x14ac:dyDescent="0.25">
      <c r="A4587" t="str">
        <f t="shared" si="1018"/>
        <v>89301000</v>
      </c>
      <c r="B4587" t="str">
        <f t="shared" si="1026"/>
        <v>78915000</v>
      </c>
      <c r="C4587" t="str">
        <f t="shared" si="1027"/>
        <v>78915001</v>
      </c>
      <c r="D4587" t="str">
        <f t="shared" si="1025"/>
        <v>809</v>
      </c>
      <c r="E4587" t="str">
        <f>"89301062"</f>
        <v>89301062</v>
      </c>
      <c r="F4587" t="str">
        <f>"436222460"</f>
        <v>436222460</v>
      </c>
      <c r="G4587" s="1">
        <v>44690</v>
      </c>
      <c r="H4587" t="str">
        <f>"89713"</f>
        <v>89713</v>
      </c>
      <c r="I4587">
        <v>1</v>
      </c>
      <c r="J4587">
        <v>5362</v>
      </c>
      <c r="K4587">
        <v>0</v>
      </c>
      <c r="L4587">
        <v>3217.2</v>
      </c>
    </row>
    <row r="4588" spans="1:12" x14ac:dyDescent="0.25">
      <c r="A4588" t="str">
        <f t="shared" si="1018"/>
        <v>89301000</v>
      </c>
      <c r="B4588" t="str">
        <f t="shared" si="1026"/>
        <v>78915000</v>
      </c>
      <c r="C4588" t="str">
        <f t="shared" si="1027"/>
        <v>78915001</v>
      </c>
      <c r="D4588" t="str">
        <f t="shared" si="1025"/>
        <v>809</v>
      </c>
      <c r="E4588" t="str">
        <f>"89301062"</f>
        <v>89301062</v>
      </c>
      <c r="F4588" t="str">
        <f>"436222460"</f>
        <v>436222460</v>
      </c>
      <c r="G4588" s="1">
        <v>44690</v>
      </c>
      <c r="H4588" t="str">
        <f>"89725"</f>
        <v>89725</v>
      </c>
      <c r="I4588">
        <v>1</v>
      </c>
      <c r="J4588">
        <v>2839</v>
      </c>
      <c r="K4588">
        <v>0</v>
      </c>
      <c r="L4588">
        <v>1703.4</v>
      </c>
    </row>
    <row r="4589" spans="1:12" x14ac:dyDescent="0.25">
      <c r="A4589" t="str">
        <f t="shared" si="1018"/>
        <v>89301000</v>
      </c>
      <c r="B4589" t="str">
        <f t="shared" si="1026"/>
        <v>78915000</v>
      </c>
      <c r="C4589" t="str">
        <f t="shared" si="1027"/>
        <v>78915001</v>
      </c>
      <c r="D4589" t="str">
        <f t="shared" si="1025"/>
        <v>809</v>
      </c>
      <c r="E4589" t="str">
        <f>"89301022"</f>
        <v>89301022</v>
      </c>
      <c r="F4589" t="str">
        <f>"475419412"</f>
        <v>475419412</v>
      </c>
      <c r="G4589" s="1">
        <v>44691</v>
      </c>
      <c r="H4589" t="str">
        <f>"89715"</f>
        <v>89715</v>
      </c>
      <c r="I4589">
        <v>1</v>
      </c>
      <c r="J4589">
        <v>5474</v>
      </c>
      <c r="K4589">
        <v>0</v>
      </c>
      <c r="L4589">
        <v>3284.4</v>
      </c>
    </row>
    <row r="4590" spans="1:12" x14ac:dyDescent="0.25">
      <c r="A4590" t="str">
        <f t="shared" si="1018"/>
        <v>89301000</v>
      </c>
      <c r="B4590" t="str">
        <f t="shared" si="1026"/>
        <v>78915000</v>
      </c>
      <c r="C4590" t="str">
        <f t="shared" si="1027"/>
        <v>78915001</v>
      </c>
      <c r="D4590" t="str">
        <f t="shared" si="1025"/>
        <v>809</v>
      </c>
      <c r="E4590" t="str">
        <f>"89301062"</f>
        <v>89301062</v>
      </c>
      <c r="F4590" t="str">
        <f>"535722048"</f>
        <v>535722048</v>
      </c>
      <c r="G4590" s="1">
        <v>44694</v>
      </c>
      <c r="H4590" t="str">
        <f>"89713"</f>
        <v>89713</v>
      </c>
      <c r="I4590">
        <v>1</v>
      </c>
      <c r="J4590">
        <v>5362</v>
      </c>
      <c r="K4590">
        <v>0</v>
      </c>
      <c r="L4590">
        <v>3217.2</v>
      </c>
    </row>
    <row r="4591" spans="1:12" x14ac:dyDescent="0.25">
      <c r="A4591" t="str">
        <f t="shared" si="1018"/>
        <v>89301000</v>
      </c>
      <c r="B4591" t="str">
        <f t="shared" si="1026"/>
        <v>78915000</v>
      </c>
      <c r="C4591" t="str">
        <f t="shared" si="1027"/>
        <v>78915001</v>
      </c>
      <c r="D4591" t="str">
        <f t="shared" si="1025"/>
        <v>809</v>
      </c>
      <c r="E4591" t="str">
        <f>"89301062"</f>
        <v>89301062</v>
      </c>
      <c r="F4591" t="str">
        <f>"535722048"</f>
        <v>535722048</v>
      </c>
      <c r="G4591" s="1">
        <v>44694</v>
      </c>
      <c r="H4591" t="str">
        <f>"89725"</f>
        <v>89725</v>
      </c>
      <c r="I4591">
        <v>1</v>
      </c>
      <c r="J4591">
        <v>2839</v>
      </c>
      <c r="K4591">
        <v>0</v>
      </c>
      <c r="L4591">
        <v>1703.4</v>
      </c>
    </row>
    <row r="4592" spans="1:12" x14ac:dyDescent="0.25">
      <c r="A4592" t="str">
        <f t="shared" si="1018"/>
        <v>89301000</v>
      </c>
      <c r="B4592" t="str">
        <f t="shared" si="1026"/>
        <v>78915000</v>
      </c>
      <c r="C4592" t="str">
        <f t="shared" si="1027"/>
        <v>78915001</v>
      </c>
      <c r="D4592" t="str">
        <f t="shared" si="1025"/>
        <v>809</v>
      </c>
      <c r="E4592" t="str">
        <f>"89301045"</f>
        <v>89301045</v>
      </c>
      <c r="F4592" t="str">
        <f>"5456072490"</f>
        <v>5456072490</v>
      </c>
      <c r="G4592" s="1">
        <v>44685</v>
      </c>
      <c r="H4592" t="str">
        <f>"89715"</f>
        <v>89715</v>
      </c>
      <c r="I4592">
        <v>1</v>
      </c>
      <c r="J4592">
        <v>5474</v>
      </c>
      <c r="K4592">
        <v>0</v>
      </c>
      <c r="L4592">
        <v>3284.4</v>
      </c>
    </row>
    <row r="4593" spans="1:12" x14ac:dyDescent="0.25">
      <c r="A4593" t="str">
        <f t="shared" si="1018"/>
        <v>89301000</v>
      </c>
      <c r="B4593" t="str">
        <f t="shared" si="1026"/>
        <v>78915000</v>
      </c>
      <c r="C4593" t="str">
        <f t="shared" si="1027"/>
        <v>78915001</v>
      </c>
      <c r="D4593" t="str">
        <f t="shared" si="1025"/>
        <v>809</v>
      </c>
      <c r="E4593" t="str">
        <f>"89301045"</f>
        <v>89301045</v>
      </c>
      <c r="F4593" t="str">
        <f>"5456072490"</f>
        <v>5456072490</v>
      </c>
      <c r="G4593" s="1">
        <v>44685</v>
      </c>
      <c r="H4593" t="str">
        <f>"89725"</f>
        <v>89725</v>
      </c>
      <c r="I4593">
        <v>1</v>
      </c>
      <c r="J4593">
        <v>2839</v>
      </c>
      <c r="K4593">
        <v>0</v>
      </c>
      <c r="L4593">
        <v>1703.4</v>
      </c>
    </row>
    <row r="4594" spans="1:12" x14ac:dyDescent="0.25">
      <c r="A4594" t="str">
        <f t="shared" si="1018"/>
        <v>89301000</v>
      </c>
      <c r="B4594" t="str">
        <f t="shared" si="1026"/>
        <v>78915000</v>
      </c>
      <c r="C4594" t="str">
        <f t="shared" si="1027"/>
        <v>78915001</v>
      </c>
      <c r="D4594" t="str">
        <f t="shared" si="1025"/>
        <v>809</v>
      </c>
      <c r="E4594" t="str">
        <f>"89301045"</f>
        <v>89301045</v>
      </c>
      <c r="F4594" t="str">
        <f>"5456072490"</f>
        <v>5456072490</v>
      </c>
      <c r="G4594" s="1">
        <v>44685</v>
      </c>
      <c r="H4594" t="str">
        <f>"0207733"</f>
        <v>0207733</v>
      </c>
      <c r="I4594">
        <v>1.17</v>
      </c>
      <c r="K4594">
        <v>3030.92</v>
      </c>
      <c r="L4594">
        <v>3030.92</v>
      </c>
    </row>
    <row r="4595" spans="1:12" x14ac:dyDescent="0.25">
      <c r="A4595" t="str">
        <f t="shared" si="1018"/>
        <v>89301000</v>
      </c>
      <c r="B4595" t="str">
        <f t="shared" si="1026"/>
        <v>78915000</v>
      </c>
      <c r="C4595" t="str">
        <f t="shared" si="1027"/>
        <v>78915001</v>
      </c>
      <c r="D4595" t="str">
        <f t="shared" si="1025"/>
        <v>809</v>
      </c>
      <c r="E4595" t="str">
        <f>"89301607"</f>
        <v>89301607</v>
      </c>
      <c r="F4595" t="str">
        <f>"5753212289"</f>
        <v>5753212289</v>
      </c>
      <c r="G4595" s="1">
        <v>44712</v>
      </c>
      <c r="H4595" t="str">
        <f>"09567"</f>
        <v>09567</v>
      </c>
      <c r="I4595">
        <v>1</v>
      </c>
      <c r="J4595">
        <v>0</v>
      </c>
      <c r="K4595">
        <v>0</v>
      </c>
      <c r="L4595">
        <v>0</v>
      </c>
    </row>
    <row r="4596" spans="1:12" x14ac:dyDescent="0.25">
      <c r="A4596" t="str">
        <f t="shared" si="1018"/>
        <v>89301000</v>
      </c>
      <c r="B4596" t="str">
        <f t="shared" si="1026"/>
        <v>78915000</v>
      </c>
      <c r="C4596" t="str">
        <f t="shared" si="1027"/>
        <v>78915001</v>
      </c>
      <c r="D4596" t="str">
        <f t="shared" si="1025"/>
        <v>809</v>
      </c>
      <c r="E4596" t="str">
        <f>"89301607"</f>
        <v>89301607</v>
      </c>
      <c r="F4596" t="str">
        <f>"5753212289"</f>
        <v>5753212289</v>
      </c>
      <c r="G4596" s="1">
        <v>44712</v>
      </c>
      <c r="H4596" t="str">
        <f>"89713"</f>
        <v>89713</v>
      </c>
      <c r="I4596">
        <v>1</v>
      </c>
      <c r="J4596">
        <v>5362</v>
      </c>
      <c r="K4596">
        <v>0</v>
      </c>
      <c r="L4596">
        <v>3217.2</v>
      </c>
    </row>
    <row r="4597" spans="1:12" x14ac:dyDescent="0.25">
      <c r="A4597" t="str">
        <f t="shared" si="1018"/>
        <v>89301000</v>
      </c>
      <c r="B4597" t="str">
        <f t="shared" si="1026"/>
        <v>78915000</v>
      </c>
      <c r="C4597" t="str">
        <f t="shared" si="1027"/>
        <v>78915001</v>
      </c>
      <c r="D4597" t="str">
        <f t="shared" si="1025"/>
        <v>809</v>
      </c>
      <c r="E4597" t="str">
        <f>"89301062"</f>
        <v>89301062</v>
      </c>
      <c r="F4597" t="str">
        <f>"5856240005"</f>
        <v>5856240005</v>
      </c>
      <c r="G4597" s="1">
        <v>44708</v>
      </c>
      <c r="H4597" t="str">
        <f>"89713"</f>
        <v>89713</v>
      </c>
      <c r="I4597">
        <v>1</v>
      </c>
      <c r="J4597">
        <v>5362</v>
      </c>
      <c r="K4597">
        <v>0</v>
      </c>
      <c r="L4597">
        <v>3217.2</v>
      </c>
    </row>
    <row r="4598" spans="1:12" x14ac:dyDescent="0.25">
      <c r="A4598" t="str">
        <f t="shared" si="1018"/>
        <v>89301000</v>
      </c>
      <c r="B4598" t="str">
        <f t="shared" si="1026"/>
        <v>78915000</v>
      </c>
      <c r="C4598" t="str">
        <f t="shared" si="1027"/>
        <v>78915001</v>
      </c>
      <c r="D4598" t="str">
        <f t="shared" si="1025"/>
        <v>809</v>
      </c>
      <c r="E4598" t="str">
        <f>"89301062"</f>
        <v>89301062</v>
      </c>
      <c r="F4598" t="str">
        <f>"5856240005"</f>
        <v>5856240005</v>
      </c>
      <c r="G4598" s="1">
        <v>44708</v>
      </c>
      <c r="H4598" t="str">
        <f>"89725"</f>
        <v>89725</v>
      </c>
      <c r="I4598">
        <v>1</v>
      </c>
      <c r="J4598">
        <v>2839</v>
      </c>
      <c r="K4598">
        <v>0</v>
      </c>
      <c r="L4598">
        <v>1703.4</v>
      </c>
    </row>
    <row r="4599" spans="1:12" x14ac:dyDescent="0.25">
      <c r="A4599" t="str">
        <f t="shared" si="1018"/>
        <v>89301000</v>
      </c>
      <c r="B4599" t="str">
        <f t="shared" si="1026"/>
        <v>78915000</v>
      </c>
      <c r="C4599" t="str">
        <f t="shared" si="1027"/>
        <v>78915001</v>
      </c>
      <c r="D4599" t="str">
        <f t="shared" si="1025"/>
        <v>809</v>
      </c>
      <c r="E4599" t="str">
        <f>"89301212"</f>
        <v>89301212</v>
      </c>
      <c r="F4599" t="str">
        <f>"5861161482"</f>
        <v>5861161482</v>
      </c>
      <c r="G4599" s="1">
        <v>44685</v>
      </c>
      <c r="H4599" t="str">
        <f>"89715"</f>
        <v>89715</v>
      </c>
      <c r="I4599">
        <v>1</v>
      </c>
      <c r="J4599">
        <v>5474</v>
      </c>
      <c r="K4599">
        <v>0</v>
      </c>
      <c r="L4599">
        <v>3284.4</v>
      </c>
    </row>
    <row r="4600" spans="1:12" x14ac:dyDescent="0.25">
      <c r="A4600" t="str">
        <f t="shared" si="1018"/>
        <v>89301000</v>
      </c>
      <c r="B4600" t="str">
        <f t="shared" si="1026"/>
        <v>78915000</v>
      </c>
      <c r="C4600" t="str">
        <f t="shared" si="1027"/>
        <v>78915001</v>
      </c>
      <c r="D4600" t="str">
        <f t="shared" si="1025"/>
        <v>809</v>
      </c>
      <c r="E4600" t="str">
        <f>"89301212"</f>
        <v>89301212</v>
      </c>
      <c r="F4600" t="str">
        <f>"5861161482"</f>
        <v>5861161482</v>
      </c>
      <c r="G4600" s="1">
        <v>44685</v>
      </c>
      <c r="H4600" t="str">
        <f>"89725"</f>
        <v>89725</v>
      </c>
      <c r="I4600">
        <v>1</v>
      </c>
      <c r="J4600">
        <v>2839</v>
      </c>
      <c r="K4600">
        <v>0</v>
      </c>
      <c r="L4600">
        <v>1703.4</v>
      </c>
    </row>
    <row r="4601" spans="1:12" x14ac:dyDescent="0.25">
      <c r="A4601" t="str">
        <f t="shared" si="1018"/>
        <v>89301000</v>
      </c>
      <c r="B4601" t="str">
        <f t="shared" si="1026"/>
        <v>78915000</v>
      </c>
      <c r="C4601" t="str">
        <f t="shared" si="1027"/>
        <v>78915001</v>
      </c>
      <c r="D4601" t="str">
        <f t="shared" si="1025"/>
        <v>809</v>
      </c>
      <c r="E4601" t="str">
        <f>"89301212"</f>
        <v>89301212</v>
      </c>
      <c r="F4601" t="str">
        <f>"5861161482"</f>
        <v>5861161482</v>
      </c>
      <c r="G4601" s="1">
        <v>44685</v>
      </c>
      <c r="H4601" t="str">
        <f>"0207733"</f>
        <v>0207733</v>
      </c>
      <c r="I4601">
        <v>1</v>
      </c>
      <c r="K4601">
        <v>2590.5300000000002</v>
      </c>
      <c r="L4601">
        <v>2590.5300000000002</v>
      </c>
    </row>
    <row r="4602" spans="1:12" x14ac:dyDescent="0.25">
      <c r="A4602" t="str">
        <f t="shared" si="1018"/>
        <v>89301000</v>
      </c>
      <c r="B4602" t="str">
        <f t="shared" si="1026"/>
        <v>78915000</v>
      </c>
      <c r="C4602" t="str">
        <f t="shared" si="1027"/>
        <v>78915001</v>
      </c>
      <c r="D4602" t="str">
        <f t="shared" si="1025"/>
        <v>809</v>
      </c>
      <c r="E4602" t="str">
        <f>"89301606"</f>
        <v>89301606</v>
      </c>
      <c r="F4602" t="str">
        <f>"5953102012"</f>
        <v>5953102012</v>
      </c>
      <c r="G4602" s="1">
        <v>44691</v>
      </c>
      <c r="H4602" t="str">
        <f>"89713"</f>
        <v>89713</v>
      </c>
      <c r="I4602">
        <v>1</v>
      </c>
      <c r="J4602">
        <v>5362</v>
      </c>
      <c r="K4602">
        <v>0</v>
      </c>
      <c r="L4602">
        <v>3217.2</v>
      </c>
    </row>
    <row r="4603" spans="1:12" x14ac:dyDescent="0.25">
      <c r="A4603" t="str">
        <f t="shared" si="1018"/>
        <v>89301000</v>
      </c>
      <c r="B4603" t="str">
        <f t="shared" si="1026"/>
        <v>78915000</v>
      </c>
      <c r="C4603" t="str">
        <f t="shared" si="1027"/>
        <v>78915001</v>
      </c>
      <c r="D4603" t="str">
        <f t="shared" si="1025"/>
        <v>809</v>
      </c>
      <c r="E4603" t="str">
        <f>"89301606"</f>
        <v>89301606</v>
      </c>
      <c r="F4603" t="str">
        <f>"5953102012"</f>
        <v>5953102012</v>
      </c>
      <c r="G4603" s="1">
        <v>44691</v>
      </c>
      <c r="H4603" t="str">
        <f>"89723"</f>
        <v>89723</v>
      </c>
      <c r="I4603">
        <v>1</v>
      </c>
      <c r="J4603">
        <v>5880</v>
      </c>
      <c r="K4603">
        <v>0</v>
      </c>
      <c r="L4603">
        <v>3528</v>
      </c>
    </row>
    <row r="4604" spans="1:12" x14ac:dyDescent="0.25">
      <c r="A4604" t="str">
        <f t="shared" si="1018"/>
        <v>89301000</v>
      </c>
      <c r="B4604" t="str">
        <f t="shared" si="1026"/>
        <v>78915000</v>
      </c>
      <c r="C4604" t="str">
        <f t="shared" si="1027"/>
        <v>78915001</v>
      </c>
      <c r="D4604" t="str">
        <f t="shared" si="1025"/>
        <v>809</v>
      </c>
      <c r="E4604" t="str">
        <f>"89301606"</f>
        <v>89301606</v>
      </c>
      <c r="F4604" t="str">
        <f>"5953102012"</f>
        <v>5953102012</v>
      </c>
      <c r="G4604" s="1">
        <v>44691</v>
      </c>
      <c r="H4604" t="str">
        <f>"89725"</f>
        <v>89725</v>
      </c>
      <c r="I4604">
        <v>1</v>
      </c>
      <c r="J4604">
        <v>2839</v>
      </c>
      <c r="K4604">
        <v>0</v>
      </c>
      <c r="L4604">
        <v>1703.4</v>
      </c>
    </row>
    <row r="4605" spans="1:12" x14ac:dyDescent="0.25">
      <c r="A4605" t="str">
        <f t="shared" si="1018"/>
        <v>89301000</v>
      </c>
      <c r="B4605" t="str">
        <f t="shared" si="1026"/>
        <v>78915000</v>
      </c>
      <c r="C4605" t="str">
        <f t="shared" si="1027"/>
        <v>78915001</v>
      </c>
      <c r="D4605" t="str">
        <f t="shared" si="1025"/>
        <v>809</v>
      </c>
      <c r="E4605" t="str">
        <f>"89301062"</f>
        <v>89301062</v>
      </c>
      <c r="F4605" t="str">
        <f>"6005011166"</f>
        <v>6005011166</v>
      </c>
      <c r="G4605" s="1">
        <v>44711</v>
      </c>
      <c r="H4605" t="str">
        <f>"89713"</f>
        <v>89713</v>
      </c>
      <c r="I4605">
        <v>1</v>
      </c>
      <c r="J4605">
        <v>5362</v>
      </c>
      <c r="K4605">
        <v>0</v>
      </c>
      <c r="L4605">
        <v>3217.2</v>
      </c>
    </row>
    <row r="4606" spans="1:12" x14ac:dyDescent="0.25">
      <c r="A4606" t="str">
        <f t="shared" si="1018"/>
        <v>89301000</v>
      </c>
      <c r="B4606" t="str">
        <f t="shared" si="1026"/>
        <v>78915000</v>
      </c>
      <c r="C4606" t="str">
        <f t="shared" si="1027"/>
        <v>78915001</v>
      </c>
      <c r="D4606" t="str">
        <f t="shared" si="1025"/>
        <v>809</v>
      </c>
      <c r="E4606" t="str">
        <f>"89301062"</f>
        <v>89301062</v>
      </c>
      <c r="F4606" t="str">
        <f>"6005011166"</f>
        <v>6005011166</v>
      </c>
      <c r="G4606" s="1">
        <v>44711</v>
      </c>
      <c r="H4606" t="str">
        <f>"89725"</f>
        <v>89725</v>
      </c>
      <c r="I4606">
        <v>1</v>
      </c>
      <c r="J4606">
        <v>2839</v>
      </c>
      <c r="K4606">
        <v>0</v>
      </c>
      <c r="L4606">
        <v>1703.4</v>
      </c>
    </row>
    <row r="4607" spans="1:12" x14ac:dyDescent="0.25">
      <c r="A4607" t="str">
        <f t="shared" si="1018"/>
        <v>89301000</v>
      </c>
      <c r="B4607" t="str">
        <f t="shared" si="1026"/>
        <v>78915000</v>
      </c>
      <c r="C4607" t="str">
        <f t="shared" si="1027"/>
        <v>78915001</v>
      </c>
      <c r="D4607" t="str">
        <f t="shared" si="1025"/>
        <v>809</v>
      </c>
      <c r="E4607" t="str">
        <f>"89301112"</f>
        <v>89301112</v>
      </c>
      <c r="F4607" t="str">
        <f>"6156160362"</f>
        <v>6156160362</v>
      </c>
      <c r="G4607" s="1">
        <v>44694</v>
      </c>
      <c r="H4607" t="str">
        <f>"09567"</f>
        <v>09567</v>
      </c>
      <c r="I4607">
        <v>1</v>
      </c>
      <c r="J4607">
        <v>0</v>
      </c>
      <c r="K4607">
        <v>0</v>
      </c>
      <c r="L4607">
        <v>0</v>
      </c>
    </row>
    <row r="4608" spans="1:12" x14ac:dyDescent="0.25">
      <c r="A4608" t="str">
        <f t="shared" si="1018"/>
        <v>89301000</v>
      </c>
      <c r="B4608" t="str">
        <f t="shared" si="1026"/>
        <v>78915000</v>
      </c>
      <c r="C4608" t="str">
        <f t="shared" si="1027"/>
        <v>78915001</v>
      </c>
      <c r="D4608" t="str">
        <f t="shared" si="1025"/>
        <v>809</v>
      </c>
      <c r="E4608" t="str">
        <f>"89301112"</f>
        <v>89301112</v>
      </c>
      <c r="F4608" t="str">
        <f>"6156160362"</f>
        <v>6156160362</v>
      </c>
      <c r="G4608" s="1">
        <v>44694</v>
      </c>
      <c r="H4608" t="str">
        <f>"89713"</f>
        <v>89713</v>
      </c>
      <c r="I4608">
        <v>1</v>
      </c>
      <c r="J4608">
        <v>5362</v>
      </c>
      <c r="K4608">
        <v>0</v>
      </c>
      <c r="L4608">
        <v>3217.2</v>
      </c>
    </row>
    <row r="4609" spans="1:12" x14ac:dyDescent="0.25">
      <c r="A4609" t="str">
        <f t="shared" si="1018"/>
        <v>89301000</v>
      </c>
      <c r="B4609" t="str">
        <f t="shared" si="1026"/>
        <v>78915000</v>
      </c>
      <c r="C4609" t="str">
        <f t="shared" si="1027"/>
        <v>78915001</v>
      </c>
      <c r="D4609" t="str">
        <f t="shared" ref="D4609:D4640" si="1028">"809"</f>
        <v>809</v>
      </c>
      <c r="E4609" t="str">
        <f t="shared" ref="E4609:E4614" si="1029">"89301212"</f>
        <v>89301212</v>
      </c>
      <c r="F4609" t="str">
        <f>"6252280067"</f>
        <v>6252280067</v>
      </c>
      <c r="G4609" s="1">
        <v>44706</v>
      </c>
      <c r="H4609" t="str">
        <f>"89715"</f>
        <v>89715</v>
      </c>
      <c r="I4609">
        <v>1</v>
      </c>
      <c r="J4609">
        <v>5474</v>
      </c>
      <c r="K4609">
        <v>0</v>
      </c>
      <c r="L4609">
        <v>3284.4</v>
      </c>
    </row>
    <row r="4610" spans="1:12" x14ac:dyDescent="0.25">
      <c r="A4610" t="str">
        <f t="shared" ref="A4610:A4673" si="1030">"89301000"</f>
        <v>89301000</v>
      </c>
      <c r="B4610" t="str">
        <f t="shared" si="1026"/>
        <v>78915000</v>
      </c>
      <c r="C4610" t="str">
        <f t="shared" si="1027"/>
        <v>78915001</v>
      </c>
      <c r="D4610" t="str">
        <f t="shared" si="1028"/>
        <v>809</v>
      </c>
      <c r="E4610" t="str">
        <f t="shared" si="1029"/>
        <v>89301212</v>
      </c>
      <c r="F4610" t="str">
        <f>"6252280067"</f>
        <v>6252280067</v>
      </c>
      <c r="G4610" s="1">
        <v>44706</v>
      </c>
      <c r="H4610" t="str">
        <f>"89725"</f>
        <v>89725</v>
      </c>
      <c r="I4610">
        <v>1</v>
      </c>
      <c r="J4610">
        <v>2839</v>
      </c>
      <c r="K4610">
        <v>0</v>
      </c>
      <c r="L4610">
        <v>1703.4</v>
      </c>
    </row>
    <row r="4611" spans="1:12" x14ac:dyDescent="0.25">
      <c r="A4611" t="str">
        <f t="shared" si="1030"/>
        <v>89301000</v>
      </c>
      <c r="B4611" t="str">
        <f t="shared" si="1026"/>
        <v>78915000</v>
      </c>
      <c r="C4611" t="str">
        <f t="shared" si="1027"/>
        <v>78915001</v>
      </c>
      <c r="D4611" t="str">
        <f t="shared" si="1028"/>
        <v>809</v>
      </c>
      <c r="E4611" t="str">
        <f t="shared" si="1029"/>
        <v>89301212</v>
      </c>
      <c r="F4611" t="str">
        <f>"6252280067"</f>
        <v>6252280067</v>
      </c>
      <c r="G4611" s="1">
        <v>44706</v>
      </c>
      <c r="H4611" t="str">
        <f>"0207733"</f>
        <v>0207733</v>
      </c>
      <c r="I4611">
        <v>1</v>
      </c>
      <c r="K4611">
        <v>2590.5300000000002</v>
      </c>
      <c r="L4611">
        <v>2590.5300000000002</v>
      </c>
    </row>
    <row r="4612" spans="1:12" x14ac:dyDescent="0.25">
      <c r="A4612" t="str">
        <f t="shared" si="1030"/>
        <v>89301000</v>
      </c>
      <c r="B4612" t="str">
        <f t="shared" si="1026"/>
        <v>78915000</v>
      </c>
      <c r="C4612" t="str">
        <f t="shared" si="1027"/>
        <v>78915001</v>
      </c>
      <c r="D4612" t="str">
        <f t="shared" si="1028"/>
        <v>809</v>
      </c>
      <c r="E4612" t="str">
        <f t="shared" si="1029"/>
        <v>89301212</v>
      </c>
      <c r="F4612" t="str">
        <f>"6357030691"</f>
        <v>6357030691</v>
      </c>
      <c r="G4612" s="1">
        <v>44706</v>
      </c>
      <c r="H4612" t="str">
        <f>"89715"</f>
        <v>89715</v>
      </c>
      <c r="I4612">
        <v>1</v>
      </c>
      <c r="J4612">
        <v>5474</v>
      </c>
      <c r="K4612">
        <v>0</v>
      </c>
      <c r="L4612">
        <v>3284.4</v>
      </c>
    </row>
    <row r="4613" spans="1:12" x14ac:dyDescent="0.25">
      <c r="A4613" t="str">
        <f t="shared" si="1030"/>
        <v>89301000</v>
      </c>
      <c r="B4613" t="str">
        <f t="shared" si="1026"/>
        <v>78915000</v>
      </c>
      <c r="C4613" t="str">
        <f t="shared" si="1027"/>
        <v>78915001</v>
      </c>
      <c r="D4613" t="str">
        <f t="shared" si="1028"/>
        <v>809</v>
      </c>
      <c r="E4613" t="str">
        <f t="shared" si="1029"/>
        <v>89301212</v>
      </c>
      <c r="F4613" t="str">
        <f>"6357030691"</f>
        <v>6357030691</v>
      </c>
      <c r="G4613" s="1">
        <v>44706</v>
      </c>
      <c r="H4613" t="str">
        <f>"89725"</f>
        <v>89725</v>
      </c>
      <c r="I4613">
        <v>1</v>
      </c>
      <c r="J4613">
        <v>2839</v>
      </c>
      <c r="K4613">
        <v>0</v>
      </c>
      <c r="L4613">
        <v>1703.4</v>
      </c>
    </row>
    <row r="4614" spans="1:12" x14ac:dyDescent="0.25">
      <c r="A4614" t="str">
        <f t="shared" si="1030"/>
        <v>89301000</v>
      </c>
      <c r="B4614" t="str">
        <f t="shared" si="1026"/>
        <v>78915000</v>
      </c>
      <c r="C4614" t="str">
        <f t="shared" si="1027"/>
        <v>78915001</v>
      </c>
      <c r="D4614" t="str">
        <f t="shared" si="1028"/>
        <v>809</v>
      </c>
      <c r="E4614" t="str">
        <f t="shared" si="1029"/>
        <v>89301212</v>
      </c>
      <c r="F4614" t="str">
        <f>"6357030691"</f>
        <v>6357030691</v>
      </c>
      <c r="G4614" s="1">
        <v>44706</v>
      </c>
      <c r="H4614" t="str">
        <f>"0207733"</f>
        <v>0207733</v>
      </c>
      <c r="I4614">
        <v>1.2</v>
      </c>
      <c r="K4614">
        <v>3108.64</v>
      </c>
      <c r="L4614">
        <v>3108.64</v>
      </c>
    </row>
    <row r="4615" spans="1:12" x14ac:dyDescent="0.25">
      <c r="A4615" t="str">
        <f t="shared" si="1030"/>
        <v>89301000</v>
      </c>
      <c r="B4615" t="str">
        <f t="shared" ref="B4615:B4650" si="1031">"78915000"</f>
        <v>78915000</v>
      </c>
      <c r="C4615" t="str">
        <f t="shared" ref="C4615:C4650" si="1032">"78915001"</f>
        <v>78915001</v>
      </c>
      <c r="D4615" t="str">
        <f t="shared" si="1028"/>
        <v>809</v>
      </c>
      <c r="E4615" t="str">
        <f>"89301606"</f>
        <v>89301606</v>
      </c>
      <c r="F4615" t="str">
        <f>"7151115114"</f>
        <v>7151115114</v>
      </c>
      <c r="G4615" s="1">
        <v>44704</v>
      </c>
      <c r="H4615" t="str">
        <f>"89713"</f>
        <v>89713</v>
      </c>
      <c r="I4615">
        <v>1</v>
      </c>
      <c r="J4615">
        <v>5362</v>
      </c>
      <c r="K4615">
        <v>0</v>
      </c>
      <c r="L4615">
        <v>3217.2</v>
      </c>
    </row>
    <row r="4616" spans="1:12" x14ac:dyDescent="0.25">
      <c r="A4616" t="str">
        <f t="shared" si="1030"/>
        <v>89301000</v>
      </c>
      <c r="B4616" t="str">
        <f t="shared" si="1031"/>
        <v>78915000</v>
      </c>
      <c r="C4616" t="str">
        <f t="shared" si="1032"/>
        <v>78915001</v>
      </c>
      <c r="D4616" t="str">
        <f t="shared" si="1028"/>
        <v>809</v>
      </c>
      <c r="E4616" t="str">
        <f>"89301606"</f>
        <v>89301606</v>
      </c>
      <c r="F4616" t="str">
        <f>"7151115114"</f>
        <v>7151115114</v>
      </c>
      <c r="G4616" s="1">
        <v>44704</v>
      </c>
      <c r="H4616" t="str">
        <f>"89725"</f>
        <v>89725</v>
      </c>
      <c r="I4616">
        <v>1</v>
      </c>
      <c r="J4616">
        <v>2839</v>
      </c>
      <c r="K4616">
        <v>0</v>
      </c>
      <c r="L4616">
        <v>1703.4</v>
      </c>
    </row>
    <row r="4617" spans="1:12" x14ac:dyDescent="0.25">
      <c r="A4617" t="str">
        <f t="shared" si="1030"/>
        <v>89301000</v>
      </c>
      <c r="B4617" t="str">
        <f t="shared" si="1031"/>
        <v>78915000</v>
      </c>
      <c r="C4617" t="str">
        <f t="shared" si="1032"/>
        <v>78915001</v>
      </c>
      <c r="D4617" t="str">
        <f t="shared" si="1028"/>
        <v>809</v>
      </c>
      <c r="E4617" t="str">
        <f>"89301045"</f>
        <v>89301045</v>
      </c>
      <c r="F4617" t="str">
        <f>"7259095360"</f>
        <v>7259095360</v>
      </c>
      <c r="G4617" s="1">
        <v>44699</v>
      </c>
      <c r="H4617" t="str">
        <f>"89715"</f>
        <v>89715</v>
      </c>
      <c r="I4617">
        <v>1</v>
      </c>
      <c r="J4617">
        <v>5474</v>
      </c>
      <c r="K4617">
        <v>0</v>
      </c>
      <c r="L4617">
        <v>3284.4</v>
      </c>
    </row>
    <row r="4618" spans="1:12" x14ac:dyDescent="0.25">
      <c r="A4618" t="str">
        <f t="shared" si="1030"/>
        <v>89301000</v>
      </c>
      <c r="B4618" t="str">
        <f t="shared" si="1031"/>
        <v>78915000</v>
      </c>
      <c r="C4618" t="str">
        <f t="shared" si="1032"/>
        <v>78915001</v>
      </c>
      <c r="D4618" t="str">
        <f t="shared" si="1028"/>
        <v>809</v>
      </c>
      <c r="E4618" t="str">
        <f>"89301045"</f>
        <v>89301045</v>
      </c>
      <c r="F4618" t="str">
        <f>"7259095360"</f>
        <v>7259095360</v>
      </c>
      <c r="G4618" s="1">
        <v>44699</v>
      </c>
      <c r="H4618" t="str">
        <f>"89725"</f>
        <v>89725</v>
      </c>
      <c r="I4618">
        <v>1</v>
      </c>
      <c r="J4618">
        <v>2839</v>
      </c>
      <c r="K4618">
        <v>0</v>
      </c>
      <c r="L4618">
        <v>1703.4</v>
      </c>
    </row>
    <row r="4619" spans="1:12" x14ac:dyDescent="0.25">
      <c r="A4619" t="str">
        <f t="shared" si="1030"/>
        <v>89301000</v>
      </c>
      <c r="B4619" t="str">
        <f t="shared" si="1031"/>
        <v>78915000</v>
      </c>
      <c r="C4619" t="str">
        <f t="shared" si="1032"/>
        <v>78915001</v>
      </c>
      <c r="D4619" t="str">
        <f t="shared" si="1028"/>
        <v>809</v>
      </c>
      <c r="E4619" t="str">
        <f>"89301045"</f>
        <v>89301045</v>
      </c>
      <c r="F4619" t="str">
        <f>"7259095360"</f>
        <v>7259095360</v>
      </c>
      <c r="G4619" s="1">
        <v>44699</v>
      </c>
      <c r="H4619" t="str">
        <f>"0207733"</f>
        <v>0207733</v>
      </c>
      <c r="I4619">
        <v>1</v>
      </c>
      <c r="K4619">
        <v>2590.5300000000002</v>
      </c>
      <c r="L4619">
        <v>2590.5300000000002</v>
      </c>
    </row>
    <row r="4620" spans="1:12" x14ac:dyDescent="0.25">
      <c r="A4620" t="str">
        <f t="shared" si="1030"/>
        <v>89301000</v>
      </c>
      <c r="B4620" t="str">
        <f t="shared" si="1031"/>
        <v>78915000</v>
      </c>
      <c r="C4620" t="str">
        <f t="shared" si="1032"/>
        <v>78915001</v>
      </c>
      <c r="D4620" t="str">
        <f t="shared" si="1028"/>
        <v>809</v>
      </c>
      <c r="E4620" t="str">
        <f>"89301112"</f>
        <v>89301112</v>
      </c>
      <c r="F4620" t="str">
        <f>"7302045333"</f>
        <v>7302045333</v>
      </c>
      <c r="G4620" s="1">
        <v>44701</v>
      </c>
      <c r="H4620" t="str">
        <f>"09567"</f>
        <v>09567</v>
      </c>
      <c r="I4620">
        <v>1</v>
      </c>
      <c r="J4620">
        <v>0</v>
      </c>
      <c r="K4620">
        <v>0</v>
      </c>
      <c r="L4620">
        <v>0</v>
      </c>
    </row>
    <row r="4621" spans="1:12" x14ac:dyDescent="0.25">
      <c r="A4621" t="str">
        <f t="shared" si="1030"/>
        <v>89301000</v>
      </c>
      <c r="B4621" t="str">
        <f t="shared" si="1031"/>
        <v>78915000</v>
      </c>
      <c r="C4621" t="str">
        <f t="shared" si="1032"/>
        <v>78915001</v>
      </c>
      <c r="D4621" t="str">
        <f t="shared" si="1028"/>
        <v>809</v>
      </c>
      <c r="E4621" t="str">
        <f>"89301112"</f>
        <v>89301112</v>
      </c>
      <c r="F4621" t="str">
        <f>"7302045333"</f>
        <v>7302045333</v>
      </c>
      <c r="G4621" s="1">
        <v>44701</v>
      </c>
      <c r="H4621" t="str">
        <f>"89713"</f>
        <v>89713</v>
      </c>
      <c r="I4621">
        <v>1</v>
      </c>
      <c r="J4621">
        <v>5362</v>
      </c>
      <c r="K4621">
        <v>0</v>
      </c>
      <c r="L4621">
        <v>3217.2</v>
      </c>
    </row>
    <row r="4622" spans="1:12" x14ac:dyDescent="0.25">
      <c r="A4622" t="str">
        <f t="shared" si="1030"/>
        <v>89301000</v>
      </c>
      <c r="B4622" t="str">
        <f t="shared" si="1031"/>
        <v>78915000</v>
      </c>
      <c r="C4622" t="str">
        <f t="shared" si="1032"/>
        <v>78915001</v>
      </c>
      <c r="D4622" t="str">
        <f t="shared" si="1028"/>
        <v>809</v>
      </c>
      <c r="E4622" t="str">
        <f>"89301112"</f>
        <v>89301112</v>
      </c>
      <c r="F4622" t="str">
        <f>"7357285694"</f>
        <v>7357285694</v>
      </c>
      <c r="G4622" s="1">
        <v>44712</v>
      </c>
      <c r="H4622" t="str">
        <f>"09569"</f>
        <v>09569</v>
      </c>
      <c r="I4622">
        <v>1</v>
      </c>
      <c r="J4622">
        <v>0</v>
      </c>
      <c r="K4622">
        <v>0</v>
      </c>
      <c r="L4622">
        <v>0</v>
      </c>
    </row>
    <row r="4623" spans="1:12" x14ac:dyDescent="0.25">
      <c r="A4623" t="str">
        <f t="shared" si="1030"/>
        <v>89301000</v>
      </c>
      <c r="B4623" t="str">
        <f t="shared" si="1031"/>
        <v>78915000</v>
      </c>
      <c r="C4623" t="str">
        <f t="shared" si="1032"/>
        <v>78915001</v>
      </c>
      <c r="D4623" t="str">
        <f t="shared" si="1028"/>
        <v>809</v>
      </c>
      <c r="E4623" t="str">
        <f>"89301112"</f>
        <v>89301112</v>
      </c>
      <c r="F4623" t="str">
        <f>"7357285694"</f>
        <v>7357285694</v>
      </c>
      <c r="G4623" s="1">
        <v>44712</v>
      </c>
      <c r="H4623" t="str">
        <f>"89713"</f>
        <v>89713</v>
      </c>
      <c r="I4623">
        <v>1</v>
      </c>
      <c r="J4623">
        <v>5362</v>
      </c>
      <c r="K4623">
        <v>0</v>
      </c>
      <c r="L4623">
        <v>3217.2</v>
      </c>
    </row>
    <row r="4624" spans="1:12" x14ac:dyDescent="0.25">
      <c r="A4624" t="str">
        <f t="shared" si="1030"/>
        <v>89301000</v>
      </c>
      <c r="B4624" t="str">
        <f t="shared" si="1031"/>
        <v>78915000</v>
      </c>
      <c r="C4624" t="str">
        <f t="shared" si="1032"/>
        <v>78915001</v>
      </c>
      <c r="D4624" t="str">
        <f t="shared" si="1028"/>
        <v>809</v>
      </c>
      <c r="E4624" t="str">
        <f>"89301045"</f>
        <v>89301045</v>
      </c>
      <c r="F4624" t="str">
        <f>"7362015771"</f>
        <v>7362015771</v>
      </c>
      <c r="G4624" s="1">
        <v>44688</v>
      </c>
      <c r="H4624" t="str">
        <f>"89715"</f>
        <v>89715</v>
      </c>
      <c r="I4624">
        <v>1</v>
      </c>
      <c r="J4624">
        <v>5474</v>
      </c>
      <c r="K4624">
        <v>0</v>
      </c>
      <c r="L4624">
        <v>3284.4</v>
      </c>
    </row>
    <row r="4625" spans="1:12" x14ac:dyDescent="0.25">
      <c r="A4625" t="str">
        <f t="shared" si="1030"/>
        <v>89301000</v>
      </c>
      <c r="B4625" t="str">
        <f t="shared" si="1031"/>
        <v>78915000</v>
      </c>
      <c r="C4625" t="str">
        <f t="shared" si="1032"/>
        <v>78915001</v>
      </c>
      <c r="D4625" t="str">
        <f t="shared" si="1028"/>
        <v>809</v>
      </c>
      <c r="E4625" t="str">
        <f>"89301045"</f>
        <v>89301045</v>
      </c>
      <c r="F4625" t="str">
        <f>"7362015771"</f>
        <v>7362015771</v>
      </c>
      <c r="G4625" s="1">
        <v>44688</v>
      </c>
      <c r="H4625" t="str">
        <f>"89725"</f>
        <v>89725</v>
      </c>
      <c r="I4625">
        <v>1</v>
      </c>
      <c r="J4625">
        <v>2839</v>
      </c>
      <c r="K4625">
        <v>0</v>
      </c>
      <c r="L4625">
        <v>1703.4</v>
      </c>
    </row>
    <row r="4626" spans="1:12" x14ac:dyDescent="0.25">
      <c r="A4626" t="str">
        <f t="shared" si="1030"/>
        <v>89301000</v>
      </c>
      <c r="B4626" t="str">
        <f t="shared" si="1031"/>
        <v>78915000</v>
      </c>
      <c r="C4626" t="str">
        <f t="shared" si="1032"/>
        <v>78915001</v>
      </c>
      <c r="D4626" t="str">
        <f t="shared" si="1028"/>
        <v>809</v>
      </c>
      <c r="E4626" t="str">
        <f>"89301045"</f>
        <v>89301045</v>
      </c>
      <c r="F4626" t="str">
        <f>"7362015771"</f>
        <v>7362015771</v>
      </c>
      <c r="G4626" s="1">
        <v>44688</v>
      </c>
      <c r="H4626" t="str">
        <f>"0207733"</f>
        <v>0207733</v>
      </c>
      <c r="I4626">
        <v>1</v>
      </c>
      <c r="K4626">
        <v>2590.5300000000002</v>
      </c>
      <c r="L4626">
        <v>2590.5300000000002</v>
      </c>
    </row>
    <row r="4627" spans="1:12" x14ac:dyDescent="0.25">
      <c r="A4627" t="str">
        <f t="shared" si="1030"/>
        <v>89301000</v>
      </c>
      <c r="B4627" t="str">
        <f t="shared" si="1031"/>
        <v>78915000</v>
      </c>
      <c r="C4627" t="str">
        <f t="shared" si="1032"/>
        <v>78915001</v>
      </c>
      <c r="D4627" t="str">
        <f t="shared" si="1028"/>
        <v>809</v>
      </c>
      <c r="E4627" t="str">
        <f>"89301312"</f>
        <v>89301312</v>
      </c>
      <c r="F4627" t="str">
        <f>"7412305318"</f>
        <v>7412305318</v>
      </c>
      <c r="G4627" s="1">
        <v>44704</v>
      </c>
      <c r="H4627" t="str">
        <f>"09569"</f>
        <v>09569</v>
      </c>
      <c r="I4627">
        <v>1</v>
      </c>
      <c r="J4627">
        <v>0</v>
      </c>
      <c r="K4627">
        <v>0</v>
      </c>
      <c r="L4627">
        <v>0</v>
      </c>
    </row>
    <row r="4628" spans="1:12" x14ac:dyDescent="0.25">
      <c r="A4628" t="str">
        <f t="shared" si="1030"/>
        <v>89301000</v>
      </c>
      <c r="B4628" t="str">
        <f t="shared" si="1031"/>
        <v>78915000</v>
      </c>
      <c r="C4628" t="str">
        <f t="shared" si="1032"/>
        <v>78915001</v>
      </c>
      <c r="D4628" t="str">
        <f t="shared" si="1028"/>
        <v>809</v>
      </c>
      <c r="E4628" t="str">
        <f>"89301312"</f>
        <v>89301312</v>
      </c>
      <c r="F4628" t="str">
        <f>"7412305318"</f>
        <v>7412305318</v>
      </c>
      <c r="G4628" s="1">
        <v>44704</v>
      </c>
      <c r="H4628" t="str">
        <f>"89713"</f>
        <v>89713</v>
      </c>
      <c r="I4628">
        <v>1</v>
      </c>
      <c r="J4628">
        <v>5362</v>
      </c>
      <c r="K4628">
        <v>0</v>
      </c>
      <c r="L4628">
        <v>3217.2</v>
      </c>
    </row>
    <row r="4629" spans="1:12" x14ac:dyDescent="0.25">
      <c r="A4629" t="str">
        <f t="shared" si="1030"/>
        <v>89301000</v>
      </c>
      <c r="B4629" t="str">
        <f t="shared" si="1031"/>
        <v>78915000</v>
      </c>
      <c r="C4629" t="str">
        <f t="shared" si="1032"/>
        <v>78915001</v>
      </c>
      <c r="D4629" t="str">
        <f t="shared" si="1028"/>
        <v>809</v>
      </c>
      <c r="E4629" t="str">
        <f>"89301312"</f>
        <v>89301312</v>
      </c>
      <c r="F4629" t="str">
        <f>"7412305318"</f>
        <v>7412305318</v>
      </c>
      <c r="G4629" s="1">
        <v>44704</v>
      </c>
      <c r="H4629" t="str">
        <f>"89725"</f>
        <v>89725</v>
      </c>
      <c r="I4629">
        <v>1</v>
      </c>
      <c r="J4629">
        <v>2839</v>
      </c>
      <c r="K4629">
        <v>0</v>
      </c>
      <c r="L4629">
        <v>1703.4</v>
      </c>
    </row>
    <row r="4630" spans="1:12" x14ac:dyDescent="0.25">
      <c r="A4630" t="str">
        <f t="shared" si="1030"/>
        <v>89301000</v>
      </c>
      <c r="B4630" t="str">
        <f t="shared" si="1031"/>
        <v>78915000</v>
      </c>
      <c r="C4630" t="str">
        <f t="shared" si="1032"/>
        <v>78915001</v>
      </c>
      <c r="D4630" t="str">
        <f t="shared" si="1028"/>
        <v>809</v>
      </c>
      <c r="E4630" t="str">
        <f>"89301312"</f>
        <v>89301312</v>
      </c>
      <c r="F4630" t="str">
        <f>"7412305318"</f>
        <v>7412305318</v>
      </c>
      <c r="G4630" s="1">
        <v>44704</v>
      </c>
      <c r="H4630" t="str">
        <f>"0207733"</f>
        <v>0207733</v>
      </c>
      <c r="I4630">
        <v>1.33</v>
      </c>
      <c r="K4630">
        <v>3445.4</v>
      </c>
      <c r="L4630">
        <v>3445.4</v>
      </c>
    </row>
    <row r="4631" spans="1:12" x14ac:dyDescent="0.25">
      <c r="A4631" t="str">
        <f t="shared" si="1030"/>
        <v>89301000</v>
      </c>
      <c r="B4631" t="str">
        <f t="shared" si="1031"/>
        <v>78915000</v>
      </c>
      <c r="C4631" t="str">
        <f t="shared" si="1032"/>
        <v>78915001</v>
      </c>
      <c r="D4631" t="str">
        <f t="shared" si="1028"/>
        <v>809</v>
      </c>
      <c r="E4631" t="str">
        <f>"89301045"</f>
        <v>89301045</v>
      </c>
      <c r="F4631" t="str">
        <f>"7651292264"</f>
        <v>7651292264</v>
      </c>
      <c r="G4631" s="1">
        <v>44699</v>
      </c>
      <c r="H4631" t="str">
        <f>"89715"</f>
        <v>89715</v>
      </c>
      <c r="I4631">
        <v>1</v>
      </c>
      <c r="J4631">
        <v>5474</v>
      </c>
      <c r="K4631">
        <v>0</v>
      </c>
      <c r="L4631">
        <v>3284.4</v>
      </c>
    </row>
    <row r="4632" spans="1:12" x14ac:dyDescent="0.25">
      <c r="A4632" t="str">
        <f t="shared" si="1030"/>
        <v>89301000</v>
      </c>
      <c r="B4632" t="str">
        <f t="shared" si="1031"/>
        <v>78915000</v>
      </c>
      <c r="C4632" t="str">
        <f t="shared" si="1032"/>
        <v>78915001</v>
      </c>
      <c r="D4632" t="str">
        <f t="shared" si="1028"/>
        <v>809</v>
      </c>
      <c r="E4632" t="str">
        <f>"89301045"</f>
        <v>89301045</v>
      </c>
      <c r="F4632" t="str">
        <f>"7651292264"</f>
        <v>7651292264</v>
      </c>
      <c r="G4632" s="1">
        <v>44699</v>
      </c>
      <c r="H4632" t="str">
        <f>"89725"</f>
        <v>89725</v>
      </c>
      <c r="I4632">
        <v>1</v>
      </c>
      <c r="J4632">
        <v>2839</v>
      </c>
      <c r="K4632">
        <v>0</v>
      </c>
      <c r="L4632">
        <v>1703.4</v>
      </c>
    </row>
    <row r="4633" spans="1:12" x14ac:dyDescent="0.25">
      <c r="A4633" t="str">
        <f t="shared" si="1030"/>
        <v>89301000</v>
      </c>
      <c r="B4633" t="str">
        <f t="shared" si="1031"/>
        <v>78915000</v>
      </c>
      <c r="C4633" t="str">
        <f t="shared" si="1032"/>
        <v>78915001</v>
      </c>
      <c r="D4633" t="str">
        <f t="shared" si="1028"/>
        <v>809</v>
      </c>
      <c r="E4633" t="str">
        <f>"89301045"</f>
        <v>89301045</v>
      </c>
      <c r="F4633" t="str">
        <f>"7651292264"</f>
        <v>7651292264</v>
      </c>
      <c r="G4633" s="1">
        <v>44699</v>
      </c>
      <c r="H4633" t="str">
        <f>"0207733"</f>
        <v>0207733</v>
      </c>
      <c r="I4633">
        <v>1</v>
      </c>
      <c r="K4633">
        <v>2590.5300000000002</v>
      </c>
      <c r="L4633">
        <v>2590.5300000000002</v>
      </c>
    </row>
    <row r="4634" spans="1:12" x14ac:dyDescent="0.25">
      <c r="A4634" t="str">
        <f t="shared" si="1030"/>
        <v>89301000</v>
      </c>
      <c r="B4634" t="str">
        <f t="shared" si="1031"/>
        <v>78915000</v>
      </c>
      <c r="C4634" t="str">
        <f t="shared" si="1032"/>
        <v>78915001</v>
      </c>
      <c r="D4634" t="str">
        <f t="shared" si="1028"/>
        <v>809</v>
      </c>
      <c r="E4634" t="str">
        <f>"89301062"</f>
        <v>89301062</v>
      </c>
      <c r="F4634" t="str">
        <f>"7661215309"</f>
        <v>7661215309</v>
      </c>
      <c r="G4634" s="1">
        <v>44693</v>
      </c>
      <c r="H4634" t="str">
        <f>"89713"</f>
        <v>89713</v>
      </c>
      <c r="I4634">
        <v>1</v>
      </c>
      <c r="J4634">
        <v>5362</v>
      </c>
      <c r="K4634">
        <v>0</v>
      </c>
      <c r="L4634">
        <v>3217.2</v>
      </c>
    </row>
    <row r="4635" spans="1:12" x14ac:dyDescent="0.25">
      <c r="A4635" t="str">
        <f t="shared" si="1030"/>
        <v>89301000</v>
      </c>
      <c r="B4635" t="str">
        <f t="shared" si="1031"/>
        <v>78915000</v>
      </c>
      <c r="C4635" t="str">
        <f t="shared" si="1032"/>
        <v>78915001</v>
      </c>
      <c r="D4635" t="str">
        <f t="shared" si="1028"/>
        <v>809</v>
      </c>
      <c r="E4635" t="str">
        <f>"89301062"</f>
        <v>89301062</v>
      </c>
      <c r="F4635" t="str">
        <f>"7661215309"</f>
        <v>7661215309</v>
      </c>
      <c r="G4635" s="1">
        <v>44693</v>
      </c>
      <c r="H4635" t="str">
        <f>"89725"</f>
        <v>89725</v>
      </c>
      <c r="I4635">
        <v>1</v>
      </c>
      <c r="J4635">
        <v>2839</v>
      </c>
      <c r="K4635">
        <v>0</v>
      </c>
      <c r="L4635">
        <v>1703.4</v>
      </c>
    </row>
    <row r="4636" spans="1:12" x14ac:dyDescent="0.25">
      <c r="A4636" t="str">
        <f t="shared" si="1030"/>
        <v>89301000</v>
      </c>
      <c r="B4636" t="str">
        <f t="shared" si="1031"/>
        <v>78915000</v>
      </c>
      <c r="C4636" t="str">
        <f t="shared" si="1032"/>
        <v>78915001</v>
      </c>
      <c r="D4636" t="str">
        <f t="shared" si="1028"/>
        <v>809</v>
      </c>
      <c r="E4636" t="str">
        <f>"89301112"</f>
        <v>89301112</v>
      </c>
      <c r="F4636" t="str">
        <f>"7709095361"</f>
        <v>7709095361</v>
      </c>
      <c r="G4636" s="1">
        <v>44712</v>
      </c>
      <c r="H4636" t="str">
        <f>"89713"</f>
        <v>89713</v>
      </c>
      <c r="I4636">
        <v>1</v>
      </c>
      <c r="J4636">
        <v>5362</v>
      </c>
      <c r="K4636">
        <v>0</v>
      </c>
      <c r="L4636">
        <v>3217.2</v>
      </c>
    </row>
    <row r="4637" spans="1:12" x14ac:dyDescent="0.25">
      <c r="A4637" t="str">
        <f t="shared" si="1030"/>
        <v>89301000</v>
      </c>
      <c r="B4637" t="str">
        <f t="shared" si="1031"/>
        <v>78915000</v>
      </c>
      <c r="C4637" t="str">
        <f t="shared" si="1032"/>
        <v>78915001</v>
      </c>
      <c r="D4637" t="str">
        <f t="shared" si="1028"/>
        <v>809</v>
      </c>
      <c r="E4637" t="str">
        <f>"89301112"</f>
        <v>89301112</v>
      </c>
      <c r="F4637" t="str">
        <f>"7709095361"</f>
        <v>7709095361</v>
      </c>
      <c r="G4637" s="1">
        <v>44712</v>
      </c>
      <c r="H4637" t="str">
        <f>"89725"</f>
        <v>89725</v>
      </c>
      <c r="I4637">
        <v>1</v>
      </c>
      <c r="J4637">
        <v>2839</v>
      </c>
      <c r="K4637">
        <v>0</v>
      </c>
      <c r="L4637">
        <v>1703.4</v>
      </c>
    </row>
    <row r="4638" spans="1:12" x14ac:dyDescent="0.25">
      <c r="A4638" t="str">
        <f t="shared" si="1030"/>
        <v>89301000</v>
      </c>
      <c r="B4638" t="str">
        <f t="shared" si="1031"/>
        <v>78915000</v>
      </c>
      <c r="C4638" t="str">
        <f t="shared" si="1032"/>
        <v>78915001</v>
      </c>
      <c r="D4638" t="str">
        <f t="shared" si="1028"/>
        <v>809</v>
      </c>
      <c r="E4638" t="str">
        <f>"89301062"</f>
        <v>89301062</v>
      </c>
      <c r="F4638" t="str">
        <f>"7903175302"</f>
        <v>7903175302</v>
      </c>
      <c r="G4638" s="1">
        <v>44685</v>
      </c>
      <c r="H4638" t="str">
        <f>"89713"</f>
        <v>89713</v>
      </c>
      <c r="I4638">
        <v>1</v>
      </c>
      <c r="J4638">
        <v>5362</v>
      </c>
      <c r="K4638">
        <v>0</v>
      </c>
      <c r="L4638">
        <v>3217.2</v>
      </c>
    </row>
    <row r="4639" spans="1:12" x14ac:dyDescent="0.25">
      <c r="A4639" t="str">
        <f t="shared" si="1030"/>
        <v>89301000</v>
      </c>
      <c r="B4639" t="str">
        <f t="shared" si="1031"/>
        <v>78915000</v>
      </c>
      <c r="C4639" t="str">
        <f t="shared" si="1032"/>
        <v>78915001</v>
      </c>
      <c r="D4639" t="str">
        <f t="shared" si="1028"/>
        <v>809</v>
      </c>
      <c r="E4639" t="str">
        <f>"89301062"</f>
        <v>89301062</v>
      </c>
      <c r="F4639" t="str">
        <f>"7903175302"</f>
        <v>7903175302</v>
      </c>
      <c r="G4639" s="1">
        <v>44685</v>
      </c>
      <c r="H4639" t="str">
        <f>"89725"</f>
        <v>89725</v>
      </c>
      <c r="I4639">
        <v>1</v>
      </c>
      <c r="J4639">
        <v>2839</v>
      </c>
      <c r="K4639">
        <v>0</v>
      </c>
      <c r="L4639">
        <v>1703.4</v>
      </c>
    </row>
    <row r="4640" spans="1:12" x14ac:dyDescent="0.25">
      <c r="A4640" t="str">
        <f t="shared" si="1030"/>
        <v>89301000</v>
      </c>
      <c r="B4640" t="str">
        <f t="shared" si="1031"/>
        <v>78915000</v>
      </c>
      <c r="C4640" t="str">
        <f t="shared" si="1032"/>
        <v>78915001</v>
      </c>
      <c r="D4640" t="str">
        <f t="shared" si="1028"/>
        <v>809</v>
      </c>
      <c r="E4640" t="str">
        <f>"89301112"</f>
        <v>89301112</v>
      </c>
      <c r="F4640" t="str">
        <f>"8003205309"</f>
        <v>8003205309</v>
      </c>
      <c r="G4640" s="1">
        <v>44712</v>
      </c>
      <c r="H4640" t="str">
        <f>"09569"</f>
        <v>09569</v>
      </c>
      <c r="I4640">
        <v>1</v>
      </c>
      <c r="J4640">
        <v>0</v>
      </c>
      <c r="K4640">
        <v>0</v>
      </c>
      <c r="L4640">
        <v>0</v>
      </c>
    </row>
    <row r="4641" spans="1:12" x14ac:dyDescent="0.25">
      <c r="A4641" t="str">
        <f t="shared" si="1030"/>
        <v>89301000</v>
      </c>
      <c r="B4641" t="str">
        <f t="shared" si="1031"/>
        <v>78915000</v>
      </c>
      <c r="C4641" t="str">
        <f t="shared" si="1032"/>
        <v>78915001</v>
      </c>
      <c r="D4641" t="str">
        <f t="shared" ref="D4641:D4650" si="1033">"809"</f>
        <v>809</v>
      </c>
      <c r="E4641" t="str">
        <f>"89301112"</f>
        <v>89301112</v>
      </c>
      <c r="F4641" t="str">
        <f>"8003205309"</f>
        <v>8003205309</v>
      </c>
      <c r="G4641" s="1">
        <v>44712</v>
      </c>
      <c r="H4641" t="str">
        <f>"89713"</f>
        <v>89713</v>
      </c>
      <c r="I4641">
        <v>1</v>
      </c>
      <c r="J4641">
        <v>5362</v>
      </c>
      <c r="K4641">
        <v>0</v>
      </c>
      <c r="L4641">
        <v>3217.2</v>
      </c>
    </row>
    <row r="4642" spans="1:12" x14ac:dyDescent="0.25">
      <c r="A4642" t="str">
        <f t="shared" si="1030"/>
        <v>89301000</v>
      </c>
      <c r="B4642" t="str">
        <f t="shared" si="1031"/>
        <v>78915000</v>
      </c>
      <c r="C4642" t="str">
        <f t="shared" si="1032"/>
        <v>78915001</v>
      </c>
      <c r="D4642" t="str">
        <f t="shared" si="1033"/>
        <v>809</v>
      </c>
      <c r="E4642" t="str">
        <f>"89301607"</f>
        <v>89301607</v>
      </c>
      <c r="F4642" t="str">
        <f>"8406275306"</f>
        <v>8406275306</v>
      </c>
      <c r="G4642" s="1">
        <v>44706</v>
      </c>
      <c r="H4642" t="str">
        <f>"09569"</f>
        <v>09569</v>
      </c>
      <c r="I4642">
        <v>1</v>
      </c>
      <c r="J4642">
        <v>0</v>
      </c>
      <c r="K4642">
        <v>0</v>
      </c>
      <c r="L4642">
        <v>0</v>
      </c>
    </row>
    <row r="4643" spans="1:12" x14ac:dyDescent="0.25">
      <c r="A4643" t="str">
        <f t="shared" si="1030"/>
        <v>89301000</v>
      </c>
      <c r="B4643" t="str">
        <f t="shared" si="1031"/>
        <v>78915000</v>
      </c>
      <c r="C4643" t="str">
        <f t="shared" si="1032"/>
        <v>78915001</v>
      </c>
      <c r="D4643" t="str">
        <f t="shared" si="1033"/>
        <v>809</v>
      </c>
      <c r="E4643" t="str">
        <f>"89301607"</f>
        <v>89301607</v>
      </c>
      <c r="F4643" t="str">
        <f>"8406275306"</f>
        <v>8406275306</v>
      </c>
      <c r="G4643" s="1">
        <v>44706</v>
      </c>
      <c r="H4643" t="str">
        <f>"89713"</f>
        <v>89713</v>
      </c>
      <c r="I4643">
        <v>1</v>
      </c>
      <c r="J4643">
        <v>5362</v>
      </c>
      <c r="K4643">
        <v>0</v>
      </c>
      <c r="L4643">
        <v>3217.2</v>
      </c>
    </row>
    <row r="4644" spans="1:12" x14ac:dyDescent="0.25">
      <c r="A4644" t="str">
        <f t="shared" si="1030"/>
        <v>89301000</v>
      </c>
      <c r="B4644" t="str">
        <f t="shared" si="1031"/>
        <v>78915000</v>
      </c>
      <c r="C4644" t="str">
        <f t="shared" si="1032"/>
        <v>78915001</v>
      </c>
      <c r="D4644" t="str">
        <f t="shared" si="1033"/>
        <v>809</v>
      </c>
      <c r="E4644" t="str">
        <f>"89301312"</f>
        <v>89301312</v>
      </c>
      <c r="F4644" t="str">
        <f>"8407225310"</f>
        <v>8407225310</v>
      </c>
      <c r="G4644" s="1">
        <v>44701</v>
      </c>
      <c r="H4644" t="str">
        <f>"09569"</f>
        <v>09569</v>
      </c>
      <c r="I4644">
        <v>1</v>
      </c>
      <c r="J4644">
        <v>0</v>
      </c>
      <c r="K4644">
        <v>0</v>
      </c>
      <c r="L4644">
        <v>0</v>
      </c>
    </row>
    <row r="4645" spans="1:12" x14ac:dyDescent="0.25">
      <c r="A4645" t="str">
        <f t="shared" si="1030"/>
        <v>89301000</v>
      </c>
      <c r="B4645" t="str">
        <f t="shared" si="1031"/>
        <v>78915000</v>
      </c>
      <c r="C4645" t="str">
        <f t="shared" si="1032"/>
        <v>78915001</v>
      </c>
      <c r="D4645" t="str">
        <f t="shared" si="1033"/>
        <v>809</v>
      </c>
      <c r="E4645" t="str">
        <f>"89301312"</f>
        <v>89301312</v>
      </c>
      <c r="F4645" t="str">
        <f>"8407225310"</f>
        <v>8407225310</v>
      </c>
      <c r="G4645" s="1">
        <v>44701</v>
      </c>
      <c r="H4645" t="str">
        <f>"89713"</f>
        <v>89713</v>
      </c>
      <c r="I4645">
        <v>1</v>
      </c>
      <c r="J4645">
        <v>5362</v>
      </c>
      <c r="K4645">
        <v>0</v>
      </c>
      <c r="L4645">
        <v>3217.2</v>
      </c>
    </row>
    <row r="4646" spans="1:12" x14ac:dyDescent="0.25">
      <c r="A4646" t="str">
        <f t="shared" si="1030"/>
        <v>89301000</v>
      </c>
      <c r="B4646" t="str">
        <f t="shared" si="1031"/>
        <v>78915000</v>
      </c>
      <c r="C4646" t="str">
        <f t="shared" si="1032"/>
        <v>78915001</v>
      </c>
      <c r="D4646" t="str">
        <f t="shared" si="1033"/>
        <v>809</v>
      </c>
      <c r="E4646" t="str">
        <f>"89301112"</f>
        <v>89301112</v>
      </c>
      <c r="F4646" t="str">
        <f>"9708055951"</f>
        <v>9708055951</v>
      </c>
      <c r="G4646" s="1">
        <v>44687</v>
      </c>
      <c r="H4646" t="str">
        <f>"09567"</f>
        <v>09567</v>
      </c>
      <c r="I4646">
        <v>1</v>
      </c>
      <c r="J4646">
        <v>0</v>
      </c>
      <c r="K4646">
        <v>0</v>
      </c>
      <c r="L4646">
        <v>0</v>
      </c>
    </row>
    <row r="4647" spans="1:12" x14ac:dyDescent="0.25">
      <c r="A4647" t="str">
        <f t="shared" si="1030"/>
        <v>89301000</v>
      </c>
      <c r="B4647" t="str">
        <f t="shared" si="1031"/>
        <v>78915000</v>
      </c>
      <c r="C4647" t="str">
        <f t="shared" si="1032"/>
        <v>78915001</v>
      </c>
      <c r="D4647" t="str">
        <f t="shared" si="1033"/>
        <v>809</v>
      </c>
      <c r="E4647" t="str">
        <f>"89301112"</f>
        <v>89301112</v>
      </c>
      <c r="F4647" t="str">
        <f>"9708055951"</f>
        <v>9708055951</v>
      </c>
      <c r="G4647" s="1">
        <v>44687</v>
      </c>
      <c r="H4647" t="str">
        <f>"89713"</f>
        <v>89713</v>
      </c>
      <c r="I4647">
        <v>1</v>
      </c>
      <c r="J4647">
        <v>5362</v>
      </c>
      <c r="K4647">
        <v>0</v>
      </c>
      <c r="L4647">
        <v>3217.2</v>
      </c>
    </row>
    <row r="4648" spans="1:12" x14ac:dyDescent="0.25">
      <c r="A4648" t="str">
        <f t="shared" si="1030"/>
        <v>89301000</v>
      </c>
      <c r="B4648" t="str">
        <f t="shared" si="1031"/>
        <v>78915000</v>
      </c>
      <c r="C4648" t="str">
        <f t="shared" si="1032"/>
        <v>78915001</v>
      </c>
      <c r="D4648" t="str">
        <f t="shared" si="1033"/>
        <v>809</v>
      </c>
      <c r="E4648" t="str">
        <f>"89301112"</f>
        <v>89301112</v>
      </c>
      <c r="F4648" t="str">
        <f>"9805295720"</f>
        <v>9805295720</v>
      </c>
      <c r="G4648" s="1">
        <v>44683</v>
      </c>
      <c r="H4648" t="str">
        <f>"09567"</f>
        <v>09567</v>
      </c>
      <c r="I4648">
        <v>1</v>
      </c>
      <c r="J4648">
        <v>0</v>
      </c>
      <c r="K4648">
        <v>0</v>
      </c>
      <c r="L4648">
        <v>0</v>
      </c>
    </row>
    <row r="4649" spans="1:12" x14ac:dyDescent="0.25">
      <c r="A4649" t="str">
        <f t="shared" si="1030"/>
        <v>89301000</v>
      </c>
      <c r="B4649" t="str">
        <f t="shared" si="1031"/>
        <v>78915000</v>
      </c>
      <c r="C4649" t="str">
        <f t="shared" si="1032"/>
        <v>78915001</v>
      </c>
      <c r="D4649" t="str">
        <f t="shared" si="1033"/>
        <v>809</v>
      </c>
      <c r="E4649" t="str">
        <f>"89301112"</f>
        <v>89301112</v>
      </c>
      <c r="F4649" t="str">
        <f>"9805295720"</f>
        <v>9805295720</v>
      </c>
      <c r="G4649" s="1">
        <v>44683</v>
      </c>
      <c r="H4649" t="str">
        <f>"89713"</f>
        <v>89713</v>
      </c>
      <c r="I4649">
        <v>1</v>
      </c>
      <c r="J4649">
        <v>5362</v>
      </c>
      <c r="K4649">
        <v>0</v>
      </c>
      <c r="L4649">
        <v>3217.2</v>
      </c>
    </row>
    <row r="4650" spans="1:12" x14ac:dyDescent="0.25">
      <c r="A4650" t="str">
        <f t="shared" si="1030"/>
        <v>89301000</v>
      </c>
      <c r="B4650" t="str">
        <f t="shared" si="1031"/>
        <v>78915000</v>
      </c>
      <c r="C4650" t="str">
        <f t="shared" si="1032"/>
        <v>78915001</v>
      </c>
      <c r="D4650" t="str">
        <f t="shared" si="1033"/>
        <v>809</v>
      </c>
      <c r="E4650" t="str">
        <f>"89301606"</f>
        <v>89301606</v>
      </c>
      <c r="F4650" t="str">
        <f>"8156074476"</f>
        <v>8156074476</v>
      </c>
      <c r="G4650" s="1">
        <v>44652</v>
      </c>
      <c r="H4650" t="str">
        <f>"89713"</f>
        <v>89713</v>
      </c>
      <c r="I4650">
        <v>1</v>
      </c>
      <c r="J4650">
        <v>5362</v>
      </c>
      <c r="K4650">
        <v>0</v>
      </c>
      <c r="L4650">
        <v>3217.2</v>
      </c>
    </row>
    <row r="4651" spans="1:12" x14ac:dyDescent="0.25">
      <c r="A4651" t="str">
        <f t="shared" si="1030"/>
        <v>89301000</v>
      </c>
      <c r="B4651" t="str">
        <f t="shared" ref="B4651:B4656" si="1034">"91866000"</f>
        <v>91866000</v>
      </c>
      <c r="C4651" t="str">
        <f t="shared" ref="C4651:C4656" si="1035">"91866313"</f>
        <v>91866313</v>
      </c>
      <c r="D4651" t="str">
        <f t="shared" ref="D4651:D4656" si="1036">"802"</f>
        <v>802</v>
      </c>
      <c r="E4651" t="str">
        <f t="shared" ref="E4651:E4656" si="1037">"89301031"</f>
        <v>89301031</v>
      </c>
      <c r="F4651" t="str">
        <f>"430203403"</f>
        <v>430203403</v>
      </c>
      <c r="G4651" s="1">
        <v>44708</v>
      </c>
      <c r="H4651" t="str">
        <f>"82041"</f>
        <v>82041</v>
      </c>
      <c r="I4651">
        <v>1</v>
      </c>
      <c r="J4651">
        <v>1090</v>
      </c>
      <c r="K4651">
        <v>0</v>
      </c>
      <c r="L4651">
        <v>991.9</v>
      </c>
    </row>
    <row r="4652" spans="1:12" x14ac:dyDescent="0.25">
      <c r="A4652" t="str">
        <f t="shared" si="1030"/>
        <v>89301000</v>
      </c>
      <c r="B4652" t="str">
        <f t="shared" si="1034"/>
        <v>91866000</v>
      </c>
      <c r="C4652" t="str">
        <f t="shared" si="1035"/>
        <v>91866313</v>
      </c>
      <c r="D4652" t="str">
        <f t="shared" si="1036"/>
        <v>802</v>
      </c>
      <c r="E4652" t="str">
        <f t="shared" si="1037"/>
        <v>89301031</v>
      </c>
      <c r="F4652" t="str">
        <f>"430203403"</f>
        <v>430203403</v>
      </c>
      <c r="G4652" s="1">
        <v>44708</v>
      </c>
      <c r="H4652" t="str">
        <f>"82040"</f>
        <v>82040</v>
      </c>
      <c r="I4652">
        <v>1</v>
      </c>
      <c r="J4652">
        <v>927</v>
      </c>
      <c r="K4652">
        <v>0</v>
      </c>
      <c r="L4652">
        <v>843.57</v>
      </c>
    </row>
    <row r="4653" spans="1:12" x14ac:dyDescent="0.25">
      <c r="A4653" t="str">
        <f t="shared" si="1030"/>
        <v>89301000</v>
      </c>
      <c r="B4653" t="str">
        <f t="shared" si="1034"/>
        <v>91866000</v>
      </c>
      <c r="C4653" t="str">
        <f t="shared" si="1035"/>
        <v>91866313</v>
      </c>
      <c r="D4653" t="str">
        <f t="shared" si="1036"/>
        <v>802</v>
      </c>
      <c r="E4653" t="str">
        <f t="shared" si="1037"/>
        <v>89301031</v>
      </c>
      <c r="F4653" t="str">
        <f>"430203403"</f>
        <v>430203403</v>
      </c>
      <c r="G4653" s="1">
        <v>44706</v>
      </c>
      <c r="H4653" t="str">
        <f>"82079"</f>
        <v>82079</v>
      </c>
      <c r="I4653">
        <v>1</v>
      </c>
      <c r="J4653">
        <v>332</v>
      </c>
      <c r="K4653">
        <v>0</v>
      </c>
      <c r="L4653">
        <v>302.12</v>
      </c>
    </row>
    <row r="4654" spans="1:12" x14ac:dyDescent="0.25">
      <c r="A4654" t="str">
        <f t="shared" si="1030"/>
        <v>89301000</v>
      </c>
      <c r="B4654" t="str">
        <f t="shared" si="1034"/>
        <v>91866000</v>
      </c>
      <c r="C4654" t="str">
        <f t="shared" si="1035"/>
        <v>91866313</v>
      </c>
      <c r="D4654" t="str">
        <f t="shared" si="1036"/>
        <v>802</v>
      </c>
      <c r="E4654" t="str">
        <f t="shared" si="1037"/>
        <v>89301031</v>
      </c>
      <c r="F4654" t="str">
        <f>"430203403"</f>
        <v>430203403</v>
      </c>
      <c r="G4654" s="1">
        <v>44706</v>
      </c>
      <c r="H4654" t="str">
        <f>"82079"</f>
        <v>82079</v>
      </c>
      <c r="I4654">
        <v>1</v>
      </c>
      <c r="J4654">
        <v>332</v>
      </c>
      <c r="K4654">
        <v>0</v>
      </c>
      <c r="L4654">
        <v>302.12</v>
      </c>
    </row>
    <row r="4655" spans="1:12" x14ac:dyDescent="0.25">
      <c r="A4655" t="str">
        <f t="shared" si="1030"/>
        <v>89301000</v>
      </c>
      <c r="B4655" t="str">
        <f t="shared" si="1034"/>
        <v>91866000</v>
      </c>
      <c r="C4655" t="str">
        <f t="shared" si="1035"/>
        <v>91866313</v>
      </c>
      <c r="D4655" t="str">
        <f t="shared" si="1036"/>
        <v>802</v>
      </c>
      <c r="E4655" t="str">
        <f t="shared" si="1037"/>
        <v>89301031</v>
      </c>
      <c r="F4655" t="str">
        <f>"505316159"</f>
        <v>505316159</v>
      </c>
      <c r="G4655" s="1">
        <v>44706</v>
      </c>
      <c r="H4655" t="str">
        <f>"82034"</f>
        <v>82034</v>
      </c>
      <c r="I4655">
        <v>1</v>
      </c>
      <c r="J4655">
        <v>348</v>
      </c>
      <c r="K4655">
        <v>0</v>
      </c>
      <c r="L4655">
        <v>316.68</v>
      </c>
    </row>
    <row r="4656" spans="1:12" x14ac:dyDescent="0.25">
      <c r="A4656" t="str">
        <f t="shared" si="1030"/>
        <v>89301000</v>
      </c>
      <c r="B4656" t="str">
        <f t="shared" si="1034"/>
        <v>91866000</v>
      </c>
      <c r="C4656" t="str">
        <f t="shared" si="1035"/>
        <v>91866313</v>
      </c>
      <c r="D4656" t="str">
        <f t="shared" si="1036"/>
        <v>802</v>
      </c>
      <c r="E4656" t="str">
        <f t="shared" si="1037"/>
        <v>89301031</v>
      </c>
      <c r="F4656" t="str">
        <f>"505316159"</f>
        <v>505316159</v>
      </c>
      <c r="G4656" s="1">
        <v>44706</v>
      </c>
      <c r="H4656" t="str">
        <f>"82041"</f>
        <v>82041</v>
      </c>
      <c r="I4656">
        <v>1</v>
      </c>
      <c r="J4656">
        <v>1090</v>
      </c>
      <c r="K4656">
        <v>0</v>
      </c>
      <c r="L4656">
        <v>991.9</v>
      </c>
    </row>
    <row r="4657" spans="1:12" x14ac:dyDescent="0.25">
      <c r="A4657" t="str">
        <f t="shared" si="1030"/>
        <v>89301000</v>
      </c>
      <c r="B4657" t="str">
        <f t="shared" ref="B4657:C4659" si="1038">"92327000"</f>
        <v>92327000</v>
      </c>
      <c r="C4657" t="str">
        <f t="shared" si="1038"/>
        <v>92327000</v>
      </c>
      <c r="D4657" t="str">
        <f t="shared" ref="D4657:D4688" si="1039">"809"</f>
        <v>809</v>
      </c>
      <c r="E4657" t="str">
        <f>"89301212"</f>
        <v>89301212</v>
      </c>
      <c r="F4657" t="str">
        <f>"8654016151"</f>
        <v>8654016151</v>
      </c>
      <c r="G4657" s="1">
        <v>44693</v>
      </c>
      <c r="H4657" t="str">
        <f>"89513"</f>
        <v>89513</v>
      </c>
      <c r="I4657">
        <v>1</v>
      </c>
      <c r="J4657">
        <v>371</v>
      </c>
      <c r="K4657">
        <v>0</v>
      </c>
      <c r="L4657">
        <v>519.4</v>
      </c>
    </row>
    <row r="4658" spans="1:12" x14ac:dyDescent="0.25">
      <c r="A4658" t="str">
        <f t="shared" si="1030"/>
        <v>89301000</v>
      </c>
      <c r="B4658" t="str">
        <f t="shared" si="1038"/>
        <v>92327000</v>
      </c>
      <c r="C4658" t="str">
        <f t="shared" si="1038"/>
        <v>92327000</v>
      </c>
      <c r="D4658" t="str">
        <f t="shared" si="1039"/>
        <v>809</v>
      </c>
      <c r="E4658" t="str">
        <f>"89301212"</f>
        <v>89301212</v>
      </c>
      <c r="F4658" t="str">
        <f>"8654016151"</f>
        <v>8654016151</v>
      </c>
      <c r="G4658" s="1">
        <v>44693</v>
      </c>
      <c r="H4658" t="str">
        <f>"89514"</f>
        <v>89514</v>
      </c>
      <c r="I4658">
        <v>1</v>
      </c>
      <c r="J4658">
        <v>371</v>
      </c>
      <c r="K4658">
        <v>0</v>
      </c>
      <c r="L4658">
        <v>519.4</v>
      </c>
    </row>
    <row r="4659" spans="1:12" x14ac:dyDescent="0.25">
      <c r="A4659" t="str">
        <f t="shared" si="1030"/>
        <v>89301000</v>
      </c>
      <c r="B4659" t="str">
        <f t="shared" si="1038"/>
        <v>92327000</v>
      </c>
      <c r="C4659" t="str">
        <f t="shared" si="1038"/>
        <v>92327000</v>
      </c>
      <c r="D4659" t="str">
        <f t="shared" si="1039"/>
        <v>809</v>
      </c>
      <c r="E4659" t="str">
        <f>"89301212"</f>
        <v>89301212</v>
      </c>
      <c r="F4659" t="str">
        <f>"8654016151"</f>
        <v>8654016151</v>
      </c>
      <c r="G4659" s="1">
        <v>44693</v>
      </c>
      <c r="H4659" t="str">
        <f>"89515"</f>
        <v>89515</v>
      </c>
      <c r="I4659">
        <v>1</v>
      </c>
      <c r="J4659">
        <v>339</v>
      </c>
      <c r="K4659">
        <v>0</v>
      </c>
      <c r="L4659">
        <v>474.6</v>
      </c>
    </row>
    <row r="4660" spans="1:12" x14ac:dyDescent="0.25">
      <c r="A4660" t="str">
        <f t="shared" si="1030"/>
        <v>89301000</v>
      </c>
      <c r="B4660" t="str">
        <f>"75142000"</f>
        <v>75142000</v>
      </c>
      <c r="C4660" t="str">
        <f>"75142750"</f>
        <v>75142750</v>
      </c>
      <c r="D4660" t="str">
        <f t="shared" si="1039"/>
        <v>809</v>
      </c>
      <c r="E4660" t="str">
        <f>"89301212"</f>
        <v>89301212</v>
      </c>
      <c r="F4660" t="str">
        <f>"6906224292"</f>
        <v>6906224292</v>
      </c>
      <c r="G4660" s="1">
        <v>44712</v>
      </c>
      <c r="H4660" t="str">
        <f>"89312"</f>
        <v>89312</v>
      </c>
      <c r="I4660">
        <v>2</v>
      </c>
      <c r="J4660">
        <v>604</v>
      </c>
      <c r="K4660">
        <v>0</v>
      </c>
      <c r="L4660">
        <v>634.20000000000005</v>
      </c>
    </row>
    <row r="4661" spans="1:12" x14ac:dyDescent="0.25">
      <c r="A4661" t="str">
        <f t="shared" si="1030"/>
        <v>89301000</v>
      </c>
      <c r="B4661" t="str">
        <f>"14253000"</f>
        <v>14253000</v>
      </c>
      <c r="C4661" t="str">
        <f>"14253002"</f>
        <v>14253002</v>
      </c>
      <c r="D4661" t="str">
        <f t="shared" si="1039"/>
        <v>809</v>
      </c>
      <c r="E4661" t="str">
        <f>"89301212"</f>
        <v>89301212</v>
      </c>
      <c r="F4661" t="str">
        <f>"8653074925"</f>
        <v>8653074925</v>
      </c>
      <c r="G4661" s="1">
        <v>44693</v>
      </c>
      <c r="H4661" t="str">
        <f>"89512"</f>
        <v>89512</v>
      </c>
      <c r="I4661">
        <v>1</v>
      </c>
      <c r="J4661">
        <v>277</v>
      </c>
      <c r="K4661">
        <v>0</v>
      </c>
      <c r="L4661">
        <v>387.8</v>
      </c>
    </row>
    <row r="4662" spans="1:12" x14ac:dyDescent="0.25">
      <c r="A4662" t="str">
        <f t="shared" si="1030"/>
        <v>89301000</v>
      </c>
      <c r="B4662" t="str">
        <f t="shared" ref="B4662:C4681" si="1040">"89063000"</f>
        <v>89063000</v>
      </c>
      <c r="C4662" t="str">
        <f t="shared" si="1040"/>
        <v>89063000</v>
      </c>
      <c r="D4662" t="str">
        <f t="shared" si="1039"/>
        <v>809</v>
      </c>
      <c r="E4662" t="str">
        <f>"89301112"</f>
        <v>89301112</v>
      </c>
      <c r="F4662" t="str">
        <f>"451107410"</f>
        <v>451107410</v>
      </c>
      <c r="G4662" s="1">
        <v>44683</v>
      </c>
      <c r="H4662" t="str">
        <f t="shared" ref="H4662:H4693" si="1041">"89312"</f>
        <v>89312</v>
      </c>
      <c r="I4662">
        <v>3</v>
      </c>
      <c r="J4662">
        <v>906</v>
      </c>
      <c r="K4662">
        <v>0</v>
      </c>
      <c r="L4662">
        <v>951.3</v>
      </c>
    </row>
    <row r="4663" spans="1:12" x14ac:dyDescent="0.25">
      <c r="A4663" t="str">
        <f t="shared" si="1030"/>
        <v>89301000</v>
      </c>
      <c r="B4663" t="str">
        <f t="shared" si="1040"/>
        <v>89063000</v>
      </c>
      <c r="C4663" t="str">
        <f t="shared" si="1040"/>
        <v>89063000</v>
      </c>
      <c r="D4663" t="str">
        <f t="shared" si="1039"/>
        <v>809</v>
      </c>
      <c r="E4663" t="str">
        <f>"89301037"</f>
        <v>89301037</v>
      </c>
      <c r="F4663" t="str">
        <f>"6762040780"</f>
        <v>6762040780</v>
      </c>
      <c r="G4663" s="1">
        <v>44683</v>
      </c>
      <c r="H4663" t="str">
        <f t="shared" si="1041"/>
        <v>89312</v>
      </c>
      <c r="I4663">
        <v>3</v>
      </c>
      <c r="J4663">
        <v>906</v>
      </c>
      <c r="K4663">
        <v>0</v>
      </c>
      <c r="L4663">
        <v>951.3</v>
      </c>
    </row>
    <row r="4664" spans="1:12" x14ac:dyDescent="0.25">
      <c r="A4664" t="str">
        <f t="shared" si="1030"/>
        <v>89301000</v>
      </c>
      <c r="B4664" t="str">
        <f t="shared" si="1040"/>
        <v>89063000</v>
      </c>
      <c r="C4664" t="str">
        <f t="shared" si="1040"/>
        <v>89063000</v>
      </c>
      <c r="D4664" t="str">
        <f t="shared" si="1039"/>
        <v>809</v>
      </c>
      <c r="E4664" t="str">
        <f>"89301102"</f>
        <v>89301102</v>
      </c>
      <c r="F4664" t="str">
        <f>"0309264857"</f>
        <v>0309264857</v>
      </c>
      <c r="G4664" s="1">
        <v>44683</v>
      </c>
      <c r="H4664" t="str">
        <f t="shared" si="1041"/>
        <v>89312</v>
      </c>
      <c r="I4664">
        <v>1</v>
      </c>
      <c r="J4664">
        <v>302</v>
      </c>
      <c r="K4664">
        <v>0</v>
      </c>
      <c r="L4664">
        <v>317.10000000000002</v>
      </c>
    </row>
    <row r="4665" spans="1:12" x14ac:dyDescent="0.25">
      <c r="A4665" t="str">
        <f t="shared" si="1030"/>
        <v>89301000</v>
      </c>
      <c r="B4665" t="str">
        <f t="shared" si="1040"/>
        <v>89063000</v>
      </c>
      <c r="C4665" t="str">
        <f t="shared" si="1040"/>
        <v>89063000</v>
      </c>
      <c r="D4665" t="str">
        <f t="shared" si="1039"/>
        <v>809</v>
      </c>
      <c r="E4665" t="str">
        <f>"89301702"</f>
        <v>89301702</v>
      </c>
      <c r="F4665" t="str">
        <f>"0601136063"</f>
        <v>0601136063</v>
      </c>
      <c r="G4665" s="1">
        <v>44684</v>
      </c>
      <c r="H4665" t="str">
        <f t="shared" si="1041"/>
        <v>89312</v>
      </c>
      <c r="I4665">
        <v>1</v>
      </c>
      <c r="J4665">
        <v>302</v>
      </c>
      <c r="K4665">
        <v>0</v>
      </c>
      <c r="L4665">
        <v>317.10000000000002</v>
      </c>
    </row>
    <row r="4666" spans="1:12" x14ac:dyDescent="0.25">
      <c r="A4666" t="str">
        <f t="shared" si="1030"/>
        <v>89301000</v>
      </c>
      <c r="B4666" t="str">
        <f t="shared" si="1040"/>
        <v>89063000</v>
      </c>
      <c r="C4666" t="str">
        <f t="shared" si="1040"/>
        <v>89063000</v>
      </c>
      <c r="D4666" t="str">
        <f t="shared" si="1039"/>
        <v>809</v>
      </c>
      <c r="E4666" t="str">
        <f>"89301037"</f>
        <v>89301037</v>
      </c>
      <c r="F4666" t="str">
        <f>"6212040989"</f>
        <v>6212040989</v>
      </c>
      <c r="G4666" s="1">
        <v>44684</v>
      </c>
      <c r="H4666" t="str">
        <f t="shared" si="1041"/>
        <v>89312</v>
      </c>
      <c r="I4666">
        <v>3</v>
      </c>
      <c r="J4666">
        <v>906</v>
      </c>
      <c r="K4666">
        <v>0</v>
      </c>
      <c r="L4666">
        <v>951.3</v>
      </c>
    </row>
    <row r="4667" spans="1:12" x14ac:dyDescent="0.25">
      <c r="A4667" t="str">
        <f t="shared" si="1030"/>
        <v>89301000</v>
      </c>
      <c r="B4667" t="str">
        <f t="shared" si="1040"/>
        <v>89063000</v>
      </c>
      <c r="C4667" t="str">
        <f t="shared" si="1040"/>
        <v>89063000</v>
      </c>
      <c r="D4667" t="str">
        <f t="shared" si="1039"/>
        <v>809</v>
      </c>
      <c r="E4667" t="str">
        <f>"89301037"</f>
        <v>89301037</v>
      </c>
      <c r="F4667" t="str">
        <f>"515602047"</f>
        <v>515602047</v>
      </c>
      <c r="G4667" s="1">
        <v>44685</v>
      </c>
      <c r="H4667" t="str">
        <f t="shared" si="1041"/>
        <v>89312</v>
      </c>
      <c r="I4667">
        <v>3</v>
      </c>
      <c r="J4667">
        <v>906</v>
      </c>
      <c r="K4667">
        <v>0</v>
      </c>
      <c r="L4667">
        <v>951.3</v>
      </c>
    </row>
    <row r="4668" spans="1:12" x14ac:dyDescent="0.25">
      <c r="A4668" t="str">
        <f t="shared" si="1030"/>
        <v>89301000</v>
      </c>
      <c r="B4668" t="str">
        <f t="shared" si="1040"/>
        <v>89063000</v>
      </c>
      <c r="C4668" t="str">
        <f t="shared" si="1040"/>
        <v>89063000</v>
      </c>
      <c r="D4668" t="str">
        <f t="shared" si="1039"/>
        <v>809</v>
      </c>
      <c r="E4668" t="str">
        <f>"89301037"</f>
        <v>89301037</v>
      </c>
      <c r="F4668" t="str">
        <f>"485324429"</f>
        <v>485324429</v>
      </c>
      <c r="G4668" s="1">
        <v>44685</v>
      </c>
      <c r="H4668" t="str">
        <f t="shared" si="1041"/>
        <v>89312</v>
      </c>
      <c r="I4668">
        <v>3</v>
      </c>
      <c r="J4668">
        <v>906</v>
      </c>
      <c r="K4668">
        <v>0</v>
      </c>
      <c r="L4668">
        <v>951.3</v>
      </c>
    </row>
    <row r="4669" spans="1:12" x14ac:dyDescent="0.25">
      <c r="A4669" t="str">
        <f t="shared" si="1030"/>
        <v>89301000</v>
      </c>
      <c r="B4669" t="str">
        <f t="shared" si="1040"/>
        <v>89063000</v>
      </c>
      <c r="C4669" t="str">
        <f t="shared" si="1040"/>
        <v>89063000</v>
      </c>
      <c r="D4669" t="str">
        <f t="shared" si="1039"/>
        <v>809</v>
      </c>
      <c r="E4669" t="str">
        <f>"89301037"</f>
        <v>89301037</v>
      </c>
      <c r="F4669" t="str">
        <f>"6861160625"</f>
        <v>6861160625</v>
      </c>
      <c r="G4669" s="1">
        <v>44686</v>
      </c>
      <c r="H4669" t="str">
        <f t="shared" si="1041"/>
        <v>89312</v>
      </c>
      <c r="I4669">
        <v>3</v>
      </c>
      <c r="J4669">
        <v>906</v>
      </c>
      <c r="K4669">
        <v>0</v>
      </c>
      <c r="L4669">
        <v>951.3</v>
      </c>
    </row>
    <row r="4670" spans="1:12" x14ac:dyDescent="0.25">
      <c r="A4670" t="str">
        <f t="shared" si="1030"/>
        <v>89301000</v>
      </c>
      <c r="B4670" t="str">
        <f t="shared" si="1040"/>
        <v>89063000</v>
      </c>
      <c r="C4670" t="str">
        <f t="shared" si="1040"/>
        <v>89063000</v>
      </c>
      <c r="D4670" t="str">
        <f t="shared" si="1039"/>
        <v>809</v>
      </c>
      <c r="E4670" t="str">
        <f>"89301037"</f>
        <v>89301037</v>
      </c>
      <c r="F4670" t="str">
        <f>"7559055878"</f>
        <v>7559055878</v>
      </c>
      <c r="G4670" s="1">
        <v>44686</v>
      </c>
      <c r="H4670" t="str">
        <f t="shared" si="1041"/>
        <v>89312</v>
      </c>
      <c r="I4670">
        <v>3</v>
      </c>
      <c r="J4670">
        <v>906</v>
      </c>
      <c r="K4670">
        <v>0</v>
      </c>
      <c r="L4670">
        <v>951.3</v>
      </c>
    </row>
    <row r="4671" spans="1:12" x14ac:dyDescent="0.25">
      <c r="A4671" t="str">
        <f t="shared" si="1030"/>
        <v>89301000</v>
      </c>
      <c r="B4671" t="str">
        <f t="shared" si="1040"/>
        <v>89063000</v>
      </c>
      <c r="C4671" t="str">
        <f t="shared" si="1040"/>
        <v>89063000</v>
      </c>
      <c r="D4671" t="str">
        <f t="shared" si="1039"/>
        <v>809</v>
      </c>
      <c r="E4671" t="str">
        <f>"89301162"</f>
        <v>89301162</v>
      </c>
      <c r="F4671" t="str">
        <f>"8602136136"</f>
        <v>8602136136</v>
      </c>
      <c r="G4671" s="1">
        <v>44687</v>
      </c>
      <c r="H4671" t="str">
        <f t="shared" si="1041"/>
        <v>89312</v>
      </c>
      <c r="I4671">
        <v>3</v>
      </c>
      <c r="J4671">
        <v>906</v>
      </c>
      <c r="K4671">
        <v>0</v>
      </c>
      <c r="L4671">
        <v>951.3</v>
      </c>
    </row>
    <row r="4672" spans="1:12" x14ac:dyDescent="0.25">
      <c r="A4672" t="str">
        <f t="shared" si="1030"/>
        <v>89301000</v>
      </c>
      <c r="B4672" t="str">
        <f t="shared" si="1040"/>
        <v>89063000</v>
      </c>
      <c r="C4672" t="str">
        <f t="shared" si="1040"/>
        <v>89063000</v>
      </c>
      <c r="D4672" t="str">
        <f t="shared" si="1039"/>
        <v>809</v>
      </c>
      <c r="E4672" t="str">
        <f>"89301039"</f>
        <v>89301039</v>
      </c>
      <c r="F4672" t="str">
        <f>"5452051352"</f>
        <v>5452051352</v>
      </c>
      <c r="G4672" s="1">
        <v>44687</v>
      </c>
      <c r="H4672" t="str">
        <f t="shared" si="1041"/>
        <v>89312</v>
      </c>
      <c r="I4672">
        <v>3</v>
      </c>
      <c r="J4672">
        <v>906</v>
      </c>
      <c r="K4672">
        <v>0</v>
      </c>
      <c r="L4672">
        <v>951.3</v>
      </c>
    </row>
    <row r="4673" spans="1:12" x14ac:dyDescent="0.25">
      <c r="A4673" t="str">
        <f t="shared" si="1030"/>
        <v>89301000</v>
      </c>
      <c r="B4673" t="str">
        <f t="shared" si="1040"/>
        <v>89063000</v>
      </c>
      <c r="C4673" t="str">
        <f t="shared" si="1040"/>
        <v>89063000</v>
      </c>
      <c r="D4673" t="str">
        <f t="shared" si="1039"/>
        <v>809</v>
      </c>
      <c r="E4673" t="str">
        <f>"89301702"</f>
        <v>89301702</v>
      </c>
      <c r="F4673" t="str">
        <f>"1251241156"</f>
        <v>1251241156</v>
      </c>
      <c r="G4673" s="1">
        <v>44687</v>
      </c>
      <c r="H4673" t="str">
        <f t="shared" si="1041"/>
        <v>89312</v>
      </c>
      <c r="I4673">
        <v>1</v>
      </c>
      <c r="J4673">
        <v>302</v>
      </c>
      <c r="K4673">
        <v>0</v>
      </c>
      <c r="L4673">
        <v>317.10000000000002</v>
      </c>
    </row>
    <row r="4674" spans="1:12" x14ac:dyDescent="0.25">
      <c r="A4674" t="str">
        <f t="shared" ref="A4674:A4737" si="1042">"89301000"</f>
        <v>89301000</v>
      </c>
      <c r="B4674" t="str">
        <f t="shared" si="1040"/>
        <v>89063000</v>
      </c>
      <c r="C4674" t="str">
        <f t="shared" si="1040"/>
        <v>89063000</v>
      </c>
      <c r="D4674" t="str">
        <f t="shared" si="1039"/>
        <v>809</v>
      </c>
      <c r="E4674" t="str">
        <f t="shared" ref="E4674:E4679" si="1043">"89301037"</f>
        <v>89301037</v>
      </c>
      <c r="F4674" t="str">
        <f>"5654200354"</f>
        <v>5654200354</v>
      </c>
      <c r="G4674" s="1">
        <v>44690</v>
      </c>
      <c r="H4674" t="str">
        <f t="shared" si="1041"/>
        <v>89312</v>
      </c>
      <c r="I4674">
        <v>3</v>
      </c>
      <c r="J4674">
        <v>906</v>
      </c>
      <c r="K4674">
        <v>0</v>
      </c>
      <c r="L4674">
        <v>951.3</v>
      </c>
    </row>
    <row r="4675" spans="1:12" x14ac:dyDescent="0.25">
      <c r="A4675" t="str">
        <f t="shared" si="1042"/>
        <v>89301000</v>
      </c>
      <c r="B4675" t="str">
        <f t="shared" si="1040"/>
        <v>89063000</v>
      </c>
      <c r="C4675" t="str">
        <f t="shared" si="1040"/>
        <v>89063000</v>
      </c>
      <c r="D4675" t="str">
        <f t="shared" si="1039"/>
        <v>809</v>
      </c>
      <c r="E4675" t="str">
        <f t="shared" si="1043"/>
        <v>89301037</v>
      </c>
      <c r="F4675" t="str">
        <f>"9259145951"</f>
        <v>9259145951</v>
      </c>
      <c r="G4675" s="1">
        <v>44690</v>
      </c>
      <c r="H4675" t="str">
        <f t="shared" si="1041"/>
        <v>89312</v>
      </c>
      <c r="I4675">
        <v>3</v>
      </c>
      <c r="J4675">
        <v>906</v>
      </c>
      <c r="K4675">
        <v>0</v>
      </c>
      <c r="L4675">
        <v>951.3</v>
      </c>
    </row>
    <row r="4676" spans="1:12" x14ac:dyDescent="0.25">
      <c r="A4676" t="str">
        <f t="shared" si="1042"/>
        <v>89301000</v>
      </c>
      <c r="B4676" t="str">
        <f t="shared" si="1040"/>
        <v>89063000</v>
      </c>
      <c r="C4676" t="str">
        <f t="shared" si="1040"/>
        <v>89063000</v>
      </c>
      <c r="D4676" t="str">
        <f t="shared" si="1039"/>
        <v>809</v>
      </c>
      <c r="E4676" t="str">
        <f t="shared" si="1043"/>
        <v>89301037</v>
      </c>
      <c r="F4676" t="str">
        <f>"5553222213"</f>
        <v>5553222213</v>
      </c>
      <c r="G4676" s="1">
        <v>44690</v>
      </c>
      <c r="H4676" t="str">
        <f t="shared" si="1041"/>
        <v>89312</v>
      </c>
      <c r="I4676">
        <v>3</v>
      </c>
      <c r="J4676">
        <v>906</v>
      </c>
      <c r="K4676">
        <v>0</v>
      </c>
      <c r="L4676">
        <v>951.3</v>
      </c>
    </row>
    <row r="4677" spans="1:12" x14ac:dyDescent="0.25">
      <c r="A4677" t="str">
        <f t="shared" si="1042"/>
        <v>89301000</v>
      </c>
      <c r="B4677" t="str">
        <f t="shared" si="1040"/>
        <v>89063000</v>
      </c>
      <c r="C4677" t="str">
        <f t="shared" si="1040"/>
        <v>89063000</v>
      </c>
      <c r="D4677" t="str">
        <f t="shared" si="1039"/>
        <v>809</v>
      </c>
      <c r="E4677" t="str">
        <f t="shared" si="1043"/>
        <v>89301037</v>
      </c>
      <c r="F4677" t="str">
        <f>"375801410"</f>
        <v>375801410</v>
      </c>
      <c r="G4677" s="1">
        <v>44691</v>
      </c>
      <c r="H4677" t="str">
        <f t="shared" si="1041"/>
        <v>89312</v>
      </c>
      <c r="I4677">
        <v>3</v>
      </c>
      <c r="J4677">
        <v>906</v>
      </c>
      <c r="K4677">
        <v>0</v>
      </c>
      <c r="L4677">
        <v>951.3</v>
      </c>
    </row>
    <row r="4678" spans="1:12" x14ac:dyDescent="0.25">
      <c r="A4678" t="str">
        <f t="shared" si="1042"/>
        <v>89301000</v>
      </c>
      <c r="B4678" t="str">
        <f t="shared" si="1040"/>
        <v>89063000</v>
      </c>
      <c r="C4678" t="str">
        <f t="shared" si="1040"/>
        <v>89063000</v>
      </c>
      <c r="D4678" t="str">
        <f t="shared" si="1039"/>
        <v>809</v>
      </c>
      <c r="E4678" t="str">
        <f t="shared" si="1043"/>
        <v>89301037</v>
      </c>
      <c r="F4678" t="str">
        <f>"5956090965"</f>
        <v>5956090965</v>
      </c>
      <c r="G4678" s="1">
        <v>44691</v>
      </c>
      <c r="H4678" t="str">
        <f t="shared" si="1041"/>
        <v>89312</v>
      </c>
      <c r="I4678">
        <v>3</v>
      </c>
      <c r="J4678">
        <v>906</v>
      </c>
      <c r="K4678">
        <v>0</v>
      </c>
      <c r="L4678">
        <v>951.3</v>
      </c>
    </row>
    <row r="4679" spans="1:12" x14ac:dyDescent="0.25">
      <c r="A4679" t="str">
        <f t="shared" si="1042"/>
        <v>89301000</v>
      </c>
      <c r="B4679" t="str">
        <f t="shared" si="1040"/>
        <v>89063000</v>
      </c>
      <c r="C4679" t="str">
        <f t="shared" si="1040"/>
        <v>89063000</v>
      </c>
      <c r="D4679" t="str">
        <f t="shared" si="1039"/>
        <v>809</v>
      </c>
      <c r="E4679" t="str">
        <f t="shared" si="1043"/>
        <v>89301037</v>
      </c>
      <c r="F4679" t="str">
        <f>"535527249"</f>
        <v>535527249</v>
      </c>
      <c r="G4679" s="1">
        <v>44691</v>
      </c>
      <c r="H4679" t="str">
        <f t="shared" si="1041"/>
        <v>89312</v>
      </c>
      <c r="I4679">
        <v>3</v>
      </c>
      <c r="J4679">
        <v>906</v>
      </c>
      <c r="K4679">
        <v>0</v>
      </c>
      <c r="L4679">
        <v>951.3</v>
      </c>
    </row>
    <row r="4680" spans="1:12" x14ac:dyDescent="0.25">
      <c r="A4680" t="str">
        <f t="shared" si="1042"/>
        <v>89301000</v>
      </c>
      <c r="B4680" t="str">
        <f t="shared" si="1040"/>
        <v>89063000</v>
      </c>
      <c r="C4680" t="str">
        <f t="shared" si="1040"/>
        <v>89063000</v>
      </c>
      <c r="D4680" t="str">
        <f t="shared" si="1039"/>
        <v>809</v>
      </c>
      <c r="E4680" t="str">
        <f>"89301022"</f>
        <v>89301022</v>
      </c>
      <c r="F4680" t="str">
        <f>"6653012421"</f>
        <v>6653012421</v>
      </c>
      <c r="G4680" s="1">
        <v>44691</v>
      </c>
      <c r="H4680" t="str">
        <f t="shared" si="1041"/>
        <v>89312</v>
      </c>
      <c r="I4680">
        <v>3</v>
      </c>
      <c r="J4680">
        <v>906</v>
      </c>
      <c r="K4680">
        <v>0</v>
      </c>
      <c r="L4680">
        <v>951.3</v>
      </c>
    </row>
    <row r="4681" spans="1:12" x14ac:dyDescent="0.25">
      <c r="A4681" t="str">
        <f t="shared" si="1042"/>
        <v>89301000</v>
      </c>
      <c r="B4681" t="str">
        <f t="shared" si="1040"/>
        <v>89063000</v>
      </c>
      <c r="C4681" t="str">
        <f t="shared" si="1040"/>
        <v>89063000</v>
      </c>
      <c r="D4681" t="str">
        <f t="shared" si="1039"/>
        <v>809</v>
      </c>
      <c r="E4681" t="str">
        <f>"89301036"</f>
        <v>89301036</v>
      </c>
      <c r="F4681" t="str">
        <f>"8202065311"</f>
        <v>8202065311</v>
      </c>
      <c r="G4681" s="1">
        <v>44691</v>
      </c>
      <c r="H4681" t="str">
        <f t="shared" si="1041"/>
        <v>89312</v>
      </c>
      <c r="I4681">
        <v>3</v>
      </c>
      <c r="J4681">
        <v>906</v>
      </c>
      <c r="K4681">
        <v>0</v>
      </c>
      <c r="L4681">
        <v>951.3</v>
      </c>
    </row>
    <row r="4682" spans="1:12" x14ac:dyDescent="0.25">
      <c r="A4682" t="str">
        <f t="shared" si="1042"/>
        <v>89301000</v>
      </c>
      <c r="B4682" t="str">
        <f t="shared" ref="B4682:C4701" si="1044">"89063000"</f>
        <v>89063000</v>
      </c>
      <c r="C4682" t="str">
        <f t="shared" si="1044"/>
        <v>89063000</v>
      </c>
      <c r="D4682" t="str">
        <f t="shared" si="1039"/>
        <v>809</v>
      </c>
      <c r="E4682" t="str">
        <f>"89301037"</f>
        <v>89301037</v>
      </c>
      <c r="F4682" t="str">
        <f>"7360145309"</f>
        <v>7360145309</v>
      </c>
      <c r="G4682" s="1">
        <v>44692</v>
      </c>
      <c r="H4682" t="str">
        <f t="shared" si="1041"/>
        <v>89312</v>
      </c>
      <c r="I4682">
        <v>3</v>
      </c>
      <c r="J4682">
        <v>906</v>
      </c>
      <c r="K4682">
        <v>0</v>
      </c>
      <c r="L4682">
        <v>951.3</v>
      </c>
    </row>
    <row r="4683" spans="1:12" x14ac:dyDescent="0.25">
      <c r="A4683" t="str">
        <f t="shared" si="1042"/>
        <v>89301000</v>
      </c>
      <c r="B4683" t="str">
        <f t="shared" si="1044"/>
        <v>89063000</v>
      </c>
      <c r="C4683" t="str">
        <f t="shared" si="1044"/>
        <v>89063000</v>
      </c>
      <c r="D4683" t="str">
        <f t="shared" si="1039"/>
        <v>809</v>
      </c>
      <c r="E4683" t="str">
        <f>"89301037"</f>
        <v>89301037</v>
      </c>
      <c r="F4683" t="str">
        <f>"6661291472"</f>
        <v>6661291472</v>
      </c>
      <c r="G4683" s="1">
        <v>44692</v>
      </c>
      <c r="H4683" t="str">
        <f t="shared" si="1041"/>
        <v>89312</v>
      </c>
      <c r="I4683">
        <v>3</v>
      </c>
      <c r="J4683">
        <v>906</v>
      </c>
      <c r="K4683">
        <v>0</v>
      </c>
      <c r="L4683">
        <v>951.3</v>
      </c>
    </row>
    <row r="4684" spans="1:12" x14ac:dyDescent="0.25">
      <c r="A4684" t="str">
        <f t="shared" si="1042"/>
        <v>89301000</v>
      </c>
      <c r="B4684" t="str">
        <f t="shared" si="1044"/>
        <v>89063000</v>
      </c>
      <c r="C4684" t="str">
        <f t="shared" si="1044"/>
        <v>89063000</v>
      </c>
      <c r="D4684" t="str">
        <f t="shared" si="1039"/>
        <v>809</v>
      </c>
      <c r="E4684" t="str">
        <f>"89301037"</f>
        <v>89301037</v>
      </c>
      <c r="F4684" t="str">
        <f>"7802125342"</f>
        <v>7802125342</v>
      </c>
      <c r="G4684" s="1">
        <v>44693</v>
      </c>
      <c r="H4684" t="str">
        <f t="shared" si="1041"/>
        <v>89312</v>
      </c>
      <c r="I4684">
        <v>3</v>
      </c>
      <c r="J4684">
        <v>906</v>
      </c>
      <c r="K4684">
        <v>0</v>
      </c>
      <c r="L4684">
        <v>951.3</v>
      </c>
    </row>
    <row r="4685" spans="1:12" x14ac:dyDescent="0.25">
      <c r="A4685" t="str">
        <f t="shared" si="1042"/>
        <v>89301000</v>
      </c>
      <c r="B4685" t="str">
        <f t="shared" si="1044"/>
        <v>89063000</v>
      </c>
      <c r="C4685" t="str">
        <f t="shared" si="1044"/>
        <v>89063000</v>
      </c>
      <c r="D4685" t="str">
        <f t="shared" si="1039"/>
        <v>809</v>
      </c>
      <c r="E4685" t="str">
        <f>"89301037"</f>
        <v>89301037</v>
      </c>
      <c r="F4685" t="str">
        <f>"6362031060"</f>
        <v>6362031060</v>
      </c>
      <c r="G4685" s="1">
        <v>44693</v>
      </c>
      <c r="H4685" t="str">
        <f t="shared" si="1041"/>
        <v>89312</v>
      </c>
      <c r="I4685">
        <v>3</v>
      </c>
      <c r="J4685">
        <v>906</v>
      </c>
      <c r="K4685">
        <v>0</v>
      </c>
      <c r="L4685">
        <v>951.3</v>
      </c>
    </row>
    <row r="4686" spans="1:12" x14ac:dyDescent="0.25">
      <c r="A4686" t="str">
        <f t="shared" si="1042"/>
        <v>89301000</v>
      </c>
      <c r="B4686" t="str">
        <f t="shared" si="1044"/>
        <v>89063000</v>
      </c>
      <c r="C4686" t="str">
        <f t="shared" si="1044"/>
        <v>89063000</v>
      </c>
      <c r="D4686" t="str">
        <f t="shared" si="1039"/>
        <v>809</v>
      </c>
      <c r="E4686" t="str">
        <f>"89301037"</f>
        <v>89301037</v>
      </c>
      <c r="F4686" t="str">
        <f>"536226250"</f>
        <v>536226250</v>
      </c>
      <c r="G4686" s="1">
        <v>44693</v>
      </c>
      <c r="H4686" t="str">
        <f t="shared" si="1041"/>
        <v>89312</v>
      </c>
      <c r="I4686">
        <v>3</v>
      </c>
      <c r="J4686">
        <v>906</v>
      </c>
      <c r="K4686">
        <v>0</v>
      </c>
      <c r="L4686">
        <v>951.3</v>
      </c>
    </row>
    <row r="4687" spans="1:12" x14ac:dyDescent="0.25">
      <c r="A4687" t="str">
        <f t="shared" si="1042"/>
        <v>89301000</v>
      </c>
      <c r="B4687" t="str">
        <f t="shared" si="1044"/>
        <v>89063000</v>
      </c>
      <c r="C4687" t="str">
        <f t="shared" si="1044"/>
        <v>89063000</v>
      </c>
      <c r="D4687" t="str">
        <f t="shared" si="1039"/>
        <v>809</v>
      </c>
      <c r="E4687" t="str">
        <f>"89301215"</f>
        <v>89301215</v>
      </c>
      <c r="F4687" t="str">
        <f>"5662060261"</f>
        <v>5662060261</v>
      </c>
      <c r="G4687" s="1">
        <v>44693</v>
      </c>
      <c r="H4687" t="str">
        <f t="shared" si="1041"/>
        <v>89312</v>
      </c>
      <c r="I4687">
        <v>3</v>
      </c>
      <c r="J4687">
        <v>906</v>
      </c>
      <c r="K4687">
        <v>0</v>
      </c>
      <c r="L4687">
        <v>951.3</v>
      </c>
    </row>
    <row r="4688" spans="1:12" x14ac:dyDescent="0.25">
      <c r="A4688" t="str">
        <f t="shared" si="1042"/>
        <v>89301000</v>
      </c>
      <c r="B4688" t="str">
        <f t="shared" si="1044"/>
        <v>89063000</v>
      </c>
      <c r="C4688" t="str">
        <f t="shared" si="1044"/>
        <v>89063000</v>
      </c>
      <c r="D4688" t="str">
        <f t="shared" si="1039"/>
        <v>809</v>
      </c>
      <c r="E4688" t="str">
        <f>"89301037"</f>
        <v>89301037</v>
      </c>
      <c r="F4688" t="str">
        <f>"6103071007"</f>
        <v>6103071007</v>
      </c>
      <c r="G4688" s="1">
        <v>44694</v>
      </c>
      <c r="H4688" t="str">
        <f t="shared" si="1041"/>
        <v>89312</v>
      </c>
      <c r="I4688">
        <v>3</v>
      </c>
      <c r="J4688">
        <v>906</v>
      </c>
      <c r="K4688">
        <v>0</v>
      </c>
      <c r="L4688">
        <v>951.3</v>
      </c>
    </row>
    <row r="4689" spans="1:12" x14ac:dyDescent="0.25">
      <c r="A4689" t="str">
        <f t="shared" si="1042"/>
        <v>89301000</v>
      </c>
      <c r="B4689" t="str">
        <f t="shared" si="1044"/>
        <v>89063000</v>
      </c>
      <c r="C4689" t="str">
        <f t="shared" si="1044"/>
        <v>89063000</v>
      </c>
      <c r="D4689" t="str">
        <f t="shared" ref="D4689:D4715" si="1045">"809"</f>
        <v>809</v>
      </c>
      <c r="E4689" t="str">
        <f>"89301037"</f>
        <v>89301037</v>
      </c>
      <c r="F4689" t="str">
        <f>"525402154"</f>
        <v>525402154</v>
      </c>
      <c r="G4689" s="1">
        <v>44694</v>
      </c>
      <c r="H4689" t="str">
        <f t="shared" si="1041"/>
        <v>89312</v>
      </c>
      <c r="I4689">
        <v>3</v>
      </c>
      <c r="J4689">
        <v>906</v>
      </c>
      <c r="K4689">
        <v>0</v>
      </c>
      <c r="L4689">
        <v>951.3</v>
      </c>
    </row>
    <row r="4690" spans="1:12" x14ac:dyDescent="0.25">
      <c r="A4690" t="str">
        <f t="shared" si="1042"/>
        <v>89301000</v>
      </c>
      <c r="B4690" t="str">
        <f t="shared" si="1044"/>
        <v>89063000</v>
      </c>
      <c r="C4690" t="str">
        <f t="shared" si="1044"/>
        <v>89063000</v>
      </c>
      <c r="D4690" t="str">
        <f t="shared" si="1045"/>
        <v>809</v>
      </c>
      <c r="E4690" t="str">
        <f>"89301336"</f>
        <v>89301336</v>
      </c>
      <c r="F4690" t="str">
        <f>"7502075361"</f>
        <v>7502075361</v>
      </c>
      <c r="G4690" s="1">
        <v>44694</v>
      </c>
      <c r="H4690" t="str">
        <f t="shared" si="1041"/>
        <v>89312</v>
      </c>
      <c r="I4690">
        <v>3</v>
      </c>
      <c r="J4690">
        <v>906</v>
      </c>
      <c r="K4690">
        <v>0</v>
      </c>
      <c r="L4690">
        <v>951.3</v>
      </c>
    </row>
    <row r="4691" spans="1:12" x14ac:dyDescent="0.25">
      <c r="A4691" t="str">
        <f t="shared" si="1042"/>
        <v>89301000</v>
      </c>
      <c r="B4691" t="str">
        <f t="shared" si="1044"/>
        <v>89063000</v>
      </c>
      <c r="C4691" t="str">
        <f t="shared" si="1044"/>
        <v>89063000</v>
      </c>
      <c r="D4691" t="str">
        <f t="shared" si="1045"/>
        <v>809</v>
      </c>
      <c r="E4691" t="str">
        <f>"89301037"</f>
        <v>89301037</v>
      </c>
      <c r="F4691" t="str">
        <f>"495502021"</f>
        <v>495502021</v>
      </c>
      <c r="G4691" s="1">
        <v>44697</v>
      </c>
      <c r="H4691" t="str">
        <f t="shared" si="1041"/>
        <v>89312</v>
      </c>
      <c r="I4691">
        <v>3</v>
      </c>
      <c r="J4691">
        <v>906</v>
      </c>
      <c r="K4691">
        <v>0</v>
      </c>
      <c r="L4691">
        <v>951.3</v>
      </c>
    </row>
    <row r="4692" spans="1:12" x14ac:dyDescent="0.25">
      <c r="A4692" t="str">
        <f t="shared" si="1042"/>
        <v>89301000</v>
      </c>
      <c r="B4692" t="str">
        <f t="shared" si="1044"/>
        <v>89063000</v>
      </c>
      <c r="C4692" t="str">
        <f t="shared" si="1044"/>
        <v>89063000</v>
      </c>
      <c r="D4692" t="str">
        <f t="shared" si="1045"/>
        <v>809</v>
      </c>
      <c r="E4692" t="str">
        <f>"89301037"</f>
        <v>89301037</v>
      </c>
      <c r="F4692" t="str">
        <f>"465716438"</f>
        <v>465716438</v>
      </c>
      <c r="G4692" s="1">
        <v>44697</v>
      </c>
      <c r="H4692" t="str">
        <f t="shared" si="1041"/>
        <v>89312</v>
      </c>
      <c r="I4692">
        <v>3</v>
      </c>
      <c r="J4692">
        <v>906</v>
      </c>
      <c r="K4692">
        <v>0</v>
      </c>
      <c r="L4692">
        <v>951.3</v>
      </c>
    </row>
    <row r="4693" spans="1:12" x14ac:dyDescent="0.25">
      <c r="A4693" t="str">
        <f t="shared" si="1042"/>
        <v>89301000</v>
      </c>
      <c r="B4693" t="str">
        <f t="shared" si="1044"/>
        <v>89063000</v>
      </c>
      <c r="C4693" t="str">
        <f t="shared" si="1044"/>
        <v>89063000</v>
      </c>
      <c r="D4693" t="str">
        <f t="shared" si="1045"/>
        <v>809</v>
      </c>
      <c r="E4693" t="str">
        <f>"89301162"</f>
        <v>89301162</v>
      </c>
      <c r="F4693" t="str">
        <f>"5655121252"</f>
        <v>5655121252</v>
      </c>
      <c r="G4693" s="1">
        <v>44698</v>
      </c>
      <c r="H4693" t="str">
        <f t="shared" si="1041"/>
        <v>89312</v>
      </c>
      <c r="I4693">
        <v>3</v>
      </c>
      <c r="J4693">
        <v>906</v>
      </c>
      <c r="K4693">
        <v>0</v>
      </c>
      <c r="L4693">
        <v>951.3</v>
      </c>
    </row>
    <row r="4694" spans="1:12" x14ac:dyDescent="0.25">
      <c r="A4694" t="str">
        <f t="shared" si="1042"/>
        <v>89301000</v>
      </c>
      <c r="B4694" t="str">
        <f t="shared" si="1044"/>
        <v>89063000</v>
      </c>
      <c r="C4694" t="str">
        <f t="shared" si="1044"/>
        <v>89063000</v>
      </c>
      <c r="D4694" t="str">
        <f t="shared" si="1045"/>
        <v>809</v>
      </c>
      <c r="E4694" t="str">
        <f>"89301037"</f>
        <v>89301037</v>
      </c>
      <c r="F4694" t="str">
        <f>"385101463"</f>
        <v>385101463</v>
      </c>
      <c r="G4694" s="1">
        <v>44698</v>
      </c>
      <c r="H4694" t="str">
        <f t="shared" ref="H4694:H4713" si="1046">"89312"</f>
        <v>89312</v>
      </c>
      <c r="I4694">
        <v>3</v>
      </c>
      <c r="J4694">
        <v>906</v>
      </c>
      <c r="K4694">
        <v>0</v>
      </c>
      <c r="L4694">
        <v>951.3</v>
      </c>
    </row>
    <row r="4695" spans="1:12" x14ac:dyDescent="0.25">
      <c r="A4695" t="str">
        <f t="shared" si="1042"/>
        <v>89301000</v>
      </c>
      <c r="B4695" t="str">
        <f t="shared" si="1044"/>
        <v>89063000</v>
      </c>
      <c r="C4695" t="str">
        <f t="shared" si="1044"/>
        <v>89063000</v>
      </c>
      <c r="D4695" t="str">
        <f t="shared" si="1045"/>
        <v>809</v>
      </c>
      <c r="E4695" t="str">
        <f>"89301036"</f>
        <v>89301036</v>
      </c>
      <c r="F4695" t="str">
        <f>"6809160798"</f>
        <v>6809160798</v>
      </c>
      <c r="G4695" s="1">
        <v>44698</v>
      </c>
      <c r="H4695" t="str">
        <f t="shared" si="1046"/>
        <v>89312</v>
      </c>
      <c r="I4695">
        <v>3</v>
      </c>
      <c r="J4695">
        <v>906</v>
      </c>
      <c r="K4695">
        <v>0</v>
      </c>
      <c r="L4695">
        <v>951.3</v>
      </c>
    </row>
    <row r="4696" spans="1:12" x14ac:dyDescent="0.25">
      <c r="A4696" t="str">
        <f t="shared" si="1042"/>
        <v>89301000</v>
      </c>
      <c r="B4696" t="str">
        <f t="shared" si="1044"/>
        <v>89063000</v>
      </c>
      <c r="C4696" t="str">
        <f t="shared" si="1044"/>
        <v>89063000</v>
      </c>
      <c r="D4696" t="str">
        <f t="shared" si="1045"/>
        <v>809</v>
      </c>
      <c r="E4696" t="str">
        <f>"89301037"</f>
        <v>89301037</v>
      </c>
      <c r="F4696" t="str">
        <f>"445329463"</f>
        <v>445329463</v>
      </c>
      <c r="G4696" s="1">
        <v>44698</v>
      </c>
      <c r="H4696" t="str">
        <f t="shared" si="1046"/>
        <v>89312</v>
      </c>
      <c r="I4696">
        <v>3</v>
      </c>
      <c r="J4696">
        <v>906</v>
      </c>
      <c r="K4696">
        <v>0</v>
      </c>
      <c r="L4696">
        <v>951.3</v>
      </c>
    </row>
    <row r="4697" spans="1:12" x14ac:dyDescent="0.25">
      <c r="A4697" t="str">
        <f t="shared" si="1042"/>
        <v>89301000</v>
      </c>
      <c r="B4697" t="str">
        <f t="shared" si="1044"/>
        <v>89063000</v>
      </c>
      <c r="C4697" t="str">
        <f t="shared" si="1044"/>
        <v>89063000</v>
      </c>
      <c r="D4697" t="str">
        <f t="shared" si="1045"/>
        <v>809</v>
      </c>
      <c r="E4697" t="str">
        <f>"89301037"</f>
        <v>89301037</v>
      </c>
      <c r="F4697" t="str">
        <f>"6001310403"</f>
        <v>6001310403</v>
      </c>
      <c r="G4697" s="1">
        <v>44699</v>
      </c>
      <c r="H4697" t="str">
        <f t="shared" si="1046"/>
        <v>89312</v>
      </c>
      <c r="I4697">
        <v>3</v>
      </c>
      <c r="J4697">
        <v>906</v>
      </c>
      <c r="K4697">
        <v>0</v>
      </c>
      <c r="L4697">
        <v>951.3</v>
      </c>
    </row>
    <row r="4698" spans="1:12" x14ac:dyDescent="0.25">
      <c r="A4698" t="str">
        <f t="shared" si="1042"/>
        <v>89301000</v>
      </c>
      <c r="B4698" t="str">
        <f t="shared" si="1044"/>
        <v>89063000</v>
      </c>
      <c r="C4698" t="str">
        <f t="shared" si="1044"/>
        <v>89063000</v>
      </c>
      <c r="D4698" t="str">
        <f t="shared" si="1045"/>
        <v>809</v>
      </c>
      <c r="E4698" t="str">
        <f>"89301142"</f>
        <v>89301142</v>
      </c>
      <c r="F4698" t="str">
        <f>"7752095351"</f>
        <v>7752095351</v>
      </c>
      <c r="G4698" s="1">
        <v>44699</v>
      </c>
      <c r="H4698" t="str">
        <f t="shared" si="1046"/>
        <v>89312</v>
      </c>
      <c r="I4698">
        <v>3</v>
      </c>
      <c r="J4698">
        <v>906</v>
      </c>
      <c r="K4698">
        <v>0</v>
      </c>
      <c r="L4698">
        <v>951.3</v>
      </c>
    </row>
    <row r="4699" spans="1:12" x14ac:dyDescent="0.25">
      <c r="A4699" t="str">
        <f t="shared" si="1042"/>
        <v>89301000</v>
      </c>
      <c r="B4699" t="str">
        <f t="shared" si="1044"/>
        <v>89063000</v>
      </c>
      <c r="C4699" t="str">
        <f t="shared" si="1044"/>
        <v>89063000</v>
      </c>
      <c r="D4699" t="str">
        <f t="shared" si="1045"/>
        <v>809</v>
      </c>
      <c r="E4699" t="str">
        <f>"89301037"</f>
        <v>89301037</v>
      </c>
      <c r="F4699" t="str">
        <f>"466002480"</f>
        <v>466002480</v>
      </c>
      <c r="G4699" s="1">
        <v>44699</v>
      </c>
      <c r="H4699" t="str">
        <f t="shared" si="1046"/>
        <v>89312</v>
      </c>
      <c r="I4699">
        <v>3</v>
      </c>
      <c r="J4699">
        <v>906</v>
      </c>
      <c r="K4699">
        <v>0</v>
      </c>
      <c r="L4699">
        <v>951.3</v>
      </c>
    </row>
    <row r="4700" spans="1:12" x14ac:dyDescent="0.25">
      <c r="A4700" t="str">
        <f t="shared" si="1042"/>
        <v>89301000</v>
      </c>
      <c r="B4700" t="str">
        <f t="shared" si="1044"/>
        <v>89063000</v>
      </c>
      <c r="C4700" t="str">
        <f t="shared" si="1044"/>
        <v>89063000</v>
      </c>
      <c r="D4700" t="str">
        <f t="shared" si="1045"/>
        <v>809</v>
      </c>
      <c r="E4700" t="str">
        <f>"89301031"</f>
        <v>89301031</v>
      </c>
      <c r="F4700" t="str">
        <f>"7357165332"</f>
        <v>7357165332</v>
      </c>
      <c r="G4700" s="1">
        <v>44700</v>
      </c>
      <c r="H4700" t="str">
        <f t="shared" si="1046"/>
        <v>89312</v>
      </c>
      <c r="I4700">
        <v>3</v>
      </c>
      <c r="J4700">
        <v>906</v>
      </c>
      <c r="K4700">
        <v>0</v>
      </c>
      <c r="L4700">
        <v>951.3</v>
      </c>
    </row>
    <row r="4701" spans="1:12" x14ac:dyDescent="0.25">
      <c r="A4701" t="str">
        <f t="shared" si="1042"/>
        <v>89301000</v>
      </c>
      <c r="B4701" t="str">
        <f t="shared" si="1044"/>
        <v>89063000</v>
      </c>
      <c r="C4701" t="str">
        <f t="shared" si="1044"/>
        <v>89063000</v>
      </c>
      <c r="D4701" t="str">
        <f t="shared" si="1045"/>
        <v>809</v>
      </c>
      <c r="E4701" t="str">
        <f t="shared" ref="E4701:E4710" si="1047">"89301037"</f>
        <v>89301037</v>
      </c>
      <c r="F4701" t="str">
        <f>"515810110"</f>
        <v>515810110</v>
      </c>
      <c r="G4701" s="1">
        <v>44700</v>
      </c>
      <c r="H4701" t="str">
        <f t="shared" si="1046"/>
        <v>89312</v>
      </c>
      <c r="I4701">
        <v>3</v>
      </c>
      <c r="J4701">
        <v>906</v>
      </c>
      <c r="K4701">
        <v>0</v>
      </c>
      <c r="L4701">
        <v>951.3</v>
      </c>
    </row>
    <row r="4702" spans="1:12" x14ac:dyDescent="0.25">
      <c r="A4702" t="str">
        <f t="shared" si="1042"/>
        <v>89301000</v>
      </c>
      <c r="B4702" t="str">
        <f t="shared" ref="B4702:C4713" si="1048">"89063000"</f>
        <v>89063000</v>
      </c>
      <c r="C4702" t="str">
        <f t="shared" si="1048"/>
        <v>89063000</v>
      </c>
      <c r="D4702" t="str">
        <f t="shared" si="1045"/>
        <v>809</v>
      </c>
      <c r="E4702" t="str">
        <f t="shared" si="1047"/>
        <v>89301037</v>
      </c>
      <c r="F4702" t="str">
        <f>"5756212264"</f>
        <v>5756212264</v>
      </c>
      <c r="G4702" s="1">
        <v>44700</v>
      </c>
      <c r="H4702" t="str">
        <f t="shared" si="1046"/>
        <v>89312</v>
      </c>
      <c r="I4702">
        <v>3</v>
      </c>
      <c r="J4702">
        <v>906</v>
      </c>
      <c r="K4702">
        <v>0</v>
      </c>
      <c r="L4702">
        <v>951.3</v>
      </c>
    </row>
    <row r="4703" spans="1:12" x14ac:dyDescent="0.25">
      <c r="A4703" t="str">
        <f t="shared" si="1042"/>
        <v>89301000</v>
      </c>
      <c r="B4703" t="str">
        <f t="shared" si="1048"/>
        <v>89063000</v>
      </c>
      <c r="C4703" t="str">
        <f t="shared" si="1048"/>
        <v>89063000</v>
      </c>
      <c r="D4703" t="str">
        <f t="shared" si="1045"/>
        <v>809</v>
      </c>
      <c r="E4703" t="str">
        <f t="shared" si="1047"/>
        <v>89301037</v>
      </c>
      <c r="F4703" t="str">
        <f>"5660041827"</f>
        <v>5660041827</v>
      </c>
      <c r="G4703" s="1">
        <v>44701</v>
      </c>
      <c r="H4703" t="str">
        <f t="shared" si="1046"/>
        <v>89312</v>
      </c>
      <c r="I4703">
        <v>3</v>
      </c>
      <c r="J4703">
        <v>906</v>
      </c>
      <c r="K4703">
        <v>0</v>
      </c>
      <c r="L4703">
        <v>951.3</v>
      </c>
    </row>
    <row r="4704" spans="1:12" x14ac:dyDescent="0.25">
      <c r="A4704" t="str">
        <f t="shared" si="1042"/>
        <v>89301000</v>
      </c>
      <c r="B4704" t="str">
        <f t="shared" si="1048"/>
        <v>89063000</v>
      </c>
      <c r="C4704" t="str">
        <f t="shared" si="1048"/>
        <v>89063000</v>
      </c>
      <c r="D4704" t="str">
        <f t="shared" si="1045"/>
        <v>809</v>
      </c>
      <c r="E4704" t="str">
        <f t="shared" si="1047"/>
        <v>89301037</v>
      </c>
      <c r="F4704" t="str">
        <f>"8253185347"</f>
        <v>8253185347</v>
      </c>
      <c r="G4704" s="1">
        <v>44704</v>
      </c>
      <c r="H4704" t="str">
        <f t="shared" si="1046"/>
        <v>89312</v>
      </c>
      <c r="I4704">
        <v>3</v>
      </c>
      <c r="J4704">
        <v>906</v>
      </c>
      <c r="K4704">
        <v>0</v>
      </c>
      <c r="L4704">
        <v>951.3</v>
      </c>
    </row>
    <row r="4705" spans="1:12" x14ac:dyDescent="0.25">
      <c r="A4705" t="str">
        <f t="shared" si="1042"/>
        <v>89301000</v>
      </c>
      <c r="B4705" t="str">
        <f t="shared" si="1048"/>
        <v>89063000</v>
      </c>
      <c r="C4705" t="str">
        <f t="shared" si="1048"/>
        <v>89063000</v>
      </c>
      <c r="D4705" t="str">
        <f t="shared" si="1045"/>
        <v>809</v>
      </c>
      <c r="E4705" t="str">
        <f t="shared" si="1047"/>
        <v>89301037</v>
      </c>
      <c r="F4705" t="str">
        <f>"9307015718"</f>
        <v>9307015718</v>
      </c>
      <c r="G4705" s="1">
        <v>44705</v>
      </c>
      <c r="H4705" t="str">
        <f t="shared" si="1046"/>
        <v>89312</v>
      </c>
      <c r="I4705">
        <v>3</v>
      </c>
      <c r="J4705">
        <v>906</v>
      </c>
      <c r="K4705">
        <v>0</v>
      </c>
      <c r="L4705">
        <v>951.3</v>
      </c>
    </row>
    <row r="4706" spans="1:12" x14ac:dyDescent="0.25">
      <c r="A4706" t="str">
        <f t="shared" si="1042"/>
        <v>89301000</v>
      </c>
      <c r="B4706" t="str">
        <f t="shared" si="1048"/>
        <v>89063000</v>
      </c>
      <c r="C4706" t="str">
        <f t="shared" si="1048"/>
        <v>89063000</v>
      </c>
      <c r="D4706" t="str">
        <f t="shared" si="1045"/>
        <v>809</v>
      </c>
      <c r="E4706" t="str">
        <f t="shared" si="1047"/>
        <v>89301037</v>
      </c>
      <c r="F4706" t="str">
        <f>"5805032662"</f>
        <v>5805032662</v>
      </c>
      <c r="G4706" s="1">
        <v>44705</v>
      </c>
      <c r="H4706" t="str">
        <f t="shared" si="1046"/>
        <v>89312</v>
      </c>
      <c r="I4706">
        <v>3</v>
      </c>
      <c r="J4706">
        <v>906</v>
      </c>
      <c r="K4706">
        <v>0</v>
      </c>
      <c r="L4706">
        <v>951.3</v>
      </c>
    </row>
    <row r="4707" spans="1:12" x14ac:dyDescent="0.25">
      <c r="A4707" t="str">
        <f t="shared" si="1042"/>
        <v>89301000</v>
      </c>
      <c r="B4707" t="str">
        <f t="shared" si="1048"/>
        <v>89063000</v>
      </c>
      <c r="C4707" t="str">
        <f t="shared" si="1048"/>
        <v>89063000</v>
      </c>
      <c r="D4707" t="str">
        <f t="shared" si="1045"/>
        <v>809</v>
      </c>
      <c r="E4707" t="str">
        <f t="shared" si="1047"/>
        <v>89301037</v>
      </c>
      <c r="F4707" t="str">
        <f>"6662160747"</f>
        <v>6662160747</v>
      </c>
      <c r="G4707" s="1">
        <v>44706</v>
      </c>
      <c r="H4707" t="str">
        <f t="shared" si="1046"/>
        <v>89312</v>
      </c>
      <c r="I4707">
        <v>3</v>
      </c>
      <c r="J4707">
        <v>906</v>
      </c>
      <c r="K4707">
        <v>0</v>
      </c>
      <c r="L4707">
        <v>951.3</v>
      </c>
    </row>
    <row r="4708" spans="1:12" x14ac:dyDescent="0.25">
      <c r="A4708" t="str">
        <f t="shared" si="1042"/>
        <v>89301000</v>
      </c>
      <c r="B4708" t="str">
        <f t="shared" si="1048"/>
        <v>89063000</v>
      </c>
      <c r="C4708" t="str">
        <f t="shared" si="1048"/>
        <v>89063000</v>
      </c>
      <c r="D4708" t="str">
        <f t="shared" si="1045"/>
        <v>809</v>
      </c>
      <c r="E4708" t="str">
        <f t="shared" si="1047"/>
        <v>89301037</v>
      </c>
      <c r="F4708" t="str">
        <f>"6012211139"</f>
        <v>6012211139</v>
      </c>
      <c r="G4708" s="1">
        <v>44706</v>
      </c>
      <c r="H4708" t="str">
        <f t="shared" si="1046"/>
        <v>89312</v>
      </c>
      <c r="I4708">
        <v>3</v>
      </c>
      <c r="J4708">
        <v>906</v>
      </c>
      <c r="K4708">
        <v>0</v>
      </c>
      <c r="L4708">
        <v>951.3</v>
      </c>
    </row>
    <row r="4709" spans="1:12" x14ac:dyDescent="0.25">
      <c r="A4709" t="str">
        <f t="shared" si="1042"/>
        <v>89301000</v>
      </c>
      <c r="B4709" t="str">
        <f t="shared" si="1048"/>
        <v>89063000</v>
      </c>
      <c r="C4709" t="str">
        <f t="shared" si="1048"/>
        <v>89063000</v>
      </c>
      <c r="D4709" t="str">
        <f t="shared" si="1045"/>
        <v>809</v>
      </c>
      <c r="E4709" t="str">
        <f t="shared" si="1047"/>
        <v>89301037</v>
      </c>
      <c r="F4709" t="str">
        <f>"5959141397"</f>
        <v>5959141397</v>
      </c>
      <c r="G4709" s="1">
        <v>44707</v>
      </c>
      <c r="H4709" t="str">
        <f t="shared" si="1046"/>
        <v>89312</v>
      </c>
      <c r="I4709">
        <v>3</v>
      </c>
      <c r="J4709">
        <v>906</v>
      </c>
      <c r="K4709">
        <v>0</v>
      </c>
      <c r="L4709">
        <v>951.3</v>
      </c>
    </row>
    <row r="4710" spans="1:12" x14ac:dyDescent="0.25">
      <c r="A4710" t="str">
        <f t="shared" si="1042"/>
        <v>89301000</v>
      </c>
      <c r="B4710" t="str">
        <f t="shared" si="1048"/>
        <v>89063000</v>
      </c>
      <c r="C4710" t="str">
        <f t="shared" si="1048"/>
        <v>89063000</v>
      </c>
      <c r="D4710" t="str">
        <f t="shared" si="1045"/>
        <v>809</v>
      </c>
      <c r="E4710" t="str">
        <f t="shared" si="1047"/>
        <v>89301037</v>
      </c>
      <c r="F4710" t="str">
        <f>"6859291934"</f>
        <v>6859291934</v>
      </c>
      <c r="G4710" s="1">
        <v>44707</v>
      </c>
      <c r="H4710" t="str">
        <f t="shared" si="1046"/>
        <v>89312</v>
      </c>
      <c r="I4710">
        <v>3</v>
      </c>
      <c r="J4710">
        <v>906</v>
      </c>
      <c r="K4710">
        <v>0</v>
      </c>
      <c r="L4710">
        <v>951.3</v>
      </c>
    </row>
    <row r="4711" spans="1:12" x14ac:dyDescent="0.25">
      <c r="A4711" t="str">
        <f t="shared" si="1042"/>
        <v>89301000</v>
      </c>
      <c r="B4711" t="str">
        <f t="shared" si="1048"/>
        <v>89063000</v>
      </c>
      <c r="C4711" t="str">
        <f t="shared" si="1048"/>
        <v>89063000</v>
      </c>
      <c r="D4711" t="str">
        <f t="shared" si="1045"/>
        <v>809</v>
      </c>
      <c r="E4711" t="str">
        <f>"89301212"</f>
        <v>89301212</v>
      </c>
      <c r="F4711" t="str">
        <f>"6859140233"</f>
        <v>6859140233</v>
      </c>
      <c r="G4711" s="1">
        <v>44712</v>
      </c>
      <c r="H4711" t="str">
        <f t="shared" si="1046"/>
        <v>89312</v>
      </c>
      <c r="I4711">
        <v>3</v>
      </c>
      <c r="J4711">
        <v>906</v>
      </c>
      <c r="K4711">
        <v>0</v>
      </c>
      <c r="L4711">
        <v>951.3</v>
      </c>
    </row>
    <row r="4712" spans="1:12" x14ac:dyDescent="0.25">
      <c r="A4712" t="str">
        <f t="shared" si="1042"/>
        <v>89301000</v>
      </c>
      <c r="B4712" t="str">
        <f t="shared" si="1048"/>
        <v>89063000</v>
      </c>
      <c r="C4712" t="str">
        <f t="shared" si="1048"/>
        <v>89063000</v>
      </c>
      <c r="D4712" t="str">
        <f t="shared" si="1045"/>
        <v>809</v>
      </c>
      <c r="E4712" t="str">
        <f>"89301039"</f>
        <v>89301039</v>
      </c>
      <c r="F4712" t="str">
        <f>"7561285325"</f>
        <v>7561285325</v>
      </c>
      <c r="G4712" s="1">
        <v>44712</v>
      </c>
      <c r="H4712" t="str">
        <f t="shared" si="1046"/>
        <v>89312</v>
      </c>
      <c r="I4712">
        <v>3</v>
      </c>
      <c r="J4712">
        <v>906</v>
      </c>
      <c r="K4712">
        <v>0</v>
      </c>
      <c r="L4712">
        <v>951.3</v>
      </c>
    </row>
    <row r="4713" spans="1:12" x14ac:dyDescent="0.25">
      <c r="A4713" t="str">
        <f t="shared" si="1042"/>
        <v>89301000</v>
      </c>
      <c r="B4713" t="str">
        <f t="shared" si="1048"/>
        <v>89063000</v>
      </c>
      <c r="C4713" t="str">
        <f t="shared" si="1048"/>
        <v>89063000</v>
      </c>
      <c r="D4713" t="str">
        <f t="shared" si="1045"/>
        <v>809</v>
      </c>
      <c r="E4713" t="str">
        <f>"89301036"</f>
        <v>89301036</v>
      </c>
      <c r="F4713" t="str">
        <f>"7707295321"</f>
        <v>7707295321</v>
      </c>
      <c r="G4713" s="1">
        <v>44712</v>
      </c>
      <c r="H4713" t="str">
        <f t="shared" si="1046"/>
        <v>89312</v>
      </c>
      <c r="I4713">
        <v>3</v>
      </c>
      <c r="J4713">
        <v>906</v>
      </c>
      <c r="K4713">
        <v>0</v>
      </c>
      <c r="L4713">
        <v>951.3</v>
      </c>
    </row>
    <row r="4714" spans="1:12" x14ac:dyDescent="0.25">
      <c r="A4714" t="str">
        <f t="shared" si="1042"/>
        <v>89301000</v>
      </c>
      <c r="B4714" t="str">
        <f>"89511000"</f>
        <v>89511000</v>
      </c>
      <c r="C4714" t="str">
        <f>"89511001"</f>
        <v>89511001</v>
      </c>
      <c r="D4714" t="str">
        <f t="shared" si="1045"/>
        <v>809</v>
      </c>
      <c r="E4714" t="str">
        <f>"89301212"</f>
        <v>89301212</v>
      </c>
      <c r="F4714" t="str">
        <f>"7660255339"</f>
        <v>7660255339</v>
      </c>
      <c r="G4714" s="1">
        <v>44712</v>
      </c>
      <c r="H4714" t="str">
        <f>"89513"</f>
        <v>89513</v>
      </c>
      <c r="I4714">
        <v>1</v>
      </c>
      <c r="J4714">
        <v>371</v>
      </c>
      <c r="K4714">
        <v>0</v>
      </c>
      <c r="L4714">
        <v>519.4</v>
      </c>
    </row>
    <row r="4715" spans="1:12" x14ac:dyDescent="0.25">
      <c r="A4715" t="str">
        <f t="shared" si="1042"/>
        <v>89301000</v>
      </c>
      <c r="B4715" t="str">
        <f>"89511000"</f>
        <v>89511000</v>
      </c>
      <c r="C4715" t="str">
        <f>"89511001"</f>
        <v>89511001</v>
      </c>
      <c r="D4715" t="str">
        <f t="shared" si="1045"/>
        <v>809</v>
      </c>
      <c r="E4715" t="str">
        <f>"89301212"</f>
        <v>89301212</v>
      </c>
      <c r="F4715" t="str">
        <f>"7660255339"</f>
        <v>7660255339</v>
      </c>
      <c r="G4715" s="1">
        <v>44712</v>
      </c>
      <c r="H4715" t="str">
        <f>"89514"</f>
        <v>89514</v>
      </c>
      <c r="I4715">
        <v>1</v>
      </c>
      <c r="J4715">
        <v>371</v>
      </c>
      <c r="K4715">
        <v>0</v>
      </c>
      <c r="L4715">
        <v>519.4</v>
      </c>
    </row>
    <row r="4716" spans="1:12" x14ac:dyDescent="0.25">
      <c r="A4716" t="str">
        <f t="shared" si="1042"/>
        <v>89301000</v>
      </c>
      <c r="B4716" t="str">
        <f>"68296000"</f>
        <v>68296000</v>
      </c>
      <c r="C4716" t="str">
        <f>"68296001"</f>
        <v>68296001</v>
      </c>
      <c r="D4716" t="str">
        <f>"801"</f>
        <v>801</v>
      </c>
      <c r="E4716" t="str">
        <f>"89301034"</f>
        <v>89301034</v>
      </c>
      <c r="F4716" t="str">
        <f>"8453193518"</f>
        <v>8453193518</v>
      </c>
      <c r="G4716" s="1">
        <v>44692</v>
      </c>
      <c r="H4716" t="str">
        <f>"93159"</f>
        <v>93159</v>
      </c>
      <c r="I4716">
        <v>1</v>
      </c>
      <c r="J4716">
        <v>195</v>
      </c>
      <c r="K4716">
        <v>0</v>
      </c>
      <c r="L4716">
        <v>152.1</v>
      </c>
    </row>
    <row r="4717" spans="1:12" x14ac:dyDescent="0.25">
      <c r="A4717" t="str">
        <f t="shared" si="1042"/>
        <v>89301000</v>
      </c>
      <c r="B4717" t="str">
        <f>"68296000"</f>
        <v>68296000</v>
      </c>
      <c r="C4717" t="str">
        <f>"68296001"</f>
        <v>68296001</v>
      </c>
      <c r="D4717" t="str">
        <f>"801"</f>
        <v>801</v>
      </c>
      <c r="E4717" t="str">
        <f>"89301034"</f>
        <v>89301034</v>
      </c>
      <c r="F4717" t="str">
        <f>"8453193518"</f>
        <v>8453193518</v>
      </c>
      <c r="G4717" s="1">
        <v>44692</v>
      </c>
      <c r="H4717" t="str">
        <f>"97111"</f>
        <v>97111</v>
      </c>
      <c r="I4717">
        <v>1</v>
      </c>
      <c r="J4717">
        <v>18</v>
      </c>
      <c r="K4717">
        <v>0</v>
      </c>
      <c r="L4717">
        <v>14.04</v>
      </c>
    </row>
    <row r="4718" spans="1:12" x14ac:dyDescent="0.25">
      <c r="A4718" t="str">
        <f t="shared" si="1042"/>
        <v>89301000</v>
      </c>
      <c r="B4718" t="str">
        <f t="shared" ref="B4718:B4749" si="1049">"78051000"</f>
        <v>78051000</v>
      </c>
      <c r="C4718" t="str">
        <f t="shared" ref="C4718:C4762" si="1050">"78051004"</f>
        <v>78051004</v>
      </c>
      <c r="D4718" t="str">
        <f t="shared" ref="D4718:D4762" si="1051">"809"</f>
        <v>809</v>
      </c>
      <c r="E4718" t="str">
        <f t="shared" ref="E4718:E4749" si="1052">"89301062"</f>
        <v>89301062</v>
      </c>
      <c r="F4718" t="str">
        <f>"9603215721"</f>
        <v>9603215721</v>
      </c>
      <c r="G4718" s="1">
        <v>44692</v>
      </c>
      <c r="H4718" t="str">
        <f>"89311"</f>
        <v>89311</v>
      </c>
      <c r="I4718">
        <v>1</v>
      </c>
      <c r="J4718">
        <v>936</v>
      </c>
      <c r="K4718">
        <v>0</v>
      </c>
      <c r="L4718">
        <v>1310.4000000000001</v>
      </c>
    </row>
    <row r="4719" spans="1:12" x14ac:dyDescent="0.25">
      <c r="A4719" t="str">
        <f t="shared" si="1042"/>
        <v>89301000</v>
      </c>
      <c r="B4719" t="str">
        <f t="shared" si="1049"/>
        <v>78051000</v>
      </c>
      <c r="C4719" t="str">
        <f t="shared" si="1050"/>
        <v>78051004</v>
      </c>
      <c r="D4719" t="str">
        <f t="shared" si="1051"/>
        <v>809</v>
      </c>
      <c r="E4719" t="str">
        <f t="shared" si="1052"/>
        <v>89301062</v>
      </c>
      <c r="F4719" t="str">
        <f>"9603215721"</f>
        <v>9603215721</v>
      </c>
      <c r="G4719" s="1">
        <v>44692</v>
      </c>
      <c r="H4719" t="str">
        <f>"0090044"</f>
        <v>0090044</v>
      </c>
      <c r="I4719">
        <v>1</v>
      </c>
      <c r="K4719">
        <v>16.8</v>
      </c>
      <c r="L4719">
        <v>16.8</v>
      </c>
    </row>
    <row r="4720" spans="1:12" x14ac:dyDescent="0.25">
      <c r="A4720" t="str">
        <f t="shared" si="1042"/>
        <v>89301000</v>
      </c>
      <c r="B4720" t="str">
        <f t="shared" si="1049"/>
        <v>78051000</v>
      </c>
      <c r="C4720" t="str">
        <f t="shared" si="1050"/>
        <v>78051004</v>
      </c>
      <c r="D4720" t="str">
        <f t="shared" si="1051"/>
        <v>809</v>
      </c>
      <c r="E4720" t="str">
        <f t="shared" si="1052"/>
        <v>89301062</v>
      </c>
      <c r="F4720" t="str">
        <f>"9603215721"</f>
        <v>9603215721</v>
      </c>
      <c r="G4720" s="1">
        <v>44692</v>
      </c>
      <c r="H4720" t="str">
        <f>"0225891"</f>
        <v>0225891</v>
      </c>
      <c r="I4720">
        <v>0.2</v>
      </c>
      <c r="K4720">
        <v>73.540000000000006</v>
      </c>
      <c r="L4720">
        <v>73.540000000000006</v>
      </c>
    </row>
    <row r="4721" spans="1:12" x14ac:dyDescent="0.25">
      <c r="A4721" t="str">
        <f t="shared" si="1042"/>
        <v>89301000</v>
      </c>
      <c r="B4721" t="str">
        <f t="shared" si="1049"/>
        <v>78051000</v>
      </c>
      <c r="C4721" t="str">
        <f t="shared" si="1050"/>
        <v>78051004</v>
      </c>
      <c r="D4721" t="str">
        <f t="shared" si="1051"/>
        <v>809</v>
      </c>
      <c r="E4721" t="str">
        <f t="shared" si="1052"/>
        <v>89301062</v>
      </c>
      <c r="F4721" t="str">
        <f>"9603215721"</f>
        <v>9603215721</v>
      </c>
      <c r="G4721" s="1">
        <v>44692</v>
      </c>
      <c r="H4721" t="str">
        <f>"0096251"</f>
        <v>0096251</v>
      </c>
      <c r="I4721">
        <v>0.17</v>
      </c>
      <c r="K4721">
        <v>198.83</v>
      </c>
      <c r="L4721">
        <v>198.83</v>
      </c>
    </row>
    <row r="4722" spans="1:12" x14ac:dyDescent="0.25">
      <c r="A4722" t="str">
        <f t="shared" si="1042"/>
        <v>89301000</v>
      </c>
      <c r="B4722" t="str">
        <f t="shared" si="1049"/>
        <v>78051000</v>
      </c>
      <c r="C4722" t="str">
        <f t="shared" si="1050"/>
        <v>78051004</v>
      </c>
      <c r="D4722" t="str">
        <f t="shared" si="1051"/>
        <v>809</v>
      </c>
      <c r="E4722" t="str">
        <f t="shared" si="1052"/>
        <v>89301062</v>
      </c>
      <c r="F4722" t="str">
        <f>"9603215721"</f>
        <v>9603215721</v>
      </c>
      <c r="G4722" s="1">
        <v>44692</v>
      </c>
      <c r="H4722" t="str">
        <f>"0098943"</f>
        <v>0098943</v>
      </c>
      <c r="I4722">
        <v>1</v>
      </c>
      <c r="K4722">
        <v>293.81</v>
      </c>
      <c r="L4722">
        <v>293.81</v>
      </c>
    </row>
    <row r="4723" spans="1:12" x14ac:dyDescent="0.25">
      <c r="A4723" t="str">
        <f t="shared" si="1042"/>
        <v>89301000</v>
      </c>
      <c r="B4723" t="str">
        <f t="shared" si="1049"/>
        <v>78051000</v>
      </c>
      <c r="C4723" t="str">
        <f t="shared" si="1050"/>
        <v>78051004</v>
      </c>
      <c r="D4723" t="str">
        <f t="shared" si="1051"/>
        <v>809</v>
      </c>
      <c r="E4723" t="str">
        <f t="shared" si="1052"/>
        <v>89301062</v>
      </c>
      <c r="F4723" t="str">
        <f>"6509121542"</f>
        <v>6509121542</v>
      </c>
      <c r="G4723" s="1">
        <v>44692</v>
      </c>
      <c r="H4723" t="str">
        <f>"89311"</f>
        <v>89311</v>
      </c>
      <c r="I4723">
        <v>1</v>
      </c>
      <c r="J4723">
        <v>936</v>
      </c>
      <c r="K4723">
        <v>0</v>
      </c>
      <c r="L4723">
        <v>1310.4000000000001</v>
      </c>
    </row>
    <row r="4724" spans="1:12" x14ac:dyDescent="0.25">
      <c r="A4724" t="str">
        <f t="shared" si="1042"/>
        <v>89301000</v>
      </c>
      <c r="B4724" t="str">
        <f t="shared" si="1049"/>
        <v>78051000</v>
      </c>
      <c r="C4724" t="str">
        <f t="shared" si="1050"/>
        <v>78051004</v>
      </c>
      <c r="D4724" t="str">
        <f t="shared" si="1051"/>
        <v>809</v>
      </c>
      <c r="E4724" t="str">
        <f t="shared" si="1052"/>
        <v>89301062</v>
      </c>
      <c r="F4724" t="str">
        <f>"6509121542"</f>
        <v>6509121542</v>
      </c>
      <c r="G4724" s="1">
        <v>44692</v>
      </c>
      <c r="H4724" t="str">
        <f>"0090044"</f>
        <v>0090044</v>
      </c>
      <c r="I4724">
        <v>1</v>
      </c>
      <c r="K4724">
        <v>16.8</v>
      </c>
      <c r="L4724">
        <v>16.8</v>
      </c>
    </row>
    <row r="4725" spans="1:12" x14ac:dyDescent="0.25">
      <c r="A4725" t="str">
        <f t="shared" si="1042"/>
        <v>89301000</v>
      </c>
      <c r="B4725" t="str">
        <f t="shared" si="1049"/>
        <v>78051000</v>
      </c>
      <c r="C4725" t="str">
        <f t="shared" si="1050"/>
        <v>78051004</v>
      </c>
      <c r="D4725" t="str">
        <f t="shared" si="1051"/>
        <v>809</v>
      </c>
      <c r="E4725" t="str">
        <f t="shared" si="1052"/>
        <v>89301062</v>
      </c>
      <c r="F4725" t="str">
        <f>"6509121542"</f>
        <v>6509121542</v>
      </c>
      <c r="G4725" s="1">
        <v>44692</v>
      </c>
      <c r="H4725" t="str">
        <f>"0225891"</f>
        <v>0225891</v>
      </c>
      <c r="I4725">
        <v>0.2</v>
      </c>
      <c r="K4725">
        <v>73.540000000000006</v>
      </c>
      <c r="L4725">
        <v>73.540000000000006</v>
      </c>
    </row>
    <row r="4726" spans="1:12" x14ac:dyDescent="0.25">
      <c r="A4726" t="str">
        <f t="shared" si="1042"/>
        <v>89301000</v>
      </c>
      <c r="B4726" t="str">
        <f t="shared" si="1049"/>
        <v>78051000</v>
      </c>
      <c r="C4726" t="str">
        <f t="shared" si="1050"/>
        <v>78051004</v>
      </c>
      <c r="D4726" t="str">
        <f t="shared" si="1051"/>
        <v>809</v>
      </c>
      <c r="E4726" t="str">
        <f t="shared" si="1052"/>
        <v>89301062</v>
      </c>
      <c r="F4726" t="str">
        <f>"6509121542"</f>
        <v>6509121542</v>
      </c>
      <c r="G4726" s="1">
        <v>44692</v>
      </c>
      <c r="H4726" t="str">
        <f>"0096251"</f>
        <v>0096251</v>
      </c>
      <c r="I4726">
        <v>0.17</v>
      </c>
      <c r="K4726">
        <v>198.83</v>
      </c>
      <c r="L4726">
        <v>198.83</v>
      </c>
    </row>
    <row r="4727" spans="1:12" x14ac:dyDescent="0.25">
      <c r="A4727" t="str">
        <f t="shared" si="1042"/>
        <v>89301000</v>
      </c>
      <c r="B4727" t="str">
        <f t="shared" si="1049"/>
        <v>78051000</v>
      </c>
      <c r="C4727" t="str">
        <f t="shared" si="1050"/>
        <v>78051004</v>
      </c>
      <c r="D4727" t="str">
        <f t="shared" si="1051"/>
        <v>809</v>
      </c>
      <c r="E4727" t="str">
        <f t="shared" si="1052"/>
        <v>89301062</v>
      </c>
      <c r="F4727" t="str">
        <f>"6509121542"</f>
        <v>6509121542</v>
      </c>
      <c r="G4727" s="1">
        <v>44692</v>
      </c>
      <c r="H4727" t="str">
        <f>"0098943"</f>
        <v>0098943</v>
      </c>
      <c r="I4727">
        <v>1</v>
      </c>
      <c r="K4727">
        <v>293.81</v>
      </c>
      <c r="L4727">
        <v>293.81</v>
      </c>
    </row>
    <row r="4728" spans="1:12" x14ac:dyDescent="0.25">
      <c r="A4728" t="str">
        <f t="shared" si="1042"/>
        <v>89301000</v>
      </c>
      <c r="B4728" t="str">
        <f t="shared" si="1049"/>
        <v>78051000</v>
      </c>
      <c r="C4728" t="str">
        <f t="shared" si="1050"/>
        <v>78051004</v>
      </c>
      <c r="D4728" t="str">
        <f t="shared" si="1051"/>
        <v>809</v>
      </c>
      <c r="E4728" t="str">
        <f t="shared" si="1052"/>
        <v>89301062</v>
      </c>
      <c r="F4728" t="str">
        <f>"6461301946"</f>
        <v>6461301946</v>
      </c>
      <c r="G4728" s="1">
        <v>44692</v>
      </c>
      <c r="H4728" t="str">
        <f>"89311"</f>
        <v>89311</v>
      </c>
      <c r="I4728">
        <v>1</v>
      </c>
      <c r="J4728">
        <v>936</v>
      </c>
      <c r="K4728">
        <v>0</v>
      </c>
      <c r="L4728">
        <v>1310.4000000000001</v>
      </c>
    </row>
    <row r="4729" spans="1:12" x14ac:dyDescent="0.25">
      <c r="A4729" t="str">
        <f t="shared" si="1042"/>
        <v>89301000</v>
      </c>
      <c r="B4729" t="str">
        <f t="shared" si="1049"/>
        <v>78051000</v>
      </c>
      <c r="C4729" t="str">
        <f t="shared" si="1050"/>
        <v>78051004</v>
      </c>
      <c r="D4729" t="str">
        <f t="shared" si="1051"/>
        <v>809</v>
      </c>
      <c r="E4729" t="str">
        <f t="shared" si="1052"/>
        <v>89301062</v>
      </c>
      <c r="F4729" t="str">
        <f>"6461301946"</f>
        <v>6461301946</v>
      </c>
      <c r="G4729" s="1">
        <v>44692</v>
      </c>
      <c r="H4729" t="str">
        <f>"0090044"</f>
        <v>0090044</v>
      </c>
      <c r="I4729">
        <v>1</v>
      </c>
      <c r="K4729">
        <v>16.8</v>
      </c>
      <c r="L4729">
        <v>16.8</v>
      </c>
    </row>
    <row r="4730" spans="1:12" x14ac:dyDescent="0.25">
      <c r="A4730" t="str">
        <f t="shared" si="1042"/>
        <v>89301000</v>
      </c>
      <c r="B4730" t="str">
        <f t="shared" si="1049"/>
        <v>78051000</v>
      </c>
      <c r="C4730" t="str">
        <f t="shared" si="1050"/>
        <v>78051004</v>
      </c>
      <c r="D4730" t="str">
        <f t="shared" si="1051"/>
        <v>809</v>
      </c>
      <c r="E4730" t="str">
        <f t="shared" si="1052"/>
        <v>89301062</v>
      </c>
      <c r="F4730" t="str">
        <f>"6461301946"</f>
        <v>6461301946</v>
      </c>
      <c r="G4730" s="1">
        <v>44692</v>
      </c>
      <c r="H4730" t="str">
        <f>"0225891"</f>
        <v>0225891</v>
      </c>
      <c r="I4730">
        <v>0.2</v>
      </c>
      <c r="K4730">
        <v>73.540000000000006</v>
      </c>
      <c r="L4730">
        <v>73.540000000000006</v>
      </c>
    </row>
    <row r="4731" spans="1:12" x14ac:dyDescent="0.25">
      <c r="A4731" t="str">
        <f t="shared" si="1042"/>
        <v>89301000</v>
      </c>
      <c r="B4731" t="str">
        <f t="shared" si="1049"/>
        <v>78051000</v>
      </c>
      <c r="C4731" t="str">
        <f t="shared" si="1050"/>
        <v>78051004</v>
      </c>
      <c r="D4731" t="str">
        <f t="shared" si="1051"/>
        <v>809</v>
      </c>
      <c r="E4731" t="str">
        <f t="shared" si="1052"/>
        <v>89301062</v>
      </c>
      <c r="F4731" t="str">
        <f>"6461301946"</f>
        <v>6461301946</v>
      </c>
      <c r="G4731" s="1">
        <v>44692</v>
      </c>
      <c r="H4731" t="str">
        <f>"0096251"</f>
        <v>0096251</v>
      </c>
      <c r="I4731">
        <v>0.17</v>
      </c>
      <c r="K4731">
        <v>198.83</v>
      </c>
      <c r="L4731">
        <v>198.83</v>
      </c>
    </row>
    <row r="4732" spans="1:12" x14ac:dyDescent="0.25">
      <c r="A4732" t="str">
        <f t="shared" si="1042"/>
        <v>89301000</v>
      </c>
      <c r="B4732" t="str">
        <f t="shared" si="1049"/>
        <v>78051000</v>
      </c>
      <c r="C4732" t="str">
        <f t="shared" si="1050"/>
        <v>78051004</v>
      </c>
      <c r="D4732" t="str">
        <f t="shared" si="1051"/>
        <v>809</v>
      </c>
      <c r="E4732" t="str">
        <f t="shared" si="1052"/>
        <v>89301062</v>
      </c>
      <c r="F4732" t="str">
        <f>"6461301946"</f>
        <v>6461301946</v>
      </c>
      <c r="G4732" s="1">
        <v>44692</v>
      </c>
      <c r="H4732" t="str">
        <f>"0098943"</f>
        <v>0098943</v>
      </c>
      <c r="I4732">
        <v>1</v>
      </c>
      <c r="K4732">
        <v>293.81</v>
      </c>
      <c r="L4732">
        <v>293.81</v>
      </c>
    </row>
    <row r="4733" spans="1:12" x14ac:dyDescent="0.25">
      <c r="A4733" t="str">
        <f t="shared" si="1042"/>
        <v>89301000</v>
      </c>
      <c r="B4733" t="str">
        <f t="shared" si="1049"/>
        <v>78051000</v>
      </c>
      <c r="C4733" t="str">
        <f t="shared" si="1050"/>
        <v>78051004</v>
      </c>
      <c r="D4733" t="str">
        <f t="shared" si="1051"/>
        <v>809</v>
      </c>
      <c r="E4733" t="str">
        <f t="shared" si="1052"/>
        <v>89301062</v>
      </c>
      <c r="F4733" t="str">
        <f>"7854215776"</f>
        <v>7854215776</v>
      </c>
      <c r="G4733" s="1">
        <v>44699</v>
      </c>
      <c r="H4733" t="str">
        <f>"89311"</f>
        <v>89311</v>
      </c>
      <c r="I4733">
        <v>1</v>
      </c>
      <c r="J4733">
        <v>936</v>
      </c>
      <c r="K4733">
        <v>0</v>
      </c>
      <c r="L4733">
        <v>1310.4000000000001</v>
      </c>
    </row>
    <row r="4734" spans="1:12" x14ac:dyDescent="0.25">
      <c r="A4734" t="str">
        <f t="shared" si="1042"/>
        <v>89301000</v>
      </c>
      <c r="B4734" t="str">
        <f t="shared" si="1049"/>
        <v>78051000</v>
      </c>
      <c r="C4734" t="str">
        <f t="shared" si="1050"/>
        <v>78051004</v>
      </c>
      <c r="D4734" t="str">
        <f t="shared" si="1051"/>
        <v>809</v>
      </c>
      <c r="E4734" t="str">
        <f t="shared" si="1052"/>
        <v>89301062</v>
      </c>
      <c r="F4734" t="str">
        <f>"7854215776"</f>
        <v>7854215776</v>
      </c>
      <c r="G4734" s="1">
        <v>44699</v>
      </c>
      <c r="H4734" t="str">
        <f>"0090044"</f>
        <v>0090044</v>
      </c>
      <c r="I4734">
        <v>1</v>
      </c>
      <c r="K4734">
        <v>16.8</v>
      </c>
      <c r="L4734">
        <v>16.8</v>
      </c>
    </row>
    <row r="4735" spans="1:12" x14ac:dyDescent="0.25">
      <c r="A4735" t="str">
        <f t="shared" si="1042"/>
        <v>89301000</v>
      </c>
      <c r="B4735" t="str">
        <f t="shared" si="1049"/>
        <v>78051000</v>
      </c>
      <c r="C4735" t="str">
        <f t="shared" si="1050"/>
        <v>78051004</v>
      </c>
      <c r="D4735" t="str">
        <f t="shared" si="1051"/>
        <v>809</v>
      </c>
      <c r="E4735" t="str">
        <f t="shared" si="1052"/>
        <v>89301062</v>
      </c>
      <c r="F4735" t="str">
        <f>"7854215776"</f>
        <v>7854215776</v>
      </c>
      <c r="G4735" s="1">
        <v>44699</v>
      </c>
      <c r="H4735" t="str">
        <f>"0225891"</f>
        <v>0225891</v>
      </c>
      <c r="I4735">
        <v>0.2</v>
      </c>
      <c r="K4735">
        <v>73.540000000000006</v>
      </c>
      <c r="L4735">
        <v>73.540000000000006</v>
      </c>
    </row>
    <row r="4736" spans="1:12" x14ac:dyDescent="0.25">
      <c r="A4736" t="str">
        <f t="shared" si="1042"/>
        <v>89301000</v>
      </c>
      <c r="B4736" t="str">
        <f t="shared" si="1049"/>
        <v>78051000</v>
      </c>
      <c r="C4736" t="str">
        <f t="shared" si="1050"/>
        <v>78051004</v>
      </c>
      <c r="D4736" t="str">
        <f t="shared" si="1051"/>
        <v>809</v>
      </c>
      <c r="E4736" t="str">
        <f t="shared" si="1052"/>
        <v>89301062</v>
      </c>
      <c r="F4736" t="str">
        <f>"7854215776"</f>
        <v>7854215776</v>
      </c>
      <c r="G4736" s="1">
        <v>44699</v>
      </c>
      <c r="H4736" t="str">
        <f>"0096251"</f>
        <v>0096251</v>
      </c>
      <c r="I4736">
        <v>0.17</v>
      </c>
      <c r="K4736">
        <v>198.83</v>
      </c>
      <c r="L4736">
        <v>198.83</v>
      </c>
    </row>
    <row r="4737" spans="1:12" x14ac:dyDescent="0.25">
      <c r="A4737" t="str">
        <f t="shared" si="1042"/>
        <v>89301000</v>
      </c>
      <c r="B4737" t="str">
        <f t="shared" si="1049"/>
        <v>78051000</v>
      </c>
      <c r="C4737" t="str">
        <f t="shared" si="1050"/>
        <v>78051004</v>
      </c>
      <c r="D4737" t="str">
        <f t="shared" si="1051"/>
        <v>809</v>
      </c>
      <c r="E4737" t="str">
        <f t="shared" si="1052"/>
        <v>89301062</v>
      </c>
      <c r="F4737" t="str">
        <f>"7854215776"</f>
        <v>7854215776</v>
      </c>
      <c r="G4737" s="1">
        <v>44699</v>
      </c>
      <c r="H4737" t="str">
        <f>"0098943"</f>
        <v>0098943</v>
      </c>
      <c r="I4737">
        <v>1</v>
      </c>
      <c r="K4737">
        <v>293.81</v>
      </c>
      <c r="L4737">
        <v>293.81</v>
      </c>
    </row>
    <row r="4738" spans="1:12" x14ac:dyDescent="0.25">
      <c r="A4738" t="str">
        <f t="shared" ref="A4738:A4801" si="1053">"89301000"</f>
        <v>89301000</v>
      </c>
      <c r="B4738" t="str">
        <f t="shared" si="1049"/>
        <v>78051000</v>
      </c>
      <c r="C4738" t="str">
        <f t="shared" si="1050"/>
        <v>78051004</v>
      </c>
      <c r="D4738" t="str">
        <f t="shared" si="1051"/>
        <v>809</v>
      </c>
      <c r="E4738" t="str">
        <f t="shared" si="1052"/>
        <v>89301062</v>
      </c>
      <c r="F4738" t="str">
        <f>"9306025707"</f>
        <v>9306025707</v>
      </c>
      <c r="G4738" s="1">
        <v>44699</v>
      </c>
      <c r="H4738" t="str">
        <f>"89311"</f>
        <v>89311</v>
      </c>
      <c r="I4738">
        <v>1</v>
      </c>
      <c r="J4738">
        <v>936</v>
      </c>
      <c r="K4738">
        <v>0</v>
      </c>
      <c r="L4738">
        <v>1310.4000000000001</v>
      </c>
    </row>
    <row r="4739" spans="1:12" x14ac:dyDescent="0.25">
      <c r="A4739" t="str">
        <f t="shared" si="1053"/>
        <v>89301000</v>
      </c>
      <c r="B4739" t="str">
        <f t="shared" si="1049"/>
        <v>78051000</v>
      </c>
      <c r="C4739" t="str">
        <f t="shared" si="1050"/>
        <v>78051004</v>
      </c>
      <c r="D4739" t="str">
        <f t="shared" si="1051"/>
        <v>809</v>
      </c>
      <c r="E4739" t="str">
        <f t="shared" si="1052"/>
        <v>89301062</v>
      </c>
      <c r="F4739" t="str">
        <f>"9306025707"</f>
        <v>9306025707</v>
      </c>
      <c r="G4739" s="1">
        <v>44699</v>
      </c>
      <c r="H4739" t="str">
        <f>"0090044"</f>
        <v>0090044</v>
      </c>
      <c r="I4739">
        <v>1</v>
      </c>
      <c r="K4739">
        <v>16.8</v>
      </c>
      <c r="L4739">
        <v>16.8</v>
      </c>
    </row>
    <row r="4740" spans="1:12" x14ac:dyDescent="0.25">
      <c r="A4740" t="str">
        <f t="shared" si="1053"/>
        <v>89301000</v>
      </c>
      <c r="B4740" t="str">
        <f t="shared" si="1049"/>
        <v>78051000</v>
      </c>
      <c r="C4740" t="str">
        <f t="shared" si="1050"/>
        <v>78051004</v>
      </c>
      <c r="D4740" t="str">
        <f t="shared" si="1051"/>
        <v>809</v>
      </c>
      <c r="E4740" t="str">
        <f t="shared" si="1052"/>
        <v>89301062</v>
      </c>
      <c r="F4740" t="str">
        <f>"9306025707"</f>
        <v>9306025707</v>
      </c>
      <c r="G4740" s="1">
        <v>44699</v>
      </c>
      <c r="H4740" t="str">
        <f>"0225891"</f>
        <v>0225891</v>
      </c>
      <c r="I4740">
        <v>0.2</v>
      </c>
      <c r="K4740">
        <v>73.540000000000006</v>
      </c>
      <c r="L4740">
        <v>73.540000000000006</v>
      </c>
    </row>
    <row r="4741" spans="1:12" x14ac:dyDescent="0.25">
      <c r="A4741" t="str">
        <f t="shared" si="1053"/>
        <v>89301000</v>
      </c>
      <c r="B4741" t="str">
        <f t="shared" si="1049"/>
        <v>78051000</v>
      </c>
      <c r="C4741" t="str">
        <f t="shared" si="1050"/>
        <v>78051004</v>
      </c>
      <c r="D4741" t="str">
        <f t="shared" si="1051"/>
        <v>809</v>
      </c>
      <c r="E4741" t="str">
        <f t="shared" si="1052"/>
        <v>89301062</v>
      </c>
      <c r="F4741" t="str">
        <f>"9306025707"</f>
        <v>9306025707</v>
      </c>
      <c r="G4741" s="1">
        <v>44699</v>
      </c>
      <c r="H4741" t="str">
        <f>"0096251"</f>
        <v>0096251</v>
      </c>
      <c r="I4741">
        <v>0.17</v>
      </c>
      <c r="K4741">
        <v>198.83</v>
      </c>
      <c r="L4741">
        <v>198.83</v>
      </c>
    </row>
    <row r="4742" spans="1:12" x14ac:dyDescent="0.25">
      <c r="A4742" t="str">
        <f t="shared" si="1053"/>
        <v>89301000</v>
      </c>
      <c r="B4742" t="str">
        <f t="shared" si="1049"/>
        <v>78051000</v>
      </c>
      <c r="C4742" t="str">
        <f t="shared" si="1050"/>
        <v>78051004</v>
      </c>
      <c r="D4742" t="str">
        <f t="shared" si="1051"/>
        <v>809</v>
      </c>
      <c r="E4742" t="str">
        <f t="shared" si="1052"/>
        <v>89301062</v>
      </c>
      <c r="F4742" t="str">
        <f>"9306025707"</f>
        <v>9306025707</v>
      </c>
      <c r="G4742" s="1">
        <v>44699</v>
      </c>
      <c r="H4742" t="str">
        <f>"0098943"</f>
        <v>0098943</v>
      </c>
      <c r="I4742">
        <v>1</v>
      </c>
      <c r="K4742">
        <v>293.81</v>
      </c>
      <c r="L4742">
        <v>293.81</v>
      </c>
    </row>
    <row r="4743" spans="1:12" x14ac:dyDescent="0.25">
      <c r="A4743" t="str">
        <f t="shared" si="1053"/>
        <v>89301000</v>
      </c>
      <c r="B4743" t="str">
        <f t="shared" si="1049"/>
        <v>78051000</v>
      </c>
      <c r="C4743" t="str">
        <f t="shared" si="1050"/>
        <v>78051004</v>
      </c>
      <c r="D4743" t="str">
        <f t="shared" si="1051"/>
        <v>809</v>
      </c>
      <c r="E4743" t="str">
        <f t="shared" si="1052"/>
        <v>89301062</v>
      </c>
      <c r="F4743" t="str">
        <f>"5551241476"</f>
        <v>5551241476</v>
      </c>
      <c r="G4743" s="1">
        <v>44706</v>
      </c>
      <c r="H4743" t="str">
        <f>"89311"</f>
        <v>89311</v>
      </c>
      <c r="I4743">
        <v>1</v>
      </c>
      <c r="J4743">
        <v>936</v>
      </c>
      <c r="K4743">
        <v>0</v>
      </c>
      <c r="L4743">
        <v>1310.4000000000001</v>
      </c>
    </row>
    <row r="4744" spans="1:12" x14ac:dyDescent="0.25">
      <c r="A4744" t="str">
        <f t="shared" si="1053"/>
        <v>89301000</v>
      </c>
      <c r="B4744" t="str">
        <f t="shared" si="1049"/>
        <v>78051000</v>
      </c>
      <c r="C4744" t="str">
        <f t="shared" si="1050"/>
        <v>78051004</v>
      </c>
      <c r="D4744" t="str">
        <f t="shared" si="1051"/>
        <v>809</v>
      </c>
      <c r="E4744" t="str">
        <f t="shared" si="1052"/>
        <v>89301062</v>
      </c>
      <c r="F4744" t="str">
        <f>"5551241476"</f>
        <v>5551241476</v>
      </c>
      <c r="G4744" s="1">
        <v>44706</v>
      </c>
      <c r="H4744" t="str">
        <f>"0090044"</f>
        <v>0090044</v>
      </c>
      <c r="I4744">
        <v>1</v>
      </c>
      <c r="K4744">
        <v>16.8</v>
      </c>
      <c r="L4744">
        <v>16.8</v>
      </c>
    </row>
    <row r="4745" spans="1:12" x14ac:dyDescent="0.25">
      <c r="A4745" t="str">
        <f t="shared" si="1053"/>
        <v>89301000</v>
      </c>
      <c r="B4745" t="str">
        <f t="shared" si="1049"/>
        <v>78051000</v>
      </c>
      <c r="C4745" t="str">
        <f t="shared" si="1050"/>
        <v>78051004</v>
      </c>
      <c r="D4745" t="str">
        <f t="shared" si="1051"/>
        <v>809</v>
      </c>
      <c r="E4745" t="str">
        <f t="shared" si="1052"/>
        <v>89301062</v>
      </c>
      <c r="F4745" t="str">
        <f>"5551241476"</f>
        <v>5551241476</v>
      </c>
      <c r="G4745" s="1">
        <v>44706</v>
      </c>
      <c r="H4745" t="str">
        <f>"0225891"</f>
        <v>0225891</v>
      </c>
      <c r="I4745">
        <v>0.2</v>
      </c>
      <c r="K4745">
        <v>73.540000000000006</v>
      </c>
      <c r="L4745">
        <v>73.540000000000006</v>
      </c>
    </row>
    <row r="4746" spans="1:12" x14ac:dyDescent="0.25">
      <c r="A4746" t="str">
        <f t="shared" si="1053"/>
        <v>89301000</v>
      </c>
      <c r="B4746" t="str">
        <f t="shared" si="1049"/>
        <v>78051000</v>
      </c>
      <c r="C4746" t="str">
        <f t="shared" si="1050"/>
        <v>78051004</v>
      </c>
      <c r="D4746" t="str">
        <f t="shared" si="1051"/>
        <v>809</v>
      </c>
      <c r="E4746" t="str">
        <f t="shared" si="1052"/>
        <v>89301062</v>
      </c>
      <c r="F4746" t="str">
        <f>"5551241476"</f>
        <v>5551241476</v>
      </c>
      <c r="G4746" s="1">
        <v>44706</v>
      </c>
      <c r="H4746" t="str">
        <f>"0096251"</f>
        <v>0096251</v>
      </c>
      <c r="I4746">
        <v>0.17</v>
      </c>
      <c r="K4746">
        <v>198.83</v>
      </c>
      <c r="L4746">
        <v>198.83</v>
      </c>
    </row>
    <row r="4747" spans="1:12" x14ac:dyDescent="0.25">
      <c r="A4747" t="str">
        <f t="shared" si="1053"/>
        <v>89301000</v>
      </c>
      <c r="B4747" t="str">
        <f t="shared" si="1049"/>
        <v>78051000</v>
      </c>
      <c r="C4747" t="str">
        <f t="shared" si="1050"/>
        <v>78051004</v>
      </c>
      <c r="D4747" t="str">
        <f t="shared" si="1051"/>
        <v>809</v>
      </c>
      <c r="E4747" t="str">
        <f t="shared" si="1052"/>
        <v>89301062</v>
      </c>
      <c r="F4747" t="str">
        <f>"5551241476"</f>
        <v>5551241476</v>
      </c>
      <c r="G4747" s="1">
        <v>44706</v>
      </c>
      <c r="H4747" t="str">
        <f>"0098943"</f>
        <v>0098943</v>
      </c>
      <c r="I4747">
        <v>1</v>
      </c>
      <c r="K4747">
        <v>293.81</v>
      </c>
      <c r="L4747">
        <v>293.81</v>
      </c>
    </row>
    <row r="4748" spans="1:12" x14ac:dyDescent="0.25">
      <c r="A4748" t="str">
        <f t="shared" si="1053"/>
        <v>89301000</v>
      </c>
      <c r="B4748" t="str">
        <f t="shared" si="1049"/>
        <v>78051000</v>
      </c>
      <c r="C4748" t="str">
        <f t="shared" si="1050"/>
        <v>78051004</v>
      </c>
      <c r="D4748" t="str">
        <f t="shared" si="1051"/>
        <v>809</v>
      </c>
      <c r="E4748" t="str">
        <f t="shared" si="1052"/>
        <v>89301062</v>
      </c>
      <c r="F4748" t="str">
        <f>"8912035715"</f>
        <v>8912035715</v>
      </c>
      <c r="G4748" s="1">
        <v>44706</v>
      </c>
      <c r="H4748" t="str">
        <f>"89311"</f>
        <v>89311</v>
      </c>
      <c r="I4748">
        <v>1</v>
      </c>
      <c r="J4748">
        <v>936</v>
      </c>
      <c r="K4748">
        <v>0</v>
      </c>
      <c r="L4748">
        <v>1310.4000000000001</v>
      </c>
    </row>
    <row r="4749" spans="1:12" x14ac:dyDescent="0.25">
      <c r="A4749" t="str">
        <f t="shared" si="1053"/>
        <v>89301000</v>
      </c>
      <c r="B4749" t="str">
        <f t="shared" si="1049"/>
        <v>78051000</v>
      </c>
      <c r="C4749" t="str">
        <f t="shared" si="1050"/>
        <v>78051004</v>
      </c>
      <c r="D4749" t="str">
        <f t="shared" si="1051"/>
        <v>809</v>
      </c>
      <c r="E4749" t="str">
        <f t="shared" si="1052"/>
        <v>89301062</v>
      </c>
      <c r="F4749" t="str">
        <f>"8912035715"</f>
        <v>8912035715</v>
      </c>
      <c r="G4749" s="1">
        <v>44706</v>
      </c>
      <c r="H4749" t="str">
        <f>"0090044"</f>
        <v>0090044</v>
      </c>
      <c r="I4749">
        <v>1</v>
      </c>
      <c r="K4749">
        <v>16.8</v>
      </c>
      <c r="L4749">
        <v>16.8</v>
      </c>
    </row>
    <row r="4750" spans="1:12" x14ac:dyDescent="0.25">
      <c r="A4750" t="str">
        <f t="shared" si="1053"/>
        <v>89301000</v>
      </c>
      <c r="B4750" t="str">
        <f t="shared" ref="B4750:B4771" si="1054">"78051000"</f>
        <v>78051000</v>
      </c>
      <c r="C4750" t="str">
        <f t="shared" si="1050"/>
        <v>78051004</v>
      </c>
      <c r="D4750" t="str">
        <f t="shared" si="1051"/>
        <v>809</v>
      </c>
      <c r="E4750" t="str">
        <f t="shared" ref="E4750:E4774" si="1055">"89301062"</f>
        <v>89301062</v>
      </c>
      <c r="F4750" t="str">
        <f>"8912035715"</f>
        <v>8912035715</v>
      </c>
      <c r="G4750" s="1">
        <v>44706</v>
      </c>
      <c r="H4750" t="str">
        <f>"0225891"</f>
        <v>0225891</v>
      </c>
      <c r="I4750">
        <v>0.2</v>
      </c>
      <c r="K4750">
        <v>73.540000000000006</v>
      </c>
      <c r="L4750">
        <v>73.540000000000006</v>
      </c>
    </row>
    <row r="4751" spans="1:12" x14ac:dyDescent="0.25">
      <c r="A4751" t="str">
        <f t="shared" si="1053"/>
        <v>89301000</v>
      </c>
      <c r="B4751" t="str">
        <f t="shared" si="1054"/>
        <v>78051000</v>
      </c>
      <c r="C4751" t="str">
        <f t="shared" si="1050"/>
        <v>78051004</v>
      </c>
      <c r="D4751" t="str">
        <f t="shared" si="1051"/>
        <v>809</v>
      </c>
      <c r="E4751" t="str">
        <f t="shared" si="1055"/>
        <v>89301062</v>
      </c>
      <c r="F4751" t="str">
        <f>"8912035715"</f>
        <v>8912035715</v>
      </c>
      <c r="G4751" s="1">
        <v>44706</v>
      </c>
      <c r="H4751" t="str">
        <f>"0096251"</f>
        <v>0096251</v>
      </c>
      <c r="I4751">
        <v>0.17</v>
      </c>
      <c r="K4751">
        <v>198.83</v>
      </c>
      <c r="L4751">
        <v>198.83</v>
      </c>
    </row>
    <row r="4752" spans="1:12" x14ac:dyDescent="0.25">
      <c r="A4752" t="str">
        <f t="shared" si="1053"/>
        <v>89301000</v>
      </c>
      <c r="B4752" t="str">
        <f t="shared" si="1054"/>
        <v>78051000</v>
      </c>
      <c r="C4752" t="str">
        <f t="shared" si="1050"/>
        <v>78051004</v>
      </c>
      <c r="D4752" t="str">
        <f t="shared" si="1051"/>
        <v>809</v>
      </c>
      <c r="E4752" t="str">
        <f t="shared" si="1055"/>
        <v>89301062</v>
      </c>
      <c r="F4752" t="str">
        <f>"8912035715"</f>
        <v>8912035715</v>
      </c>
      <c r="G4752" s="1">
        <v>44706</v>
      </c>
      <c r="H4752" t="str">
        <f>"0098943"</f>
        <v>0098943</v>
      </c>
      <c r="I4752">
        <v>1</v>
      </c>
      <c r="K4752">
        <v>293.81</v>
      </c>
      <c r="L4752">
        <v>293.81</v>
      </c>
    </row>
    <row r="4753" spans="1:12" x14ac:dyDescent="0.25">
      <c r="A4753" t="str">
        <f t="shared" si="1053"/>
        <v>89301000</v>
      </c>
      <c r="B4753" t="str">
        <f t="shared" si="1054"/>
        <v>78051000</v>
      </c>
      <c r="C4753" t="str">
        <f t="shared" si="1050"/>
        <v>78051004</v>
      </c>
      <c r="D4753" t="str">
        <f t="shared" si="1051"/>
        <v>809</v>
      </c>
      <c r="E4753" t="str">
        <f t="shared" si="1055"/>
        <v>89301062</v>
      </c>
      <c r="F4753" t="str">
        <f>"6362210745"</f>
        <v>6362210745</v>
      </c>
      <c r="G4753" s="1">
        <v>44712</v>
      </c>
      <c r="H4753" t="str">
        <f>"89311"</f>
        <v>89311</v>
      </c>
      <c r="I4753">
        <v>1</v>
      </c>
      <c r="J4753">
        <v>936</v>
      </c>
      <c r="K4753">
        <v>0</v>
      </c>
      <c r="L4753">
        <v>1310.4000000000001</v>
      </c>
    </row>
    <row r="4754" spans="1:12" x14ac:dyDescent="0.25">
      <c r="A4754" t="str">
        <f t="shared" si="1053"/>
        <v>89301000</v>
      </c>
      <c r="B4754" t="str">
        <f t="shared" si="1054"/>
        <v>78051000</v>
      </c>
      <c r="C4754" t="str">
        <f t="shared" si="1050"/>
        <v>78051004</v>
      </c>
      <c r="D4754" t="str">
        <f t="shared" si="1051"/>
        <v>809</v>
      </c>
      <c r="E4754" t="str">
        <f t="shared" si="1055"/>
        <v>89301062</v>
      </c>
      <c r="F4754" t="str">
        <f>"6362210745"</f>
        <v>6362210745</v>
      </c>
      <c r="G4754" s="1">
        <v>44712</v>
      </c>
      <c r="H4754" t="str">
        <f>"0090044"</f>
        <v>0090044</v>
      </c>
      <c r="I4754">
        <v>1</v>
      </c>
      <c r="K4754">
        <v>16.8</v>
      </c>
      <c r="L4754">
        <v>16.8</v>
      </c>
    </row>
    <row r="4755" spans="1:12" x14ac:dyDescent="0.25">
      <c r="A4755" t="str">
        <f t="shared" si="1053"/>
        <v>89301000</v>
      </c>
      <c r="B4755" t="str">
        <f t="shared" si="1054"/>
        <v>78051000</v>
      </c>
      <c r="C4755" t="str">
        <f t="shared" si="1050"/>
        <v>78051004</v>
      </c>
      <c r="D4755" t="str">
        <f t="shared" si="1051"/>
        <v>809</v>
      </c>
      <c r="E4755" t="str">
        <f t="shared" si="1055"/>
        <v>89301062</v>
      </c>
      <c r="F4755" t="str">
        <f>"6362210745"</f>
        <v>6362210745</v>
      </c>
      <c r="G4755" s="1">
        <v>44712</v>
      </c>
      <c r="H4755" t="str">
        <f>"0225891"</f>
        <v>0225891</v>
      </c>
      <c r="I4755">
        <v>0.2</v>
      </c>
      <c r="K4755">
        <v>73.540000000000006</v>
      </c>
      <c r="L4755">
        <v>73.540000000000006</v>
      </c>
    </row>
    <row r="4756" spans="1:12" x14ac:dyDescent="0.25">
      <c r="A4756" t="str">
        <f t="shared" si="1053"/>
        <v>89301000</v>
      </c>
      <c r="B4756" t="str">
        <f t="shared" si="1054"/>
        <v>78051000</v>
      </c>
      <c r="C4756" t="str">
        <f t="shared" si="1050"/>
        <v>78051004</v>
      </c>
      <c r="D4756" t="str">
        <f t="shared" si="1051"/>
        <v>809</v>
      </c>
      <c r="E4756" t="str">
        <f t="shared" si="1055"/>
        <v>89301062</v>
      </c>
      <c r="F4756" t="str">
        <f>"6362210745"</f>
        <v>6362210745</v>
      </c>
      <c r="G4756" s="1">
        <v>44712</v>
      </c>
      <c r="H4756" t="str">
        <f>"0096251"</f>
        <v>0096251</v>
      </c>
      <c r="I4756">
        <v>0.17</v>
      </c>
      <c r="K4756">
        <v>198.83</v>
      </c>
      <c r="L4756">
        <v>198.83</v>
      </c>
    </row>
    <row r="4757" spans="1:12" x14ac:dyDescent="0.25">
      <c r="A4757" t="str">
        <f t="shared" si="1053"/>
        <v>89301000</v>
      </c>
      <c r="B4757" t="str">
        <f t="shared" si="1054"/>
        <v>78051000</v>
      </c>
      <c r="C4757" t="str">
        <f t="shared" si="1050"/>
        <v>78051004</v>
      </c>
      <c r="D4757" t="str">
        <f t="shared" si="1051"/>
        <v>809</v>
      </c>
      <c r="E4757" t="str">
        <f t="shared" si="1055"/>
        <v>89301062</v>
      </c>
      <c r="F4757" t="str">
        <f>"6362210745"</f>
        <v>6362210745</v>
      </c>
      <c r="G4757" s="1">
        <v>44712</v>
      </c>
      <c r="H4757" t="str">
        <f>"0098943"</f>
        <v>0098943</v>
      </c>
      <c r="I4757">
        <v>1</v>
      </c>
      <c r="K4757">
        <v>293.81</v>
      </c>
      <c r="L4757">
        <v>293.81</v>
      </c>
    </row>
    <row r="4758" spans="1:12" x14ac:dyDescent="0.25">
      <c r="A4758" t="str">
        <f t="shared" si="1053"/>
        <v>89301000</v>
      </c>
      <c r="B4758" t="str">
        <f t="shared" si="1054"/>
        <v>78051000</v>
      </c>
      <c r="C4758" t="str">
        <f t="shared" si="1050"/>
        <v>78051004</v>
      </c>
      <c r="D4758" t="str">
        <f t="shared" si="1051"/>
        <v>809</v>
      </c>
      <c r="E4758" t="str">
        <f t="shared" si="1055"/>
        <v>89301062</v>
      </c>
      <c r="F4758" t="str">
        <f>"5653102147"</f>
        <v>5653102147</v>
      </c>
      <c r="G4758" s="1">
        <v>44712</v>
      </c>
      <c r="H4758" t="str">
        <f>"89311"</f>
        <v>89311</v>
      </c>
      <c r="I4758">
        <v>1</v>
      </c>
      <c r="J4758">
        <v>936</v>
      </c>
      <c r="K4758">
        <v>0</v>
      </c>
      <c r="L4758">
        <v>1310.4000000000001</v>
      </c>
    </row>
    <row r="4759" spans="1:12" x14ac:dyDescent="0.25">
      <c r="A4759" t="str">
        <f t="shared" si="1053"/>
        <v>89301000</v>
      </c>
      <c r="B4759" t="str">
        <f t="shared" si="1054"/>
        <v>78051000</v>
      </c>
      <c r="C4759" t="str">
        <f t="shared" si="1050"/>
        <v>78051004</v>
      </c>
      <c r="D4759" t="str">
        <f t="shared" si="1051"/>
        <v>809</v>
      </c>
      <c r="E4759" t="str">
        <f t="shared" si="1055"/>
        <v>89301062</v>
      </c>
      <c r="F4759" t="str">
        <f>"5653102147"</f>
        <v>5653102147</v>
      </c>
      <c r="G4759" s="1">
        <v>44712</v>
      </c>
      <c r="H4759" t="str">
        <f>"0090044"</f>
        <v>0090044</v>
      </c>
      <c r="I4759">
        <v>1</v>
      </c>
      <c r="K4759">
        <v>16.8</v>
      </c>
      <c r="L4759">
        <v>16.8</v>
      </c>
    </row>
    <row r="4760" spans="1:12" x14ac:dyDescent="0.25">
      <c r="A4760" t="str">
        <f t="shared" si="1053"/>
        <v>89301000</v>
      </c>
      <c r="B4760" t="str">
        <f t="shared" si="1054"/>
        <v>78051000</v>
      </c>
      <c r="C4760" t="str">
        <f t="shared" si="1050"/>
        <v>78051004</v>
      </c>
      <c r="D4760" t="str">
        <f t="shared" si="1051"/>
        <v>809</v>
      </c>
      <c r="E4760" t="str">
        <f t="shared" si="1055"/>
        <v>89301062</v>
      </c>
      <c r="F4760" t="str">
        <f>"5653102147"</f>
        <v>5653102147</v>
      </c>
      <c r="G4760" s="1">
        <v>44712</v>
      </c>
      <c r="H4760" t="str">
        <f>"0225891"</f>
        <v>0225891</v>
      </c>
      <c r="I4760">
        <v>0.2</v>
      </c>
      <c r="K4760">
        <v>73.540000000000006</v>
      </c>
      <c r="L4760">
        <v>73.540000000000006</v>
      </c>
    </row>
    <row r="4761" spans="1:12" x14ac:dyDescent="0.25">
      <c r="A4761" t="str">
        <f t="shared" si="1053"/>
        <v>89301000</v>
      </c>
      <c r="B4761" t="str">
        <f t="shared" si="1054"/>
        <v>78051000</v>
      </c>
      <c r="C4761" t="str">
        <f t="shared" si="1050"/>
        <v>78051004</v>
      </c>
      <c r="D4761" t="str">
        <f t="shared" si="1051"/>
        <v>809</v>
      </c>
      <c r="E4761" t="str">
        <f t="shared" si="1055"/>
        <v>89301062</v>
      </c>
      <c r="F4761" t="str">
        <f>"5653102147"</f>
        <v>5653102147</v>
      </c>
      <c r="G4761" s="1">
        <v>44712</v>
      </c>
      <c r="H4761" t="str">
        <f>"0096251"</f>
        <v>0096251</v>
      </c>
      <c r="I4761">
        <v>0.17</v>
      </c>
      <c r="K4761">
        <v>198.83</v>
      </c>
      <c r="L4761">
        <v>198.83</v>
      </c>
    </row>
    <row r="4762" spans="1:12" x14ac:dyDescent="0.25">
      <c r="A4762" t="str">
        <f t="shared" si="1053"/>
        <v>89301000</v>
      </c>
      <c r="B4762" t="str">
        <f t="shared" si="1054"/>
        <v>78051000</v>
      </c>
      <c r="C4762" t="str">
        <f t="shared" si="1050"/>
        <v>78051004</v>
      </c>
      <c r="D4762" t="str">
        <f t="shared" si="1051"/>
        <v>809</v>
      </c>
      <c r="E4762" t="str">
        <f t="shared" si="1055"/>
        <v>89301062</v>
      </c>
      <c r="F4762" t="str">
        <f>"5653102147"</f>
        <v>5653102147</v>
      </c>
      <c r="G4762" s="1">
        <v>44712</v>
      </c>
      <c r="H4762" t="str">
        <f>"0098943"</f>
        <v>0098943</v>
      </c>
      <c r="I4762">
        <v>1</v>
      </c>
      <c r="K4762">
        <v>293.81</v>
      </c>
      <c r="L4762">
        <v>293.81</v>
      </c>
    </row>
    <row r="4763" spans="1:12" x14ac:dyDescent="0.25">
      <c r="A4763" t="str">
        <f t="shared" si="1053"/>
        <v>89301000</v>
      </c>
      <c r="B4763" t="str">
        <f t="shared" si="1054"/>
        <v>78051000</v>
      </c>
      <c r="C4763" t="str">
        <f t="shared" ref="C4763:C4771" si="1056">"78051017"</f>
        <v>78051017</v>
      </c>
      <c r="D4763" t="str">
        <f t="shared" ref="D4763:D4771" si="1057">"810"</f>
        <v>810</v>
      </c>
      <c r="E4763" t="str">
        <f t="shared" si="1055"/>
        <v>89301062</v>
      </c>
      <c r="F4763" t="str">
        <f>"9603215721"</f>
        <v>9603215721</v>
      </c>
      <c r="G4763" s="1">
        <v>44692</v>
      </c>
      <c r="H4763" t="str">
        <f t="shared" ref="H4763:H4771" si="1058">"89615"</f>
        <v>89615</v>
      </c>
      <c r="I4763">
        <v>1</v>
      </c>
      <c r="J4763">
        <v>2170</v>
      </c>
      <c r="K4763">
        <v>0</v>
      </c>
      <c r="L4763">
        <v>1302</v>
      </c>
    </row>
    <row r="4764" spans="1:12" x14ac:dyDescent="0.25">
      <c r="A4764" t="str">
        <f t="shared" si="1053"/>
        <v>89301000</v>
      </c>
      <c r="B4764" t="str">
        <f t="shared" si="1054"/>
        <v>78051000</v>
      </c>
      <c r="C4764" t="str">
        <f t="shared" si="1056"/>
        <v>78051017</v>
      </c>
      <c r="D4764" t="str">
        <f t="shared" si="1057"/>
        <v>810</v>
      </c>
      <c r="E4764" t="str">
        <f t="shared" si="1055"/>
        <v>89301062</v>
      </c>
      <c r="F4764" t="str">
        <f>"6509121542"</f>
        <v>6509121542</v>
      </c>
      <c r="G4764" s="1">
        <v>44692</v>
      </c>
      <c r="H4764" t="str">
        <f t="shared" si="1058"/>
        <v>89615</v>
      </c>
      <c r="I4764">
        <v>1</v>
      </c>
      <c r="J4764">
        <v>2170</v>
      </c>
      <c r="K4764">
        <v>0</v>
      </c>
      <c r="L4764">
        <v>1302</v>
      </c>
    </row>
    <row r="4765" spans="1:12" x14ac:dyDescent="0.25">
      <c r="A4765" t="str">
        <f t="shared" si="1053"/>
        <v>89301000</v>
      </c>
      <c r="B4765" t="str">
        <f t="shared" si="1054"/>
        <v>78051000</v>
      </c>
      <c r="C4765" t="str">
        <f t="shared" si="1056"/>
        <v>78051017</v>
      </c>
      <c r="D4765" t="str">
        <f t="shared" si="1057"/>
        <v>810</v>
      </c>
      <c r="E4765" t="str">
        <f t="shared" si="1055"/>
        <v>89301062</v>
      </c>
      <c r="F4765" t="str">
        <f>"6461301946"</f>
        <v>6461301946</v>
      </c>
      <c r="G4765" s="1">
        <v>44692</v>
      </c>
      <c r="H4765" t="str">
        <f t="shared" si="1058"/>
        <v>89615</v>
      </c>
      <c r="I4765">
        <v>1</v>
      </c>
      <c r="J4765">
        <v>2170</v>
      </c>
      <c r="K4765">
        <v>0</v>
      </c>
      <c r="L4765">
        <v>1302</v>
      </c>
    </row>
    <row r="4766" spans="1:12" x14ac:dyDescent="0.25">
      <c r="A4766" t="str">
        <f t="shared" si="1053"/>
        <v>89301000</v>
      </c>
      <c r="B4766" t="str">
        <f t="shared" si="1054"/>
        <v>78051000</v>
      </c>
      <c r="C4766" t="str">
        <f t="shared" si="1056"/>
        <v>78051017</v>
      </c>
      <c r="D4766" t="str">
        <f t="shared" si="1057"/>
        <v>810</v>
      </c>
      <c r="E4766" t="str">
        <f t="shared" si="1055"/>
        <v>89301062</v>
      </c>
      <c r="F4766" t="str">
        <f>"7854215776"</f>
        <v>7854215776</v>
      </c>
      <c r="G4766" s="1">
        <v>44699</v>
      </c>
      <c r="H4766" t="str">
        <f t="shared" si="1058"/>
        <v>89615</v>
      </c>
      <c r="I4766">
        <v>1</v>
      </c>
      <c r="J4766">
        <v>2170</v>
      </c>
      <c r="K4766">
        <v>0</v>
      </c>
      <c r="L4766">
        <v>1302</v>
      </c>
    </row>
    <row r="4767" spans="1:12" x14ac:dyDescent="0.25">
      <c r="A4767" t="str">
        <f t="shared" si="1053"/>
        <v>89301000</v>
      </c>
      <c r="B4767" t="str">
        <f t="shared" si="1054"/>
        <v>78051000</v>
      </c>
      <c r="C4767" t="str">
        <f t="shared" si="1056"/>
        <v>78051017</v>
      </c>
      <c r="D4767" t="str">
        <f t="shared" si="1057"/>
        <v>810</v>
      </c>
      <c r="E4767" t="str">
        <f t="shared" si="1055"/>
        <v>89301062</v>
      </c>
      <c r="F4767" t="str">
        <f>"9306025707"</f>
        <v>9306025707</v>
      </c>
      <c r="G4767" s="1">
        <v>44699</v>
      </c>
      <c r="H4767" t="str">
        <f t="shared" si="1058"/>
        <v>89615</v>
      </c>
      <c r="I4767">
        <v>1</v>
      </c>
      <c r="J4767">
        <v>2170</v>
      </c>
      <c r="K4767">
        <v>0</v>
      </c>
      <c r="L4767">
        <v>1302</v>
      </c>
    </row>
    <row r="4768" spans="1:12" x14ac:dyDescent="0.25">
      <c r="A4768" t="str">
        <f t="shared" si="1053"/>
        <v>89301000</v>
      </c>
      <c r="B4768" t="str">
        <f t="shared" si="1054"/>
        <v>78051000</v>
      </c>
      <c r="C4768" t="str">
        <f t="shared" si="1056"/>
        <v>78051017</v>
      </c>
      <c r="D4768" t="str">
        <f t="shared" si="1057"/>
        <v>810</v>
      </c>
      <c r="E4768" t="str">
        <f t="shared" si="1055"/>
        <v>89301062</v>
      </c>
      <c r="F4768" t="str">
        <f>"5551241476"</f>
        <v>5551241476</v>
      </c>
      <c r="G4768" s="1">
        <v>44706</v>
      </c>
      <c r="H4768" t="str">
        <f t="shared" si="1058"/>
        <v>89615</v>
      </c>
      <c r="I4768">
        <v>1</v>
      </c>
      <c r="J4768">
        <v>2170</v>
      </c>
      <c r="K4768">
        <v>0</v>
      </c>
      <c r="L4768">
        <v>1302</v>
      </c>
    </row>
    <row r="4769" spans="1:12" x14ac:dyDescent="0.25">
      <c r="A4769" t="str">
        <f t="shared" si="1053"/>
        <v>89301000</v>
      </c>
      <c r="B4769" t="str">
        <f t="shared" si="1054"/>
        <v>78051000</v>
      </c>
      <c r="C4769" t="str">
        <f t="shared" si="1056"/>
        <v>78051017</v>
      </c>
      <c r="D4769" t="str">
        <f t="shared" si="1057"/>
        <v>810</v>
      </c>
      <c r="E4769" t="str">
        <f t="shared" si="1055"/>
        <v>89301062</v>
      </c>
      <c r="F4769" t="str">
        <f>"8912035715"</f>
        <v>8912035715</v>
      </c>
      <c r="G4769" s="1">
        <v>44706</v>
      </c>
      <c r="H4769" t="str">
        <f t="shared" si="1058"/>
        <v>89615</v>
      </c>
      <c r="I4769">
        <v>1</v>
      </c>
      <c r="J4769">
        <v>2170</v>
      </c>
      <c r="K4769">
        <v>0</v>
      </c>
      <c r="L4769">
        <v>1302</v>
      </c>
    </row>
    <row r="4770" spans="1:12" x14ac:dyDescent="0.25">
      <c r="A4770" t="str">
        <f t="shared" si="1053"/>
        <v>89301000</v>
      </c>
      <c r="B4770" t="str">
        <f t="shared" si="1054"/>
        <v>78051000</v>
      </c>
      <c r="C4770" t="str">
        <f t="shared" si="1056"/>
        <v>78051017</v>
      </c>
      <c r="D4770" t="str">
        <f t="shared" si="1057"/>
        <v>810</v>
      </c>
      <c r="E4770" t="str">
        <f t="shared" si="1055"/>
        <v>89301062</v>
      </c>
      <c r="F4770" t="str">
        <f>"6362210745"</f>
        <v>6362210745</v>
      </c>
      <c r="G4770" s="1">
        <v>44712</v>
      </c>
      <c r="H4770" t="str">
        <f t="shared" si="1058"/>
        <v>89615</v>
      </c>
      <c r="I4770">
        <v>1</v>
      </c>
      <c r="J4770">
        <v>2170</v>
      </c>
      <c r="K4770">
        <v>0</v>
      </c>
      <c r="L4770">
        <v>1302</v>
      </c>
    </row>
    <row r="4771" spans="1:12" x14ac:dyDescent="0.25">
      <c r="A4771" t="str">
        <f t="shared" si="1053"/>
        <v>89301000</v>
      </c>
      <c r="B4771" t="str">
        <f t="shared" si="1054"/>
        <v>78051000</v>
      </c>
      <c r="C4771" t="str">
        <f t="shared" si="1056"/>
        <v>78051017</v>
      </c>
      <c r="D4771" t="str">
        <f t="shared" si="1057"/>
        <v>810</v>
      </c>
      <c r="E4771" t="str">
        <f t="shared" si="1055"/>
        <v>89301062</v>
      </c>
      <c r="F4771" t="str">
        <f>"5653102147"</f>
        <v>5653102147</v>
      </c>
      <c r="G4771" s="1">
        <v>44712</v>
      </c>
      <c r="H4771" t="str">
        <f t="shared" si="1058"/>
        <v>89615</v>
      </c>
      <c r="I4771">
        <v>1</v>
      </c>
      <c r="J4771">
        <v>2170</v>
      </c>
      <c r="K4771">
        <v>0</v>
      </c>
      <c r="L4771">
        <v>1302</v>
      </c>
    </row>
    <row r="4772" spans="1:12" x14ac:dyDescent="0.25">
      <c r="A4772" t="str">
        <f t="shared" si="1053"/>
        <v>89301000</v>
      </c>
      <c r="B4772" t="str">
        <f>"91950000"</f>
        <v>91950000</v>
      </c>
      <c r="C4772" t="str">
        <f>"91950028"</f>
        <v>91950028</v>
      </c>
      <c r="D4772" t="str">
        <f t="shared" ref="D4772:D4778" si="1059">"809"</f>
        <v>809</v>
      </c>
      <c r="E4772" t="str">
        <f t="shared" si="1055"/>
        <v>89301062</v>
      </c>
      <c r="F4772" t="str">
        <f>"7455025512"</f>
        <v>7455025512</v>
      </c>
      <c r="G4772" s="1">
        <v>44711</v>
      </c>
      <c r="H4772" t="str">
        <f>"89713"</f>
        <v>89713</v>
      </c>
      <c r="I4772">
        <v>1</v>
      </c>
      <c r="J4772">
        <v>5362</v>
      </c>
      <c r="K4772">
        <v>0</v>
      </c>
      <c r="L4772">
        <v>3217.2</v>
      </c>
    </row>
    <row r="4773" spans="1:12" x14ac:dyDescent="0.25">
      <c r="A4773" t="str">
        <f t="shared" si="1053"/>
        <v>89301000</v>
      </c>
      <c r="B4773" t="str">
        <f>"91950000"</f>
        <v>91950000</v>
      </c>
      <c r="C4773" t="str">
        <f>"91950028"</f>
        <v>91950028</v>
      </c>
      <c r="D4773" t="str">
        <f t="shared" si="1059"/>
        <v>809</v>
      </c>
      <c r="E4773" t="str">
        <f t="shared" si="1055"/>
        <v>89301062</v>
      </c>
      <c r="F4773" t="str">
        <f>"7455025512"</f>
        <v>7455025512</v>
      </c>
      <c r="G4773" s="1">
        <v>44711</v>
      </c>
      <c r="H4773" t="str">
        <f>"89725"</f>
        <v>89725</v>
      </c>
      <c r="I4773">
        <v>1</v>
      </c>
      <c r="J4773">
        <v>2839</v>
      </c>
      <c r="K4773">
        <v>0</v>
      </c>
      <c r="L4773">
        <v>1703.4</v>
      </c>
    </row>
    <row r="4774" spans="1:12" x14ac:dyDescent="0.25">
      <c r="A4774" t="str">
        <f t="shared" si="1053"/>
        <v>89301000</v>
      </c>
      <c r="B4774" t="str">
        <f>"91950000"</f>
        <v>91950000</v>
      </c>
      <c r="C4774" t="str">
        <f>"91950028"</f>
        <v>91950028</v>
      </c>
      <c r="D4774" t="str">
        <f t="shared" si="1059"/>
        <v>809</v>
      </c>
      <c r="E4774" t="str">
        <f t="shared" si="1055"/>
        <v>89301062</v>
      </c>
      <c r="F4774" t="str">
        <f>"7455025512"</f>
        <v>7455025512</v>
      </c>
      <c r="G4774" s="1">
        <v>44711</v>
      </c>
      <c r="H4774" t="str">
        <f>"0054253"</f>
        <v>0054253</v>
      </c>
      <c r="I4774">
        <v>1</v>
      </c>
      <c r="K4774">
        <v>843.46</v>
      </c>
      <c r="L4774">
        <v>843.46</v>
      </c>
    </row>
    <row r="4775" spans="1:12" x14ac:dyDescent="0.25">
      <c r="A4775" t="str">
        <f t="shared" si="1053"/>
        <v>89301000</v>
      </c>
      <c r="B4775" t="str">
        <f t="shared" ref="B4775:C4778" si="1060">"89345401"</f>
        <v>89345401</v>
      </c>
      <c r="C4775" t="str">
        <f t="shared" si="1060"/>
        <v>89345401</v>
      </c>
      <c r="D4775" t="str">
        <f t="shared" si="1059"/>
        <v>809</v>
      </c>
      <c r="E4775" t="str">
        <f t="shared" ref="E4775:E4783" si="1061">"89301212"</f>
        <v>89301212</v>
      </c>
      <c r="F4775" t="str">
        <f>"8412045334"</f>
        <v>8412045334</v>
      </c>
      <c r="G4775" s="1">
        <v>44698</v>
      </c>
      <c r="H4775" t="str">
        <f>"89513"</f>
        <v>89513</v>
      </c>
      <c r="I4775">
        <v>1</v>
      </c>
      <c r="J4775">
        <v>371</v>
      </c>
      <c r="K4775">
        <v>0</v>
      </c>
      <c r="L4775">
        <v>519.4</v>
      </c>
    </row>
    <row r="4776" spans="1:12" x14ac:dyDescent="0.25">
      <c r="A4776" t="str">
        <f t="shared" si="1053"/>
        <v>89301000</v>
      </c>
      <c r="B4776" t="str">
        <f t="shared" si="1060"/>
        <v>89345401</v>
      </c>
      <c r="C4776" t="str">
        <f t="shared" si="1060"/>
        <v>89345401</v>
      </c>
      <c r="D4776" t="str">
        <f t="shared" si="1059"/>
        <v>809</v>
      </c>
      <c r="E4776" t="str">
        <f t="shared" si="1061"/>
        <v>89301212</v>
      </c>
      <c r="F4776" t="str">
        <f>"8412045334"</f>
        <v>8412045334</v>
      </c>
      <c r="G4776" s="1">
        <v>44698</v>
      </c>
      <c r="H4776" t="str">
        <f>"89514"</f>
        <v>89514</v>
      </c>
      <c r="I4776">
        <v>1</v>
      </c>
      <c r="J4776">
        <v>371</v>
      </c>
      <c r="K4776">
        <v>0</v>
      </c>
      <c r="L4776">
        <v>519.4</v>
      </c>
    </row>
    <row r="4777" spans="1:12" x14ac:dyDescent="0.25">
      <c r="A4777" t="str">
        <f t="shared" si="1053"/>
        <v>89301000</v>
      </c>
      <c r="B4777" t="str">
        <f t="shared" si="1060"/>
        <v>89345401</v>
      </c>
      <c r="C4777" t="str">
        <f t="shared" si="1060"/>
        <v>89345401</v>
      </c>
      <c r="D4777" t="str">
        <f t="shared" si="1059"/>
        <v>809</v>
      </c>
      <c r="E4777" t="str">
        <f t="shared" si="1061"/>
        <v>89301212</v>
      </c>
      <c r="F4777" t="str">
        <f>"8412045334"</f>
        <v>8412045334</v>
      </c>
      <c r="G4777" s="1">
        <v>44698</v>
      </c>
      <c r="H4777" t="str">
        <f>"09137"</f>
        <v>09137</v>
      </c>
      <c r="I4777">
        <v>1</v>
      </c>
      <c r="J4777">
        <v>231</v>
      </c>
      <c r="K4777">
        <v>0</v>
      </c>
      <c r="L4777">
        <v>323.39999999999998</v>
      </c>
    </row>
    <row r="4778" spans="1:12" x14ac:dyDescent="0.25">
      <c r="A4778" t="str">
        <f t="shared" si="1053"/>
        <v>89301000</v>
      </c>
      <c r="B4778" t="str">
        <f t="shared" si="1060"/>
        <v>89345401</v>
      </c>
      <c r="C4778" t="str">
        <f t="shared" si="1060"/>
        <v>89345401</v>
      </c>
      <c r="D4778" t="str">
        <f t="shared" si="1059"/>
        <v>809</v>
      </c>
      <c r="E4778" t="str">
        <f t="shared" si="1061"/>
        <v>89301212</v>
      </c>
      <c r="F4778" t="str">
        <f>"7462024339"</f>
        <v>7462024339</v>
      </c>
      <c r="G4778" s="1">
        <v>44693</v>
      </c>
      <c r="H4778" t="str">
        <f>"89131"</f>
        <v>89131</v>
      </c>
      <c r="I4778">
        <v>1</v>
      </c>
      <c r="J4778">
        <v>187</v>
      </c>
      <c r="K4778">
        <v>0</v>
      </c>
      <c r="L4778">
        <v>261.8</v>
      </c>
    </row>
    <row r="4779" spans="1:12" x14ac:dyDescent="0.25">
      <c r="A4779" t="str">
        <f t="shared" si="1053"/>
        <v>89301000</v>
      </c>
      <c r="B4779" t="str">
        <f>"44564000"</f>
        <v>44564000</v>
      </c>
      <c r="C4779" t="str">
        <f>"44564006"</f>
        <v>44564006</v>
      </c>
      <c r="D4779" t="str">
        <f>"816"</f>
        <v>816</v>
      </c>
      <c r="E4779" t="str">
        <f t="shared" si="1061"/>
        <v>89301212</v>
      </c>
      <c r="F4779" t="str">
        <f>"5907231924"</f>
        <v>5907231924</v>
      </c>
      <c r="G4779" s="1">
        <v>44700</v>
      </c>
      <c r="H4779" t="str">
        <f>"94239"</f>
        <v>94239</v>
      </c>
      <c r="I4779">
        <v>3</v>
      </c>
      <c r="J4779">
        <v>11748</v>
      </c>
      <c r="K4779">
        <v>0</v>
      </c>
      <c r="L4779">
        <v>9985.7999999999993</v>
      </c>
    </row>
    <row r="4780" spans="1:12" x14ac:dyDescent="0.25">
      <c r="A4780" t="str">
        <f t="shared" si="1053"/>
        <v>89301000</v>
      </c>
      <c r="B4780" t="str">
        <f>"44564000"</f>
        <v>44564000</v>
      </c>
      <c r="C4780" t="str">
        <f>"44564006"</f>
        <v>44564006</v>
      </c>
      <c r="D4780" t="str">
        <f>"816"</f>
        <v>816</v>
      </c>
      <c r="E4780" t="str">
        <f t="shared" si="1061"/>
        <v>89301212</v>
      </c>
      <c r="F4780" t="str">
        <f>"6557290575"</f>
        <v>6557290575</v>
      </c>
      <c r="G4780" s="1">
        <v>44700</v>
      </c>
      <c r="H4780" t="str">
        <f>"94225"</f>
        <v>94225</v>
      </c>
      <c r="I4780">
        <v>1</v>
      </c>
      <c r="J4780">
        <v>1187</v>
      </c>
      <c r="K4780">
        <v>0</v>
      </c>
      <c r="L4780">
        <v>1008.95</v>
      </c>
    </row>
    <row r="4781" spans="1:12" x14ac:dyDescent="0.25">
      <c r="A4781" t="str">
        <f t="shared" si="1053"/>
        <v>89301000</v>
      </c>
      <c r="B4781" t="str">
        <f>"44564000"</f>
        <v>44564000</v>
      </c>
      <c r="C4781" t="str">
        <f>"44564006"</f>
        <v>44564006</v>
      </c>
      <c r="D4781" t="str">
        <f>"816"</f>
        <v>816</v>
      </c>
      <c r="E4781" t="str">
        <f t="shared" si="1061"/>
        <v>89301212</v>
      </c>
      <c r="F4781" t="str">
        <f>"505728251"</f>
        <v>505728251</v>
      </c>
      <c r="G4781" s="1">
        <v>44700</v>
      </c>
      <c r="H4781" t="str">
        <f>"94225"</f>
        <v>94225</v>
      </c>
      <c r="I4781">
        <v>1</v>
      </c>
      <c r="J4781">
        <v>1187</v>
      </c>
      <c r="K4781">
        <v>0</v>
      </c>
      <c r="L4781">
        <v>1008.95</v>
      </c>
    </row>
    <row r="4782" spans="1:12" x14ac:dyDescent="0.25">
      <c r="A4782" t="str">
        <f t="shared" si="1053"/>
        <v>89301000</v>
      </c>
      <c r="B4782" t="str">
        <f>"44564000"</f>
        <v>44564000</v>
      </c>
      <c r="C4782" t="str">
        <f>"44564006"</f>
        <v>44564006</v>
      </c>
      <c r="D4782" t="str">
        <f>"816"</f>
        <v>816</v>
      </c>
      <c r="E4782" t="str">
        <f t="shared" si="1061"/>
        <v>89301212</v>
      </c>
      <c r="F4782" t="str">
        <f>"5907231924"</f>
        <v>5907231924</v>
      </c>
      <c r="G4782" s="1">
        <v>44697</v>
      </c>
      <c r="H4782" t="str">
        <f>"94229"</f>
        <v>94229</v>
      </c>
      <c r="I4782">
        <v>8</v>
      </c>
      <c r="J4782">
        <v>4944</v>
      </c>
      <c r="K4782">
        <v>0</v>
      </c>
      <c r="L4782">
        <v>4202.3999999999996</v>
      </c>
    </row>
    <row r="4783" spans="1:12" x14ac:dyDescent="0.25">
      <c r="A4783" t="str">
        <f t="shared" si="1053"/>
        <v>89301000</v>
      </c>
      <c r="B4783" t="str">
        <f>"44564000"</f>
        <v>44564000</v>
      </c>
      <c r="C4783" t="str">
        <f>"44564006"</f>
        <v>44564006</v>
      </c>
      <c r="D4783" t="str">
        <f>"816"</f>
        <v>816</v>
      </c>
      <c r="E4783" t="str">
        <f t="shared" si="1061"/>
        <v>89301212</v>
      </c>
      <c r="F4783" t="str">
        <f>"5907231924"</f>
        <v>5907231924</v>
      </c>
      <c r="G4783" s="1">
        <v>44697</v>
      </c>
      <c r="H4783" t="str">
        <f>"94365"</f>
        <v>94365</v>
      </c>
      <c r="I4783">
        <v>1</v>
      </c>
      <c r="J4783">
        <v>36422</v>
      </c>
      <c r="K4783">
        <v>0</v>
      </c>
      <c r="L4783">
        <v>30958.7</v>
      </c>
    </row>
    <row r="4784" spans="1:12" x14ac:dyDescent="0.25">
      <c r="A4784" t="str">
        <f t="shared" si="1053"/>
        <v>89301000</v>
      </c>
      <c r="B4784" t="str">
        <f>"06515000"</f>
        <v>06515000</v>
      </c>
      <c r="C4784" t="str">
        <f>"06515006"</f>
        <v>06515006</v>
      </c>
      <c r="D4784" t="str">
        <f>"813"</f>
        <v>813</v>
      </c>
      <c r="E4784" t="str">
        <f>"89301162"</f>
        <v>89301162</v>
      </c>
      <c r="F4784" t="str">
        <f>"7812285305"</f>
        <v>7812285305</v>
      </c>
      <c r="G4784" s="1">
        <v>44701</v>
      </c>
      <c r="H4784" t="str">
        <f>"91221"</f>
        <v>91221</v>
      </c>
      <c r="I4784">
        <v>7</v>
      </c>
      <c r="J4784">
        <v>1477</v>
      </c>
      <c r="K4784">
        <v>0</v>
      </c>
      <c r="L4784">
        <v>1152.06</v>
      </c>
    </row>
    <row r="4785" spans="1:12" x14ac:dyDescent="0.25">
      <c r="A4785" t="str">
        <f t="shared" si="1053"/>
        <v>89301000</v>
      </c>
      <c r="B4785" t="str">
        <f>"06515000"</f>
        <v>06515000</v>
      </c>
      <c r="C4785" t="str">
        <f>"06515005"</f>
        <v>06515005</v>
      </c>
      <c r="D4785" t="str">
        <f>"802"</f>
        <v>802</v>
      </c>
      <c r="E4785" t="str">
        <f>"89301102"</f>
        <v>89301102</v>
      </c>
      <c r="F4785" t="str">
        <f>"0552122219"</f>
        <v>0552122219</v>
      </c>
      <c r="G4785" s="1">
        <v>44701</v>
      </c>
      <c r="H4785" t="str">
        <f>"82079"</f>
        <v>82079</v>
      </c>
      <c r="I4785">
        <v>2</v>
      </c>
      <c r="J4785">
        <v>664</v>
      </c>
      <c r="K4785">
        <v>0</v>
      </c>
      <c r="L4785">
        <v>604.24</v>
      </c>
    </row>
    <row r="4786" spans="1:12" x14ac:dyDescent="0.25">
      <c r="A4786" t="str">
        <f t="shared" si="1053"/>
        <v>89301000</v>
      </c>
      <c r="B4786" t="str">
        <f t="shared" ref="B4786:C4803" si="1062">"87669000"</f>
        <v>87669000</v>
      </c>
      <c r="C4786" t="str">
        <f t="shared" si="1062"/>
        <v>87669000</v>
      </c>
      <c r="D4786" t="str">
        <f t="shared" ref="D4786:D4803" si="1063">"801"</f>
        <v>801</v>
      </c>
      <c r="E4786" t="str">
        <f t="shared" ref="E4786:E4803" si="1064">"89301167"</f>
        <v>89301167</v>
      </c>
      <c r="F4786" t="str">
        <f t="shared" ref="F4786:F4803" si="1065">"480710460"</f>
        <v>480710460</v>
      </c>
      <c r="G4786" s="1">
        <v>44712</v>
      </c>
      <c r="H4786" t="str">
        <f>"81329"</f>
        <v>81329</v>
      </c>
      <c r="I4786">
        <v>1</v>
      </c>
      <c r="J4786">
        <v>16</v>
      </c>
      <c r="K4786">
        <v>0</v>
      </c>
      <c r="L4786">
        <v>12.48</v>
      </c>
    </row>
    <row r="4787" spans="1:12" x14ac:dyDescent="0.25">
      <c r="A4787" t="str">
        <f t="shared" si="1053"/>
        <v>89301000</v>
      </c>
      <c r="B4787" t="str">
        <f t="shared" si="1062"/>
        <v>87669000</v>
      </c>
      <c r="C4787" t="str">
        <f t="shared" si="1062"/>
        <v>87669000</v>
      </c>
      <c r="D4787" t="str">
        <f t="shared" si="1063"/>
        <v>801</v>
      </c>
      <c r="E4787" t="str">
        <f t="shared" si="1064"/>
        <v>89301167</v>
      </c>
      <c r="F4787" t="str">
        <f t="shared" si="1065"/>
        <v>480710460</v>
      </c>
      <c r="G4787" s="1">
        <v>44712</v>
      </c>
      <c r="H4787" t="str">
        <f>"81337"</f>
        <v>81337</v>
      </c>
      <c r="I4787">
        <v>1</v>
      </c>
      <c r="J4787">
        <v>19</v>
      </c>
      <c r="K4787">
        <v>0</v>
      </c>
      <c r="L4787">
        <v>14.82</v>
      </c>
    </row>
    <row r="4788" spans="1:12" x14ac:dyDescent="0.25">
      <c r="A4788" t="str">
        <f t="shared" si="1053"/>
        <v>89301000</v>
      </c>
      <c r="B4788" t="str">
        <f t="shared" si="1062"/>
        <v>87669000</v>
      </c>
      <c r="C4788" t="str">
        <f t="shared" si="1062"/>
        <v>87669000</v>
      </c>
      <c r="D4788" t="str">
        <f t="shared" si="1063"/>
        <v>801</v>
      </c>
      <c r="E4788" t="str">
        <f t="shared" si="1064"/>
        <v>89301167</v>
      </c>
      <c r="F4788" t="str">
        <f t="shared" si="1065"/>
        <v>480710460</v>
      </c>
      <c r="G4788" s="1">
        <v>44712</v>
      </c>
      <c r="H4788" t="str">
        <f>"81625"</f>
        <v>81625</v>
      </c>
      <c r="I4788">
        <v>1</v>
      </c>
      <c r="J4788">
        <v>20</v>
      </c>
      <c r="K4788">
        <v>0</v>
      </c>
      <c r="L4788">
        <v>15.6</v>
      </c>
    </row>
    <row r="4789" spans="1:12" x14ac:dyDescent="0.25">
      <c r="A4789" t="str">
        <f t="shared" si="1053"/>
        <v>89301000</v>
      </c>
      <c r="B4789" t="str">
        <f t="shared" si="1062"/>
        <v>87669000</v>
      </c>
      <c r="C4789" t="str">
        <f t="shared" si="1062"/>
        <v>87669000</v>
      </c>
      <c r="D4789" t="str">
        <f t="shared" si="1063"/>
        <v>801</v>
      </c>
      <c r="E4789" t="str">
        <f t="shared" si="1064"/>
        <v>89301167</v>
      </c>
      <c r="F4789" t="str">
        <f t="shared" si="1065"/>
        <v>480710460</v>
      </c>
      <c r="G4789" s="1">
        <v>44712</v>
      </c>
      <c r="H4789" t="str">
        <f>"91153"</f>
        <v>91153</v>
      </c>
      <c r="I4789">
        <v>1</v>
      </c>
      <c r="J4789">
        <v>152</v>
      </c>
      <c r="K4789">
        <v>0</v>
      </c>
      <c r="L4789">
        <v>118.56</v>
      </c>
    </row>
    <row r="4790" spans="1:12" x14ac:dyDescent="0.25">
      <c r="A4790" t="str">
        <f t="shared" si="1053"/>
        <v>89301000</v>
      </c>
      <c r="B4790" t="str">
        <f t="shared" si="1062"/>
        <v>87669000</v>
      </c>
      <c r="C4790" t="str">
        <f t="shared" si="1062"/>
        <v>87669000</v>
      </c>
      <c r="D4790" t="str">
        <f t="shared" si="1063"/>
        <v>801</v>
      </c>
      <c r="E4790" t="str">
        <f t="shared" si="1064"/>
        <v>89301167</v>
      </c>
      <c r="F4790" t="str">
        <f t="shared" si="1065"/>
        <v>480710460</v>
      </c>
      <c r="G4790" s="1">
        <v>44712</v>
      </c>
      <c r="H4790" t="str">
        <f>"96167"</f>
        <v>96167</v>
      </c>
      <c r="I4790">
        <v>1</v>
      </c>
      <c r="J4790">
        <v>67</v>
      </c>
      <c r="K4790">
        <v>0</v>
      </c>
      <c r="L4790">
        <v>52.26</v>
      </c>
    </row>
    <row r="4791" spans="1:12" x14ac:dyDescent="0.25">
      <c r="A4791" t="str">
        <f t="shared" si="1053"/>
        <v>89301000</v>
      </c>
      <c r="B4791" t="str">
        <f t="shared" si="1062"/>
        <v>87669000</v>
      </c>
      <c r="C4791" t="str">
        <f t="shared" si="1062"/>
        <v>87669000</v>
      </c>
      <c r="D4791" t="str">
        <f t="shared" si="1063"/>
        <v>801</v>
      </c>
      <c r="E4791" t="str">
        <f t="shared" si="1064"/>
        <v>89301167</v>
      </c>
      <c r="F4791" t="str">
        <f t="shared" si="1065"/>
        <v>480710460</v>
      </c>
      <c r="G4791" s="1">
        <v>44712</v>
      </c>
      <c r="H4791" t="str">
        <f>"97111"</f>
        <v>97111</v>
      </c>
      <c r="I4791">
        <v>2</v>
      </c>
      <c r="J4791">
        <v>36</v>
      </c>
      <c r="K4791">
        <v>0</v>
      </c>
      <c r="L4791">
        <v>28.08</v>
      </c>
    </row>
    <row r="4792" spans="1:12" x14ac:dyDescent="0.25">
      <c r="A4792" t="str">
        <f t="shared" si="1053"/>
        <v>89301000</v>
      </c>
      <c r="B4792" t="str">
        <f t="shared" si="1062"/>
        <v>87669000</v>
      </c>
      <c r="C4792" t="str">
        <f t="shared" si="1062"/>
        <v>87669000</v>
      </c>
      <c r="D4792" t="str">
        <f t="shared" si="1063"/>
        <v>801</v>
      </c>
      <c r="E4792" t="str">
        <f t="shared" si="1064"/>
        <v>89301167</v>
      </c>
      <c r="F4792" t="str">
        <f t="shared" si="1065"/>
        <v>480710460</v>
      </c>
      <c r="G4792" s="1">
        <v>44712</v>
      </c>
      <c r="H4792" t="str">
        <f>"81439"</f>
        <v>81439</v>
      </c>
      <c r="I4792">
        <v>1</v>
      </c>
      <c r="J4792">
        <v>16</v>
      </c>
      <c r="K4792">
        <v>0</v>
      </c>
      <c r="L4792">
        <v>12.48</v>
      </c>
    </row>
    <row r="4793" spans="1:12" x14ac:dyDescent="0.25">
      <c r="A4793" t="str">
        <f t="shared" si="1053"/>
        <v>89301000</v>
      </c>
      <c r="B4793" t="str">
        <f t="shared" si="1062"/>
        <v>87669000</v>
      </c>
      <c r="C4793" t="str">
        <f t="shared" si="1062"/>
        <v>87669000</v>
      </c>
      <c r="D4793" t="str">
        <f t="shared" si="1063"/>
        <v>801</v>
      </c>
      <c r="E4793" t="str">
        <f t="shared" si="1064"/>
        <v>89301167</v>
      </c>
      <c r="F4793" t="str">
        <f t="shared" si="1065"/>
        <v>480710460</v>
      </c>
      <c r="G4793" s="1">
        <v>44712</v>
      </c>
      <c r="H4793" t="str">
        <f>"81465"</f>
        <v>81465</v>
      </c>
      <c r="I4793">
        <v>1</v>
      </c>
      <c r="J4793">
        <v>21</v>
      </c>
      <c r="K4793">
        <v>0</v>
      </c>
      <c r="L4793">
        <v>16.38</v>
      </c>
    </row>
    <row r="4794" spans="1:12" x14ac:dyDescent="0.25">
      <c r="A4794" t="str">
        <f t="shared" si="1053"/>
        <v>89301000</v>
      </c>
      <c r="B4794" t="str">
        <f t="shared" si="1062"/>
        <v>87669000</v>
      </c>
      <c r="C4794" t="str">
        <f t="shared" si="1062"/>
        <v>87669000</v>
      </c>
      <c r="D4794" t="str">
        <f t="shared" si="1063"/>
        <v>801</v>
      </c>
      <c r="E4794" t="str">
        <f t="shared" si="1064"/>
        <v>89301167</v>
      </c>
      <c r="F4794" t="str">
        <f t="shared" si="1065"/>
        <v>480710460</v>
      </c>
      <c r="G4794" s="1">
        <v>44712</v>
      </c>
      <c r="H4794" t="str">
        <f>"81469"</f>
        <v>81469</v>
      </c>
      <c r="I4794">
        <v>1</v>
      </c>
      <c r="J4794">
        <v>16</v>
      </c>
      <c r="K4794">
        <v>0</v>
      </c>
      <c r="L4794">
        <v>12.48</v>
      </c>
    </row>
    <row r="4795" spans="1:12" x14ac:dyDescent="0.25">
      <c r="A4795" t="str">
        <f t="shared" si="1053"/>
        <v>89301000</v>
      </c>
      <c r="B4795" t="str">
        <f t="shared" si="1062"/>
        <v>87669000</v>
      </c>
      <c r="C4795" t="str">
        <f t="shared" si="1062"/>
        <v>87669000</v>
      </c>
      <c r="D4795" t="str">
        <f t="shared" si="1063"/>
        <v>801</v>
      </c>
      <c r="E4795" t="str">
        <f t="shared" si="1064"/>
        <v>89301167</v>
      </c>
      <c r="F4795" t="str">
        <f t="shared" si="1065"/>
        <v>480710460</v>
      </c>
      <c r="G4795" s="1">
        <v>44712</v>
      </c>
      <c r="H4795" t="str">
        <f>"81499"</f>
        <v>81499</v>
      </c>
      <c r="I4795">
        <v>1</v>
      </c>
      <c r="J4795">
        <v>18</v>
      </c>
      <c r="K4795">
        <v>0</v>
      </c>
      <c r="L4795">
        <v>14.04</v>
      </c>
    </row>
    <row r="4796" spans="1:12" x14ac:dyDescent="0.25">
      <c r="A4796" t="str">
        <f t="shared" si="1053"/>
        <v>89301000</v>
      </c>
      <c r="B4796" t="str">
        <f t="shared" si="1062"/>
        <v>87669000</v>
      </c>
      <c r="C4796" t="str">
        <f t="shared" si="1062"/>
        <v>87669000</v>
      </c>
      <c r="D4796" t="str">
        <f t="shared" si="1063"/>
        <v>801</v>
      </c>
      <c r="E4796" t="str">
        <f t="shared" si="1064"/>
        <v>89301167</v>
      </c>
      <c r="F4796" t="str">
        <f t="shared" si="1065"/>
        <v>480710460</v>
      </c>
      <c r="G4796" s="1">
        <v>44712</v>
      </c>
      <c r="H4796" t="str">
        <f>"81593"</f>
        <v>81593</v>
      </c>
      <c r="I4796">
        <v>1</v>
      </c>
      <c r="J4796">
        <v>22</v>
      </c>
      <c r="K4796">
        <v>0</v>
      </c>
      <c r="L4796">
        <v>17.16</v>
      </c>
    </row>
    <row r="4797" spans="1:12" x14ac:dyDescent="0.25">
      <c r="A4797" t="str">
        <f t="shared" si="1053"/>
        <v>89301000</v>
      </c>
      <c r="B4797" t="str">
        <f t="shared" si="1062"/>
        <v>87669000</v>
      </c>
      <c r="C4797" t="str">
        <f t="shared" si="1062"/>
        <v>87669000</v>
      </c>
      <c r="D4797" t="str">
        <f t="shared" si="1063"/>
        <v>801</v>
      </c>
      <c r="E4797" t="str">
        <f t="shared" si="1064"/>
        <v>89301167</v>
      </c>
      <c r="F4797" t="str">
        <f t="shared" si="1065"/>
        <v>480710460</v>
      </c>
      <c r="G4797" s="1">
        <v>44712</v>
      </c>
      <c r="H4797" t="str">
        <f>"81621"</f>
        <v>81621</v>
      </c>
      <c r="I4797">
        <v>1</v>
      </c>
      <c r="J4797">
        <v>19</v>
      </c>
      <c r="K4797">
        <v>0</v>
      </c>
      <c r="L4797">
        <v>14.82</v>
      </c>
    </row>
    <row r="4798" spans="1:12" x14ac:dyDescent="0.25">
      <c r="A4798" t="str">
        <f t="shared" si="1053"/>
        <v>89301000</v>
      </c>
      <c r="B4798" t="str">
        <f t="shared" si="1062"/>
        <v>87669000</v>
      </c>
      <c r="C4798" t="str">
        <f t="shared" si="1062"/>
        <v>87669000</v>
      </c>
      <c r="D4798" t="str">
        <f t="shared" si="1063"/>
        <v>801</v>
      </c>
      <c r="E4798" t="str">
        <f t="shared" si="1064"/>
        <v>89301167</v>
      </c>
      <c r="F4798" t="str">
        <f t="shared" si="1065"/>
        <v>480710460</v>
      </c>
      <c r="G4798" s="1">
        <v>44712</v>
      </c>
      <c r="H4798" t="str">
        <f>"81357"</f>
        <v>81357</v>
      </c>
      <c r="I4798">
        <v>1</v>
      </c>
      <c r="J4798">
        <v>19</v>
      </c>
      <c r="K4798">
        <v>0</v>
      </c>
      <c r="L4798">
        <v>14.82</v>
      </c>
    </row>
    <row r="4799" spans="1:12" x14ac:dyDescent="0.25">
      <c r="A4799" t="str">
        <f t="shared" si="1053"/>
        <v>89301000</v>
      </c>
      <c r="B4799" t="str">
        <f t="shared" si="1062"/>
        <v>87669000</v>
      </c>
      <c r="C4799" t="str">
        <f t="shared" si="1062"/>
        <v>87669000</v>
      </c>
      <c r="D4799" t="str">
        <f t="shared" si="1063"/>
        <v>801</v>
      </c>
      <c r="E4799" t="str">
        <f t="shared" si="1064"/>
        <v>89301167</v>
      </c>
      <c r="F4799" t="str">
        <f t="shared" si="1065"/>
        <v>480710460</v>
      </c>
      <c r="G4799" s="1">
        <v>44712</v>
      </c>
      <c r="H4799" t="str">
        <f>"81361"</f>
        <v>81361</v>
      </c>
      <c r="I4799">
        <v>1</v>
      </c>
      <c r="J4799">
        <v>17</v>
      </c>
      <c r="K4799">
        <v>0</v>
      </c>
      <c r="L4799">
        <v>13.26</v>
      </c>
    </row>
    <row r="4800" spans="1:12" x14ac:dyDescent="0.25">
      <c r="A4800" t="str">
        <f t="shared" si="1053"/>
        <v>89301000</v>
      </c>
      <c r="B4800" t="str">
        <f t="shared" si="1062"/>
        <v>87669000</v>
      </c>
      <c r="C4800" t="str">
        <f t="shared" si="1062"/>
        <v>87669000</v>
      </c>
      <c r="D4800" t="str">
        <f t="shared" si="1063"/>
        <v>801</v>
      </c>
      <c r="E4800" t="str">
        <f t="shared" si="1064"/>
        <v>89301167</v>
      </c>
      <c r="F4800" t="str">
        <f t="shared" si="1065"/>
        <v>480710460</v>
      </c>
      <c r="G4800" s="1">
        <v>44712</v>
      </c>
      <c r="H4800" t="str">
        <f>"81393"</f>
        <v>81393</v>
      </c>
      <c r="I4800">
        <v>1</v>
      </c>
      <c r="J4800">
        <v>24</v>
      </c>
      <c r="K4800">
        <v>0</v>
      </c>
      <c r="L4800">
        <v>18.72</v>
      </c>
    </row>
    <row r="4801" spans="1:12" x14ac:dyDescent="0.25">
      <c r="A4801" t="str">
        <f t="shared" si="1053"/>
        <v>89301000</v>
      </c>
      <c r="B4801" t="str">
        <f t="shared" si="1062"/>
        <v>87669000</v>
      </c>
      <c r="C4801" t="str">
        <f t="shared" si="1062"/>
        <v>87669000</v>
      </c>
      <c r="D4801" t="str">
        <f t="shared" si="1063"/>
        <v>801</v>
      </c>
      <c r="E4801" t="str">
        <f t="shared" si="1064"/>
        <v>89301167</v>
      </c>
      <c r="F4801" t="str">
        <f t="shared" si="1065"/>
        <v>480710460</v>
      </c>
      <c r="G4801" s="1">
        <v>44712</v>
      </c>
      <c r="H4801" t="str">
        <f>"81421"</f>
        <v>81421</v>
      </c>
      <c r="I4801">
        <v>1</v>
      </c>
      <c r="J4801">
        <v>19</v>
      </c>
      <c r="K4801">
        <v>0</v>
      </c>
      <c r="L4801">
        <v>14.82</v>
      </c>
    </row>
    <row r="4802" spans="1:12" x14ac:dyDescent="0.25">
      <c r="A4802" t="str">
        <f t="shared" ref="A4802:A4865" si="1066">"89301000"</f>
        <v>89301000</v>
      </c>
      <c r="B4802" t="str">
        <f t="shared" si="1062"/>
        <v>87669000</v>
      </c>
      <c r="C4802" t="str">
        <f t="shared" si="1062"/>
        <v>87669000</v>
      </c>
      <c r="D4802" t="str">
        <f t="shared" si="1063"/>
        <v>801</v>
      </c>
      <c r="E4802" t="str">
        <f t="shared" si="1064"/>
        <v>89301167</v>
      </c>
      <c r="F4802" t="str">
        <f t="shared" si="1065"/>
        <v>480710460</v>
      </c>
      <c r="G4802" s="1">
        <v>44712</v>
      </c>
      <c r="H4802" t="str">
        <f>"81427"</f>
        <v>81427</v>
      </c>
      <c r="I4802">
        <v>1</v>
      </c>
      <c r="J4802">
        <v>18</v>
      </c>
      <c r="K4802">
        <v>0</v>
      </c>
      <c r="L4802">
        <v>14.04</v>
      </c>
    </row>
    <row r="4803" spans="1:12" x14ac:dyDescent="0.25">
      <c r="A4803" t="str">
        <f t="shared" si="1066"/>
        <v>89301000</v>
      </c>
      <c r="B4803" t="str">
        <f t="shared" si="1062"/>
        <v>87669000</v>
      </c>
      <c r="C4803" t="str">
        <f t="shared" si="1062"/>
        <v>87669000</v>
      </c>
      <c r="D4803" t="str">
        <f t="shared" si="1063"/>
        <v>801</v>
      </c>
      <c r="E4803" t="str">
        <f t="shared" si="1064"/>
        <v>89301167</v>
      </c>
      <c r="F4803" t="str">
        <f t="shared" si="1065"/>
        <v>480710460</v>
      </c>
      <c r="G4803" s="1">
        <v>44712</v>
      </c>
      <c r="H4803" t="str">
        <f>"81435"</f>
        <v>81435</v>
      </c>
      <c r="I4803">
        <v>1</v>
      </c>
      <c r="J4803">
        <v>22</v>
      </c>
      <c r="K4803">
        <v>0</v>
      </c>
      <c r="L4803">
        <v>17.16</v>
      </c>
    </row>
    <row r="4804" spans="1:12" x14ac:dyDescent="0.25">
      <c r="A4804" t="str">
        <f t="shared" si="1066"/>
        <v>89301000</v>
      </c>
      <c r="B4804" t="str">
        <f t="shared" ref="B4804:B4835" si="1067">"72077000"</f>
        <v>72077000</v>
      </c>
      <c r="C4804" t="str">
        <f t="shared" ref="C4804:C4835" si="1068">"72077001"</f>
        <v>72077001</v>
      </c>
      <c r="D4804" t="str">
        <f t="shared" ref="D4804:D4835" si="1069">"813"</f>
        <v>813</v>
      </c>
      <c r="E4804" t="str">
        <f t="shared" ref="E4804:E4820" si="1070">"89301152"</f>
        <v>89301152</v>
      </c>
      <c r="F4804" t="str">
        <f>"8061145312"</f>
        <v>8061145312</v>
      </c>
      <c r="G4804" s="1">
        <v>44707</v>
      </c>
      <c r="H4804" t="str">
        <f>"91197"</f>
        <v>91197</v>
      </c>
      <c r="I4804">
        <v>1</v>
      </c>
      <c r="J4804">
        <v>1046</v>
      </c>
      <c r="K4804">
        <v>0</v>
      </c>
      <c r="L4804">
        <v>815.88</v>
      </c>
    </row>
    <row r="4805" spans="1:12" x14ac:dyDescent="0.25">
      <c r="A4805" t="str">
        <f t="shared" si="1066"/>
        <v>89301000</v>
      </c>
      <c r="B4805" t="str">
        <f t="shared" si="1067"/>
        <v>72077000</v>
      </c>
      <c r="C4805" t="str">
        <f t="shared" si="1068"/>
        <v>72077001</v>
      </c>
      <c r="D4805" t="str">
        <f t="shared" si="1069"/>
        <v>813</v>
      </c>
      <c r="E4805" t="str">
        <f t="shared" si="1070"/>
        <v>89301152</v>
      </c>
      <c r="F4805" t="str">
        <f>"8061145312"</f>
        <v>8061145312</v>
      </c>
      <c r="G4805" s="1">
        <v>44712</v>
      </c>
      <c r="H4805" t="str">
        <f>"91465"</f>
        <v>91465</v>
      </c>
      <c r="I4805">
        <v>1</v>
      </c>
      <c r="J4805">
        <v>1404</v>
      </c>
      <c r="K4805">
        <v>0</v>
      </c>
      <c r="L4805">
        <v>1095.1199999999999</v>
      </c>
    </row>
    <row r="4806" spans="1:12" x14ac:dyDescent="0.25">
      <c r="A4806" t="str">
        <f t="shared" si="1066"/>
        <v>89301000</v>
      </c>
      <c r="B4806" t="str">
        <f t="shared" si="1067"/>
        <v>72077000</v>
      </c>
      <c r="C4806" t="str">
        <f t="shared" si="1068"/>
        <v>72077001</v>
      </c>
      <c r="D4806" t="str">
        <f t="shared" si="1069"/>
        <v>813</v>
      </c>
      <c r="E4806" t="str">
        <f t="shared" si="1070"/>
        <v>89301152</v>
      </c>
      <c r="F4806" t="str">
        <f>"9958305709"</f>
        <v>9958305709</v>
      </c>
      <c r="G4806" s="1">
        <v>44684</v>
      </c>
      <c r="H4806" t="str">
        <f>"91465"</f>
        <v>91465</v>
      </c>
      <c r="I4806">
        <v>1</v>
      </c>
      <c r="J4806">
        <v>1404</v>
      </c>
      <c r="K4806">
        <v>0</v>
      </c>
      <c r="L4806">
        <v>1095.1199999999999</v>
      </c>
    </row>
    <row r="4807" spans="1:12" x14ac:dyDescent="0.25">
      <c r="A4807" t="str">
        <f t="shared" si="1066"/>
        <v>89301000</v>
      </c>
      <c r="B4807" t="str">
        <f t="shared" si="1067"/>
        <v>72077000</v>
      </c>
      <c r="C4807" t="str">
        <f t="shared" si="1068"/>
        <v>72077001</v>
      </c>
      <c r="D4807" t="str">
        <f t="shared" si="1069"/>
        <v>813</v>
      </c>
      <c r="E4807" t="str">
        <f t="shared" si="1070"/>
        <v>89301152</v>
      </c>
      <c r="F4807" t="str">
        <f>"7757184457"</f>
        <v>7757184457</v>
      </c>
      <c r="G4807" s="1">
        <v>44684</v>
      </c>
      <c r="H4807" t="str">
        <f>"91465"</f>
        <v>91465</v>
      </c>
      <c r="I4807">
        <v>1</v>
      </c>
      <c r="J4807">
        <v>1404</v>
      </c>
      <c r="K4807">
        <v>0</v>
      </c>
      <c r="L4807">
        <v>1095.1199999999999</v>
      </c>
    </row>
    <row r="4808" spans="1:12" x14ac:dyDescent="0.25">
      <c r="A4808" t="str">
        <f t="shared" si="1066"/>
        <v>89301000</v>
      </c>
      <c r="B4808" t="str">
        <f t="shared" si="1067"/>
        <v>72077000</v>
      </c>
      <c r="C4808" t="str">
        <f t="shared" si="1068"/>
        <v>72077001</v>
      </c>
      <c r="D4808" t="str">
        <f t="shared" si="1069"/>
        <v>813</v>
      </c>
      <c r="E4808" t="str">
        <f t="shared" si="1070"/>
        <v>89301152</v>
      </c>
      <c r="F4808" t="str">
        <f>"6754212454"</f>
        <v>6754212454</v>
      </c>
      <c r="G4808" s="1">
        <v>44684</v>
      </c>
      <c r="H4808" t="str">
        <f>"91465"</f>
        <v>91465</v>
      </c>
      <c r="I4808">
        <v>1</v>
      </c>
      <c r="J4808">
        <v>1404</v>
      </c>
      <c r="K4808">
        <v>0</v>
      </c>
      <c r="L4808">
        <v>1095.1199999999999</v>
      </c>
    </row>
    <row r="4809" spans="1:12" x14ac:dyDescent="0.25">
      <c r="A4809" t="str">
        <f t="shared" si="1066"/>
        <v>89301000</v>
      </c>
      <c r="B4809" t="str">
        <f t="shared" si="1067"/>
        <v>72077000</v>
      </c>
      <c r="C4809" t="str">
        <f t="shared" si="1068"/>
        <v>72077001</v>
      </c>
      <c r="D4809" t="str">
        <f t="shared" si="1069"/>
        <v>813</v>
      </c>
      <c r="E4809" t="str">
        <f t="shared" si="1070"/>
        <v>89301152</v>
      </c>
      <c r="F4809" t="str">
        <f>"7405015805"</f>
        <v>7405015805</v>
      </c>
      <c r="G4809" s="1">
        <v>44687</v>
      </c>
      <c r="H4809" t="str">
        <f>"91219"</f>
        <v>91219</v>
      </c>
      <c r="I4809">
        <v>1</v>
      </c>
      <c r="J4809">
        <v>342</v>
      </c>
      <c r="K4809">
        <v>0</v>
      </c>
      <c r="L4809">
        <v>266.76</v>
      </c>
    </row>
    <row r="4810" spans="1:12" x14ac:dyDescent="0.25">
      <c r="A4810" t="str">
        <f t="shared" si="1066"/>
        <v>89301000</v>
      </c>
      <c r="B4810" t="str">
        <f t="shared" si="1067"/>
        <v>72077000</v>
      </c>
      <c r="C4810" t="str">
        <f t="shared" si="1068"/>
        <v>72077001</v>
      </c>
      <c r="D4810" t="str">
        <f t="shared" si="1069"/>
        <v>813</v>
      </c>
      <c r="E4810" t="str">
        <f t="shared" si="1070"/>
        <v>89301152</v>
      </c>
      <c r="F4810" t="str">
        <f>"7405015805"</f>
        <v>7405015805</v>
      </c>
      <c r="G4810" s="1">
        <v>44687</v>
      </c>
      <c r="H4810" t="str">
        <f>"91219"</f>
        <v>91219</v>
      </c>
      <c r="I4810">
        <v>1</v>
      </c>
      <c r="J4810">
        <v>342</v>
      </c>
      <c r="K4810">
        <v>0</v>
      </c>
      <c r="L4810">
        <v>266.76</v>
      </c>
    </row>
    <row r="4811" spans="1:12" x14ac:dyDescent="0.25">
      <c r="A4811" t="str">
        <f t="shared" si="1066"/>
        <v>89301000</v>
      </c>
      <c r="B4811" t="str">
        <f t="shared" si="1067"/>
        <v>72077000</v>
      </c>
      <c r="C4811" t="str">
        <f t="shared" si="1068"/>
        <v>72077001</v>
      </c>
      <c r="D4811" t="str">
        <f t="shared" si="1069"/>
        <v>813</v>
      </c>
      <c r="E4811" t="str">
        <f t="shared" si="1070"/>
        <v>89301152</v>
      </c>
      <c r="F4811" t="str">
        <f>"7405015805"</f>
        <v>7405015805</v>
      </c>
      <c r="G4811" s="1">
        <v>44687</v>
      </c>
      <c r="H4811" t="str">
        <f>"91219"</f>
        <v>91219</v>
      </c>
      <c r="I4811">
        <v>1</v>
      </c>
      <c r="J4811">
        <v>342</v>
      </c>
      <c r="K4811">
        <v>0</v>
      </c>
      <c r="L4811">
        <v>266.76</v>
      </c>
    </row>
    <row r="4812" spans="1:12" x14ac:dyDescent="0.25">
      <c r="A4812" t="str">
        <f t="shared" si="1066"/>
        <v>89301000</v>
      </c>
      <c r="B4812" t="str">
        <f t="shared" si="1067"/>
        <v>72077000</v>
      </c>
      <c r="C4812" t="str">
        <f t="shared" si="1068"/>
        <v>72077001</v>
      </c>
      <c r="D4812" t="str">
        <f t="shared" si="1069"/>
        <v>813</v>
      </c>
      <c r="E4812" t="str">
        <f t="shared" si="1070"/>
        <v>89301152</v>
      </c>
      <c r="F4812" t="str">
        <f>"7405015805"</f>
        <v>7405015805</v>
      </c>
      <c r="G4812" s="1">
        <v>44687</v>
      </c>
      <c r="H4812" t="str">
        <f>"91219"</f>
        <v>91219</v>
      </c>
      <c r="I4812">
        <v>1</v>
      </c>
      <c r="J4812">
        <v>342</v>
      </c>
      <c r="K4812">
        <v>0</v>
      </c>
      <c r="L4812">
        <v>266.76</v>
      </c>
    </row>
    <row r="4813" spans="1:12" x14ac:dyDescent="0.25">
      <c r="A4813" t="str">
        <f t="shared" si="1066"/>
        <v>89301000</v>
      </c>
      <c r="B4813" t="str">
        <f t="shared" si="1067"/>
        <v>72077000</v>
      </c>
      <c r="C4813" t="str">
        <f t="shared" si="1068"/>
        <v>72077001</v>
      </c>
      <c r="D4813" t="str">
        <f t="shared" si="1069"/>
        <v>813</v>
      </c>
      <c r="E4813" t="str">
        <f t="shared" si="1070"/>
        <v>89301152</v>
      </c>
      <c r="F4813" t="str">
        <f>"7405015805"</f>
        <v>7405015805</v>
      </c>
      <c r="G4813" s="1">
        <v>44687</v>
      </c>
      <c r="H4813" t="str">
        <f>"91219"</f>
        <v>91219</v>
      </c>
      <c r="I4813">
        <v>1</v>
      </c>
      <c r="J4813">
        <v>342</v>
      </c>
      <c r="K4813">
        <v>0</v>
      </c>
      <c r="L4813">
        <v>266.76</v>
      </c>
    </row>
    <row r="4814" spans="1:12" x14ac:dyDescent="0.25">
      <c r="A4814" t="str">
        <f t="shared" si="1066"/>
        <v>89301000</v>
      </c>
      <c r="B4814" t="str">
        <f t="shared" si="1067"/>
        <v>72077000</v>
      </c>
      <c r="C4814" t="str">
        <f t="shared" si="1068"/>
        <v>72077001</v>
      </c>
      <c r="D4814" t="str">
        <f t="shared" si="1069"/>
        <v>813</v>
      </c>
      <c r="E4814" t="str">
        <f t="shared" si="1070"/>
        <v>89301152</v>
      </c>
      <c r="F4814" t="str">
        <f>"5612040962"</f>
        <v>5612040962</v>
      </c>
      <c r="G4814" s="1">
        <v>44685</v>
      </c>
      <c r="H4814" t="str">
        <f>"91197"</f>
        <v>91197</v>
      </c>
      <c r="I4814">
        <v>1</v>
      </c>
      <c r="J4814">
        <v>1046</v>
      </c>
      <c r="K4814">
        <v>0</v>
      </c>
      <c r="L4814">
        <v>815.88</v>
      </c>
    </row>
    <row r="4815" spans="1:12" x14ac:dyDescent="0.25">
      <c r="A4815" t="str">
        <f t="shared" si="1066"/>
        <v>89301000</v>
      </c>
      <c r="B4815" t="str">
        <f t="shared" si="1067"/>
        <v>72077000</v>
      </c>
      <c r="C4815" t="str">
        <f t="shared" si="1068"/>
        <v>72077001</v>
      </c>
      <c r="D4815" t="str">
        <f t="shared" si="1069"/>
        <v>813</v>
      </c>
      <c r="E4815" t="str">
        <f t="shared" si="1070"/>
        <v>89301152</v>
      </c>
      <c r="F4815" t="str">
        <f>"5612040962"</f>
        <v>5612040962</v>
      </c>
      <c r="G4815" s="1">
        <v>44686</v>
      </c>
      <c r="H4815" t="str">
        <f>"91465"</f>
        <v>91465</v>
      </c>
      <c r="I4815">
        <v>1</v>
      </c>
      <c r="J4815">
        <v>1404</v>
      </c>
      <c r="K4815">
        <v>0</v>
      </c>
      <c r="L4815">
        <v>1095.1199999999999</v>
      </c>
    </row>
    <row r="4816" spans="1:12" x14ac:dyDescent="0.25">
      <c r="A4816" t="str">
        <f t="shared" si="1066"/>
        <v>89301000</v>
      </c>
      <c r="B4816" t="str">
        <f t="shared" si="1067"/>
        <v>72077000</v>
      </c>
      <c r="C4816" t="str">
        <f t="shared" si="1068"/>
        <v>72077001</v>
      </c>
      <c r="D4816" t="str">
        <f t="shared" si="1069"/>
        <v>813</v>
      </c>
      <c r="E4816" t="str">
        <f t="shared" si="1070"/>
        <v>89301152</v>
      </c>
      <c r="F4816" t="str">
        <f>"9057175743"</f>
        <v>9057175743</v>
      </c>
      <c r="G4816" s="1">
        <v>44687</v>
      </c>
      <c r="H4816" t="str">
        <f>"91197"</f>
        <v>91197</v>
      </c>
      <c r="I4816">
        <v>1</v>
      </c>
      <c r="J4816">
        <v>1046</v>
      </c>
      <c r="K4816">
        <v>0</v>
      </c>
      <c r="L4816">
        <v>815.88</v>
      </c>
    </row>
    <row r="4817" spans="1:12" x14ac:dyDescent="0.25">
      <c r="A4817" t="str">
        <f t="shared" si="1066"/>
        <v>89301000</v>
      </c>
      <c r="B4817" t="str">
        <f t="shared" si="1067"/>
        <v>72077000</v>
      </c>
      <c r="C4817" t="str">
        <f t="shared" si="1068"/>
        <v>72077001</v>
      </c>
      <c r="D4817" t="str">
        <f t="shared" si="1069"/>
        <v>813</v>
      </c>
      <c r="E4817" t="str">
        <f t="shared" si="1070"/>
        <v>89301152</v>
      </c>
      <c r="F4817" t="str">
        <f>"9057175743"</f>
        <v>9057175743</v>
      </c>
      <c r="G4817" s="1">
        <v>44691</v>
      </c>
      <c r="H4817" t="str">
        <f>"91171"</f>
        <v>91171</v>
      </c>
      <c r="I4817">
        <v>1</v>
      </c>
      <c r="J4817">
        <v>360</v>
      </c>
      <c r="K4817">
        <v>0</v>
      </c>
      <c r="L4817">
        <v>280.8</v>
      </c>
    </row>
    <row r="4818" spans="1:12" x14ac:dyDescent="0.25">
      <c r="A4818" t="str">
        <f t="shared" si="1066"/>
        <v>89301000</v>
      </c>
      <c r="B4818" t="str">
        <f t="shared" si="1067"/>
        <v>72077000</v>
      </c>
      <c r="C4818" t="str">
        <f t="shared" si="1068"/>
        <v>72077001</v>
      </c>
      <c r="D4818" t="str">
        <f t="shared" si="1069"/>
        <v>813</v>
      </c>
      <c r="E4818" t="str">
        <f t="shared" si="1070"/>
        <v>89301152</v>
      </c>
      <c r="F4818" t="str">
        <f>"9057175743"</f>
        <v>9057175743</v>
      </c>
      <c r="G4818" s="1">
        <v>44691</v>
      </c>
      <c r="H4818" t="str">
        <f>"91465"</f>
        <v>91465</v>
      </c>
      <c r="I4818">
        <v>1</v>
      </c>
      <c r="J4818">
        <v>1404</v>
      </c>
      <c r="K4818">
        <v>0</v>
      </c>
      <c r="L4818">
        <v>1095.1199999999999</v>
      </c>
    </row>
    <row r="4819" spans="1:12" x14ac:dyDescent="0.25">
      <c r="A4819" t="str">
        <f t="shared" si="1066"/>
        <v>89301000</v>
      </c>
      <c r="B4819" t="str">
        <f t="shared" si="1067"/>
        <v>72077000</v>
      </c>
      <c r="C4819" t="str">
        <f t="shared" si="1068"/>
        <v>72077001</v>
      </c>
      <c r="D4819" t="str">
        <f t="shared" si="1069"/>
        <v>813</v>
      </c>
      <c r="E4819" t="str">
        <f t="shared" si="1070"/>
        <v>89301152</v>
      </c>
      <c r="F4819" t="str">
        <f>"9661296161"</f>
        <v>9661296161</v>
      </c>
      <c r="G4819" s="1">
        <v>44687</v>
      </c>
      <c r="H4819" t="str">
        <f>"91197"</f>
        <v>91197</v>
      </c>
      <c r="I4819">
        <v>1</v>
      </c>
      <c r="J4819">
        <v>1046</v>
      </c>
      <c r="K4819">
        <v>0</v>
      </c>
      <c r="L4819">
        <v>815.88</v>
      </c>
    </row>
    <row r="4820" spans="1:12" x14ac:dyDescent="0.25">
      <c r="A4820" t="str">
        <f t="shared" si="1066"/>
        <v>89301000</v>
      </c>
      <c r="B4820" t="str">
        <f t="shared" si="1067"/>
        <v>72077000</v>
      </c>
      <c r="C4820" t="str">
        <f t="shared" si="1068"/>
        <v>72077001</v>
      </c>
      <c r="D4820" t="str">
        <f t="shared" si="1069"/>
        <v>813</v>
      </c>
      <c r="E4820" t="str">
        <f t="shared" si="1070"/>
        <v>89301152</v>
      </c>
      <c r="F4820" t="str">
        <f>"9661296161"</f>
        <v>9661296161</v>
      </c>
      <c r="G4820" s="1">
        <v>44691</v>
      </c>
      <c r="H4820" t="str">
        <f>"91465"</f>
        <v>91465</v>
      </c>
      <c r="I4820">
        <v>1</v>
      </c>
      <c r="J4820">
        <v>1404</v>
      </c>
      <c r="K4820">
        <v>0</v>
      </c>
      <c r="L4820">
        <v>1095.1199999999999</v>
      </c>
    </row>
    <row r="4821" spans="1:12" x14ac:dyDescent="0.25">
      <c r="A4821" t="str">
        <f t="shared" si="1066"/>
        <v>89301000</v>
      </c>
      <c r="B4821" t="str">
        <f t="shared" si="1067"/>
        <v>72077000</v>
      </c>
      <c r="C4821" t="str">
        <f t="shared" si="1068"/>
        <v>72077001</v>
      </c>
      <c r="D4821" t="str">
        <f t="shared" si="1069"/>
        <v>813</v>
      </c>
      <c r="E4821" t="str">
        <f>"89301107"</f>
        <v>89301107</v>
      </c>
      <c r="F4821" t="str">
        <f>"2052080800"</f>
        <v>2052080800</v>
      </c>
      <c r="G4821" s="1">
        <v>44687</v>
      </c>
      <c r="H4821" t="str">
        <f>"91197"</f>
        <v>91197</v>
      </c>
      <c r="I4821">
        <v>1</v>
      </c>
      <c r="J4821">
        <v>1046</v>
      </c>
      <c r="K4821">
        <v>0</v>
      </c>
      <c r="L4821">
        <v>815.88</v>
      </c>
    </row>
    <row r="4822" spans="1:12" x14ac:dyDescent="0.25">
      <c r="A4822" t="str">
        <f t="shared" si="1066"/>
        <v>89301000</v>
      </c>
      <c r="B4822" t="str">
        <f t="shared" si="1067"/>
        <v>72077000</v>
      </c>
      <c r="C4822" t="str">
        <f t="shared" si="1068"/>
        <v>72077001</v>
      </c>
      <c r="D4822" t="str">
        <f t="shared" si="1069"/>
        <v>813</v>
      </c>
      <c r="E4822" t="str">
        <f t="shared" ref="E4822:E4847" si="1071">"89301152"</f>
        <v>89301152</v>
      </c>
      <c r="F4822" t="str">
        <f>"0453096468"</f>
        <v>0453096468</v>
      </c>
      <c r="G4822" s="1">
        <v>44687</v>
      </c>
      <c r="H4822" t="str">
        <f>"91197"</f>
        <v>91197</v>
      </c>
      <c r="I4822">
        <v>1</v>
      </c>
      <c r="J4822">
        <v>1046</v>
      </c>
      <c r="K4822">
        <v>0</v>
      </c>
      <c r="L4822">
        <v>815.88</v>
      </c>
    </row>
    <row r="4823" spans="1:12" x14ac:dyDescent="0.25">
      <c r="A4823" t="str">
        <f t="shared" si="1066"/>
        <v>89301000</v>
      </c>
      <c r="B4823" t="str">
        <f t="shared" si="1067"/>
        <v>72077000</v>
      </c>
      <c r="C4823" t="str">
        <f t="shared" si="1068"/>
        <v>72077001</v>
      </c>
      <c r="D4823" t="str">
        <f t="shared" si="1069"/>
        <v>813</v>
      </c>
      <c r="E4823" t="str">
        <f t="shared" si="1071"/>
        <v>89301152</v>
      </c>
      <c r="F4823" t="str">
        <f>"0453096468"</f>
        <v>0453096468</v>
      </c>
      <c r="G4823" s="1">
        <v>44691</v>
      </c>
      <c r="H4823" t="str">
        <f>"91465"</f>
        <v>91465</v>
      </c>
      <c r="I4823">
        <v>1</v>
      </c>
      <c r="J4823">
        <v>1404</v>
      </c>
      <c r="K4823">
        <v>0</v>
      </c>
      <c r="L4823">
        <v>1095.1199999999999</v>
      </c>
    </row>
    <row r="4824" spans="1:12" x14ac:dyDescent="0.25">
      <c r="A4824" t="str">
        <f t="shared" si="1066"/>
        <v>89301000</v>
      </c>
      <c r="B4824" t="str">
        <f t="shared" si="1067"/>
        <v>72077000</v>
      </c>
      <c r="C4824" t="str">
        <f t="shared" si="1068"/>
        <v>72077001</v>
      </c>
      <c r="D4824" t="str">
        <f t="shared" si="1069"/>
        <v>813</v>
      </c>
      <c r="E4824" t="str">
        <f t="shared" si="1071"/>
        <v>89301152</v>
      </c>
      <c r="F4824" t="str">
        <f>"8057125307"</f>
        <v>8057125307</v>
      </c>
      <c r="G4824" s="1">
        <v>44692</v>
      </c>
      <c r="H4824" t="str">
        <f>"91197"</f>
        <v>91197</v>
      </c>
      <c r="I4824">
        <v>1</v>
      </c>
      <c r="J4824">
        <v>1046</v>
      </c>
      <c r="K4824">
        <v>0</v>
      </c>
      <c r="L4824">
        <v>815.88</v>
      </c>
    </row>
    <row r="4825" spans="1:12" x14ac:dyDescent="0.25">
      <c r="A4825" t="str">
        <f t="shared" si="1066"/>
        <v>89301000</v>
      </c>
      <c r="B4825" t="str">
        <f t="shared" si="1067"/>
        <v>72077000</v>
      </c>
      <c r="C4825" t="str">
        <f t="shared" si="1068"/>
        <v>72077001</v>
      </c>
      <c r="D4825" t="str">
        <f t="shared" si="1069"/>
        <v>813</v>
      </c>
      <c r="E4825" t="str">
        <f t="shared" si="1071"/>
        <v>89301152</v>
      </c>
      <c r="F4825" t="str">
        <f>"8057125307"</f>
        <v>8057125307</v>
      </c>
      <c r="G4825" s="1">
        <v>44693</v>
      </c>
      <c r="H4825" t="str">
        <f>"91465"</f>
        <v>91465</v>
      </c>
      <c r="I4825">
        <v>1</v>
      </c>
      <c r="J4825">
        <v>1404</v>
      </c>
      <c r="K4825">
        <v>0</v>
      </c>
      <c r="L4825">
        <v>1095.1199999999999</v>
      </c>
    </row>
    <row r="4826" spans="1:12" x14ac:dyDescent="0.25">
      <c r="A4826" t="str">
        <f t="shared" si="1066"/>
        <v>89301000</v>
      </c>
      <c r="B4826" t="str">
        <f t="shared" si="1067"/>
        <v>72077000</v>
      </c>
      <c r="C4826" t="str">
        <f t="shared" si="1068"/>
        <v>72077001</v>
      </c>
      <c r="D4826" t="str">
        <f t="shared" si="1069"/>
        <v>813</v>
      </c>
      <c r="E4826" t="str">
        <f t="shared" si="1071"/>
        <v>89301152</v>
      </c>
      <c r="F4826" t="str">
        <f t="shared" ref="F4826:F4831" si="1072">"521126192"</f>
        <v>521126192</v>
      </c>
      <c r="G4826" s="1">
        <v>44694</v>
      </c>
      <c r="H4826" t="str">
        <f t="shared" ref="H4826:H4831" si="1073">"91219"</f>
        <v>91219</v>
      </c>
      <c r="I4826">
        <v>1</v>
      </c>
      <c r="J4826">
        <v>342</v>
      </c>
      <c r="K4826">
        <v>0</v>
      </c>
      <c r="L4826">
        <v>266.76</v>
      </c>
    </row>
    <row r="4827" spans="1:12" x14ac:dyDescent="0.25">
      <c r="A4827" t="str">
        <f t="shared" si="1066"/>
        <v>89301000</v>
      </c>
      <c r="B4827" t="str">
        <f t="shared" si="1067"/>
        <v>72077000</v>
      </c>
      <c r="C4827" t="str">
        <f t="shared" si="1068"/>
        <v>72077001</v>
      </c>
      <c r="D4827" t="str">
        <f t="shared" si="1069"/>
        <v>813</v>
      </c>
      <c r="E4827" t="str">
        <f t="shared" si="1071"/>
        <v>89301152</v>
      </c>
      <c r="F4827" t="str">
        <f t="shared" si="1072"/>
        <v>521126192</v>
      </c>
      <c r="G4827" s="1">
        <v>44694</v>
      </c>
      <c r="H4827" t="str">
        <f t="shared" si="1073"/>
        <v>91219</v>
      </c>
      <c r="I4827">
        <v>1</v>
      </c>
      <c r="J4827">
        <v>342</v>
      </c>
      <c r="K4827">
        <v>0</v>
      </c>
      <c r="L4827">
        <v>266.76</v>
      </c>
    </row>
    <row r="4828" spans="1:12" x14ac:dyDescent="0.25">
      <c r="A4828" t="str">
        <f t="shared" si="1066"/>
        <v>89301000</v>
      </c>
      <c r="B4828" t="str">
        <f t="shared" si="1067"/>
        <v>72077000</v>
      </c>
      <c r="C4828" t="str">
        <f t="shared" si="1068"/>
        <v>72077001</v>
      </c>
      <c r="D4828" t="str">
        <f t="shared" si="1069"/>
        <v>813</v>
      </c>
      <c r="E4828" t="str">
        <f t="shared" si="1071"/>
        <v>89301152</v>
      </c>
      <c r="F4828" t="str">
        <f t="shared" si="1072"/>
        <v>521126192</v>
      </c>
      <c r="G4828" s="1">
        <v>44694</v>
      </c>
      <c r="H4828" t="str">
        <f t="shared" si="1073"/>
        <v>91219</v>
      </c>
      <c r="I4828">
        <v>1</v>
      </c>
      <c r="J4828">
        <v>342</v>
      </c>
      <c r="K4828">
        <v>0</v>
      </c>
      <c r="L4828">
        <v>266.76</v>
      </c>
    </row>
    <row r="4829" spans="1:12" x14ac:dyDescent="0.25">
      <c r="A4829" t="str">
        <f t="shared" si="1066"/>
        <v>89301000</v>
      </c>
      <c r="B4829" t="str">
        <f t="shared" si="1067"/>
        <v>72077000</v>
      </c>
      <c r="C4829" t="str">
        <f t="shared" si="1068"/>
        <v>72077001</v>
      </c>
      <c r="D4829" t="str">
        <f t="shared" si="1069"/>
        <v>813</v>
      </c>
      <c r="E4829" t="str">
        <f t="shared" si="1071"/>
        <v>89301152</v>
      </c>
      <c r="F4829" t="str">
        <f t="shared" si="1072"/>
        <v>521126192</v>
      </c>
      <c r="G4829" s="1">
        <v>44694</v>
      </c>
      <c r="H4829" t="str">
        <f t="shared" si="1073"/>
        <v>91219</v>
      </c>
      <c r="I4829">
        <v>1</v>
      </c>
      <c r="J4829">
        <v>342</v>
      </c>
      <c r="K4829">
        <v>0</v>
      </c>
      <c r="L4829">
        <v>266.76</v>
      </c>
    </row>
    <row r="4830" spans="1:12" x14ac:dyDescent="0.25">
      <c r="A4830" t="str">
        <f t="shared" si="1066"/>
        <v>89301000</v>
      </c>
      <c r="B4830" t="str">
        <f t="shared" si="1067"/>
        <v>72077000</v>
      </c>
      <c r="C4830" t="str">
        <f t="shared" si="1068"/>
        <v>72077001</v>
      </c>
      <c r="D4830" t="str">
        <f t="shared" si="1069"/>
        <v>813</v>
      </c>
      <c r="E4830" t="str">
        <f t="shared" si="1071"/>
        <v>89301152</v>
      </c>
      <c r="F4830" t="str">
        <f t="shared" si="1072"/>
        <v>521126192</v>
      </c>
      <c r="G4830" s="1">
        <v>44694</v>
      </c>
      <c r="H4830" t="str">
        <f t="shared" si="1073"/>
        <v>91219</v>
      </c>
      <c r="I4830">
        <v>1</v>
      </c>
      <c r="J4830">
        <v>342</v>
      </c>
      <c r="K4830">
        <v>0</v>
      </c>
      <c r="L4830">
        <v>266.76</v>
      </c>
    </row>
    <row r="4831" spans="1:12" x14ac:dyDescent="0.25">
      <c r="A4831" t="str">
        <f t="shared" si="1066"/>
        <v>89301000</v>
      </c>
      <c r="B4831" t="str">
        <f t="shared" si="1067"/>
        <v>72077000</v>
      </c>
      <c r="C4831" t="str">
        <f t="shared" si="1068"/>
        <v>72077001</v>
      </c>
      <c r="D4831" t="str">
        <f t="shared" si="1069"/>
        <v>813</v>
      </c>
      <c r="E4831" t="str">
        <f t="shared" si="1071"/>
        <v>89301152</v>
      </c>
      <c r="F4831" t="str">
        <f t="shared" si="1072"/>
        <v>521126192</v>
      </c>
      <c r="G4831" s="1">
        <v>44694</v>
      </c>
      <c r="H4831" t="str">
        <f t="shared" si="1073"/>
        <v>91219</v>
      </c>
      <c r="I4831">
        <v>1</v>
      </c>
      <c r="J4831">
        <v>342</v>
      </c>
      <c r="K4831">
        <v>0</v>
      </c>
      <c r="L4831">
        <v>266.76</v>
      </c>
    </row>
    <row r="4832" spans="1:12" x14ac:dyDescent="0.25">
      <c r="A4832" t="str">
        <f t="shared" si="1066"/>
        <v>89301000</v>
      </c>
      <c r="B4832" t="str">
        <f t="shared" si="1067"/>
        <v>72077000</v>
      </c>
      <c r="C4832" t="str">
        <f t="shared" si="1068"/>
        <v>72077001</v>
      </c>
      <c r="D4832" t="str">
        <f t="shared" si="1069"/>
        <v>813</v>
      </c>
      <c r="E4832" t="str">
        <f t="shared" si="1071"/>
        <v>89301152</v>
      </c>
      <c r="F4832" t="str">
        <f>"6861010376"</f>
        <v>6861010376</v>
      </c>
      <c r="G4832" s="1">
        <v>44694</v>
      </c>
      <c r="H4832" t="str">
        <f>"91197"</f>
        <v>91197</v>
      </c>
      <c r="I4832">
        <v>1</v>
      </c>
      <c r="J4832">
        <v>1046</v>
      </c>
      <c r="K4832">
        <v>0</v>
      </c>
      <c r="L4832">
        <v>815.88</v>
      </c>
    </row>
    <row r="4833" spans="1:12" x14ac:dyDescent="0.25">
      <c r="A4833" t="str">
        <f t="shared" si="1066"/>
        <v>89301000</v>
      </c>
      <c r="B4833" t="str">
        <f t="shared" si="1067"/>
        <v>72077000</v>
      </c>
      <c r="C4833" t="str">
        <f t="shared" si="1068"/>
        <v>72077001</v>
      </c>
      <c r="D4833" t="str">
        <f t="shared" si="1069"/>
        <v>813</v>
      </c>
      <c r="E4833" t="str">
        <f t="shared" si="1071"/>
        <v>89301152</v>
      </c>
      <c r="F4833" t="str">
        <f>"6861010376"</f>
        <v>6861010376</v>
      </c>
      <c r="G4833" s="1">
        <v>44698</v>
      </c>
      <c r="H4833" t="str">
        <f>"91465"</f>
        <v>91465</v>
      </c>
      <c r="I4833">
        <v>1</v>
      </c>
      <c r="J4833">
        <v>1404</v>
      </c>
      <c r="K4833">
        <v>0</v>
      </c>
      <c r="L4833">
        <v>1095.1199999999999</v>
      </c>
    </row>
    <row r="4834" spans="1:12" x14ac:dyDescent="0.25">
      <c r="A4834" t="str">
        <f t="shared" si="1066"/>
        <v>89301000</v>
      </c>
      <c r="B4834" t="str">
        <f t="shared" si="1067"/>
        <v>72077000</v>
      </c>
      <c r="C4834" t="str">
        <f t="shared" si="1068"/>
        <v>72077001</v>
      </c>
      <c r="D4834" t="str">
        <f t="shared" si="1069"/>
        <v>813</v>
      </c>
      <c r="E4834" t="str">
        <f t="shared" si="1071"/>
        <v>89301152</v>
      </c>
      <c r="F4834" t="str">
        <f>"9405235730"</f>
        <v>9405235730</v>
      </c>
      <c r="G4834" s="1">
        <v>44694</v>
      </c>
      <c r="H4834" t="str">
        <f>"91197"</f>
        <v>91197</v>
      </c>
      <c r="I4834">
        <v>1</v>
      </c>
      <c r="J4834">
        <v>1046</v>
      </c>
      <c r="K4834">
        <v>0</v>
      </c>
      <c r="L4834">
        <v>815.88</v>
      </c>
    </row>
    <row r="4835" spans="1:12" x14ac:dyDescent="0.25">
      <c r="A4835" t="str">
        <f t="shared" si="1066"/>
        <v>89301000</v>
      </c>
      <c r="B4835" t="str">
        <f t="shared" si="1067"/>
        <v>72077000</v>
      </c>
      <c r="C4835" t="str">
        <f t="shared" si="1068"/>
        <v>72077001</v>
      </c>
      <c r="D4835" t="str">
        <f t="shared" si="1069"/>
        <v>813</v>
      </c>
      <c r="E4835" t="str">
        <f t="shared" si="1071"/>
        <v>89301152</v>
      </c>
      <c r="F4835" t="str">
        <f>"9405235730"</f>
        <v>9405235730</v>
      </c>
      <c r="G4835" s="1">
        <v>44698</v>
      </c>
      <c r="H4835" t="str">
        <f>"91465"</f>
        <v>91465</v>
      </c>
      <c r="I4835">
        <v>1</v>
      </c>
      <c r="J4835">
        <v>1404</v>
      </c>
      <c r="K4835">
        <v>0</v>
      </c>
      <c r="L4835">
        <v>1095.1199999999999</v>
      </c>
    </row>
    <row r="4836" spans="1:12" x14ac:dyDescent="0.25">
      <c r="A4836" t="str">
        <f t="shared" si="1066"/>
        <v>89301000</v>
      </c>
      <c r="B4836" t="str">
        <f t="shared" ref="B4836:B4853" si="1074">"72077000"</f>
        <v>72077000</v>
      </c>
      <c r="C4836" t="str">
        <f t="shared" ref="C4836:C4853" si="1075">"72077001"</f>
        <v>72077001</v>
      </c>
      <c r="D4836" t="str">
        <f t="shared" ref="D4836:D4853" si="1076">"813"</f>
        <v>813</v>
      </c>
      <c r="E4836" t="str">
        <f t="shared" si="1071"/>
        <v>89301152</v>
      </c>
      <c r="F4836" t="str">
        <f>"6359220516"</f>
        <v>6359220516</v>
      </c>
      <c r="G4836" s="1">
        <v>44707</v>
      </c>
      <c r="H4836" t="str">
        <f>"91197"</f>
        <v>91197</v>
      </c>
      <c r="I4836">
        <v>1</v>
      </c>
      <c r="J4836">
        <v>1046</v>
      </c>
      <c r="K4836">
        <v>0</v>
      </c>
      <c r="L4836">
        <v>815.88</v>
      </c>
    </row>
    <row r="4837" spans="1:12" x14ac:dyDescent="0.25">
      <c r="A4837" t="str">
        <f t="shared" si="1066"/>
        <v>89301000</v>
      </c>
      <c r="B4837" t="str">
        <f t="shared" si="1074"/>
        <v>72077000</v>
      </c>
      <c r="C4837" t="str">
        <f t="shared" si="1075"/>
        <v>72077001</v>
      </c>
      <c r="D4837" t="str">
        <f t="shared" si="1076"/>
        <v>813</v>
      </c>
      <c r="E4837" t="str">
        <f t="shared" si="1071"/>
        <v>89301152</v>
      </c>
      <c r="F4837" t="str">
        <f>"6359220516"</f>
        <v>6359220516</v>
      </c>
      <c r="G4837" s="1">
        <v>44708</v>
      </c>
      <c r="H4837" t="str">
        <f>"91465"</f>
        <v>91465</v>
      </c>
      <c r="I4837">
        <v>1</v>
      </c>
      <c r="J4837">
        <v>1404</v>
      </c>
      <c r="K4837">
        <v>0</v>
      </c>
      <c r="L4837">
        <v>1095.1199999999999</v>
      </c>
    </row>
    <row r="4838" spans="1:12" x14ac:dyDescent="0.25">
      <c r="A4838" t="str">
        <f t="shared" si="1066"/>
        <v>89301000</v>
      </c>
      <c r="B4838" t="str">
        <f t="shared" si="1074"/>
        <v>72077000</v>
      </c>
      <c r="C4838" t="str">
        <f t="shared" si="1075"/>
        <v>72077001</v>
      </c>
      <c r="D4838" t="str">
        <f t="shared" si="1076"/>
        <v>813</v>
      </c>
      <c r="E4838" t="str">
        <f t="shared" si="1071"/>
        <v>89301152</v>
      </c>
      <c r="F4838" t="str">
        <f>"425801473"</f>
        <v>425801473</v>
      </c>
      <c r="G4838" s="1">
        <v>44705</v>
      </c>
      <c r="H4838" t="str">
        <f>"91219"</f>
        <v>91219</v>
      </c>
      <c r="I4838">
        <v>1</v>
      </c>
      <c r="J4838">
        <v>342</v>
      </c>
      <c r="K4838">
        <v>0</v>
      </c>
      <c r="L4838">
        <v>266.76</v>
      </c>
    </row>
    <row r="4839" spans="1:12" x14ac:dyDescent="0.25">
      <c r="A4839" t="str">
        <f t="shared" si="1066"/>
        <v>89301000</v>
      </c>
      <c r="B4839" t="str">
        <f t="shared" si="1074"/>
        <v>72077000</v>
      </c>
      <c r="C4839" t="str">
        <f t="shared" si="1075"/>
        <v>72077001</v>
      </c>
      <c r="D4839" t="str">
        <f t="shared" si="1076"/>
        <v>813</v>
      </c>
      <c r="E4839" t="str">
        <f t="shared" si="1071"/>
        <v>89301152</v>
      </c>
      <c r="F4839" t="str">
        <f>"9060165708"</f>
        <v>9060165708</v>
      </c>
      <c r="G4839" s="1">
        <v>44706</v>
      </c>
      <c r="H4839" t="str">
        <f>"91465"</f>
        <v>91465</v>
      </c>
      <c r="I4839">
        <v>1</v>
      </c>
      <c r="J4839">
        <v>1404</v>
      </c>
      <c r="K4839">
        <v>0</v>
      </c>
      <c r="L4839">
        <v>1095.1199999999999</v>
      </c>
    </row>
    <row r="4840" spans="1:12" x14ac:dyDescent="0.25">
      <c r="A4840" t="str">
        <f t="shared" si="1066"/>
        <v>89301000</v>
      </c>
      <c r="B4840" t="str">
        <f t="shared" si="1074"/>
        <v>72077000</v>
      </c>
      <c r="C4840" t="str">
        <f t="shared" si="1075"/>
        <v>72077001</v>
      </c>
      <c r="D4840" t="str">
        <f t="shared" si="1076"/>
        <v>813</v>
      </c>
      <c r="E4840" t="str">
        <f t="shared" si="1071"/>
        <v>89301152</v>
      </c>
      <c r="F4840" t="str">
        <f>"9060165708"</f>
        <v>9060165708</v>
      </c>
      <c r="G4840" s="1">
        <v>44707</v>
      </c>
      <c r="H4840" t="str">
        <f>"91197"</f>
        <v>91197</v>
      </c>
      <c r="I4840">
        <v>1</v>
      </c>
      <c r="J4840">
        <v>1046</v>
      </c>
      <c r="K4840">
        <v>0</v>
      </c>
      <c r="L4840">
        <v>815.88</v>
      </c>
    </row>
    <row r="4841" spans="1:12" x14ac:dyDescent="0.25">
      <c r="A4841" t="str">
        <f t="shared" si="1066"/>
        <v>89301000</v>
      </c>
      <c r="B4841" t="str">
        <f t="shared" si="1074"/>
        <v>72077000</v>
      </c>
      <c r="C4841" t="str">
        <f t="shared" si="1075"/>
        <v>72077001</v>
      </c>
      <c r="D4841" t="str">
        <f t="shared" si="1076"/>
        <v>813</v>
      </c>
      <c r="E4841" t="str">
        <f t="shared" si="1071"/>
        <v>89301152</v>
      </c>
      <c r="F4841" t="str">
        <f>"6256201116"</f>
        <v>6256201116</v>
      </c>
      <c r="G4841" s="1">
        <v>44705</v>
      </c>
      <c r="H4841" t="str">
        <f>"91465"</f>
        <v>91465</v>
      </c>
      <c r="I4841">
        <v>1</v>
      </c>
      <c r="J4841">
        <v>1404</v>
      </c>
      <c r="K4841">
        <v>0</v>
      </c>
      <c r="L4841">
        <v>1095.1199999999999</v>
      </c>
    </row>
    <row r="4842" spans="1:12" x14ac:dyDescent="0.25">
      <c r="A4842" t="str">
        <f t="shared" si="1066"/>
        <v>89301000</v>
      </c>
      <c r="B4842" t="str">
        <f t="shared" si="1074"/>
        <v>72077000</v>
      </c>
      <c r="C4842" t="str">
        <f t="shared" si="1075"/>
        <v>72077001</v>
      </c>
      <c r="D4842" t="str">
        <f t="shared" si="1076"/>
        <v>813</v>
      </c>
      <c r="E4842" t="str">
        <f t="shared" si="1071"/>
        <v>89301152</v>
      </c>
      <c r="F4842" t="str">
        <f>"6256201116"</f>
        <v>6256201116</v>
      </c>
      <c r="G4842" s="1">
        <v>44707</v>
      </c>
      <c r="H4842" t="str">
        <f>"91197"</f>
        <v>91197</v>
      </c>
      <c r="I4842">
        <v>1</v>
      </c>
      <c r="J4842">
        <v>1046</v>
      </c>
      <c r="K4842">
        <v>0</v>
      </c>
      <c r="L4842">
        <v>815.88</v>
      </c>
    </row>
    <row r="4843" spans="1:12" x14ac:dyDescent="0.25">
      <c r="A4843" t="str">
        <f t="shared" si="1066"/>
        <v>89301000</v>
      </c>
      <c r="B4843" t="str">
        <f t="shared" si="1074"/>
        <v>72077000</v>
      </c>
      <c r="C4843" t="str">
        <f t="shared" si="1075"/>
        <v>72077001</v>
      </c>
      <c r="D4843" t="str">
        <f t="shared" si="1076"/>
        <v>813</v>
      </c>
      <c r="E4843" t="str">
        <f t="shared" si="1071"/>
        <v>89301152</v>
      </c>
      <c r="F4843" t="str">
        <f>"9455136152"</f>
        <v>9455136152</v>
      </c>
      <c r="G4843" s="1">
        <v>44705</v>
      </c>
      <c r="H4843" t="str">
        <f>"91465"</f>
        <v>91465</v>
      </c>
      <c r="I4843">
        <v>1</v>
      </c>
      <c r="J4843">
        <v>1404</v>
      </c>
      <c r="K4843">
        <v>0</v>
      </c>
      <c r="L4843">
        <v>1095.1199999999999</v>
      </c>
    </row>
    <row r="4844" spans="1:12" x14ac:dyDescent="0.25">
      <c r="A4844" t="str">
        <f t="shared" si="1066"/>
        <v>89301000</v>
      </c>
      <c r="B4844" t="str">
        <f t="shared" si="1074"/>
        <v>72077000</v>
      </c>
      <c r="C4844" t="str">
        <f t="shared" si="1075"/>
        <v>72077001</v>
      </c>
      <c r="D4844" t="str">
        <f t="shared" si="1076"/>
        <v>813</v>
      </c>
      <c r="E4844" t="str">
        <f t="shared" si="1071"/>
        <v>89301152</v>
      </c>
      <c r="F4844" t="str">
        <f>"9455136152"</f>
        <v>9455136152</v>
      </c>
      <c r="G4844" s="1">
        <v>44707</v>
      </c>
      <c r="H4844" t="str">
        <f>"91197"</f>
        <v>91197</v>
      </c>
      <c r="I4844">
        <v>1</v>
      </c>
      <c r="J4844">
        <v>1046</v>
      </c>
      <c r="K4844">
        <v>0</v>
      </c>
      <c r="L4844">
        <v>815.88</v>
      </c>
    </row>
    <row r="4845" spans="1:12" x14ac:dyDescent="0.25">
      <c r="A4845" t="str">
        <f t="shared" si="1066"/>
        <v>89301000</v>
      </c>
      <c r="B4845" t="str">
        <f t="shared" si="1074"/>
        <v>72077000</v>
      </c>
      <c r="C4845" t="str">
        <f t="shared" si="1075"/>
        <v>72077001</v>
      </c>
      <c r="D4845" t="str">
        <f t="shared" si="1076"/>
        <v>813</v>
      </c>
      <c r="E4845" t="str">
        <f t="shared" si="1071"/>
        <v>89301152</v>
      </c>
      <c r="F4845" t="str">
        <f>"6851110068"</f>
        <v>6851110068</v>
      </c>
      <c r="G4845" s="1">
        <v>44705</v>
      </c>
      <c r="H4845" t="str">
        <f>"91219"</f>
        <v>91219</v>
      </c>
      <c r="I4845">
        <v>1</v>
      </c>
      <c r="J4845">
        <v>342</v>
      </c>
      <c r="K4845">
        <v>0</v>
      </c>
      <c r="L4845">
        <v>266.76</v>
      </c>
    </row>
    <row r="4846" spans="1:12" x14ac:dyDescent="0.25">
      <c r="A4846" t="str">
        <f t="shared" si="1066"/>
        <v>89301000</v>
      </c>
      <c r="B4846" t="str">
        <f t="shared" si="1074"/>
        <v>72077000</v>
      </c>
      <c r="C4846" t="str">
        <f t="shared" si="1075"/>
        <v>72077001</v>
      </c>
      <c r="D4846" t="str">
        <f t="shared" si="1076"/>
        <v>813</v>
      </c>
      <c r="E4846" t="str">
        <f t="shared" si="1071"/>
        <v>89301152</v>
      </c>
      <c r="F4846" t="str">
        <f>"7861165763"</f>
        <v>7861165763</v>
      </c>
      <c r="G4846" s="1">
        <v>44707</v>
      </c>
      <c r="H4846" t="str">
        <f>"91465"</f>
        <v>91465</v>
      </c>
      <c r="I4846">
        <v>1</v>
      </c>
      <c r="J4846">
        <v>1404</v>
      </c>
      <c r="K4846">
        <v>0</v>
      </c>
      <c r="L4846">
        <v>1095.1199999999999</v>
      </c>
    </row>
    <row r="4847" spans="1:12" x14ac:dyDescent="0.25">
      <c r="A4847" t="str">
        <f t="shared" si="1066"/>
        <v>89301000</v>
      </c>
      <c r="B4847" t="str">
        <f t="shared" si="1074"/>
        <v>72077000</v>
      </c>
      <c r="C4847" t="str">
        <f t="shared" si="1075"/>
        <v>72077001</v>
      </c>
      <c r="D4847" t="str">
        <f t="shared" si="1076"/>
        <v>813</v>
      </c>
      <c r="E4847" t="str">
        <f t="shared" si="1071"/>
        <v>89301152</v>
      </c>
      <c r="F4847" t="str">
        <f>"7861165763"</f>
        <v>7861165763</v>
      </c>
      <c r="G4847" s="1">
        <v>44707</v>
      </c>
      <c r="H4847" t="str">
        <f>"91197"</f>
        <v>91197</v>
      </c>
      <c r="I4847">
        <v>1</v>
      </c>
      <c r="J4847">
        <v>1046</v>
      </c>
      <c r="K4847">
        <v>0</v>
      </c>
      <c r="L4847">
        <v>815.88</v>
      </c>
    </row>
    <row r="4848" spans="1:12" x14ac:dyDescent="0.25">
      <c r="A4848" t="str">
        <f t="shared" si="1066"/>
        <v>89301000</v>
      </c>
      <c r="B4848" t="str">
        <f t="shared" si="1074"/>
        <v>72077000</v>
      </c>
      <c r="C4848" t="str">
        <f t="shared" si="1075"/>
        <v>72077001</v>
      </c>
      <c r="D4848" t="str">
        <f t="shared" si="1076"/>
        <v>813</v>
      </c>
      <c r="E4848" t="str">
        <f>"89301107"</f>
        <v>89301107</v>
      </c>
      <c r="F4848" t="str">
        <f>"1053123225"</f>
        <v>1053123225</v>
      </c>
      <c r="G4848" s="1">
        <v>44708</v>
      </c>
      <c r="H4848" t="str">
        <f>"91317"</f>
        <v>91317</v>
      </c>
      <c r="I4848">
        <v>1</v>
      </c>
      <c r="J4848">
        <v>362</v>
      </c>
      <c r="K4848">
        <v>0</v>
      </c>
      <c r="L4848">
        <v>282.36</v>
      </c>
    </row>
    <row r="4849" spans="1:12" x14ac:dyDescent="0.25">
      <c r="A4849" t="str">
        <f t="shared" si="1066"/>
        <v>89301000</v>
      </c>
      <c r="B4849" t="str">
        <f t="shared" si="1074"/>
        <v>72077000</v>
      </c>
      <c r="C4849" t="str">
        <f t="shared" si="1075"/>
        <v>72077001</v>
      </c>
      <c r="D4849" t="str">
        <f t="shared" si="1076"/>
        <v>813</v>
      </c>
      <c r="E4849" t="str">
        <f>"89301107"</f>
        <v>89301107</v>
      </c>
      <c r="F4849" t="str">
        <f>"1053123225"</f>
        <v>1053123225</v>
      </c>
      <c r="G4849" s="1">
        <v>44708</v>
      </c>
      <c r="H4849" t="str">
        <f>"91317"</f>
        <v>91317</v>
      </c>
      <c r="I4849">
        <v>1</v>
      </c>
      <c r="J4849">
        <v>362</v>
      </c>
      <c r="K4849">
        <v>0</v>
      </c>
      <c r="L4849">
        <v>282.36</v>
      </c>
    </row>
    <row r="4850" spans="1:12" x14ac:dyDescent="0.25">
      <c r="A4850" t="str">
        <f t="shared" si="1066"/>
        <v>89301000</v>
      </c>
      <c r="B4850" t="str">
        <f t="shared" si="1074"/>
        <v>72077000</v>
      </c>
      <c r="C4850" t="str">
        <f t="shared" si="1075"/>
        <v>72077001</v>
      </c>
      <c r="D4850" t="str">
        <f t="shared" si="1076"/>
        <v>813</v>
      </c>
      <c r="E4850" t="str">
        <f>"89301152"</f>
        <v>89301152</v>
      </c>
      <c r="F4850" t="str">
        <f>"8252235332"</f>
        <v>8252235332</v>
      </c>
      <c r="G4850" s="1">
        <v>44707</v>
      </c>
      <c r="H4850" t="str">
        <f>"91219"</f>
        <v>91219</v>
      </c>
      <c r="I4850">
        <v>1</v>
      </c>
      <c r="J4850">
        <v>342</v>
      </c>
      <c r="K4850">
        <v>0</v>
      </c>
      <c r="L4850">
        <v>266.76</v>
      </c>
    </row>
    <row r="4851" spans="1:12" x14ac:dyDescent="0.25">
      <c r="A4851" t="str">
        <f t="shared" si="1066"/>
        <v>89301000</v>
      </c>
      <c r="B4851" t="str">
        <f t="shared" si="1074"/>
        <v>72077000</v>
      </c>
      <c r="C4851" t="str">
        <f t="shared" si="1075"/>
        <v>72077001</v>
      </c>
      <c r="D4851" t="str">
        <f t="shared" si="1076"/>
        <v>813</v>
      </c>
      <c r="E4851" t="str">
        <f>"89301152"</f>
        <v>89301152</v>
      </c>
      <c r="F4851" t="str">
        <f>"8252235332"</f>
        <v>8252235332</v>
      </c>
      <c r="G4851" s="1">
        <v>44707</v>
      </c>
      <c r="H4851" t="str">
        <f>"91219"</f>
        <v>91219</v>
      </c>
      <c r="I4851">
        <v>1</v>
      </c>
      <c r="J4851">
        <v>342</v>
      </c>
      <c r="K4851">
        <v>0</v>
      </c>
      <c r="L4851">
        <v>266.76</v>
      </c>
    </row>
    <row r="4852" spans="1:12" x14ac:dyDescent="0.25">
      <c r="A4852" t="str">
        <f t="shared" si="1066"/>
        <v>89301000</v>
      </c>
      <c r="B4852" t="str">
        <f t="shared" si="1074"/>
        <v>72077000</v>
      </c>
      <c r="C4852" t="str">
        <f t="shared" si="1075"/>
        <v>72077001</v>
      </c>
      <c r="D4852" t="str">
        <f t="shared" si="1076"/>
        <v>813</v>
      </c>
      <c r="E4852" t="str">
        <f>"89301152"</f>
        <v>89301152</v>
      </c>
      <c r="F4852" t="str">
        <f>"8252235332"</f>
        <v>8252235332</v>
      </c>
      <c r="G4852" s="1">
        <v>44707</v>
      </c>
      <c r="H4852" t="str">
        <f>"91219"</f>
        <v>91219</v>
      </c>
      <c r="I4852">
        <v>1</v>
      </c>
      <c r="J4852">
        <v>342</v>
      </c>
      <c r="K4852">
        <v>0</v>
      </c>
      <c r="L4852">
        <v>266.76</v>
      </c>
    </row>
    <row r="4853" spans="1:12" x14ac:dyDescent="0.25">
      <c r="A4853" t="str">
        <f t="shared" si="1066"/>
        <v>89301000</v>
      </c>
      <c r="B4853" t="str">
        <f t="shared" si="1074"/>
        <v>72077000</v>
      </c>
      <c r="C4853" t="str">
        <f t="shared" si="1075"/>
        <v>72077001</v>
      </c>
      <c r="D4853" t="str">
        <f t="shared" si="1076"/>
        <v>813</v>
      </c>
      <c r="E4853" t="str">
        <f>"89301152"</f>
        <v>89301152</v>
      </c>
      <c r="F4853" t="str">
        <f>"8252235332"</f>
        <v>8252235332</v>
      </c>
      <c r="G4853" s="1">
        <v>44707</v>
      </c>
      <c r="H4853" t="str">
        <f>"91219"</f>
        <v>91219</v>
      </c>
      <c r="I4853">
        <v>1</v>
      </c>
      <c r="J4853">
        <v>342</v>
      </c>
      <c r="K4853">
        <v>0</v>
      </c>
      <c r="L4853">
        <v>266.76</v>
      </c>
    </row>
    <row r="4854" spans="1:12" x14ac:dyDescent="0.25">
      <c r="A4854" t="str">
        <f t="shared" si="1066"/>
        <v>89301000</v>
      </c>
      <c r="B4854" t="str">
        <f>"02384000"</f>
        <v>02384000</v>
      </c>
      <c r="C4854" t="str">
        <f>"02384007"</f>
        <v>02384007</v>
      </c>
      <c r="D4854" t="str">
        <f>"809"</f>
        <v>809</v>
      </c>
      <c r="E4854" t="str">
        <f>"89301322"</f>
        <v>89301322</v>
      </c>
      <c r="F4854" t="str">
        <f>"5856020214"</f>
        <v>5856020214</v>
      </c>
      <c r="G4854" s="1">
        <v>44712</v>
      </c>
      <c r="H4854" t="str">
        <f>"89513"</f>
        <v>89513</v>
      </c>
      <c r="I4854">
        <v>1</v>
      </c>
      <c r="J4854">
        <v>371</v>
      </c>
      <c r="K4854">
        <v>0</v>
      </c>
      <c r="L4854">
        <v>519.4</v>
      </c>
    </row>
    <row r="4855" spans="1:12" x14ac:dyDescent="0.25">
      <c r="A4855" t="str">
        <f t="shared" si="1066"/>
        <v>89301000</v>
      </c>
      <c r="B4855" t="str">
        <f>"02384000"</f>
        <v>02384000</v>
      </c>
      <c r="C4855" t="str">
        <f>"02384007"</f>
        <v>02384007</v>
      </c>
      <c r="D4855" t="str">
        <f>"809"</f>
        <v>809</v>
      </c>
      <c r="E4855" t="str">
        <f>"89301322"</f>
        <v>89301322</v>
      </c>
      <c r="F4855" t="str">
        <f>"5856020214"</f>
        <v>5856020214</v>
      </c>
      <c r="G4855" s="1">
        <v>44712</v>
      </c>
      <c r="H4855" t="str">
        <f>"89514"</f>
        <v>89514</v>
      </c>
      <c r="I4855">
        <v>1</v>
      </c>
      <c r="J4855">
        <v>371</v>
      </c>
      <c r="K4855">
        <v>0</v>
      </c>
      <c r="L4855">
        <v>519.4</v>
      </c>
    </row>
    <row r="4856" spans="1:12" x14ac:dyDescent="0.25">
      <c r="A4856" t="str">
        <f t="shared" si="1066"/>
        <v>89301000</v>
      </c>
      <c r="B4856" t="str">
        <f>"02384000"</f>
        <v>02384000</v>
      </c>
      <c r="C4856" t="str">
        <f>"02384007"</f>
        <v>02384007</v>
      </c>
      <c r="D4856" t="str">
        <f>"809"</f>
        <v>809</v>
      </c>
      <c r="E4856" t="str">
        <f>"89301212"</f>
        <v>89301212</v>
      </c>
      <c r="F4856" t="str">
        <f>"8659135771"</f>
        <v>8659135771</v>
      </c>
      <c r="G4856" s="1">
        <v>44700</v>
      </c>
      <c r="H4856" t="str">
        <f>"89131"</f>
        <v>89131</v>
      </c>
      <c r="I4856">
        <v>1</v>
      </c>
      <c r="J4856">
        <v>187</v>
      </c>
      <c r="K4856">
        <v>0</v>
      </c>
      <c r="L4856">
        <v>261.8</v>
      </c>
    </row>
    <row r="4857" spans="1:12" x14ac:dyDescent="0.25">
      <c r="A4857" t="str">
        <f t="shared" si="1066"/>
        <v>89301000</v>
      </c>
      <c r="B4857" t="str">
        <f>"72077000"</f>
        <v>72077000</v>
      </c>
      <c r="C4857" t="str">
        <f>"72077001"</f>
        <v>72077001</v>
      </c>
      <c r="D4857" t="str">
        <f>"813"</f>
        <v>813</v>
      </c>
      <c r="E4857" t="str">
        <f>"89301152"</f>
        <v>89301152</v>
      </c>
      <c r="F4857" t="str">
        <f>"9958305709"</f>
        <v>9958305709</v>
      </c>
      <c r="G4857" s="1">
        <v>44678</v>
      </c>
      <c r="H4857" t="str">
        <f>"91197"</f>
        <v>91197</v>
      </c>
      <c r="I4857">
        <v>1</v>
      </c>
      <c r="J4857">
        <v>1046</v>
      </c>
      <c r="K4857">
        <v>0</v>
      </c>
      <c r="L4857">
        <v>815.88</v>
      </c>
    </row>
    <row r="4858" spans="1:12" x14ac:dyDescent="0.25">
      <c r="A4858" t="str">
        <f t="shared" si="1066"/>
        <v>89301000</v>
      </c>
      <c r="B4858" t="str">
        <f>"72077000"</f>
        <v>72077000</v>
      </c>
      <c r="C4858" t="str">
        <f>"72077001"</f>
        <v>72077001</v>
      </c>
      <c r="D4858" t="str">
        <f>"813"</f>
        <v>813</v>
      </c>
      <c r="E4858" t="str">
        <f>"89301152"</f>
        <v>89301152</v>
      </c>
      <c r="F4858" t="str">
        <f>"7757184457"</f>
        <v>7757184457</v>
      </c>
      <c r="G4858" s="1">
        <v>44680</v>
      </c>
      <c r="H4858" t="str">
        <f>"91197"</f>
        <v>91197</v>
      </c>
      <c r="I4858">
        <v>1</v>
      </c>
      <c r="J4858">
        <v>1046</v>
      </c>
      <c r="K4858">
        <v>0</v>
      </c>
      <c r="L4858">
        <v>815.88</v>
      </c>
    </row>
    <row r="4859" spans="1:12" x14ac:dyDescent="0.25">
      <c r="A4859" t="str">
        <f t="shared" si="1066"/>
        <v>89301000</v>
      </c>
      <c r="B4859" t="str">
        <f>"72077000"</f>
        <v>72077000</v>
      </c>
      <c r="C4859" t="str">
        <f>"72077001"</f>
        <v>72077001</v>
      </c>
      <c r="D4859" t="str">
        <f>"813"</f>
        <v>813</v>
      </c>
      <c r="E4859" t="str">
        <f>"89301152"</f>
        <v>89301152</v>
      </c>
      <c r="F4859" t="str">
        <f>"6754212454"</f>
        <v>6754212454</v>
      </c>
      <c r="G4859" s="1">
        <v>44680</v>
      </c>
      <c r="H4859" t="str">
        <f>"91197"</f>
        <v>91197</v>
      </c>
      <c r="I4859">
        <v>1</v>
      </c>
      <c r="J4859">
        <v>1046</v>
      </c>
      <c r="K4859">
        <v>0</v>
      </c>
      <c r="L4859">
        <v>815.88</v>
      </c>
    </row>
    <row r="4860" spans="1:12" x14ac:dyDescent="0.25">
      <c r="A4860" t="str">
        <f t="shared" si="1066"/>
        <v>89301000</v>
      </c>
      <c r="B4860" t="str">
        <f>"91997900"</f>
        <v>91997900</v>
      </c>
      <c r="C4860" t="str">
        <f>"91997902"</f>
        <v>91997902</v>
      </c>
      <c r="D4860" t="str">
        <f>"813"</f>
        <v>813</v>
      </c>
      <c r="E4860" t="str">
        <f>"89301167"</f>
        <v>89301167</v>
      </c>
      <c r="F4860" t="str">
        <f>"480710460"</f>
        <v>480710460</v>
      </c>
      <c r="G4860" s="1">
        <v>44712</v>
      </c>
      <c r="H4860" t="str">
        <f>"91159"</f>
        <v>91159</v>
      </c>
      <c r="I4860">
        <v>1</v>
      </c>
      <c r="J4860">
        <v>171</v>
      </c>
      <c r="K4860">
        <v>0</v>
      </c>
      <c r="L4860">
        <v>133.38</v>
      </c>
    </row>
    <row r="4861" spans="1:12" x14ac:dyDescent="0.25">
      <c r="A4861" t="str">
        <f t="shared" si="1066"/>
        <v>89301000</v>
      </c>
      <c r="B4861" t="str">
        <f>"91997900"</f>
        <v>91997900</v>
      </c>
      <c r="C4861" t="str">
        <f>"91997901"</f>
        <v>91997901</v>
      </c>
      <c r="D4861" t="str">
        <f>"801"</f>
        <v>801</v>
      </c>
      <c r="E4861" t="str">
        <f>"89301167"</f>
        <v>89301167</v>
      </c>
      <c r="F4861" t="str">
        <f>"480710460"</f>
        <v>480710460</v>
      </c>
      <c r="G4861" s="1">
        <v>44712</v>
      </c>
      <c r="H4861" t="str">
        <f>"81249"</f>
        <v>81249</v>
      </c>
      <c r="I4861">
        <v>1</v>
      </c>
      <c r="J4861">
        <v>333</v>
      </c>
      <c r="K4861">
        <v>0</v>
      </c>
      <c r="L4861">
        <v>259.74</v>
      </c>
    </row>
    <row r="4862" spans="1:12" x14ac:dyDescent="0.25">
      <c r="A4862" t="str">
        <f t="shared" si="1066"/>
        <v>89301000</v>
      </c>
      <c r="B4862" t="str">
        <f>"91997900"</f>
        <v>91997900</v>
      </c>
      <c r="C4862" t="str">
        <f>"91997901"</f>
        <v>91997901</v>
      </c>
      <c r="D4862" t="str">
        <f>"801"</f>
        <v>801</v>
      </c>
      <c r="E4862" t="str">
        <f>"89301167"</f>
        <v>89301167</v>
      </c>
      <c r="F4862" t="str">
        <f>"480710460"</f>
        <v>480710460</v>
      </c>
      <c r="G4862" s="1">
        <v>44712</v>
      </c>
      <c r="H4862" t="str">
        <f>"93135"</f>
        <v>93135</v>
      </c>
      <c r="I4862">
        <v>1</v>
      </c>
      <c r="J4862">
        <v>300</v>
      </c>
      <c r="K4862">
        <v>0</v>
      </c>
      <c r="L4862">
        <v>234</v>
      </c>
    </row>
    <row r="4863" spans="1:12" x14ac:dyDescent="0.25">
      <c r="A4863" t="str">
        <f t="shared" si="1066"/>
        <v>89301000</v>
      </c>
      <c r="B4863" t="str">
        <f>"91997900"</f>
        <v>91997900</v>
      </c>
      <c r="C4863" t="str">
        <f>"91997901"</f>
        <v>91997901</v>
      </c>
      <c r="D4863" t="str">
        <f>"801"</f>
        <v>801</v>
      </c>
      <c r="E4863" t="str">
        <f>"89301322"</f>
        <v>89301322</v>
      </c>
      <c r="F4863" t="str">
        <f>"5862236875"</f>
        <v>5862236875</v>
      </c>
      <c r="G4863" s="1">
        <v>44701</v>
      </c>
      <c r="H4863" t="str">
        <f>"92157"</f>
        <v>92157</v>
      </c>
      <c r="I4863">
        <v>1</v>
      </c>
      <c r="J4863">
        <v>1754</v>
      </c>
      <c r="K4863">
        <v>0</v>
      </c>
      <c r="L4863">
        <v>1368.12</v>
      </c>
    </row>
    <row r="4864" spans="1:12" x14ac:dyDescent="0.25">
      <c r="A4864" t="str">
        <f t="shared" si="1066"/>
        <v>89301000</v>
      </c>
      <c r="B4864" t="str">
        <f>"91997900"</f>
        <v>91997900</v>
      </c>
      <c r="C4864" t="str">
        <f>"91997901"</f>
        <v>91997901</v>
      </c>
      <c r="D4864" t="str">
        <f>"801"</f>
        <v>801</v>
      </c>
      <c r="E4864" t="str">
        <f>"89301322"</f>
        <v>89301322</v>
      </c>
      <c r="F4864" t="str">
        <f>"5862236875"</f>
        <v>5862236875</v>
      </c>
      <c r="G4864" s="1">
        <v>44698</v>
      </c>
      <c r="H4864" t="str">
        <f>"97111"</f>
        <v>97111</v>
      </c>
      <c r="I4864">
        <v>1</v>
      </c>
      <c r="J4864">
        <v>18</v>
      </c>
      <c r="K4864">
        <v>0</v>
      </c>
      <c r="L4864">
        <v>14.04</v>
      </c>
    </row>
    <row r="4865" spans="1:12" x14ac:dyDescent="0.25">
      <c r="A4865" t="str">
        <f t="shared" si="1066"/>
        <v>89301000</v>
      </c>
      <c r="B4865" t="str">
        <f t="shared" ref="B4865:B4873" si="1077">"44564000"</f>
        <v>44564000</v>
      </c>
      <c r="C4865" t="str">
        <f t="shared" ref="C4865:C4873" si="1078">"44564004"</f>
        <v>44564004</v>
      </c>
      <c r="D4865" t="str">
        <f t="shared" ref="D4865:D4873" si="1079">"807"</f>
        <v>807</v>
      </c>
      <c r="E4865" t="str">
        <f t="shared" ref="E4865:E4875" si="1080">"89301212"</f>
        <v>89301212</v>
      </c>
      <c r="F4865" t="str">
        <f>"5454153320"</f>
        <v>5454153320</v>
      </c>
      <c r="G4865" s="1">
        <v>44685</v>
      </c>
      <c r="H4865" t="str">
        <f>"87217"</f>
        <v>87217</v>
      </c>
      <c r="I4865">
        <v>1</v>
      </c>
      <c r="J4865">
        <v>207</v>
      </c>
      <c r="K4865">
        <v>0</v>
      </c>
      <c r="L4865">
        <v>161.46</v>
      </c>
    </row>
    <row r="4866" spans="1:12" x14ac:dyDescent="0.25">
      <c r="A4866" t="str">
        <f t="shared" ref="A4866:A4929" si="1081">"89301000"</f>
        <v>89301000</v>
      </c>
      <c r="B4866" t="str">
        <f t="shared" si="1077"/>
        <v>44564000</v>
      </c>
      <c r="C4866" t="str">
        <f t="shared" si="1078"/>
        <v>44564004</v>
      </c>
      <c r="D4866" t="str">
        <f t="shared" si="1079"/>
        <v>807</v>
      </c>
      <c r="E4866" t="str">
        <f t="shared" si="1080"/>
        <v>89301212</v>
      </c>
      <c r="F4866" t="str">
        <f>"5454153320"</f>
        <v>5454153320</v>
      </c>
      <c r="G4866" s="1">
        <v>44685</v>
      </c>
      <c r="H4866" t="str">
        <f>"87613"</f>
        <v>87613</v>
      </c>
      <c r="I4866">
        <v>1</v>
      </c>
      <c r="J4866">
        <v>422</v>
      </c>
      <c r="K4866">
        <v>0</v>
      </c>
      <c r="L4866">
        <v>329.16</v>
      </c>
    </row>
    <row r="4867" spans="1:12" x14ac:dyDescent="0.25">
      <c r="A4867" t="str">
        <f t="shared" si="1081"/>
        <v>89301000</v>
      </c>
      <c r="B4867" t="str">
        <f t="shared" si="1077"/>
        <v>44564000</v>
      </c>
      <c r="C4867" t="str">
        <f t="shared" si="1078"/>
        <v>44564004</v>
      </c>
      <c r="D4867" t="str">
        <f t="shared" si="1079"/>
        <v>807</v>
      </c>
      <c r="E4867" t="str">
        <f t="shared" si="1080"/>
        <v>89301212</v>
      </c>
      <c r="F4867" t="str">
        <f>"5454153320"</f>
        <v>5454153320</v>
      </c>
      <c r="G4867" s="1">
        <v>44685</v>
      </c>
      <c r="H4867" t="str">
        <f>"87617"</f>
        <v>87617</v>
      </c>
      <c r="I4867">
        <v>1</v>
      </c>
      <c r="J4867">
        <v>3625</v>
      </c>
      <c r="K4867">
        <v>0</v>
      </c>
      <c r="L4867">
        <v>2827.5</v>
      </c>
    </row>
    <row r="4868" spans="1:12" x14ac:dyDescent="0.25">
      <c r="A4868" t="str">
        <f t="shared" si="1081"/>
        <v>89301000</v>
      </c>
      <c r="B4868" t="str">
        <f t="shared" si="1077"/>
        <v>44564000</v>
      </c>
      <c r="C4868" t="str">
        <f t="shared" si="1078"/>
        <v>44564004</v>
      </c>
      <c r="D4868" t="str">
        <f t="shared" si="1079"/>
        <v>807</v>
      </c>
      <c r="E4868" t="str">
        <f t="shared" si="1080"/>
        <v>89301212</v>
      </c>
      <c r="F4868" t="str">
        <f>"5907231924"</f>
        <v>5907231924</v>
      </c>
      <c r="G4868" s="1">
        <v>44700</v>
      </c>
      <c r="H4868" t="str">
        <f>"87231"</f>
        <v>87231</v>
      </c>
      <c r="I4868">
        <v>1</v>
      </c>
      <c r="J4868">
        <v>374</v>
      </c>
      <c r="K4868">
        <v>0</v>
      </c>
      <c r="L4868">
        <v>291.72000000000003</v>
      </c>
    </row>
    <row r="4869" spans="1:12" x14ac:dyDescent="0.25">
      <c r="A4869" t="str">
        <f t="shared" si="1081"/>
        <v>89301000</v>
      </c>
      <c r="B4869" t="str">
        <f t="shared" si="1077"/>
        <v>44564000</v>
      </c>
      <c r="C4869" t="str">
        <f t="shared" si="1078"/>
        <v>44564004</v>
      </c>
      <c r="D4869" t="str">
        <f t="shared" si="1079"/>
        <v>807</v>
      </c>
      <c r="E4869" t="str">
        <f t="shared" si="1080"/>
        <v>89301212</v>
      </c>
      <c r="F4869" t="str">
        <f>"5907231924"</f>
        <v>5907231924</v>
      </c>
      <c r="G4869" s="1">
        <v>44700</v>
      </c>
      <c r="H4869" t="str">
        <f>"87613"</f>
        <v>87613</v>
      </c>
      <c r="I4869">
        <v>1</v>
      </c>
      <c r="J4869">
        <v>422</v>
      </c>
      <c r="K4869">
        <v>0</v>
      </c>
      <c r="L4869">
        <v>329.16</v>
      </c>
    </row>
    <row r="4870" spans="1:12" x14ac:dyDescent="0.25">
      <c r="A4870" t="str">
        <f t="shared" si="1081"/>
        <v>89301000</v>
      </c>
      <c r="B4870" t="str">
        <f t="shared" si="1077"/>
        <v>44564000</v>
      </c>
      <c r="C4870" t="str">
        <f t="shared" si="1078"/>
        <v>44564004</v>
      </c>
      <c r="D4870" t="str">
        <f t="shared" si="1079"/>
        <v>807</v>
      </c>
      <c r="E4870" t="str">
        <f t="shared" si="1080"/>
        <v>89301212</v>
      </c>
      <c r="F4870" t="str">
        <f>"5907231924"</f>
        <v>5907231924</v>
      </c>
      <c r="G4870" s="1">
        <v>44700</v>
      </c>
      <c r="H4870" t="str">
        <f>"87617"</f>
        <v>87617</v>
      </c>
      <c r="I4870">
        <v>1</v>
      </c>
      <c r="J4870">
        <v>3625</v>
      </c>
      <c r="K4870">
        <v>0</v>
      </c>
      <c r="L4870">
        <v>2827.5</v>
      </c>
    </row>
    <row r="4871" spans="1:12" x14ac:dyDescent="0.25">
      <c r="A4871" t="str">
        <f t="shared" si="1081"/>
        <v>89301000</v>
      </c>
      <c r="B4871" t="str">
        <f t="shared" si="1077"/>
        <v>44564000</v>
      </c>
      <c r="C4871" t="str">
        <f t="shared" si="1078"/>
        <v>44564004</v>
      </c>
      <c r="D4871" t="str">
        <f t="shared" si="1079"/>
        <v>807</v>
      </c>
      <c r="E4871" t="str">
        <f t="shared" si="1080"/>
        <v>89301212</v>
      </c>
      <c r="F4871" t="str">
        <f>"6557290575"</f>
        <v>6557290575</v>
      </c>
      <c r="G4871" s="1">
        <v>44712</v>
      </c>
      <c r="H4871" t="str">
        <f>"87217"</f>
        <v>87217</v>
      </c>
      <c r="I4871">
        <v>1</v>
      </c>
      <c r="J4871">
        <v>207</v>
      </c>
      <c r="K4871">
        <v>0</v>
      </c>
      <c r="L4871">
        <v>161.46</v>
      </c>
    </row>
    <row r="4872" spans="1:12" x14ac:dyDescent="0.25">
      <c r="A4872" t="str">
        <f t="shared" si="1081"/>
        <v>89301000</v>
      </c>
      <c r="B4872" t="str">
        <f t="shared" si="1077"/>
        <v>44564000</v>
      </c>
      <c r="C4872" t="str">
        <f t="shared" si="1078"/>
        <v>44564004</v>
      </c>
      <c r="D4872" t="str">
        <f t="shared" si="1079"/>
        <v>807</v>
      </c>
      <c r="E4872" t="str">
        <f t="shared" si="1080"/>
        <v>89301212</v>
      </c>
      <c r="F4872" t="str">
        <f>"6557290575"</f>
        <v>6557290575</v>
      </c>
      <c r="G4872" s="1">
        <v>44712</v>
      </c>
      <c r="H4872" t="str">
        <f>"87613"</f>
        <v>87613</v>
      </c>
      <c r="I4872">
        <v>1</v>
      </c>
      <c r="J4872">
        <v>422</v>
      </c>
      <c r="K4872">
        <v>0</v>
      </c>
      <c r="L4872">
        <v>329.16</v>
      </c>
    </row>
    <row r="4873" spans="1:12" x14ac:dyDescent="0.25">
      <c r="A4873" t="str">
        <f t="shared" si="1081"/>
        <v>89301000</v>
      </c>
      <c r="B4873" t="str">
        <f t="shared" si="1077"/>
        <v>44564000</v>
      </c>
      <c r="C4873" t="str">
        <f t="shared" si="1078"/>
        <v>44564004</v>
      </c>
      <c r="D4873" t="str">
        <f t="shared" si="1079"/>
        <v>807</v>
      </c>
      <c r="E4873" t="str">
        <f t="shared" si="1080"/>
        <v>89301212</v>
      </c>
      <c r="F4873" t="str">
        <f>"6557290575"</f>
        <v>6557290575</v>
      </c>
      <c r="G4873" s="1">
        <v>44712</v>
      </c>
      <c r="H4873" t="str">
        <f>"87617"</f>
        <v>87617</v>
      </c>
      <c r="I4873">
        <v>1</v>
      </c>
      <c r="J4873">
        <v>3625</v>
      </c>
      <c r="K4873">
        <v>0</v>
      </c>
      <c r="L4873">
        <v>2827.5</v>
      </c>
    </row>
    <row r="4874" spans="1:12" x14ac:dyDescent="0.25">
      <c r="A4874" t="str">
        <f t="shared" si="1081"/>
        <v>89301000</v>
      </c>
      <c r="B4874" t="str">
        <f>"86210300"</f>
        <v>86210300</v>
      </c>
      <c r="C4874" t="str">
        <f>"86210220"</f>
        <v>86210220</v>
      </c>
      <c r="D4874" t="str">
        <f t="shared" ref="D4874:D4913" si="1082">"809"</f>
        <v>809</v>
      </c>
      <c r="E4874" t="str">
        <f t="shared" si="1080"/>
        <v>89301212</v>
      </c>
      <c r="F4874" t="str">
        <f>"495423004"</f>
        <v>495423004</v>
      </c>
      <c r="G4874" s="1">
        <v>44692</v>
      </c>
      <c r="H4874" t="str">
        <f>"89512"</f>
        <v>89512</v>
      </c>
      <c r="I4874">
        <v>1</v>
      </c>
      <c r="J4874">
        <v>277</v>
      </c>
      <c r="K4874">
        <v>0</v>
      </c>
      <c r="L4874">
        <v>387.8</v>
      </c>
    </row>
    <row r="4875" spans="1:12" x14ac:dyDescent="0.25">
      <c r="A4875" t="str">
        <f t="shared" si="1081"/>
        <v>89301000</v>
      </c>
      <c r="B4875" t="str">
        <f>"86210300"</f>
        <v>86210300</v>
      </c>
      <c r="C4875" t="str">
        <f>"86210220"</f>
        <v>86210220</v>
      </c>
      <c r="D4875" t="str">
        <f t="shared" si="1082"/>
        <v>809</v>
      </c>
      <c r="E4875" t="str">
        <f t="shared" si="1080"/>
        <v>89301212</v>
      </c>
      <c r="F4875" t="str">
        <f>"495423004"</f>
        <v>495423004</v>
      </c>
      <c r="G4875" s="1">
        <v>44692</v>
      </c>
      <c r="H4875" t="str">
        <f>"89180"</f>
        <v>89180</v>
      </c>
      <c r="I4875">
        <v>1</v>
      </c>
      <c r="J4875">
        <v>376</v>
      </c>
      <c r="K4875">
        <v>0</v>
      </c>
      <c r="L4875">
        <v>526.4</v>
      </c>
    </row>
    <row r="4876" spans="1:12" x14ac:dyDescent="0.25">
      <c r="A4876" t="str">
        <f t="shared" si="1081"/>
        <v>89301000</v>
      </c>
      <c r="B4876" t="str">
        <f>"56024000"</f>
        <v>56024000</v>
      </c>
      <c r="C4876" t="str">
        <f>"56024001"</f>
        <v>56024001</v>
      </c>
      <c r="D4876" t="str">
        <f t="shared" si="1082"/>
        <v>809</v>
      </c>
      <c r="E4876" t="str">
        <f>"89301042"</f>
        <v>89301042</v>
      </c>
      <c r="F4876" t="str">
        <f>"515615115"</f>
        <v>515615115</v>
      </c>
      <c r="G4876" s="1">
        <v>44705</v>
      </c>
      <c r="H4876" t="str">
        <f>"89513"</f>
        <v>89513</v>
      </c>
      <c r="I4876">
        <v>1</v>
      </c>
      <c r="J4876">
        <v>371</v>
      </c>
      <c r="K4876">
        <v>0</v>
      </c>
      <c r="L4876">
        <v>519.4</v>
      </c>
    </row>
    <row r="4877" spans="1:12" x14ac:dyDescent="0.25">
      <c r="A4877" t="str">
        <f t="shared" si="1081"/>
        <v>89301000</v>
      </c>
      <c r="B4877" t="str">
        <f t="shared" ref="B4877:B4907" si="1083">"89895000"</f>
        <v>89895000</v>
      </c>
      <c r="C4877" t="str">
        <f t="shared" ref="C4877:C4907" si="1084">"89895002"</f>
        <v>89895002</v>
      </c>
      <c r="D4877" t="str">
        <f t="shared" si="1082"/>
        <v>809</v>
      </c>
      <c r="E4877" t="str">
        <f t="shared" ref="E4877:E4900" si="1085">"89301212"</f>
        <v>89301212</v>
      </c>
      <c r="F4877" t="str">
        <f>"406221434"</f>
        <v>406221434</v>
      </c>
      <c r="G4877" s="1">
        <v>44690</v>
      </c>
      <c r="H4877" t="str">
        <f>"89514"</f>
        <v>89514</v>
      </c>
      <c r="I4877">
        <v>1</v>
      </c>
      <c r="J4877">
        <v>371</v>
      </c>
      <c r="K4877">
        <v>0</v>
      </c>
      <c r="L4877">
        <v>519.4</v>
      </c>
    </row>
    <row r="4878" spans="1:12" x14ac:dyDescent="0.25">
      <c r="A4878" t="str">
        <f t="shared" si="1081"/>
        <v>89301000</v>
      </c>
      <c r="B4878" t="str">
        <f t="shared" si="1083"/>
        <v>89895000</v>
      </c>
      <c r="C4878" t="str">
        <f t="shared" si="1084"/>
        <v>89895002</v>
      </c>
      <c r="D4878" t="str">
        <f t="shared" si="1082"/>
        <v>809</v>
      </c>
      <c r="E4878" t="str">
        <f t="shared" si="1085"/>
        <v>89301212</v>
      </c>
      <c r="F4878" t="str">
        <f>"406221434"</f>
        <v>406221434</v>
      </c>
      <c r="G4878" s="1">
        <v>44690</v>
      </c>
      <c r="H4878" t="str">
        <f>"89512"</f>
        <v>89512</v>
      </c>
      <c r="I4878">
        <v>1</v>
      </c>
      <c r="J4878">
        <v>277</v>
      </c>
      <c r="K4878">
        <v>0</v>
      </c>
      <c r="L4878">
        <v>387.8</v>
      </c>
    </row>
    <row r="4879" spans="1:12" x14ac:dyDescent="0.25">
      <c r="A4879" t="str">
        <f t="shared" si="1081"/>
        <v>89301000</v>
      </c>
      <c r="B4879" t="str">
        <f t="shared" si="1083"/>
        <v>89895000</v>
      </c>
      <c r="C4879" t="str">
        <f t="shared" si="1084"/>
        <v>89895002</v>
      </c>
      <c r="D4879" t="str">
        <f t="shared" si="1082"/>
        <v>809</v>
      </c>
      <c r="E4879" t="str">
        <f t="shared" si="1085"/>
        <v>89301212</v>
      </c>
      <c r="F4879" t="str">
        <f>"406221434"</f>
        <v>406221434</v>
      </c>
      <c r="G4879" s="1">
        <v>44690</v>
      </c>
      <c r="H4879" t="str">
        <f>"89513"</f>
        <v>89513</v>
      </c>
      <c r="I4879">
        <v>1</v>
      </c>
      <c r="J4879">
        <v>371</v>
      </c>
      <c r="K4879">
        <v>0</v>
      </c>
      <c r="L4879">
        <v>519.4</v>
      </c>
    </row>
    <row r="4880" spans="1:12" x14ac:dyDescent="0.25">
      <c r="A4880" t="str">
        <f t="shared" si="1081"/>
        <v>89301000</v>
      </c>
      <c r="B4880" t="str">
        <f t="shared" si="1083"/>
        <v>89895000</v>
      </c>
      <c r="C4880" t="str">
        <f t="shared" si="1084"/>
        <v>89895002</v>
      </c>
      <c r="D4880" t="str">
        <f t="shared" si="1082"/>
        <v>809</v>
      </c>
      <c r="E4880" t="str">
        <f t="shared" si="1085"/>
        <v>89301212</v>
      </c>
      <c r="F4880" t="str">
        <f>"5559221910"</f>
        <v>5559221910</v>
      </c>
      <c r="G4880" s="1">
        <v>44683</v>
      </c>
      <c r="H4880" t="str">
        <f>"89513"</f>
        <v>89513</v>
      </c>
      <c r="I4880">
        <v>1</v>
      </c>
      <c r="J4880">
        <v>371</v>
      </c>
      <c r="K4880">
        <v>0</v>
      </c>
      <c r="L4880">
        <v>519.4</v>
      </c>
    </row>
    <row r="4881" spans="1:12" x14ac:dyDescent="0.25">
      <c r="A4881" t="str">
        <f t="shared" si="1081"/>
        <v>89301000</v>
      </c>
      <c r="B4881" t="str">
        <f t="shared" si="1083"/>
        <v>89895000</v>
      </c>
      <c r="C4881" t="str">
        <f t="shared" si="1084"/>
        <v>89895002</v>
      </c>
      <c r="D4881" t="str">
        <f t="shared" si="1082"/>
        <v>809</v>
      </c>
      <c r="E4881" t="str">
        <f t="shared" si="1085"/>
        <v>89301212</v>
      </c>
      <c r="F4881" t="str">
        <f>"5559221910"</f>
        <v>5559221910</v>
      </c>
      <c r="G4881" s="1">
        <v>44683</v>
      </c>
      <c r="H4881" t="str">
        <f>"89514"</f>
        <v>89514</v>
      </c>
      <c r="I4881">
        <v>1</v>
      </c>
      <c r="J4881">
        <v>371</v>
      </c>
      <c r="K4881">
        <v>0</v>
      </c>
      <c r="L4881">
        <v>519.4</v>
      </c>
    </row>
    <row r="4882" spans="1:12" x14ac:dyDescent="0.25">
      <c r="A4882" t="str">
        <f t="shared" si="1081"/>
        <v>89301000</v>
      </c>
      <c r="B4882" t="str">
        <f t="shared" si="1083"/>
        <v>89895000</v>
      </c>
      <c r="C4882" t="str">
        <f t="shared" si="1084"/>
        <v>89895002</v>
      </c>
      <c r="D4882" t="str">
        <f t="shared" si="1082"/>
        <v>809</v>
      </c>
      <c r="E4882" t="str">
        <f t="shared" si="1085"/>
        <v>89301212</v>
      </c>
      <c r="F4882" t="str">
        <f>"6554141825"</f>
        <v>6554141825</v>
      </c>
      <c r="G4882" s="1">
        <v>44687</v>
      </c>
      <c r="H4882" t="str">
        <f>"89180"</f>
        <v>89180</v>
      </c>
      <c r="I4882">
        <v>2</v>
      </c>
      <c r="J4882">
        <v>752</v>
      </c>
      <c r="K4882">
        <v>0</v>
      </c>
      <c r="L4882">
        <v>1052.8</v>
      </c>
    </row>
    <row r="4883" spans="1:12" x14ac:dyDescent="0.25">
      <c r="A4883" t="str">
        <f t="shared" si="1081"/>
        <v>89301000</v>
      </c>
      <c r="B4883" t="str">
        <f t="shared" si="1083"/>
        <v>89895000</v>
      </c>
      <c r="C4883" t="str">
        <f t="shared" si="1084"/>
        <v>89895002</v>
      </c>
      <c r="D4883" t="str">
        <f t="shared" si="1082"/>
        <v>809</v>
      </c>
      <c r="E4883" t="str">
        <f t="shared" si="1085"/>
        <v>89301212</v>
      </c>
      <c r="F4883" t="str">
        <f>"6554141825"</f>
        <v>6554141825</v>
      </c>
      <c r="G4883" s="1">
        <v>44687</v>
      </c>
      <c r="H4883" t="str">
        <f>"89512"</f>
        <v>89512</v>
      </c>
      <c r="I4883">
        <v>1</v>
      </c>
      <c r="J4883">
        <v>277</v>
      </c>
      <c r="K4883">
        <v>0</v>
      </c>
      <c r="L4883">
        <v>387.8</v>
      </c>
    </row>
    <row r="4884" spans="1:12" x14ac:dyDescent="0.25">
      <c r="A4884" t="str">
        <f t="shared" si="1081"/>
        <v>89301000</v>
      </c>
      <c r="B4884" t="str">
        <f t="shared" si="1083"/>
        <v>89895000</v>
      </c>
      <c r="C4884" t="str">
        <f t="shared" si="1084"/>
        <v>89895002</v>
      </c>
      <c r="D4884" t="str">
        <f t="shared" si="1082"/>
        <v>809</v>
      </c>
      <c r="E4884" t="str">
        <f t="shared" si="1085"/>
        <v>89301212</v>
      </c>
      <c r="F4884" t="str">
        <f>"6554141825"</f>
        <v>6554141825</v>
      </c>
      <c r="G4884" s="1">
        <v>44687</v>
      </c>
      <c r="H4884" t="str">
        <f>"09511"</f>
        <v>09511</v>
      </c>
      <c r="I4884">
        <v>1</v>
      </c>
      <c r="J4884">
        <v>43</v>
      </c>
      <c r="K4884">
        <v>0</v>
      </c>
      <c r="L4884">
        <v>60.2</v>
      </c>
    </row>
    <row r="4885" spans="1:12" x14ac:dyDescent="0.25">
      <c r="A4885" t="str">
        <f t="shared" si="1081"/>
        <v>89301000</v>
      </c>
      <c r="B4885" t="str">
        <f t="shared" si="1083"/>
        <v>89895000</v>
      </c>
      <c r="C4885" t="str">
        <f t="shared" si="1084"/>
        <v>89895002</v>
      </c>
      <c r="D4885" t="str">
        <f t="shared" si="1082"/>
        <v>809</v>
      </c>
      <c r="E4885" t="str">
        <f t="shared" si="1085"/>
        <v>89301212</v>
      </c>
      <c r="F4885" t="str">
        <f>"7162182236"</f>
        <v>7162182236</v>
      </c>
      <c r="G4885" s="1">
        <v>44697</v>
      </c>
      <c r="H4885" t="str">
        <f>"89512"</f>
        <v>89512</v>
      </c>
      <c r="I4885">
        <v>1</v>
      </c>
      <c r="J4885">
        <v>277</v>
      </c>
      <c r="K4885">
        <v>0</v>
      </c>
      <c r="L4885">
        <v>387.8</v>
      </c>
    </row>
    <row r="4886" spans="1:12" x14ac:dyDescent="0.25">
      <c r="A4886" t="str">
        <f t="shared" si="1081"/>
        <v>89301000</v>
      </c>
      <c r="B4886" t="str">
        <f t="shared" si="1083"/>
        <v>89895000</v>
      </c>
      <c r="C4886" t="str">
        <f t="shared" si="1084"/>
        <v>89895002</v>
      </c>
      <c r="D4886" t="str">
        <f t="shared" si="1082"/>
        <v>809</v>
      </c>
      <c r="E4886" t="str">
        <f t="shared" si="1085"/>
        <v>89301212</v>
      </c>
      <c r="F4886" t="str">
        <f>"7162182236"</f>
        <v>7162182236</v>
      </c>
      <c r="G4886" s="1">
        <v>44697</v>
      </c>
      <c r="H4886" t="str">
        <f>"89514"</f>
        <v>89514</v>
      </c>
      <c r="I4886">
        <v>1</v>
      </c>
      <c r="J4886">
        <v>371</v>
      </c>
      <c r="K4886">
        <v>0</v>
      </c>
      <c r="L4886">
        <v>519.4</v>
      </c>
    </row>
    <row r="4887" spans="1:12" x14ac:dyDescent="0.25">
      <c r="A4887" t="str">
        <f t="shared" si="1081"/>
        <v>89301000</v>
      </c>
      <c r="B4887" t="str">
        <f t="shared" si="1083"/>
        <v>89895000</v>
      </c>
      <c r="C4887" t="str">
        <f t="shared" si="1084"/>
        <v>89895002</v>
      </c>
      <c r="D4887" t="str">
        <f t="shared" si="1082"/>
        <v>809</v>
      </c>
      <c r="E4887" t="str">
        <f t="shared" si="1085"/>
        <v>89301212</v>
      </c>
      <c r="F4887" t="str">
        <f>"7162182236"</f>
        <v>7162182236</v>
      </c>
      <c r="G4887" s="1">
        <v>44697</v>
      </c>
      <c r="H4887" t="str">
        <f>"89513"</f>
        <v>89513</v>
      </c>
      <c r="I4887">
        <v>1</v>
      </c>
      <c r="J4887">
        <v>371</v>
      </c>
      <c r="K4887">
        <v>0</v>
      </c>
      <c r="L4887">
        <v>519.4</v>
      </c>
    </row>
    <row r="4888" spans="1:12" x14ac:dyDescent="0.25">
      <c r="A4888" t="str">
        <f t="shared" si="1081"/>
        <v>89301000</v>
      </c>
      <c r="B4888" t="str">
        <f t="shared" si="1083"/>
        <v>89895000</v>
      </c>
      <c r="C4888" t="str">
        <f t="shared" si="1084"/>
        <v>89895002</v>
      </c>
      <c r="D4888" t="str">
        <f t="shared" si="1082"/>
        <v>809</v>
      </c>
      <c r="E4888" t="str">
        <f t="shared" si="1085"/>
        <v>89301212</v>
      </c>
      <c r="F4888" t="str">
        <f>"7456275387"</f>
        <v>7456275387</v>
      </c>
      <c r="G4888" s="1">
        <v>44687</v>
      </c>
      <c r="H4888" t="str">
        <f>"89180"</f>
        <v>89180</v>
      </c>
      <c r="I4888">
        <v>2</v>
      </c>
      <c r="J4888">
        <v>752</v>
      </c>
      <c r="K4888">
        <v>0</v>
      </c>
      <c r="L4888">
        <v>1052.8</v>
      </c>
    </row>
    <row r="4889" spans="1:12" x14ac:dyDescent="0.25">
      <c r="A4889" t="str">
        <f t="shared" si="1081"/>
        <v>89301000</v>
      </c>
      <c r="B4889" t="str">
        <f t="shared" si="1083"/>
        <v>89895000</v>
      </c>
      <c r="C4889" t="str">
        <f t="shared" si="1084"/>
        <v>89895002</v>
      </c>
      <c r="D4889" t="str">
        <f t="shared" si="1082"/>
        <v>809</v>
      </c>
      <c r="E4889" t="str">
        <f t="shared" si="1085"/>
        <v>89301212</v>
      </c>
      <c r="F4889" t="str">
        <f>"7456275387"</f>
        <v>7456275387</v>
      </c>
      <c r="G4889" s="1">
        <v>44687</v>
      </c>
      <c r="H4889" t="str">
        <f>"89513"</f>
        <v>89513</v>
      </c>
      <c r="I4889">
        <v>1</v>
      </c>
      <c r="J4889">
        <v>371</v>
      </c>
      <c r="K4889">
        <v>0</v>
      </c>
      <c r="L4889">
        <v>519.4</v>
      </c>
    </row>
    <row r="4890" spans="1:12" x14ac:dyDescent="0.25">
      <c r="A4890" t="str">
        <f t="shared" si="1081"/>
        <v>89301000</v>
      </c>
      <c r="B4890" t="str">
        <f t="shared" si="1083"/>
        <v>89895000</v>
      </c>
      <c r="C4890" t="str">
        <f t="shared" si="1084"/>
        <v>89895002</v>
      </c>
      <c r="D4890" t="str">
        <f t="shared" si="1082"/>
        <v>809</v>
      </c>
      <c r="E4890" t="str">
        <f t="shared" si="1085"/>
        <v>89301212</v>
      </c>
      <c r="F4890" t="str">
        <f>"7456275387"</f>
        <v>7456275387</v>
      </c>
      <c r="G4890" s="1">
        <v>44687</v>
      </c>
      <c r="H4890" t="str">
        <f>"89514"</f>
        <v>89514</v>
      </c>
      <c r="I4890">
        <v>1</v>
      </c>
      <c r="J4890">
        <v>371</v>
      </c>
      <c r="K4890">
        <v>0</v>
      </c>
      <c r="L4890">
        <v>519.4</v>
      </c>
    </row>
    <row r="4891" spans="1:12" x14ac:dyDescent="0.25">
      <c r="A4891" t="str">
        <f t="shared" si="1081"/>
        <v>89301000</v>
      </c>
      <c r="B4891" t="str">
        <f t="shared" si="1083"/>
        <v>89895000</v>
      </c>
      <c r="C4891" t="str">
        <f t="shared" si="1084"/>
        <v>89895002</v>
      </c>
      <c r="D4891" t="str">
        <f t="shared" si="1082"/>
        <v>809</v>
      </c>
      <c r="E4891" t="str">
        <f t="shared" si="1085"/>
        <v>89301212</v>
      </c>
      <c r="F4891" t="str">
        <f>"7456275387"</f>
        <v>7456275387</v>
      </c>
      <c r="G4891" s="1">
        <v>44687</v>
      </c>
      <c r="H4891" t="str">
        <f>"89512"</f>
        <v>89512</v>
      </c>
      <c r="I4891">
        <v>1</v>
      </c>
      <c r="J4891">
        <v>277</v>
      </c>
      <c r="K4891">
        <v>0</v>
      </c>
      <c r="L4891">
        <v>387.8</v>
      </c>
    </row>
    <row r="4892" spans="1:12" x14ac:dyDescent="0.25">
      <c r="A4892" t="str">
        <f t="shared" si="1081"/>
        <v>89301000</v>
      </c>
      <c r="B4892" t="str">
        <f t="shared" si="1083"/>
        <v>89895000</v>
      </c>
      <c r="C4892" t="str">
        <f t="shared" si="1084"/>
        <v>89895002</v>
      </c>
      <c r="D4892" t="str">
        <f t="shared" si="1082"/>
        <v>809</v>
      </c>
      <c r="E4892" t="str">
        <f t="shared" si="1085"/>
        <v>89301212</v>
      </c>
      <c r="F4892" t="str">
        <f>"7653245303"</f>
        <v>7653245303</v>
      </c>
      <c r="G4892" s="1">
        <v>44685</v>
      </c>
      <c r="H4892" t="str">
        <f>"89512"</f>
        <v>89512</v>
      </c>
      <c r="I4892">
        <v>1</v>
      </c>
      <c r="J4892">
        <v>277</v>
      </c>
      <c r="K4892">
        <v>0</v>
      </c>
      <c r="L4892">
        <v>387.8</v>
      </c>
    </row>
    <row r="4893" spans="1:12" x14ac:dyDescent="0.25">
      <c r="A4893" t="str">
        <f t="shared" si="1081"/>
        <v>89301000</v>
      </c>
      <c r="B4893" t="str">
        <f t="shared" si="1083"/>
        <v>89895000</v>
      </c>
      <c r="C4893" t="str">
        <f t="shared" si="1084"/>
        <v>89895002</v>
      </c>
      <c r="D4893" t="str">
        <f t="shared" si="1082"/>
        <v>809</v>
      </c>
      <c r="E4893" t="str">
        <f t="shared" si="1085"/>
        <v>89301212</v>
      </c>
      <c r="F4893" t="str">
        <f>"7653245303"</f>
        <v>7653245303</v>
      </c>
      <c r="G4893" s="1">
        <v>44685</v>
      </c>
      <c r="H4893" t="str">
        <f>"09511"</f>
        <v>09511</v>
      </c>
      <c r="I4893">
        <v>1</v>
      </c>
      <c r="J4893">
        <v>43</v>
      </c>
      <c r="K4893">
        <v>0</v>
      </c>
      <c r="L4893">
        <v>60.2</v>
      </c>
    </row>
    <row r="4894" spans="1:12" x14ac:dyDescent="0.25">
      <c r="A4894" t="str">
        <f t="shared" si="1081"/>
        <v>89301000</v>
      </c>
      <c r="B4894" t="str">
        <f t="shared" si="1083"/>
        <v>89895000</v>
      </c>
      <c r="C4894" t="str">
        <f t="shared" si="1084"/>
        <v>89895002</v>
      </c>
      <c r="D4894" t="str">
        <f t="shared" si="1082"/>
        <v>809</v>
      </c>
      <c r="E4894" t="str">
        <f t="shared" si="1085"/>
        <v>89301212</v>
      </c>
      <c r="F4894" t="str">
        <f>"7862045785"</f>
        <v>7862045785</v>
      </c>
      <c r="G4894" s="1">
        <v>44698</v>
      </c>
      <c r="H4894" t="str">
        <f>"89512"</f>
        <v>89512</v>
      </c>
      <c r="I4894">
        <v>1</v>
      </c>
      <c r="J4894">
        <v>277</v>
      </c>
      <c r="K4894">
        <v>0</v>
      </c>
      <c r="L4894">
        <v>387.8</v>
      </c>
    </row>
    <row r="4895" spans="1:12" x14ac:dyDescent="0.25">
      <c r="A4895" t="str">
        <f t="shared" si="1081"/>
        <v>89301000</v>
      </c>
      <c r="B4895" t="str">
        <f t="shared" si="1083"/>
        <v>89895000</v>
      </c>
      <c r="C4895" t="str">
        <f t="shared" si="1084"/>
        <v>89895002</v>
      </c>
      <c r="D4895" t="str">
        <f t="shared" si="1082"/>
        <v>809</v>
      </c>
      <c r="E4895" t="str">
        <f t="shared" si="1085"/>
        <v>89301212</v>
      </c>
      <c r="F4895" t="str">
        <f>"7862045785"</f>
        <v>7862045785</v>
      </c>
      <c r="G4895" s="1">
        <v>44698</v>
      </c>
      <c r="H4895" t="str">
        <f>"09511"</f>
        <v>09511</v>
      </c>
      <c r="I4895">
        <v>1</v>
      </c>
      <c r="J4895">
        <v>43</v>
      </c>
      <c r="K4895">
        <v>0</v>
      </c>
      <c r="L4895">
        <v>60.2</v>
      </c>
    </row>
    <row r="4896" spans="1:12" x14ac:dyDescent="0.25">
      <c r="A4896" t="str">
        <f t="shared" si="1081"/>
        <v>89301000</v>
      </c>
      <c r="B4896" t="str">
        <f t="shared" si="1083"/>
        <v>89895000</v>
      </c>
      <c r="C4896" t="str">
        <f t="shared" si="1084"/>
        <v>89895002</v>
      </c>
      <c r="D4896" t="str">
        <f t="shared" si="1082"/>
        <v>809</v>
      </c>
      <c r="E4896" t="str">
        <f t="shared" si="1085"/>
        <v>89301212</v>
      </c>
      <c r="F4896" t="str">
        <f>"8153065338"</f>
        <v>8153065338</v>
      </c>
      <c r="G4896" s="1">
        <v>44697</v>
      </c>
      <c r="H4896" t="str">
        <f>"89180"</f>
        <v>89180</v>
      </c>
      <c r="I4896">
        <v>2</v>
      </c>
      <c r="J4896">
        <v>752</v>
      </c>
      <c r="K4896">
        <v>0</v>
      </c>
      <c r="L4896">
        <v>1052.8</v>
      </c>
    </row>
    <row r="4897" spans="1:12" x14ac:dyDescent="0.25">
      <c r="A4897" t="str">
        <f t="shared" si="1081"/>
        <v>89301000</v>
      </c>
      <c r="B4897" t="str">
        <f t="shared" si="1083"/>
        <v>89895000</v>
      </c>
      <c r="C4897" t="str">
        <f t="shared" si="1084"/>
        <v>89895002</v>
      </c>
      <c r="D4897" t="str">
        <f t="shared" si="1082"/>
        <v>809</v>
      </c>
      <c r="E4897" t="str">
        <f t="shared" si="1085"/>
        <v>89301212</v>
      </c>
      <c r="F4897" t="str">
        <f>"8252125310"</f>
        <v>8252125310</v>
      </c>
      <c r="G4897" s="1">
        <v>44706</v>
      </c>
      <c r="H4897" t="str">
        <f>"89513"</f>
        <v>89513</v>
      </c>
      <c r="I4897">
        <v>1</v>
      </c>
      <c r="J4897">
        <v>371</v>
      </c>
      <c r="K4897">
        <v>0</v>
      </c>
      <c r="L4897">
        <v>519.4</v>
      </c>
    </row>
    <row r="4898" spans="1:12" x14ac:dyDescent="0.25">
      <c r="A4898" t="str">
        <f t="shared" si="1081"/>
        <v>89301000</v>
      </c>
      <c r="B4898" t="str">
        <f t="shared" si="1083"/>
        <v>89895000</v>
      </c>
      <c r="C4898" t="str">
        <f t="shared" si="1084"/>
        <v>89895002</v>
      </c>
      <c r="D4898" t="str">
        <f t="shared" si="1082"/>
        <v>809</v>
      </c>
      <c r="E4898" t="str">
        <f t="shared" si="1085"/>
        <v>89301212</v>
      </c>
      <c r="F4898" t="str">
        <f>"8252125310"</f>
        <v>8252125310</v>
      </c>
      <c r="G4898" s="1">
        <v>44706</v>
      </c>
      <c r="H4898" t="str">
        <f>"89512"</f>
        <v>89512</v>
      </c>
      <c r="I4898">
        <v>1</v>
      </c>
      <c r="J4898">
        <v>277</v>
      </c>
      <c r="K4898">
        <v>0</v>
      </c>
      <c r="L4898">
        <v>387.8</v>
      </c>
    </row>
    <row r="4899" spans="1:12" x14ac:dyDescent="0.25">
      <c r="A4899" t="str">
        <f t="shared" si="1081"/>
        <v>89301000</v>
      </c>
      <c r="B4899" t="str">
        <f t="shared" si="1083"/>
        <v>89895000</v>
      </c>
      <c r="C4899" t="str">
        <f t="shared" si="1084"/>
        <v>89895002</v>
      </c>
      <c r="D4899" t="str">
        <f t="shared" si="1082"/>
        <v>809</v>
      </c>
      <c r="E4899" t="str">
        <f t="shared" si="1085"/>
        <v>89301212</v>
      </c>
      <c r="F4899" t="str">
        <f>"8252125310"</f>
        <v>8252125310</v>
      </c>
      <c r="G4899" s="1">
        <v>44706</v>
      </c>
      <c r="H4899" t="str">
        <f>"89514"</f>
        <v>89514</v>
      </c>
      <c r="I4899">
        <v>1</v>
      </c>
      <c r="J4899">
        <v>371</v>
      </c>
      <c r="K4899">
        <v>0</v>
      </c>
      <c r="L4899">
        <v>519.4</v>
      </c>
    </row>
    <row r="4900" spans="1:12" x14ac:dyDescent="0.25">
      <c r="A4900" t="str">
        <f t="shared" si="1081"/>
        <v>89301000</v>
      </c>
      <c r="B4900" t="str">
        <f t="shared" si="1083"/>
        <v>89895000</v>
      </c>
      <c r="C4900" t="str">
        <f t="shared" si="1084"/>
        <v>89895002</v>
      </c>
      <c r="D4900" t="str">
        <f t="shared" si="1082"/>
        <v>809</v>
      </c>
      <c r="E4900" t="str">
        <f t="shared" si="1085"/>
        <v>89301212</v>
      </c>
      <c r="F4900" t="str">
        <f>"8252125310"</f>
        <v>8252125310</v>
      </c>
      <c r="G4900" s="1">
        <v>44706</v>
      </c>
      <c r="H4900" t="str">
        <f>"09511"</f>
        <v>09511</v>
      </c>
      <c r="I4900">
        <v>1</v>
      </c>
      <c r="J4900">
        <v>43</v>
      </c>
      <c r="K4900">
        <v>0</v>
      </c>
      <c r="L4900">
        <v>60.2</v>
      </c>
    </row>
    <row r="4901" spans="1:12" x14ac:dyDescent="0.25">
      <c r="A4901" t="str">
        <f t="shared" si="1081"/>
        <v>89301000</v>
      </c>
      <c r="B4901" t="str">
        <f t="shared" si="1083"/>
        <v>89895000</v>
      </c>
      <c r="C4901" t="str">
        <f t="shared" si="1084"/>
        <v>89895002</v>
      </c>
      <c r="D4901" t="str">
        <f t="shared" si="1082"/>
        <v>809</v>
      </c>
      <c r="E4901" t="str">
        <f>"89301292"</f>
        <v>89301292</v>
      </c>
      <c r="F4901" t="str">
        <f>"8460275703"</f>
        <v>8460275703</v>
      </c>
      <c r="G4901" s="1">
        <v>44697</v>
      </c>
      <c r="H4901" t="str">
        <f>"89512"</f>
        <v>89512</v>
      </c>
      <c r="I4901">
        <v>1</v>
      </c>
      <c r="J4901">
        <v>277</v>
      </c>
      <c r="K4901">
        <v>0</v>
      </c>
      <c r="L4901">
        <v>387.8</v>
      </c>
    </row>
    <row r="4902" spans="1:12" x14ac:dyDescent="0.25">
      <c r="A4902" t="str">
        <f t="shared" si="1081"/>
        <v>89301000</v>
      </c>
      <c r="B4902" t="str">
        <f t="shared" si="1083"/>
        <v>89895000</v>
      </c>
      <c r="C4902" t="str">
        <f t="shared" si="1084"/>
        <v>89895002</v>
      </c>
      <c r="D4902" t="str">
        <f t="shared" si="1082"/>
        <v>809</v>
      </c>
      <c r="E4902" t="str">
        <f t="shared" ref="E4902:E4909" si="1086">"89301212"</f>
        <v>89301212</v>
      </c>
      <c r="F4902" t="str">
        <f t="shared" ref="F4902:F4907" si="1087">"455512476"</f>
        <v>455512476</v>
      </c>
      <c r="G4902" s="1">
        <v>44657</v>
      </c>
      <c r="H4902" t="str">
        <f>"89512"</f>
        <v>89512</v>
      </c>
      <c r="I4902">
        <v>1</v>
      </c>
      <c r="J4902">
        <v>277</v>
      </c>
      <c r="K4902">
        <v>0</v>
      </c>
      <c r="L4902">
        <v>387.8</v>
      </c>
    </row>
    <row r="4903" spans="1:12" x14ac:dyDescent="0.25">
      <c r="A4903" t="str">
        <f t="shared" si="1081"/>
        <v>89301000</v>
      </c>
      <c r="B4903" t="str">
        <f t="shared" si="1083"/>
        <v>89895000</v>
      </c>
      <c r="C4903" t="str">
        <f t="shared" si="1084"/>
        <v>89895002</v>
      </c>
      <c r="D4903" t="str">
        <f t="shared" si="1082"/>
        <v>809</v>
      </c>
      <c r="E4903" t="str">
        <f t="shared" si="1086"/>
        <v>89301212</v>
      </c>
      <c r="F4903" t="str">
        <f t="shared" si="1087"/>
        <v>455512476</v>
      </c>
      <c r="G4903" s="1">
        <v>44657</v>
      </c>
      <c r="H4903" t="str">
        <f>"09511"</f>
        <v>09511</v>
      </c>
      <c r="I4903">
        <v>1</v>
      </c>
      <c r="J4903">
        <v>43</v>
      </c>
      <c r="K4903">
        <v>0</v>
      </c>
      <c r="L4903">
        <v>60.2</v>
      </c>
    </row>
    <row r="4904" spans="1:12" x14ac:dyDescent="0.25">
      <c r="A4904" t="str">
        <f t="shared" si="1081"/>
        <v>89301000</v>
      </c>
      <c r="B4904" t="str">
        <f t="shared" si="1083"/>
        <v>89895000</v>
      </c>
      <c r="C4904" t="str">
        <f t="shared" si="1084"/>
        <v>89895002</v>
      </c>
      <c r="D4904" t="str">
        <f t="shared" si="1082"/>
        <v>809</v>
      </c>
      <c r="E4904" t="str">
        <f t="shared" si="1086"/>
        <v>89301212</v>
      </c>
      <c r="F4904" t="str">
        <f t="shared" si="1087"/>
        <v>455512476</v>
      </c>
      <c r="G4904" s="1">
        <v>44657</v>
      </c>
      <c r="H4904" t="str">
        <f>"89180"</f>
        <v>89180</v>
      </c>
      <c r="I4904">
        <v>2</v>
      </c>
      <c r="J4904">
        <v>752</v>
      </c>
      <c r="K4904">
        <v>0</v>
      </c>
      <c r="L4904">
        <v>1052.8</v>
      </c>
    </row>
    <row r="4905" spans="1:12" x14ac:dyDescent="0.25">
      <c r="A4905" t="str">
        <f t="shared" si="1081"/>
        <v>89301000</v>
      </c>
      <c r="B4905" t="str">
        <f t="shared" si="1083"/>
        <v>89895000</v>
      </c>
      <c r="C4905" t="str">
        <f t="shared" si="1084"/>
        <v>89895002</v>
      </c>
      <c r="D4905" t="str">
        <f t="shared" si="1082"/>
        <v>809</v>
      </c>
      <c r="E4905" t="str">
        <f t="shared" si="1086"/>
        <v>89301212</v>
      </c>
      <c r="F4905" t="str">
        <f t="shared" si="1087"/>
        <v>455512476</v>
      </c>
      <c r="G4905" s="1">
        <v>44657</v>
      </c>
      <c r="H4905" t="str">
        <f>"89335"</f>
        <v>89335</v>
      </c>
      <c r="I4905">
        <v>1</v>
      </c>
      <c r="J4905">
        <v>180</v>
      </c>
      <c r="K4905">
        <v>0</v>
      </c>
      <c r="L4905">
        <v>252</v>
      </c>
    </row>
    <row r="4906" spans="1:12" x14ac:dyDescent="0.25">
      <c r="A4906" t="str">
        <f t="shared" si="1081"/>
        <v>89301000</v>
      </c>
      <c r="B4906" t="str">
        <f t="shared" si="1083"/>
        <v>89895000</v>
      </c>
      <c r="C4906" t="str">
        <f t="shared" si="1084"/>
        <v>89895002</v>
      </c>
      <c r="D4906" t="str">
        <f t="shared" si="1082"/>
        <v>809</v>
      </c>
      <c r="E4906" t="str">
        <f t="shared" si="1086"/>
        <v>89301212</v>
      </c>
      <c r="F4906" t="str">
        <f t="shared" si="1087"/>
        <v>455512476</v>
      </c>
      <c r="G4906" s="1">
        <v>44657</v>
      </c>
      <c r="H4906" t="str">
        <f>"0000502"</f>
        <v>0000502</v>
      </c>
      <c r="I4906">
        <v>0.2</v>
      </c>
      <c r="K4906">
        <v>13.94</v>
      </c>
      <c r="L4906">
        <v>13.94</v>
      </c>
    </row>
    <row r="4907" spans="1:12" x14ac:dyDescent="0.25">
      <c r="A4907" t="str">
        <f t="shared" si="1081"/>
        <v>89301000</v>
      </c>
      <c r="B4907" t="str">
        <f t="shared" si="1083"/>
        <v>89895000</v>
      </c>
      <c r="C4907" t="str">
        <f t="shared" si="1084"/>
        <v>89895002</v>
      </c>
      <c r="D4907" t="str">
        <f t="shared" si="1082"/>
        <v>809</v>
      </c>
      <c r="E4907" t="str">
        <f t="shared" si="1086"/>
        <v>89301212</v>
      </c>
      <c r="F4907" t="str">
        <f t="shared" si="1087"/>
        <v>455512476</v>
      </c>
      <c r="G4907" s="1">
        <v>44657</v>
      </c>
      <c r="H4907" t="str">
        <f>"0142867"</f>
        <v>0142867</v>
      </c>
      <c r="I4907">
        <v>2</v>
      </c>
      <c r="K4907">
        <v>6160</v>
      </c>
      <c r="L4907">
        <v>6160</v>
      </c>
    </row>
    <row r="4908" spans="1:12" x14ac:dyDescent="0.25">
      <c r="A4908" t="str">
        <f t="shared" si="1081"/>
        <v>89301000</v>
      </c>
      <c r="B4908" t="str">
        <f>"95202000"</f>
        <v>95202000</v>
      </c>
      <c r="C4908" t="str">
        <f>"95202511"</f>
        <v>95202511</v>
      </c>
      <c r="D4908" t="str">
        <f t="shared" si="1082"/>
        <v>809</v>
      </c>
      <c r="E4908" t="str">
        <f t="shared" si="1086"/>
        <v>89301212</v>
      </c>
      <c r="F4908" t="str">
        <f>"526009140"</f>
        <v>526009140</v>
      </c>
      <c r="G4908" s="1">
        <v>44700</v>
      </c>
      <c r="H4908" t="str">
        <f>"89513"</f>
        <v>89513</v>
      </c>
      <c r="I4908">
        <v>1</v>
      </c>
      <c r="J4908">
        <v>371</v>
      </c>
      <c r="K4908">
        <v>0</v>
      </c>
      <c r="L4908">
        <v>519.4</v>
      </c>
    </row>
    <row r="4909" spans="1:12" x14ac:dyDescent="0.25">
      <c r="A4909" t="str">
        <f t="shared" si="1081"/>
        <v>89301000</v>
      </c>
      <c r="B4909" t="str">
        <f>"95202000"</f>
        <v>95202000</v>
      </c>
      <c r="C4909" t="str">
        <f>"95202511"</f>
        <v>95202511</v>
      </c>
      <c r="D4909" t="str">
        <f t="shared" si="1082"/>
        <v>809</v>
      </c>
      <c r="E4909" t="str">
        <f t="shared" si="1086"/>
        <v>89301212</v>
      </c>
      <c r="F4909" t="str">
        <f>"526009140"</f>
        <v>526009140</v>
      </c>
      <c r="G4909" s="1">
        <v>44700</v>
      </c>
      <c r="H4909" t="str">
        <f>"89514"</f>
        <v>89514</v>
      </c>
      <c r="I4909">
        <v>1</v>
      </c>
      <c r="J4909">
        <v>371</v>
      </c>
      <c r="K4909">
        <v>0</v>
      </c>
      <c r="L4909">
        <v>519.4</v>
      </c>
    </row>
    <row r="4910" spans="1:12" x14ac:dyDescent="0.25">
      <c r="A4910" t="str">
        <f t="shared" si="1081"/>
        <v>89301000</v>
      </c>
      <c r="B4910" t="str">
        <f>"95202000"</f>
        <v>95202000</v>
      </c>
      <c r="C4910" t="str">
        <f>"95202511"</f>
        <v>95202511</v>
      </c>
      <c r="D4910" t="str">
        <f t="shared" si="1082"/>
        <v>809</v>
      </c>
      <c r="E4910" t="str">
        <f>"89301042"</f>
        <v>89301042</v>
      </c>
      <c r="F4910" t="str">
        <f>"5405131369"</f>
        <v>5405131369</v>
      </c>
      <c r="G4910" s="1">
        <v>44704</v>
      </c>
      <c r="H4910" t="str">
        <f>"89513"</f>
        <v>89513</v>
      </c>
      <c r="I4910">
        <v>1</v>
      </c>
      <c r="J4910">
        <v>371</v>
      </c>
      <c r="K4910">
        <v>0</v>
      </c>
      <c r="L4910">
        <v>519.4</v>
      </c>
    </row>
    <row r="4911" spans="1:12" x14ac:dyDescent="0.25">
      <c r="A4911" t="str">
        <f t="shared" si="1081"/>
        <v>89301000</v>
      </c>
      <c r="B4911" t="str">
        <f>"95202000"</f>
        <v>95202000</v>
      </c>
      <c r="C4911" t="str">
        <f>"95202511"</f>
        <v>95202511</v>
      </c>
      <c r="D4911" t="str">
        <f t="shared" si="1082"/>
        <v>809</v>
      </c>
      <c r="E4911" t="str">
        <f>"89301042"</f>
        <v>89301042</v>
      </c>
      <c r="F4911" t="str">
        <f>"5405131369"</f>
        <v>5405131369</v>
      </c>
      <c r="G4911" s="1">
        <v>44704</v>
      </c>
      <c r="H4911" t="str">
        <f>"89514"</f>
        <v>89514</v>
      </c>
      <c r="I4911">
        <v>1</v>
      </c>
      <c r="J4911">
        <v>371</v>
      </c>
      <c r="K4911">
        <v>0</v>
      </c>
      <c r="L4911">
        <v>519.4</v>
      </c>
    </row>
    <row r="4912" spans="1:12" x14ac:dyDescent="0.25">
      <c r="A4912" t="str">
        <f t="shared" si="1081"/>
        <v>89301000</v>
      </c>
      <c r="B4912" t="str">
        <f>"85600000"</f>
        <v>85600000</v>
      </c>
      <c r="C4912" t="str">
        <f>"85600421"</f>
        <v>85600421</v>
      </c>
      <c r="D4912" t="str">
        <f t="shared" si="1082"/>
        <v>809</v>
      </c>
      <c r="E4912" t="str">
        <f>"89301322"</f>
        <v>89301322</v>
      </c>
      <c r="F4912" t="str">
        <f>"535318331"</f>
        <v>535318331</v>
      </c>
      <c r="G4912" s="1">
        <v>44699</v>
      </c>
      <c r="H4912" t="str">
        <f>"89611"</f>
        <v>89611</v>
      </c>
      <c r="I4912">
        <v>1</v>
      </c>
      <c r="J4912">
        <v>2241</v>
      </c>
      <c r="K4912">
        <v>0</v>
      </c>
      <c r="L4912">
        <v>1344.6</v>
      </c>
    </row>
    <row r="4913" spans="1:12" x14ac:dyDescent="0.25">
      <c r="A4913" t="str">
        <f t="shared" si="1081"/>
        <v>89301000</v>
      </c>
      <c r="B4913" t="str">
        <f>"85600000"</f>
        <v>85600000</v>
      </c>
      <c r="C4913" t="str">
        <f>"85600421"</f>
        <v>85600421</v>
      </c>
      <c r="D4913" t="str">
        <f t="shared" si="1082"/>
        <v>809</v>
      </c>
      <c r="E4913" t="str">
        <f>"89301322"</f>
        <v>89301322</v>
      </c>
      <c r="F4913" t="str">
        <f>"535318331"</f>
        <v>535318331</v>
      </c>
      <c r="G4913" s="1">
        <v>44699</v>
      </c>
      <c r="H4913" t="str">
        <f>"0137481"</f>
        <v>0137481</v>
      </c>
      <c r="I4913">
        <v>0.2</v>
      </c>
      <c r="K4913">
        <v>879.39</v>
      </c>
      <c r="L4913">
        <v>879.39</v>
      </c>
    </row>
    <row r="4914" spans="1:12" x14ac:dyDescent="0.25">
      <c r="A4914" t="str">
        <f t="shared" si="1081"/>
        <v>89301000</v>
      </c>
      <c r="B4914" t="str">
        <f t="shared" ref="B4914:C4932" si="1088">"91970116"</f>
        <v>91970116</v>
      </c>
      <c r="C4914" t="str">
        <f t="shared" si="1088"/>
        <v>91970116</v>
      </c>
      <c r="D4914" t="str">
        <f t="shared" ref="D4914:D4932" si="1089">"801"</f>
        <v>801</v>
      </c>
      <c r="E4914" t="str">
        <f t="shared" ref="E4914:E4937" si="1090">"89301167"</f>
        <v>89301167</v>
      </c>
      <c r="F4914" t="str">
        <f t="shared" ref="F4914:F4937" si="1091">"530220073"</f>
        <v>530220073</v>
      </c>
      <c r="G4914" s="1">
        <v>44701</v>
      </c>
      <c r="H4914" t="str">
        <f>"97111"</f>
        <v>97111</v>
      </c>
      <c r="I4914">
        <v>1</v>
      </c>
      <c r="J4914">
        <v>18</v>
      </c>
      <c r="K4914">
        <v>0</v>
      </c>
      <c r="L4914">
        <v>14.04</v>
      </c>
    </row>
    <row r="4915" spans="1:12" x14ac:dyDescent="0.25">
      <c r="A4915" t="str">
        <f t="shared" si="1081"/>
        <v>89301000</v>
      </c>
      <c r="B4915" t="str">
        <f t="shared" si="1088"/>
        <v>91970116</v>
      </c>
      <c r="C4915" t="str">
        <f t="shared" si="1088"/>
        <v>91970116</v>
      </c>
      <c r="D4915" t="str">
        <f t="shared" si="1089"/>
        <v>801</v>
      </c>
      <c r="E4915" t="str">
        <f t="shared" si="1090"/>
        <v>89301167</v>
      </c>
      <c r="F4915" t="str">
        <f t="shared" si="1091"/>
        <v>530220073</v>
      </c>
      <c r="G4915" s="1">
        <v>44701</v>
      </c>
      <c r="H4915" t="str">
        <f>"81625"</f>
        <v>81625</v>
      </c>
      <c r="I4915">
        <v>1</v>
      </c>
      <c r="J4915">
        <v>20</v>
      </c>
      <c r="K4915">
        <v>0</v>
      </c>
      <c r="L4915">
        <v>15.6</v>
      </c>
    </row>
    <row r="4916" spans="1:12" x14ac:dyDescent="0.25">
      <c r="A4916" t="str">
        <f t="shared" si="1081"/>
        <v>89301000</v>
      </c>
      <c r="B4916" t="str">
        <f t="shared" si="1088"/>
        <v>91970116</v>
      </c>
      <c r="C4916" t="str">
        <f t="shared" si="1088"/>
        <v>91970116</v>
      </c>
      <c r="D4916" t="str">
        <f t="shared" si="1089"/>
        <v>801</v>
      </c>
      <c r="E4916" t="str">
        <f t="shared" si="1090"/>
        <v>89301167</v>
      </c>
      <c r="F4916" t="str">
        <f t="shared" si="1091"/>
        <v>530220073</v>
      </c>
      <c r="G4916" s="1">
        <v>44701</v>
      </c>
      <c r="H4916" t="str">
        <f>"81621"</f>
        <v>81621</v>
      </c>
      <c r="I4916">
        <v>1</v>
      </c>
      <c r="J4916">
        <v>19</v>
      </c>
      <c r="K4916">
        <v>0</v>
      </c>
      <c r="L4916">
        <v>14.82</v>
      </c>
    </row>
    <row r="4917" spans="1:12" x14ac:dyDescent="0.25">
      <c r="A4917" t="str">
        <f t="shared" si="1081"/>
        <v>89301000</v>
      </c>
      <c r="B4917" t="str">
        <f t="shared" si="1088"/>
        <v>91970116</v>
      </c>
      <c r="C4917" t="str">
        <f t="shared" si="1088"/>
        <v>91970116</v>
      </c>
      <c r="D4917" t="str">
        <f t="shared" si="1089"/>
        <v>801</v>
      </c>
      <c r="E4917" t="str">
        <f t="shared" si="1090"/>
        <v>89301167</v>
      </c>
      <c r="F4917" t="str">
        <f t="shared" si="1091"/>
        <v>530220073</v>
      </c>
      <c r="G4917" s="1">
        <v>44701</v>
      </c>
      <c r="H4917" t="str">
        <f>"81499"</f>
        <v>81499</v>
      </c>
      <c r="I4917">
        <v>1</v>
      </c>
      <c r="J4917">
        <v>18</v>
      </c>
      <c r="K4917">
        <v>0</v>
      </c>
      <c r="L4917">
        <v>14.04</v>
      </c>
    </row>
    <row r="4918" spans="1:12" x14ac:dyDescent="0.25">
      <c r="A4918" t="str">
        <f t="shared" si="1081"/>
        <v>89301000</v>
      </c>
      <c r="B4918" t="str">
        <f t="shared" si="1088"/>
        <v>91970116</v>
      </c>
      <c r="C4918" t="str">
        <f t="shared" si="1088"/>
        <v>91970116</v>
      </c>
      <c r="D4918" t="str">
        <f t="shared" si="1089"/>
        <v>801</v>
      </c>
      <c r="E4918" t="str">
        <f t="shared" si="1090"/>
        <v>89301167</v>
      </c>
      <c r="F4918" t="str">
        <f t="shared" si="1091"/>
        <v>530220073</v>
      </c>
      <c r="G4918" s="1">
        <v>44701</v>
      </c>
      <c r="H4918" t="str">
        <f>"81523"</f>
        <v>81523</v>
      </c>
      <c r="I4918">
        <v>1</v>
      </c>
      <c r="J4918">
        <v>23</v>
      </c>
      <c r="K4918">
        <v>0</v>
      </c>
      <c r="L4918">
        <v>17.940000000000001</v>
      </c>
    </row>
    <row r="4919" spans="1:12" x14ac:dyDescent="0.25">
      <c r="A4919" t="str">
        <f t="shared" si="1081"/>
        <v>89301000</v>
      </c>
      <c r="B4919" t="str">
        <f t="shared" si="1088"/>
        <v>91970116</v>
      </c>
      <c r="C4919" t="str">
        <f t="shared" si="1088"/>
        <v>91970116</v>
      </c>
      <c r="D4919" t="str">
        <f t="shared" si="1089"/>
        <v>801</v>
      </c>
      <c r="E4919" t="str">
        <f t="shared" si="1090"/>
        <v>89301167</v>
      </c>
      <c r="F4919" t="str">
        <f t="shared" si="1091"/>
        <v>530220073</v>
      </c>
      <c r="G4919" s="1">
        <v>44701</v>
      </c>
      <c r="H4919" t="str">
        <f>"81329"</f>
        <v>81329</v>
      </c>
      <c r="I4919">
        <v>1</v>
      </c>
      <c r="J4919">
        <v>16</v>
      </c>
      <c r="K4919">
        <v>0</v>
      </c>
      <c r="L4919">
        <v>12.48</v>
      </c>
    </row>
    <row r="4920" spans="1:12" x14ac:dyDescent="0.25">
      <c r="A4920" t="str">
        <f t="shared" si="1081"/>
        <v>89301000</v>
      </c>
      <c r="B4920" t="str">
        <f t="shared" si="1088"/>
        <v>91970116</v>
      </c>
      <c r="C4920" t="str">
        <f t="shared" si="1088"/>
        <v>91970116</v>
      </c>
      <c r="D4920" t="str">
        <f t="shared" si="1089"/>
        <v>801</v>
      </c>
      <c r="E4920" t="str">
        <f t="shared" si="1090"/>
        <v>89301167</v>
      </c>
      <c r="F4920" t="str">
        <f t="shared" si="1091"/>
        <v>530220073</v>
      </c>
      <c r="G4920" s="1">
        <v>44701</v>
      </c>
      <c r="H4920" t="str">
        <f>"81337"</f>
        <v>81337</v>
      </c>
      <c r="I4920">
        <v>1</v>
      </c>
      <c r="J4920">
        <v>19</v>
      </c>
      <c r="K4920">
        <v>0</v>
      </c>
      <c r="L4920">
        <v>14.82</v>
      </c>
    </row>
    <row r="4921" spans="1:12" x14ac:dyDescent="0.25">
      <c r="A4921" t="str">
        <f t="shared" si="1081"/>
        <v>89301000</v>
      </c>
      <c r="B4921" t="str">
        <f t="shared" si="1088"/>
        <v>91970116</v>
      </c>
      <c r="C4921" t="str">
        <f t="shared" si="1088"/>
        <v>91970116</v>
      </c>
      <c r="D4921" t="str">
        <f t="shared" si="1089"/>
        <v>801</v>
      </c>
      <c r="E4921" t="str">
        <f t="shared" si="1090"/>
        <v>89301167</v>
      </c>
      <c r="F4921" t="str">
        <f t="shared" si="1091"/>
        <v>530220073</v>
      </c>
      <c r="G4921" s="1">
        <v>44701</v>
      </c>
      <c r="H4921" t="str">
        <f>"81361"</f>
        <v>81361</v>
      </c>
      <c r="I4921">
        <v>1</v>
      </c>
      <c r="J4921">
        <v>17</v>
      </c>
      <c r="K4921">
        <v>0</v>
      </c>
      <c r="L4921">
        <v>13.26</v>
      </c>
    </row>
    <row r="4922" spans="1:12" x14ac:dyDescent="0.25">
      <c r="A4922" t="str">
        <f t="shared" si="1081"/>
        <v>89301000</v>
      </c>
      <c r="B4922" t="str">
        <f t="shared" si="1088"/>
        <v>91970116</v>
      </c>
      <c r="C4922" t="str">
        <f t="shared" si="1088"/>
        <v>91970116</v>
      </c>
      <c r="D4922" t="str">
        <f t="shared" si="1089"/>
        <v>801</v>
      </c>
      <c r="E4922" t="str">
        <f t="shared" si="1090"/>
        <v>89301167</v>
      </c>
      <c r="F4922" t="str">
        <f t="shared" si="1091"/>
        <v>530220073</v>
      </c>
      <c r="G4922" s="1">
        <v>44701</v>
      </c>
      <c r="H4922" t="str">
        <f>"81357"</f>
        <v>81357</v>
      </c>
      <c r="I4922">
        <v>1</v>
      </c>
      <c r="J4922">
        <v>19</v>
      </c>
      <c r="K4922">
        <v>0</v>
      </c>
      <c r="L4922">
        <v>14.82</v>
      </c>
    </row>
    <row r="4923" spans="1:12" x14ac:dyDescent="0.25">
      <c r="A4923" t="str">
        <f t="shared" si="1081"/>
        <v>89301000</v>
      </c>
      <c r="B4923" t="str">
        <f t="shared" si="1088"/>
        <v>91970116</v>
      </c>
      <c r="C4923" t="str">
        <f t="shared" si="1088"/>
        <v>91970116</v>
      </c>
      <c r="D4923" t="str">
        <f t="shared" si="1089"/>
        <v>801</v>
      </c>
      <c r="E4923" t="str">
        <f t="shared" si="1090"/>
        <v>89301167</v>
      </c>
      <c r="F4923" t="str">
        <f t="shared" si="1091"/>
        <v>530220073</v>
      </c>
      <c r="G4923" s="1">
        <v>44701</v>
      </c>
      <c r="H4923" t="str">
        <f>"81421"</f>
        <v>81421</v>
      </c>
      <c r="I4923">
        <v>1</v>
      </c>
      <c r="J4923">
        <v>19</v>
      </c>
      <c r="K4923">
        <v>0</v>
      </c>
      <c r="L4923">
        <v>14.82</v>
      </c>
    </row>
    <row r="4924" spans="1:12" x14ac:dyDescent="0.25">
      <c r="A4924" t="str">
        <f t="shared" si="1081"/>
        <v>89301000</v>
      </c>
      <c r="B4924" t="str">
        <f t="shared" si="1088"/>
        <v>91970116</v>
      </c>
      <c r="C4924" t="str">
        <f t="shared" si="1088"/>
        <v>91970116</v>
      </c>
      <c r="D4924" t="str">
        <f t="shared" si="1089"/>
        <v>801</v>
      </c>
      <c r="E4924" t="str">
        <f t="shared" si="1090"/>
        <v>89301167</v>
      </c>
      <c r="F4924" t="str">
        <f t="shared" si="1091"/>
        <v>530220073</v>
      </c>
      <c r="G4924" s="1">
        <v>44701</v>
      </c>
      <c r="H4924" t="str">
        <f>"81435"</f>
        <v>81435</v>
      </c>
      <c r="I4924">
        <v>1</v>
      </c>
      <c r="J4924">
        <v>22</v>
      </c>
      <c r="K4924">
        <v>0</v>
      </c>
      <c r="L4924">
        <v>17.16</v>
      </c>
    </row>
    <row r="4925" spans="1:12" x14ac:dyDescent="0.25">
      <c r="A4925" t="str">
        <f t="shared" si="1081"/>
        <v>89301000</v>
      </c>
      <c r="B4925" t="str">
        <f t="shared" si="1088"/>
        <v>91970116</v>
      </c>
      <c r="C4925" t="str">
        <f t="shared" si="1088"/>
        <v>91970116</v>
      </c>
      <c r="D4925" t="str">
        <f t="shared" si="1089"/>
        <v>801</v>
      </c>
      <c r="E4925" t="str">
        <f t="shared" si="1090"/>
        <v>89301167</v>
      </c>
      <c r="F4925" t="str">
        <f t="shared" si="1091"/>
        <v>530220073</v>
      </c>
      <c r="G4925" s="1">
        <v>44701</v>
      </c>
      <c r="H4925" t="str">
        <f>"81439"</f>
        <v>81439</v>
      </c>
      <c r="I4925">
        <v>1</v>
      </c>
      <c r="J4925">
        <v>16</v>
      </c>
      <c r="K4925">
        <v>0</v>
      </c>
      <c r="L4925">
        <v>12.48</v>
      </c>
    </row>
    <row r="4926" spans="1:12" x14ac:dyDescent="0.25">
      <c r="A4926" t="str">
        <f t="shared" si="1081"/>
        <v>89301000</v>
      </c>
      <c r="B4926" t="str">
        <f t="shared" si="1088"/>
        <v>91970116</v>
      </c>
      <c r="C4926" t="str">
        <f t="shared" si="1088"/>
        <v>91970116</v>
      </c>
      <c r="D4926" t="str">
        <f t="shared" si="1089"/>
        <v>801</v>
      </c>
      <c r="E4926" t="str">
        <f t="shared" si="1090"/>
        <v>89301167</v>
      </c>
      <c r="F4926" t="str">
        <f t="shared" si="1091"/>
        <v>530220073</v>
      </c>
      <c r="G4926" s="1">
        <v>44701</v>
      </c>
      <c r="H4926" t="str">
        <f>"81471"</f>
        <v>81471</v>
      </c>
      <c r="I4926">
        <v>1</v>
      </c>
      <c r="J4926">
        <v>24</v>
      </c>
      <c r="K4926">
        <v>0</v>
      </c>
      <c r="L4926">
        <v>18.72</v>
      </c>
    </row>
    <row r="4927" spans="1:12" x14ac:dyDescent="0.25">
      <c r="A4927" t="str">
        <f t="shared" si="1081"/>
        <v>89301000</v>
      </c>
      <c r="B4927" t="str">
        <f t="shared" si="1088"/>
        <v>91970116</v>
      </c>
      <c r="C4927" t="str">
        <f t="shared" si="1088"/>
        <v>91970116</v>
      </c>
      <c r="D4927" t="str">
        <f t="shared" si="1089"/>
        <v>801</v>
      </c>
      <c r="E4927" t="str">
        <f t="shared" si="1090"/>
        <v>89301167</v>
      </c>
      <c r="F4927" t="str">
        <f t="shared" si="1091"/>
        <v>530220073</v>
      </c>
      <c r="G4927" s="1">
        <v>44701</v>
      </c>
      <c r="H4927" t="str">
        <f>"81611"</f>
        <v>81611</v>
      </c>
      <c r="I4927">
        <v>1</v>
      </c>
      <c r="J4927">
        <v>29</v>
      </c>
      <c r="K4927">
        <v>0</v>
      </c>
      <c r="L4927">
        <v>22.62</v>
      </c>
    </row>
    <row r="4928" spans="1:12" x14ac:dyDescent="0.25">
      <c r="A4928" t="str">
        <f t="shared" si="1081"/>
        <v>89301000</v>
      </c>
      <c r="B4928" t="str">
        <f t="shared" si="1088"/>
        <v>91970116</v>
      </c>
      <c r="C4928" t="str">
        <f t="shared" si="1088"/>
        <v>91970116</v>
      </c>
      <c r="D4928" t="str">
        <f t="shared" si="1089"/>
        <v>801</v>
      </c>
      <c r="E4928" t="str">
        <f t="shared" si="1090"/>
        <v>89301167</v>
      </c>
      <c r="F4928" t="str">
        <f t="shared" si="1091"/>
        <v>530220073</v>
      </c>
      <c r="G4928" s="1">
        <v>44701</v>
      </c>
      <c r="H4928" t="str">
        <f>"81511"</f>
        <v>81511</v>
      </c>
      <c r="I4928">
        <v>1</v>
      </c>
      <c r="J4928">
        <v>9</v>
      </c>
      <c r="K4928">
        <v>0</v>
      </c>
      <c r="L4928">
        <v>7.02</v>
      </c>
    </row>
    <row r="4929" spans="1:12" x14ac:dyDescent="0.25">
      <c r="A4929" t="str">
        <f t="shared" si="1081"/>
        <v>89301000</v>
      </c>
      <c r="B4929" t="str">
        <f t="shared" si="1088"/>
        <v>91970116</v>
      </c>
      <c r="C4929" t="str">
        <f t="shared" si="1088"/>
        <v>91970116</v>
      </c>
      <c r="D4929" t="str">
        <f t="shared" si="1089"/>
        <v>801</v>
      </c>
      <c r="E4929" t="str">
        <f t="shared" si="1090"/>
        <v>89301167</v>
      </c>
      <c r="F4929" t="str">
        <f t="shared" si="1091"/>
        <v>530220073</v>
      </c>
      <c r="G4929" s="1">
        <v>44701</v>
      </c>
      <c r="H4929" t="str">
        <f>"81593"</f>
        <v>81593</v>
      </c>
      <c r="I4929">
        <v>1</v>
      </c>
      <c r="J4929">
        <v>22</v>
      </c>
      <c r="K4929">
        <v>0</v>
      </c>
      <c r="L4929">
        <v>17.16</v>
      </c>
    </row>
    <row r="4930" spans="1:12" x14ac:dyDescent="0.25">
      <c r="A4930" t="str">
        <f t="shared" ref="A4930:A4993" si="1092">"89301000"</f>
        <v>89301000</v>
      </c>
      <c r="B4930" t="str">
        <f t="shared" si="1088"/>
        <v>91970116</v>
      </c>
      <c r="C4930" t="str">
        <f t="shared" si="1088"/>
        <v>91970116</v>
      </c>
      <c r="D4930" t="str">
        <f t="shared" si="1089"/>
        <v>801</v>
      </c>
      <c r="E4930" t="str">
        <f t="shared" si="1090"/>
        <v>89301167</v>
      </c>
      <c r="F4930" t="str">
        <f t="shared" si="1091"/>
        <v>530220073</v>
      </c>
      <c r="G4930" s="1">
        <v>44701</v>
      </c>
      <c r="H4930" t="str">
        <f>"81393"</f>
        <v>81393</v>
      </c>
      <c r="I4930">
        <v>1</v>
      </c>
      <c r="J4930">
        <v>24</v>
      </c>
      <c r="K4930">
        <v>0</v>
      </c>
      <c r="L4930">
        <v>18.72</v>
      </c>
    </row>
    <row r="4931" spans="1:12" x14ac:dyDescent="0.25">
      <c r="A4931" t="str">
        <f t="shared" si="1092"/>
        <v>89301000</v>
      </c>
      <c r="B4931" t="str">
        <f t="shared" si="1088"/>
        <v>91970116</v>
      </c>
      <c r="C4931" t="str">
        <f t="shared" si="1088"/>
        <v>91970116</v>
      </c>
      <c r="D4931" t="str">
        <f t="shared" si="1089"/>
        <v>801</v>
      </c>
      <c r="E4931" t="str">
        <f t="shared" si="1090"/>
        <v>89301167</v>
      </c>
      <c r="F4931" t="str">
        <f t="shared" si="1091"/>
        <v>530220073</v>
      </c>
      <c r="G4931" s="1">
        <v>44701</v>
      </c>
      <c r="H4931" t="str">
        <f>"81469"</f>
        <v>81469</v>
      </c>
      <c r="I4931">
        <v>1</v>
      </c>
      <c r="J4931">
        <v>16</v>
      </c>
      <c r="K4931">
        <v>0</v>
      </c>
      <c r="L4931">
        <v>12.48</v>
      </c>
    </row>
    <row r="4932" spans="1:12" x14ac:dyDescent="0.25">
      <c r="A4932" t="str">
        <f t="shared" si="1092"/>
        <v>89301000</v>
      </c>
      <c r="B4932" t="str">
        <f t="shared" si="1088"/>
        <v>91970116</v>
      </c>
      <c r="C4932" t="str">
        <f t="shared" si="1088"/>
        <v>91970116</v>
      </c>
      <c r="D4932" t="str">
        <f t="shared" si="1089"/>
        <v>801</v>
      </c>
      <c r="E4932" t="str">
        <f t="shared" si="1090"/>
        <v>89301167</v>
      </c>
      <c r="F4932" t="str">
        <f t="shared" si="1091"/>
        <v>530220073</v>
      </c>
      <c r="G4932" s="1">
        <v>44701</v>
      </c>
      <c r="H4932" t="str">
        <f>"81249"</f>
        <v>81249</v>
      </c>
      <c r="I4932">
        <v>1</v>
      </c>
      <c r="J4932">
        <v>333</v>
      </c>
      <c r="K4932">
        <v>0</v>
      </c>
      <c r="L4932">
        <v>259.74</v>
      </c>
    </row>
    <row r="4933" spans="1:12" x14ac:dyDescent="0.25">
      <c r="A4933" t="str">
        <f t="shared" si="1092"/>
        <v>89301000</v>
      </c>
      <c r="B4933" t="str">
        <f>"91970116"</f>
        <v>91970116</v>
      </c>
      <c r="C4933" t="str">
        <f>"91970115"</f>
        <v>91970115</v>
      </c>
      <c r="D4933" t="str">
        <f>"818"</f>
        <v>818</v>
      </c>
      <c r="E4933" t="str">
        <f t="shared" si="1090"/>
        <v>89301167</v>
      </c>
      <c r="F4933" t="str">
        <f t="shared" si="1091"/>
        <v>530220073</v>
      </c>
      <c r="G4933" s="1">
        <v>44701</v>
      </c>
      <c r="H4933" t="str">
        <f>"09119"</f>
        <v>09119</v>
      </c>
      <c r="I4933">
        <v>1</v>
      </c>
      <c r="J4933">
        <v>42</v>
      </c>
      <c r="K4933">
        <v>0</v>
      </c>
      <c r="L4933">
        <v>38.22</v>
      </c>
    </row>
    <row r="4934" spans="1:12" x14ac:dyDescent="0.25">
      <c r="A4934" t="str">
        <f t="shared" si="1092"/>
        <v>89301000</v>
      </c>
      <c r="B4934" t="str">
        <f>"91970116"</f>
        <v>91970116</v>
      </c>
      <c r="C4934" t="str">
        <f>"91970115"</f>
        <v>91970115</v>
      </c>
      <c r="D4934" t="str">
        <f>"818"</f>
        <v>818</v>
      </c>
      <c r="E4934" t="str">
        <f t="shared" si="1090"/>
        <v>89301167</v>
      </c>
      <c r="F4934" t="str">
        <f t="shared" si="1091"/>
        <v>530220073</v>
      </c>
      <c r="G4934" s="1">
        <v>44701</v>
      </c>
      <c r="H4934" t="str">
        <f>"96163"</f>
        <v>96163</v>
      </c>
      <c r="I4934">
        <v>1</v>
      </c>
      <c r="J4934">
        <v>27</v>
      </c>
      <c r="K4934">
        <v>0</v>
      </c>
      <c r="L4934">
        <v>24.57</v>
      </c>
    </row>
    <row r="4935" spans="1:12" x14ac:dyDescent="0.25">
      <c r="A4935" t="str">
        <f t="shared" si="1092"/>
        <v>89301000</v>
      </c>
      <c r="B4935" t="str">
        <f>"91970116"</f>
        <v>91970116</v>
      </c>
      <c r="C4935" t="str">
        <f>"91970115"</f>
        <v>91970115</v>
      </c>
      <c r="D4935" t="str">
        <f>"818"</f>
        <v>818</v>
      </c>
      <c r="E4935" t="str">
        <f t="shared" si="1090"/>
        <v>89301167</v>
      </c>
      <c r="F4935" t="str">
        <f t="shared" si="1091"/>
        <v>530220073</v>
      </c>
      <c r="G4935" s="1">
        <v>44701</v>
      </c>
      <c r="H4935" t="str">
        <f>"96315"</f>
        <v>96315</v>
      </c>
      <c r="I4935">
        <v>1</v>
      </c>
      <c r="J4935">
        <v>29</v>
      </c>
      <c r="K4935">
        <v>0</v>
      </c>
      <c r="L4935">
        <v>26.39</v>
      </c>
    </row>
    <row r="4936" spans="1:12" x14ac:dyDescent="0.25">
      <c r="A4936" t="str">
        <f t="shared" si="1092"/>
        <v>89301000</v>
      </c>
      <c r="B4936" t="str">
        <f>"91970116"</f>
        <v>91970116</v>
      </c>
      <c r="C4936" t="str">
        <f>"91970115"</f>
        <v>91970115</v>
      </c>
      <c r="D4936" t="str">
        <f>"818"</f>
        <v>818</v>
      </c>
      <c r="E4936" t="str">
        <f t="shared" si="1090"/>
        <v>89301167</v>
      </c>
      <c r="F4936" t="str">
        <f t="shared" si="1091"/>
        <v>530220073</v>
      </c>
      <c r="G4936" s="1">
        <v>44701</v>
      </c>
      <c r="H4936" t="str">
        <f>"96711"</f>
        <v>96711</v>
      </c>
      <c r="I4936">
        <v>1</v>
      </c>
      <c r="J4936">
        <v>27</v>
      </c>
      <c r="K4936">
        <v>0</v>
      </c>
      <c r="L4936">
        <v>24.57</v>
      </c>
    </row>
    <row r="4937" spans="1:12" x14ac:dyDescent="0.25">
      <c r="A4937" t="str">
        <f t="shared" si="1092"/>
        <v>89301000</v>
      </c>
      <c r="B4937" t="str">
        <f>"91970116"</f>
        <v>91970116</v>
      </c>
      <c r="C4937" t="str">
        <f>"91970115"</f>
        <v>91970115</v>
      </c>
      <c r="D4937" t="str">
        <f>"818"</f>
        <v>818</v>
      </c>
      <c r="E4937" t="str">
        <f t="shared" si="1090"/>
        <v>89301167</v>
      </c>
      <c r="F4937" t="str">
        <f t="shared" si="1091"/>
        <v>530220073</v>
      </c>
      <c r="G4937" s="1">
        <v>44701</v>
      </c>
      <c r="H4937" t="str">
        <f>"96713"</f>
        <v>96713</v>
      </c>
      <c r="I4937">
        <v>1</v>
      </c>
      <c r="J4937">
        <v>14</v>
      </c>
      <c r="K4937">
        <v>0</v>
      </c>
      <c r="L4937">
        <v>12.74</v>
      </c>
    </row>
    <row r="4938" spans="1:12" x14ac:dyDescent="0.25">
      <c r="A4938" t="str">
        <f t="shared" si="1092"/>
        <v>89301000</v>
      </c>
      <c r="B4938" t="str">
        <f>"85200000"</f>
        <v>85200000</v>
      </c>
      <c r="C4938" t="str">
        <f>"85200315"</f>
        <v>85200315</v>
      </c>
      <c r="D4938" t="str">
        <f>"809"</f>
        <v>809</v>
      </c>
      <c r="E4938" t="str">
        <f>"89301212"</f>
        <v>89301212</v>
      </c>
      <c r="F4938" t="str">
        <f>"455409426"</f>
        <v>455409426</v>
      </c>
      <c r="G4938" s="1">
        <v>44705</v>
      </c>
      <c r="H4938" t="str">
        <f>"89131"</f>
        <v>89131</v>
      </c>
      <c r="I4938">
        <v>1</v>
      </c>
      <c r="J4938">
        <v>187</v>
      </c>
      <c r="K4938">
        <v>0</v>
      </c>
      <c r="L4938">
        <v>261.8</v>
      </c>
    </row>
    <row r="4939" spans="1:12" x14ac:dyDescent="0.25">
      <c r="A4939" t="str">
        <f t="shared" si="1092"/>
        <v>89301000</v>
      </c>
      <c r="B4939" t="str">
        <f>"85200000"</f>
        <v>85200000</v>
      </c>
      <c r="C4939" t="str">
        <f>"85200315"</f>
        <v>85200315</v>
      </c>
      <c r="D4939" t="str">
        <f>"809"</f>
        <v>809</v>
      </c>
      <c r="E4939" t="str">
        <f>"89301212"</f>
        <v>89301212</v>
      </c>
      <c r="F4939" t="str">
        <f>"455409426"</f>
        <v>455409426</v>
      </c>
      <c r="G4939" s="1">
        <v>44705</v>
      </c>
      <c r="H4939" t="str">
        <f>"89513"</f>
        <v>89513</v>
      </c>
      <c r="I4939">
        <v>1</v>
      </c>
      <c r="J4939">
        <v>371</v>
      </c>
      <c r="K4939">
        <v>0</v>
      </c>
      <c r="L4939">
        <v>519.4</v>
      </c>
    </row>
    <row r="4940" spans="1:12" x14ac:dyDescent="0.25">
      <c r="A4940" t="str">
        <f t="shared" si="1092"/>
        <v>89301000</v>
      </c>
      <c r="B4940" t="str">
        <f>"85200000"</f>
        <v>85200000</v>
      </c>
      <c r="C4940" t="str">
        <f>"85200315"</f>
        <v>85200315</v>
      </c>
      <c r="D4940" t="str">
        <f>"809"</f>
        <v>809</v>
      </c>
      <c r="E4940" t="str">
        <f>"89301212"</f>
        <v>89301212</v>
      </c>
      <c r="F4940" t="str">
        <f>"455409426"</f>
        <v>455409426</v>
      </c>
      <c r="G4940" s="1">
        <v>44705</v>
      </c>
      <c r="H4940" t="str">
        <f>"89514"</f>
        <v>89514</v>
      </c>
      <c r="I4940">
        <v>1</v>
      </c>
      <c r="J4940">
        <v>371</v>
      </c>
      <c r="K4940">
        <v>0</v>
      </c>
      <c r="L4940">
        <v>519.4</v>
      </c>
    </row>
    <row r="4941" spans="1:12" x14ac:dyDescent="0.25">
      <c r="A4941" t="str">
        <f t="shared" si="1092"/>
        <v>89301000</v>
      </c>
      <c r="B4941" t="str">
        <f t="shared" ref="B4941:B4955" si="1093">"88805000"</f>
        <v>88805000</v>
      </c>
      <c r="C4941" t="str">
        <f t="shared" ref="C4941:C4949" si="1094">"88805014"</f>
        <v>88805014</v>
      </c>
      <c r="D4941" t="str">
        <f t="shared" ref="D4941:D4949" si="1095">"816"</f>
        <v>816</v>
      </c>
      <c r="E4941" t="str">
        <f t="shared" ref="E4941:E4949" si="1096">"89301282"</f>
        <v>89301282</v>
      </c>
      <c r="F4941" t="str">
        <f>"0107036160"</f>
        <v>0107036160</v>
      </c>
      <c r="G4941" s="1">
        <v>44712</v>
      </c>
      <c r="H4941" t="str">
        <f>"94331"</f>
        <v>94331</v>
      </c>
      <c r="I4941">
        <v>4</v>
      </c>
      <c r="J4941">
        <v>31112</v>
      </c>
      <c r="K4941">
        <v>0</v>
      </c>
      <c r="L4941">
        <v>26445.200000000001</v>
      </c>
    </row>
    <row r="4942" spans="1:12" x14ac:dyDescent="0.25">
      <c r="A4942" t="str">
        <f t="shared" si="1092"/>
        <v>89301000</v>
      </c>
      <c r="B4942" t="str">
        <f t="shared" si="1093"/>
        <v>88805000</v>
      </c>
      <c r="C4942" t="str">
        <f t="shared" si="1094"/>
        <v>88805014</v>
      </c>
      <c r="D4942" t="str">
        <f t="shared" si="1095"/>
        <v>816</v>
      </c>
      <c r="E4942" t="str">
        <f t="shared" si="1096"/>
        <v>89301282</v>
      </c>
      <c r="F4942" t="str">
        <f>"0107036160"</f>
        <v>0107036160</v>
      </c>
      <c r="G4942" s="1">
        <v>44712</v>
      </c>
      <c r="H4942" t="str">
        <f>"94948"</f>
        <v>94948</v>
      </c>
      <c r="I4942">
        <v>1</v>
      </c>
      <c r="J4942">
        <v>0</v>
      </c>
      <c r="K4942">
        <v>0</v>
      </c>
      <c r="L4942">
        <v>0</v>
      </c>
    </row>
    <row r="4943" spans="1:12" x14ac:dyDescent="0.25">
      <c r="A4943" t="str">
        <f t="shared" si="1092"/>
        <v>89301000</v>
      </c>
      <c r="B4943" t="str">
        <f t="shared" si="1093"/>
        <v>88805000</v>
      </c>
      <c r="C4943" t="str">
        <f t="shared" si="1094"/>
        <v>88805014</v>
      </c>
      <c r="D4943" t="str">
        <f t="shared" si="1095"/>
        <v>816</v>
      </c>
      <c r="E4943" t="str">
        <f t="shared" si="1096"/>
        <v>89301282</v>
      </c>
      <c r="F4943" t="str">
        <f>"0107036160"</f>
        <v>0107036160</v>
      </c>
      <c r="G4943" s="1">
        <v>44712</v>
      </c>
      <c r="H4943" t="str">
        <f>"94983"</f>
        <v>94983</v>
      </c>
      <c r="I4943">
        <v>1</v>
      </c>
      <c r="J4943">
        <v>0</v>
      </c>
      <c r="K4943">
        <v>39600</v>
      </c>
      <c r="L4943">
        <v>39600</v>
      </c>
    </row>
    <row r="4944" spans="1:12" x14ac:dyDescent="0.25">
      <c r="A4944" t="str">
        <f t="shared" si="1092"/>
        <v>89301000</v>
      </c>
      <c r="B4944" t="str">
        <f t="shared" si="1093"/>
        <v>88805000</v>
      </c>
      <c r="C4944" t="str">
        <f t="shared" si="1094"/>
        <v>88805014</v>
      </c>
      <c r="D4944" t="str">
        <f t="shared" si="1095"/>
        <v>816</v>
      </c>
      <c r="E4944" t="str">
        <f t="shared" si="1096"/>
        <v>89301282</v>
      </c>
      <c r="F4944" t="str">
        <f>"0107036160"</f>
        <v>0107036160</v>
      </c>
      <c r="G4944" s="1">
        <v>44712</v>
      </c>
      <c r="H4944" t="str">
        <f>"94996"</f>
        <v>94996</v>
      </c>
      <c r="I4944">
        <v>1</v>
      </c>
      <c r="J4944">
        <v>0</v>
      </c>
      <c r="K4944">
        <v>0</v>
      </c>
      <c r="L4944">
        <v>0</v>
      </c>
    </row>
    <row r="4945" spans="1:12" x14ac:dyDescent="0.25">
      <c r="A4945" t="str">
        <f t="shared" si="1092"/>
        <v>89301000</v>
      </c>
      <c r="B4945" t="str">
        <f t="shared" si="1093"/>
        <v>88805000</v>
      </c>
      <c r="C4945" t="str">
        <f t="shared" si="1094"/>
        <v>88805014</v>
      </c>
      <c r="D4945" t="str">
        <f t="shared" si="1095"/>
        <v>816</v>
      </c>
      <c r="E4945" t="str">
        <f t="shared" si="1096"/>
        <v>89301282</v>
      </c>
      <c r="F4945" t="str">
        <f>"0107036160"</f>
        <v>0107036160</v>
      </c>
      <c r="G4945" s="1">
        <v>44712</v>
      </c>
      <c r="H4945" t="str">
        <f>"94948"</f>
        <v>94948</v>
      </c>
      <c r="I4945">
        <v>1</v>
      </c>
      <c r="J4945">
        <v>0</v>
      </c>
      <c r="K4945">
        <v>0</v>
      </c>
      <c r="L4945">
        <v>0</v>
      </c>
    </row>
    <row r="4946" spans="1:12" x14ac:dyDescent="0.25">
      <c r="A4946" t="str">
        <f t="shared" si="1092"/>
        <v>89301000</v>
      </c>
      <c r="B4946" t="str">
        <f t="shared" si="1093"/>
        <v>88805000</v>
      </c>
      <c r="C4946" t="str">
        <f t="shared" si="1094"/>
        <v>88805014</v>
      </c>
      <c r="D4946" t="str">
        <f t="shared" si="1095"/>
        <v>816</v>
      </c>
      <c r="E4946" t="str">
        <f t="shared" si="1096"/>
        <v>89301282</v>
      </c>
      <c r="F4946" t="str">
        <f>"1605180225"</f>
        <v>1605180225</v>
      </c>
      <c r="G4946" s="1">
        <v>44701</v>
      </c>
      <c r="H4946" t="str">
        <f>"94345"</f>
        <v>94345</v>
      </c>
      <c r="I4946">
        <v>1</v>
      </c>
      <c r="J4946">
        <v>4625</v>
      </c>
      <c r="K4946">
        <v>0</v>
      </c>
      <c r="L4946">
        <v>3931.25</v>
      </c>
    </row>
    <row r="4947" spans="1:12" x14ac:dyDescent="0.25">
      <c r="A4947" t="str">
        <f t="shared" si="1092"/>
        <v>89301000</v>
      </c>
      <c r="B4947" t="str">
        <f t="shared" si="1093"/>
        <v>88805000</v>
      </c>
      <c r="C4947" t="str">
        <f t="shared" si="1094"/>
        <v>88805014</v>
      </c>
      <c r="D4947" t="str">
        <f t="shared" si="1095"/>
        <v>816</v>
      </c>
      <c r="E4947" t="str">
        <f t="shared" si="1096"/>
        <v>89301282</v>
      </c>
      <c r="F4947" t="str">
        <f>"1605180225"</f>
        <v>1605180225</v>
      </c>
      <c r="G4947" s="1">
        <v>44701</v>
      </c>
      <c r="H4947" t="str">
        <f>"94948"</f>
        <v>94948</v>
      </c>
      <c r="I4947">
        <v>1</v>
      </c>
      <c r="J4947">
        <v>0</v>
      </c>
      <c r="K4947">
        <v>0</v>
      </c>
      <c r="L4947">
        <v>0</v>
      </c>
    </row>
    <row r="4948" spans="1:12" x14ac:dyDescent="0.25">
      <c r="A4948" t="str">
        <f t="shared" si="1092"/>
        <v>89301000</v>
      </c>
      <c r="B4948" t="str">
        <f t="shared" si="1093"/>
        <v>88805000</v>
      </c>
      <c r="C4948" t="str">
        <f t="shared" si="1094"/>
        <v>88805014</v>
      </c>
      <c r="D4948" t="str">
        <f t="shared" si="1095"/>
        <v>816</v>
      </c>
      <c r="E4948" t="str">
        <f t="shared" si="1096"/>
        <v>89301282</v>
      </c>
      <c r="F4948" t="str">
        <f>"435329434"</f>
        <v>435329434</v>
      </c>
      <c r="G4948" s="1">
        <v>44693</v>
      </c>
      <c r="H4948" t="str">
        <f>"94983"</f>
        <v>94983</v>
      </c>
      <c r="I4948">
        <v>1</v>
      </c>
      <c r="J4948">
        <v>0</v>
      </c>
      <c r="K4948">
        <v>39600</v>
      </c>
      <c r="L4948">
        <v>39600</v>
      </c>
    </row>
    <row r="4949" spans="1:12" x14ac:dyDescent="0.25">
      <c r="A4949" t="str">
        <f t="shared" si="1092"/>
        <v>89301000</v>
      </c>
      <c r="B4949" t="str">
        <f t="shared" si="1093"/>
        <v>88805000</v>
      </c>
      <c r="C4949" t="str">
        <f t="shared" si="1094"/>
        <v>88805014</v>
      </c>
      <c r="D4949" t="str">
        <f t="shared" si="1095"/>
        <v>816</v>
      </c>
      <c r="E4949" t="str">
        <f t="shared" si="1096"/>
        <v>89301282</v>
      </c>
      <c r="F4949" t="str">
        <f>"435329434"</f>
        <v>435329434</v>
      </c>
      <c r="G4949" s="1">
        <v>44693</v>
      </c>
      <c r="H4949" t="str">
        <f>"94996"</f>
        <v>94996</v>
      </c>
      <c r="I4949">
        <v>1</v>
      </c>
      <c r="J4949">
        <v>0</v>
      </c>
      <c r="K4949">
        <v>0</v>
      </c>
      <c r="L4949">
        <v>0</v>
      </c>
    </row>
    <row r="4950" spans="1:12" x14ac:dyDescent="0.25">
      <c r="A4950" t="str">
        <f t="shared" si="1092"/>
        <v>89301000</v>
      </c>
      <c r="B4950" t="str">
        <f t="shared" si="1093"/>
        <v>88805000</v>
      </c>
      <c r="C4950" t="str">
        <f t="shared" ref="C4950:C4955" si="1097">"88805001"</f>
        <v>88805001</v>
      </c>
      <c r="D4950" t="str">
        <f t="shared" ref="D4950:D4955" si="1098">"801"</f>
        <v>801</v>
      </c>
      <c r="E4950" t="str">
        <f t="shared" ref="E4950:E4955" si="1099">"89301202"</f>
        <v>89301202</v>
      </c>
      <c r="F4950" t="str">
        <f>"8253094476"</f>
        <v>8253094476</v>
      </c>
      <c r="G4950" s="1">
        <v>44706</v>
      </c>
      <c r="H4950" t="str">
        <f>"97111"</f>
        <v>97111</v>
      </c>
      <c r="I4950">
        <v>1</v>
      </c>
      <c r="J4950">
        <v>18</v>
      </c>
      <c r="K4950">
        <v>0</v>
      </c>
      <c r="L4950">
        <v>14.04</v>
      </c>
    </row>
    <row r="4951" spans="1:12" x14ac:dyDescent="0.25">
      <c r="A4951" t="str">
        <f t="shared" si="1092"/>
        <v>89301000</v>
      </c>
      <c r="B4951" t="str">
        <f t="shared" si="1093"/>
        <v>88805000</v>
      </c>
      <c r="C4951" t="str">
        <f t="shared" si="1097"/>
        <v>88805001</v>
      </c>
      <c r="D4951" t="str">
        <f t="shared" si="1098"/>
        <v>801</v>
      </c>
      <c r="E4951" t="str">
        <f t="shared" si="1099"/>
        <v>89301202</v>
      </c>
      <c r="F4951" t="str">
        <f>"6753280787"</f>
        <v>6753280787</v>
      </c>
      <c r="G4951" s="1">
        <v>44693</v>
      </c>
      <c r="H4951" t="str">
        <f>"97111"</f>
        <v>97111</v>
      </c>
      <c r="I4951">
        <v>1</v>
      </c>
      <c r="J4951">
        <v>18</v>
      </c>
      <c r="K4951">
        <v>0</v>
      </c>
      <c r="L4951">
        <v>14.04</v>
      </c>
    </row>
    <row r="4952" spans="1:12" x14ac:dyDescent="0.25">
      <c r="A4952" t="str">
        <f t="shared" si="1092"/>
        <v>89301000</v>
      </c>
      <c r="B4952" t="str">
        <f t="shared" si="1093"/>
        <v>88805000</v>
      </c>
      <c r="C4952" t="str">
        <f t="shared" si="1097"/>
        <v>88805001</v>
      </c>
      <c r="D4952" t="str">
        <f t="shared" si="1098"/>
        <v>801</v>
      </c>
      <c r="E4952" t="str">
        <f t="shared" si="1099"/>
        <v>89301202</v>
      </c>
      <c r="F4952" t="str">
        <f>"7056245779"</f>
        <v>7056245779</v>
      </c>
      <c r="G4952" s="1">
        <v>44685</v>
      </c>
      <c r="H4952" t="str">
        <f>"97111"</f>
        <v>97111</v>
      </c>
      <c r="I4952">
        <v>1</v>
      </c>
      <c r="J4952">
        <v>18</v>
      </c>
      <c r="K4952">
        <v>0</v>
      </c>
      <c r="L4952">
        <v>14.04</v>
      </c>
    </row>
    <row r="4953" spans="1:12" x14ac:dyDescent="0.25">
      <c r="A4953" t="str">
        <f t="shared" si="1092"/>
        <v>89301000</v>
      </c>
      <c r="B4953" t="str">
        <f t="shared" si="1093"/>
        <v>88805000</v>
      </c>
      <c r="C4953" t="str">
        <f t="shared" si="1097"/>
        <v>88805001</v>
      </c>
      <c r="D4953" t="str">
        <f t="shared" si="1098"/>
        <v>801</v>
      </c>
      <c r="E4953" t="str">
        <f t="shared" si="1099"/>
        <v>89301202</v>
      </c>
      <c r="F4953" t="str">
        <f>"8253094476"</f>
        <v>8253094476</v>
      </c>
      <c r="G4953" s="1">
        <v>44706</v>
      </c>
      <c r="H4953" t="str">
        <f>"81643"</f>
        <v>81643</v>
      </c>
      <c r="I4953">
        <v>1</v>
      </c>
      <c r="J4953">
        <v>104</v>
      </c>
      <c r="K4953">
        <v>0</v>
      </c>
      <c r="L4953">
        <v>81.12</v>
      </c>
    </row>
    <row r="4954" spans="1:12" x14ac:dyDescent="0.25">
      <c r="A4954" t="str">
        <f t="shared" si="1092"/>
        <v>89301000</v>
      </c>
      <c r="B4954" t="str">
        <f t="shared" si="1093"/>
        <v>88805000</v>
      </c>
      <c r="C4954" t="str">
        <f t="shared" si="1097"/>
        <v>88805001</v>
      </c>
      <c r="D4954" t="str">
        <f t="shared" si="1098"/>
        <v>801</v>
      </c>
      <c r="E4954" t="str">
        <f t="shared" si="1099"/>
        <v>89301202</v>
      </c>
      <c r="F4954" t="str">
        <f>"6753280787"</f>
        <v>6753280787</v>
      </c>
      <c r="G4954" s="1">
        <v>44693</v>
      </c>
      <c r="H4954" t="str">
        <f>"81643"</f>
        <v>81643</v>
      </c>
      <c r="I4954">
        <v>1</v>
      </c>
      <c r="J4954">
        <v>104</v>
      </c>
      <c r="K4954">
        <v>0</v>
      </c>
      <c r="L4954">
        <v>81.12</v>
      </c>
    </row>
    <row r="4955" spans="1:12" x14ac:dyDescent="0.25">
      <c r="A4955" t="str">
        <f t="shared" si="1092"/>
        <v>89301000</v>
      </c>
      <c r="B4955" t="str">
        <f t="shared" si="1093"/>
        <v>88805000</v>
      </c>
      <c r="C4955" t="str">
        <f t="shared" si="1097"/>
        <v>88805001</v>
      </c>
      <c r="D4955" t="str">
        <f t="shared" si="1098"/>
        <v>801</v>
      </c>
      <c r="E4955" t="str">
        <f t="shared" si="1099"/>
        <v>89301202</v>
      </c>
      <c r="F4955" t="str">
        <f>"7056245779"</f>
        <v>7056245779</v>
      </c>
      <c r="G4955" s="1">
        <v>44685</v>
      </c>
      <c r="H4955" t="str">
        <f>"81643"</f>
        <v>81643</v>
      </c>
      <c r="I4955">
        <v>1</v>
      </c>
      <c r="J4955">
        <v>104</v>
      </c>
      <c r="K4955">
        <v>0</v>
      </c>
      <c r="L4955">
        <v>81.12</v>
      </c>
    </row>
    <row r="4956" spans="1:12" x14ac:dyDescent="0.25">
      <c r="A4956" t="str">
        <f t="shared" si="1092"/>
        <v>89301000</v>
      </c>
      <c r="B4956" t="str">
        <f t="shared" ref="B4956:B5019" si="1100">"06539000"</f>
        <v>06539000</v>
      </c>
      <c r="C4956" t="str">
        <f>"06539003"</f>
        <v>06539003</v>
      </c>
      <c r="D4956" t="str">
        <f>"813"</f>
        <v>813</v>
      </c>
      <c r="E4956" t="str">
        <f>"89301172"</f>
        <v>89301172</v>
      </c>
      <c r="F4956" t="str">
        <f>"9458116162"</f>
        <v>9458116162</v>
      </c>
      <c r="G4956" s="1">
        <v>44657</v>
      </c>
      <c r="H4956" t="str">
        <f>"91329"</f>
        <v>91329</v>
      </c>
      <c r="I4956">
        <v>2</v>
      </c>
      <c r="J4956">
        <v>428</v>
      </c>
      <c r="K4956">
        <v>0</v>
      </c>
      <c r="L4956">
        <v>333.84</v>
      </c>
    </row>
    <row r="4957" spans="1:12" x14ac:dyDescent="0.25">
      <c r="A4957" t="str">
        <f t="shared" si="1092"/>
        <v>89301000</v>
      </c>
      <c r="B4957" t="str">
        <f t="shared" si="1100"/>
        <v>06539000</v>
      </c>
      <c r="C4957" t="str">
        <f>"06539003"</f>
        <v>06539003</v>
      </c>
      <c r="D4957" t="str">
        <f>"813"</f>
        <v>813</v>
      </c>
      <c r="E4957" t="str">
        <f>"89301172"</f>
        <v>89301172</v>
      </c>
      <c r="F4957" t="str">
        <f>"9458116162"</f>
        <v>9458116162</v>
      </c>
      <c r="G4957" s="1">
        <v>44657</v>
      </c>
      <c r="H4957" t="str">
        <f>"91329"</f>
        <v>91329</v>
      </c>
      <c r="I4957">
        <v>2</v>
      </c>
      <c r="J4957">
        <v>428</v>
      </c>
      <c r="K4957">
        <v>0</v>
      </c>
      <c r="L4957">
        <v>333.84</v>
      </c>
    </row>
    <row r="4958" spans="1:12" x14ac:dyDescent="0.25">
      <c r="A4958" t="str">
        <f t="shared" si="1092"/>
        <v>89301000</v>
      </c>
      <c r="B4958" t="str">
        <f t="shared" si="1100"/>
        <v>06539000</v>
      </c>
      <c r="C4958" t="str">
        <f>"06539003"</f>
        <v>06539003</v>
      </c>
      <c r="D4958" t="str">
        <f>"813"</f>
        <v>813</v>
      </c>
      <c r="E4958" t="str">
        <f>"89301172"</f>
        <v>89301172</v>
      </c>
      <c r="F4958" t="str">
        <f>"9458116162"</f>
        <v>9458116162</v>
      </c>
      <c r="G4958" s="1">
        <v>44657</v>
      </c>
      <c r="H4958" t="str">
        <f>"91329"</f>
        <v>91329</v>
      </c>
      <c r="I4958">
        <v>2</v>
      </c>
      <c r="J4958">
        <v>428</v>
      </c>
      <c r="K4958">
        <v>0</v>
      </c>
      <c r="L4958">
        <v>333.84</v>
      </c>
    </row>
    <row r="4959" spans="1:12" x14ac:dyDescent="0.25">
      <c r="A4959" t="str">
        <f t="shared" si="1092"/>
        <v>89301000</v>
      </c>
      <c r="B4959" t="str">
        <f t="shared" si="1100"/>
        <v>06539000</v>
      </c>
      <c r="C4959" t="str">
        <f>"06539003"</f>
        <v>06539003</v>
      </c>
      <c r="D4959" t="str">
        <f>"813"</f>
        <v>813</v>
      </c>
      <c r="E4959" t="str">
        <f>"89301172"</f>
        <v>89301172</v>
      </c>
      <c r="F4959" t="str">
        <f>"9458116162"</f>
        <v>9458116162</v>
      </c>
      <c r="G4959" s="1">
        <v>44657</v>
      </c>
      <c r="H4959" t="str">
        <f>"91329"</f>
        <v>91329</v>
      </c>
      <c r="I4959">
        <v>2</v>
      </c>
      <c r="J4959">
        <v>428</v>
      </c>
      <c r="K4959">
        <v>0</v>
      </c>
      <c r="L4959">
        <v>333.84</v>
      </c>
    </row>
    <row r="4960" spans="1:12" x14ac:dyDescent="0.25">
      <c r="A4960" t="str">
        <f t="shared" si="1092"/>
        <v>89301000</v>
      </c>
      <c r="B4960" t="str">
        <f t="shared" si="1100"/>
        <v>06539000</v>
      </c>
      <c r="C4960" t="str">
        <f>"06539003"</f>
        <v>06539003</v>
      </c>
      <c r="D4960" t="str">
        <f>"813"</f>
        <v>813</v>
      </c>
      <c r="E4960" t="str">
        <f>"89301172"</f>
        <v>89301172</v>
      </c>
      <c r="F4960" t="str">
        <f>"9458116162"</f>
        <v>9458116162</v>
      </c>
      <c r="G4960" s="1">
        <v>44652</v>
      </c>
      <c r="H4960" t="str">
        <f>"91475"</f>
        <v>91475</v>
      </c>
      <c r="I4960">
        <v>1</v>
      </c>
      <c r="J4960">
        <v>206</v>
      </c>
      <c r="K4960">
        <v>0</v>
      </c>
      <c r="L4960">
        <v>160.68</v>
      </c>
    </row>
    <row r="4961" spans="1:12" x14ac:dyDescent="0.25">
      <c r="A4961" t="str">
        <f t="shared" si="1092"/>
        <v>89301000</v>
      </c>
      <c r="B4961" t="str">
        <f t="shared" si="1100"/>
        <v>06539000</v>
      </c>
      <c r="C4961" t="str">
        <f>"06539001"</f>
        <v>06539001</v>
      </c>
      <c r="D4961" t="str">
        <f>"801"</f>
        <v>801</v>
      </c>
      <c r="E4961" t="str">
        <f t="shared" ref="E4961:E5024" si="1101">"89301171"</f>
        <v>89301171</v>
      </c>
      <c r="F4961" t="str">
        <f t="shared" ref="F4961:F5002" si="1102">"5504167196"</f>
        <v>5504167196</v>
      </c>
      <c r="G4961" s="1">
        <v>44680</v>
      </c>
      <c r="H4961" t="str">
        <f>"81329"</f>
        <v>81329</v>
      </c>
      <c r="I4961">
        <v>1</v>
      </c>
      <c r="J4961">
        <v>16</v>
      </c>
      <c r="K4961">
        <v>0</v>
      </c>
      <c r="L4961">
        <v>12.48</v>
      </c>
    </row>
    <row r="4962" spans="1:12" x14ac:dyDescent="0.25">
      <c r="A4962" t="str">
        <f t="shared" si="1092"/>
        <v>89301000</v>
      </c>
      <c r="B4962" t="str">
        <f t="shared" si="1100"/>
        <v>06539000</v>
      </c>
      <c r="C4962" t="str">
        <f>"06539001"</f>
        <v>06539001</v>
      </c>
      <c r="D4962" t="str">
        <f>"801"</f>
        <v>801</v>
      </c>
      <c r="E4962" t="str">
        <f t="shared" si="1101"/>
        <v>89301171</v>
      </c>
      <c r="F4962" t="str">
        <f t="shared" si="1102"/>
        <v>5504167196</v>
      </c>
      <c r="G4962" s="1">
        <v>44680</v>
      </c>
      <c r="H4962" t="str">
        <f>"81331"</f>
        <v>81331</v>
      </c>
      <c r="I4962">
        <v>1</v>
      </c>
      <c r="J4962">
        <v>193</v>
      </c>
      <c r="K4962">
        <v>0</v>
      </c>
      <c r="L4962">
        <v>150.54</v>
      </c>
    </row>
    <row r="4963" spans="1:12" x14ac:dyDescent="0.25">
      <c r="A4963" t="str">
        <f t="shared" si="1092"/>
        <v>89301000</v>
      </c>
      <c r="B4963" t="str">
        <f t="shared" si="1100"/>
        <v>06539000</v>
      </c>
      <c r="C4963" t="str">
        <f t="shared" ref="C4963:C4970" si="1103">"06539002"</f>
        <v>06539002</v>
      </c>
      <c r="D4963" t="str">
        <f t="shared" ref="D4963:D4970" si="1104">"802"</f>
        <v>802</v>
      </c>
      <c r="E4963" t="str">
        <f t="shared" si="1101"/>
        <v>89301171</v>
      </c>
      <c r="F4963" t="str">
        <f t="shared" si="1102"/>
        <v>5504167196</v>
      </c>
      <c r="G4963" s="1">
        <v>44680</v>
      </c>
      <c r="H4963" t="str">
        <f t="shared" ref="H4963:H4970" si="1105">"82097"</f>
        <v>82097</v>
      </c>
      <c r="I4963">
        <v>1</v>
      </c>
      <c r="J4963">
        <v>380</v>
      </c>
      <c r="K4963">
        <v>0</v>
      </c>
      <c r="L4963">
        <v>345.8</v>
      </c>
    </row>
    <row r="4964" spans="1:12" x14ac:dyDescent="0.25">
      <c r="A4964" t="str">
        <f t="shared" si="1092"/>
        <v>89301000</v>
      </c>
      <c r="B4964" t="str">
        <f t="shared" si="1100"/>
        <v>06539000</v>
      </c>
      <c r="C4964" t="str">
        <f t="shared" si="1103"/>
        <v>06539002</v>
      </c>
      <c r="D4964" t="str">
        <f t="shared" si="1104"/>
        <v>802</v>
      </c>
      <c r="E4964" t="str">
        <f t="shared" si="1101"/>
        <v>89301171</v>
      </c>
      <c r="F4964" t="str">
        <f t="shared" si="1102"/>
        <v>5504167196</v>
      </c>
      <c r="G4964" s="1">
        <v>44680</v>
      </c>
      <c r="H4964" t="str">
        <f t="shared" si="1105"/>
        <v>82097</v>
      </c>
      <c r="I4964">
        <v>1</v>
      </c>
      <c r="J4964">
        <v>380</v>
      </c>
      <c r="K4964">
        <v>0</v>
      </c>
      <c r="L4964">
        <v>345.8</v>
      </c>
    </row>
    <row r="4965" spans="1:12" x14ac:dyDescent="0.25">
      <c r="A4965" t="str">
        <f t="shared" si="1092"/>
        <v>89301000</v>
      </c>
      <c r="B4965" t="str">
        <f t="shared" si="1100"/>
        <v>06539000</v>
      </c>
      <c r="C4965" t="str">
        <f t="shared" si="1103"/>
        <v>06539002</v>
      </c>
      <c r="D4965" t="str">
        <f t="shared" si="1104"/>
        <v>802</v>
      </c>
      <c r="E4965" t="str">
        <f t="shared" si="1101"/>
        <v>89301171</v>
      </c>
      <c r="F4965" t="str">
        <f t="shared" si="1102"/>
        <v>5504167196</v>
      </c>
      <c r="G4965" s="1">
        <v>44680</v>
      </c>
      <c r="H4965" t="str">
        <f t="shared" si="1105"/>
        <v>82097</v>
      </c>
      <c r="I4965">
        <v>1</v>
      </c>
      <c r="J4965">
        <v>380</v>
      </c>
      <c r="K4965">
        <v>0</v>
      </c>
      <c r="L4965">
        <v>345.8</v>
      </c>
    </row>
    <row r="4966" spans="1:12" x14ac:dyDescent="0.25">
      <c r="A4966" t="str">
        <f t="shared" si="1092"/>
        <v>89301000</v>
      </c>
      <c r="B4966" t="str">
        <f t="shared" si="1100"/>
        <v>06539000</v>
      </c>
      <c r="C4966" t="str">
        <f t="shared" si="1103"/>
        <v>06539002</v>
      </c>
      <c r="D4966" t="str">
        <f t="shared" si="1104"/>
        <v>802</v>
      </c>
      <c r="E4966" t="str">
        <f t="shared" si="1101"/>
        <v>89301171</v>
      </c>
      <c r="F4966" t="str">
        <f t="shared" si="1102"/>
        <v>5504167196</v>
      </c>
      <c r="G4966" s="1">
        <v>44680</v>
      </c>
      <c r="H4966" t="str">
        <f t="shared" si="1105"/>
        <v>82097</v>
      </c>
      <c r="I4966">
        <v>1</v>
      </c>
      <c r="J4966">
        <v>380</v>
      </c>
      <c r="K4966">
        <v>0</v>
      </c>
      <c r="L4966">
        <v>345.8</v>
      </c>
    </row>
    <row r="4967" spans="1:12" x14ac:dyDescent="0.25">
      <c r="A4967" t="str">
        <f t="shared" si="1092"/>
        <v>89301000</v>
      </c>
      <c r="B4967" t="str">
        <f t="shared" si="1100"/>
        <v>06539000</v>
      </c>
      <c r="C4967" t="str">
        <f t="shared" si="1103"/>
        <v>06539002</v>
      </c>
      <c r="D4967" t="str">
        <f t="shared" si="1104"/>
        <v>802</v>
      </c>
      <c r="E4967" t="str">
        <f t="shared" si="1101"/>
        <v>89301171</v>
      </c>
      <c r="F4967" t="str">
        <f t="shared" si="1102"/>
        <v>5504167196</v>
      </c>
      <c r="G4967" s="1">
        <v>44680</v>
      </c>
      <c r="H4967" t="str">
        <f t="shared" si="1105"/>
        <v>82097</v>
      </c>
      <c r="I4967">
        <v>1</v>
      </c>
      <c r="J4967">
        <v>380</v>
      </c>
      <c r="K4967">
        <v>0</v>
      </c>
      <c r="L4967">
        <v>345.8</v>
      </c>
    </row>
    <row r="4968" spans="1:12" x14ac:dyDescent="0.25">
      <c r="A4968" t="str">
        <f t="shared" si="1092"/>
        <v>89301000</v>
      </c>
      <c r="B4968" t="str">
        <f t="shared" si="1100"/>
        <v>06539000</v>
      </c>
      <c r="C4968" t="str">
        <f t="shared" si="1103"/>
        <v>06539002</v>
      </c>
      <c r="D4968" t="str">
        <f t="shared" si="1104"/>
        <v>802</v>
      </c>
      <c r="E4968" t="str">
        <f t="shared" si="1101"/>
        <v>89301171</v>
      </c>
      <c r="F4968" t="str">
        <f t="shared" si="1102"/>
        <v>5504167196</v>
      </c>
      <c r="G4968" s="1">
        <v>44680</v>
      </c>
      <c r="H4968" t="str">
        <f t="shared" si="1105"/>
        <v>82097</v>
      </c>
      <c r="I4968">
        <v>1</v>
      </c>
      <c r="J4968">
        <v>380</v>
      </c>
      <c r="K4968">
        <v>0</v>
      </c>
      <c r="L4968">
        <v>345.8</v>
      </c>
    </row>
    <row r="4969" spans="1:12" x14ac:dyDescent="0.25">
      <c r="A4969" t="str">
        <f t="shared" si="1092"/>
        <v>89301000</v>
      </c>
      <c r="B4969" t="str">
        <f t="shared" si="1100"/>
        <v>06539000</v>
      </c>
      <c r="C4969" t="str">
        <f t="shared" si="1103"/>
        <v>06539002</v>
      </c>
      <c r="D4969" t="str">
        <f t="shared" si="1104"/>
        <v>802</v>
      </c>
      <c r="E4969" t="str">
        <f t="shared" si="1101"/>
        <v>89301171</v>
      </c>
      <c r="F4969" t="str">
        <f t="shared" si="1102"/>
        <v>5504167196</v>
      </c>
      <c r="G4969" s="1">
        <v>44680</v>
      </c>
      <c r="H4969" t="str">
        <f t="shared" si="1105"/>
        <v>82097</v>
      </c>
      <c r="I4969">
        <v>1</v>
      </c>
      <c r="J4969">
        <v>380</v>
      </c>
      <c r="K4969">
        <v>0</v>
      </c>
      <c r="L4969">
        <v>345.8</v>
      </c>
    </row>
    <row r="4970" spans="1:12" x14ac:dyDescent="0.25">
      <c r="A4970" t="str">
        <f t="shared" si="1092"/>
        <v>89301000</v>
      </c>
      <c r="B4970" t="str">
        <f t="shared" si="1100"/>
        <v>06539000</v>
      </c>
      <c r="C4970" t="str">
        <f t="shared" si="1103"/>
        <v>06539002</v>
      </c>
      <c r="D4970" t="str">
        <f t="shared" si="1104"/>
        <v>802</v>
      </c>
      <c r="E4970" t="str">
        <f t="shared" si="1101"/>
        <v>89301171</v>
      </c>
      <c r="F4970" t="str">
        <f t="shared" si="1102"/>
        <v>5504167196</v>
      </c>
      <c r="G4970" s="1">
        <v>44680</v>
      </c>
      <c r="H4970" t="str">
        <f t="shared" si="1105"/>
        <v>82097</v>
      </c>
      <c r="I4970">
        <v>1</v>
      </c>
      <c r="J4970">
        <v>380</v>
      </c>
      <c r="K4970">
        <v>0</v>
      </c>
      <c r="L4970">
        <v>345.8</v>
      </c>
    </row>
    <row r="4971" spans="1:12" x14ac:dyDescent="0.25">
      <c r="A4971" t="str">
        <f t="shared" si="1092"/>
        <v>89301000</v>
      </c>
      <c r="B4971" t="str">
        <f t="shared" si="1100"/>
        <v>06539000</v>
      </c>
      <c r="C4971" t="str">
        <f t="shared" ref="C4971:C5002" si="1106">"06539003"</f>
        <v>06539003</v>
      </c>
      <c r="D4971" t="str">
        <f t="shared" ref="D4971:D5002" si="1107">"813"</f>
        <v>813</v>
      </c>
      <c r="E4971" t="str">
        <f t="shared" si="1101"/>
        <v>89301171</v>
      </c>
      <c r="F4971" t="str">
        <f t="shared" si="1102"/>
        <v>5504167196</v>
      </c>
      <c r="G4971" s="1">
        <v>44683</v>
      </c>
      <c r="H4971" t="str">
        <f t="shared" ref="H4971:H4980" si="1108">"91413"</f>
        <v>91413</v>
      </c>
      <c r="I4971">
        <v>1</v>
      </c>
      <c r="J4971">
        <v>853</v>
      </c>
      <c r="K4971">
        <v>0</v>
      </c>
      <c r="L4971">
        <v>665.34</v>
      </c>
    </row>
    <row r="4972" spans="1:12" x14ac:dyDescent="0.25">
      <c r="A4972" t="str">
        <f t="shared" si="1092"/>
        <v>89301000</v>
      </c>
      <c r="B4972" t="str">
        <f t="shared" si="1100"/>
        <v>06539000</v>
      </c>
      <c r="C4972" t="str">
        <f t="shared" si="1106"/>
        <v>06539003</v>
      </c>
      <c r="D4972" t="str">
        <f t="shared" si="1107"/>
        <v>813</v>
      </c>
      <c r="E4972" t="str">
        <f t="shared" si="1101"/>
        <v>89301171</v>
      </c>
      <c r="F4972" t="str">
        <f t="shared" si="1102"/>
        <v>5504167196</v>
      </c>
      <c r="G4972" s="1">
        <v>44683</v>
      </c>
      <c r="H4972" t="str">
        <f t="shared" si="1108"/>
        <v>91413</v>
      </c>
      <c r="I4972">
        <v>1</v>
      </c>
      <c r="J4972">
        <v>853</v>
      </c>
      <c r="K4972">
        <v>0</v>
      </c>
      <c r="L4972">
        <v>665.34</v>
      </c>
    </row>
    <row r="4973" spans="1:12" x14ac:dyDescent="0.25">
      <c r="A4973" t="str">
        <f t="shared" si="1092"/>
        <v>89301000</v>
      </c>
      <c r="B4973" t="str">
        <f t="shared" si="1100"/>
        <v>06539000</v>
      </c>
      <c r="C4973" t="str">
        <f t="shared" si="1106"/>
        <v>06539003</v>
      </c>
      <c r="D4973" t="str">
        <f t="shared" si="1107"/>
        <v>813</v>
      </c>
      <c r="E4973" t="str">
        <f t="shared" si="1101"/>
        <v>89301171</v>
      </c>
      <c r="F4973" t="str">
        <f t="shared" si="1102"/>
        <v>5504167196</v>
      </c>
      <c r="G4973" s="1">
        <v>44692</v>
      </c>
      <c r="H4973" t="str">
        <f t="shared" si="1108"/>
        <v>91413</v>
      </c>
      <c r="I4973">
        <v>1</v>
      </c>
      <c r="J4973">
        <v>853</v>
      </c>
      <c r="K4973">
        <v>0</v>
      </c>
      <c r="L4973">
        <v>665.34</v>
      </c>
    </row>
    <row r="4974" spans="1:12" x14ac:dyDescent="0.25">
      <c r="A4974" t="str">
        <f t="shared" si="1092"/>
        <v>89301000</v>
      </c>
      <c r="B4974" t="str">
        <f t="shared" si="1100"/>
        <v>06539000</v>
      </c>
      <c r="C4974" t="str">
        <f t="shared" si="1106"/>
        <v>06539003</v>
      </c>
      <c r="D4974" t="str">
        <f t="shared" si="1107"/>
        <v>813</v>
      </c>
      <c r="E4974" t="str">
        <f t="shared" si="1101"/>
        <v>89301171</v>
      </c>
      <c r="F4974" t="str">
        <f t="shared" si="1102"/>
        <v>5504167196</v>
      </c>
      <c r="G4974" s="1">
        <v>44692</v>
      </c>
      <c r="H4974" t="str">
        <f t="shared" si="1108"/>
        <v>91413</v>
      </c>
      <c r="I4974">
        <v>1</v>
      </c>
      <c r="J4974">
        <v>853</v>
      </c>
      <c r="K4974">
        <v>0</v>
      </c>
      <c r="L4974">
        <v>665.34</v>
      </c>
    </row>
    <row r="4975" spans="1:12" x14ac:dyDescent="0.25">
      <c r="A4975" t="str">
        <f t="shared" si="1092"/>
        <v>89301000</v>
      </c>
      <c r="B4975" t="str">
        <f t="shared" si="1100"/>
        <v>06539000</v>
      </c>
      <c r="C4975" t="str">
        <f t="shared" si="1106"/>
        <v>06539003</v>
      </c>
      <c r="D4975" t="str">
        <f t="shared" si="1107"/>
        <v>813</v>
      </c>
      <c r="E4975" t="str">
        <f t="shared" si="1101"/>
        <v>89301171</v>
      </c>
      <c r="F4975" t="str">
        <f t="shared" si="1102"/>
        <v>5504167196</v>
      </c>
      <c r="G4975" s="1">
        <v>44692</v>
      </c>
      <c r="H4975" t="str">
        <f t="shared" si="1108"/>
        <v>91413</v>
      </c>
      <c r="I4975">
        <v>1</v>
      </c>
      <c r="J4975">
        <v>853</v>
      </c>
      <c r="K4975">
        <v>0</v>
      </c>
      <c r="L4975">
        <v>665.34</v>
      </c>
    </row>
    <row r="4976" spans="1:12" x14ac:dyDescent="0.25">
      <c r="A4976" t="str">
        <f t="shared" si="1092"/>
        <v>89301000</v>
      </c>
      <c r="B4976" t="str">
        <f t="shared" si="1100"/>
        <v>06539000</v>
      </c>
      <c r="C4976" t="str">
        <f t="shared" si="1106"/>
        <v>06539003</v>
      </c>
      <c r="D4976" t="str">
        <f t="shared" si="1107"/>
        <v>813</v>
      </c>
      <c r="E4976" t="str">
        <f t="shared" si="1101"/>
        <v>89301171</v>
      </c>
      <c r="F4976" t="str">
        <f t="shared" si="1102"/>
        <v>5504167196</v>
      </c>
      <c r="G4976" s="1">
        <v>44692</v>
      </c>
      <c r="H4976" t="str">
        <f t="shared" si="1108"/>
        <v>91413</v>
      </c>
      <c r="I4976">
        <v>1</v>
      </c>
      <c r="J4976">
        <v>853</v>
      </c>
      <c r="K4976">
        <v>0</v>
      </c>
      <c r="L4976">
        <v>665.34</v>
      </c>
    </row>
    <row r="4977" spans="1:12" x14ac:dyDescent="0.25">
      <c r="A4977" t="str">
        <f t="shared" si="1092"/>
        <v>89301000</v>
      </c>
      <c r="B4977" t="str">
        <f t="shared" si="1100"/>
        <v>06539000</v>
      </c>
      <c r="C4977" t="str">
        <f t="shared" si="1106"/>
        <v>06539003</v>
      </c>
      <c r="D4977" t="str">
        <f t="shared" si="1107"/>
        <v>813</v>
      </c>
      <c r="E4977" t="str">
        <f t="shared" si="1101"/>
        <v>89301171</v>
      </c>
      <c r="F4977" t="str">
        <f t="shared" si="1102"/>
        <v>5504167196</v>
      </c>
      <c r="G4977" s="1">
        <v>44692</v>
      </c>
      <c r="H4977" t="str">
        <f t="shared" si="1108"/>
        <v>91413</v>
      </c>
      <c r="I4977">
        <v>1</v>
      </c>
      <c r="J4977">
        <v>853</v>
      </c>
      <c r="K4977">
        <v>0</v>
      </c>
      <c r="L4977">
        <v>665.34</v>
      </c>
    </row>
    <row r="4978" spans="1:12" x14ac:dyDescent="0.25">
      <c r="A4978" t="str">
        <f t="shared" si="1092"/>
        <v>89301000</v>
      </c>
      <c r="B4978" t="str">
        <f t="shared" si="1100"/>
        <v>06539000</v>
      </c>
      <c r="C4978" t="str">
        <f t="shared" si="1106"/>
        <v>06539003</v>
      </c>
      <c r="D4978" t="str">
        <f t="shared" si="1107"/>
        <v>813</v>
      </c>
      <c r="E4978" t="str">
        <f t="shared" si="1101"/>
        <v>89301171</v>
      </c>
      <c r="F4978" t="str">
        <f t="shared" si="1102"/>
        <v>5504167196</v>
      </c>
      <c r="G4978" s="1">
        <v>44692</v>
      </c>
      <c r="H4978" t="str">
        <f t="shared" si="1108"/>
        <v>91413</v>
      </c>
      <c r="I4978">
        <v>1</v>
      </c>
      <c r="J4978">
        <v>853</v>
      </c>
      <c r="K4978">
        <v>0</v>
      </c>
      <c r="L4978">
        <v>665.34</v>
      </c>
    </row>
    <row r="4979" spans="1:12" x14ac:dyDescent="0.25">
      <c r="A4979" t="str">
        <f t="shared" si="1092"/>
        <v>89301000</v>
      </c>
      <c r="B4979" t="str">
        <f t="shared" si="1100"/>
        <v>06539000</v>
      </c>
      <c r="C4979" t="str">
        <f t="shared" si="1106"/>
        <v>06539003</v>
      </c>
      <c r="D4979" t="str">
        <f t="shared" si="1107"/>
        <v>813</v>
      </c>
      <c r="E4979" t="str">
        <f t="shared" si="1101"/>
        <v>89301171</v>
      </c>
      <c r="F4979" t="str">
        <f t="shared" si="1102"/>
        <v>5504167196</v>
      </c>
      <c r="G4979" s="1">
        <v>44692</v>
      </c>
      <c r="H4979" t="str">
        <f t="shared" si="1108"/>
        <v>91413</v>
      </c>
      <c r="I4979">
        <v>1</v>
      </c>
      <c r="J4979">
        <v>853</v>
      </c>
      <c r="K4979">
        <v>0</v>
      </c>
      <c r="L4979">
        <v>665.34</v>
      </c>
    </row>
    <row r="4980" spans="1:12" x14ac:dyDescent="0.25">
      <c r="A4980" t="str">
        <f t="shared" si="1092"/>
        <v>89301000</v>
      </c>
      <c r="B4980" t="str">
        <f t="shared" si="1100"/>
        <v>06539000</v>
      </c>
      <c r="C4980" t="str">
        <f t="shared" si="1106"/>
        <v>06539003</v>
      </c>
      <c r="D4980" t="str">
        <f t="shared" si="1107"/>
        <v>813</v>
      </c>
      <c r="E4980" t="str">
        <f t="shared" si="1101"/>
        <v>89301171</v>
      </c>
      <c r="F4980" t="str">
        <f t="shared" si="1102"/>
        <v>5504167196</v>
      </c>
      <c r="G4980" s="1">
        <v>44692</v>
      </c>
      <c r="H4980" t="str">
        <f t="shared" si="1108"/>
        <v>91413</v>
      </c>
      <c r="I4980">
        <v>1</v>
      </c>
      <c r="J4980">
        <v>853</v>
      </c>
      <c r="K4980">
        <v>0</v>
      </c>
      <c r="L4980">
        <v>665.34</v>
      </c>
    </row>
    <row r="4981" spans="1:12" x14ac:dyDescent="0.25">
      <c r="A4981" t="str">
        <f t="shared" si="1092"/>
        <v>89301000</v>
      </c>
      <c r="B4981" t="str">
        <f t="shared" si="1100"/>
        <v>06539000</v>
      </c>
      <c r="C4981" t="str">
        <f t="shared" si="1106"/>
        <v>06539003</v>
      </c>
      <c r="D4981" t="str">
        <f t="shared" si="1107"/>
        <v>813</v>
      </c>
      <c r="E4981" t="str">
        <f t="shared" si="1101"/>
        <v>89301171</v>
      </c>
      <c r="F4981" t="str">
        <f t="shared" si="1102"/>
        <v>5504167196</v>
      </c>
      <c r="G4981" s="1">
        <v>44680</v>
      </c>
      <c r="H4981" t="str">
        <f t="shared" ref="H4981:H4987" si="1109">"91197"</f>
        <v>91197</v>
      </c>
      <c r="I4981">
        <v>1</v>
      </c>
      <c r="J4981">
        <v>1046</v>
      </c>
      <c r="K4981">
        <v>0</v>
      </c>
      <c r="L4981">
        <v>815.88</v>
      </c>
    </row>
    <row r="4982" spans="1:12" x14ac:dyDescent="0.25">
      <c r="A4982" t="str">
        <f t="shared" si="1092"/>
        <v>89301000</v>
      </c>
      <c r="B4982" t="str">
        <f t="shared" si="1100"/>
        <v>06539000</v>
      </c>
      <c r="C4982" t="str">
        <f t="shared" si="1106"/>
        <v>06539003</v>
      </c>
      <c r="D4982" t="str">
        <f t="shared" si="1107"/>
        <v>813</v>
      </c>
      <c r="E4982" t="str">
        <f t="shared" si="1101"/>
        <v>89301171</v>
      </c>
      <c r="F4982" t="str">
        <f t="shared" si="1102"/>
        <v>5504167196</v>
      </c>
      <c r="G4982" s="1">
        <v>44683</v>
      </c>
      <c r="H4982" t="str">
        <f t="shared" si="1109"/>
        <v>91197</v>
      </c>
      <c r="I4982">
        <v>1</v>
      </c>
      <c r="J4982">
        <v>1046</v>
      </c>
      <c r="K4982">
        <v>0</v>
      </c>
      <c r="L4982">
        <v>815.88</v>
      </c>
    </row>
    <row r="4983" spans="1:12" x14ac:dyDescent="0.25">
      <c r="A4983" t="str">
        <f t="shared" si="1092"/>
        <v>89301000</v>
      </c>
      <c r="B4983" t="str">
        <f t="shared" si="1100"/>
        <v>06539000</v>
      </c>
      <c r="C4983" t="str">
        <f t="shared" si="1106"/>
        <v>06539003</v>
      </c>
      <c r="D4983" t="str">
        <f t="shared" si="1107"/>
        <v>813</v>
      </c>
      <c r="E4983" t="str">
        <f t="shared" si="1101"/>
        <v>89301171</v>
      </c>
      <c r="F4983" t="str">
        <f t="shared" si="1102"/>
        <v>5504167196</v>
      </c>
      <c r="G4983" s="1">
        <v>44683</v>
      </c>
      <c r="H4983" t="str">
        <f t="shared" si="1109"/>
        <v>91197</v>
      </c>
      <c r="I4983">
        <v>1</v>
      </c>
      <c r="J4983">
        <v>1046</v>
      </c>
      <c r="K4983">
        <v>0</v>
      </c>
      <c r="L4983">
        <v>815.88</v>
      </c>
    </row>
    <row r="4984" spans="1:12" x14ac:dyDescent="0.25">
      <c r="A4984" t="str">
        <f t="shared" si="1092"/>
        <v>89301000</v>
      </c>
      <c r="B4984" t="str">
        <f t="shared" si="1100"/>
        <v>06539000</v>
      </c>
      <c r="C4984" t="str">
        <f t="shared" si="1106"/>
        <v>06539003</v>
      </c>
      <c r="D4984" t="str">
        <f t="shared" si="1107"/>
        <v>813</v>
      </c>
      <c r="E4984" t="str">
        <f t="shared" si="1101"/>
        <v>89301171</v>
      </c>
      <c r="F4984" t="str">
        <f t="shared" si="1102"/>
        <v>5504167196</v>
      </c>
      <c r="G4984" s="1">
        <v>44682</v>
      </c>
      <c r="H4984" t="str">
        <f t="shared" si="1109"/>
        <v>91197</v>
      </c>
      <c r="I4984">
        <v>1</v>
      </c>
      <c r="J4984">
        <v>1046</v>
      </c>
      <c r="K4984">
        <v>0</v>
      </c>
      <c r="L4984">
        <v>815.88</v>
      </c>
    </row>
    <row r="4985" spans="1:12" x14ac:dyDescent="0.25">
      <c r="A4985" t="str">
        <f t="shared" si="1092"/>
        <v>89301000</v>
      </c>
      <c r="B4985" t="str">
        <f t="shared" si="1100"/>
        <v>06539000</v>
      </c>
      <c r="C4985" t="str">
        <f t="shared" si="1106"/>
        <v>06539003</v>
      </c>
      <c r="D4985" t="str">
        <f t="shared" si="1107"/>
        <v>813</v>
      </c>
      <c r="E4985" t="str">
        <f t="shared" si="1101"/>
        <v>89301171</v>
      </c>
      <c r="F4985" t="str">
        <f t="shared" si="1102"/>
        <v>5504167196</v>
      </c>
      <c r="G4985" s="1">
        <v>44682</v>
      </c>
      <c r="H4985" t="str">
        <f t="shared" si="1109"/>
        <v>91197</v>
      </c>
      <c r="I4985">
        <v>1</v>
      </c>
      <c r="J4985">
        <v>1046</v>
      </c>
      <c r="K4985">
        <v>0</v>
      </c>
      <c r="L4985">
        <v>815.88</v>
      </c>
    </row>
    <row r="4986" spans="1:12" x14ac:dyDescent="0.25">
      <c r="A4986" t="str">
        <f t="shared" si="1092"/>
        <v>89301000</v>
      </c>
      <c r="B4986" t="str">
        <f t="shared" si="1100"/>
        <v>06539000</v>
      </c>
      <c r="C4986" t="str">
        <f t="shared" si="1106"/>
        <v>06539003</v>
      </c>
      <c r="D4986" t="str">
        <f t="shared" si="1107"/>
        <v>813</v>
      </c>
      <c r="E4986" t="str">
        <f t="shared" si="1101"/>
        <v>89301171</v>
      </c>
      <c r="F4986" t="str">
        <f t="shared" si="1102"/>
        <v>5504167196</v>
      </c>
      <c r="G4986" s="1">
        <v>44681</v>
      </c>
      <c r="H4986" t="str">
        <f t="shared" si="1109"/>
        <v>91197</v>
      </c>
      <c r="I4986">
        <v>1</v>
      </c>
      <c r="J4986">
        <v>1046</v>
      </c>
      <c r="K4986">
        <v>0</v>
      </c>
      <c r="L4986">
        <v>815.88</v>
      </c>
    </row>
    <row r="4987" spans="1:12" x14ac:dyDescent="0.25">
      <c r="A4987" t="str">
        <f t="shared" si="1092"/>
        <v>89301000</v>
      </c>
      <c r="B4987" t="str">
        <f t="shared" si="1100"/>
        <v>06539000</v>
      </c>
      <c r="C4987" t="str">
        <f t="shared" si="1106"/>
        <v>06539003</v>
      </c>
      <c r="D4987" t="str">
        <f t="shared" si="1107"/>
        <v>813</v>
      </c>
      <c r="E4987" t="str">
        <f t="shared" si="1101"/>
        <v>89301171</v>
      </c>
      <c r="F4987" t="str">
        <f t="shared" si="1102"/>
        <v>5504167196</v>
      </c>
      <c r="G4987" s="1">
        <v>44681</v>
      </c>
      <c r="H4987" t="str">
        <f t="shared" si="1109"/>
        <v>91197</v>
      </c>
      <c r="I4987">
        <v>1</v>
      </c>
      <c r="J4987">
        <v>1046</v>
      </c>
      <c r="K4987">
        <v>0</v>
      </c>
      <c r="L4987">
        <v>815.88</v>
      </c>
    </row>
    <row r="4988" spans="1:12" x14ac:dyDescent="0.25">
      <c r="A4988" t="str">
        <f t="shared" si="1092"/>
        <v>89301000</v>
      </c>
      <c r="B4988" t="str">
        <f t="shared" si="1100"/>
        <v>06539000</v>
      </c>
      <c r="C4988" t="str">
        <f t="shared" si="1106"/>
        <v>06539003</v>
      </c>
      <c r="D4988" t="str">
        <f t="shared" si="1107"/>
        <v>813</v>
      </c>
      <c r="E4988" t="str">
        <f t="shared" si="1101"/>
        <v>89301171</v>
      </c>
      <c r="F4988" t="str">
        <f t="shared" si="1102"/>
        <v>5504167196</v>
      </c>
      <c r="G4988" s="1">
        <v>44692</v>
      </c>
      <c r="H4988" t="str">
        <f>"91329"</f>
        <v>91329</v>
      </c>
      <c r="I4988">
        <v>2</v>
      </c>
      <c r="J4988">
        <v>428</v>
      </c>
      <c r="K4988">
        <v>0</v>
      </c>
      <c r="L4988">
        <v>333.84</v>
      </c>
    </row>
    <row r="4989" spans="1:12" x14ac:dyDescent="0.25">
      <c r="A4989" t="str">
        <f t="shared" si="1092"/>
        <v>89301000</v>
      </c>
      <c r="B4989" t="str">
        <f t="shared" si="1100"/>
        <v>06539000</v>
      </c>
      <c r="C4989" t="str">
        <f t="shared" si="1106"/>
        <v>06539003</v>
      </c>
      <c r="D4989" t="str">
        <f t="shared" si="1107"/>
        <v>813</v>
      </c>
      <c r="E4989" t="str">
        <f t="shared" si="1101"/>
        <v>89301171</v>
      </c>
      <c r="F4989" t="str">
        <f t="shared" si="1102"/>
        <v>5504167196</v>
      </c>
      <c r="G4989" s="1">
        <v>44692</v>
      </c>
      <c r="H4989" t="str">
        <f>"91329"</f>
        <v>91329</v>
      </c>
      <c r="I4989">
        <v>2</v>
      </c>
      <c r="J4989">
        <v>428</v>
      </c>
      <c r="K4989">
        <v>0</v>
      </c>
      <c r="L4989">
        <v>333.84</v>
      </c>
    </row>
    <row r="4990" spans="1:12" x14ac:dyDescent="0.25">
      <c r="A4990" t="str">
        <f t="shared" si="1092"/>
        <v>89301000</v>
      </c>
      <c r="B4990" t="str">
        <f t="shared" si="1100"/>
        <v>06539000</v>
      </c>
      <c r="C4990" t="str">
        <f t="shared" si="1106"/>
        <v>06539003</v>
      </c>
      <c r="D4990" t="str">
        <f t="shared" si="1107"/>
        <v>813</v>
      </c>
      <c r="E4990" t="str">
        <f t="shared" si="1101"/>
        <v>89301171</v>
      </c>
      <c r="F4990" t="str">
        <f t="shared" si="1102"/>
        <v>5504167196</v>
      </c>
      <c r="G4990" s="1">
        <v>44692</v>
      </c>
      <c r="H4990" t="str">
        <f>"91329"</f>
        <v>91329</v>
      </c>
      <c r="I4990">
        <v>2</v>
      </c>
      <c r="J4990">
        <v>428</v>
      </c>
      <c r="K4990">
        <v>0</v>
      </c>
      <c r="L4990">
        <v>333.84</v>
      </c>
    </row>
    <row r="4991" spans="1:12" x14ac:dyDescent="0.25">
      <c r="A4991" t="str">
        <f t="shared" si="1092"/>
        <v>89301000</v>
      </c>
      <c r="B4991" t="str">
        <f t="shared" si="1100"/>
        <v>06539000</v>
      </c>
      <c r="C4991" t="str">
        <f t="shared" si="1106"/>
        <v>06539003</v>
      </c>
      <c r="D4991" t="str">
        <f t="shared" si="1107"/>
        <v>813</v>
      </c>
      <c r="E4991" t="str">
        <f t="shared" si="1101"/>
        <v>89301171</v>
      </c>
      <c r="F4991" t="str">
        <f t="shared" si="1102"/>
        <v>5504167196</v>
      </c>
      <c r="G4991" s="1">
        <v>44692</v>
      </c>
      <c r="H4991" t="str">
        <f>"91329"</f>
        <v>91329</v>
      </c>
      <c r="I4991">
        <v>2</v>
      </c>
      <c r="J4991">
        <v>428</v>
      </c>
      <c r="K4991">
        <v>0</v>
      </c>
      <c r="L4991">
        <v>333.84</v>
      </c>
    </row>
    <row r="4992" spans="1:12" x14ac:dyDescent="0.25">
      <c r="A4992" t="str">
        <f t="shared" si="1092"/>
        <v>89301000</v>
      </c>
      <c r="B4992" t="str">
        <f t="shared" si="1100"/>
        <v>06539000</v>
      </c>
      <c r="C4992" t="str">
        <f t="shared" si="1106"/>
        <v>06539003</v>
      </c>
      <c r="D4992" t="str">
        <f t="shared" si="1107"/>
        <v>813</v>
      </c>
      <c r="E4992" t="str">
        <f t="shared" si="1101"/>
        <v>89301171</v>
      </c>
      <c r="F4992" t="str">
        <f t="shared" si="1102"/>
        <v>5504167196</v>
      </c>
      <c r="G4992" s="1">
        <v>44680</v>
      </c>
      <c r="H4992" t="str">
        <f>"91129"</f>
        <v>91129</v>
      </c>
      <c r="I4992">
        <v>1</v>
      </c>
      <c r="J4992">
        <v>174</v>
      </c>
      <c r="K4992">
        <v>0</v>
      </c>
      <c r="L4992">
        <v>135.72</v>
      </c>
    </row>
    <row r="4993" spans="1:12" x14ac:dyDescent="0.25">
      <c r="A4993" t="str">
        <f t="shared" si="1092"/>
        <v>89301000</v>
      </c>
      <c r="B4993" t="str">
        <f t="shared" si="1100"/>
        <v>06539000</v>
      </c>
      <c r="C4993" t="str">
        <f t="shared" si="1106"/>
        <v>06539003</v>
      </c>
      <c r="D4993" t="str">
        <f t="shared" si="1107"/>
        <v>813</v>
      </c>
      <c r="E4993" t="str">
        <f t="shared" si="1101"/>
        <v>89301171</v>
      </c>
      <c r="F4993" t="str">
        <f t="shared" si="1102"/>
        <v>5504167196</v>
      </c>
      <c r="G4993" s="1">
        <v>44680</v>
      </c>
      <c r="H4993" t="str">
        <f>"91131"</f>
        <v>91131</v>
      </c>
      <c r="I4993">
        <v>1</v>
      </c>
      <c r="J4993">
        <v>171</v>
      </c>
      <c r="K4993">
        <v>0</v>
      </c>
      <c r="L4993">
        <v>133.38</v>
      </c>
    </row>
    <row r="4994" spans="1:12" x14ac:dyDescent="0.25">
      <c r="A4994" t="str">
        <f t="shared" ref="A4994:A5057" si="1110">"89301000"</f>
        <v>89301000</v>
      </c>
      <c r="B4994" t="str">
        <f t="shared" si="1100"/>
        <v>06539000</v>
      </c>
      <c r="C4994" t="str">
        <f t="shared" si="1106"/>
        <v>06539003</v>
      </c>
      <c r="D4994" t="str">
        <f t="shared" si="1107"/>
        <v>813</v>
      </c>
      <c r="E4994" t="str">
        <f t="shared" si="1101"/>
        <v>89301171</v>
      </c>
      <c r="F4994" t="str">
        <f t="shared" si="1102"/>
        <v>5504167196</v>
      </c>
      <c r="G4994" s="1">
        <v>44680</v>
      </c>
      <c r="H4994" t="str">
        <f>"91133"</f>
        <v>91133</v>
      </c>
      <c r="I4994">
        <v>1</v>
      </c>
      <c r="J4994">
        <v>176</v>
      </c>
      <c r="K4994">
        <v>0</v>
      </c>
      <c r="L4994">
        <v>137.28</v>
      </c>
    </row>
    <row r="4995" spans="1:12" x14ac:dyDescent="0.25">
      <c r="A4995" t="str">
        <f t="shared" si="1110"/>
        <v>89301000</v>
      </c>
      <c r="B4995" t="str">
        <f t="shared" si="1100"/>
        <v>06539000</v>
      </c>
      <c r="C4995" t="str">
        <f t="shared" si="1106"/>
        <v>06539003</v>
      </c>
      <c r="D4995" t="str">
        <f t="shared" si="1107"/>
        <v>813</v>
      </c>
      <c r="E4995" t="str">
        <f t="shared" si="1101"/>
        <v>89301171</v>
      </c>
      <c r="F4995" t="str">
        <f t="shared" si="1102"/>
        <v>5504167196</v>
      </c>
      <c r="G4995" s="1">
        <v>44680</v>
      </c>
      <c r="H4995" t="str">
        <f>"91171"</f>
        <v>91171</v>
      </c>
      <c r="I4995">
        <v>1</v>
      </c>
      <c r="J4995">
        <v>360</v>
      </c>
      <c r="K4995">
        <v>0</v>
      </c>
      <c r="L4995">
        <v>280.8</v>
      </c>
    </row>
    <row r="4996" spans="1:12" x14ac:dyDescent="0.25">
      <c r="A4996" t="str">
        <f t="shared" si="1110"/>
        <v>89301000</v>
      </c>
      <c r="B4996" t="str">
        <f t="shared" si="1100"/>
        <v>06539000</v>
      </c>
      <c r="C4996" t="str">
        <f t="shared" si="1106"/>
        <v>06539003</v>
      </c>
      <c r="D4996" t="str">
        <f t="shared" si="1107"/>
        <v>813</v>
      </c>
      <c r="E4996" t="str">
        <f t="shared" si="1101"/>
        <v>89301171</v>
      </c>
      <c r="F4996" t="str">
        <f t="shared" si="1102"/>
        <v>5504167196</v>
      </c>
      <c r="G4996" s="1">
        <v>44680</v>
      </c>
      <c r="H4996" t="str">
        <f>"91173"</f>
        <v>91173</v>
      </c>
      <c r="I4996">
        <v>1</v>
      </c>
      <c r="J4996">
        <v>335</v>
      </c>
      <c r="K4996">
        <v>0</v>
      </c>
      <c r="L4996">
        <v>261.3</v>
      </c>
    </row>
    <row r="4997" spans="1:12" x14ac:dyDescent="0.25">
      <c r="A4997" t="str">
        <f t="shared" si="1110"/>
        <v>89301000</v>
      </c>
      <c r="B4997" t="str">
        <f t="shared" si="1100"/>
        <v>06539000</v>
      </c>
      <c r="C4997" t="str">
        <f t="shared" si="1106"/>
        <v>06539003</v>
      </c>
      <c r="D4997" t="str">
        <f t="shared" si="1107"/>
        <v>813</v>
      </c>
      <c r="E4997" t="str">
        <f t="shared" si="1101"/>
        <v>89301171</v>
      </c>
      <c r="F4997" t="str">
        <f t="shared" si="1102"/>
        <v>5504167196</v>
      </c>
      <c r="G4997" s="1">
        <v>44680</v>
      </c>
      <c r="H4997" t="str">
        <f>"91175"</f>
        <v>91175</v>
      </c>
      <c r="I4997">
        <v>1</v>
      </c>
      <c r="J4997">
        <v>360</v>
      </c>
      <c r="K4997">
        <v>0</v>
      </c>
      <c r="L4997">
        <v>280.8</v>
      </c>
    </row>
    <row r="4998" spans="1:12" x14ac:dyDescent="0.25">
      <c r="A4998" t="str">
        <f t="shared" si="1110"/>
        <v>89301000</v>
      </c>
      <c r="B4998" t="str">
        <f t="shared" si="1100"/>
        <v>06539000</v>
      </c>
      <c r="C4998" t="str">
        <f t="shared" si="1106"/>
        <v>06539003</v>
      </c>
      <c r="D4998" t="str">
        <f t="shared" si="1107"/>
        <v>813</v>
      </c>
      <c r="E4998" t="str">
        <f t="shared" si="1101"/>
        <v>89301171</v>
      </c>
      <c r="F4998" t="str">
        <f t="shared" si="1102"/>
        <v>5504167196</v>
      </c>
      <c r="G4998" s="1">
        <v>44681</v>
      </c>
      <c r="H4998" t="str">
        <f>"91167"</f>
        <v>91167</v>
      </c>
      <c r="I4998">
        <v>1</v>
      </c>
      <c r="J4998">
        <v>425</v>
      </c>
      <c r="K4998">
        <v>0</v>
      </c>
      <c r="L4998">
        <v>331.5</v>
      </c>
    </row>
    <row r="4999" spans="1:12" x14ac:dyDescent="0.25">
      <c r="A4999" t="str">
        <f t="shared" si="1110"/>
        <v>89301000</v>
      </c>
      <c r="B4999" t="str">
        <f t="shared" si="1100"/>
        <v>06539000</v>
      </c>
      <c r="C4999" t="str">
        <f t="shared" si="1106"/>
        <v>06539003</v>
      </c>
      <c r="D4999" t="str">
        <f t="shared" si="1107"/>
        <v>813</v>
      </c>
      <c r="E4999" t="str">
        <f t="shared" si="1101"/>
        <v>89301171</v>
      </c>
      <c r="F4999" t="str">
        <f t="shared" si="1102"/>
        <v>5504167196</v>
      </c>
      <c r="G4999" s="1">
        <v>44681</v>
      </c>
      <c r="H4999" t="str">
        <f>"91169"</f>
        <v>91169</v>
      </c>
      <c r="I4999">
        <v>1</v>
      </c>
      <c r="J4999">
        <v>425</v>
      </c>
      <c r="K4999">
        <v>0</v>
      </c>
      <c r="L4999">
        <v>331.5</v>
      </c>
    </row>
    <row r="5000" spans="1:12" x14ac:dyDescent="0.25">
      <c r="A5000" t="str">
        <f t="shared" si="1110"/>
        <v>89301000</v>
      </c>
      <c r="B5000" t="str">
        <f t="shared" si="1100"/>
        <v>06539000</v>
      </c>
      <c r="C5000" t="str">
        <f t="shared" si="1106"/>
        <v>06539003</v>
      </c>
      <c r="D5000" t="str">
        <f t="shared" si="1107"/>
        <v>813</v>
      </c>
      <c r="E5000" t="str">
        <f t="shared" si="1101"/>
        <v>89301171</v>
      </c>
      <c r="F5000" t="str">
        <f t="shared" si="1102"/>
        <v>5504167196</v>
      </c>
      <c r="G5000" s="1">
        <v>44680</v>
      </c>
      <c r="H5000" t="str">
        <f>"91167"</f>
        <v>91167</v>
      </c>
      <c r="I5000">
        <v>1</v>
      </c>
      <c r="J5000">
        <v>425</v>
      </c>
      <c r="K5000">
        <v>0</v>
      </c>
      <c r="L5000">
        <v>331.5</v>
      </c>
    </row>
    <row r="5001" spans="1:12" x14ac:dyDescent="0.25">
      <c r="A5001" t="str">
        <f t="shared" si="1110"/>
        <v>89301000</v>
      </c>
      <c r="B5001" t="str">
        <f t="shared" si="1100"/>
        <v>06539000</v>
      </c>
      <c r="C5001" t="str">
        <f t="shared" si="1106"/>
        <v>06539003</v>
      </c>
      <c r="D5001" t="str">
        <f t="shared" si="1107"/>
        <v>813</v>
      </c>
      <c r="E5001" t="str">
        <f t="shared" si="1101"/>
        <v>89301171</v>
      </c>
      <c r="F5001" t="str">
        <f t="shared" si="1102"/>
        <v>5504167196</v>
      </c>
      <c r="G5001" s="1">
        <v>44680</v>
      </c>
      <c r="H5001" t="str">
        <f>"91169"</f>
        <v>91169</v>
      </c>
      <c r="I5001">
        <v>1</v>
      </c>
      <c r="J5001">
        <v>425</v>
      </c>
      <c r="K5001">
        <v>0</v>
      </c>
      <c r="L5001">
        <v>331.5</v>
      </c>
    </row>
    <row r="5002" spans="1:12" x14ac:dyDescent="0.25">
      <c r="A5002" t="str">
        <f t="shared" si="1110"/>
        <v>89301000</v>
      </c>
      <c r="B5002" t="str">
        <f t="shared" si="1100"/>
        <v>06539000</v>
      </c>
      <c r="C5002" t="str">
        <f t="shared" si="1106"/>
        <v>06539003</v>
      </c>
      <c r="D5002" t="str">
        <f t="shared" si="1107"/>
        <v>813</v>
      </c>
      <c r="E5002" t="str">
        <f t="shared" si="1101"/>
        <v>89301171</v>
      </c>
      <c r="F5002" t="str">
        <f t="shared" si="1102"/>
        <v>5504167196</v>
      </c>
      <c r="G5002" s="1">
        <v>44680</v>
      </c>
      <c r="H5002" t="str">
        <f>"91475"</f>
        <v>91475</v>
      </c>
      <c r="I5002">
        <v>1</v>
      </c>
      <c r="J5002">
        <v>206</v>
      </c>
      <c r="K5002">
        <v>0</v>
      </c>
      <c r="L5002">
        <v>160.68</v>
      </c>
    </row>
    <row r="5003" spans="1:12" x14ac:dyDescent="0.25">
      <c r="A5003" t="str">
        <f t="shared" si="1110"/>
        <v>89301000</v>
      </c>
      <c r="B5003" t="str">
        <f t="shared" si="1100"/>
        <v>06539000</v>
      </c>
      <c r="C5003" t="str">
        <f>"06539001"</f>
        <v>06539001</v>
      </c>
      <c r="D5003" t="str">
        <f>"801"</f>
        <v>801</v>
      </c>
      <c r="E5003" t="str">
        <f t="shared" si="1101"/>
        <v>89301171</v>
      </c>
      <c r="F5003" t="str">
        <f t="shared" ref="F5003:F5044" si="1111">"7552114394"</f>
        <v>7552114394</v>
      </c>
      <c r="G5003" s="1">
        <v>44680</v>
      </c>
      <c r="H5003" t="str">
        <f>"81329"</f>
        <v>81329</v>
      </c>
      <c r="I5003">
        <v>1</v>
      </c>
      <c r="J5003">
        <v>16</v>
      </c>
      <c r="K5003">
        <v>0</v>
      </c>
      <c r="L5003">
        <v>12.48</v>
      </c>
    </row>
    <row r="5004" spans="1:12" x14ac:dyDescent="0.25">
      <c r="A5004" t="str">
        <f t="shared" si="1110"/>
        <v>89301000</v>
      </c>
      <c r="B5004" t="str">
        <f t="shared" si="1100"/>
        <v>06539000</v>
      </c>
      <c r="C5004" t="str">
        <f>"06539001"</f>
        <v>06539001</v>
      </c>
      <c r="D5004" t="str">
        <f>"801"</f>
        <v>801</v>
      </c>
      <c r="E5004" t="str">
        <f t="shared" si="1101"/>
        <v>89301171</v>
      </c>
      <c r="F5004" t="str">
        <f t="shared" si="1111"/>
        <v>7552114394</v>
      </c>
      <c r="G5004" s="1">
        <v>44680</v>
      </c>
      <c r="H5004" t="str">
        <f>"81331"</f>
        <v>81331</v>
      </c>
      <c r="I5004">
        <v>1</v>
      </c>
      <c r="J5004">
        <v>193</v>
      </c>
      <c r="K5004">
        <v>0</v>
      </c>
      <c r="L5004">
        <v>150.54</v>
      </c>
    </row>
    <row r="5005" spans="1:12" x14ac:dyDescent="0.25">
      <c r="A5005" t="str">
        <f t="shared" si="1110"/>
        <v>89301000</v>
      </c>
      <c r="B5005" t="str">
        <f t="shared" si="1100"/>
        <v>06539000</v>
      </c>
      <c r="C5005" t="str">
        <f t="shared" ref="C5005:C5012" si="1112">"06539002"</f>
        <v>06539002</v>
      </c>
      <c r="D5005" t="str">
        <f t="shared" ref="D5005:D5012" si="1113">"802"</f>
        <v>802</v>
      </c>
      <c r="E5005" t="str">
        <f t="shared" si="1101"/>
        <v>89301171</v>
      </c>
      <c r="F5005" t="str">
        <f t="shared" si="1111"/>
        <v>7552114394</v>
      </c>
      <c r="G5005" s="1">
        <v>44680</v>
      </c>
      <c r="H5005" t="str">
        <f t="shared" ref="H5005:H5012" si="1114">"82097"</f>
        <v>82097</v>
      </c>
      <c r="I5005">
        <v>1</v>
      </c>
      <c r="J5005">
        <v>380</v>
      </c>
      <c r="K5005">
        <v>0</v>
      </c>
      <c r="L5005">
        <v>345.8</v>
      </c>
    </row>
    <row r="5006" spans="1:12" x14ac:dyDescent="0.25">
      <c r="A5006" t="str">
        <f t="shared" si="1110"/>
        <v>89301000</v>
      </c>
      <c r="B5006" t="str">
        <f t="shared" si="1100"/>
        <v>06539000</v>
      </c>
      <c r="C5006" t="str">
        <f t="shared" si="1112"/>
        <v>06539002</v>
      </c>
      <c r="D5006" t="str">
        <f t="shared" si="1113"/>
        <v>802</v>
      </c>
      <c r="E5006" t="str">
        <f t="shared" si="1101"/>
        <v>89301171</v>
      </c>
      <c r="F5006" t="str">
        <f t="shared" si="1111"/>
        <v>7552114394</v>
      </c>
      <c r="G5006" s="1">
        <v>44680</v>
      </c>
      <c r="H5006" t="str">
        <f t="shared" si="1114"/>
        <v>82097</v>
      </c>
      <c r="I5006">
        <v>1</v>
      </c>
      <c r="J5006">
        <v>380</v>
      </c>
      <c r="K5006">
        <v>0</v>
      </c>
      <c r="L5006">
        <v>345.8</v>
      </c>
    </row>
    <row r="5007" spans="1:12" x14ac:dyDescent="0.25">
      <c r="A5007" t="str">
        <f t="shared" si="1110"/>
        <v>89301000</v>
      </c>
      <c r="B5007" t="str">
        <f t="shared" si="1100"/>
        <v>06539000</v>
      </c>
      <c r="C5007" t="str">
        <f t="shared" si="1112"/>
        <v>06539002</v>
      </c>
      <c r="D5007" t="str">
        <f t="shared" si="1113"/>
        <v>802</v>
      </c>
      <c r="E5007" t="str">
        <f t="shared" si="1101"/>
        <v>89301171</v>
      </c>
      <c r="F5007" t="str">
        <f t="shared" si="1111"/>
        <v>7552114394</v>
      </c>
      <c r="G5007" s="1">
        <v>44680</v>
      </c>
      <c r="H5007" t="str">
        <f t="shared" si="1114"/>
        <v>82097</v>
      </c>
      <c r="I5007">
        <v>1</v>
      </c>
      <c r="J5007">
        <v>380</v>
      </c>
      <c r="K5007">
        <v>0</v>
      </c>
      <c r="L5007">
        <v>345.8</v>
      </c>
    </row>
    <row r="5008" spans="1:12" x14ac:dyDescent="0.25">
      <c r="A5008" t="str">
        <f t="shared" si="1110"/>
        <v>89301000</v>
      </c>
      <c r="B5008" t="str">
        <f t="shared" si="1100"/>
        <v>06539000</v>
      </c>
      <c r="C5008" t="str">
        <f t="shared" si="1112"/>
        <v>06539002</v>
      </c>
      <c r="D5008" t="str">
        <f t="shared" si="1113"/>
        <v>802</v>
      </c>
      <c r="E5008" t="str">
        <f t="shared" si="1101"/>
        <v>89301171</v>
      </c>
      <c r="F5008" t="str">
        <f t="shared" si="1111"/>
        <v>7552114394</v>
      </c>
      <c r="G5008" s="1">
        <v>44680</v>
      </c>
      <c r="H5008" t="str">
        <f t="shared" si="1114"/>
        <v>82097</v>
      </c>
      <c r="I5008">
        <v>1</v>
      </c>
      <c r="J5008">
        <v>380</v>
      </c>
      <c r="K5008">
        <v>0</v>
      </c>
      <c r="L5008">
        <v>345.8</v>
      </c>
    </row>
    <row r="5009" spans="1:12" x14ac:dyDescent="0.25">
      <c r="A5009" t="str">
        <f t="shared" si="1110"/>
        <v>89301000</v>
      </c>
      <c r="B5009" t="str">
        <f t="shared" si="1100"/>
        <v>06539000</v>
      </c>
      <c r="C5009" t="str">
        <f t="shared" si="1112"/>
        <v>06539002</v>
      </c>
      <c r="D5009" t="str">
        <f t="shared" si="1113"/>
        <v>802</v>
      </c>
      <c r="E5009" t="str">
        <f t="shared" si="1101"/>
        <v>89301171</v>
      </c>
      <c r="F5009" t="str">
        <f t="shared" si="1111"/>
        <v>7552114394</v>
      </c>
      <c r="G5009" s="1">
        <v>44680</v>
      </c>
      <c r="H5009" t="str">
        <f t="shared" si="1114"/>
        <v>82097</v>
      </c>
      <c r="I5009">
        <v>1</v>
      </c>
      <c r="J5009">
        <v>380</v>
      </c>
      <c r="K5009">
        <v>0</v>
      </c>
      <c r="L5009">
        <v>345.8</v>
      </c>
    </row>
    <row r="5010" spans="1:12" x14ac:dyDescent="0.25">
      <c r="A5010" t="str">
        <f t="shared" si="1110"/>
        <v>89301000</v>
      </c>
      <c r="B5010" t="str">
        <f t="shared" si="1100"/>
        <v>06539000</v>
      </c>
      <c r="C5010" t="str">
        <f t="shared" si="1112"/>
        <v>06539002</v>
      </c>
      <c r="D5010" t="str">
        <f t="shared" si="1113"/>
        <v>802</v>
      </c>
      <c r="E5010" t="str">
        <f t="shared" si="1101"/>
        <v>89301171</v>
      </c>
      <c r="F5010" t="str">
        <f t="shared" si="1111"/>
        <v>7552114394</v>
      </c>
      <c r="G5010" s="1">
        <v>44680</v>
      </c>
      <c r="H5010" t="str">
        <f t="shared" si="1114"/>
        <v>82097</v>
      </c>
      <c r="I5010">
        <v>1</v>
      </c>
      <c r="J5010">
        <v>380</v>
      </c>
      <c r="K5010">
        <v>0</v>
      </c>
      <c r="L5010">
        <v>345.8</v>
      </c>
    </row>
    <row r="5011" spans="1:12" x14ac:dyDescent="0.25">
      <c r="A5011" t="str">
        <f t="shared" si="1110"/>
        <v>89301000</v>
      </c>
      <c r="B5011" t="str">
        <f t="shared" si="1100"/>
        <v>06539000</v>
      </c>
      <c r="C5011" t="str">
        <f t="shared" si="1112"/>
        <v>06539002</v>
      </c>
      <c r="D5011" t="str">
        <f t="shared" si="1113"/>
        <v>802</v>
      </c>
      <c r="E5011" t="str">
        <f t="shared" si="1101"/>
        <v>89301171</v>
      </c>
      <c r="F5011" t="str">
        <f t="shared" si="1111"/>
        <v>7552114394</v>
      </c>
      <c r="G5011" s="1">
        <v>44680</v>
      </c>
      <c r="H5011" t="str">
        <f t="shared" si="1114"/>
        <v>82097</v>
      </c>
      <c r="I5011">
        <v>1</v>
      </c>
      <c r="J5011">
        <v>380</v>
      </c>
      <c r="K5011">
        <v>0</v>
      </c>
      <c r="L5011">
        <v>345.8</v>
      </c>
    </row>
    <row r="5012" spans="1:12" x14ac:dyDescent="0.25">
      <c r="A5012" t="str">
        <f t="shared" si="1110"/>
        <v>89301000</v>
      </c>
      <c r="B5012" t="str">
        <f t="shared" si="1100"/>
        <v>06539000</v>
      </c>
      <c r="C5012" t="str">
        <f t="shared" si="1112"/>
        <v>06539002</v>
      </c>
      <c r="D5012" t="str">
        <f t="shared" si="1113"/>
        <v>802</v>
      </c>
      <c r="E5012" t="str">
        <f t="shared" si="1101"/>
        <v>89301171</v>
      </c>
      <c r="F5012" t="str">
        <f t="shared" si="1111"/>
        <v>7552114394</v>
      </c>
      <c r="G5012" s="1">
        <v>44680</v>
      </c>
      <c r="H5012" t="str">
        <f t="shared" si="1114"/>
        <v>82097</v>
      </c>
      <c r="I5012">
        <v>1</v>
      </c>
      <c r="J5012">
        <v>380</v>
      </c>
      <c r="K5012">
        <v>0</v>
      </c>
      <c r="L5012">
        <v>345.8</v>
      </c>
    </row>
    <row r="5013" spans="1:12" x14ac:dyDescent="0.25">
      <c r="A5013" t="str">
        <f t="shared" si="1110"/>
        <v>89301000</v>
      </c>
      <c r="B5013" t="str">
        <f t="shared" si="1100"/>
        <v>06539000</v>
      </c>
      <c r="C5013" t="str">
        <f t="shared" ref="C5013:C5044" si="1115">"06539003"</f>
        <v>06539003</v>
      </c>
      <c r="D5013" t="str">
        <f t="shared" ref="D5013:D5044" si="1116">"813"</f>
        <v>813</v>
      </c>
      <c r="E5013" t="str">
        <f t="shared" si="1101"/>
        <v>89301171</v>
      </c>
      <c r="F5013" t="str">
        <f t="shared" si="1111"/>
        <v>7552114394</v>
      </c>
      <c r="G5013" s="1">
        <v>44683</v>
      </c>
      <c r="H5013" t="str">
        <f t="shared" ref="H5013:H5022" si="1117">"91413"</f>
        <v>91413</v>
      </c>
      <c r="I5013">
        <v>1</v>
      </c>
      <c r="J5013">
        <v>853</v>
      </c>
      <c r="K5013">
        <v>0</v>
      </c>
      <c r="L5013">
        <v>665.34</v>
      </c>
    </row>
    <row r="5014" spans="1:12" x14ac:dyDescent="0.25">
      <c r="A5014" t="str">
        <f t="shared" si="1110"/>
        <v>89301000</v>
      </c>
      <c r="B5014" t="str">
        <f t="shared" si="1100"/>
        <v>06539000</v>
      </c>
      <c r="C5014" t="str">
        <f t="shared" si="1115"/>
        <v>06539003</v>
      </c>
      <c r="D5014" t="str">
        <f t="shared" si="1116"/>
        <v>813</v>
      </c>
      <c r="E5014" t="str">
        <f t="shared" si="1101"/>
        <v>89301171</v>
      </c>
      <c r="F5014" t="str">
        <f t="shared" si="1111"/>
        <v>7552114394</v>
      </c>
      <c r="G5014" s="1">
        <v>44683</v>
      </c>
      <c r="H5014" t="str">
        <f t="shared" si="1117"/>
        <v>91413</v>
      </c>
      <c r="I5014">
        <v>1</v>
      </c>
      <c r="J5014">
        <v>853</v>
      </c>
      <c r="K5014">
        <v>0</v>
      </c>
      <c r="L5014">
        <v>665.34</v>
      </c>
    </row>
    <row r="5015" spans="1:12" x14ac:dyDescent="0.25">
      <c r="A5015" t="str">
        <f t="shared" si="1110"/>
        <v>89301000</v>
      </c>
      <c r="B5015" t="str">
        <f t="shared" si="1100"/>
        <v>06539000</v>
      </c>
      <c r="C5015" t="str">
        <f t="shared" si="1115"/>
        <v>06539003</v>
      </c>
      <c r="D5015" t="str">
        <f t="shared" si="1116"/>
        <v>813</v>
      </c>
      <c r="E5015" t="str">
        <f t="shared" si="1101"/>
        <v>89301171</v>
      </c>
      <c r="F5015" t="str">
        <f t="shared" si="1111"/>
        <v>7552114394</v>
      </c>
      <c r="G5015" s="1">
        <v>44692</v>
      </c>
      <c r="H5015" t="str">
        <f t="shared" si="1117"/>
        <v>91413</v>
      </c>
      <c r="I5015">
        <v>1</v>
      </c>
      <c r="J5015">
        <v>853</v>
      </c>
      <c r="K5015">
        <v>0</v>
      </c>
      <c r="L5015">
        <v>665.34</v>
      </c>
    </row>
    <row r="5016" spans="1:12" x14ac:dyDescent="0.25">
      <c r="A5016" t="str">
        <f t="shared" si="1110"/>
        <v>89301000</v>
      </c>
      <c r="B5016" t="str">
        <f t="shared" si="1100"/>
        <v>06539000</v>
      </c>
      <c r="C5016" t="str">
        <f t="shared" si="1115"/>
        <v>06539003</v>
      </c>
      <c r="D5016" t="str">
        <f t="shared" si="1116"/>
        <v>813</v>
      </c>
      <c r="E5016" t="str">
        <f t="shared" si="1101"/>
        <v>89301171</v>
      </c>
      <c r="F5016" t="str">
        <f t="shared" si="1111"/>
        <v>7552114394</v>
      </c>
      <c r="G5016" s="1">
        <v>44692</v>
      </c>
      <c r="H5016" t="str">
        <f t="shared" si="1117"/>
        <v>91413</v>
      </c>
      <c r="I5016">
        <v>1</v>
      </c>
      <c r="J5016">
        <v>853</v>
      </c>
      <c r="K5016">
        <v>0</v>
      </c>
      <c r="L5016">
        <v>665.34</v>
      </c>
    </row>
    <row r="5017" spans="1:12" x14ac:dyDescent="0.25">
      <c r="A5017" t="str">
        <f t="shared" si="1110"/>
        <v>89301000</v>
      </c>
      <c r="B5017" t="str">
        <f t="shared" si="1100"/>
        <v>06539000</v>
      </c>
      <c r="C5017" t="str">
        <f t="shared" si="1115"/>
        <v>06539003</v>
      </c>
      <c r="D5017" t="str">
        <f t="shared" si="1116"/>
        <v>813</v>
      </c>
      <c r="E5017" t="str">
        <f t="shared" si="1101"/>
        <v>89301171</v>
      </c>
      <c r="F5017" t="str">
        <f t="shared" si="1111"/>
        <v>7552114394</v>
      </c>
      <c r="G5017" s="1">
        <v>44692</v>
      </c>
      <c r="H5017" t="str">
        <f t="shared" si="1117"/>
        <v>91413</v>
      </c>
      <c r="I5017">
        <v>1</v>
      </c>
      <c r="J5017">
        <v>853</v>
      </c>
      <c r="K5017">
        <v>0</v>
      </c>
      <c r="L5017">
        <v>665.34</v>
      </c>
    </row>
    <row r="5018" spans="1:12" x14ac:dyDescent="0.25">
      <c r="A5018" t="str">
        <f t="shared" si="1110"/>
        <v>89301000</v>
      </c>
      <c r="B5018" t="str">
        <f t="shared" si="1100"/>
        <v>06539000</v>
      </c>
      <c r="C5018" t="str">
        <f t="shared" si="1115"/>
        <v>06539003</v>
      </c>
      <c r="D5018" t="str">
        <f t="shared" si="1116"/>
        <v>813</v>
      </c>
      <c r="E5018" t="str">
        <f t="shared" si="1101"/>
        <v>89301171</v>
      </c>
      <c r="F5018" t="str">
        <f t="shared" si="1111"/>
        <v>7552114394</v>
      </c>
      <c r="G5018" s="1">
        <v>44692</v>
      </c>
      <c r="H5018" t="str">
        <f t="shared" si="1117"/>
        <v>91413</v>
      </c>
      <c r="I5018">
        <v>1</v>
      </c>
      <c r="J5018">
        <v>853</v>
      </c>
      <c r="K5018">
        <v>0</v>
      </c>
      <c r="L5018">
        <v>665.34</v>
      </c>
    </row>
    <row r="5019" spans="1:12" x14ac:dyDescent="0.25">
      <c r="A5019" t="str">
        <f t="shared" si="1110"/>
        <v>89301000</v>
      </c>
      <c r="B5019" t="str">
        <f t="shared" si="1100"/>
        <v>06539000</v>
      </c>
      <c r="C5019" t="str">
        <f t="shared" si="1115"/>
        <v>06539003</v>
      </c>
      <c r="D5019" t="str">
        <f t="shared" si="1116"/>
        <v>813</v>
      </c>
      <c r="E5019" t="str">
        <f t="shared" si="1101"/>
        <v>89301171</v>
      </c>
      <c r="F5019" t="str">
        <f t="shared" si="1111"/>
        <v>7552114394</v>
      </c>
      <c r="G5019" s="1">
        <v>44692</v>
      </c>
      <c r="H5019" t="str">
        <f t="shared" si="1117"/>
        <v>91413</v>
      </c>
      <c r="I5019">
        <v>1</v>
      </c>
      <c r="J5019">
        <v>853</v>
      </c>
      <c r="K5019">
        <v>0</v>
      </c>
      <c r="L5019">
        <v>665.34</v>
      </c>
    </row>
    <row r="5020" spans="1:12" x14ac:dyDescent="0.25">
      <c r="A5020" t="str">
        <f t="shared" si="1110"/>
        <v>89301000</v>
      </c>
      <c r="B5020" t="str">
        <f t="shared" ref="B5020:B5083" si="1118">"06539000"</f>
        <v>06539000</v>
      </c>
      <c r="C5020" t="str">
        <f t="shared" si="1115"/>
        <v>06539003</v>
      </c>
      <c r="D5020" t="str">
        <f t="shared" si="1116"/>
        <v>813</v>
      </c>
      <c r="E5020" t="str">
        <f t="shared" si="1101"/>
        <v>89301171</v>
      </c>
      <c r="F5020" t="str">
        <f t="shared" si="1111"/>
        <v>7552114394</v>
      </c>
      <c r="G5020" s="1">
        <v>44692</v>
      </c>
      <c r="H5020" t="str">
        <f t="shared" si="1117"/>
        <v>91413</v>
      </c>
      <c r="I5020">
        <v>1</v>
      </c>
      <c r="J5020">
        <v>853</v>
      </c>
      <c r="K5020">
        <v>0</v>
      </c>
      <c r="L5020">
        <v>665.34</v>
      </c>
    </row>
    <row r="5021" spans="1:12" x14ac:dyDescent="0.25">
      <c r="A5021" t="str">
        <f t="shared" si="1110"/>
        <v>89301000</v>
      </c>
      <c r="B5021" t="str">
        <f t="shared" si="1118"/>
        <v>06539000</v>
      </c>
      <c r="C5021" t="str">
        <f t="shared" si="1115"/>
        <v>06539003</v>
      </c>
      <c r="D5021" t="str">
        <f t="shared" si="1116"/>
        <v>813</v>
      </c>
      <c r="E5021" t="str">
        <f t="shared" si="1101"/>
        <v>89301171</v>
      </c>
      <c r="F5021" t="str">
        <f t="shared" si="1111"/>
        <v>7552114394</v>
      </c>
      <c r="G5021" s="1">
        <v>44692</v>
      </c>
      <c r="H5021" t="str">
        <f t="shared" si="1117"/>
        <v>91413</v>
      </c>
      <c r="I5021">
        <v>1</v>
      </c>
      <c r="J5021">
        <v>853</v>
      </c>
      <c r="K5021">
        <v>0</v>
      </c>
      <c r="L5021">
        <v>665.34</v>
      </c>
    </row>
    <row r="5022" spans="1:12" x14ac:dyDescent="0.25">
      <c r="A5022" t="str">
        <f t="shared" si="1110"/>
        <v>89301000</v>
      </c>
      <c r="B5022" t="str">
        <f t="shared" si="1118"/>
        <v>06539000</v>
      </c>
      <c r="C5022" t="str">
        <f t="shared" si="1115"/>
        <v>06539003</v>
      </c>
      <c r="D5022" t="str">
        <f t="shared" si="1116"/>
        <v>813</v>
      </c>
      <c r="E5022" t="str">
        <f t="shared" si="1101"/>
        <v>89301171</v>
      </c>
      <c r="F5022" t="str">
        <f t="shared" si="1111"/>
        <v>7552114394</v>
      </c>
      <c r="G5022" s="1">
        <v>44692</v>
      </c>
      <c r="H5022" t="str">
        <f t="shared" si="1117"/>
        <v>91413</v>
      </c>
      <c r="I5022">
        <v>1</v>
      </c>
      <c r="J5022">
        <v>853</v>
      </c>
      <c r="K5022">
        <v>0</v>
      </c>
      <c r="L5022">
        <v>665.34</v>
      </c>
    </row>
    <row r="5023" spans="1:12" x14ac:dyDescent="0.25">
      <c r="A5023" t="str">
        <f t="shared" si="1110"/>
        <v>89301000</v>
      </c>
      <c r="B5023" t="str">
        <f t="shared" si="1118"/>
        <v>06539000</v>
      </c>
      <c r="C5023" t="str">
        <f t="shared" si="1115"/>
        <v>06539003</v>
      </c>
      <c r="D5023" t="str">
        <f t="shared" si="1116"/>
        <v>813</v>
      </c>
      <c r="E5023" t="str">
        <f t="shared" si="1101"/>
        <v>89301171</v>
      </c>
      <c r="F5023" t="str">
        <f t="shared" si="1111"/>
        <v>7552114394</v>
      </c>
      <c r="G5023" s="1">
        <v>44680</v>
      </c>
      <c r="H5023" t="str">
        <f t="shared" ref="H5023:H5029" si="1119">"91197"</f>
        <v>91197</v>
      </c>
      <c r="I5023">
        <v>1</v>
      </c>
      <c r="J5023">
        <v>1046</v>
      </c>
      <c r="K5023">
        <v>0</v>
      </c>
      <c r="L5023">
        <v>815.88</v>
      </c>
    </row>
    <row r="5024" spans="1:12" x14ac:dyDescent="0.25">
      <c r="A5024" t="str">
        <f t="shared" si="1110"/>
        <v>89301000</v>
      </c>
      <c r="B5024" t="str">
        <f t="shared" si="1118"/>
        <v>06539000</v>
      </c>
      <c r="C5024" t="str">
        <f t="shared" si="1115"/>
        <v>06539003</v>
      </c>
      <c r="D5024" t="str">
        <f t="shared" si="1116"/>
        <v>813</v>
      </c>
      <c r="E5024" t="str">
        <f t="shared" si="1101"/>
        <v>89301171</v>
      </c>
      <c r="F5024" t="str">
        <f t="shared" si="1111"/>
        <v>7552114394</v>
      </c>
      <c r="G5024" s="1">
        <v>44683</v>
      </c>
      <c r="H5024" t="str">
        <f t="shared" si="1119"/>
        <v>91197</v>
      </c>
      <c r="I5024">
        <v>1</v>
      </c>
      <c r="J5024">
        <v>1046</v>
      </c>
      <c r="K5024">
        <v>0</v>
      </c>
      <c r="L5024">
        <v>815.88</v>
      </c>
    </row>
    <row r="5025" spans="1:12" x14ac:dyDescent="0.25">
      <c r="A5025" t="str">
        <f t="shared" si="1110"/>
        <v>89301000</v>
      </c>
      <c r="B5025" t="str">
        <f t="shared" si="1118"/>
        <v>06539000</v>
      </c>
      <c r="C5025" t="str">
        <f t="shared" si="1115"/>
        <v>06539003</v>
      </c>
      <c r="D5025" t="str">
        <f t="shared" si="1116"/>
        <v>813</v>
      </c>
      <c r="E5025" t="str">
        <f t="shared" ref="E5025:E5088" si="1120">"89301171"</f>
        <v>89301171</v>
      </c>
      <c r="F5025" t="str">
        <f t="shared" si="1111"/>
        <v>7552114394</v>
      </c>
      <c r="G5025" s="1">
        <v>44683</v>
      </c>
      <c r="H5025" t="str">
        <f t="shared" si="1119"/>
        <v>91197</v>
      </c>
      <c r="I5025">
        <v>1</v>
      </c>
      <c r="J5025">
        <v>1046</v>
      </c>
      <c r="K5025">
        <v>0</v>
      </c>
      <c r="L5025">
        <v>815.88</v>
      </c>
    </row>
    <row r="5026" spans="1:12" x14ac:dyDescent="0.25">
      <c r="A5026" t="str">
        <f t="shared" si="1110"/>
        <v>89301000</v>
      </c>
      <c r="B5026" t="str">
        <f t="shared" si="1118"/>
        <v>06539000</v>
      </c>
      <c r="C5026" t="str">
        <f t="shared" si="1115"/>
        <v>06539003</v>
      </c>
      <c r="D5026" t="str">
        <f t="shared" si="1116"/>
        <v>813</v>
      </c>
      <c r="E5026" t="str">
        <f t="shared" si="1120"/>
        <v>89301171</v>
      </c>
      <c r="F5026" t="str">
        <f t="shared" si="1111"/>
        <v>7552114394</v>
      </c>
      <c r="G5026" s="1">
        <v>44682</v>
      </c>
      <c r="H5026" t="str">
        <f t="shared" si="1119"/>
        <v>91197</v>
      </c>
      <c r="I5026">
        <v>1</v>
      </c>
      <c r="J5026">
        <v>1046</v>
      </c>
      <c r="K5026">
        <v>0</v>
      </c>
      <c r="L5026">
        <v>815.88</v>
      </c>
    </row>
    <row r="5027" spans="1:12" x14ac:dyDescent="0.25">
      <c r="A5027" t="str">
        <f t="shared" si="1110"/>
        <v>89301000</v>
      </c>
      <c r="B5027" t="str">
        <f t="shared" si="1118"/>
        <v>06539000</v>
      </c>
      <c r="C5027" t="str">
        <f t="shared" si="1115"/>
        <v>06539003</v>
      </c>
      <c r="D5027" t="str">
        <f t="shared" si="1116"/>
        <v>813</v>
      </c>
      <c r="E5027" t="str">
        <f t="shared" si="1120"/>
        <v>89301171</v>
      </c>
      <c r="F5027" t="str">
        <f t="shared" si="1111"/>
        <v>7552114394</v>
      </c>
      <c r="G5027" s="1">
        <v>44682</v>
      </c>
      <c r="H5027" t="str">
        <f t="shared" si="1119"/>
        <v>91197</v>
      </c>
      <c r="I5027">
        <v>1</v>
      </c>
      <c r="J5027">
        <v>1046</v>
      </c>
      <c r="K5027">
        <v>0</v>
      </c>
      <c r="L5027">
        <v>815.88</v>
      </c>
    </row>
    <row r="5028" spans="1:12" x14ac:dyDescent="0.25">
      <c r="A5028" t="str">
        <f t="shared" si="1110"/>
        <v>89301000</v>
      </c>
      <c r="B5028" t="str">
        <f t="shared" si="1118"/>
        <v>06539000</v>
      </c>
      <c r="C5028" t="str">
        <f t="shared" si="1115"/>
        <v>06539003</v>
      </c>
      <c r="D5028" t="str">
        <f t="shared" si="1116"/>
        <v>813</v>
      </c>
      <c r="E5028" t="str">
        <f t="shared" si="1120"/>
        <v>89301171</v>
      </c>
      <c r="F5028" t="str">
        <f t="shared" si="1111"/>
        <v>7552114394</v>
      </c>
      <c r="G5028" s="1">
        <v>44681</v>
      </c>
      <c r="H5028" t="str">
        <f t="shared" si="1119"/>
        <v>91197</v>
      </c>
      <c r="I5028">
        <v>1</v>
      </c>
      <c r="J5028">
        <v>1046</v>
      </c>
      <c r="K5028">
        <v>0</v>
      </c>
      <c r="L5028">
        <v>815.88</v>
      </c>
    </row>
    <row r="5029" spans="1:12" x14ac:dyDescent="0.25">
      <c r="A5029" t="str">
        <f t="shared" si="1110"/>
        <v>89301000</v>
      </c>
      <c r="B5029" t="str">
        <f t="shared" si="1118"/>
        <v>06539000</v>
      </c>
      <c r="C5029" t="str">
        <f t="shared" si="1115"/>
        <v>06539003</v>
      </c>
      <c r="D5029" t="str">
        <f t="shared" si="1116"/>
        <v>813</v>
      </c>
      <c r="E5029" t="str">
        <f t="shared" si="1120"/>
        <v>89301171</v>
      </c>
      <c r="F5029" t="str">
        <f t="shared" si="1111"/>
        <v>7552114394</v>
      </c>
      <c r="G5029" s="1">
        <v>44681</v>
      </c>
      <c r="H5029" t="str">
        <f t="shared" si="1119"/>
        <v>91197</v>
      </c>
      <c r="I5029">
        <v>1</v>
      </c>
      <c r="J5029">
        <v>1046</v>
      </c>
      <c r="K5029">
        <v>0</v>
      </c>
      <c r="L5029">
        <v>815.88</v>
      </c>
    </row>
    <row r="5030" spans="1:12" x14ac:dyDescent="0.25">
      <c r="A5030" t="str">
        <f t="shared" si="1110"/>
        <v>89301000</v>
      </c>
      <c r="B5030" t="str">
        <f t="shared" si="1118"/>
        <v>06539000</v>
      </c>
      <c r="C5030" t="str">
        <f t="shared" si="1115"/>
        <v>06539003</v>
      </c>
      <c r="D5030" t="str">
        <f t="shared" si="1116"/>
        <v>813</v>
      </c>
      <c r="E5030" t="str">
        <f t="shared" si="1120"/>
        <v>89301171</v>
      </c>
      <c r="F5030" t="str">
        <f t="shared" si="1111"/>
        <v>7552114394</v>
      </c>
      <c r="G5030" s="1">
        <v>44692</v>
      </c>
      <c r="H5030" t="str">
        <f>"91329"</f>
        <v>91329</v>
      </c>
      <c r="I5030">
        <v>2</v>
      </c>
      <c r="J5030">
        <v>428</v>
      </c>
      <c r="K5030">
        <v>0</v>
      </c>
      <c r="L5030">
        <v>333.84</v>
      </c>
    </row>
    <row r="5031" spans="1:12" x14ac:dyDescent="0.25">
      <c r="A5031" t="str">
        <f t="shared" si="1110"/>
        <v>89301000</v>
      </c>
      <c r="B5031" t="str">
        <f t="shared" si="1118"/>
        <v>06539000</v>
      </c>
      <c r="C5031" t="str">
        <f t="shared" si="1115"/>
        <v>06539003</v>
      </c>
      <c r="D5031" t="str">
        <f t="shared" si="1116"/>
        <v>813</v>
      </c>
      <c r="E5031" t="str">
        <f t="shared" si="1120"/>
        <v>89301171</v>
      </c>
      <c r="F5031" t="str">
        <f t="shared" si="1111"/>
        <v>7552114394</v>
      </c>
      <c r="G5031" s="1">
        <v>44692</v>
      </c>
      <c r="H5031" t="str">
        <f>"91329"</f>
        <v>91329</v>
      </c>
      <c r="I5031">
        <v>2</v>
      </c>
      <c r="J5031">
        <v>428</v>
      </c>
      <c r="K5031">
        <v>0</v>
      </c>
      <c r="L5031">
        <v>333.84</v>
      </c>
    </row>
    <row r="5032" spans="1:12" x14ac:dyDescent="0.25">
      <c r="A5032" t="str">
        <f t="shared" si="1110"/>
        <v>89301000</v>
      </c>
      <c r="B5032" t="str">
        <f t="shared" si="1118"/>
        <v>06539000</v>
      </c>
      <c r="C5032" t="str">
        <f t="shared" si="1115"/>
        <v>06539003</v>
      </c>
      <c r="D5032" t="str">
        <f t="shared" si="1116"/>
        <v>813</v>
      </c>
      <c r="E5032" t="str">
        <f t="shared" si="1120"/>
        <v>89301171</v>
      </c>
      <c r="F5032" t="str">
        <f t="shared" si="1111"/>
        <v>7552114394</v>
      </c>
      <c r="G5032" s="1">
        <v>44692</v>
      </c>
      <c r="H5032" t="str">
        <f>"91329"</f>
        <v>91329</v>
      </c>
      <c r="I5032">
        <v>2</v>
      </c>
      <c r="J5032">
        <v>428</v>
      </c>
      <c r="K5032">
        <v>0</v>
      </c>
      <c r="L5032">
        <v>333.84</v>
      </c>
    </row>
    <row r="5033" spans="1:12" x14ac:dyDescent="0.25">
      <c r="A5033" t="str">
        <f t="shared" si="1110"/>
        <v>89301000</v>
      </c>
      <c r="B5033" t="str">
        <f t="shared" si="1118"/>
        <v>06539000</v>
      </c>
      <c r="C5033" t="str">
        <f t="shared" si="1115"/>
        <v>06539003</v>
      </c>
      <c r="D5033" t="str">
        <f t="shared" si="1116"/>
        <v>813</v>
      </c>
      <c r="E5033" t="str">
        <f t="shared" si="1120"/>
        <v>89301171</v>
      </c>
      <c r="F5033" t="str">
        <f t="shared" si="1111"/>
        <v>7552114394</v>
      </c>
      <c r="G5033" s="1">
        <v>44692</v>
      </c>
      <c r="H5033" t="str">
        <f>"91329"</f>
        <v>91329</v>
      </c>
      <c r="I5033">
        <v>2</v>
      </c>
      <c r="J5033">
        <v>428</v>
      </c>
      <c r="K5033">
        <v>0</v>
      </c>
      <c r="L5033">
        <v>333.84</v>
      </c>
    </row>
    <row r="5034" spans="1:12" x14ac:dyDescent="0.25">
      <c r="A5034" t="str">
        <f t="shared" si="1110"/>
        <v>89301000</v>
      </c>
      <c r="B5034" t="str">
        <f t="shared" si="1118"/>
        <v>06539000</v>
      </c>
      <c r="C5034" t="str">
        <f t="shared" si="1115"/>
        <v>06539003</v>
      </c>
      <c r="D5034" t="str">
        <f t="shared" si="1116"/>
        <v>813</v>
      </c>
      <c r="E5034" t="str">
        <f t="shared" si="1120"/>
        <v>89301171</v>
      </c>
      <c r="F5034" t="str">
        <f t="shared" si="1111"/>
        <v>7552114394</v>
      </c>
      <c r="G5034" s="1">
        <v>44680</v>
      </c>
      <c r="H5034" t="str">
        <f>"91129"</f>
        <v>91129</v>
      </c>
      <c r="I5034">
        <v>1</v>
      </c>
      <c r="J5034">
        <v>174</v>
      </c>
      <c r="K5034">
        <v>0</v>
      </c>
      <c r="L5034">
        <v>135.72</v>
      </c>
    </row>
    <row r="5035" spans="1:12" x14ac:dyDescent="0.25">
      <c r="A5035" t="str">
        <f t="shared" si="1110"/>
        <v>89301000</v>
      </c>
      <c r="B5035" t="str">
        <f t="shared" si="1118"/>
        <v>06539000</v>
      </c>
      <c r="C5035" t="str">
        <f t="shared" si="1115"/>
        <v>06539003</v>
      </c>
      <c r="D5035" t="str">
        <f t="shared" si="1116"/>
        <v>813</v>
      </c>
      <c r="E5035" t="str">
        <f t="shared" si="1120"/>
        <v>89301171</v>
      </c>
      <c r="F5035" t="str">
        <f t="shared" si="1111"/>
        <v>7552114394</v>
      </c>
      <c r="G5035" s="1">
        <v>44680</v>
      </c>
      <c r="H5035" t="str">
        <f>"91131"</f>
        <v>91131</v>
      </c>
      <c r="I5035">
        <v>1</v>
      </c>
      <c r="J5035">
        <v>171</v>
      </c>
      <c r="K5035">
        <v>0</v>
      </c>
      <c r="L5035">
        <v>133.38</v>
      </c>
    </row>
    <row r="5036" spans="1:12" x14ac:dyDescent="0.25">
      <c r="A5036" t="str">
        <f t="shared" si="1110"/>
        <v>89301000</v>
      </c>
      <c r="B5036" t="str">
        <f t="shared" si="1118"/>
        <v>06539000</v>
      </c>
      <c r="C5036" t="str">
        <f t="shared" si="1115"/>
        <v>06539003</v>
      </c>
      <c r="D5036" t="str">
        <f t="shared" si="1116"/>
        <v>813</v>
      </c>
      <c r="E5036" t="str">
        <f t="shared" si="1120"/>
        <v>89301171</v>
      </c>
      <c r="F5036" t="str">
        <f t="shared" si="1111"/>
        <v>7552114394</v>
      </c>
      <c r="G5036" s="1">
        <v>44680</v>
      </c>
      <c r="H5036" t="str">
        <f>"91133"</f>
        <v>91133</v>
      </c>
      <c r="I5036">
        <v>1</v>
      </c>
      <c r="J5036">
        <v>176</v>
      </c>
      <c r="K5036">
        <v>0</v>
      </c>
      <c r="L5036">
        <v>137.28</v>
      </c>
    </row>
    <row r="5037" spans="1:12" x14ac:dyDescent="0.25">
      <c r="A5037" t="str">
        <f t="shared" si="1110"/>
        <v>89301000</v>
      </c>
      <c r="B5037" t="str">
        <f t="shared" si="1118"/>
        <v>06539000</v>
      </c>
      <c r="C5037" t="str">
        <f t="shared" si="1115"/>
        <v>06539003</v>
      </c>
      <c r="D5037" t="str">
        <f t="shared" si="1116"/>
        <v>813</v>
      </c>
      <c r="E5037" t="str">
        <f t="shared" si="1120"/>
        <v>89301171</v>
      </c>
      <c r="F5037" t="str">
        <f t="shared" si="1111"/>
        <v>7552114394</v>
      </c>
      <c r="G5037" s="1">
        <v>44680</v>
      </c>
      <c r="H5037" t="str">
        <f>"91171"</f>
        <v>91171</v>
      </c>
      <c r="I5037">
        <v>1</v>
      </c>
      <c r="J5037">
        <v>360</v>
      </c>
      <c r="K5037">
        <v>0</v>
      </c>
      <c r="L5037">
        <v>280.8</v>
      </c>
    </row>
    <row r="5038" spans="1:12" x14ac:dyDescent="0.25">
      <c r="A5038" t="str">
        <f t="shared" si="1110"/>
        <v>89301000</v>
      </c>
      <c r="B5038" t="str">
        <f t="shared" si="1118"/>
        <v>06539000</v>
      </c>
      <c r="C5038" t="str">
        <f t="shared" si="1115"/>
        <v>06539003</v>
      </c>
      <c r="D5038" t="str">
        <f t="shared" si="1116"/>
        <v>813</v>
      </c>
      <c r="E5038" t="str">
        <f t="shared" si="1120"/>
        <v>89301171</v>
      </c>
      <c r="F5038" t="str">
        <f t="shared" si="1111"/>
        <v>7552114394</v>
      </c>
      <c r="G5038" s="1">
        <v>44680</v>
      </c>
      <c r="H5038" t="str">
        <f>"91173"</f>
        <v>91173</v>
      </c>
      <c r="I5038">
        <v>1</v>
      </c>
      <c r="J5038">
        <v>335</v>
      </c>
      <c r="K5038">
        <v>0</v>
      </c>
      <c r="L5038">
        <v>261.3</v>
      </c>
    </row>
    <row r="5039" spans="1:12" x14ac:dyDescent="0.25">
      <c r="A5039" t="str">
        <f t="shared" si="1110"/>
        <v>89301000</v>
      </c>
      <c r="B5039" t="str">
        <f t="shared" si="1118"/>
        <v>06539000</v>
      </c>
      <c r="C5039" t="str">
        <f t="shared" si="1115"/>
        <v>06539003</v>
      </c>
      <c r="D5039" t="str">
        <f t="shared" si="1116"/>
        <v>813</v>
      </c>
      <c r="E5039" t="str">
        <f t="shared" si="1120"/>
        <v>89301171</v>
      </c>
      <c r="F5039" t="str">
        <f t="shared" si="1111"/>
        <v>7552114394</v>
      </c>
      <c r="G5039" s="1">
        <v>44680</v>
      </c>
      <c r="H5039" t="str">
        <f>"91175"</f>
        <v>91175</v>
      </c>
      <c r="I5039">
        <v>1</v>
      </c>
      <c r="J5039">
        <v>360</v>
      </c>
      <c r="K5039">
        <v>0</v>
      </c>
      <c r="L5039">
        <v>280.8</v>
      </c>
    </row>
    <row r="5040" spans="1:12" x14ac:dyDescent="0.25">
      <c r="A5040" t="str">
        <f t="shared" si="1110"/>
        <v>89301000</v>
      </c>
      <c r="B5040" t="str">
        <f t="shared" si="1118"/>
        <v>06539000</v>
      </c>
      <c r="C5040" t="str">
        <f t="shared" si="1115"/>
        <v>06539003</v>
      </c>
      <c r="D5040" t="str">
        <f t="shared" si="1116"/>
        <v>813</v>
      </c>
      <c r="E5040" t="str">
        <f t="shared" si="1120"/>
        <v>89301171</v>
      </c>
      <c r="F5040" t="str">
        <f t="shared" si="1111"/>
        <v>7552114394</v>
      </c>
      <c r="G5040" s="1">
        <v>44681</v>
      </c>
      <c r="H5040" t="str">
        <f>"91167"</f>
        <v>91167</v>
      </c>
      <c r="I5040">
        <v>1</v>
      </c>
      <c r="J5040">
        <v>425</v>
      </c>
      <c r="K5040">
        <v>0</v>
      </c>
      <c r="L5040">
        <v>331.5</v>
      </c>
    </row>
    <row r="5041" spans="1:12" x14ac:dyDescent="0.25">
      <c r="A5041" t="str">
        <f t="shared" si="1110"/>
        <v>89301000</v>
      </c>
      <c r="B5041" t="str">
        <f t="shared" si="1118"/>
        <v>06539000</v>
      </c>
      <c r="C5041" t="str">
        <f t="shared" si="1115"/>
        <v>06539003</v>
      </c>
      <c r="D5041" t="str">
        <f t="shared" si="1116"/>
        <v>813</v>
      </c>
      <c r="E5041" t="str">
        <f t="shared" si="1120"/>
        <v>89301171</v>
      </c>
      <c r="F5041" t="str">
        <f t="shared" si="1111"/>
        <v>7552114394</v>
      </c>
      <c r="G5041" s="1">
        <v>44681</v>
      </c>
      <c r="H5041" t="str">
        <f>"91169"</f>
        <v>91169</v>
      </c>
      <c r="I5041">
        <v>1</v>
      </c>
      <c r="J5041">
        <v>425</v>
      </c>
      <c r="K5041">
        <v>0</v>
      </c>
      <c r="L5041">
        <v>331.5</v>
      </c>
    </row>
    <row r="5042" spans="1:12" x14ac:dyDescent="0.25">
      <c r="A5042" t="str">
        <f t="shared" si="1110"/>
        <v>89301000</v>
      </c>
      <c r="B5042" t="str">
        <f t="shared" si="1118"/>
        <v>06539000</v>
      </c>
      <c r="C5042" t="str">
        <f t="shared" si="1115"/>
        <v>06539003</v>
      </c>
      <c r="D5042" t="str">
        <f t="shared" si="1116"/>
        <v>813</v>
      </c>
      <c r="E5042" t="str">
        <f t="shared" si="1120"/>
        <v>89301171</v>
      </c>
      <c r="F5042" t="str">
        <f t="shared" si="1111"/>
        <v>7552114394</v>
      </c>
      <c r="G5042" s="1">
        <v>44680</v>
      </c>
      <c r="H5042" t="str">
        <f>"91167"</f>
        <v>91167</v>
      </c>
      <c r="I5042">
        <v>1</v>
      </c>
      <c r="J5042">
        <v>425</v>
      </c>
      <c r="K5042">
        <v>0</v>
      </c>
      <c r="L5042">
        <v>331.5</v>
      </c>
    </row>
    <row r="5043" spans="1:12" x14ac:dyDescent="0.25">
      <c r="A5043" t="str">
        <f t="shared" si="1110"/>
        <v>89301000</v>
      </c>
      <c r="B5043" t="str">
        <f t="shared" si="1118"/>
        <v>06539000</v>
      </c>
      <c r="C5043" t="str">
        <f t="shared" si="1115"/>
        <v>06539003</v>
      </c>
      <c r="D5043" t="str">
        <f t="shared" si="1116"/>
        <v>813</v>
      </c>
      <c r="E5043" t="str">
        <f t="shared" si="1120"/>
        <v>89301171</v>
      </c>
      <c r="F5043" t="str">
        <f t="shared" si="1111"/>
        <v>7552114394</v>
      </c>
      <c r="G5043" s="1">
        <v>44680</v>
      </c>
      <c r="H5043" t="str">
        <f>"91169"</f>
        <v>91169</v>
      </c>
      <c r="I5043">
        <v>1</v>
      </c>
      <c r="J5043">
        <v>425</v>
      </c>
      <c r="K5043">
        <v>0</v>
      </c>
      <c r="L5043">
        <v>331.5</v>
      </c>
    </row>
    <row r="5044" spans="1:12" x14ac:dyDescent="0.25">
      <c r="A5044" t="str">
        <f t="shared" si="1110"/>
        <v>89301000</v>
      </c>
      <c r="B5044" t="str">
        <f t="shared" si="1118"/>
        <v>06539000</v>
      </c>
      <c r="C5044" t="str">
        <f t="shared" si="1115"/>
        <v>06539003</v>
      </c>
      <c r="D5044" t="str">
        <f t="shared" si="1116"/>
        <v>813</v>
      </c>
      <c r="E5044" t="str">
        <f t="shared" si="1120"/>
        <v>89301171</v>
      </c>
      <c r="F5044" t="str">
        <f t="shared" si="1111"/>
        <v>7552114394</v>
      </c>
      <c r="G5044" s="1">
        <v>44680</v>
      </c>
      <c r="H5044" t="str">
        <f>"91475"</f>
        <v>91475</v>
      </c>
      <c r="I5044">
        <v>1</v>
      </c>
      <c r="J5044">
        <v>206</v>
      </c>
      <c r="K5044">
        <v>0</v>
      </c>
      <c r="L5044">
        <v>160.68</v>
      </c>
    </row>
    <row r="5045" spans="1:12" x14ac:dyDescent="0.25">
      <c r="A5045" t="str">
        <f t="shared" si="1110"/>
        <v>89301000</v>
      </c>
      <c r="B5045" t="str">
        <f t="shared" si="1118"/>
        <v>06539000</v>
      </c>
      <c r="C5045" t="str">
        <f>"06539001"</f>
        <v>06539001</v>
      </c>
      <c r="D5045" t="str">
        <f>"801"</f>
        <v>801</v>
      </c>
      <c r="E5045" t="str">
        <f t="shared" si="1120"/>
        <v>89301171</v>
      </c>
      <c r="F5045" t="str">
        <f t="shared" ref="F5045:F5086" si="1121">"8607035811"</f>
        <v>8607035811</v>
      </c>
      <c r="G5045" s="1">
        <v>44680</v>
      </c>
      <c r="H5045" t="str">
        <f>"81329"</f>
        <v>81329</v>
      </c>
      <c r="I5045">
        <v>1</v>
      </c>
      <c r="J5045">
        <v>16</v>
      </c>
      <c r="K5045">
        <v>0</v>
      </c>
      <c r="L5045">
        <v>12.48</v>
      </c>
    </row>
    <row r="5046" spans="1:12" x14ac:dyDescent="0.25">
      <c r="A5046" t="str">
        <f t="shared" si="1110"/>
        <v>89301000</v>
      </c>
      <c r="B5046" t="str">
        <f t="shared" si="1118"/>
        <v>06539000</v>
      </c>
      <c r="C5046" t="str">
        <f>"06539001"</f>
        <v>06539001</v>
      </c>
      <c r="D5046" t="str">
        <f>"801"</f>
        <v>801</v>
      </c>
      <c r="E5046" t="str">
        <f t="shared" si="1120"/>
        <v>89301171</v>
      </c>
      <c r="F5046" t="str">
        <f t="shared" si="1121"/>
        <v>8607035811</v>
      </c>
      <c r="G5046" s="1">
        <v>44680</v>
      </c>
      <c r="H5046" t="str">
        <f>"81331"</f>
        <v>81331</v>
      </c>
      <c r="I5046">
        <v>1</v>
      </c>
      <c r="J5046">
        <v>193</v>
      </c>
      <c r="K5046">
        <v>0</v>
      </c>
      <c r="L5046">
        <v>150.54</v>
      </c>
    </row>
    <row r="5047" spans="1:12" x14ac:dyDescent="0.25">
      <c r="A5047" t="str">
        <f t="shared" si="1110"/>
        <v>89301000</v>
      </c>
      <c r="B5047" t="str">
        <f t="shared" si="1118"/>
        <v>06539000</v>
      </c>
      <c r="C5047" t="str">
        <f t="shared" ref="C5047:C5054" si="1122">"06539002"</f>
        <v>06539002</v>
      </c>
      <c r="D5047" t="str">
        <f t="shared" ref="D5047:D5054" si="1123">"802"</f>
        <v>802</v>
      </c>
      <c r="E5047" t="str">
        <f t="shared" si="1120"/>
        <v>89301171</v>
      </c>
      <c r="F5047" t="str">
        <f t="shared" si="1121"/>
        <v>8607035811</v>
      </c>
      <c r="G5047" s="1">
        <v>44680</v>
      </c>
      <c r="H5047" t="str">
        <f t="shared" ref="H5047:H5054" si="1124">"82097"</f>
        <v>82097</v>
      </c>
      <c r="I5047">
        <v>1</v>
      </c>
      <c r="J5047">
        <v>380</v>
      </c>
      <c r="K5047">
        <v>0</v>
      </c>
      <c r="L5047">
        <v>345.8</v>
      </c>
    </row>
    <row r="5048" spans="1:12" x14ac:dyDescent="0.25">
      <c r="A5048" t="str">
        <f t="shared" si="1110"/>
        <v>89301000</v>
      </c>
      <c r="B5048" t="str">
        <f t="shared" si="1118"/>
        <v>06539000</v>
      </c>
      <c r="C5048" t="str">
        <f t="shared" si="1122"/>
        <v>06539002</v>
      </c>
      <c r="D5048" t="str">
        <f t="shared" si="1123"/>
        <v>802</v>
      </c>
      <c r="E5048" t="str">
        <f t="shared" si="1120"/>
        <v>89301171</v>
      </c>
      <c r="F5048" t="str">
        <f t="shared" si="1121"/>
        <v>8607035811</v>
      </c>
      <c r="G5048" s="1">
        <v>44680</v>
      </c>
      <c r="H5048" t="str">
        <f t="shared" si="1124"/>
        <v>82097</v>
      </c>
      <c r="I5048">
        <v>1</v>
      </c>
      <c r="J5048">
        <v>380</v>
      </c>
      <c r="K5048">
        <v>0</v>
      </c>
      <c r="L5048">
        <v>345.8</v>
      </c>
    </row>
    <row r="5049" spans="1:12" x14ac:dyDescent="0.25">
      <c r="A5049" t="str">
        <f t="shared" si="1110"/>
        <v>89301000</v>
      </c>
      <c r="B5049" t="str">
        <f t="shared" si="1118"/>
        <v>06539000</v>
      </c>
      <c r="C5049" t="str">
        <f t="shared" si="1122"/>
        <v>06539002</v>
      </c>
      <c r="D5049" t="str">
        <f t="shared" si="1123"/>
        <v>802</v>
      </c>
      <c r="E5049" t="str">
        <f t="shared" si="1120"/>
        <v>89301171</v>
      </c>
      <c r="F5049" t="str">
        <f t="shared" si="1121"/>
        <v>8607035811</v>
      </c>
      <c r="G5049" s="1">
        <v>44680</v>
      </c>
      <c r="H5049" t="str">
        <f t="shared" si="1124"/>
        <v>82097</v>
      </c>
      <c r="I5049">
        <v>1</v>
      </c>
      <c r="J5049">
        <v>380</v>
      </c>
      <c r="K5049">
        <v>0</v>
      </c>
      <c r="L5049">
        <v>345.8</v>
      </c>
    </row>
    <row r="5050" spans="1:12" x14ac:dyDescent="0.25">
      <c r="A5050" t="str">
        <f t="shared" si="1110"/>
        <v>89301000</v>
      </c>
      <c r="B5050" t="str">
        <f t="shared" si="1118"/>
        <v>06539000</v>
      </c>
      <c r="C5050" t="str">
        <f t="shared" si="1122"/>
        <v>06539002</v>
      </c>
      <c r="D5050" t="str">
        <f t="shared" si="1123"/>
        <v>802</v>
      </c>
      <c r="E5050" t="str">
        <f t="shared" si="1120"/>
        <v>89301171</v>
      </c>
      <c r="F5050" t="str">
        <f t="shared" si="1121"/>
        <v>8607035811</v>
      </c>
      <c r="G5050" s="1">
        <v>44680</v>
      </c>
      <c r="H5050" t="str">
        <f t="shared" si="1124"/>
        <v>82097</v>
      </c>
      <c r="I5050">
        <v>1</v>
      </c>
      <c r="J5050">
        <v>380</v>
      </c>
      <c r="K5050">
        <v>0</v>
      </c>
      <c r="L5050">
        <v>345.8</v>
      </c>
    </row>
    <row r="5051" spans="1:12" x14ac:dyDescent="0.25">
      <c r="A5051" t="str">
        <f t="shared" si="1110"/>
        <v>89301000</v>
      </c>
      <c r="B5051" t="str">
        <f t="shared" si="1118"/>
        <v>06539000</v>
      </c>
      <c r="C5051" t="str">
        <f t="shared" si="1122"/>
        <v>06539002</v>
      </c>
      <c r="D5051" t="str">
        <f t="shared" si="1123"/>
        <v>802</v>
      </c>
      <c r="E5051" t="str">
        <f t="shared" si="1120"/>
        <v>89301171</v>
      </c>
      <c r="F5051" t="str">
        <f t="shared" si="1121"/>
        <v>8607035811</v>
      </c>
      <c r="G5051" s="1">
        <v>44680</v>
      </c>
      <c r="H5051" t="str">
        <f t="shared" si="1124"/>
        <v>82097</v>
      </c>
      <c r="I5051">
        <v>1</v>
      </c>
      <c r="J5051">
        <v>380</v>
      </c>
      <c r="K5051">
        <v>0</v>
      </c>
      <c r="L5051">
        <v>345.8</v>
      </c>
    </row>
    <row r="5052" spans="1:12" x14ac:dyDescent="0.25">
      <c r="A5052" t="str">
        <f t="shared" si="1110"/>
        <v>89301000</v>
      </c>
      <c r="B5052" t="str">
        <f t="shared" si="1118"/>
        <v>06539000</v>
      </c>
      <c r="C5052" t="str">
        <f t="shared" si="1122"/>
        <v>06539002</v>
      </c>
      <c r="D5052" t="str">
        <f t="shared" si="1123"/>
        <v>802</v>
      </c>
      <c r="E5052" t="str">
        <f t="shared" si="1120"/>
        <v>89301171</v>
      </c>
      <c r="F5052" t="str">
        <f t="shared" si="1121"/>
        <v>8607035811</v>
      </c>
      <c r="G5052" s="1">
        <v>44680</v>
      </c>
      <c r="H5052" t="str">
        <f t="shared" si="1124"/>
        <v>82097</v>
      </c>
      <c r="I5052">
        <v>1</v>
      </c>
      <c r="J5052">
        <v>380</v>
      </c>
      <c r="K5052">
        <v>0</v>
      </c>
      <c r="L5052">
        <v>345.8</v>
      </c>
    </row>
    <row r="5053" spans="1:12" x14ac:dyDescent="0.25">
      <c r="A5053" t="str">
        <f t="shared" si="1110"/>
        <v>89301000</v>
      </c>
      <c r="B5053" t="str">
        <f t="shared" si="1118"/>
        <v>06539000</v>
      </c>
      <c r="C5053" t="str">
        <f t="shared" si="1122"/>
        <v>06539002</v>
      </c>
      <c r="D5053" t="str">
        <f t="shared" si="1123"/>
        <v>802</v>
      </c>
      <c r="E5053" t="str">
        <f t="shared" si="1120"/>
        <v>89301171</v>
      </c>
      <c r="F5053" t="str">
        <f t="shared" si="1121"/>
        <v>8607035811</v>
      </c>
      <c r="G5053" s="1">
        <v>44680</v>
      </c>
      <c r="H5053" t="str">
        <f t="shared" si="1124"/>
        <v>82097</v>
      </c>
      <c r="I5053">
        <v>1</v>
      </c>
      <c r="J5053">
        <v>380</v>
      </c>
      <c r="K5053">
        <v>0</v>
      </c>
      <c r="L5053">
        <v>345.8</v>
      </c>
    </row>
    <row r="5054" spans="1:12" x14ac:dyDescent="0.25">
      <c r="A5054" t="str">
        <f t="shared" si="1110"/>
        <v>89301000</v>
      </c>
      <c r="B5054" t="str">
        <f t="shared" si="1118"/>
        <v>06539000</v>
      </c>
      <c r="C5054" t="str">
        <f t="shared" si="1122"/>
        <v>06539002</v>
      </c>
      <c r="D5054" t="str">
        <f t="shared" si="1123"/>
        <v>802</v>
      </c>
      <c r="E5054" t="str">
        <f t="shared" si="1120"/>
        <v>89301171</v>
      </c>
      <c r="F5054" t="str">
        <f t="shared" si="1121"/>
        <v>8607035811</v>
      </c>
      <c r="G5054" s="1">
        <v>44680</v>
      </c>
      <c r="H5054" t="str">
        <f t="shared" si="1124"/>
        <v>82097</v>
      </c>
      <c r="I5054">
        <v>1</v>
      </c>
      <c r="J5054">
        <v>380</v>
      </c>
      <c r="K5054">
        <v>0</v>
      </c>
      <c r="L5054">
        <v>345.8</v>
      </c>
    </row>
    <row r="5055" spans="1:12" x14ac:dyDescent="0.25">
      <c r="A5055" t="str">
        <f t="shared" si="1110"/>
        <v>89301000</v>
      </c>
      <c r="B5055" t="str">
        <f t="shared" si="1118"/>
        <v>06539000</v>
      </c>
      <c r="C5055" t="str">
        <f t="shared" ref="C5055:C5086" si="1125">"06539003"</f>
        <v>06539003</v>
      </c>
      <c r="D5055" t="str">
        <f t="shared" ref="D5055:D5086" si="1126">"813"</f>
        <v>813</v>
      </c>
      <c r="E5055" t="str">
        <f t="shared" si="1120"/>
        <v>89301171</v>
      </c>
      <c r="F5055" t="str">
        <f t="shared" si="1121"/>
        <v>8607035811</v>
      </c>
      <c r="G5055" s="1">
        <v>44683</v>
      </c>
      <c r="H5055" t="str">
        <f t="shared" ref="H5055:H5064" si="1127">"91413"</f>
        <v>91413</v>
      </c>
      <c r="I5055">
        <v>1</v>
      </c>
      <c r="J5055">
        <v>853</v>
      </c>
      <c r="K5055">
        <v>0</v>
      </c>
      <c r="L5055">
        <v>665.34</v>
      </c>
    </row>
    <row r="5056" spans="1:12" x14ac:dyDescent="0.25">
      <c r="A5056" t="str">
        <f t="shared" si="1110"/>
        <v>89301000</v>
      </c>
      <c r="B5056" t="str">
        <f t="shared" si="1118"/>
        <v>06539000</v>
      </c>
      <c r="C5056" t="str">
        <f t="shared" si="1125"/>
        <v>06539003</v>
      </c>
      <c r="D5056" t="str">
        <f t="shared" si="1126"/>
        <v>813</v>
      </c>
      <c r="E5056" t="str">
        <f t="shared" si="1120"/>
        <v>89301171</v>
      </c>
      <c r="F5056" t="str">
        <f t="shared" si="1121"/>
        <v>8607035811</v>
      </c>
      <c r="G5056" s="1">
        <v>44683</v>
      </c>
      <c r="H5056" t="str">
        <f t="shared" si="1127"/>
        <v>91413</v>
      </c>
      <c r="I5056">
        <v>1</v>
      </c>
      <c r="J5056">
        <v>853</v>
      </c>
      <c r="K5056">
        <v>0</v>
      </c>
      <c r="L5056">
        <v>665.34</v>
      </c>
    </row>
    <row r="5057" spans="1:12" x14ac:dyDescent="0.25">
      <c r="A5057" t="str">
        <f t="shared" si="1110"/>
        <v>89301000</v>
      </c>
      <c r="B5057" t="str">
        <f t="shared" si="1118"/>
        <v>06539000</v>
      </c>
      <c r="C5057" t="str">
        <f t="shared" si="1125"/>
        <v>06539003</v>
      </c>
      <c r="D5057" t="str">
        <f t="shared" si="1126"/>
        <v>813</v>
      </c>
      <c r="E5057" t="str">
        <f t="shared" si="1120"/>
        <v>89301171</v>
      </c>
      <c r="F5057" t="str">
        <f t="shared" si="1121"/>
        <v>8607035811</v>
      </c>
      <c r="G5057" s="1">
        <v>44692</v>
      </c>
      <c r="H5057" t="str">
        <f t="shared" si="1127"/>
        <v>91413</v>
      </c>
      <c r="I5057">
        <v>1</v>
      </c>
      <c r="J5057">
        <v>853</v>
      </c>
      <c r="K5057">
        <v>0</v>
      </c>
      <c r="L5057">
        <v>665.34</v>
      </c>
    </row>
    <row r="5058" spans="1:12" x14ac:dyDescent="0.25">
      <c r="A5058" t="str">
        <f t="shared" ref="A5058:A5121" si="1128">"89301000"</f>
        <v>89301000</v>
      </c>
      <c r="B5058" t="str">
        <f t="shared" si="1118"/>
        <v>06539000</v>
      </c>
      <c r="C5058" t="str">
        <f t="shared" si="1125"/>
        <v>06539003</v>
      </c>
      <c r="D5058" t="str">
        <f t="shared" si="1126"/>
        <v>813</v>
      </c>
      <c r="E5058" t="str">
        <f t="shared" si="1120"/>
        <v>89301171</v>
      </c>
      <c r="F5058" t="str">
        <f t="shared" si="1121"/>
        <v>8607035811</v>
      </c>
      <c r="G5058" s="1">
        <v>44692</v>
      </c>
      <c r="H5058" t="str">
        <f t="shared" si="1127"/>
        <v>91413</v>
      </c>
      <c r="I5058">
        <v>1</v>
      </c>
      <c r="J5058">
        <v>853</v>
      </c>
      <c r="K5058">
        <v>0</v>
      </c>
      <c r="L5058">
        <v>665.34</v>
      </c>
    </row>
    <row r="5059" spans="1:12" x14ac:dyDescent="0.25">
      <c r="A5059" t="str">
        <f t="shared" si="1128"/>
        <v>89301000</v>
      </c>
      <c r="B5059" t="str">
        <f t="shared" si="1118"/>
        <v>06539000</v>
      </c>
      <c r="C5059" t="str">
        <f t="shared" si="1125"/>
        <v>06539003</v>
      </c>
      <c r="D5059" t="str">
        <f t="shared" si="1126"/>
        <v>813</v>
      </c>
      <c r="E5059" t="str">
        <f t="shared" si="1120"/>
        <v>89301171</v>
      </c>
      <c r="F5059" t="str">
        <f t="shared" si="1121"/>
        <v>8607035811</v>
      </c>
      <c r="G5059" s="1">
        <v>44692</v>
      </c>
      <c r="H5059" t="str">
        <f t="shared" si="1127"/>
        <v>91413</v>
      </c>
      <c r="I5059">
        <v>1</v>
      </c>
      <c r="J5059">
        <v>853</v>
      </c>
      <c r="K5059">
        <v>0</v>
      </c>
      <c r="L5059">
        <v>665.34</v>
      </c>
    </row>
    <row r="5060" spans="1:12" x14ac:dyDescent="0.25">
      <c r="A5060" t="str">
        <f t="shared" si="1128"/>
        <v>89301000</v>
      </c>
      <c r="B5060" t="str">
        <f t="shared" si="1118"/>
        <v>06539000</v>
      </c>
      <c r="C5060" t="str">
        <f t="shared" si="1125"/>
        <v>06539003</v>
      </c>
      <c r="D5060" t="str">
        <f t="shared" si="1126"/>
        <v>813</v>
      </c>
      <c r="E5060" t="str">
        <f t="shared" si="1120"/>
        <v>89301171</v>
      </c>
      <c r="F5060" t="str">
        <f t="shared" si="1121"/>
        <v>8607035811</v>
      </c>
      <c r="G5060" s="1">
        <v>44692</v>
      </c>
      <c r="H5060" t="str">
        <f t="shared" si="1127"/>
        <v>91413</v>
      </c>
      <c r="I5060">
        <v>1</v>
      </c>
      <c r="J5060">
        <v>853</v>
      </c>
      <c r="K5060">
        <v>0</v>
      </c>
      <c r="L5060">
        <v>665.34</v>
      </c>
    </row>
    <row r="5061" spans="1:12" x14ac:dyDescent="0.25">
      <c r="A5061" t="str">
        <f t="shared" si="1128"/>
        <v>89301000</v>
      </c>
      <c r="B5061" t="str">
        <f t="shared" si="1118"/>
        <v>06539000</v>
      </c>
      <c r="C5061" t="str">
        <f t="shared" si="1125"/>
        <v>06539003</v>
      </c>
      <c r="D5061" t="str">
        <f t="shared" si="1126"/>
        <v>813</v>
      </c>
      <c r="E5061" t="str">
        <f t="shared" si="1120"/>
        <v>89301171</v>
      </c>
      <c r="F5061" t="str">
        <f t="shared" si="1121"/>
        <v>8607035811</v>
      </c>
      <c r="G5061" s="1">
        <v>44692</v>
      </c>
      <c r="H5061" t="str">
        <f t="shared" si="1127"/>
        <v>91413</v>
      </c>
      <c r="I5061">
        <v>1</v>
      </c>
      <c r="J5061">
        <v>853</v>
      </c>
      <c r="K5061">
        <v>0</v>
      </c>
      <c r="L5061">
        <v>665.34</v>
      </c>
    </row>
    <row r="5062" spans="1:12" x14ac:dyDescent="0.25">
      <c r="A5062" t="str">
        <f t="shared" si="1128"/>
        <v>89301000</v>
      </c>
      <c r="B5062" t="str">
        <f t="shared" si="1118"/>
        <v>06539000</v>
      </c>
      <c r="C5062" t="str">
        <f t="shared" si="1125"/>
        <v>06539003</v>
      </c>
      <c r="D5062" t="str">
        <f t="shared" si="1126"/>
        <v>813</v>
      </c>
      <c r="E5062" t="str">
        <f t="shared" si="1120"/>
        <v>89301171</v>
      </c>
      <c r="F5062" t="str">
        <f t="shared" si="1121"/>
        <v>8607035811</v>
      </c>
      <c r="G5062" s="1">
        <v>44692</v>
      </c>
      <c r="H5062" t="str">
        <f t="shared" si="1127"/>
        <v>91413</v>
      </c>
      <c r="I5062">
        <v>1</v>
      </c>
      <c r="J5062">
        <v>853</v>
      </c>
      <c r="K5062">
        <v>0</v>
      </c>
      <c r="L5062">
        <v>665.34</v>
      </c>
    </row>
    <row r="5063" spans="1:12" x14ac:dyDescent="0.25">
      <c r="A5063" t="str">
        <f t="shared" si="1128"/>
        <v>89301000</v>
      </c>
      <c r="B5063" t="str">
        <f t="shared" si="1118"/>
        <v>06539000</v>
      </c>
      <c r="C5063" t="str">
        <f t="shared" si="1125"/>
        <v>06539003</v>
      </c>
      <c r="D5063" t="str">
        <f t="shared" si="1126"/>
        <v>813</v>
      </c>
      <c r="E5063" t="str">
        <f t="shared" si="1120"/>
        <v>89301171</v>
      </c>
      <c r="F5063" t="str">
        <f t="shared" si="1121"/>
        <v>8607035811</v>
      </c>
      <c r="G5063" s="1">
        <v>44692</v>
      </c>
      <c r="H5063" t="str">
        <f t="shared" si="1127"/>
        <v>91413</v>
      </c>
      <c r="I5063">
        <v>1</v>
      </c>
      <c r="J5063">
        <v>853</v>
      </c>
      <c r="K5063">
        <v>0</v>
      </c>
      <c r="L5063">
        <v>665.34</v>
      </c>
    </row>
    <row r="5064" spans="1:12" x14ac:dyDescent="0.25">
      <c r="A5064" t="str">
        <f t="shared" si="1128"/>
        <v>89301000</v>
      </c>
      <c r="B5064" t="str">
        <f t="shared" si="1118"/>
        <v>06539000</v>
      </c>
      <c r="C5064" t="str">
        <f t="shared" si="1125"/>
        <v>06539003</v>
      </c>
      <c r="D5064" t="str">
        <f t="shared" si="1126"/>
        <v>813</v>
      </c>
      <c r="E5064" t="str">
        <f t="shared" si="1120"/>
        <v>89301171</v>
      </c>
      <c r="F5064" t="str">
        <f t="shared" si="1121"/>
        <v>8607035811</v>
      </c>
      <c r="G5064" s="1">
        <v>44692</v>
      </c>
      <c r="H5064" t="str">
        <f t="shared" si="1127"/>
        <v>91413</v>
      </c>
      <c r="I5064">
        <v>1</v>
      </c>
      <c r="J5064">
        <v>853</v>
      </c>
      <c r="K5064">
        <v>0</v>
      </c>
      <c r="L5064">
        <v>665.34</v>
      </c>
    </row>
    <row r="5065" spans="1:12" x14ac:dyDescent="0.25">
      <c r="A5065" t="str">
        <f t="shared" si="1128"/>
        <v>89301000</v>
      </c>
      <c r="B5065" t="str">
        <f t="shared" si="1118"/>
        <v>06539000</v>
      </c>
      <c r="C5065" t="str">
        <f t="shared" si="1125"/>
        <v>06539003</v>
      </c>
      <c r="D5065" t="str">
        <f t="shared" si="1126"/>
        <v>813</v>
      </c>
      <c r="E5065" t="str">
        <f t="shared" si="1120"/>
        <v>89301171</v>
      </c>
      <c r="F5065" t="str">
        <f t="shared" si="1121"/>
        <v>8607035811</v>
      </c>
      <c r="G5065" s="1">
        <v>44680</v>
      </c>
      <c r="H5065" t="str">
        <f t="shared" ref="H5065:H5071" si="1129">"91197"</f>
        <v>91197</v>
      </c>
      <c r="I5065">
        <v>1</v>
      </c>
      <c r="J5065">
        <v>1046</v>
      </c>
      <c r="K5065">
        <v>0</v>
      </c>
      <c r="L5065">
        <v>815.88</v>
      </c>
    </row>
    <row r="5066" spans="1:12" x14ac:dyDescent="0.25">
      <c r="A5066" t="str">
        <f t="shared" si="1128"/>
        <v>89301000</v>
      </c>
      <c r="B5066" t="str">
        <f t="shared" si="1118"/>
        <v>06539000</v>
      </c>
      <c r="C5066" t="str">
        <f t="shared" si="1125"/>
        <v>06539003</v>
      </c>
      <c r="D5066" t="str">
        <f t="shared" si="1126"/>
        <v>813</v>
      </c>
      <c r="E5066" t="str">
        <f t="shared" si="1120"/>
        <v>89301171</v>
      </c>
      <c r="F5066" t="str">
        <f t="shared" si="1121"/>
        <v>8607035811</v>
      </c>
      <c r="G5066" s="1">
        <v>44683</v>
      </c>
      <c r="H5066" t="str">
        <f t="shared" si="1129"/>
        <v>91197</v>
      </c>
      <c r="I5066">
        <v>1</v>
      </c>
      <c r="J5066">
        <v>1046</v>
      </c>
      <c r="K5066">
        <v>0</v>
      </c>
      <c r="L5066">
        <v>815.88</v>
      </c>
    </row>
    <row r="5067" spans="1:12" x14ac:dyDescent="0.25">
      <c r="A5067" t="str">
        <f t="shared" si="1128"/>
        <v>89301000</v>
      </c>
      <c r="B5067" t="str">
        <f t="shared" si="1118"/>
        <v>06539000</v>
      </c>
      <c r="C5067" t="str">
        <f t="shared" si="1125"/>
        <v>06539003</v>
      </c>
      <c r="D5067" t="str">
        <f t="shared" si="1126"/>
        <v>813</v>
      </c>
      <c r="E5067" t="str">
        <f t="shared" si="1120"/>
        <v>89301171</v>
      </c>
      <c r="F5067" t="str">
        <f t="shared" si="1121"/>
        <v>8607035811</v>
      </c>
      <c r="G5067" s="1">
        <v>44683</v>
      </c>
      <c r="H5067" t="str">
        <f t="shared" si="1129"/>
        <v>91197</v>
      </c>
      <c r="I5067">
        <v>1</v>
      </c>
      <c r="J5067">
        <v>1046</v>
      </c>
      <c r="K5067">
        <v>0</v>
      </c>
      <c r="L5067">
        <v>815.88</v>
      </c>
    </row>
    <row r="5068" spans="1:12" x14ac:dyDescent="0.25">
      <c r="A5068" t="str">
        <f t="shared" si="1128"/>
        <v>89301000</v>
      </c>
      <c r="B5068" t="str">
        <f t="shared" si="1118"/>
        <v>06539000</v>
      </c>
      <c r="C5068" t="str">
        <f t="shared" si="1125"/>
        <v>06539003</v>
      </c>
      <c r="D5068" t="str">
        <f t="shared" si="1126"/>
        <v>813</v>
      </c>
      <c r="E5068" t="str">
        <f t="shared" si="1120"/>
        <v>89301171</v>
      </c>
      <c r="F5068" t="str">
        <f t="shared" si="1121"/>
        <v>8607035811</v>
      </c>
      <c r="G5068" s="1">
        <v>44682</v>
      </c>
      <c r="H5068" t="str">
        <f t="shared" si="1129"/>
        <v>91197</v>
      </c>
      <c r="I5068">
        <v>1</v>
      </c>
      <c r="J5068">
        <v>1046</v>
      </c>
      <c r="K5068">
        <v>0</v>
      </c>
      <c r="L5068">
        <v>815.88</v>
      </c>
    </row>
    <row r="5069" spans="1:12" x14ac:dyDescent="0.25">
      <c r="A5069" t="str">
        <f t="shared" si="1128"/>
        <v>89301000</v>
      </c>
      <c r="B5069" t="str">
        <f t="shared" si="1118"/>
        <v>06539000</v>
      </c>
      <c r="C5069" t="str">
        <f t="shared" si="1125"/>
        <v>06539003</v>
      </c>
      <c r="D5069" t="str">
        <f t="shared" si="1126"/>
        <v>813</v>
      </c>
      <c r="E5069" t="str">
        <f t="shared" si="1120"/>
        <v>89301171</v>
      </c>
      <c r="F5069" t="str">
        <f t="shared" si="1121"/>
        <v>8607035811</v>
      </c>
      <c r="G5069" s="1">
        <v>44682</v>
      </c>
      <c r="H5069" t="str">
        <f t="shared" si="1129"/>
        <v>91197</v>
      </c>
      <c r="I5069">
        <v>1</v>
      </c>
      <c r="J5069">
        <v>1046</v>
      </c>
      <c r="K5069">
        <v>0</v>
      </c>
      <c r="L5069">
        <v>815.88</v>
      </c>
    </row>
    <row r="5070" spans="1:12" x14ac:dyDescent="0.25">
      <c r="A5070" t="str">
        <f t="shared" si="1128"/>
        <v>89301000</v>
      </c>
      <c r="B5070" t="str">
        <f t="shared" si="1118"/>
        <v>06539000</v>
      </c>
      <c r="C5070" t="str">
        <f t="shared" si="1125"/>
        <v>06539003</v>
      </c>
      <c r="D5070" t="str">
        <f t="shared" si="1126"/>
        <v>813</v>
      </c>
      <c r="E5070" t="str">
        <f t="shared" si="1120"/>
        <v>89301171</v>
      </c>
      <c r="F5070" t="str">
        <f t="shared" si="1121"/>
        <v>8607035811</v>
      </c>
      <c r="G5070" s="1">
        <v>44681</v>
      </c>
      <c r="H5070" t="str">
        <f t="shared" si="1129"/>
        <v>91197</v>
      </c>
      <c r="I5070">
        <v>1</v>
      </c>
      <c r="J5070">
        <v>1046</v>
      </c>
      <c r="K5070">
        <v>0</v>
      </c>
      <c r="L5070">
        <v>815.88</v>
      </c>
    </row>
    <row r="5071" spans="1:12" x14ac:dyDescent="0.25">
      <c r="A5071" t="str">
        <f t="shared" si="1128"/>
        <v>89301000</v>
      </c>
      <c r="B5071" t="str">
        <f t="shared" si="1118"/>
        <v>06539000</v>
      </c>
      <c r="C5071" t="str">
        <f t="shared" si="1125"/>
        <v>06539003</v>
      </c>
      <c r="D5071" t="str">
        <f t="shared" si="1126"/>
        <v>813</v>
      </c>
      <c r="E5071" t="str">
        <f t="shared" si="1120"/>
        <v>89301171</v>
      </c>
      <c r="F5071" t="str">
        <f t="shared" si="1121"/>
        <v>8607035811</v>
      </c>
      <c r="G5071" s="1">
        <v>44681</v>
      </c>
      <c r="H5071" t="str">
        <f t="shared" si="1129"/>
        <v>91197</v>
      </c>
      <c r="I5071">
        <v>1</v>
      </c>
      <c r="J5071">
        <v>1046</v>
      </c>
      <c r="K5071">
        <v>0</v>
      </c>
      <c r="L5071">
        <v>815.88</v>
      </c>
    </row>
    <row r="5072" spans="1:12" x14ac:dyDescent="0.25">
      <c r="A5072" t="str">
        <f t="shared" si="1128"/>
        <v>89301000</v>
      </c>
      <c r="B5072" t="str">
        <f t="shared" si="1118"/>
        <v>06539000</v>
      </c>
      <c r="C5072" t="str">
        <f t="shared" si="1125"/>
        <v>06539003</v>
      </c>
      <c r="D5072" t="str">
        <f t="shared" si="1126"/>
        <v>813</v>
      </c>
      <c r="E5072" t="str">
        <f t="shared" si="1120"/>
        <v>89301171</v>
      </c>
      <c r="F5072" t="str">
        <f t="shared" si="1121"/>
        <v>8607035811</v>
      </c>
      <c r="G5072" s="1">
        <v>44692</v>
      </c>
      <c r="H5072" t="str">
        <f>"91329"</f>
        <v>91329</v>
      </c>
      <c r="I5072">
        <v>2</v>
      </c>
      <c r="J5072">
        <v>428</v>
      </c>
      <c r="K5072">
        <v>0</v>
      </c>
      <c r="L5072">
        <v>333.84</v>
      </c>
    </row>
    <row r="5073" spans="1:12" x14ac:dyDescent="0.25">
      <c r="A5073" t="str">
        <f t="shared" si="1128"/>
        <v>89301000</v>
      </c>
      <c r="B5073" t="str">
        <f t="shared" si="1118"/>
        <v>06539000</v>
      </c>
      <c r="C5073" t="str">
        <f t="shared" si="1125"/>
        <v>06539003</v>
      </c>
      <c r="D5073" t="str">
        <f t="shared" si="1126"/>
        <v>813</v>
      </c>
      <c r="E5073" t="str">
        <f t="shared" si="1120"/>
        <v>89301171</v>
      </c>
      <c r="F5073" t="str">
        <f t="shared" si="1121"/>
        <v>8607035811</v>
      </c>
      <c r="G5073" s="1">
        <v>44692</v>
      </c>
      <c r="H5073" t="str">
        <f>"91329"</f>
        <v>91329</v>
      </c>
      <c r="I5073">
        <v>2</v>
      </c>
      <c r="J5073">
        <v>428</v>
      </c>
      <c r="K5073">
        <v>0</v>
      </c>
      <c r="L5073">
        <v>333.84</v>
      </c>
    </row>
    <row r="5074" spans="1:12" x14ac:dyDescent="0.25">
      <c r="A5074" t="str">
        <f t="shared" si="1128"/>
        <v>89301000</v>
      </c>
      <c r="B5074" t="str">
        <f t="shared" si="1118"/>
        <v>06539000</v>
      </c>
      <c r="C5074" t="str">
        <f t="shared" si="1125"/>
        <v>06539003</v>
      </c>
      <c r="D5074" t="str">
        <f t="shared" si="1126"/>
        <v>813</v>
      </c>
      <c r="E5074" t="str">
        <f t="shared" si="1120"/>
        <v>89301171</v>
      </c>
      <c r="F5074" t="str">
        <f t="shared" si="1121"/>
        <v>8607035811</v>
      </c>
      <c r="G5074" s="1">
        <v>44692</v>
      </c>
      <c r="H5074" t="str">
        <f>"91329"</f>
        <v>91329</v>
      </c>
      <c r="I5074">
        <v>2</v>
      </c>
      <c r="J5074">
        <v>428</v>
      </c>
      <c r="K5074">
        <v>0</v>
      </c>
      <c r="L5074">
        <v>333.84</v>
      </c>
    </row>
    <row r="5075" spans="1:12" x14ac:dyDescent="0.25">
      <c r="A5075" t="str">
        <f t="shared" si="1128"/>
        <v>89301000</v>
      </c>
      <c r="B5075" t="str">
        <f t="shared" si="1118"/>
        <v>06539000</v>
      </c>
      <c r="C5075" t="str">
        <f t="shared" si="1125"/>
        <v>06539003</v>
      </c>
      <c r="D5075" t="str">
        <f t="shared" si="1126"/>
        <v>813</v>
      </c>
      <c r="E5075" t="str">
        <f t="shared" si="1120"/>
        <v>89301171</v>
      </c>
      <c r="F5075" t="str">
        <f t="shared" si="1121"/>
        <v>8607035811</v>
      </c>
      <c r="G5075" s="1">
        <v>44692</v>
      </c>
      <c r="H5075" t="str">
        <f>"91329"</f>
        <v>91329</v>
      </c>
      <c r="I5075">
        <v>2</v>
      </c>
      <c r="J5075">
        <v>428</v>
      </c>
      <c r="K5075">
        <v>0</v>
      </c>
      <c r="L5075">
        <v>333.84</v>
      </c>
    </row>
    <row r="5076" spans="1:12" x14ac:dyDescent="0.25">
      <c r="A5076" t="str">
        <f t="shared" si="1128"/>
        <v>89301000</v>
      </c>
      <c r="B5076" t="str">
        <f t="shared" si="1118"/>
        <v>06539000</v>
      </c>
      <c r="C5076" t="str">
        <f t="shared" si="1125"/>
        <v>06539003</v>
      </c>
      <c r="D5076" t="str">
        <f t="shared" si="1126"/>
        <v>813</v>
      </c>
      <c r="E5076" t="str">
        <f t="shared" si="1120"/>
        <v>89301171</v>
      </c>
      <c r="F5076" t="str">
        <f t="shared" si="1121"/>
        <v>8607035811</v>
      </c>
      <c r="G5076" s="1">
        <v>44680</v>
      </c>
      <c r="H5076" t="str">
        <f>"91129"</f>
        <v>91129</v>
      </c>
      <c r="I5076">
        <v>1</v>
      </c>
      <c r="J5076">
        <v>174</v>
      </c>
      <c r="K5076">
        <v>0</v>
      </c>
      <c r="L5076">
        <v>135.72</v>
      </c>
    </row>
    <row r="5077" spans="1:12" x14ac:dyDescent="0.25">
      <c r="A5077" t="str">
        <f t="shared" si="1128"/>
        <v>89301000</v>
      </c>
      <c r="B5077" t="str">
        <f t="shared" si="1118"/>
        <v>06539000</v>
      </c>
      <c r="C5077" t="str">
        <f t="shared" si="1125"/>
        <v>06539003</v>
      </c>
      <c r="D5077" t="str">
        <f t="shared" si="1126"/>
        <v>813</v>
      </c>
      <c r="E5077" t="str">
        <f t="shared" si="1120"/>
        <v>89301171</v>
      </c>
      <c r="F5077" t="str">
        <f t="shared" si="1121"/>
        <v>8607035811</v>
      </c>
      <c r="G5077" s="1">
        <v>44680</v>
      </c>
      <c r="H5077" t="str">
        <f>"91131"</f>
        <v>91131</v>
      </c>
      <c r="I5077">
        <v>1</v>
      </c>
      <c r="J5077">
        <v>171</v>
      </c>
      <c r="K5077">
        <v>0</v>
      </c>
      <c r="L5077">
        <v>133.38</v>
      </c>
    </row>
    <row r="5078" spans="1:12" x14ac:dyDescent="0.25">
      <c r="A5078" t="str">
        <f t="shared" si="1128"/>
        <v>89301000</v>
      </c>
      <c r="B5078" t="str">
        <f t="shared" si="1118"/>
        <v>06539000</v>
      </c>
      <c r="C5078" t="str">
        <f t="shared" si="1125"/>
        <v>06539003</v>
      </c>
      <c r="D5078" t="str">
        <f t="shared" si="1126"/>
        <v>813</v>
      </c>
      <c r="E5078" t="str">
        <f t="shared" si="1120"/>
        <v>89301171</v>
      </c>
      <c r="F5078" t="str">
        <f t="shared" si="1121"/>
        <v>8607035811</v>
      </c>
      <c r="G5078" s="1">
        <v>44680</v>
      </c>
      <c r="H5078" t="str">
        <f>"91133"</f>
        <v>91133</v>
      </c>
      <c r="I5078">
        <v>1</v>
      </c>
      <c r="J5078">
        <v>176</v>
      </c>
      <c r="K5078">
        <v>0</v>
      </c>
      <c r="L5078">
        <v>137.28</v>
      </c>
    </row>
    <row r="5079" spans="1:12" x14ac:dyDescent="0.25">
      <c r="A5079" t="str">
        <f t="shared" si="1128"/>
        <v>89301000</v>
      </c>
      <c r="B5079" t="str">
        <f t="shared" si="1118"/>
        <v>06539000</v>
      </c>
      <c r="C5079" t="str">
        <f t="shared" si="1125"/>
        <v>06539003</v>
      </c>
      <c r="D5079" t="str">
        <f t="shared" si="1126"/>
        <v>813</v>
      </c>
      <c r="E5079" t="str">
        <f t="shared" si="1120"/>
        <v>89301171</v>
      </c>
      <c r="F5079" t="str">
        <f t="shared" si="1121"/>
        <v>8607035811</v>
      </c>
      <c r="G5079" s="1">
        <v>44680</v>
      </c>
      <c r="H5079" t="str">
        <f>"91171"</f>
        <v>91171</v>
      </c>
      <c r="I5079">
        <v>1</v>
      </c>
      <c r="J5079">
        <v>360</v>
      </c>
      <c r="K5079">
        <v>0</v>
      </c>
      <c r="L5079">
        <v>280.8</v>
      </c>
    </row>
    <row r="5080" spans="1:12" x14ac:dyDescent="0.25">
      <c r="A5080" t="str">
        <f t="shared" si="1128"/>
        <v>89301000</v>
      </c>
      <c r="B5080" t="str">
        <f t="shared" si="1118"/>
        <v>06539000</v>
      </c>
      <c r="C5080" t="str">
        <f t="shared" si="1125"/>
        <v>06539003</v>
      </c>
      <c r="D5080" t="str">
        <f t="shared" si="1126"/>
        <v>813</v>
      </c>
      <c r="E5080" t="str">
        <f t="shared" si="1120"/>
        <v>89301171</v>
      </c>
      <c r="F5080" t="str">
        <f t="shared" si="1121"/>
        <v>8607035811</v>
      </c>
      <c r="G5080" s="1">
        <v>44680</v>
      </c>
      <c r="H5080" t="str">
        <f>"91173"</f>
        <v>91173</v>
      </c>
      <c r="I5080">
        <v>1</v>
      </c>
      <c r="J5080">
        <v>335</v>
      </c>
      <c r="K5080">
        <v>0</v>
      </c>
      <c r="L5080">
        <v>261.3</v>
      </c>
    </row>
    <row r="5081" spans="1:12" x14ac:dyDescent="0.25">
      <c r="A5081" t="str">
        <f t="shared" si="1128"/>
        <v>89301000</v>
      </c>
      <c r="B5081" t="str">
        <f t="shared" si="1118"/>
        <v>06539000</v>
      </c>
      <c r="C5081" t="str">
        <f t="shared" si="1125"/>
        <v>06539003</v>
      </c>
      <c r="D5081" t="str">
        <f t="shared" si="1126"/>
        <v>813</v>
      </c>
      <c r="E5081" t="str">
        <f t="shared" si="1120"/>
        <v>89301171</v>
      </c>
      <c r="F5081" t="str">
        <f t="shared" si="1121"/>
        <v>8607035811</v>
      </c>
      <c r="G5081" s="1">
        <v>44680</v>
      </c>
      <c r="H5081" t="str">
        <f>"91175"</f>
        <v>91175</v>
      </c>
      <c r="I5081">
        <v>1</v>
      </c>
      <c r="J5081">
        <v>360</v>
      </c>
      <c r="K5081">
        <v>0</v>
      </c>
      <c r="L5081">
        <v>280.8</v>
      </c>
    </row>
    <row r="5082" spans="1:12" x14ac:dyDescent="0.25">
      <c r="A5082" t="str">
        <f t="shared" si="1128"/>
        <v>89301000</v>
      </c>
      <c r="B5082" t="str">
        <f t="shared" si="1118"/>
        <v>06539000</v>
      </c>
      <c r="C5082" t="str">
        <f t="shared" si="1125"/>
        <v>06539003</v>
      </c>
      <c r="D5082" t="str">
        <f t="shared" si="1126"/>
        <v>813</v>
      </c>
      <c r="E5082" t="str">
        <f t="shared" si="1120"/>
        <v>89301171</v>
      </c>
      <c r="F5082" t="str">
        <f t="shared" si="1121"/>
        <v>8607035811</v>
      </c>
      <c r="G5082" s="1">
        <v>44681</v>
      </c>
      <c r="H5082" t="str">
        <f>"91167"</f>
        <v>91167</v>
      </c>
      <c r="I5082">
        <v>1</v>
      </c>
      <c r="J5082">
        <v>425</v>
      </c>
      <c r="K5082">
        <v>0</v>
      </c>
      <c r="L5082">
        <v>331.5</v>
      </c>
    </row>
    <row r="5083" spans="1:12" x14ac:dyDescent="0.25">
      <c r="A5083" t="str">
        <f t="shared" si="1128"/>
        <v>89301000</v>
      </c>
      <c r="B5083" t="str">
        <f t="shared" si="1118"/>
        <v>06539000</v>
      </c>
      <c r="C5083" t="str">
        <f t="shared" si="1125"/>
        <v>06539003</v>
      </c>
      <c r="D5083" t="str">
        <f t="shared" si="1126"/>
        <v>813</v>
      </c>
      <c r="E5083" t="str">
        <f t="shared" si="1120"/>
        <v>89301171</v>
      </c>
      <c r="F5083" t="str">
        <f t="shared" si="1121"/>
        <v>8607035811</v>
      </c>
      <c r="G5083" s="1">
        <v>44681</v>
      </c>
      <c r="H5083" t="str">
        <f>"91169"</f>
        <v>91169</v>
      </c>
      <c r="I5083">
        <v>1</v>
      </c>
      <c r="J5083">
        <v>425</v>
      </c>
      <c r="K5083">
        <v>0</v>
      </c>
      <c r="L5083">
        <v>331.5</v>
      </c>
    </row>
    <row r="5084" spans="1:12" x14ac:dyDescent="0.25">
      <c r="A5084" t="str">
        <f t="shared" si="1128"/>
        <v>89301000</v>
      </c>
      <c r="B5084" t="str">
        <f t="shared" ref="B5084:B5147" si="1130">"06539000"</f>
        <v>06539000</v>
      </c>
      <c r="C5084" t="str">
        <f t="shared" si="1125"/>
        <v>06539003</v>
      </c>
      <c r="D5084" t="str">
        <f t="shared" si="1126"/>
        <v>813</v>
      </c>
      <c r="E5084" t="str">
        <f t="shared" si="1120"/>
        <v>89301171</v>
      </c>
      <c r="F5084" t="str">
        <f t="shared" si="1121"/>
        <v>8607035811</v>
      </c>
      <c r="G5084" s="1">
        <v>44680</v>
      </c>
      <c r="H5084" t="str">
        <f>"91167"</f>
        <v>91167</v>
      </c>
      <c r="I5084">
        <v>1</v>
      </c>
      <c r="J5084">
        <v>425</v>
      </c>
      <c r="K5084">
        <v>0</v>
      </c>
      <c r="L5084">
        <v>331.5</v>
      </c>
    </row>
    <row r="5085" spans="1:12" x14ac:dyDescent="0.25">
      <c r="A5085" t="str">
        <f t="shared" si="1128"/>
        <v>89301000</v>
      </c>
      <c r="B5085" t="str">
        <f t="shared" si="1130"/>
        <v>06539000</v>
      </c>
      <c r="C5085" t="str">
        <f t="shared" si="1125"/>
        <v>06539003</v>
      </c>
      <c r="D5085" t="str">
        <f t="shared" si="1126"/>
        <v>813</v>
      </c>
      <c r="E5085" t="str">
        <f t="shared" si="1120"/>
        <v>89301171</v>
      </c>
      <c r="F5085" t="str">
        <f t="shared" si="1121"/>
        <v>8607035811</v>
      </c>
      <c r="G5085" s="1">
        <v>44680</v>
      </c>
      <c r="H5085" t="str">
        <f>"91169"</f>
        <v>91169</v>
      </c>
      <c r="I5085">
        <v>1</v>
      </c>
      <c r="J5085">
        <v>425</v>
      </c>
      <c r="K5085">
        <v>0</v>
      </c>
      <c r="L5085">
        <v>331.5</v>
      </c>
    </row>
    <row r="5086" spans="1:12" x14ac:dyDescent="0.25">
      <c r="A5086" t="str">
        <f t="shared" si="1128"/>
        <v>89301000</v>
      </c>
      <c r="B5086" t="str">
        <f t="shared" si="1130"/>
        <v>06539000</v>
      </c>
      <c r="C5086" t="str">
        <f t="shared" si="1125"/>
        <v>06539003</v>
      </c>
      <c r="D5086" t="str">
        <f t="shared" si="1126"/>
        <v>813</v>
      </c>
      <c r="E5086" t="str">
        <f t="shared" si="1120"/>
        <v>89301171</v>
      </c>
      <c r="F5086" t="str">
        <f t="shared" si="1121"/>
        <v>8607035811</v>
      </c>
      <c r="G5086" s="1">
        <v>44680</v>
      </c>
      <c r="H5086" t="str">
        <f>"91475"</f>
        <v>91475</v>
      </c>
      <c r="I5086">
        <v>1</v>
      </c>
      <c r="J5086">
        <v>206</v>
      </c>
      <c r="K5086">
        <v>0</v>
      </c>
      <c r="L5086">
        <v>160.68</v>
      </c>
    </row>
    <row r="5087" spans="1:12" x14ac:dyDescent="0.25">
      <c r="A5087" t="str">
        <f t="shared" si="1128"/>
        <v>89301000</v>
      </c>
      <c r="B5087" t="str">
        <f t="shared" si="1130"/>
        <v>06539000</v>
      </c>
      <c r="C5087" t="str">
        <f>"06539001"</f>
        <v>06539001</v>
      </c>
      <c r="D5087" t="str">
        <f>"801"</f>
        <v>801</v>
      </c>
      <c r="E5087" t="str">
        <f t="shared" si="1120"/>
        <v>89301171</v>
      </c>
      <c r="F5087" t="str">
        <f t="shared" ref="F5087:F5133" si="1131">"8405294491"</f>
        <v>8405294491</v>
      </c>
      <c r="G5087" s="1">
        <v>44680</v>
      </c>
      <c r="H5087" t="str">
        <f>"81329"</f>
        <v>81329</v>
      </c>
      <c r="I5087">
        <v>1</v>
      </c>
      <c r="J5087">
        <v>16</v>
      </c>
      <c r="K5087">
        <v>0</v>
      </c>
      <c r="L5087">
        <v>12.48</v>
      </c>
    </row>
    <row r="5088" spans="1:12" x14ac:dyDescent="0.25">
      <c r="A5088" t="str">
        <f t="shared" si="1128"/>
        <v>89301000</v>
      </c>
      <c r="B5088" t="str">
        <f t="shared" si="1130"/>
        <v>06539000</v>
      </c>
      <c r="C5088" t="str">
        <f>"06539001"</f>
        <v>06539001</v>
      </c>
      <c r="D5088" t="str">
        <f>"801"</f>
        <v>801</v>
      </c>
      <c r="E5088" t="str">
        <f t="shared" si="1120"/>
        <v>89301171</v>
      </c>
      <c r="F5088" t="str">
        <f t="shared" si="1131"/>
        <v>8405294491</v>
      </c>
      <c r="G5088" s="1">
        <v>44680</v>
      </c>
      <c r="H5088" t="str">
        <f>"81331"</f>
        <v>81331</v>
      </c>
      <c r="I5088">
        <v>1</v>
      </c>
      <c r="J5088">
        <v>193</v>
      </c>
      <c r="K5088">
        <v>0</v>
      </c>
      <c r="L5088">
        <v>150.54</v>
      </c>
    </row>
    <row r="5089" spans="1:12" x14ac:dyDescent="0.25">
      <c r="A5089" t="str">
        <f t="shared" si="1128"/>
        <v>89301000</v>
      </c>
      <c r="B5089" t="str">
        <f t="shared" si="1130"/>
        <v>06539000</v>
      </c>
      <c r="C5089" t="str">
        <f t="shared" ref="C5089:C5096" si="1132">"06539002"</f>
        <v>06539002</v>
      </c>
      <c r="D5089" t="str">
        <f t="shared" ref="D5089:D5096" si="1133">"802"</f>
        <v>802</v>
      </c>
      <c r="E5089" t="str">
        <f t="shared" ref="E5089:E5152" si="1134">"89301171"</f>
        <v>89301171</v>
      </c>
      <c r="F5089" t="str">
        <f t="shared" si="1131"/>
        <v>8405294491</v>
      </c>
      <c r="G5089" s="1">
        <v>44680</v>
      </c>
      <c r="H5089" t="str">
        <f t="shared" ref="H5089:H5096" si="1135">"82097"</f>
        <v>82097</v>
      </c>
      <c r="I5089">
        <v>1</v>
      </c>
      <c r="J5089">
        <v>380</v>
      </c>
      <c r="K5089">
        <v>0</v>
      </c>
      <c r="L5089">
        <v>345.8</v>
      </c>
    </row>
    <row r="5090" spans="1:12" x14ac:dyDescent="0.25">
      <c r="A5090" t="str">
        <f t="shared" si="1128"/>
        <v>89301000</v>
      </c>
      <c r="B5090" t="str">
        <f t="shared" si="1130"/>
        <v>06539000</v>
      </c>
      <c r="C5090" t="str">
        <f t="shared" si="1132"/>
        <v>06539002</v>
      </c>
      <c r="D5090" t="str">
        <f t="shared" si="1133"/>
        <v>802</v>
      </c>
      <c r="E5090" t="str">
        <f t="shared" si="1134"/>
        <v>89301171</v>
      </c>
      <c r="F5090" t="str">
        <f t="shared" si="1131"/>
        <v>8405294491</v>
      </c>
      <c r="G5090" s="1">
        <v>44680</v>
      </c>
      <c r="H5090" t="str">
        <f t="shared" si="1135"/>
        <v>82097</v>
      </c>
      <c r="I5090">
        <v>1</v>
      </c>
      <c r="J5090">
        <v>380</v>
      </c>
      <c r="K5090">
        <v>0</v>
      </c>
      <c r="L5090">
        <v>345.8</v>
      </c>
    </row>
    <row r="5091" spans="1:12" x14ac:dyDescent="0.25">
      <c r="A5091" t="str">
        <f t="shared" si="1128"/>
        <v>89301000</v>
      </c>
      <c r="B5091" t="str">
        <f t="shared" si="1130"/>
        <v>06539000</v>
      </c>
      <c r="C5091" t="str">
        <f t="shared" si="1132"/>
        <v>06539002</v>
      </c>
      <c r="D5091" t="str">
        <f t="shared" si="1133"/>
        <v>802</v>
      </c>
      <c r="E5091" t="str">
        <f t="shared" si="1134"/>
        <v>89301171</v>
      </c>
      <c r="F5091" t="str">
        <f t="shared" si="1131"/>
        <v>8405294491</v>
      </c>
      <c r="G5091" s="1">
        <v>44680</v>
      </c>
      <c r="H5091" t="str">
        <f t="shared" si="1135"/>
        <v>82097</v>
      </c>
      <c r="I5091">
        <v>1</v>
      </c>
      <c r="J5091">
        <v>380</v>
      </c>
      <c r="K5091">
        <v>0</v>
      </c>
      <c r="L5091">
        <v>345.8</v>
      </c>
    </row>
    <row r="5092" spans="1:12" x14ac:dyDescent="0.25">
      <c r="A5092" t="str">
        <f t="shared" si="1128"/>
        <v>89301000</v>
      </c>
      <c r="B5092" t="str">
        <f t="shared" si="1130"/>
        <v>06539000</v>
      </c>
      <c r="C5092" t="str">
        <f t="shared" si="1132"/>
        <v>06539002</v>
      </c>
      <c r="D5092" t="str">
        <f t="shared" si="1133"/>
        <v>802</v>
      </c>
      <c r="E5092" t="str">
        <f t="shared" si="1134"/>
        <v>89301171</v>
      </c>
      <c r="F5092" t="str">
        <f t="shared" si="1131"/>
        <v>8405294491</v>
      </c>
      <c r="G5092" s="1">
        <v>44680</v>
      </c>
      <c r="H5092" t="str">
        <f t="shared" si="1135"/>
        <v>82097</v>
      </c>
      <c r="I5092">
        <v>1</v>
      </c>
      <c r="J5092">
        <v>380</v>
      </c>
      <c r="K5092">
        <v>0</v>
      </c>
      <c r="L5092">
        <v>345.8</v>
      </c>
    </row>
    <row r="5093" spans="1:12" x14ac:dyDescent="0.25">
      <c r="A5093" t="str">
        <f t="shared" si="1128"/>
        <v>89301000</v>
      </c>
      <c r="B5093" t="str">
        <f t="shared" si="1130"/>
        <v>06539000</v>
      </c>
      <c r="C5093" t="str">
        <f t="shared" si="1132"/>
        <v>06539002</v>
      </c>
      <c r="D5093" t="str">
        <f t="shared" si="1133"/>
        <v>802</v>
      </c>
      <c r="E5093" t="str">
        <f t="shared" si="1134"/>
        <v>89301171</v>
      </c>
      <c r="F5093" t="str">
        <f t="shared" si="1131"/>
        <v>8405294491</v>
      </c>
      <c r="G5093" s="1">
        <v>44680</v>
      </c>
      <c r="H5093" t="str">
        <f t="shared" si="1135"/>
        <v>82097</v>
      </c>
      <c r="I5093">
        <v>1</v>
      </c>
      <c r="J5093">
        <v>380</v>
      </c>
      <c r="K5093">
        <v>0</v>
      </c>
      <c r="L5093">
        <v>345.8</v>
      </c>
    </row>
    <row r="5094" spans="1:12" x14ac:dyDescent="0.25">
      <c r="A5094" t="str">
        <f t="shared" si="1128"/>
        <v>89301000</v>
      </c>
      <c r="B5094" t="str">
        <f t="shared" si="1130"/>
        <v>06539000</v>
      </c>
      <c r="C5094" t="str">
        <f t="shared" si="1132"/>
        <v>06539002</v>
      </c>
      <c r="D5094" t="str">
        <f t="shared" si="1133"/>
        <v>802</v>
      </c>
      <c r="E5094" t="str">
        <f t="shared" si="1134"/>
        <v>89301171</v>
      </c>
      <c r="F5094" t="str">
        <f t="shared" si="1131"/>
        <v>8405294491</v>
      </c>
      <c r="G5094" s="1">
        <v>44680</v>
      </c>
      <c r="H5094" t="str">
        <f t="shared" si="1135"/>
        <v>82097</v>
      </c>
      <c r="I5094">
        <v>1</v>
      </c>
      <c r="J5094">
        <v>380</v>
      </c>
      <c r="K5094">
        <v>0</v>
      </c>
      <c r="L5094">
        <v>345.8</v>
      </c>
    </row>
    <row r="5095" spans="1:12" x14ac:dyDescent="0.25">
      <c r="A5095" t="str">
        <f t="shared" si="1128"/>
        <v>89301000</v>
      </c>
      <c r="B5095" t="str">
        <f t="shared" si="1130"/>
        <v>06539000</v>
      </c>
      <c r="C5095" t="str">
        <f t="shared" si="1132"/>
        <v>06539002</v>
      </c>
      <c r="D5095" t="str">
        <f t="shared" si="1133"/>
        <v>802</v>
      </c>
      <c r="E5095" t="str">
        <f t="shared" si="1134"/>
        <v>89301171</v>
      </c>
      <c r="F5095" t="str">
        <f t="shared" si="1131"/>
        <v>8405294491</v>
      </c>
      <c r="G5095" s="1">
        <v>44680</v>
      </c>
      <c r="H5095" t="str">
        <f t="shared" si="1135"/>
        <v>82097</v>
      </c>
      <c r="I5095">
        <v>1</v>
      </c>
      <c r="J5095">
        <v>380</v>
      </c>
      <c r="K5095">
        <v>0</v>
      </c>
      <c r="L5095">
        <v>345.8</v>
      </c>
    </row>
    <row r="5096" spans="1:12" x14ac:dyDescent="0.25">
      <c r="A5096" t="str">
        <f t="shared" si="1128"/>
        <v>89301000</v>
      </c>
      <c r="B5096" t="str">
        <f t="shared" si="1130"/>
        <v>06539000</v>
      </c>
      <c r="C5096" t="str">
        <f t="shared" si="1132"/>
        <v>06539002</v>
      </c>
      <c r="D5096" t="str">
        <f t="shared" si="1133"/>
        <v>802</v>
      </c>
      <c r="E5096" t="str">
        <f t="shared" si="1134"/>
        <v>89301171</v>
      </c>
      <c r="F5096" t="str">
        <f t="shared" si="1131"/>
        <v>8405294491</v>
      </c>
      <c r="G5096" s="1">
        <v>44680</v>
      </c>
      <c r="H5096" t="str">
        <f t="shared" si="1135"/>
        <v>82097</v>
      </c>
      <c r="I5096">
        <v>1</v>
      </c>
      <c r="J5096">
        <v>380</v>
      </c>
      <c r="K5096">
        <v>0</v>
      </c>
      <c r="L5096">
        <v>345.8</v>
      </c>
    </row>
    <row r="5097" spans="1:12" x14ac:dyDescent="0.25">
      <c r="A5097" t="str">
        <f t="shared" si="1128"/>
        <v>89301000</v>
      </c>
      <c r="B5097" t="str">
        <f t="shared" si="1130"/>
        <v>06539000</v>
      </c>
      <c r="C5097" t="str">
        <f t="shared" ref="C5097:C5133" si="1136">"06539003"</f>
        <v>06539003</v>
      </c>
      <c r="D5097" t="str">
        <f t="shared" ref="D5097:D5133" si="1137">"813"</f>
        <v>813</v>
      </c>
      <c r="E5097" t="str">
        <f t="shared" si="1134"/>
        <v>89301171</v>
      </c>
      <c r="F5097" t="str">
        <f t="shared" si="1131"/>
        <v>8405294491</v>
      </c>
      <c r="G5097" s="1">
        <v>44684</v>
      </c>
      <c r="H5097" t="str">
        <f>"91439"</f>
        <v>91439</v>
      </c>
      <c r="I5097">
        <v>1</v>
      </c>
      <c r="J5097">
        <v>356</v>
      </c>
      <c r="K5097">
        <v>0</v>
      </c>
      <c r="L5097">
        <v>277.68</v>
      </c>
    </row>
    <row r="5098" spans="1:12" x14ac:dyDescent="0.25">
      <c r="A5098" t="str">
        <f t="shared" si="1128"/>
        <v>89301000</v>
      </c>
      <c r="B5098" t="str">
        <f t="shared" si="1130"/>
        <v>06539000</v>
      </c>
      <c r="C5098" t="str">
        <f t="shared" si="1136"/>
        <v>06539003</v>
      </c>
      <c r="D5098" t="str">
        <f t="shared" si="1137"/>
        <v>813</v>
      </c>
      <c r="E5098" t="str">
        <f t="shared" si="1134"/>
        <v>89301171</v>
      </c>
      <c r="F5098" t="str">
        <f t="shared" si="1131"/>
        <v>8405294491</v>
      </c>
      <c r="G5098" s="1">
        <v>44684</v>
      </c>
      <c r="H5098" t="str">
        <f>"91439"</f>
        <v>91439</v>
      </c>
      <c r="I5098">
        <v>1</v>
      </c>
      <c r="J5098">
        <v>356</v>
      </c>
      <c r="K5098">
        <v>0</v>
      </c>
      <c r="L5098">
        <v>277.68</v>
      </c>
    </row>
    <row r="5099" spans="1:12" x14ac:dyDescent="0.25">
      <c r="A5099" t="str">
        <f t="shared" si="1128"/>
        <v>89301000</v>
      </c>
      <c r="B5099" t="str">
        <f t="shared" si="1130"/>
        <v>06539000</v>
      </c>
      <c r="C5099" t="str">
        <f t="shared" si="1136"/>
        <v>06539003</v>
      </c>
      <c r="D5099" t="str">
        <f t="shared" si="1137"/>
        <v>813</v>
      </c>
      <c r="E5099" t="str">
        <f t="shared" si="1134"/>
        <v>89301171</v>
      </c>
      <c r="F5099" t="str">
        <f t="shared" si="1131"/>
        <v>8405294491</v>
      </c>
      <c r="G5099" s="1">
        <v>44684</v>
      </c>
      <c r="H5099" t="str">
        <f>"91439"</f>
        <v>91439</v>
      </c>
      <c r="I5099">
        <v>1</v>
      </c>
      <c r="J5099">
        <v>356</v>
      </c>
      <c r="K5099">
        <v>0</v>
      </c>
      <c r="L5099">
        <v>277.68</v>
      </c>
    </row>
    <row r="5100" spans="1:12" x14ac:dyDescent="0.25">
      <c r="A5100" t="str">
        <f t="shared" si="1128"/>
        <v>89301000</v>
      </c>
      <c r="B5100" t="str">
        <f t="shared" si="1130"/>
        <v>06539000</v>
      </c>
      <c r="C5100" t="str">
        <f t="shared" si="1136"/>
        <v>06539003</v>
      </c>
      <c r="D5100" t="str">
        <f t="shared" si="1137"/>
        <v>813</v>
      </c>
      <c r="E5100" t="str">
        <f t="shared" si="1134"/>
        <v>89301171</v>
      </c>
      <c r="F5100" t="str">
        <f t="shared" si="1131"/>
        <v>8405294491</v>
      </c>
      <c r="G5100" s="1">
        <v>44684</v>
      </c>
      <c r="H5100" t="str">
        <f>"91439"</f>
        <v>91439</v>
      </c>
      <c r="I5100">
        <v>1</v>
      </c>
      <c r="J5100">
        <v>356</v>
      </c>
      <c r="K5100">
        <v>0</v>
      </c>
      <c r="L5100">
        <v>277.68</v>
      </c>
    </row>
    <row r="5101" spans="1:12" x14ac:dyDescent="0.25">
      <c r="A5101" t="str">
        <f t="shared" si="1128"/>
        <v>89301000</v>
      </c>
      <c r="B5101" t="str">
        <f t="shared" si="1130"/>
        <v>06539000</v>
      </c>
      <c r="C5101" t="str">
        <f t="shared" si="1136"/>
        <v>06539003</v>
      </c>
      <c r="D5101" t="str">
        <f t="shared" si="1137"/>
        <v>813</v>
      </c>
      <c r="E5101" t="str">
        <f t="shared" si="1134"/>
        <v>89301171</v>
      </c>
      <c r="F5101" t="str">
        <f t="shared" si="1131"/>
        <v>8405294491</v>
      </c>
      <c r="G5101" s="1">
        <v>44684</v>
      </c>
      <c r="H5101" t="str">
        <f>"91439"</f>
        <v>91439</v>
      </c>
      <c r="I5101">
        <v>2</v>
      </c>
      <c r="J5101">
        <v>712</v>
      </c>
      <c r="K5101">
        <v>0</v>
      </c>
      <c r="L5101">
        <v>555.36</v>
      </c>
    </row>
    <row r="5102" spans="1:12" x14ac:dyDescent="0.25">
      <c r="A5102" t="str">
        <f t="shared" si="1128"/>
        <v>89301000</v>
      </c>
      <c r="B5102" t="str">
        <f t="shared" si="1130"/>
        <v>06539000</v>
      </c>
      <c r="C5102" t="str">
        <f t="shared" si="1136"/>
        <v>06539003</v>
      </c>
      <c r="D5102" t="str">
        <f t="shared" si="1137"/>
        <v>813</v>
      </c>
      <c r="E5102" t="str">
        <f t="shared" si="1134"/>
        <v>89301171</v>
      </c>
      <c r="F5102" t="str">
        <f t="shared" si="1131"/>
        <v>8405294491</v>
      </c>
      <c r="G5102" s="1">
        <v>44683</v>
      </c>
      <c r="H5102" t="str">
        <f t="shared" ref="H5102:H5111" si="1138">"91413"</f>
        <v>91413</v>
      </c>
      <c r="I5102">
        <v>1</v>
      </c>
      <c r="J5102">
        <v>853</v>
      </c>
      <c r="K5102">
        <v>0</v>
      </c>
      <c r="L5102">
        <v>665.34</v>
      </c>
    </row>
    <row r="5103" spans="1:12" x14ac:dyDescent="0.25">
      <c r="A5103" t="str">
        <f t="shared" si="1128"/>
        <v>89301000</v>
      </c>
      <c r="B5103" t="str">
        <f t="shared" si="1130"/>
        <v>06539000</v>
      </c>
      <c r="C5103" t="str">
        <f t="shared" si="1136"/>
        <v>06539003</v>
      </c>
      <c r="D5103" t="str">
        <f t="shared" si="1137"/>
        <v>813</v>
      </c>
      <c r="E5103" t="str">
        <f t="shared" si="1134"/>
        <v>89301171</v>
      </c>
      <c r="F5103" t="str">
        <f t="shared" si="1131"/>
        <v>8405294491</v>
      </c>
      <c r="G5103" s="1">
        <v>44683</v>
      </c>
      <c r="H5103" t="str">
        <f t="shared" si="1138"/>
        <v>91413</v>
      </c>
      <c r="I5103">
        <v>1</v>
      </c>
      <c r="J5103">
        <v>853</v>
      </c>
      <c r="K5103">
        <v>0</v>
      </c>
      <c r="L5103">
        <v>665.34</v>
      </c>
    </row>
    <row r="5104" spans="1:12" x14ac:dyDescent="0.25">
      <c r="A5104" t="str">
        <f t="shared" si="1128"/>
        <v>89301000</v>
      </c>
      <c r="B5104" t="str">
        <f t="shared" si="1130"/>
        <v>06539000</v>
      </c>
      <c r="C5104" t="str">
        <f t="shared" si="1136"/>
        <v>06539003</v>
      </c>
      <c r="D5104" t="str">
        <f t="shared" si="1137"/>
        <v>813</v>
      </c>
      <c r="E5104" t="str">
        <f t="shared" si="1134"/>
        <v>89301171</v>
      </c>
      <c r="F5104" t="str">
        <f t="shared" si="1131"/>
        <v>8405294491</v>
      </c>
      <c r="G5104" s="1">
        <v>44692</v>
      </c>
      <c r="H5104" t="str">
        <f t="shared" si="1138"/>
        <v>91413</v>
      </c>
      <c r="I5104">
        <v>1</v>
      </c>
      <c r="J5104">
        <v>853</v>
      </c>
      <c r="K5104">
        <v>0</v>
      </c>
      <c r="L5104">
        <v>665.34</v>
      </c>
    </row>
    <row r="5105" spans="1:12" x14ac:dyDescent="0.25">
      <c r="A5105" t="str">
        <f t="shared" si="1128"/>
        <v>89301000</v>
      </c>
      <c r="B5105" t="str">
        <f t="shared" si="1130"/>
        <v>06539000</v>
      </c>
      <c r="C5105" t="str">
        <f t="shared" si="1136"/>
        <v>06539003</v>
      </c>
      <c r="D5105" t="str">
        <f t="shared" si="1137"/>
        <v>813</v>
      </c>
      <c r="E5105" t="str">
        <f t="shared" si="1134"/>
        <v>89301171</v>
      </c>
      <c r="F5105" t="str">
        <f t="shared" si="1131"/>
        <v>8405294491</v>
      </c>
      <c r="G5105" s="1">
        <v>44692</v>
      </c>
      <c r="H5105" t="str">
        <f t="shared" si="1138"/>
        <v>91413</v>
      </c>
      <c r="I5105">
        <v>1</v>
      </c>
      <c r="J5105">
        <v>853</v>
      </c>
      <c r="K5105">
        <v>0</v>
      </c>
      <c r="L5105">
        <v>665.34</v>
      </c>
    </row>
    <row r="5106" spans="1:12" x14ac:dyDescent="0.25">
      <c r="A5106" t="str">
        <f t="shared" si="1128"/>
        <v>89301000</v>
      </c>
      <c r="B5106" t="str">
        <f t="shared" si="1130"/>
        <v>06539000</v>
      </c>
      <c r="C5106" t="str">
        <f t="shared" si="1136"/>
        <v>06539003</v>
      </c>
      <c r="D5106" t="str">
        <f t="shared" si="1137"/>
        <v>813</v>
      </c>
      <c r="E5106" t="str">
        <f t="shared" si="1134"/>
        <v>89301171</v>
      </c>
      <c r="F5106" t="str">
        <f t="shared" si="1131"/>
        <v>8405294491</v>
      </c>
      <c r="G5106" s="1">
        <v>44692</v>
      </c>
      <c r="H5106" t="str">
        <f t="shared" si="1138"/>
        <v>91413</v>
      </c>
      <c r="I5106">
        <v>1</v>
      </c>
      <c r="J5106">
        <v>853</v>
      </c>
      <c r="K5106">
        <v>0</v>
      </c>
      <c r="L5106">
        <v>665.34</v>
      </c>
    </row>
    <row r="5107" spans="1:12" x14ac:dyDescent="0.25">
      <c r="A5107" t="str">
        <f t="shared" si="1128"/>
        <v>89301000</v>
      </c>
      <c r="B5107" t="str">
        <f t="shared" si="1130"/>
        <v>06539000</v>
      </c>
      <c r="C5107" t="str">
        <f t="shared" si="1136"/>
        <v>06539003</v>
      </c>
      <c r="D5107" t="str">
        <f t="shared" si="1137"/>
        <v>813</v>
      </c>
      <c r="E5107" t="str">
        <f t="shared" si="1134"/>
        <v>89301171</v>
      </c>
      <c r="F5107" t="str">
        <f t="shared" si="1131"/>
        <v>8405294491</v>
      </c>
      <c r="G5107" s="1">
        <v>44692</v>
      </c>
      <c r="H5107" t="str">
        <f t="shared" si="1138"/>
        <v>91413</v>
      </c>
      <c r="I5107">
        <v>1</v>
      </c>
      <c r="J5107">
        <v>853</v>
      </c>
      <c r="K5107">
        <v>0</v>
      </c>
      <c r="L5107">
        <v>665.34</v>
      </c>
    </row>
    <row r="5108" spans="1:12" x14ac:dyDescent="0.25">
      <c r="A5108" t="str">
        <f t="shared" si="1128"/>
        <v>89301000</v>
      </c>
      <c r="B5108" t="str">
        <f t="shared" si="1130"/>
        <v>06539000</v>
      </c>
      <c r="C5108" t="str">
        <f t="shared" si="1136"/>
        <v>06539003</v>
      </c>
      <c r="D5108" t="str">
        <f t="shared" si="1137"/>
        <v>813</v>
      </c>
      <c r="E5108" t="str">
        <f t="shared" si="1134"/>
        <v>89301171</v>
      </c>
      <c r="F5108" t="str">
        <f t="shared" si="1131"/>
        <v>8405294491</v>
      </c>
      <c r="G5108" s="1">
        <v>44692</v>
      </c>
      <c r="H5108" t="str">
        <f t="shared" si="1138"/>
        <v>91413</v>
      </c>
      <c r="I5108">
        <v>1</v>
      </c>
      <c r="J5108">
        <v>853</v>
      </c>
      <c r="K5108">
        <v>0</v>
      </c>
      <c r="L5108">
        <v>665.34</v>
      </c>
    </row>
    <row r="5109" spans="1:12" x14ac:dyDescent="0.25">
      <c r="A5109" t="str">
        <f t="shared" si="1128"/>
        <v>89301000</v>
      </c>
      <c r="B5109" t="str">
        <f t="shared" si="1130"/>
        <v>06539000</v>
      </c>
      <c r="C5109" t="str">
        <f t="shared" si="1136"/>
        <v>06539003</v>
      </c>
      <c r="D5109" t="str">
        <f t="shared" si="1137"/>
        <v>813</v>
      </c>
      <c r="E5109" t="str">
        <f t="shared" si="1134"/>
        <v>89301171</v>
      </c>
      <c r="F5109" t="str">
        <f t="shared" si="1131"/>
        <v>8405294491</v>
      </c>
      <c r="G5109" s="1">
        <v>44692</v>
      </c>
      <c r="H5109" t="str">
        <f t="shared" si="1138"/>
        <v>91413</v>
      </c>
      <c r="I5109">
        <v>1</v>
      </c>
      <c r="J5109">
        <v>853</v>
      </c>
      <c r="K5109">
        <v>0</v>
      </c>
      <c r="L5109">
        <v>665.34</v>
      </c>
    </row>
    <row r="5110" spans="1:12" x14ac:dyDescent="0.25">
      <c r="A5110" t="str">
        <f t="shared" si="1128"/>
        <v>89301000</v>
      </c>
      <c r="B5110" t="str">
        <f t="shared" si="1130"/>
        <v>06539000</v>
      </c>
      <c r="C5110" t="str">
        <f t="shared" si="1136"/>
        <v>06539003</v>
      </c>
      <c r="D5110" t="str">
        <f t="shared" si="1137"/>
        <v>813</v>
      </c>
      <c r="E5110" t="str">
        <f t="shared" si="1134"/>
        <v>89301171</v>
      </c>
      <c r="F5110" t="str">
        <f t="shared" si="1131"/>
        <v>8405294491</v>
      </c>
      <c r="G5110" s="1">
        <v>44692</v>
      </c>
      <c r="H5110" t="str">
        <f t="shared" si="1138"/>
        <v>91413</v>
      </c>
      <c r="I5110">
        <v>1</v>
      </c>
      <c r="J5110">
        <v>853</v>
      </c>
      <c r="K5110">
        <v>0</v>
      </c>
      <c r="L5110">
        <v>665.34</v>
      </c>
    </row>
    <row r="5111" spans="1:12" x14ac:dyDescent="0.25">
      <c r="A5111" t="str">
        <f t="shared" si="1128"/>
        <v>89301000</v>
      </c>
      <c r="B5111" t="str">
        <f t="shared" si="1130"/>
        <v>06539000</v>
      </c>
      <c r="C5111" t="str">
        <f t="shared" si="1136"/>
        <v>06539003</v>
      </c>
      <c r="D5111" t="str">
        <f t="shared" si="1137"/>
        <v>813</v>
      </c>
      <c r="E5111" t="str">
        <f t="shared" si="1134"/>
        <v>89301171</v>
      </c>
      <c r="F5111" t="str">
        <f t="shared" si="1131"/>
        <v>8405294491</v>
      </c>
      <c r="G5111" s="1">
        <v>44692</v>
      </c>
      <c r="H5111" t="str">
        <f t="shared" si="1138"/>
        <v>91413</v>
      </c>
      <c r="I5111">
        <v>1</v>
      </c>
      <c r="J5111">
        <v>853</v>
      </c>
      <c r="K5111">
        <v>0</v>
      </c>
      <c r="L5111">
        <v>665.34</v>
      </c>
    </row>
    <row r="5112" spans="1:12" x14ac:dyDescent="0.25">
      <c r="A5112" t="str">
        <f t="shared" si="1128"/>
        <v>89301000</v>
      </c>
      <c r="B5112" t="str">
        <f t="shared" si="1130"/>
        <v>06539000</v>
      </c>
      <c r="C5112" t="str">
        <f t="shared" si="1136"/>
        <v>06539003</v>
      </c>
      <c r="D5112" t="str">
        <f t="shared" si="1137"/>
        <v>813</v>
      </c>
      <c r="E5112" t="str">
        <f t="shared" si="1134"/>
        <v>89301171</v>
      </c>
      <c r="F5112" t="str">
        <f t="shared" si="1131"/>
        <v>8405294491</v>
      </c>
      <c r="G5112" s="1">
        <v>44680</v>
      </c>
      <c r="H5112" t="str">
        <f t="shared" ref="H5112:H5118" si="1139">"91197"</f>
        <v>91197</v>
      </c>
      <c r="I5112">
        <v>1</v>
      </c>
      <c r="J5112">
        <v>1046</v>
      </c>
      <c r="K5112">
        <v>0</v>
      </c>
      <c r="L5112">
        <v>815.88</v>
      </c>
    </row>
    <row r="5113" spans="1:12" x14ac:dyDescent="0.25">
      <c r="A5113" t="str">
        <f t="shared" si="1128"/>
        <v>89301000</v>
      </c>
      <c r="B5113" t="str">
        <f t="shared" si="1130"/>
        <v>06539000</v>
      </c>
      <c r="C5113" t="str">
        <f t="shared" si="1136"/>
        <v>06539003</v>
      </c>
      <c r="D5113" t="str">
        <f t="shared" si="1137"/>
        <v>813</v>
      </c>
      <c r="E5113" t="str">
        <f t="shared" si="1134"/>
        <v>89301171</v>
      </c>
      <c r="F5113" t="str">
        <f t="shared" si="1131"/>
        <v>8405294491</v>
      </c>
      <c r="G5113" s="1">
        <v>44683</v>
      </c>
      <c r="H5113" t="str">
        <f t="shared" si="1139"/>
        <v>91197</v>
      </c>
      <c r="I5113">
        <v>1</v>
      </c>
      <c r="J5113">
        <v>1046</v>
      </c>
      <c r="K5113">
        <v>0</v>
      </c>
      <c r="L5113">
        <v>815.88</v>
      </c>
    </row>
    <row r="5114" spans="1:12" x14ac:dyDescent="0.25">
      <c r="A5114" t="str">
        <f t="shared" si="1128"/>
        <v>89301000</v>
      </c>
      <c r="B5114" t="str">
        <f t="shared" si="1130"/>
        <v>06539000</v>
      </c>
      <c r="C5114" t="str">
        <f t="shared" si="1136"/>
        <v>06539003</v>
      </c>
      <c r="D5114" t="str">
        <f t="shared" si="1137"/>
        <v>813</v>
      </c>
      <c r="E5114" t="str">
        <f t="shared" si="1134"/>
        <v>89301171</v>
      </c>
      <c r="F5114" t="str">
        <f t="shared" si="1131"/>
        <v>8405294491</v>
      </c>
      <c r="G5114" s="1">
        <v>44683</v>
      </c>
      <c r="H5114" t="str">
        <f t="shared" si="1139"/>
        <v>91197</v>
      </c>
      <c r="I5114">
        <v>1</v>
      </c>
      <c r="J5114">
        <v>1046</v>
      </c>
      <c r="K5114">
        <v>0</v>
      </c>
      <c r="L5114">
        <v>815.88</v>
      </c>
    </row>
    <row r="5115" spans="1:12" x14ac:dyDescent="0.25">
      <c r="A5115" t="str">
        <f t="shared" si="1128"/>
        <v>89301000</v>
      </c>
      <c r="B5115" t="str">
        <f t="shared" si="1130"/>
        <v>06539000</v>
      </c>
      <c r="C5115" t="str">
        <f t="shared" si="1136"/>
        <v>06539003</v>
      </c>
      <c r="D5115" t="str">
        <f t="shared" si="1137"/>
        <v>813</v>
      </c>
      <c r="E5115" t="str">
        <f t="shared" si="1134"/>
        <v>89301171</v>
      </c>
      <c r="F5115" t="str">
        <f t="shared" si="1131"/>
        <v>8405294491</v>
      </c>
      <c r="G5115" s="1">
        <v>44682</v>
      </c>
      <c r="H5115" t="str">
        <f t="shared" si="1139"/>
        <v>91197</v>
      </c>
      <c r="I5115">
        <v>1</v>
      </c>
      <c r="J5115">
        <v>1046</v>
      </c>
      <c r="K5115">
        <v>0</v>
      </c>
      <c r="L5115">
        <v>815.88</v>
      </c>
    </row>
    <row r="5116" spans="1:12" x14ac:dyDescent="0.25">
      <c r="A5116" t="str">
        <f t="shared" si="1128"/>
        <v>89301000</v>
      </c>
      <c r="B5116" t="str">
        <f t="shared" si="1130"/>
        <v>06539000</v>
      </c>
      <c r="C5116" t="str">
        <f t="shared" si="1136"/>
        <v>06539003</v>
      </c>
      <c r="D5116" t="str">
        <f t="shared" si="1137"/>
        <v>813</v>
      </c>
      <c r="E5116" t="str">
        <f t="shared" si="1134"/>
        <v>89301171</v>
      </c>
      <c r="F5116" t="str">
        <f t="shared" si="1131"/>
        <v>8405294491</v>
      </c>
      <c r="G5116" s="1">
        <v>44682</v>
      </c>
      <c r="H5116" t="str">
        <f t="shared" si="1139"/>
        <v>91197</v>
      </c>
      <c r="I5116">
        <v>1</v>
      </c>
      <c r="J5116">
        <v>1046</v>
      </c>
      <c r="K5116">
        <v>0</v>
      </c>
      <c r="L5116">
        <v>815.88</v>
      </c>
    </row>
    <row r="5117" spans="1:12" x14ac:dyDescent="0.25">
      <c r="A5117" t="str">
        <f t="shared" si="1128"/>
        <v>89301000</v>
      </c>
      <c r="B5117" t="str">
        <f t="shared" si="1130"/>
        <v>06539000</v>
      </c>
      <c r="C5117" t="str">
        <f t="shared" si="1136"/>
        <v>06539003</v>
      </c>
      <c r="D5117" t="str">
        <f t="shared" si="1137"/>
        <v>813</v>
      </c>
      <c r="E5117" t="str">
        <f t="shared" si="1134"/>
        <v>89301171</v>
      </c>
      <c r="F5117" t="str">
        <f t="shared" si="1131"/>
        <v>8405294491</v>
      </c>
      <c r="G5117" s="1">
        <v>44681</v>
      </c>
      <c r="H5117" t="str">
        <f t="shared" si="1139"/>
        <v>91197</v>
      </c>
      <c r="I5117">
        <v>1</v>
      </c>
      <c r="J5117">
        <v>1046</v>
      </c>
      <c r="K5117">
        <v>0</v>
      </c>
      <c r="L5117">
        <v>815.88</v>
      </c>
    </row>
    <row r="5118" spans="1:12" x14ac:dyDescent="0.25">
      <c r="A5118" t="str">
        <f t="shared" si="1128"/>
        <v>89301000</v>
      </c>
      <c r="B5118" t="str">
        <f t="shared" si="1130"/>
        <v>06539000</v>
      </c>
      <c r="C5118" t="str">
        <f t="shared" si="1136"/>
        <v>06539003</v>
      </c>
      <c r="D5118" t="str">
        <f t="shared" si="1137"/>
        <v>813</v>
      </c>
      <c r="E5118" t="str">
        <f t="shared" si="1134"/>
        <v>89301171</v>
      </c>
      <c r="F5118" t="str">
        <f t="shared" si="1131"/>
        <v>8405294491</v>
      </c>
      <c r="G5118" s="1">
        <v>44681</v>
      </c>
      <c r="H5118" t="str">
        <f t="shared" si="1139"/>
        <v>91197</v>
      </c>
      <c r="I5118">
        <v>1</v>
      </c>
      <c r="J5118">
        <v>1046</v>
      </c>
      <c r="K5118">
        <v>0</v>
      </c>
      <c r="L5118">
        <v>815.88</v>
      </c>
    </row>
    <row r="5119" spans="1:12" x14ac:dyDescent="0.25">
      <c r="A5119" t="str">
        <f t="shared" si="1128"/>
        <v>89301000</v>
      </c>
      <c r="B5119" t="str">
        <f t="shared" si="1130"/>
        <v>06539000</v>
      </c>
      <c r="C5119" t="str">
        <f t="shared" si="1136"/>
        <v>06539003</v>
      </c>
      <c r="D5119" t="str">
        <f t="shared" si="1137"/>
        <v>813</v>
      </c>
      <c r="E5119" t="str">
        <f t="shared" si="1134"/>
        <v>89301171</v>
      </c>
      <c r="F5119" t="str">
        <f t="shared" si="1131"/>
        <v>8405294491</v>
      </c>
      <c r="G5119" s="1">
        <v>44692</v>
      </c>
      <c r="H5119" t="str">
        <f>"91329"</f>
        <v>91329</v>
      </c>
      <c r="I5119">
        <v>2</v>
      </c>
      <c r="J5119">
        <v>428</v>
      </c>
      <c r="K5119">
        <v>0</v>
      </c>
      <c r="L5119">
        <v>333.84</v>
      </c>
    </row>
    <row r="5120" spans="1:12" x14ac:dyDescent="0.25">
      <c r="A5120" t="str">
        <f t="shared" si="1128"/>
        <v>89301000</v>
      </c>
      <c r="B5120" t="str">
        <f t="shared" si="1130"/>
        <v>06539000</v>
      </c>
      <c r="C5120" t="str">
        <f t="shared" si="1136"/>
        <v>06539003</v>
      </c>
      <c r="D5120" t="str">
        <f t="shared" si="1137"/>
        <v>813</v>
      </c>
      <c r="E5120" t="str">
        <f t="shared" si="1134"/>
        <v>89301171</v>
      </c>
      <c r="F5120" t="str">
        <f t="shared" si="1131"/>
        <v>8405294491</v>
      </c>
      <c r="G5120" s="1">
        <v>44692</v>
      </c>
      <c r="H5120" t="str">
        <f>"91329"</f>
        <v>91329</v>
      </c>
      <c r="I5120">
        <v>2</v>
      </c>
      <c r="J5120">
        <v>428</v>
      </c>
      <c r="K5120">
        <v>0</v>
      </c>
      <c r="L5120">
        <v>333.84</v>
      </c>
    </row>
    <row r="5121" spans="1:12" x14ac:dyDescent="0.25">
      <c r="A5121" t="str">
        <f t="shared" si="1128"/>
        <v>89301000</v>
      </c>
      <c r="B5121" t="str">
        <f t="shared" si="1130"/>
        <v>06539000</v>
      </c>
      <c r="C5121" t="str">
        <f t="shared" si="1136"/>
        <v>06539003</v>
      </c>
      <c r="D5121" t="str">
        <f t="shared" si="1137"/>
        <v>813</v>
      </c>
      <c r="E5121" t="str">
        <f t="shared" si="1134"/>
        <v>89301171</v>
      </c>
      <c r="F5121" t="str">
        <f t="shared" si="1131"/>
        <v>8405294491</v>
      </c>
      <c r="G5121" s="1">
        <v>44692</v>
      </c>
      <c r="H5121" t="str">
        <f>"91329"</f>
        <v>91329</v>
      </c>
      <c r="I5121">
        <v>2</v>
      </c>
      <c r="J5121">
        <v>428</v>
      </c>
      <c r="K5121">
        <v>0</v>
      </c>
      <c r="L5121">
        <v>333.84</v>
      </c>
    </row>
    <row r="5122" spans="1:12" x14ac:dyDescent="0.25">
      <c r="A5122" t="str">
        <f t="shared" ref="A5122:A5185" si="1140">"89301000"</f>
        <v>89301000</v>
      </c>
      <c r="B5122" t="str">
        <f t="shared" si="1130"/>
        <v>06539000</v>
      </c>
      <c r="C5122" t="str">
        <f t="shared" si="1136"/>
        <v>06539003</v>
      </c>
      <c r="D5122" t="str">
        <f t="shared" si="1137"/>
        <v>813</v>
      </c>
      <c r="E5122" t="str">
        <f t="shared" si="1134"/>
        <v>89301171</v>
      </c>
      <c r="F5122" t="str">
        <f t="shared" si="1131"/>
        <v>8405294491</v>
      </c>
      <c r="G5122" s="1">
        <v>44692</v>
      </c>
      <c r="H5122" t="str">
        <f>"91329"</f>
        <v>91329</v>
      </c>
      <c r="I5122">
        <v>2</v>
      </c>
      <c r="J5122">
        <v>428</v>
      </c>
      <c r="K5122">
        <v>0</v>
      </c>
      <c r="L5122">
        <v>333.84</v>
      </c>
    </row>
    <row r="5123" spans="1:12" x14ac:dyDescent="0.25">
      <c r="A5123" t="str">
        <f t="shared" si="1140"/>
        <v>89301000</v>
      </c>
      <c r="B5123" t="str">
        <f t="shared" si="1130"/>
        <v>06539000</v>
      </c>
      <c r="C5123" t="str">
        <f t="shared" si="1136"/>
        <v>06539003</v>
      </c>
      <c r="D5123" t="str">
        <f t="shared" si="1137"/>
        <v>813</v>
      </c>
      <c r="E5123" t="str">
        <f t="shared" si="1134"/>
        <v>89301171</v>
      </c>
      <c r="F5123" t="str">
        <f t="shared" si="1131"/>
        <v>8405294491</v>
      </c>
      <c r="G5123" s="1">
        <v>44680</v>
      </c>
      <c r="H5123" t="str">
        <f>"91129"</f>
        <v>91129</v>
      </c>
      <c r="I5123">
        <v>1</v>
      </c>
      <c r="J5123">
        <v>174</v>
      </c>
      <c r="K5123">
        <v>0</v>
      </c>
      <c r="L5123">
        <v>135.72</v>
      </c>
    </row>
    <row r="5124" spans="1:12" x14ac:dyDescent="0.25">
      <c r="A5124" t="str">
        <f t="shared" si="1140"/>
        <v>89301000</v>
      </c>
      <c r="B5124" t="str">
        <f t="shared" si="1130"/>
        <v>06539000</v>
      </c>
      <c r="C5124" t="str">
        <f t="shared" si="1136"/>
        <v>06539003</v>
      </c>
      <c r="D5124" t="str">
        <f t="shared" si="1137"/>
        <v>813</v>
      </c>
      <c r="E5124" t="str">
        <f t="shared" si="1134"/>
        <v>89301171</v>
      </c>
      <c r="F5124" t="str">
        <f t="shared" si="1131"/>
        <v>8405294491</v>
      </c>
      <c r="G5124" s="1">
        <v>44680</v>
      </c>
      <c r="H5124" t="str">
        <f>"91131"</f>
        <v>91131</v>
      </c>
      <c r="I5124">
        <v>1</v>
      </c>
      <c r="J5124">
        <v>171</v>
      </c>
      <c r="K5124">
        <v>0</v>
      </c>
      <c r="L5124">
        <v>133.38</v>
      </c>
    </row>
    <row r="5125" spans="1:12" x14ac:dyDescent="0.25">
      <c r="A5125" t="str">
        <f t="shared" si="1140"/>
        <v>89301000</v>
      </c>
      <c r="B5125" t="str">
        <f t="shared" si="1130"/>
        <v>06539000</v>
      </c>
      <c r="C5125" t="str">
        <f t="shared" si="1136"/>
        <v>06539003</v>
      </c>
      <c r="D5125" t="str">
        <f t="shared" si="1137"/>
        <v>813</v>
      </c>
      <c r="E5125" t="str">
        <f t="shared" si="1134"/>
        <v>89301171</v>
      </c>
      <c r="F5125" t="str">
        <f t="shared" si="1131"/>
        <v>8405294491</v>
      </c>
      <c r="G5125" s="1">
        <v>44680</v>
      </c>
      <c r="H5125" t="str">
        <f>"91133"</f>
        <v>91133</v>
      </c>
      <c r="I5125">
        <v>1</v>
      </c>
      <c r="J5125">
        <v>176</v>
      </c>
      <c r="K5125">
        <v>0</v>
      </c>
      <c r="L5125">
        <v>137.28</v>
      </c>
    </row>
    <row r="5126" spans="1:12" x14ac:dyDescent="0.25">
      <c r="A5126" t="str">
        <f t="shared" si="1140"/>
        <v>89301000</v>
      </c>
      <c r="B5126" t="str">
        <f t="shared" si="1130"/>
        <v>06539000</v>
      </c>
      <c r="C5126" t="str">
        <f t="shared" si="1136"/>
        <v>06539003</v>
      </c>
      <c r="D5126" t="str">
        <f t="shared" si="1137"/>
        <v>813</v>
      </c>
      <c r="E5126" t="str">
        <f t="shared" si="1134"/>
        <v>89301171</v>
      </c>
      <c r="F5126" t="str">
        <f t="shared" si="1131"/>
        <v>8405294491</v>
      </c>
      <c r="G5126" s="1">
        <v>44680</v>
      </c>
      <c r="H5126" t="str">
        <f>"91171"</f>
        <v>91171</v>
      </c>
      <c r="I5126">
        <v>1</v>
      </c>
      <c r="J5126">
        <v>360</v>
      </c>
      <c r="K5126">
        <v>0</v>
      </c>
      <c r="L5126">
        <v>280.8</v>
      </c>
    </row>
    <row r="5127" spans="1:12" x14ac:dyDescent="0.25">
      <c r="A5127" t="str">
        <f t="shared" si="1140"/>
        <v>89301000</v>
      </c>
      <c r="B5127" t="str">
        <f t="shared" si="1130"/>
        <v>06539000</v>
      </c>
      <c r="C5127" t="str">
        <f t="shared" si="1136"/>
        <v>06539003</v>
      </c>
      <c r="D5127" t="str">
        <f t="shared" si="1137"/>
        <v>813</v>
      </c>
      <c r="E5127" t="str">
        <f t="shared" si="1134"/>
        <v>89301171</v>
      </c>
      <c r="F5127" t="str">
        <f t="shared" si="1131"/>
        <v>8405294491</v>
      </c>
      <c r="G5127" s="1">
        <v>44680</v>
      </c>
      <c r="H5127" t="str">
        <f>"91173"</f>
        <v>91173</v>
      </c>
      <c r="I5127">
        <v>1</v>
      </c>
      <c r="J5127">
        <v>335</v>
      </c>
      <c r="K5127">
        <v>0</v>
      </c>
      <c r="L5127">
        <v>261.3</v>
      </c>
    </row>
    <row r="5128" spans="1:12" x14ac:dyDescent="0.25">
      <c r="A5128" t="str">
        <f t="shared" si="1140"/>
        <v>89301000</v>
      </c>
      <c r="B5128" t="str">
        <f t="shared" si="1130"/>
        <v>06539000</v>
      </c>
      <c r="C5128" t="str">
        <f t="shared" si="1136"/>
        <v>06539003</v>
      </c>
      <c r="D5128" t="str">
        <f t="shared" si="1137"/>
        <v>813</v>
      </c>
      <c r="E5128" t="str">
        <f t="shared" si="1134"/>
        <v>89301171</v>
      </c>
      <c r="F5128" t="str">
        <f t="shared" si="1131"/>
        <v>8405294491</v>
      </c>
      <c r="G5128" s="1">
        <v>44680</v>
      </c>
      <c r="H5128" t="str">
        <f>"91175"</f>
        <v>91175</v>
      </c>
      <c r="I5128">
        <v>1</v>
      </c>
      <c r="J5128">
        <v>360</v>
      </c>
      <c r="K5128">
        <v>0</v>
      </c>
      <c r="L5128">
        <v>280.8</v>
      </c>
    </row>
    <row r="5129" spans="1:12" x14ac:dyDescent="0.25">
      <c r="A5129" t="str">
        <f t="shared" si="1140"/>
        <v>89301000</v>
      </c>
      <c r="B5129" t="str">
        <f t="shared" si="1130"/>
        <v>06539000</v>
      </c>
      <c r="C5129" t="str">
        <f t="shared" si="1136"/>
        <v>06539003</v>
      </c>
      <c r="D5129" t="str">
        <f t="shared" si="1137"/>
        <v>813</v>
      </c>
      <c r="E5129" t="str">
        <f t="shared" si="1134"/>
        <v>89301171</v>
      </c>
      <c r="F5129" t="str">
        <f t="shared" si="1131"/>
        <v>8405294491</v>
      </c>
      <c r="G5129" s="1">
        <v>44681</v>
      </c>
      <c r="H5129" t="str">
        <f>"91167"</f>
        <v>91167</v>
      </c>
      <c r="I5129">
        <v>1</v>
      </c>
      <c r="J5129">
        <v>425</v>
      </c>
      <c r="K5129">
        <v>0</v>
      </c>
      <c r="L5129">
        <v>331.5</v>
      </c>
    </row>
    <row r="5130" spans="1:12" x14ac:dyDescent="0.25">
      <c r="A5130" t="str">
        <f t="shared" si="1140"/>
        <v>89301000</v>
      </c>
      <c r="B5130" t="str">
        <f t="shared" si="1130"/>
        <v>06539000</v>
      </c>
      <c r="C5130" t="str">
        <f t="shared" si="1136"/>
        <v>06539003</v>
      </c>
      <c r="D5130" t="str">
        <f t="shared" si="1137"/>
        <v>813</v>
      </c>
      <c r="E5130" t="str">
        <f t="shared" si="1134"/>
        <v>89301171</v>
      </c>
      <c r="F5130" t="str">
        <f t="shared" si="1131"/>
        <v>8405294491</v>
      </c>
      <c r="G5130" s="1">
        <v>44681</v>
      </c>
      <c r="H5130" t="str">
        <f>"91169"</f>
        <v>91169</v>
      </c>
      <c r="I5130">
        <v>1</v>
      </c>
      <c r="J5130">
        <v>425</v>
      </c>
      <c r="K5130">
        <v>0</v>
      </c>
      <c r="L5130">
        <v>331.5</v>
      </c>
    </row>
    <row r="5131" spans="1:12" x14ac:dyDescent="0.25">
      <c r="A5131" t="str">
        <f t="shared" si="1140"/>
        <v>89301000</v>
      </c>
      <c r="B5131" t="str">
        <f t="shared" si="1130"/>
        <v>06539000</v>
      </c>
      <c r="C5131" t="str">
        <f t="shared" si="1136"/>
        <v>06539003</v>
      </c>
      <c r="D5131" t="str">
        <f t="shared" si="1137"/>
        <v>813</v>
      </c>
      <c r="E5131" t="str">
        <f t="shared" si="1134"/>
        <v>89301171</v>
      </c>
      <c r="F5131" t="str">
        <f t="shared" si="1131"/>
        <v>8405294491</v>
      </c>
      <c r="G5131" s="1">
        <v>44680</v>
      </c>
      <c r="H5131" t="str">
        <f>"91167"</f>
        <v>91167</v>
      </c>
      <c r="I5131">
        <v>1</v>
      </c>
      <c r="J5131">
        <v>425</v>
      </c>
      <c r="K5131">
        <v>0</v>
      </c>
      <c r="L5131">
        <v>331.5</v>
      </c>
    </row>
    <row r="5132" spans="1:12" x14ac:dyDescent="0.25">
      <c r="A5132" t="str">
        <f t="shared" si="1140"/>
        <v>89301000</v>
      </c>
      <c r="B5132" t="str">
        <f t="shared" si="1130"/>
        <v>06539000</v>
      </c>
      <c r="C5132" t="str">
        <f t="shared" si="1136"/>
        <v>06539003</v>
      </c>
      <c r="D5132" t="str">
        <f t="shared" si="1137"/>
        <v>813</v>
      </c>
      <c r="E5132" t="str">
        <f t="shared" si="1134"/>
        <v>89301171</v>
      </c>
      <c r="F5132" t="str">
        <f t="shared" si="1131"/>
        <v>8405294491</v>
      </c>
      <c r="G5132" s="1">
        <v>44680</v>
      </c>
      <c r="H5132" t="str">
        <f>"91169"</f>
        <v>91169</v>
      </c>
      <c r="I5132">
        <v>1</v>
      </c>
      <c r="J5132">
        <v>425</v>
      </c>
      <c r="K5132">
        <v>0</v>
      </c>
      <c r="L5132">
        <v>331.5</v>
      </c>
    </row>
    <row r="5133" spans="1:12" x14ac:dyDescent="0.25">
      <c r="A5133" t="str">
        <f t="shared" si="1140"/>
        <v>89301000</v>
      </c>
      <c r="B5133" t="str">
        <f t="shared" si="1130"/>
        <v>06539000</v>
      </c>
      <c r="C5133" t="str">
        <f t="shared" si="1136"/>
        <v>06539003</v>
      </c>
      <c r="D5133" t="str">
        <f t="shared" si="1137"/>
        <v>813</v>
      </c>
      <c r="E5133" t="str">
        <f t="shared" si="1134"/>
        <v>89301171</v>
      </c>
      <c r="F5133" t="str">
        <f t="shared" si="1131"/>
        <v>8405294491</v>
      </c>
      <c r="G5133" s="1">
        <v>44680</v>
      </c>
      <c r="H5133" t="str">
        <f>"91475"</f>
        <v>91475</v>
      </c>
      <c r="I5133">
        <v>1</v>
      </c>
      <c r="J5133">
        <v>206</v>
      </c>
      <c r="K5133">
        <v>0</v>
      </c>
      <c r="L5133">
        <v>160.68</v>
      </c>
    </row>
    <row r="5134" spans="1:12" x14ac:dyDescent="0.25">
      <c r="A5134" t="str">
        <f t="shared" si="1140"/>
        <v>89301000</v>
      </c>
      <c r="B5134" t="str">
        <f t="shared" si="1130"/>
        <v>06539000</v>
      </c>
      <c r="C5134" t="str">
        <f>"06539001"</f>
        <v>06539001</v>
      </c>
      <c r="D5134" t="str">
        <f>"801"</f>
        <v>801</v>
      </c>
      <c r="E5134" t="str">
        <f t="shared" si="1134"/>
        <v>89301171</v>
      </c>
      <c r="F5134" t="str">
        <f t="shared" ref="F5134:F5180" si="1141">"6162220988"</f>
        <v>6162220988</v>
      </c>
      <c r="G5134" s="1">
        <v>44687</v>
      </c>
      <c r="H5134" t="str">
        <f>"81329"</f>
        <v>81329</v>
      </c>
      <c r="I5134">
        <v>1</v>
      </c>
      <c r="J5134">
        <v>16</v>
      </c>
      <c r="K5134">
        <v>0</v>
      </c>
      <c r="L5134">
        <v>12.48</v>
      </c>
    </row>
    <row r="5135" spans="1:12" x14ac:dyDescent="0.25">
      <c r="A5135" t="str">
        <f t="shared" si="1140"/>
        <v>89301000</v>
      </c>
      <c r="B5135" t="str">
        <f t="shared" si="1130"/>
        <v>06539000</v>
      </c>
      <c r="C5135" t="str">
        <f>"06539001"</f>
        <v>06539001</v>
      </c>
      <c r="D5135" t="str">
        <f>"801"</f>
        <v>801</v>
      </c>
      <c r="E5135" t="str">
        <f t="shared" si="1134"/>
        <v>89301171</v>
      </c>
      <c r="F5135" t="str">
        <f t="shared" si="1141"/>
        <v>6162220988</v>
      </c>
      <c r="G5135" s="1">
        <v>44687</v>
      </c>
      <c r="H5135" t="str">
        <f>"81331"</f>
        <v>81331</v>
      </c>
      <c r="I5135">
        <v>1</v>
      </c>
      <c r="J5135">
        <v>193</v>
      </c>
      <c r="K5135">
        <v>0</v>
      </c>
      <c r="L5135">
        <v>150.54</v>
      </c>
    </row>
    <row r="5136" spans="1:12" x14ac:dyDescent="0.25">
      <c r="A5136" t="str">
        <f t="shared" si="1140"/>
        <v>89301000</v>
      </c>
      <c r="B5136" t="str">
        <f t="shared" si="1130"/>
        <v>06539000</v>
      </c>
      <c r="C5136" t="str">
        <f t="shared" ref="C5136:C5143" si="1142">"06539002"</f>
        <v>06539002</v>
      </c>
      <c r="D5136" t="str">
        <f t="shared" ref="D5136:D5143" si="1143">"802"</f>
        <v>802</v>
      </c>
      <c r="E5136" t="str">
        <f t="shared" si="1134"/>
        <v>89301171</v>
      </c>
      <c r="F5136" t="str">
        <f t="shared" si="1141"/>
        <v>6162220988</v>
      </c>
      <c r="G5136" s="1">
        <v>44687</v>
      </c>
      <c r="H5136" t="str">
        <f t="shared" ref="H5136:H5143" si="1144">"82097"</f>
        <v>82097</v>
      </c>
      <c r="I5136">
        <v>1</v>
      </c>
      <c r="J5136">
        <v>380</v>
      </c>
      <c r="K5136">
        <v>0</v>
      </c>
      <c r="L5136">
        <v>345.8</v>
      </c>
    </row>
    <row r="5137" spans="1:12" x14ac:dyDescent="0.25">
      <c r="A5137" t="str">
        <f t="shared" si="1140"/>
        <v>89301000</v>
      </c>
      <c r="B5137" t="str">
        <f t="shared" si="1130"/>
        <v>06539000</v>
      </c>
      <c r="C5137" t="str">
        <f t="shared" si="1142"/>
        <v>06539002</v>
      </c>
      <c r="D5137" t="str">
        <f t="shared" si="1143"/>
        <v>802</v>
      </c>
      <c r="E5137" t="str">
        <f t="shared" si="1134"/>
        <v>89301171</v>
      </c>
      <c r="F5137" t="str">
        <f t="shared" si="1141"/>
        <v>6162220988</v>
      </c>
      <c r="G5137" s="1">
        <v>44687</v>
      </c>
      <c r="H5137" t="str">
        <f t="shared" si="1144"/>
        <v>82097</v>
      </c>
      <c r="I5137">
        <v>1</v>
      </c>
      <c r="J5137">
        <v>380</v>
      </c>
      <c r="K5137">
        <v>0</v>
      </c>
      <c r="L5137">
        <v>345.8</v>
      </c>
    </row>
    <row r="5138" spans="1:12" x14ac:dyDescent="0.25">
      <c r="A5138" t="str">
        <f t="shared" si="1140"/>
        <v>89301000</v>
      </c>
      <c r="B5138" t="str">
        <f t="shared" si="1130"/>
        <v>06539000</v>
      </c>
      <c r="C5138" t="str">
        <f t="shared" si="1142"/>
        <v>06539002</v>
      </c>
      <c r="D5138" t="str">
        <f t="shared" si="1143"/>
        <v>802</v>
      </c>
      <c r="E5138" t="str">
        <f t="shared" si="1134"/>
        <v>89301171</v>
      </c>
      <c r="F5138" t="str">
        <f t="shared" si="1141"/>
        <v>6162220988</v>
      </c>
      <c r="G5138" s="1">
        <v>44687</v>
      </c>
      <c r="H5138" t="str">
        <f t="shared" si="1144"/>
        <v>82097</v>
      </c>
      <c r="I5138">
        <v>1</v>
      </c>
      <c r="J5138">
        <v>380</v>
      </c>
      <c r="K5138">
        <v>0</v>
      </c>
      <c r="L5138">
        <v>345.8</v>
      </c>
    </row>
    <row r="5139" spans="1:12" x14ac:dyDescent="0.25">
      <c r="A5139" t="str">
        <f t="shared" si="1140"/>
        <v>89301000</v>
      </c>
      <c r="B5139" t="str">
        <f t="shared" si="1130"/>
        <v>06539000</v>
      </c>
      <c r="C5139" t="str">
        <f t="shared" si="1142"/>
        <v>06539002</v>
      </c>
      <c r="D5139" t="str">
        <f t="shared" si="1143"/>
        <v>802</v>
      </c>
      <c r="E5139" t="str">
        <f t="shared" si="1134"/>
        <v>89301171</v>
      </c>
      <c r="F5139" t="str">
        <f t="shared" si="1141"/>
        <v>6162220988</v>
      </c>
      <c r="G5139" s="1">
        <v>44687</v>
      </c>
      <c r="H5139" t="str">
        <f t="shared" si="1144"/>
        <v>82097</v>
      </c>
      <c r="I5139">
        <v>1</v>
      </c>
      <c r="J5139">
        <v>380</v>
      </c>
      <c r="K5139">
        <v>0</v>
      </c>
      <c r="L5139">
        <v>345.8</v>
      </c>
    </row>
    <row r="5140" spans="1:12" x14ac:dyDescent="0.25">
      <c r="A5140" t="str">
        <f t="shared" si="1140"/>
        <v>89301000</v>
      </c>
      <c r="B5140" t="str">
        <f t="shared" si="1130"/>
        <v>06539000</v>
      </c>
      <c r="C5140" t="str">
        <f t="shared" si="1142"/>
        <v>06539002</v>
      </c>
      <c r="D5140" t="str">
        <f t="shared" si="1143"/>
        <v>802</v>
      </c>
      <c r="E5140" t="str">
        <f t="shared" si="1134"/>
        <v>89301171</v>
      </c>
      <c r="F5140" t="str">
        <f t="shared" si="1141"/>
        <v>6162220988</v>
      </c>
      <c r="G5140" s="1">
        <v>44687</v>
      </c>
      <c r="H5140" t="str">
        <f t="shared" si="1144"/>
        <v>82097</v>
      </c>
      <c r="I5140">
        <v>1</v>
      </c>
      <c r="J5140">
        <v>380</v>
      </c>
      <c r="K5140">
        <v>0</v>
      </c>
      <c r="L5140">
        <v>345.8</v>
      </c>
    </row>
    <row r="5141" spans="1:12" x14ac:dyDescent="0.25">
      <c r="A5141" t="str">
        <f t="shared" si="1140"/>
        <v>89301000</v>
      </c>
      <c r="B5141" t="str">
        <f t="shared" si="1130"/>
        <v>06539000</v>
      </c>
      <c r="C5141" t="str">
        <f t="shared" si="1142"/>
        <v>06539002</v>
      </c>
      <c r="D5141" t="str">
        <f t="shared" si="1143"/>
        <v>802</v>
      </c>
      <c r="E5141" t="str">
        <f t="shared" si="1134"/>
        <v>89301171</v>
      </c>
      <c r="F5141" t="str">
        <f t="shared" si="1141"/>
        <v>6162220988</v>
      </c>
      <c r="G5141" s="1">
        <v>44687</v>
      </c>
      <c r="H5141" t="str">
        <f t="shared" si="1144"/>
        <v>82097</v>
      </c>
      <c r="I5141">
        <v>1</v>
      </c>
      <c r="J5141">
        <v>380</v>
      </c>
      <c r="K5141">
        <v>0</v>
      </c>
      <c r="L5141">
        <v>345.8</v>
      </c>
    </row>
    <row r="5142" spans="1:12" x14ac:dyDescent="0.25">
      <c r="A5142" t="str">
        <f t="shared" si="1140"/>
        <v>89301000</v>
      </c>
      <c r="B5142" t="str">
        <f t="shared" si="1130"/>
        <v>06539000</v>
      </c>
      <c r="C5142" t="str">
        <f t="shared" si="1142"/>
        <v>06539002</v>
      </c>
      <c r="D5142" t="str">
        <f t="shared" si="1143"/>
        <v>802</v>
      </c>
      <c r="E5142" t="str">
        <f t="shared" si="1134"/>
        <v>89301171</v>
      </c>
      <c r="F5142" t="str">
        <f t="shared" si="1141"/>
        <v>6162220988</v>
      </c>
      <c r="G5142" s="1">
        <v>44687</v>
      </c>
      <c r="H5142" t="str">
        <f t="shared" si="1144"/>
        <v>82097</v>
      </c>
      <c r="I5142">
        <v>1</v>
      </c>
      <c r="J5142">
        <v>380</v>
      </c>
      <c r="K5142">
        <v>0</v>
      </c>
      <c r="L5142">
        <v>345.8</v>
      </c>
    </row>
    <row r="5143" spans="1:12" x14ac:dyDescent="0.25">
      <c r="A5143" t="str">
        <f t="shared" si="1140"/>
        <v>89301000</v>
      </c>
      <c r="B5143" t="str">
        <f t="shared" si="1130"/>
        <v>06539000</v>
      </c>
      <c r="C5143" t="str">
        <f t="shared" si="1142"/>
        <v>06539002</v>
      </c>
      <c r="D5143" t="str">
        <f t="shared" si="1143"/>
        <v>802</v>
      </c>
      <c r="E5143" t="str">
        <f t="shared" si="1134"/>
        <v>89301171</v>
      </c>
      <c r="F5143" t="str">
        <f t="shared" si="1141"/>
        <v>6162220988</v>
      </c>
      <c r="G5143" s="1">
        <v>44687</v>
      </c>
      <c r="H5143" t="str">
        <f t="shared" si="1144"/>
        <v>82097</v>
      </c>
      <c r="I5143">
        <v>1</v>
      </c>
      <c r="J5143">
        <v>380</v>
      </c>
      <c r="K5143">
        <v>0</v>
      </c>
      <c r="L5143">
        <v>345.8</v>
      </c>
    </row>
    <row r="5144" spans="1:12" x14ac:dyDescent="0.25">
      <c r="A5144" t="str">
        <f t="shared" si="1140"/>
        <v>89301000</v>
      </c>
      <c r="B5144" t="str">
        <f t="shared" si="1130"/>
        <v>06539000</v>
      </c>
      <c r="C5144" t="str">
        <f t="shared" ref="C5144:C5175" si="1145">"06539003"</f>
        <v>06539003</v>
      </c>
      <c r="D5144" t="str">
        <f t="shared" ref="D5144:D5175" si="1146">"813"</f>
        <v>813</v>
      </c>
      <c r="E5144" t="str">
        <f t="shared" si="1134"/>
        <v>89301171</v>
      </c>
      <c r="F5144" t="str">
        <f t="shared" si="1141"/>
        <v>6162220988</v>
      </c>
      <c r="G5144" s="1">
        <v>44691</v>
      </c>
      <c r="H5144" t="str">
        <f>"91439"</f>
        <v>91439</v>
      </c>
      <c r="I5144">
        <v>1</v>
      </c>
      <c r="J5144">
        <v>356</v>
      </c>
      <c r="K5144">
        <v>0</v>
      </c>
      <c r="L5144">
        <v>277.68</v>
      </c>
    </row>
    <row r="5145" spans="1:12" x14ac:dyDescent="0.25">
      <c r="A5145" t="str">
        <f t="shared" si="1140"/>
        <v>89301000</v>
      </c>
      <c r="B5145" t="str">
        <f t="shared" si="1130"/>
        <v>06539000</v>
      </c>
      <c r="C5145" t="str">
        <f t="shared" si="1145"/>
        <v>06539003</v>
      </c>
      <c r="D5145" t="str">
        <f t="shared" si="1146"/>
        <v>813</v>
      </c>
      <c r="E5145" t="str">
        <f t="shared" si="1134"/>
        <v>89301171</v>
      </c>
      <c r="F5145" t="str">
        <f t="shared" si="1141"/>
        <v>6162220988</v>
      </c>
      <c r="G5145" s="1">
        <v>44691</v>
      </c>
      <c r="H5145" t="str">
        <f>"91439"</f>
        <v>91439</v>
      </c>
      <c r="I5145">
        <v>1</v>
      </c>
      <c r="J5145">
        <v>356</v>
      </c>
      <c r="K5145">
        <v>0</v>
      </c>
      <c r="L5145">
        <v>277.68</v>
      </c>
    </row>
    <row r="5146" spans="1:12" x14ac:dyDescent="0.25">
      <c r="A5146" t="str">
        <f t="shared" si="1140"/>
        <v>89301000</v>
      </c>
      <c r="B5146" t="str">
        <f t="shared" si="1130"/>
        <v>06539000</v>
      </c>
      <c r="C5146" t="str">
        <f t="shared" si="1145"/>
        <v>06539003</v>
      </c>
      <c r="D5146" t="str">
        <f t="shared" si="1146"/>
        <v>813</v>
      </c>
      <c r="E5146" t="str">
        <f t="shared" si="1134"/>
        <v>89301171</v>
      </c>
      <c r="F5146" t="str">
        <f t="shared" si="1141"/>
        <v>6162220988</v>
      </c>
      <c r="G5146" s="1">
        <v>44691</v>
      </c>
      <c r="H5146" t="str">
        <f>"91439"</f>
        <v>91439</v>
      </c>
      <c r="I5146">
        <v>1</v>
      </c>
      <c r="J5146">
        <v>356</v>
      </c>
      <c r="K5146">
        <v>0</v>
      </c>
      <c r="L5146">
        <v>277.68</v>
      </c>
    </row>
    <row r="5147" spans="1:12" x14ac:dyDescent="0.25">
      <c r="A5147" t="str">
        <f t="shared" si="1140"/>
        <v>89301000</v>
      </c>
      <c r="B5147" t="str">
        <f t="shared" si="1130"/>
        <v>06539000</v>
      </c>
      <c r="C5147" t="str">
        <f t="shared" si="1145"/>
        <v>06539003</v>
      </c>
      <c r="D5147" t="str">
        <f t="shared" si="1146"/>
        <v>813</v>
      </c>
      <c r="E5147" t="str">
        <f t="shared" si="1134"/>
        <v>89301171</v>
      </c>
      <c r="F5147" t="str">
        <f t="shared" si="1141"/>
        <v>6162220988</v>
      </c>
      <c r="G5147" s="1">
        <v>44691</v>
      </c>
      <c r="H5147" t="str">
        <f>"91439"</f>
        <v>91439</v>
      </c>
      <c r="I5147">
        <v>1</v>
      </c>
      <c r="J5147">
        <v>356</v>
      </c>
      <c r="K5147">
        <v>0</v>
      </c>
      <c r="L5147">
        <v>277.68</v>
      </c>
    </row>
    <row r="5148" spans="1:12" x14ac:dyDescent="0.25">
      <c r="A5148" t="str">
        <f t="shared" si="1140"/>
        <v>89301000</v>
      </c>
      <c r="B5148" t="str">
        <f t="shared" ref="B5148:B5211" si="1147">"06539000"</f>
        <v>06539000</v>
      </c>
      <c r="C5148" t="str">
        <f t="shared" si="1145"/>
        <v>06539003</v>
      </c>
      <c r="D5148" t="str">
        <f t="shared" si="1146"/>
        <v>813</v>
      </c>
      <c r="E5148" t="str">
        <f t="shared" si="1134"/>
        <v>89301171</v>
      </c>
      <c r="F5148" t="str">
        <f t="shared" si="1141"/>
        <v>6162220988</v>
      </c>
      <c r="G5148" s="1">
        <v>44691</v>
      </c>
      <c r="H5148" t="str">
        <f>"91439"</f>
        <v>91439</v>
      </c>
      <c r="I5148">
        <v>2</v>
      </c>
      <c r="J5148">
        <v>712</v>
      </c>
      <c r="K5148">
        <v>0</v>
      </c>
      <c r="L5148">
        <v>555.36</v>
      </c>
    </row>
    <row r="5149" spans="1:12" x14ac:dyDescent="0.25">
      <c r="A5149" t="str">
        <f t="shared" si="1140"/>
        <v>89301000</v>
      </c>
      <c r="B5149" t="str">
        <f t="shared" si="1147"/>
        <v>06539000</v>
      </c>
      <c r="C5149" t="str">
        <f t="shared" si="1145"/>
        <v>06539003</v>
      </c>
      <c r="D5149" t="str">
        <f t="shared" si="1146"/>
        <v>813</v>
      </c>
      <c r="E5149" t="str">
        <f t="shared" si="1134"/>
        <v>89301171</v>
      </c>
      <c r="F5149" t="str">
        <f t="shared" si="1141"/>
        <v>6162220988</v>
      </c>
      <c r="G5149" s="1">
        <v>44690</v>
      </c>
      <c r="H5149" t="str">
        <f t="shared" ref="H5149:H5158" si="1148">"91413"</f>
        <v>91413</v>
      </c>
      <c r="I5149">
        <v>1</v>
      </c>
      <c r="J5149">
        <v>853</v>
      </c>
      <c r="K5149">
        <v>0</v>
      </c>
      <c r="L5149">
        <v>665.34</v>
      </c>
    </row>
    <row r="5150" spans="1:12" x14ac:dyDescent="0.25">
      <c r="A5150" t="str">
        <f t="shared" si="1140"/>
        <v>89301000</v>
      </c>
      <c r="B5150" t="str">
        <f t="shared" si="1147"/>
        <v>06539000</v>
      </c>
      <c r="C5150" t="str">
        <f t="shared" si="1145"/>
        <v>06539003</v>
      </c>
      <c r="D5150" t="str">
        <f t="shared" si="1146"/>
        <v>813</v>
      </c>
      <c r="E5150" t="str">
        <f t="shared" si="1134"/>
        <v>89301171</v>
      </c>
      <c r="F5150" t="str">
        <f t="shared" si="1141"/>
        <v>6162220988</v>
      </c>
      <c r="G5150" s="1">
        <v>44690</v>
      </c>
      <c r="H5150" t="str">
        <f t="shared" si="1148"/>
        <v>91413</v>
      </c>
      <c r="I5150">
        <v>1</v>
      </c>
      <c r="J5150">
        <v>853</v>
      </c>
      <c r="K5150">
        <v>0</v>
      </c>
      <c r="L5150">
        <v>665.34</v>
      </c>
    </row>
    <row r="5151" spans="1:12" x14ac:dyDescent="0.25">
      <c r="A5151" t="str">
        <f t="shared" si="1140"/>
        <v>89301000</v>
      </c>
      <c r="B5151" t="str">
        <f t="shared" si="1147"/>
        <v>06539000</v>
      </c>
      <c r="C5151" t="str">
        <f t="shared" si="1145"/>
        <v>06539003</v>
      </c>
      <c r="D5151" t="str">
        <f t="shared" si="1146"/>
        <v>813</v>
      </c>
      <c r="E5151" t="str">
        <f t="shared" si="1134"/>
        <v>89301171</v>
      </c>
      <c r="F5151" t="str">
        <f t="shared" si="1141"/>
        <v>6162220988</v>
      </c>
      <c r="G5151" s="1">
        <v>44701</v>
      </c>
      <c r="H5151" t="str">
        <f t="shared" si="1148"/>
        <v>91413</v>
      </c>
      <c r="I5151">
        <v>1</v>
      </c>
      <c r="J5151">
        <v>853</v>
      </c>
      <c r="K5151">
        <v>0</v>
      </c>
      <c r="L5151">
        <v>665.34</v>
      </c>
    </row>
    <row r="5152" spans="1:12" x14ac:dyDescent="0.25">
      <c r="A5152" t="str">
        <f t="shared" si="1140"/>
        <v>89301000</v>
      </c>
      <c r="B5152" t="str">
        <f t="shared" si="1147"/>
        <v>06539000</v>
      </c>
      <c r="C5152" t="str">
        <f t="shared" si="1145"/>
        <v>06539003</v>
      </c>
      <c r="D5152" t="str">
        <f t="shared" si="1146"/>
        <v>813</v>
      </c>
      <c r="E5152" t="str">
        <f t="shared" si="1134"/>
        <v>89301171</v>
      </c>
      <c r="F5152" t="str">
        <f t="shared" si="1141"/>
        <v>6162220988</v>
      </c>
      <c r="G5152" s="1">
        <v>44701</v>
      </c>
      <c r="H5152" t="str">
        <f t="shared" si="1148"/>
        <v>91413</v>
      </c>
      <c r="I5152">
        <v>1</v>
      </c>
      <c r="J5152">
        <v>853</v>
      </c>
      <c r="K5152">
        <v>0</v>
      </c>
      <c r="L5152">
        <v>665.34</v>
      </c>
    </row>
    <row r="5153" spans="1:12" x14ac:dyDescent="0.25">
      <c r="A5153" t="str">
        <f t="shared" si="1140"/>
        <v>89301000</v>
      </c>
      <c r="B5153" t="str">
        <f t="shared" si="1147"/>
        <v>06539000</v>
      </c>
      <c r="C5153" t="str">
        <f t="shared" si="1145"/>
        <v>06539003</v>
      </c>
      <c r="D5153" t="str">
        <f t="shared" si="1146"/>
        <v>813</v>
      </c>
      <c r="E5153" t="str">
        <f t="shared" ref="E5153:E5216" si="1149">"89301171"</f>
        <v>89301171</v>
      </c>
      <c r="F5153" t="str">
        <f t="shared" si="1141"/>
        <v>6162220988</v>
      </c>
      <c r="G5153" s="1">
        <v>44699</v>
      </c>
      <c r="H5153" t="str">
        <f t="shared" si="1148"/>
        <v>91413</v>
      </c>
      <c r="I5153">
        <v>1</v>
      </c>
      <c r="J5153">
        <v>853</v>
      </c>
      <c r="K5153">
        <v>0</v>
      </c>
      <c r="L5153">
        <v>665.34</v>
      </c>
    </row>
    <row r="5154" spans="1:12" x14ac:dyDescent="0.25">
      <c r="A5154" t="str">
        <f t="shared" si="1140"/>
        <v>89301000</v>
      </c>
      <c r="B5154" t="str">
        <f t="shared" si="1147"/>
        <v>06539000</v>
      </c>
      <c r="C5154" t="str">
        <f t="shared" si="1145"/>
        <v>06539003</v>
      </c>
      <c r="D5154" t="str">
        <f t="shared" si="1146"/>
        <v>813</v>
      </c>
      <c r="E5154" t="str">
        <f t="shared" si="1149"/>
        <v>89301171</v>
      </c>
      <c r="F5154" t="str">
        <f t="shared" si="1141"/>
        <v>6162220988</v>
      </c>
      <c r="G5154" s="1">
        <v>44699</v>
      </c>
      <c r="H5154" t="str">
        <f t="shared" si="1148"/>
        <v>91413</v>
      </c>
      <c r="I5154">
        <v>1</v>
      </c>
      <c r="J5154">
        <v>853</v>
      </c>
      <c r="K5154">
        <v>0</v>
      </c>
      <c r="L5154">
        <v>665.34</v>
      </c>
    </row>
    <row r="5155" spans="1:12" x14ac:dyDescent="0.25">
      <c r="A5155" t="str">
        <f t="shared" si="1140"/>
        <v>89301000</v>
      </c>
      <c r="B5155" t="str">
        <f t="shared" si="1147"/>
        <v>06539000</v>
      </c>
      <c r="C5155" t="str">
        <f t="shared" si="1145"/>
        <v>06539003</v>
      </c>
      <c r="D5155" t="str">
        <f t="shared" si="1146"/>
        <v>813</v>
      </c>
      <c r="E5155" t="str">
        <f t="shared" si="1149"/>
        <v>89301171</v>
      </c>
      <c r="F5155" t="str">
        <f t="shared" si="1141"/>
        <v>6162220988</v>
      </c>
      <c r="G5155" s="1">
        <v>44701</v>
      </c>
      <c r="H5155" t="str">
        <f t="shared" si="1148"/>
        <v>91413</v>
      </c>
      <c r="I5155">
        <v>1</v>
      </c>
      <c r="J5155">
        <v>853</v>
      </c>
      <c r="K5155">
        <v>0</v>
      </c>
      <c r="L5155">
        <v>665.34</v>
      </c>
    </row>
    <row r="5156" spans="1:12" x14ac:dyDescent="0.25">
      <c r="A5156" t="str">
        <f t="shared" si="1140"/>
        <v>89301000</v>
      </c>
      <c r="B5156" t="str">
        <f t="shared" si="1147"/>
        <v>06539000</v>
      </c>
      <c r="C5156" t="str">
        <f t="shared" si="1145"/>
        <v>06539003</v>
      </c>
      <c r="D5156" t="str">
        <f t="shared" si="1146"/>
        <v>813</v>
      </c>
      <c r="E5156" t="str">
        <f t="shared" si="1149"/>
        <v>89301171</v>
      </c>
      <c r="F5156" t="str">
        <f t="shared" si="1141"/>
        <v>6162220988</v>
      </c>
      <c r="G5156" s="1">
        <v>44701</v>
      </c>
      <c r="H5156" t="str">
        <f t="shared" si="1148"/>
        <v>91413</v>
      </c>
      <c r="I5156">
        <v>1</v>
      </c>
      <c r="J5156">
        <v>853</v>
      </c>
      <c r="K5156">
        <v>0</v>
      </c>
      <c r="L5156">
        <v>665.34</v>
      </c>
    </row>
    <row r="5157" spans="1:12" x14ac:dyDescent="0.25">
      <c r="A5157" t="str">
        <f t="shared" si="1140"/>
        <v>89301000</v>
      </c>
      <c r="B5157" t="str">
        <f t="shared" si="1147"/>
        <v>06539000</v>
      </c>
      <c r="C5157" t="str">
        <f t="shared" si="1145"/>
        <v>06539003</v>
      </c>
      <c r="D5157" t="str">
        <f t="shared" si="1146"/>
        <v>813</v>
      </c>
      <c r="E5157" t="str">
        <f t="shared" si="1149"/>
        <v>89301171</v>
      </c>
      <c r="F5157" t="str">
        <f t="shared" si="1141"/>
        <v>6162220988</v>
      </c>
      <c r="G5157" s="1">
        <v>44701</v>
      </c>
      <c r="H5157" t="str">
        <f t="shared" si="1148"/>
        <v>91413</v>
      </c>
      <c r="I5157">
        <v>1</v>
      </c>
      <c r="J5157">
        <v>853</v>
      </c>
      <c r="K5157">
        <v>0</v>
      </c>
      <c r="L5157">
        <v>665.34</v>
      </c>
    </row>
    <row r="5158" spans="1:12" x14ac:dyDescent="0.25">
      <c r="A5158" t="str">
        <f t="shared" si="1140"/>
        <v>89301000</v>
      </c>
      <c r="B5158" t="str">
        <f t="shared" si="1147"/>
        <v>06539000</v>
      </c>
      <c r="C5158" t="str">
        <f t="shared" si="1145"/>
        <v>06539003</v>
      </c>
      <c r="D5158" t="str">
        <f t="shared" si="1146"/>
        <v>813</v>
      </c>
      <c r="E5158" t="str">
        <f t="shared" si="1149"/>
        <v>89301171</v>
      </c>
      <c r="F5158" t="str">
        <f t="shared" si="1141"/>
        <v>6162220988</v>
      </c>
      <c r="G5158" s="1">
        <v>44701</v>
      </c>
      <c r="H5158" t="str">
        <f t="shared" si="1148"/>
        <v>91413</v>
      </c>
      <c r="I5158">
        <v>1</v>
      </c>
      <c r="J5158">
        <v>853</v>
      </c>
      <c r="K5158">
        <v>0</v>
      </c>
      <c r="L5158">
        <v>665.34</v>
      </c>
    </row>
    <row r="5159" spans="1:12" x14ac:dyDescent="0.25">
      <c r="A5159" t="str">
        <f t="shared" si="1140"/>
        <v>89301000</v>
      </c>
      <c r="B5159" t="str">
        <f t="shared" si="1147"/>
        <v>06539000</v>
      </c>
      <c r="C5159" t="str">
        <f t="shared" si="1145"/>
        <v>06539003</v>
      </c>
      <c r="D5159" t="str">
        <f t="shared" si="1146"/>
        <v>813</v>
      </c>
      <c r="E5159" t="str">
        <f t="shared" si="1149"/>
        <v>89301171</v>
      </c>
      <c r="F5159" t="str">
        <f t="shared" si="1141"/>
        <v>6162220988</v>
      </c>
      <c r="G5159" s="1">
        <v>44687</v>
      </c>
      <c r="H5159" t="str">
        <f t="shared" ref="H5159:H5165" si="1150">"91197"</f>
        <v>91197</v>
      </c>
      <c r="I5159">
        <v>1</v>
      </c>
      <c r="J5159">
        <v>1046</v>
      </c>
      <c r="K5159">
        <v>0</v>
      </c>
      <c r="L5159">
        <v>815.88</v>
      </c>
    </row>
    <row r="5160" spans="1:12" x14ac:dyDescent="0.25">
      <c r="A5160" t="str">
        <f t="shared" si="1140"/>
        <v>89301000</v>
      </c>
      <c r="B5160" t="str">
        <f t="shared" si="1147"/>
        <v>06539000</v>
      </c>
      <c r="C5160" t="str">
        <f t="shared" si="1145"/>
        <v>06539003</v>
      </c>
      <c r="D5160" t="str">
        <f t="shared" si="1146"/>
        <v>813</v>
      </c>
      <c r="E5160" t="str">
        <f t="shared" si="1149"/>
        <v>89301171</v>
      </c>
      <c r="F5160" t="str">
        <f t="shared" si="1141"/>
        <v>6162220988</v>
      </c>
      <c r="G5160" s="1">
        <v>44690</v>
      </c>
      <c r="H5160" t="str">
        <f t="shared" si="1150"/>
        <v>91197</v>
      </c>
      <c r="I5160">
        <v>1</v>
      </c>
      <c r="J5160">
        <v>1046</v>
      </c>
      <c r="K5160">
        <v>0</v>
      </c>
      <c r="L5160">
        <v>815.88</v>
      </c>
    </row>
    <row r="5161" spans="1:12" x14ac:dyDescent="0.25">
      <c r="A5161" t="str">
        <f t="shared" si="1140"/>
        <v>89301000</v>
      </c>
      <c r="B5161" t="str">
        <f t="shared" si="1147"/>
        <v>06539000</v>
      </c>
      <c r="C5161" t="str">
        <f t="shared" si="1145"/>
        <v>06539003</v>
      </c>
      <c r="D5161" t="str">
        <f t="shared" si="1146"/>
        <v>813</v>
      </c>
      <c r="E5161" t="str">
        <f t="shared" si="1149"/>
        <v>89301171</v>
      </c>
      <c r="F5161" t="str">
        <f t="shared" si="1141"/>
        <v>6162220988</v>
      </c>
      <c r="G5161" s="1">
        <v>44690</v>
      </c>
      <c r="H5161" t="str">
        <f t="shared" si="1150"/>
        <v>91197</v>
      </c>
      <c r="I5161">
        <v>1</v>
      </c>
      <c r="J5161">
        <v>1046</v>
      </c>
      <c r="K5161">
        <v>0</v>
      </c>
      <c r="L5161">
        <v>815.88</v>
      </c>
    </row>
    <row r="5162" spans="1:12" x14ac:dyDescent="0.25">
      <c r="A5162" t="str">
        <f t="shared" si="1140"/>
        <v>89301000</v>
      </c>
      <c r="B5162" t="str">
        <f t="shared" si="1147"/>
        <v>06539000</v>
      </c>
      <c r="C5162" t="str">
        <f t="shared" si="1145"/>
        <v>06539003</v>
      </c>
      <c r="D5162" t="str">
        <f t="shared" si="1146"/>
        <v>813</v>
      </c>
      <c r="E5162" t="str">
        <f t="shared" si="1149"/>
        <v>89301171</v>
      </c>
      <c r="F5162" t="str">
        <f t="shared" si="1141"/>
        <v>6162220988</v>
      </c>
      <c r="G5162" s="1">
        <v>44689</v>
      </c>
      <c r="H5162" t="str">
        <f t="shared" si="1150"/>
        <v>91197</v>
      </c>
      <c r="I5162">
        <v>1</v>
      </c>
      <c r="J5162">
        <v>1046</v>
      </c>
      <c r="K5162">
        <v>0</v>
      </c>
      <c r="L5162">
        <v>815.88</v>
      </c>
    </row>
    <row r="5163" spans="1:12" x14ac:dyDescent="0.25">
      <c r="A5163" t="str">
        <f t="shared" si="1140"/>
        <v>89301000</v>
      </c>
      <c r="B5163" t="str">
        <f t="shared" si="1147"/>
        <v>06539000</v>
      </c>
      <c r="C5163" t="str">
        <f t="shared" si="1145"/>
        <v>06539003</v>
      </c>
      <c r="D5163" t="str">
        <f t="shared" si="1146"/>
        <v>813</v>
      </c>
      <c r="E5163" t="str">
        <f t="shared" si="1149"/>
        <v>89301171</v>
      </c>
      <c r="F5163" t="str">
        <f t="shared" si="1141"/>
        <v>6162220988</v>
      </c>
      <c r="G5163" s="1">
        <v>44689</v>
      </c>
      <c r="H5163" t="str">
        <f t="shared" si="1150"/>
        <v>91197</v>
      </c>
      <c r="I5163">
        <v>1</v>
      </c>
      <c r="J5163">
        <v>1046</v>
      </c>
      <c r="K5163">
        <v>0</v>
      </c>
      <c r="L5163">
        <v>815.88</v>
      </c>
    </row>
    <row r="5164" spans="1:12" x14ac:dyDescent="0.25">
      <c r="A5164" t="str">
        <f t="shared" si="1140"/>
        <v>89301000</v>
      </c>
      <c r="B5164" t="str">
        <f t="shared" si="1147"/>
        <v>06539000</v>
      </c>
      <c r="C5164" t="str">
        <f t="shared" si="1145"/>
        <v>06539003</v>
      </c>
      <c r="D5164" t="str">
        <f t="shared" si="1146"/>
        <v>813</v>
      </c>
      <c r="E5164" t="str">
        <f t="shared" si="1149"/>
        <v>89301171</v>
      </c>
      <c r="F5164" t="str">
        <f t="shared" si="1141"/>
        <v>6162220988</v>
      </c>
      <c r="G5164" s="1">
        <v>44688</v>
      </c>
      <c r="H5164" t="str">
        <f t="shared" si="1150"/>
        <v>91197</v>
      </c>
      <c r="I5164">
        <v>1</v>
      </c>
      <c r="J5164">
        <v>1046</v>
      </c>
      <c r="K5164">
        <v>0</v>
      </c>
      <c r="L5164">
        <v>815.88</v>
      </c>
    </row>
    <row r="5165" spans="1:12" x14ac:dyDescent="0.25">
      <c r="A5165" t="str">
        <f t="shared" si="1140"/>
        <v>89301000</v>
      </c>
      <c r="B5165" t="str">
        <f t="shared" si="1147"/>
        <v>06539000</v>
      </c>
      <c r="C5165" t="str">
        <f t="shared" si="1145"/>
        <v>06539003</v>
      </c>
      <c r="D5165" t="str">
        <f t="shared" si="1146"/>
        <v>813</v>
      </c>
      <c r="E5165" t="str">
        <f t="shared" si="1149"/>
        <v>89301171</v>
      </c>
      <c r="F5165" t="str">
        <f t="shared" si="1141"/>
        <v>6162220988</v>
      </c>
      <c r="G5165" s="1">
        <v>44688</v>
      </c>
      <c r="H5165" t="str">
        <f t="shared" si="1150"/>
        <v>91197</v>
      </c>
      <c r="I5165">
        <v>1</v>
      </c>
      <c r="J5165">
        <v>1046</v>
      </c>
      <c r="K5165">
        <v>0</v>
      </c>
      <c r="L5165">
        <v>815.88</v>
      </c>
    </row>
    <row r="5166" spans="1:12" x14ac:dyDescent="0.25">
      <c r="A5166" t="str">
        <f t="shared" si="1140"/>
        <v>89301000</v>
      </c>
      <c r="B5166" t="str">
        <f t="shared" si="1147"/>
        <v>06539000</v>
      </c>
      <c r="C5166" t="str">
        <f t="shared" si="1145"/>
        <v>06539003</v>
      </c>
      <c r="D5166" t="str">
        <f t="shared" si="1146"/>
        <v>813</v>
      </c>
      <c r="E5166" t="str">
        <f t="shared" si="1149"/>
        <v>89301171</v>
      </c>
      <c r="F5166" t="str">
        <f t="shared" si="1141"/>
        <v>6162220988</v>
      </c>
      <c r="G5166" s="1">
        <v>44701</v>
      </c>
      <c r="H5166" t="str">
        <f>"91329"</f>
        <v>91329</v>
      </c>
      <c r="I5166">
        <v>2</v>
      </c>
      <c r="J5166">
        <v>428</v>
      </c>
      <c r="K5166">
        <v>0</v>
      </c>
      <c r="L5166">
        <v>333.84</v>
      </c>
    </row>
    <row r="5167" spans="1:12" x14ac:dyDescent="0.25">
      <c r="A5167" t="str">
        <f t="shared" si="1140"/>
        <v>89301000</v>
      </c>
      <c r="B5167" t="str">
        <f t="shared" si="1147"/>
        <v>06539000</v>
      </c>
      <c r="C5167" t="str">
        <f t="shared" si="1145"/>
        <v>06539003</v>
      </c>
      <c r="D5167" t="str">
        <f t="shared" si="1146"/>
        <v>813</v>
      </c>
      <c r="E5167" t="str">
        <f t="shared" si="1149"/>
        <v>89301171</v>
      </c>
      <c r="F5167" t="str">
        <f t="shared" si="1141"/>
        <v>6162220988</v>
      </c>
      <c r="G5167" s="1">
        <v>44701</v>
      </c>
      <c r="H5167" t="str">
        <f>"91329"</f>
        <v>91329</v>
      </c>
      <c r="I5167">
        <v>2</v>
      </c>
      <c r="J5167">
        <v>428</v>
      </c>
      <c r="K5167">
        <v>0</v>
      </c>
      <c r="L5167">
        <v>333.84</v>
      </c>
    </row>
    <row r="5168" spans="1:12" x14ac:dyDescent="0.25">
      <c r="A5168" t="str">
        <f t="shared" si="1140"/>
        <v>89301000</v>
      </c>
      <c r="B5168" t="str">
        <f t="shared" si="1147"/>
        <v>06539000</v>
      </c>
      <c r="C5168" t="str">
        <f t="shared" si="1145"/>
        <v>06539003</v>
      </c>
      <c r="D5168" t="str">
        <f t="shared" si="1146"/>
        <v>813</v>
      </c>
      <c r="E5168" t="str">
        <f t="shared" si="1149"/>
        <v>89301171</v>
      </c>
      <c r="F5168" t="str">
        <f t="shared" si="1141"/>
        <v>6162220988</v>
      </c>
      <c r="G5168" s="1">
        <v>44701</v>
      </c>
      <c r="H5168" t="str">
        <f>"91329"</f>
        <v>91329</v>
      </c>
      <c r="I5168">
        <v>2</v>
      </c>
      <c r="J5168">
        <v>428</v>
      </c>
      <c r="K5168">
        <v>0</v>
      </c>
      <c r="L5168">
        <v>333.84</v>
      </c>
    </row>
    <row r="5169" spans="1:12" x14ac:dyDescent="0.25">
      <c r="A5169" t="str">
        <f t="shared" si="1140"/>
        <v>89301000</v>
      </c>
      <c r="B5169" t="str">
        <f t="shared" si="1147"/>
        <v>06539000</v>
      </c>
      <c r="C5169" t="str">
        <f t="shared" si="1145"/>
        <v>06539003</v>
      </c>
      <c r="D5169" t="str">
        <f t="shared" si="1146"/>
        <v>813</v>
      </c>
      <c r="E5169" t="str">
        <f t="shared" si="1149"/>
        <v>89301171</v>
      </c>
      <c r="F5169" t="str">
        <f t="shared" si="1141"/>
        <v>6162220988</v>
      </c>
      <c r="G5169" s="1">
        <v>44701</v>
      </c>
      <c r="H5169" t="str">
        <f>"91329"</f>
        <v>91329</v>
      </c>
      <c r="I5169">
        <v>2</v>
      </c>
      <c r="J5169">
        <v>428</v>
      </c>
      <c r="K5169">
        <v>0</v>
      </c>
      <c r="L5169">
        <v>333.84</v>
      </c>
    </row>
    <row r="5170" spans="1:12" x14ac:dyDescent="0.25">
      <c r="A5170" t="str">
        <f t="shared" si="1140"/>
        <v>89301000</v>
      </c>
      <c r="B5170" t="str">
        <f t="shared" si="1147"/>
        <v>06539000</v>
      </c>
      <c r="C5170" t="str">
        <f t="shared" si="1145"/>
        <v>06539003</v>
      </c>
      <c r="D5170" t="str">
        <f t="shared" si="1146"/>
        <v>813</v>
      </c>
      <c r="E5170" t="str">
        <f t="shared" si="1149"/>
        <v>89301171</v>
      </c>
      <c r="F5170" t="str">
        <f t="shared" si="1141"/>
        <v>6162220988</v>
      </c>
      <c r="G5170" s="1">
        <v>44687</v>
      </c>
      <c r="H5170" t="str">
        <f>"91129"</f>
        <v>91129</v>
      </c>
      <c r="I5170">
        <v>1</v>
      </c>
      <c r="J5170">
        <v>174</v>
      </c>
      <c r="K5170">
        <v>0</v>
      </c>
      <c r="L5170">
        <v>135.72</v>
      </c>
    </row>
    <row r="5171" spans="1:12" x14ac:dyDescent="0.25">
      <c r="A5171" t="str">
        <f t="shared" si="1140"/>
        <v>89301000</v>
      </c>
      <c r="B5171" t="str">
        <f t="shared" si="1147"/>
        <v>06539000</v>
      </c>
      <c r="C5171" t="str">
        <f t="shared" si="1145"/>
        <v>06539003</v>
      </c>
      <c r="D5171" t="str">
        <f t="shared" si="1146"/>
        <v>813</v>
      </c>
      <c r="E5171" t="str">
        <f t="shared" si="1149"/>
        <v>89301171</v>
      </c>
      <c r="F5171" t="str">
        <f t="shared" si="1141"/>
        <v>6162220988</v>
      </c>
      <c r="G5171" s="1">
        <v>44687</v>
      </c>
      <c r="H5171" t="str">
        <f>"91131"</f>
        <v>91131</v>
      </c>
      <c r="I5171">
        <v>1</v>
      </c>
      <c r="J5171">
        <v>171</v>
      </c>
      <c r="K5171">
        <v>0</v>
      </c>
      <c r="L5171">
        <v>133.38</v>
      </c>
    </row>
    <row r="5172" spans="1:12" x14ac:dyDescent="0.25">
      <c r="A5172" t="str">
        <f t="shared" si="1140"/>
        <v>89301000</v>
      </c>
      <c r="B5172" t="str">
        <f t="shared" si="1147"/>
        <v>06539000</v>
      </c>
      <c r="C5172" t="str">
        <f t="shared" si="1145"/>
        <v>06539003</v>
      </c>
      <c r="D5172" t="str">
        <f t="shared" si="1146"/>
        <v>813</v>
      </c>
      <c r="E5172" t="str">
        <f t="shared" si="1149"/>
        <v>89301171</v>
      </c>
      <c r="F5172" t="str">
        <f t="shared" si="1141"/>
        <v>6162220988</v>
      </c>
      <c r="G5172" s="1">
        <v>44687</v>
      </c>
      <c r="H5172" t="str">
        <f>"91133"</f>
        <v>91133</v>
      </c>
      <c r="I5172">
        <v>1</v>
      </c>
      <c r="J5172">
        <v>176</v>
      </c>
      <c r="K5172">
        <v>0</v>
      </c>
      <c r="L5172">
        <v>137.28</v>
      </c>
    </row>
    <row r="5173" spans="1:12" x14ac:dyDescent="0.25">
      <c r="A5173" t="str">
        <f t="shared" si="1140"/>
        <v>89301000</v>
      </c>
      <c r="B5173" t="str">
        <f t="shared" si="1147"/>
        <v>06539000</v>
      </c>
      <c r="C5173" t="str">
        <f t="shared" si="1145"/>
        <v>06539003</v>
      </c>
      <c r="D5173" t="str">
        <f t="shared" si="1146"/>
        <v>813</v>
      </c>
      <c r="E5173" t="str">
        <f t="shared" si="1149"/>
        <v>89301171</v>
      </c>
      <c r="F5173" t="str">
        <f t="shared" si="1141"/>
        <v>6162220988</v>
      </c>
      <c r="G5173" s="1">
        <v>44687</v>
      </c>
      <c r="H5173" t="str">
        <f>"91171"</f>
        <v>91171</v>
      </c>
      <c r="I5173">
        <v>1</v>
      </c>
      <c r="J5173">
        <v>360</v>
      </c>
      <c r="K5173">
        <v>0</v>
      </c>
      <c r="L5173">
        <v>280.8</v>
      </c>
    </row>
    <row r="5174" spans="1:12" x14ac:dyDescent="0.25">
      <c r="A5174" t="str">
        <f t="shared" si="1140"/>
        <v>89301000</v>
      </c>
      <c r="B5174" t="str">
        <f t="shared" si="1147"/>
        <v>06539000</v>
      </c>
      <c r="C5174" t="str">
        <f t="shared" si="1145"/>
        <v>06539003</v>
      </c>
      <c r="D5174" t="str">
        <f t="shared" si="1146"/>
        <v>813</v>
      </c>
      <c r="E5174" t="str">
        <f t="shared" si="1149"/>
        <v>89301171</v>
      </c>
      <c r="F5174" t="str">
        <f t="shared" si="1141"/>
        <v>6162220988</v>
      </c>
      <c r="G5174" s="1">
        <v>44687</v>
      </c>
      <c r="H5174" t="str">
        <f>"91173"</f>
        <v>91173</v>
      </c>
      <c r="I5174">
        <v>1</v>
      </c>
      <c r="J5174">
        <v>335</v>
      </c>
      <c r="K5174">
        <v>0</v>
      </c>
      <c r="L5174">
        <v>261.3</v>
      </c>
    </row>
    <row r="5175" spans="1:12" x14ac:dyDescent="0.25">
      <c r="A5175" t="str">
        <f t="shared" si="1140"/>
        <v>89301000</v>
      </c>
      <c r="B5175" t="str">
        <f t="shared" si="1147"/>
        <v>06539000</v>
      </c>
      <c r="C5175" t="str">
        <f t="shared" si="1145"/>
        <v>06539003</v>
      </c>
      <c r="D5175" t="str">
        <f t="shared" si="1146"/>
        <v>813</v>
      </c>
      <c r="E5175" t="str">
        <f t="shared" si="1149"/>
        <v>89301171</v>
      </c>
      <c r="F5175" t="str">
        <f t="shared" si="1141"/>
        <v>6162220988</v>
      </c>
      <c r="G5175" s="1">
        <v>44687</v>
      </c>
      <c r="H5175" t="str">
        <f>"91175"</f>
        <v>91175</v>
      </c>
      <c r="I5175">
        <v>1</v>
      </c>
      <c r="J5175">
        <v>360</v>
      </c>
      <c r="K5175">
        <v>0</v>
      </c>
      <c r="L5175">
        <v>280.8</v>
      </c>
    </row>
    <row r="5176" spans="1:12" x14ac:dyDescent="0.25">
      <c r="A5176" t="str">
        <f t="shared" si="1140"/>
        <v>89301000</v>
      </c>
      <c r="B5176" t="str">
        <f t="shared" si="1147"/>
        <v>06539000</v>
      </c>
      <c r="C5176" t="str">
        <f t="shared" ref="C5176:C5207" si="1151">"06539003"</f>
        <v>06539003</v>
      </c>
      <c r="D5176" t="str">
        <f t="shared" ref="D5176:D5207" si="1152">"813"</f>
        <v>813</v>
      </c>
      <c r="E5176" t="str">
        <f t="shared" si="1149"/>
        <v>89301171</v>
      </c>
      <c r="F5176" t="str">
        <f t="shared" si="1141"/>
        <v>6162220988</v>
      </c>
      <c r="G5176" s="1">
        <v>44688</v>
      </c>
      <c r="H5176" t="str">
        <f>"91167"</f>
        <v>91167</v>
      </c>
      <c r="I5176">
        <v>1</v>
      </c>
      <c r="J5176">
        <v>425</v>
      </c>
      <c r="K5176">
        <v>0</v>
      </c>
      <c r="L5176">
        <v>331.5</v>
      </c>
    </row>
    <row r="5177" spans="1:12" x14ac:dyDescent="0.25">
      <c r="A5177" t="str">
        <f t="shared" si="1140"/>
        <v>89301000</v>
      </c>
      <c r="B5177" t="str">
        <f t="shared" si="1147"/>
        <v>06539000</v>
      </c>
      <c r="C5177" t="str">
        <f t="shared" si="1151"/>
        <v>06539003</v>
      </c>
      <c r="D5177" t="str">
        <f t="shared" si="1152"/>
        <v>813</v>
      </c>
      <c r="E5177" t="str">
        <f t="shared" si="1149"/>
        <v>89301171</v>
      </c>
      <c r="F5177" t="str">
        <f t="shared" si="1141"/>
        <v>6162220988</v>
      </c>
      <c r="G5177" s="1">
        <v>44688</v>
      </c>
      <c r="H5177" t="str">
        <f>"91169"</f>
        <v>91169</v>
      </c>
      <c r="I5177">
        <v>1</v>
      </c>
      <c r="J5177">
        <v>425</v>
      </c>
      <c r="K5177">
        <v>0</v>
      </c>
      <c r="L5177">
        <v>331.5</v>
      </c>
    </row>
    <row r="5178" spans="1:12" x14ac:dyDescent="0.25">
      <c r="A5178" t="str">
        <f t="shared" si="1140"/>
        <v>89301000</v>
      </c>
      <c r="B5178" t="str">
        <f t="shared" si="1147"/>
        <v>06539000</v>
      </c>
      <c r="C5178" t="str">
        <f t="shared" si="1151"/>
        <v>06539003</v>
      </c>
      <c r="D5178" t="str">
        <f t="shared" si="1152"/>
        <v>813</v>
      </c>
      <c r="E5178" t="str">
        <f t="shared" si="1149"/>
        <v>89301171</v>
      </c>
      <c r="F5178" t="str">
        <f t="shared" si="1141"/>
        <v>6162220988</v>
      </c>
      <c r="G5178" s="1">
        <v>44687</v>
      </c>
      <c r="H5178" t="str">
        <f>"91167"</f>
        <v>91167</v>
      </c>
      <c r="I5178">
        <v>1</v>
      </c>
      <c r="J5178">
        <v>425</v>
      </c>
      <c r="K5178">
        <v>0</v>
      </c>
      <c r="L5178">
        <v>331.5</v>
      </c>
    </row>
    <row r="5179" spans="1:12" x14ac:dyDescent="0.25">
      <c r="A5179" t="str">
        <f t="shared" si="1140"/>
        <v>89301000</v>
      </c>
      <c r="B5179" t="str">
        <f t="shared" si="1147"/>
        <v>06539000</v>
      </c>
      <c r="C5179" t="str">
        <f t="shared" si="1151"/>
        <v>06539003</v>
      </c>
      <c r="D5179" t="str">
        <f t="shared" si="1152"/>
        <v>813</v>
      </c>
      <c r="E5179" t="str">
        <f t="shared" si="1149"/>
        <v>89301171</v>
      </c>
      <c r="F5179" t="str">
        <f t="shared" si="1141"/>
        <v>6162220988</v>
      </c>
      <c r="G5179" s="1">
        <v>44687</v>
      </c>
      <c r="H5179" t="str">
        <f>"91169"</f>
        <v>91169</v>
      </c>
      <c r="I5179">
        <v>1</v>
      </c>
      <c r="J5179">
        <v>425</v>
      </c>
      <c r="K5179">
        <v>0</v>
      </c>
      <c r="L5179">
        <v>331.5</v>
      </c>
    </row>
    <row r="5180" spans="1:12" x14ac:dyDescent="0.25">
      <c r="A5180" t="str">
        <f t="shared" si="1140"/>
        <v>89301000</v>
      </c>
      <c r="B5180" t="str">
        <f t="shared" si="1147"/>
        <v>06539000</v>
      </c>
      <c r="C5180" t="str">
        <f t="shared" si="1151"/>
        <v>06539003</v>
      </c>
      <c r="D5180" t="str">
        <f t="shared" si="1152"/>
        <v>813</v>
      </c>
      <c r="E5180" t="str">
        <f t="shared" si="1149"/>
        <v>89301171</v>
      </c>
      <c r="F5180" t="str">
        <f t="shared" si="1141"/>
        <v>6162220988</v>
      </c>
      <c r="G5180" s="1">
        <v>44687</v>
      </c>
      <c r="H5180" t="str">
        <f>"91475"</f>
        <v>91475</v>
      </c>
      <c r="I5180">
        <v>1</v>
      </c>
      <c r="J5180">
        <v>206</v>
      </c>
      <c r="K5180">
        <v>0</v>
      </c>
      <c r="L5180">
        <v>160.68</v>
      </c>
    </row>
    <row r="5181" spans="1:12" x14ac:dyDescent="0.25">
      <c r="A5181" t="str">
        <f t="shared" si="1140"/>
        <v>89301000</v>
      </c>
      <c r="B5181" t="str">
        <f t="shared" si="1147"/>
        <v>06539000</v>
      </c>
      <c r="C5181" t="str">
        <f t="shared" si="1151"/>
        <v>06539003</v>
      </c>
      <c r="D5181" t="str">
        <f t="shared" si="1152"/>
        <v>813</v>
      </c>
      <c r="E5181" t="str">
        <f t="shared" si="1149"/>
        <v>89301171</v>
      </c>
      <c r="F5181" t="str">
        <f t="shared" ref="F5181:F5207" si="1153">"6155040518"</f>
        <v>6155040518</v>
      </c>
      <c r="G5181" s="1">
        <v>44691</v>
      </c>
      <c r="H5181" t="str">
        <f>"91439"</f>
        <v>91439</v>
      </c>
      <c r="I5181">
        <v>1</v>
      </c>
      <c r="J5181">
        <v>356</v>
      </c>
      <c r="K5181">
        <v>0</v>
      </c>
      <c r="L5181">
        <v>277.68</v>
      </c>
    </row>
    <row r="5182" spans="1:12" x14ac:dyDescent="0.25">
      <c r="A5182" t="str">
        <f t="shared" si="1140"/>
        <v>89301000</v>
      </c>
      <c r="B5182" t="str">
        <f t="shared" si="1147"/>
        <v>06539000</v>
      </c>
      <c r="C5182" t="str">
        <f t="shared" si="1151"/>
        <v>06539003</v>
      </c>
      <c r="D5182" t="str">
        <f t="shared" si="1152"/>
        <v>813</v>
      </c>
      <c r="E5182" t="str">
        <f t="shared" si="1149"/>
        <v>89301171</v>
      </c>
      <c r="F5182" t="str">
        <f t="shared" si="1153"/>
        <v>6155040518</v>
      </c>
      <c r="G5182" s="1">
        <v>44691</v>
      </c>
      <c r="H5182" t="str">
        <f>"91439"</f>
        <v>91439</v>
      </c>
      <c r="I5182">
        <v>1</v>
      </c>
      <c r="J5182">
        <v>356</v>
      </c>
      <c r="K5182">
        <v>0</v>
      </c>
      <c r="L5182">
        <v>277.68</v>
      </c>
    </row>
    <row r="5183" spans="1:12" x14ac:dyDescent="0.25">
      <c r="A5183" t="str">
        <f t="shared" si="1140"/>
        <v>89301000</v>
      </c>
      <c r="B5183" t="str">
        <f t="shared" si="1147"/>
        <v>06539000</v>
      </c>
      <c r="C5183" t="str">
        <f t="shared" si="1151"/>
        <v>06539003</v>
      </c>
      <c r="D5183" t="str">
        <f t="shared" si="1152"/>
        <v>813</v>
      </c>
      <c r="E5183" t="str">
        <f t="shared" si="1149"/>
        <v>89301171</v>
      </c>
      <c r="F5183" t="str">
        <f t="shared" si="1153"/>
        <v>6155040518</v>
      </c>
      <c r="G5183" s="1">
        <v>44691</v>
      </c>
      <c r="H5183" t="str">
        <f>"91439"</f>
        <v>91439</v>
      </c>
      <c r="I5183">
        <v>1</v>
      </c>
      <c r="J5183">
        <v>356</v>
      </c>
      <c r="K5183">
        <v>0</v>
      </c>
      <c r="L5183">
        <v>277.68</v>
      </c>
    </row>
    <row r="5184" spans="1:12" x14ac:dyDescent="0.25">
      <c r="A5184" t="str">
        <f t="shared" si="1140"/>
        <v>89301000</v>
      </c>
      <c r="B5184" t="str">
        <f t="shared" si="1147"/>
        <v>06539000</v>
      </c>
      <c r="C5184" t="str">
        <f t="shared" si="1151"/>
        <v>06539003</v>
      </c>
      <c r="D5184" t="str">
        <f t="shared" si="1152"/>
        <v>813</v>
      </c>
      <c r="E5184" t="str">
        <f t="shared" si="1149"/>
        <v>89301171</v>
      </c>
      <c r="F5184" t="str">
        <f t="shared" si="1153"/>
        <v>6155040518</v>
      </c>
      <c r="G5184" s="1">
        <v>44691</v>
      </c>
      <c r="H5184" t="str">
        <f>"91439"</f>
        <v>91439</v>
      </c>
      <c r="I5184">
        <v>1</v>
      </c>
      <c r="J5184">
        <v>356</v>
      </c>
      <c r="K5184">
        <v>0</v>
      </c>
      <c r="L5184">
        <v>277.68</v>
      </c>
    </row>
    <row r="5185" spans="1:12" x14ac:dyDescent="0.25">
      <c r="A5185" t="str">
        <f t="shared" si="1140"/>
        <v>89301000</v>
      </c>
      <c r="B5185" t="str">
        <f t="shared" si="1147"/>
        <v>06539000</v>
      </c>
      <c r="C5185" t="str">
        <f t="shared" si="1151"/>
        <v>06539003</v>
      </c>
      <c r="D5185" t="str">
        <f t="shared" si="1152"/>
        <v>813</v>
      </c>
      <c r="E5185" t="str">
        <f t="shared" si="1149"/>
        <v>89301171</v>
      </c>
      <c r="F5185" t="str">
        <f t="shared" si="1153"/>
        <v>6155040518</v>
      </c>
      <c r="G5185" s="1">
        <v>44691</v>
      </c>
      <c r="H5185" t="str">
        <f>"91439"</f>
        <v>91439</v>
      </c>
      <c r="I5185">
        <v>2</v>
      </c>
      <c r="J5185">
        <v>712</v>
      </c>
      <c r="K5185">
        <v>0</v>
      </c>
      <c r="L5185">
        <v>555.36</v>
      </c>
    </row>
    <row r="5186" spans="1:12" x14ac:dyDescent="0.25">
      <c r="A5186" t="str">
        <f t="shared" ref="A5186:A5249" si="1154">"89301000"</f>
        <v>89301000</v>
      </c>
      <c r="B5186" t="str">
        <f t="shared" si="1147"/>
        <v>06539000</v>
      </c>
      <c r="C5186" t="str">
        <f t="shared" si="1151"/>
        <v>06539003</v>
      </c>
      <c r="D5186" t="str">
        <f t="shared" si="1152"/>
        <v>813</v>
      </c>
      <c r="E5186" t="str">
        <f t="shared" si="1149"/>
        <v>89301171</v>
      </c>
      <c r="F5186" t="str">
        <f t="shared" si="1153"/>
        <v>6155040518</v>
      </c>
      <c r="G5186" s="1">
        <v>44690</v>
      </c>
      <c r="H5186" t="str">
        <f t="shared" ref="H5186:H5195" si="1155">"91413"</f>
        <v>91413</v>
      </c>
      <c r="I5186">
        <v>1</v>
      </c>
      <c r="J5186">
        <v>853</v>
      </c>
      <c r="K5186">
        <v>0</v>
      </c>
      <c r="L5186">
        <v>665.34</v>
      </c>
    </row>
    <row r="5187" spans="1:12" x14ac:dyDescent="0.25">
      <c r="A5187" t="str">
        <f t="shared" si="1154"/>
        <v>89301000</v>
      </c>
      <c r="B5187" t="str">
        <f t="shared" si="1147"/>
        <v>06539000</v>
      </c>
      <c r="C5187" t="str">
        <f t="shared" si="1151"/>
        <v>06539003</v>
      </c>
      <c r="D5187" t="str">
        <f t="shared" si="1152"/>
        <v>813</v>
      </c>
      <c r="E5187" t="str">
        <f t="shared" si="1149"/>
        <v>89301171</v>
      </c>
      <c r="F5187" t="str">
        <f t="shared" si="1153"/>
        <v>6155040518</v>
      </c>
      <c r="G5187" s="1">
        <v>44690</v>
      </c>
      <c r="H5187" t="str">
        <f t="shared" si="1155"/>
        <v>91413</v>
      </c>
      <c r="I5187">
        <v>1</v>
      </c>
      <c r="J5187">
        <v>853</v>
      </c>
      <c r="K5187">
        <v>0</v>
      </c>
      <c r="L5187">
        <v>665.34</v>
      </c>
    </row>
    <row r="5188" spans="1:12" x14ac:dyDescent="0.25">
      <c r="A5188" t="str">
        <f t="shared" si="1154"/>
        <v>89301000</v>
      </c>
      <c r="B5188" t="str">
        <f t="shared" si="1147"/>
        <v>06539000</v>
      </c>
      <c r="C5188" t="str">
        <f t="shared" si="1151"/>
        <v>06539003</v>
      </c>
      <c r="D5188" t="str">
        <f t="shared" si="1152"/>
        <v>813</v>
      </c>
      <c r="E5188" t="str">
        <f t="shared" si="1149"/>
        <v>89301171</v>
      </c>
      <c r="F5188" t="str">
        <f t="shared" si="1153"/>
        <v>6155040518</v>
      </c>
      <c r="G5188" s="1">
        <v>44704</v>
      </c>
      <c r="H5188" t="str">
        <f t="shared" si="1155"/>
        <v>91413</v>
      </c>
      <c r="I5188">
        <v>1</v>
      </c>
      <c r="J5188">
        <v>853</v>
      </c>
      <c r="K5188">
        <v>0</v>
      </c>
      <c r="L5188">
        <v>665.34</v>
      </c>
    </row>
    <row r="5189" spans="1:12" x14ac:dyDescent="0.25">
      <c r="A5189" t="str">
        <f t="shared" si="1154"/>
        <v>89301000</v>
      </c>
      <c r="B5189" t="str">
        <f t="shared" si="1147"/>
        <v>06539000</v>
      </c>
      <c r="C5189" t="str">
        <f t="shared" si="1151"/>
        <v>06539003</v>
      </c>
      <c r="D5189" t="str">
        <f t="shared" si="1152"/>
        <v>813</v>
      </c>
      <c r="E5189" t="str">
        <f t="shared" si="1149"/>
        <v>89301171</v>
      </c>
      <c r="F5189" t="str">
        <f t="shared" si="1153"/>
        <v>6155040518</v>
      </c>
      <c r="G5189" s="1">
        <v>44704</v>
      </c>
      <c r="H5189" t="str">
        <f t="shared" si="1155"/>
        <v>91413</v>
      </c>
      <c r="I5189">
        <v>1</v>
      </c>
      <c r="J5189">
        <v>853</v>
      </c>
      <c r="K5189">
        <v>0</v>
      </c>
      <c r="L5189">
        <v>665.34</v>
      </c>
    </row>
    <row r="5190" spans="1:12" x14ac:dyDescent="0.25">
      <c r="A5190" t="str">
        <f t="shared" si="1154"/>
        <v>89301000</v>
      </c>
      <c r="B5190" t="str">
        <f t="shared" si="1147"/>
        <v>06539000</v>
      </c>
      <c r="C5190" t="str">
        <f t="shared" si="1151"/>
        <v>06539003</v>
      </c>
      <c r="D5190" t="str">
        <f t="shared" si="1152"/>
        <v>813</v>
      </c>
      <c r="E5190" t="str">
        <f t="shared" si="1149"/>
        <v>89301171</v>
      </c>
      <c r="F5190" t="str">
        <f t="shared" si="1153"/>
        <v>6155040518</v>
      </c>
      <c r="G5190" s="1">
        <v>44699</v>
      </c>
      <c r="H5190" t="str">
        <f t="shared" si="1155"/>
        <v>91413</v>
      </c>
      <c r="I5190">
        <v>1</v>
      </c>
      <c r="J5190">
        <v>853</v>
      </c>
      <c r="K5190">
        <v>0</v>
      </c>
      <c r="L5190">
        <v>665.34</v>
      </c>
    </row>
    <row r="5191" spans="1:12" x14ac:dyDescent="0.25">
      <c r="A5191" t="str">
        <f t="shared" si="1154"/>
        <v>89301000</v>
      </c>
      <c r="B5191" t="str">
        <f t="shared" si="1147"/>
        <v>06539000</v>
      </c>
      <c r="C5191" t="str">
        <f t="shared" si="1151"/>
        <v>06539003</v>
      </c>
      <c r="D5191" t="str">
        <f t="shared" si="1152"/>
        <v>813</v>
      </c>
      <c r="E5191" t="str">
        <f t="shared" si="1149"/>
        <v>89301171</v>
      </c>
      <c r="F5191" t="str">
        <f t="shared" si="1153"/>
        <v>6155040518</v>
      </c>
      <c r="G5191" s="1">
        <v>44699</v>
      </c>
      <c r="H5191" t="str">
        <f t="shared" si="1155"/>
        <v>91413</v>
      </c>
      <c r="I5191">
        <v>1</v>
      </c>
      <c r="J5191">
        <v>853</v>
      </c>
      <c r="K5191">
        <v>0</v>
      </c>
      <c r="L5191">
        <v>665.34</v>
      </c>
    </row>
    <row r="5192" spans="1:12" x14ac:dyDescent="0.25">
      <c r="A5192" t="str">
        <f t="shared" si="1154"/>
        <v>89301000</v>
      </c>
      <c r="B5192" t="str">
        <f t="shared" si="1147"/>
        <v>06539000</v>
      </c>
      <c r="C5192" t="str">
        <f t="shared" si="1151"/>
        <v>06539003</v>
      </c>
      <c r="D5192" t="str">
        <f t="shared" si="1152"/>
        <v>813</v>
      </c>
      <c r="E5192" t="str">
        <f t="shared" si="1149"/>
        <v>89301171</v>
      </c>
      <c r="F5192" t="str">
        <f t="shared" si="1153"/>
        <v>6155040518</v>
      </c>
      <c r="G5192" s="1">
        <v>44704</v>
      </c>
      <c r="H5192" t="str">
        <f t="shared" si="1155"/>
        <v>91413</v>
      </c>
      <c r="I5192">
        <v>1</v>
      </c>
      <c r="J5192">
        <v>853</v>
      </c>
      <c r="K5192">
        <v>0</v>
      </c>
      <c r="L5192">
        <v>665.34</v>
      </c>
    </row>
    <row r="5193" spans="1:12" x14ac:dyDescent="0.25">
      <c r="A5193" t="str">
        <f t="shared" si="1154"/>
        <v>89301000</v>
      </c>
      <c r="B5193" t="str">
        <f t="shared" si="1147"/>
        <v>06539000</v>
      </c>
      <c r="C5193" t="str">
        <f t="shared" si="1151"/>
        <v>06539003</v>
      </c>
      <c r="D5193" t="str">
        <f t="shared" si="1152"/>
        <v>813</v>
      </c>
      <c r="E5193" t="str">
        <f t="shared" si="1149"/>
        <v>89301171</v>
      </c>
      <c r="F5193" t="str">
        <f t="shared" si="1153"/>
        <v>6155040518</v>
      </c>
      <c r="G5193" s="1">
        <v>44704</v>
      </c>
      <c r="H5193" t="str">
        <f t="shared" si="1155"/>
        <v>91413</v>
      </c>
      <c r="I5193">
        <v>1</v>
      </c>
      <c r="J5193">
        <v>853</v>
      </c>
      <c r="K5193">
        <v>0</v>
      </c>
      <c r="L5193">
        <v>665.34</v>
      </c>
    </row>
    <row r="5194" spans="1:12" x14ac:dyDescent="0.25">
      <c r="A5194" t="str">
        <f t="shared" si="1154"/>
        <v>89301000</v>
      </c>
      <c r="B5194" t="str">
        <f t="shared" si="1147"/>
        <v>06539000</v>
      </c>
      <c r="C5194" t="str">
        <f t="shared" si="1151"/>
        <v>06539003</v>
      </c>
      <c r="D5194" t="str">
        <f t="shared" si="1152"/>
        <v>813</v>
      </c>
      <c r="E5194" t="str">
        <f t="shared" si="1149"/>
        <v>89301171</v>
      </c>
      <c r="F5194" t="str">
        <f t="shared" si="1153"/>
        <v>6155040518</v>
      </c>
      <c r="G5194" s="1">
        <v>44704</v>
      </c>
      <c r="H5194" t="str">
        <f t="shared" si="1155"/>
        <v>91413</v>
      </c>
      <c r="I5194">
        <v>1</v>
      </c>
      <c r="J5194">
        <v>853</v>
      </c>
      <c r="K5194">
        <v>0</v>
      </c>
      <c r="L5194">
        <v>665.34</v>
      </c>
    </row>
    <row r="5195" spans="1:12" x14ac:dyDescent="0.25">
      <c r="A5195" t="str">
        <f t="shared" si="1154"/>
        <v>89301000</v>
      </c>
      <c r="B5195" t="str">
        <f t="shared" si="1147"/>
        <v>06539000</v>
      </c>
      <c r="C5195" t="str">
        <f t="shared" si="1151"/>
        <v>06539003</v>
      </c>
      <c r="D5195" t="str">
        <f t="shared" si="1152"/>
        <v>813</v>
      </c>
      <c r="E5195" t="str">
        <f t="shared" si="1149"/>
        <v>89301171</v>
      </c>
      <c r="F5195" t="str">
        <f t="shared" si="1153"/>
        <v>6155040518</v>
      </c>
      <c r="G5195" s="1">
        <v>44704</v>
      </c>
      <c r="H5195" t="str">
        <f t="shared" si="1155"/>
        <v>91413</v>
      </c>
      <c r="I5195">
        <v>1</v>
      </c>
      <c r="J5195">
        <v>853</v>
      </c>
      <c r="K5195">
        <v>0</v>
      </c>
      <c r="L5195">
        <v>665.34</v>
      </c>
    </row>
    <row r="5196" spans="1:12" x14ac:dyDescent="0.25">
      <c r="A5196" t="str">
        <f t="shared" si="1154"/>
        <v>89301000</v>
      </c>
      <c r="B5196" t="str">
        <f t="shared" si="1147"/>
        <v>06539000</v>
      </c>
      <c r="C5196" t="str">
        <f t="shared" si="1151"/>
        <v>06539003</v>
      </c>
      <c r="D5196" t="str">
        <f t="shared" si="1152"/>
        <v>813</v>
      </c>
      <c r="E5196" t="str">
        <f t="shared" si="1149"/>
        <v>89301171</v>
      </c>
      <c r="F5196" t="str">
        <f t="shared" si="1153"/>
        <v>6155040518</v>
      </c>
      <c r="G5196" s="1">
        <v>44690</v>
      </c>
      <c r="H5196" t="str">
        <f t="shared" ref="H5196:H5201" si="1156">"91197"</f>
        <v>91197</v>
      </c>
      <c r="I5196">
        <v>1</v>
      </c>
      <c r="J5196">
        <v>1046</v>
      </c>
      <c r="K5196">
        <v>0</v>
      </c>
      <c r="L5196">
        <v>815.88</v>
      </c>
    </row>
    <row r="5197" spans="1:12" x14ac:dyDescent="0.25">
      <c r="A5197" t="str">
        <f t="shared" si="1154"/>
        <v>89301000</v>
      </c>
      <c r="B5197" t="str">
        <f t="shared" si="1147"/>
        <v>06539000</v>
      </c>
      <c r="C5197" t="str">
        <f t="shared" si="1151"/>
        <v>06539003</v>
      </c>
      <c r="D5197" t="str">
        <f t="shared" si="1152"/>
        <v>813</v>
      </c>
      <c r="E5197" t="str">
        <f t="shared" si="1149"/>
        <v>89301171</v>
      </c>
      <c r="F5197" t="str">
        <f t="shared" si="1153"/>
        <v>6155040518</v>
      </c>
      <c r="G5197" s="1">
        <v>44690</v>
      </c>
      <c r="H5197" t="str">
        <f t="shared" si="1156"/>
        <v>91197</v>
      </c>
      <c r="I5197">
        <v>1</v>
      </c>
      <c r="J5197">
        <v>1046</v>
      </c>
      <c r="K5197">
        <v>0</v>
      </c>
      <c r="L5197">
        <v>815.88</v>
      </c>
    </row>
    <row r="5198" spans="1:12" x14ac:dyDescent="0.25">
      <c r="A5198" t="str">
        <f t="shared" si="1154"/>
        <v>89301000</v>
      </c>
      <c r="B5198" t="str">
        <f t="shared" si="1147"/>
        <v>06539000</v>
      </c>
      <c r="C5198" t="str">
        <f t="shared" si="1151"/>
        <v>06539003</v>
      </c>
      <c r="D5198" t="str">
        <f t="shared" si="1152"/>
        <v>813</v>
      </c>
      <c r="E5198" t="str">
        <f t="shared" si="1149"/>
        <v>89301171</v>
      </c>
      <c r="F5198" t="str">
        <f t="shared" si="1153"/>
        <v>6155040518</v>
      </c>
      <c r="G5198" s="1">
        <v>44689</v>
      </c>
      <c r="H5198" t="str">
        <f t="shared" si="1156"/>
        <v>91197</v>
      </c>
      <c r="I5198">
        <v>1</v>
      </c>
      <c r="J5198">
        <v>1046</v>
      </c>
      <c r="K5198">
        <v>0</v>
      </c>
      <c r="L5198">
        <v>815.88</v>
      </c>
    </row>
    <row r="5199" spans="1:12" x14ac:dyDescent="0.25">
      <c r="A5199" t="str">
        <f t="shared" si="1154"/>
        <v>89301000</v>
      </c>
      <c r="B5199" t="str">
        <f t="shared" si="1147"/>
        <v>06539000</v>
      </c>
      <c r="C5199" t="str">
        <f t="shared" si="1151"/>
        <v>06539003</v>
      </c>
      <c r="D5199" t="str">
        <f t="shared" si="1152"/>
        <v>813</v>
      </c>
      <c r="E5199" t="str">
        <f t="shared" si="1149"/>
        <v>89301171</v>
      </c>
      <c r="F5199" t="str">
        <f t="shared" si="1153"/>
        <v>6155040518</v>
      </c>
      <c r="G5199" s="1">
        <v>44689</v>
      </c>
      <c r="H5199" t="str">
        <f t="shared" si="1156"/>
        <v>91197</v>
      </c>
      <c r="I5199">
        <v>1</v>
      </c>
      <c r="J5199">
        <v>1046</v>
      </c>
      <c r="K5199">
        <v>0</v>
      </c>
      <c r="L5199">
        <v>815.88</v>
      </c>
    </row>
    <row r="5200" spans="1:12" x14ac:dyDescent="0.25">
      <c r="A5200" t="str">
        <f t="shared" si="1154"/>
        <v>89301000</v>
      </c>
      <c r="B5200" t="str">
        <f t="shared" si="1147"/>
        <v>06539000</v>
      </c>
      <c r="C5200" t="str">
        <f t="shared" si="1151"/>
        <v>06539003</v>
      </c>
      <c r="D5200" t="str">
        <f t="shared" si="1152"/>
        <v>813</v>
      </c>
      <c r="E5200" t="str">
        <f t="shared" si="1149"/>
        <v>89301171</v>
      </c>
      <c r="F5200" t="str">
        <f t="shared" si="1153"/>
        <v>6155040518</v>
      </c>
      <c r="G5200" s="1">
        <v>44688</v>
      </c>
      <c r="H5200" t="str">
        <f t="shared" si="1156"/>
        <v>91197</v>
      </c>
      <c r="I5200">
        <v>1</v>
      </c>
      <c r="J5200">
        <v>1046</v>
      </c>
      <c r="K5200">
        <v>0</v>
      </c>
      <c r="L5200">
        <v>815.88</v>
      </c>
    </row>
    <row r="5201" spans="1:12" x14ac:dyDescent="0.25">
      <c r="A5201" t="str">
        <f t="shared" si="1154"/>
        <v>89301000</v>
      </c>
      <c r="B5201" t="str">
        <f t="shared" si="1147"/>
        <v>06539000</v>
      </c>
      <c r="C5201" t="str">
        <f t="shared" si="1151"/>
        <v>06539003</v>
      </c>
      <c r="D5201" t="str">
        <f t="shared" si="1152"/>
        <v>813</v>
      </c>
      <c r="E5201" t="str">
        <f t="shared" si="1149"/>
        <v>89301171</v>
      </c>
      <c r="F5201" t="str">
        <f t="shared" si="1153"/>
        <v>6155040518</v>
      </c>
      <c r="G5201" s="1">
        <v>44688</v>
      </c>
      <c r="H5201" t="str">
        <f t="shared" si="1156"/>
        <v>91197</v>
      </c>
      <c r="I5201">
        <v>1</v>
      </c>
      <c r="J5201">
        <v>1046</v>
      </c>
      <c r="K5201">
        <v>0</v>
      </c>
      <c r="L5201">
        <v>815.88</v>
      </c>
    </row>
    <row r="5202" spans="1:12" x14ac:dyDescent="0.25">
      <c r="A5202" t="str">
        <f t="shared" si="1154"/>
        <v>89301000</v>
      </c>
      <c r="B5202" t="str">
        <f t="shared" si="1147"/>
        <v>06539000</v>
      </c>
      <c r="C5202" t="str">
        <f t="shared" si="1151"/>
        <v>06539003</v>
      </c>
      <c r="D5202" t="str">
        <f t="shared" si="1152"/>
        <v>813</v>
      </c>
      <c r="E5202" t="str">
        <f t="shared" si="1149"/>
        <v>89301171</v>
      </c>
      <c r="F5202" t="str">
        <f t="shared" si="1153"/>
        <v>6155040518</v>
      </c>
      <c r="G5202" s="1">
        <v>44704</v>
      </c>
      <c r="H5202" t="str">
        <f>"91329"</f>
        <v>91329</v>
      </c>
      <c r="I5202">
        <v>2</v>
      </c>
      <c r="J5202">
        <v>428</v>
      </c>
      <c r="K5202">
        <v>0</v>
      </c>
      <c r="L5202">
        <v>333.84</v>
      </c>
    </row>
    <row r="5203" spans="1:12" x14ac:dyDescent="0.25">
      <c r="A5203" t="str">
        <f t="shared" si="1154"/>
        <v>89301000</v>
      </c>
      <c r="B5203" t="str">
        <f t="shared" si="1147"/>
        <v>06539000</v>
      </c>
      <c r="C5203" t="str">
        <f t="shared" si="1151"/>
        <v>06539003</v>
      </c>
      <c r="D5203" t="str">
        <f t="shared" si="1152"/>
        <v>813</v>
      </c>
      <c r="E5203" t="str">
        <f t="shared" si="1149"/>
        <v>89301171</v>
      </c>
      <c r="F5203" t="str">
        <f t="shared" si="1153"/>
        <v>6155040518</v>
      </c>
      <c r="G5203" s="1">
        <v>44704</v>
      </c>
      <c r="H5203" t="str">
        <f>"91329"</f>
        <v>91329</v>
      </c>
      <c r="I5203">
        <v>2</v>
      </c>
      <c r="J5203">
        <v>428</v>
      </c>
      <c r="K5203">
        <v>0</v>
      </c>
      <c r="L5203">
        <v>333.84</v>
      </c>
    </row>
    <row r="5204" spans="1:12" x14ac:dyDescent="0.25">
      <c r="A5204" t="str">
        <f t="shared" si="1154"/>
        <v>89301000</v>
      </c>
      <c r="B5204" t="str">
        <f t="shared" si="1147"/>
        <v>06539000</v>
      </c>
      <c r="C5204" t="str">
        <f t="shared" si="1151"/>
        <v>06539003</v>
      </c>
      <c r="D5204" t="str">
        <f t="shared" si="1152"/>
        <v>813</v>
      </c>
      <c r="E5204" t="str">
        <f t="shared" si="1149"/>
        <v>89301171</v>
      </c>
      <c r="F5204" t="str">
        <f t="shared" si="1153"/>
        <v>6155040518</v>
      </c>
      <c r="G5204" s="1">
        <v>44704</v>
      </c>
      <c r="H5204" t="str">
        <f>"91329"</f>
        <v>91329</v>
      </c>
      <c r="I5204">
        <v>2</v>
      </c>
      <c r="J5204">
        <v>428</v>
      </c>
      <c r="K5204">
        <v>0</v>
      </c>
      <c r="L5204">
        <v>333.84</v>
      </c>
    </row>
    <row r="5205" spans="1:12" x14ac:dyDescent="0.25">
      <c r="A5205" t="str">
        <f t="shared" si="1154"/>
        <v>89301000</v>
      </c>
      <c r="B5205" t="str">
        <f t="shared" si="1147"/>
        <v>06539000</v>
      </c>
      <c r="C5205" t="str">
        <f t="shared" si="1151"/>
        <v>06539003</v>
      </c>
      <c r="D5205" t="str">
        <f t="shared" si="1152"/>
        <v>813</v>
      </c>
      <c r="E5205" t="str">
        <f t="shared" si="1149"/>
        <v>89301171</v>
      </c>
      <c r="F5205" t="str">
        <f t="shared" si="1153"/>
        <v>6155040518</v>
      </c>
      <c r="G5205" s="1">
        <v>44704</v>
      </c>
      <c r="H5205" t="str">
        <f>"91329"</f>
        <v>91329</v>
      </c>
      <c r="I5205">
        <v>2</v>
      </c>
      <c r="J5205">
        <v>428</v>
      </c>
      <c r="K5205">
        <v>0</v>
      </c>
      <c r="L5205">
        <v>333.84</v>
      </c>
    </row>
    <row r="5206" spans="1:12" x14ac:dyDescent="0.25">
      <c r="A5206" t="str">
        <f t="shared" si="1154"/>
        <v>89301000</v>
      </c>
      <c r="B5206" t="str">
        <f t="shared" si="1147"/>
        <v>06539000</v>
      </c>
      <c r="C5206" t="str">
        <f t="shared" si="1151"/>
        <v>06539003</v>
      </c>
      <c r="D5206" t="str">
        <f t="shared" si="1152"/>
        <v>813</v>
      </c>
      <c r="E5206" t="str">
        <f t="shared" si="1149"/>
        <v>89301171</v>
      </c>
      <c r="F5206" t="str">
        <f t="shared" si="1153"/>
        <v>6155040518</v>
      </c>
      <c r="G5206" s="1">
        <v>44688</v>
      </c>
      <c r="H5206" t="str">
        <f>"91167"</f>
        <v>91167</v>
      </c>
      <c r="I5206">
        <v>1</v>
      </c>
      <c r="J5206">
        <v>425</v>
      </c>
      <c r="K5206">
        <v>0</v>
      </c>
      <c r="L5206">
        <v>331.5</v>
      </c>
    </row>
    <row r="5207" spans="1:12" x14ac:dyDescent="0.25">
      <c r="A5207" t="str">
        <f t="shared" si="1154"/>
        <v>89301000</v>
      </c>
      <c r="B5207" t="str">
        <f t="shared" si="1147"/>
        <v>06539000</v>
      </c>
      <c r="C5207" t="str">
        <f t="shared" si="1151"/>
        <v>06539003</v>
      </c>
      <c r="D5207" t="str">
        <f t="shared" si="1152"/>
        <v>813</v>
      </c>
      <c r="E5207" t="str">
        <f t="shared" si="1149"/>
        <v>89301171</v>
      </c>
      <c r="F5207" t="str">
        <f t="shared" si="1153"/>
        <v>6155040518</v>
      </c>
      <c r="G5207" s="1">
        <v>44688</v>
      </c>
      <c r="H5207" t="str">
        <f>"91169"</f>
        <v>91169</v>
      </c>
      <c r="I5207">
        <v>1</v>
      </c>
      <c r="J5207">
        <v>425</v>
      </c>
      <c r="K5207">
        <v>0</v>
      </c>
      <c r="L5207">
        <v>331.5</v>
      </c>
    </row>
    <row r="5208" spans="1:12" x14ac:dyDescent="0.25">
      <c r="A5208" t="str">
        <f t="shared" si="1154"/>
        <v>89301000</v>
      </c>
      <c r="B5208" t="str">
        <f t="shared" si="1147"/>
        <v>06539000</v>
      </c>
      <c r="C5208" t="str">
        <f>"06539001"</f>
        <v>06539001</v>
      </c>
      <c r="D5208" t="str">
        <f>"801"</f>
        <v>801</v>
      </c>
      <c r="E5208" t="str">
        <f t="shared" si="1149"/>
        <v>89301171</v>
      </c>
      <c r="F5208" t="str">
        <f t="shared" ref="F5208:F5254" si="1157">"9457265741"</f>
        <v>9457265741</v>
      </c>
      <c r="G5208" s="1">
        <v>44687</v>
      </c>
      <c r="H5208" t="str">
        <f>"81329"</f>
        <v>81329</v>
      </c>
      <c r="I5208">
        <v>1</v>
      </c>
      <c r="J5208">
        <v>16</v>
      </c>
      <c r="K5208">
        <v>0</v>
      </c>
      <c r="L5208">
        <v>12.48</v>
      </c>
    </row>
    <row r="5209" spans="1:12" x14ac:dyDescent="0.25">
      <c r="A5209" t="str">
        <f t="shared" si="1154"/>
        <v>89301000</v>
      </c>
      <c r="B5209" t="str">
        <f t="shared" si="1147"/>
        <v>06539000</v>
      </c>
      <c r="C5209" t="str">
        <f>"06539001"</f>
        <v>06539001</v>
      </c>
      <c r="D5209" t="str">
        <f>"801"</f>
        <v>801</v>
      </c>
      <c r="E5209" t="str">
        <f t="shared" si="1149"/>
        <v>89301171</v>
      </c>
      <c r="F5209" t="str">
        <f t="shared" si="1157"/>
        <v>9457265741</v>
      </c>
      <c r="G5209" s="1">
        <v>44687</v>
      </c>
      <c r="H5209" t="str">
        <f>"81331"</f>
        <v>81331</v>
      </c>
      <c r="I5209">
        <v>1</v>
      </c>
      <c r="J5209">
        <v>193</v>
      </c>
      <c r="K5209">
        <v>0</v>
      </c>
      <c r="L5209">
        <v>150.54</v>
      </c>
    </row>
    <row r="5210" spans="1:12" x14ac:dyDescent="0.25">
      <c r="A5210" t="str">
        <f t="shared" si="1154"/>
        <v>89301000</v>
      </c>
      <c r="B5210" t="str">
        <f t="shared" si="1147"/>
        <v>06539000</v>
      </c>
      <c r="C5210" t="str">
        <f t="shared" ref="C5210:C5217" si="1158">"06539002"</f>
        <v>06539002</v>
      </c>
      <c r="D5210" t="str">
        <f t="shared" ref="D5210:D5217" si="1159">"802"</f>
        <v>802</v>
      </c>
      <c r="E5210" t="str">
        <f t="shared" si="1149"/>
        <v>89301171</v>
      </c>
      <c r="F5210" t="str">
        <f t="shared" si="1157"/>
        <v>9457265741</v>
      </c>
      <c r="G5210" s="1">
        <v>44687</v>
      </c>
      <c r="H5210" t="str">
        <f t="shared" ref="H5210:H5217" si="1160">"82097"</f>
        <v>82097</v>
      </c>
      <c r="I5210">
        <v>1</v>
      </c>
      <c r="J5210">
        <v>380</v>
      </c>
      <c r="K5210">
        <v>0</v>
      </c>
      <c r="L5210">
        <v>345.8</v>
      </c>
    </row>
    <row r="5211" spans="1:12" x14ac:dyDescent="0.25">
      <c r="A5211" t="str">
        <f t="shared" si="1154"/>
        <v>89301000</v>
      </c>
      <c r="B5211" t="str">
        <f t="shared" si="1147"/>
        <v>06539000</v>
      </c>
      <c r="C5211" t="str">
        <f t="shared" si="1158"/>
        <v>06539002</v>
      </c>
      <c r="D5211" t="str">
        <f t="shared" si="1159"/>
        <v>802</v>
      </c>
      <c r="E5211" t="str">
        <f t="shared" si="1149"/>
        <v>89301171</v>
      </c>
      <c r="F5211" t="str">
        <f t="shared" si="1157"/>
        <v>9457265741</v>
      </c>
      <c r="G5211" s="1">
        <v>44687</v>
      </c>
      <c r="H5211" t="str">
        <f t="shared" si="1160"/>
        <v>82097</v>
      </c>
      <c r="I5211">
        <v>1</v>
      </c>
      <c r="J5211">
        <v>380</v>
      </c>
      <c r="K5211">
        <v>0</v>
      </c>
      <c r="L5211">
        <v>345.8</v>
      </c>
    </row>
    <row r="5212" spans="1:12" x14ac:dyDescent="0.25">
      <c r="A5212" t="str">
        <f t="shared" si="1154"/>
        <v>89301000</v>
      </c>
      <c r="B5212" t="str">
        <f t="shared" ref="B5212:B5275" si="1161">"06539000"</f>
        <v>06539000</v>
      </c>
      <c r="C5212" t="str">
        <f t="shared" si="1158"/>
        <v>06539002</v>
      </c>
      <c r="D5212" t="str">
        <f t="shared" si="1159"/>
        <v>802</v>
      </c>
      <c r="E5212" t="str">
        <f t="shared" si="1149"/>
        <v>89301171</v>
      </c>
      <c r="F5212" t="str">
        <f t="shared" si="1157"/>
        <v>9457265741</v>
      </c>
      <c r="G5212" s="1">
        <v>44687</v>
      </c>
      <c r="H5212" t="str">
        <f t="shared" si="1160"/>
        <v>82097</v>
      </c>
      <c r="I5212">
        <v>1</v>
      </c>
      <c r="J5212">
        <v>380</v>
      </c>
      <c r="K5212">
        <v>0</v>
      </c>
      <c r="L5212">
        <v>345.8</v>
      </c>
    </row>
    <row r="5213" spans="1:12" x14ac:dyDescent="0.25">
      <c r="A5213" t="str">
        <f t="shared" si="1154"/>
        <v>89301000</v>
      </c>
      <c r="B5213" t="str">
        <f t="shared" si="1161"/>
        <v>06539000</v>
      </c>
      <c r="C5213" t="str">
        <f t="shared" si="1158"/>
        <v>06539002</v>
      </c>
      <c r="D5213" t="str">
        <f t="shared" si="1159"/>
        <v>802</v>
      </c>
      <c r="E5213" t="str">
        <f t="shared" si="1149"/>
        <v>89301171</v>
      </c>
      <c r="F5213" t="str">
        <f t="shared" si="1157"/>
        <v>9457265741</v>
      </c>
      <c r="G5213" s="1">
        <v>44687</v>
      </c>
      <c r="H5213" t="str">
        <f t="shared" si="1160"/>
        <v>82097</v>
      </c>
      <c r="I5213">
        <v>1</v>
      </c>
      <c r="J5213">
        <v>380</v>
      </c>
      <c r="K5213">
        <v>0</v>
      </c>
      <c r="L5213">
        <v>345.8</v>
      </c>
    </row>
    <row r="5214" spans="1:12" x14ac:dyDescent="0.25">
      <c r="A5214" t="str">
        <f t="shared" si="1154"/>
        <v>89301000</v>
      </c>
      <c r="B5214" t="str">
        <f t="shared" si="1161"/>
        <v>06539000</v>
      </c>
      <c r="C5214" t="str">
        <f t="shared" si="1158"/>
        <v>06539002</v>
      </c>
      <c r="D5214" t="str">
        <f t="shared" si="1159"/>
        <v>802</v>
      </c>
      <c r="E5214" t="str">
        <f t="shared" si="1149"/>
        <v>89301171</v>
      </c>
      <c r="F5214" t="str">
        <f t="shared" si="1157"/>
        <v>9457265741</v>
      </c>
      <c r="G5214" s="1">
        <v>44687</v>
      </c>
      <c r="H5214" t="str">
        <f t="shared" si="1160"/>
        <v>82097</v>
      </c>
      <c r="I5214">
        <v>1</v>
      </c>
      <c r="J5214">
        <v>380</v>
      </c>
      <c r="K5214">
        <v>0</v>
      </c>
      <c r="L5214">
        <v>345.8</v>
      </c>
    </row>
    <row r="5215" spans="1:12" x14ac:dyDescent="0.25">
      <c r="A5215" t="str">
        <f t="shared" si="1154"/>
        <v>89301000</v>
      </c>
      <c r="B5215" t="str">
        <f t="shared" si="1161"/>
        <v>06539000</v>
      </c>
      <c r="C5215" t="str">
        <f t="shared" si="1158"/>
        <v>06539002</v>
      </c>
      <c r="D5215" t="str">
        <f t="shared" si="1159"/>
        <v>802</v>
      </c>
      <c r="E5215" t="str">
        <f t="shared" si="1149"/>
        <v>89301171</v>
      </c>
      <c r="F5215" t="str">
        <f t="shared" si="1157"/>
        <v>9457265741</v>
      </c>
      <c r="G5215" s="1">
        <v>44687</v>
      </c>
      <c r="H5215" t="str">
        <f t="shared" si="1160"/>
        <v>82097</v>
      </c>
      <c r="I5215">
        <v>1</v>
      </c>
      <c r="J5215">
        <v>380</v>
      </c>
      <c r="K5215">
        <v>0</v>
      </c>
      <c r="L5215">
        <v>345.8</v>
      </c>
    </row>
    <row r="5216" spans="1:12" x14ac:dyDescent="0.25">
      <c r="A5216" t="str">
        <f t="shared" si="1154"/>
        <v>89301000</v>
      </c>
      <c r="B5216" t="str">
        <f t="shared" si="1161"/>
        <v>06539000</v>
      </c>
      <c r="C5216" t="str">
        <f t="shared" si="1158"/>
        <v>06539002</v>
      </c>
      <c r="D5216" t="str">
        <f t="shared" si="1159"/>
        <v>802</v>
      </c>
      <c r="E5216" t="str">
        <f t="shared" si="1149"/>
        <v>89301171</v>
      </c>
      <c r="F5216" t="str">
        <f t="shared" si="1157"/>
        <v>9457265741</v>
      </c>
      <c r="G5216" s="1">
        <v>44687</v>
      </c>
      <c r="H5216" t="str">
        <f t="shared" si="1160"/>
        <v>82097</v>
      </c>
      <c r="I5216">
        <v>1</v>
      </c>
      <c r="J5216">
        <v>380</v>
      </c>
      <c r="K5216">
        <v>0</v>
      </c>
      <c r="L5216">
        <v>345.8</v>
      </c>
    </row>
    <row r="5217" spans="1:12" x14ac:dyDescent="0.25">
      <c r="A5217" t="str">
        <f t="shared" si="1154"/>
        <v>89301000</v>
      </c>
      <c r="B5217" t="str">
        <f t="shared" si="1161"/>
        <v>06539000</v>
      </c>
      <c r="C5217" t="str">
        <f t="shared" si="1158"/>
        <v>06539002</v>
      </c>
      <c r="D5217" t="str">
        <f t="shared" si="1159"/>
        <v>802</v>
      </c>
      <c r="E5217" t="str">
        <f t="shared" ref="E5217:E5280" si="1162">"89301171"</f>
        <v>89301171</v>
      </c>
      <c r="F5217" t="str">
        <f t="shared" si="1157"/>
        <v>9457265741</v>
      </c>
      <c r="G5217" s="1">
        <v>44687</v>
      </c>
      <c r="H5217" t="str">
        <f t="shared" si="1160"/>
        <v>82097</v>
      </c>
      <c r="I5217">
        <v>1</v>
      </c>
      <c r="J5217">
        <v>380</v>
      </c>
      <c r="K5217">
        <v>0</v>
      </c>
      <c r="L5217">
        <v>345.8</v>
      </c>
    </row>
    <row r="5218" spans="1:12" x14ac:dyDescent="0.25">
      <c r="A5218" t="str">
        <f t="shared" si="1154"/>
        <v>89301000</v>
      </c>
      <c r="B5218" t="str">
        <f t="shared" si="1161"/>
        <v>06539000</v>
      </c>
      <c r="C5218" t="str">
        <f t="shared" ref="C5218:C5249" si="1163">"06539003"</f>
        <v>06539003</v>
      </c>
      <c r="D5218" t="str">
        <f t="shared" ref="D5218:D5249" si="1164">"813"</f>
        <v>813</v>
      </c>
      <c r="E5218" t="str">
        <f t="shared" si="1162"/>
        <v>89301171</v>
      </c>
      <c r="F5218" t="str">
        <f t="shared" si="1157"/>
        <v>9457265741</v>
      </c>
      <c r="G5218" s="1">
        <v>44691</v>
      </c>
      <c r="H5218" t="str">
        <f>"91439"</f>
        <v>91439</v>
      </c>
      <c r="I5218">
        <v>1</v>
      </c>
      <c r="J5218">
        <v>356</v>
      </c>
      <c r="K5218">
        <v>0</v>
      </c>
      <c r="L5218">
        <v>277.68</v>
      </c>
    </row>
    <row r="5219" spans="1:12" x14ac:dyDescent="0.25">
      <c r="A5219" t="str">
        <f t="shared" si="1154"/>
        <v>89301000</v>
      </c>
      <c r="B5219" t="str">
        <f t="shared" si="1161"/>
        <v>06539000</v>
      </c>
      <c r="C5219" t="str">
        <f t="shared" si="1163"/>
        <v>06539003</v>
      </c>
      <c r="D5219" t="str">
        <f t="shared" si="1164"/>
        <v>813</v>
      </c>
      <c r="E5219" t="str">
        <f t="shared" si="1162"/>
        <v>89301171</v>
      </c>
      <c r="F5219" t="str">
        <f t="shared" si="1157"/>
        <v>9457265741</v>
      </c>
      <c r="G5219" s="1">
        <v>44691</v>
      </c>
      <c r="H5219" t="str">
        <f>"91439"</f>
        <v>91439</v>
      </c>
      <c r="I5219">
        <v>1</v>
      </c>
      <c r="J5219">
        <v>356</v>
      </c>
      <c r="K5219">
        <v>0</v>
      </c>
      <c r="L5219">
        <v>277.68</v>
      </c>
    </row>
    <row r="5220" spans="1:12" x14ac:dyDescent="0.25">
      <c r="A5220" t="str">
        <f t="shared" si="1154"/>
        <v>89301000</v>
      </c>
      <c r="B5220" t="str">
        <f t="shared" si="1161"/>
        <v>06539000</v>
      </c>
      <c r="C5220" t="str">
        <f t="shared" si="1163"/>
        <v>06539003</v>
      </c>
      <c r="D5220" t="str">
        <f t="shared" si="1164"/>
        <v>813</v>
      </c>
      <c r="E5220" t="str">
        <f t="shared" si="1162"/>
        <v>89301171</v>
      </c>
      <c r="F5220" t="str">
        <f t="shared" si="1157"/>
        <v>9457265741</v>
      </c>
      <c r="G5220" s="1">
        <v>44691</v>
      </c>
      <c r="H5220" t="str">
        <f>"91439"</f>
        <v>91439</v>
      </c>
      <c r="I5220">
        <v>1</v>
      </c>
      <c r="J5220">
        <v>356</v>
      </c>
      <c r="K5220">
        <v>0</v>
      </c>
      <c r="L5220">
        <v>277.68</v>
      </c>
    </row>
    <row r="5221" spans="1:12" x14ac:dyDescent="0.25">
      <c r="A5221" t="str">
        <f t="shared" si="1154"/>
        <v>89301000</v>
      </c>
      <c r="B5221" t="str">
        <f t="shared" si="1161"/>
        <v>06539000</v>
      </c>
      <c r="C5221" t="str">
        <f t="shared" si="1163"/>
        <v>06539003</v>
      </c>
      <c r="D5221" t="str">
        <f t="shared" si="1164"/>
        <v>813</v>
      </c>
      <c r="E5221" t="str">
        <f t="shared" si="1162"/>
        <v>89301171</v>
      </c>
      <c r="F5221" t="str">
        <f t="shared" si="1157"/>
        <v>9457265741</v>
      </c>
      <c r="G5221" s="1">
        <v>44691</v>
      </c>
      <c r="H5221" t="str">
        <f>"91439"</f>
        <v>91439</v>
      </c>
      <c r="I5221">
        <v>1</v>
      </c>
      <c r="J5221">
        <v>356</v>
      </c>
      <c r="K5221">
        <v>0</v>
      </c>
      <c r="L5221">
        <v>277.68</v>
      </c>
    </row>
    <row r="5222" spans="1:12" x14ac:dyDescent="0.25">
      <c r="A5222" t="str">
        <f t="shared" si="1154"/>
        <v>89301000</v>
      </c>
      <c r="B5222" t="str">
        <f t="shared" si="1161"/>
        <v>06539000</v>
      </c>
      <c r="C5222" t="str">
        <f t="shared" si="1163"/>
        <v>06539003</v>
      </c>
      <c r="D5222" t="str">
        <f t="shared" si="1164"/>
        <v>813</v>
      </c>
      <c r="E5222" t="str">
        <f t="shared" si="1162"/>
        <v>89301171</v>
      </c>
      <c r="F5222" t="str">
        <f t="shared" si="1157"/>
        <v>9457265741</v>
      </c>
      <c r="G5222" s="1">
        <v>44691</v>
      </c>
      <c r="H5222" t="str">
        <f>"91439"</f>
        <v>91439</v>
      </c>
      <c r="I5222">
        <v>2</v>
      </c>
      <c r="J5222">
        <v>712</v>
      </c>
      <c r="K5222">
        <v>0</v>
      </c>
      <c r="L5222">
        <v>555.36</v>
      </c>
    </row>
    <row r="5223" spans="1:12" x14ac:dyDescent="0.25">
      <c r="A5223" t="str">
        <f t="shared" si="1154"/>
        <v>89301000</v>
      </c>
      <c r="B5223" t="str">
        <f t="shared" si="1161"/>
        <v>06539000</v>
      </c>
      <c r="C5223" t="str">
        <f t="shared" si="1163"/>
        <v>06539003</v>
      </c>
      <c r="D5223" t="str">
        <f t="shared" si="1164"/>
        <v>813</v>
      </c>
      <c r="E5223" t="str">
        <f t="shared" si="1162"/>
        <v>89301171</v>
      </c>
      <c r="F5223" t="str">
        <f t="shared" si="1157"/>
        <v>9457265741</v>
      </c>
      <c r="G5223" s="1">
        <v>44690</v>
      </c>
      <c r="H5223" t="str">
        <f t="shared" ref="H5223:H5232" si="1165">"91413"</f>
        <v>91413</v>
      </c>
      <c r="I5223">
        <v>1</v>
      </c>
      <c r="J5223">
        <v>853</v>
      </c>
      <c r="K5223">
        <v>0</v>
      </c>
      <c r="L5223">
        <v>665.34</v>
      </c>
    </row>
    <row r="5224" spans="1:12" x14ac:dyDescent="0.25">
      <c r="A5224" t="str">
        <f t="shared" si="1154"/>
        <v>89301000</v>
      </c>
      <c r="B5224" t="str">
        <f t="shared" si="1161"/>
        <v>06539000</v>
      </c>
      <c r="C5224" t="str">
        <f t="shared" si="1163"/>
        <v>06539003</v>
      </c>
      <c r="D5224" t="str">
        <f t="shared" si="1164"/>
        <v>813</v>
      </c>
      <c r="E5224" t="str">
        <f t="shared" si="1162"/>
        <v>89301171</v>
      </c>
      <c r="F5224" t="str">
        <f t="shared" si="1157"/>
        <v>9457265741</v>
      </c>
      <c r="G5224" s="1">
        <v>44690</v>
      </c>
      <c r="H5224" t="str">
        <f t="shared" si="1165"/>
        <v>91413</v>
      </c>
      <c r="I5224">
        <v>1</v>
      </c>
      <c r="J5224">
        <v>853</v>
      </c>
      <c r="K5224">
        <v>0</v>
      </c>
      <c r="L5224">
        <v>665.34</v>
      </c>
    </row>
    <row r="5225" spans="1:12" x14ac:dyDescent="0.25">
      <c r="A5225" t="str">
        <f t="shared" si="1154"/>
        <v>89301000</v>
      </c>
      <c r="B5225" t="str">
        <f t="shared" si="1161"/>
        <v>06539000</v>
      </c>
      <c r="C5225" t="str">
        <f t="shared" si="1163"/>
        <v>06539003</v>
      </c>
      <c r="D5225" t="str">
        <f t="shared" si="1164"/>
        <v>813</v>
      </c>
      <c r="E5225" t="str">
        <f t="shared" si="1162"/>
        <v>89301171</v>
      </c>
      <c r="F5225" t="str">
        <f t="shared" si="1157"/>
        <v>9457265741</v>
      </c>
      <c r="G5225" s="1">
        <v>44704</v>
      </c>
      <c r="H5225" t="str">
        <f t="shared" si="1165"/>
        <v>91413</v>
      </c>
      <c r="I5225">
        <v>1</v>
      </c>
      <c r="J5225">
        <v>853</v>
      </c>
      <c r="K5225">
        <v>0</v>
      </c>
      <c r="L5225">
        <v>665.34</v>
      </c>
    </row>
    <row r="5226" spans="1:12" x14ac:dyDescent="0.25">
      <c r="A5226" t="str">
        <f t="shared" si="1154"/>
        <v>89301000</v>
      </c>
      <c r="B5226" t="str">
        <f t="shared" si="1161"/>
        <v>06539000</v>
      </c>
      <c r="C5226" t="str">
        <f t="shared" si="1163"/>
        <v>06539003</v>
      </c>
      <c r="D5226" t="str">
        <f t="shared" si="1164"/>
        <v>813</v>
      </c>
      <c r="E5226" t="str">
        <f t="shared" si="1162"/>
        <v>89301171</v>
      </c>
      <c r="F5226" t="str">
        <f t="shared" si="1157"/>
        <v>9457265741</v>
      </c>
      <c r="G5226" s="1">
        <v>44704</v>
      </c>
      <c r="H5226" t="str">
        <f t="shared" si="1165"/>
        <v>91413</v>
      </c>
      <c r="I5226">
        <v>1</v>
      </c>
      <c r="J5226">
        <v>853</v>
      </c>
      <c r="K5226">
        <v>0</v>
      </c>
      <c r="L5226">
        <v>665.34</v>
      </c>
    </row>
    <row r="5227" spans="1:12" x14ac:dyDescent="0.25">
      <c r="A5227" t="str">
        <f t="shared" si="1154"/>
        <v>89301000</v>
      </c>
      <c r="B5227" t="str">
        <f t="shared" si="1161"/>
        <v>06539000</v>
      </c>
      <c r="C5227" t="str">
        <f t="shared" si="1163"/>
        <v>06539003</v>
      </c>
      <c r="D5227" t="str">
        <f t="shared" si="1164"/>
        <v>813</v>
      </c>
      <c r="E5227" t="str">
        <f t="shared" si="1162"/>
        <v>89301171</v>
      </c>
      <c r="F5227" t="str">
        <f t="shared" si="1157"/>
        <v>9457265741</v>
      </c>
      <c r="G5227" s="1">
        <v>44699</v>
      </c>
      <c r="H5227" t="str">
        <f t="shared" si="1165"/>
        <v>91413</v>
      </c>
      <c r="I5227">
        <v>1</v>
      </c>
      <c r="J5227">
        <v>853</v>
      </c>
      <c r="K5227">
        <v>0</v>
      </c>
      <c r="L5227">
        <v>665.34</v>
      </c>
    </row>
    <row r="5228" spans="1:12" x14ac:dyDescent="0.25">
      <c r="A5228" t="str">
        <f t="shared" si="1154"/>
        <v>89301000</v>
      </c>
      <c r="B5228" t="str">
        <f t="shared" si="1161"/>
        <v>06539000</v>
      </c>
      <c r="C5228" t="str">
        <f t="shared" si="1163"/>
        <v>06539003</v>
      </c>
      <c r="D5228" t="str">
        <f t="shared" si="1164"/>
        <v>813</v>
      </c>
      <c r="E5228" t="str">
        <f t="shared" si="1162"/>
        <v>89301171</v>
      </c>
      <c r="F5228" t="str">
        <f t="shared" si="1157"/>
        <v>9457265741</v>
      </c>
      <c r="G5228" s="1">
        <v>44699</v>
      </c>
      <c r="H5228" t="str">
        <f t="shared" si="1165"/>
        <v>91413</v>
      </c>
      <c r="I5228">
        <v>1</v>
      </c>
      <c r="J5228">
        <v>853</v>
      </c>
      <c r="K5228">
        <v>0</v>
      </c>
      <c r="L5228">
        <v>665.34</v>
      </c>
    </row>
    <row r="5229" spans="1:12" x14ac:dyDescent="0.25">
      <c r="A5229" t="str">
        <f t="shared" si="1154"/>
        <v>89301000</v>
      </c>
      <c r="B5229" t="str">
        <f t="shared" si="1161"/>
        <v>06539000</v>
      </c>
      <c r="C5229" t="str">
        <f t="shared" si="1163"/>
        <v>06539003</v>
      </c>
      <c r="D5229" t="str">
        <f t="shared" si="1164"/>
        <v>813</v>
      </c>
      <c r="E5229" t="str">
        <f t="shared" si="1162"/>
        <v>89301171</v>
      </c>
      <c r="F5229" t="str">
        <f t="shared" si="1157"/>
        <v>9457265741</v>
      </c>
      <c r="G5229" s="1">
        <v>44704</v>
      </c>
      <c r="H5229" t="str">
        <f t="shared" si="1165"/>
        <v>91413</v>
      </c>
      <c r="I5229">
        <v>1</v>
      </c>
      <c r="J5229">
        <v>853</v>
      </c>
      <c r="K5229">
        <v>0</v>
      </c>
      <c r="L5229">
        <v>665.34</v>
      </c>
    </row>
    <row r="5230" spans="1:12" x14ac:dyDescent="0.25">
      <c r="A5230" t="str">
        <f t="shared" si="1154"/>
        <v>89301000</v>
      </c>
      <c r="B5230" t="str">
        <f t="shared" si="1161"/>
        <v>06539000</v>
      </c>
      <c r="C5230" t="str">
        <f t="shared" si="1163"/>
        <v>06539003</v>
      </c>
      <c r="D5230" t="str">
        <f t="shared" si="1164"/>
        <v>813</v>
      </c>
      <c r="E5230" t="str">
        <f t="shared" si="1162"/>
        <v>89301171</v>
      </c>
      <c r="F5230" t="str">
        <f t="shared" si="1157"/>
        <v>9457265741</v>
      </c>
      <c r="G5230" s="1">
        <v>44704</v>
      </c>
      <c r="H5230" t="str">
        <f t="shared" si="1165"/>
        <v>91413</v>
      </c>
      <c r="I5230">
        <v>1</v>
      </c>
      <c r="J5230">
        <v>853</v>
      </c>
      <c r="K5230">
        <v>0</v>
      </c>
      <c r="L5230">
        <v>665.34</v>
      </c>
    </row>
    <row r="5231" spans="1:12" x14ac:dyDescent="0.25">
      <c r="A5231" t="str">
        <f t="shared" si="1154"/>
        <v>89301000</v>
      </c>
      <c r="B5231" t="str">
        <f t="shared" si="1161"/>
        <v>06539000</v>
      </c>
      <c r="C5231" t="str">
        <f t="shared" si="1163"/>
        <v>06539003</v>
      </c>
      <c r="D5231" t="str">
        <f t="shared" si="1164"/>
        <v>813</v>
      </c>
      <c r="E5231" t="str">
        <f t="shared" si="1162"/>
        <v>89301171</v>
      </c>
      <c r="F5231" t="str">
        <f t="shared" si="1157"/>
        <v>9457265741</v>
      </c>
      <c r="G5231" s="1">
        <v>44704</v>
      </c>
      <c r="H5231" t="str">
        <f t="shared" si="1165"/>
        <v>91413</v>
      </c>
      <c r="I5231">
        <v>1</v>
      </c>
      <c r="J5231">
        <v>853</v>
      </c>
      <c r="K5231">
        <v>0</v>
      </c>
      <c r="L5231">
        <v>665.34</v>
      </c>
    </row>
    <row r="5232" spans="1:12" x14ac:dyDescent="0.25">
      <c r="A5232" t="str">
        <f t="shared" si="1154"/>
        <v>89301000</v>
      </c>
      <c r="B5232" t="str">
        <f t="shared" si="1161"/>
        <v>06539000</v>
      </c>
      <c r="C5232" t="str">
        <f t="shared" si="1163"/>
        <v>06539003</v>
      </c>
      <c r="D5232" t="str">
        <f t="shared" si="1164"/>
        <v>813</v>
      </c>
      <c r="E5232" t="str">
        <f t="shared" si="1162"/>
        <v>89301171</v>
      </c>
      <c r="F5232" t="str">
        <f t="shared" si="1157"/>
        <v>9457265741</v>
      </c>
      <c r="G5232" s="1">
        <v>44704</v>
      </c>
      <c r="H5232" t="str">
        <f t="shared" si="1165"/>
        <v>91413</v>
      </c>
      <c r="I5232">
        <v>1</v>
      </c>
      <c r="J5232">
        <v>853</v>
      </c>
      <c r="K5232">
        <v>0</v>
      </c>
      <c r="L5232">
        <v>665.34</v>
      </c>
    </row>
    <row r="5233" spans="1:12" x14ac:dyDescent="0.25">
      <c r="A5233" t="str">
        <f t="shared" si="1154"/>
        <v>89301000</v>
      </c>
      <c r="B5233" t="str">
        <f t="shared" si="1161"/>
        <v>06539000</v>
      </c>
      <c r="C5233" t="str">
        <f t="shared" si="1163"/>
        <v>06539003</v>
      </c>
      <c r="D5233" t="str">
        <f t="shared" si="1164"/>
        <v>813</v>
      </c>
      <c r="E5233" t="str">
        <f t="shared" si="1162"/>
        <v>89301171</v>
      </c>
      <c r="F5233" t="str">
        <f t="shared" si="1157"/>
        <v>9457265741</v>
      </c>
      <c r="G5233" s="1">
        <v>44687</v>
      </c>
      <c r="H5233" t="str">
        <f t="shared" ref="H5233:H5239" si="1166">"91197"</f>
        <v>91197</v>
      </c>
      <c r="I5233">
        <v>1</v>
      </c>
      <c r="J5233">
        <v>1046</v>
      </c>
      <c r="K5233">
        <v>0</v>
      </c>
      <c r="L5233">
        <v>815.88</v>
      </c>
    </row>
    <row r="5234" spans="1:12" x14ac:dyDescent="0.25">
      <c r="A5234" t="str">
        <f t="shared" si="1154"/>
        <v>89301000</v>
      </c>
      <c r="B5234" t="str">
        <f t="shared" si="1161"/>
        <v>06539000</v>
      </c>
      <c r="C5234" t="str">
        <f t="shared" si="1163"/>
        <v>06539003</v>
      </c>
      <c r="D5234" t="str">
        <f t="shared" si="1164"/>
        <v>813</v>
      </c>
      <c r="E5234" t="str">
        <f t="shared" si="1162"/>
        <v>89301171</v>
      </c>
      <c r="F5234" t="str">
        <f t="shared" si="1157"/>
        <v>9457265741</v>
      </c>
      <c r="G5234" s="1">
        <v>44690</v>
      </c>
      <c r="H5234" t="str">
        <f t="shared" si="1166"/>
        <v>91197</v>
      </c>
      <c r="I5234">
        <v>1</v>
      </c>
      <c r="J5234">
        <v>1046</v>
      </c>
      <c r="K5234">
        <v>0</v>
      </c>
      <c r="L5234">
        <v>815.88</v>
      </c>
    </row>
    <row r="5235" spans="1:12" x14ac:dyDescent="0.25">
      <c r="A5235" t="str">
        <f t="shared" si="1154"/>
        <v>89301000</v>
      </c>
      <c r="B5235" t="str">
        <f t="shared" si="1161"/>
        <v>06539000</v>
      </c>
      <c r="C5235" t="str">
        <f t="shared" si="1163"/>
        <v>06539003</v>
      </c>
      <c r="D5235" t="str">
        <f t="shared" si="1164"/>
        <v>813</v>
      </c>
      <c r="E5235" t="str">
        <f t="shared" si="1162"/>
        <v>89301171</v>
      </c>
      <c r="F5235" t="str">
        <f t="shared" si="1157"/>
        <v>9457265741</v>
      </c>
      <c r="G5235" s="1">
        <v>44690</v>
      </c>
      <c r="H5235" t="str">
        <f t="shared" si="1166"/>
        <v>91197</v>
      </c>
      <c r="I5235">
        <v>1</v>
      </c>
      <c r="J5235">
        <v>1046</v>
      </c>
      <c r="K5235">
        <v>0</v>
      </c>
      <c r="L5235">
        <v>815.88</v>
      </c>
    </row>
    <row r="5236" spans="1:12" x14ac:dyDescent="0.25">
      <c r="A5236" t="str">
        <f t="shared" si="1154"/>
        <v>89301000</v>
      </c>
      <c r="B5236" t="str">
        <f t="shared" si="1161"/>
        <v>06539000</v>
      </c>
      <c r="C5236" t="str">
        <f t="shared" si="1163"/>
        <v>06539003</v>
      </c>
      <c r="D5236" t="str">
        <f t="shared" si="1164"/>
        <v>813</v>
      </c>
      <c r="E5236" t="str">
        <f t="shared" si="1162"/>
        <v>89301171</v>
      </c>
      <c r="F5236" t="str">
        <f t="shared" si="1157"/>
        <v>9457265741</v>
      </c>
      <c r="G5236" s="1">
        <v>44689</v>
      </c>
      <c r="H5236" t="str">
        <f t="shared" si="1166"/>
        <v>91197</v>
      </c>
      <c r="I5236">
        <v>1</v>
      </c>
      <c r="J5236">
        <v>1046</v>
      </c>
      <c r="K5236">
        <v>0</v>
      </c>
      <c r="L5236">
        <v>815.88</v>
      </c>
    </row>
    <row r="5237" spans="1:12" x14ac:dyDescent="0.25">
      <c r="A5237" t="str">
        <f t="shared" si="1154"/>
        <v>89301000</v>
      </c>
      <c r="B5237" t="str">
        <f t="shared" si="1161"/>
        <v>06539000</v>
      </c>
      <c r="C5237" t="str">
        <f t="shared" si="1163"/>
        <v>06539003</v>
      </c>
      <c r="D5237" t="str">
        <f t="shared" si="1164"/>
        <v>813</v>
      </c>
      <c r="E5237" t="str">
        <f t="shared" si="1162"/>
        <v>89301171</v>
      </c>
      <c r="F5237" t="str">
        <f t="shared" si="1157"/>
        <v>9457265741</v>
      </c>
      <c r="G5237" s="1">
        <v>44689</v>
      </c>
      <c r="H5237" t="str">
        <f t="shared" si="1166"/>
        <v>91197</v>
      </c>
      <c r="I5237">
        <v>1</v>
      </c>
      <c r="J5237">
        <v>1046</v>
      </c>
      <c r="K5237">
        <v>0</v>
      </c>
      <c r="L5237">
        <v>815.88</v>
      </c>
    </row>
    <row r="5238" spans="1:12" x14ac:dyDescent="0.25">
      <c r="A5238" t="str">
        <f t="shared" si="1154"/>
        <v>89301000</v>
      </c>
      <c r="B5238" t="str">
        <f t="shared" si="1161"/>
        <v>06539000</v>
      </c>
      <c r="C5238" t="str">
        <f t="shared" si="1163"/>
        <v>06539003</v>
      </c>
      <c r="D5238" t="str">
        <f t="shared" si="1164"/>
        <v>813</v>
      </c>
      <c r="E5238" t="str">
        <f t="shared" si="1162"/>
        <v>89301171</v>
      </c>
      <c r="F5238" t="str">
        <f t="shared" si="1157"/>
        <v>9457265741</v>
      </c>
      <c r="G5238" s="1">
        <v>44688</v>
      </c>
      <c r="H5238" t="str">
        <f t="shared" si="1166"/>
        <v>91197</v>
      </c>
      <c r="I5238">
        <v>1</v>
      </c>
      <c r="J5238">
        <v>1046</v>
      </c>
      <c r="K5238">
        <v>0</v>
      </c>
      <c r="L5238">
        <v>815.88</v>
      </c>
    </row>
    <row r="5239" spans="1:12" x14ac:dyDescent="0.25">
      <c r="A5239" t="str">
        <f t="shared" si="1154"/>
        <v>89301000</v>
      </c>
      <c r="B5239" t="str">
        <f t="shared" si="1161"/>
        <v>06539000</v>
      </c>
      <c r="C5239" t="str">
        <f t="shared" si="1163"/>
        <v>06539003</v>
      </c>
      <c r="D5239" t="str">
        <f t="shared" si="1164"/>
        <v>813</v>
      </c>
      <c r="E5239" t="str">
        <f t="shared" si="1162"/>
        <v>89301171</v>
      </c>
      <c r="F5239" t="str">
        <f t="shared" si="1157"/>
        <v>9457265741</v>
      </c>
      <c r="G5239" s="1">
        <v>44688</v>
      </c>
      <c r="H5239" t="str">
        <f t="shared" si="1166"/>
        <v>91197</v>
      </c>
      <c r="I5239">
        <v>1</v>
      </c>
      <c r="J5239">
        <v>1046</v>
      </c>
      <c r="K5239">
        <v>0</v>
      </c>
      <c r="L5239">
        <v>815.88</v>
      </c>
    </row>
    <row r="5240" spans="1:12" x14ac:dyDescent="0.25">
      <c r="A5240" t="str">
        <f t="shared" si="1154"/>
        <v>89301000</v>
      </c>
      <c r="B5240" t="str">
        <f t="shared" si="1161"/>
        <v>06539000</v>
      </c>
      <c r="C5240" t="str">
        <f t="shared" si="1163"/>
        <v>06539003</v>
      </c>
      <c r="D5240" t="str">
        <f t="shared" si="1164"/>
        <v>813</v>
      </c>
      <c r="E5240" t="str">
        <f t="shared" si="1162"/>
        <v>89301171</v>
      </c>
      <c r="F5240" t="str">
        <f t="shared" si="1157"/>
        <v>9457265741</v>
      </c>
      <c r="G5240" s="1">
        <v>44704</v>
      </c>
      <c r="H5240" t="str">
        <f>"91329"</f>
        <v>91329</v>
      </c>
      <c r="I5240">
        <v>2</v>
      </c>
      <c r="J5240">
        <v>428</v>
      </c>
      <c r="K5240">
        <v>0</v>
      </c>
      <c r="L5240">
        <v>333.84</v>
      </c>
    </row>
    <row r="5241" spans="1:12" x14ac:dyDescent="0.25">
      <c r="A5241" t="str">
        <f t="shared" si="1154"/>
        <v>89301000</v>
      </c>
      <c r="B5241" t="str">
        <f t="shared" si="1161"/>
        <v>06539000</v>
      </c>
      <c r="C5241" t="str">
        <f t="shared" si="1163"/>
        <v>06539003</v>
      </c>
      <c r="D5241" t="str">
        <f t="shared" si="1164"/>
        <v>813</v>
      </c>
      <c r="E5241" t="str">
        <f t="shared" si="1162"/>
        <v>89301171</v>
      </c>
      <c r="F5241" t="str">
        <f t="shared" si="1157"/>
        <v>9457265741</v>
      </c>
      <c r="G5241" s="1">
        <v>44704</v>
      </c>
      <c r="H5241" t="str">
        <f>"91329"</f>
        <v>91329</v>
      </c>
      <c r="I5241">
        <v>2</v>
      </c>
      <c r="J5241">
        <v>428</v>
      </c>
      <c r="K5241">
        <v>0</v>
      </c>
      <c r="L5241">
        <v>333.84</v>
      </c>
    </row>
    <row r="5242" spans="1:12" x14ac:dyDescent="0.25">
      <c r="A5242" t="str">
        <f t="shared" si="1154"/>
        <v>89301000</v>
      </c>
      <c r="B5242" t="str">
        <f t="shared" si="1161"/>
        <v>06539000</v>
      </c>
      <c r="C5242" t="str">
        <f t="shared" si="1163"/>
        <v>06539003</v>
      </c>
      <c r="D5242" t="str">
        <f t="shared" si="1164"/>
        <v>813</v>
      </c>
      <c r="E5242" t="str">
        <f t="shared" si="1162"/>
        <v>89301171</v>
      </c>
      <c r="F5242" t="str">
        <f t="shared" si="1157"/>
        <v>9457265741</v>
      </c>
      <c r="G5242" s="1">
        <v>44704</v>
      </c>
      <c r="H5242" t="str">
        <f>"91329"</f>
        <v>91329</v>
      </c>
      <c r="I5242">
        <v>2</v>
      </c>
      <c r="J5242">
        <v>428</v>
      </c>
      <c r="K5242">
        <v>0</v>
      </c>
      <c r="L5242">
        <v>333.84</v>
      </c>
    </row>
    <row r="5243" spans="1:12" x14ac:dyDescent="0.25">
      <c r="A5243" t="str">
        <f t="shared" si="1154"/>
        <v>89301000</v>
      </c>
      <c r="B5243" t="str">
        <f t="shared" si="1161"/>
        <v>06539000</v>
      </c>
      <c r="C5243" t="str">
        <f t="shared" si="1163"/>
        <v>06539003</v>
      </c>
      <c r="D5243" t="str">
        <f t="shared" si="1164"/>
        <v>813</v>
      </c>
      <c r="E5243" t="str">
        <f t="shared" si="1162"/>
        <v>89301171</v>
      </c>
      <c r="F5243" t="str">
        <f t="shared" si="1157"/>
        <v>9457265741</v>
      </c>
      <c r="G5243" s="1">
        <v>44704</v>
      </c>
      <c r="H5243" t="str">
        <f>"91329"</f>
        <v>91329</v>
      </c>
      <c r="I5243">
        <v>2</v>
      </c>
      <c r="J5243">
        <v>428</v>
      </c>
      <c r="K5243">
        <v>0</v>
      </c>
      <c r="L5243">
        <v>333.84</v>
      </c>
    </row>
    <row r="5244" spans="1:12" x14ac:dyDescent="0.25">
      <c r="A5244" t="str">
        <f t="shared" si="1154"/>
        <v>89301000</v>
      </c>
      <c r="B5244" t="str">
        <f t="shared" si="1161"/>
        <v>06539000</v>
      </c>
      <c r="C5244" t="str">
        <f t="shared" si="1163"/>
        <v>06539003</v>
      </c>
      <c r="D5244" t="str">
        <f t="shared" si="1164"/>
        <v>813</v>
      </c>
      <c r="E5244" t="str">
        <f t="shared" si="1162"/>
        <v>89301171</v>
      </c>
      <c r="F5244" t="str">
        <f t="shared" si="1157"/>
        <v>9457265741</v>
      </c>
      <c r="G5244" s="1">
        <v>44687</v>
      </c>
      <c r="H5244" t="str">
        <f>"91129"</f>
        <v>91129</v>
      </c>
      <c r="I5244">
        <v>1</v>
      </c>
      <c r="J5244">
        <v>174</v>
      </c>
      <c r="K5244">
        <v>0</v>
      </c>
      <c r="L5244">
        <v>135.72</v>
      </c>
    </row>
    <row r="5245" spans="1:12" x14ac:dyDescent="0.25">
      <c r="A5245" t="str">
        <f t="shared" si="1154"/>
        <v>89301000</v>
      </c>
      <c r="B5245" t="str">
        <f t="shared" si="1161"/>
        <v>06539000</v>
      </c>
      <c r="C5245" t="str">
        <f t="shared" si="1163"/>
        <v>06539003</v>
      </c>
      <c r="D5245" t="str">
        <f t="shared" si="1164"/>
        <v>813</v>
      </c>
      <c r="E5245" t="str">
        <f t="shared" si="1162"/>
        <v>89301171</v>
      </c>
      <c r="F5245" t="str">
        <f t="shared" si="1157"/>
        <v>9457265741</v>
      </c>
      <c r="G5245" s="1">
        <v>44687</v>
      </c>
      <c r="H5245" t="str">
        <f>"91131"</f>
        <v>91131</v>
      </c>
      <c r="I5245">
        <v>1</v>
      </c>
      <c r="J5245">
        <v>171</v>
      </c>
      <c r="K5245">
        <v>0</v>
      </c>
      <c r="L5245">
        <v>133.38</v>
      </c>
    </row>
    <row r="5246" spans="1:12" x14ac:dyDescent="0.25">
      <c r="A5246" t="str">
        <f t="shared" si="1154"/>
        <v>89301000</v>
      </c>
      <c r="B5246" t="str">
        <f t="shared" si="1161"/>
        <v>06539000</v>
      </c>
      <c r="C5246" t="str">
        <f t="shared" si="1163"/>
        <v>06539003</v>
      </c>
      <c r="D5246" t="str">
        <f t="shared" si="1164"/>
        <v>813</v>
      </c>
      <c r="E5246" t="str">
        <f t="shared" si="1162"/>
        <v>89301171</v>
      </c>
      <c r="F5246" t="str">
        <f t="shared" si="1157"/>
        <v>9457265741</v>
      </c>
      <c r="G5246" s="1">
        <v>44687</v>
      </c>
      <c r="H5246" t="str">
        <f>"91133"</f>
        <v>91133</v>
      </c>
      <c r="I5246">
        <v>1</v>
      </c>
      <c r="J5246">
        <v>176</v>
      </c>
      <c r="K5246">
        <v>0</v>
      </c>
      <c r="L5246">
        <v>137.28</v>
      </c>
    </row>
    <row r="5247" spans="1:12" x14ac:dyDescent="0.25">
      <c r="A5247" t="str">
        <f t="shared" si="1154"/>
        <v>89301000</v>
      </c>
      <c r="B5247" t="str">
        <f t="shared" si="1161"/>
        <v>06539000</v>
      </c>
      <c r="C5247" t="str">
        <f t="shared" si="1163"/>
        <v>06539003</v>
      </c>
      <c r="D5247" t="str">
        <f t="shared" si="1164"/>
        <v>813</v>
      </c>
      <c r="E5247" t="str">
        <f t="shared" si="1162"/>
        <v>89301171</v>
      </c>
      <c r="F5247" t="str">
        <f t="shared" si="1157"/>
        <v>9457265741</v>
      </c>
      <c r="G5247" s="1">
        <v>44687</v>
      </c>
      <c r="H5247" t="str">
        <f>"91171"</f>
        <v>91171</v>
      </c>
      <c r="I5247">
        <v>1</v>
      </c>
      <c r="J5247">
        <v>360</v>
      </c>
      <c r="K5247">
        <v>0</v>
      </c>
      <c r="L5247">
        <v>280.8</v>
      </c>
    </row>
    <row r="5248" spans="1:12" x14ac:dyDescent="0.25">
      <c r="A5248" t="str">
        <f t="shared" si="1154"/>
        <v>89301000</v>
      </c>
      <c r="B5248" t="str">
        <f t="shared" si="1161"/>
        <v>06539000</v>
      </c>
      <c r="C5248" t="str">
        <f t="shared" si="1163"/>
        <v>06539003</v>
      </c>
      <c r="D5248" t="str">
        <f t="shared" si="1164"/>
        <v>813</v>
      </c>
      <c r="E5248" t="str">
        <f t="shared" si="1162"/>
        <v>89301171</v>
      </c>
      <c r="F5248" t="str">
        <f t="shared" si="1157"/>
        <v>9457265741</v>
      </c>
      <c r="G5248" s="1">
        <v>44687</v>
      </c>
      <c r="H5248" t="str">
        <f>"91173"</f>
        <v>91173</v>
      </c>
      <c r="I5248">
        <v>1</v>
      </c>
      <c r="J5248">
        <v>335</v>
      </c>
      <c r="K5248">
        <v>0</v>
      </c>
      <c r="L5248">
        <v>261.3</v>
      </c>
    </row>
    <row r="5249" spans="1:12" x14ac:dyDescent="0.25">
      <c r="A5249" t="str">
        <f t="shared" si="1154"/>
        <v>89301000</v>
      </c>
      <c r="B5249" t="str">
        <f t="shared" si="1161"/>
        <v>06539000</v>
      </c>
      <c r="C5249" t="str">
        <f t="shared" si="1163"/>
        <v>06539003</v>
      </c>
      <c r="D5249" t="str">
        <f t="shared" si="1164"/>
        <v>813</v>
      </c>
      <c r="E5249" t="str">
        <f t="shared" si="1162"/>
        <v>89301171</v>
      </c>
      <c r="F5249" t="str">
        <f t="shared" si="1157"/>
        <v>9457265741</v>
      </c>
      <c r="G5249" s="1">
        <v>44687</v>
      </c>
      <c r="H5249" t="str">
        <f>"91175"</f>
        <v>91175</v>
      </c>
      <c r="I5249">
        <v>1</v>
      </c>
      <c r="J5249">
        <v>360</v>
      </c>
      <c r="K5249">
        <v>0</v>
      </c>
      <c r="L5249">
        <v>280.8</v>
      </c>
    </row>
    <row r="5250" spans="1:12" x14ac:dyDescent="0.25">
      <c r="A5250" t="str">
        <f t="shared" ref="A5250:A5313" si="1167">"89301000"</f>
        <v>89301000</v>
      </c>
      <c r="B5250" t="str">
        <f t="shared" si="1161"/>
        <v>06539000</v>
      </c>
      <c r="C5250" t="str">
        <f t="shared" ref="C5250:C5281" si="1168">"06539003"</f>
        <v>06539003</v>
      </c>
      <c r="D5250" t="str">
        <f t="shared" ref="D5250:D5281" si="1169">"813"</f>
        <v>813</v>
      </c>
      <c r="E5250" t="str">
        <f t="shared" si="1162"/>
        <v>89301171</v>
      </c>
      <c r="F5250" t="str">
        <f t="shared" si="1157"/>
        <v>9457265741</v>
      </c>
      <c r="G5250" s="1">
        <v>44688</v>
      </c>
      <c r="H5250" t="str">
        <f>"91167"</f>
        <v>91167</v>
      </c>
      <c r="I5250">
        <v>1</v>
      </c>
      <c r="J5250">
        <v>425</v>
      </c>
      <c r="K5250">
        <v>0</v>
      </c>
      <c r="L5250">
        <v>331.5</v>
      </c>
    </row>
    <row r="5251" spans="1:12" x14ac:dyDescent="0.25">
      <c r="A5251" t="str">
        <f t="shared" si="1167"/>
        <v>89301000</v>
      </c>
      <c r="B5251" t="str">
        <f t="shared" si="1161"/>
        <v>06539000</v>
      </c>
      <c r="C5251" t="str">
        <f t="shared" si="1168"/>
        <v>06539003</v>
      </c>
      <c r="D5251" t="str">
        <f t="shared" si="1169"/>
        <v>813</v>
      </c>
      <c r="E5251" t="str">
        <f t="shared" si="1162"/>
        <v>89301171</v>
      </c>
      <c r="F5251" t="str">
        <f t="shared" si="1157"/>
        <v>9457265741</v>
      </c>
      <c r="G5251" s="1">
        <v>44688</v>
      </c>
      <c r="H5251" t="str">
        <f>"91169"</f>
        <v>91169</v>
      </c>
      <c r="I5251">
        <v>1</v>
      </c>
      <c r="J5251">
        <v>425</v>
      </c>
      <c r="K5251">
        <v>0</v>
      </c>
      <c r="L5251">
        <v>331.5</v>
      </c>
    </row>
    <row r="5252" spans="1:12" x14ac:dyDescent="0.25">
      <c r="A5252" t="str">
        <f t="shared" si="1167"/>
        <v>89301000</v>
      </c>
      <c r="B5252" t="str">
        <f t="shared" si="1161"/>
        <v>06539000</v>
      </c>
      <c r="C5252" t="str">
        <f t="shared" si="1168"/>
        <v>06539003</v>
      </c>
      <c r="D5252" t="str">
        <f t="shared" si="1169"/>
        <v>813</v>
      </c>
      <c r="E5252" t="str">
        <f t="shared" si="1162"/>
        <v>89301171</v>
      </c>
      <c r="F5252" t="str">
        <f t="shared" si="1157"/>
        <v>9457265741</v>
      </c>
      <c r="G5252" s="1">
        <v>44687</v>
      </c>
      <c r="H5252" t="str">
        <f>"91167"</f>
        <v>91167</v>
      </c>
      <c r="I5252">
        <v>1</v>
      </c>
      <c r="J5252">
        <v>425</v>
      </c>
      <c r="K5252">
        <v>0</v>
      </c>
      <c r="L5252">
        <v>331.5</v>
      </c>
    </row>
    <row r="5253" spans="1:12" x14ac:dyDescent="0.25">
      <c r="A5253" t="str">
        <f t="shared" si="1167"/>
        <v>89301000</v>
      </c>
      <c r="B5253" t="str">
        <f t="shared" si="1161"/>
        <v>06539000</v>
      </c>
      <c r="C5253" t="str">
        <f t="shared" si="1168"/>
        <v>06539003</v>
      </c>
      <c r="D5253" t="str">
        <f t="shared" si="1169"/>
        <v>813</v>
      </c>
      <c r="E5253" t="str">
        <f t="shared" si="1162"/>
        <v>89301171</v>
      </c>
      <c r="F5253" t="str">
        <f t="shared" si="1157"/>
        <v>9457265741</v>
      </c>
      <c r="G5253" s="1">
        <v>44687</v>
      </c>
      <c r="H5253" t="str">
        <f>"91169"</f>
        <v>91169</v>
      </c>
      <c r="I5253">
        <v>1</v>
      </c>
      <c r="J5253">
        <v>425</v>
      </c>
      <c r="K5253">
        <v>0</v>
      </c>
      <c r="L5253">
        <v>331.5</v>
      </c>
    </row>
    <row r="5254" spans="1:12" x14ac:dyDescent="0.25">
      <c r="A5254" t="str">
        <f t="shared" si="1167"/>
        <v>89301000</v>
      </c>
      <c r="B5254" t="str">
        <f t="shared" si="1161"/>
        <v>06539000</v>
      </c>
      <c r="C5254" t="str">
        <f t="shared" si="1168"/>
        <v>06539003</v>
      </c>
      <c r="D5254" t="str">
        <f t="shared" si="1169"/>
        <v>813</v>
      </c>
      <c r="E5254" t="str">
        <f t="shared" si="1162"/>
        <v>89301171</v>
      </c>
      <c r="F5254" t="str">
        <f t="shared" si="1157"/>
        <v>9457265741</v>
      </c>
      <c r="G5254" s="1">
        <v>44687</v>
      </c>
      <c r="H5254" t="str">
        <f>"91475"</f>
        <v>91475</v>
      </c>
      <c r="I5254">
        <v>1</v>
      </c>
      <c r="J5254">
        <v>206</v>
      </c>
      <c r="K5254">
        <v>0</v>
      </c>
      <c r="L5254">
        <v>160.68</v>
      </c>
    </row>
    <row r="5255" spans="1:12" x14ac:dyDescent="0.25">
      <c r="A5255" t="str">
        <f t="shared" si="1167"/>
        <v>89301000</v>
      </c>
      <c r="B5255" t="str">
        <f t="shared" si="1161"/>
        <v>06539000</v>
      </c>
      <c r="C5255" t="str">
        <f t="shared" si="1168"/>
        <v>06539003</v>
      </c>
      <c r="D5255" t="str">
        <f t="shared" si="1169"/>
        <v>813</v>
      </c>
      <c r="E5255" t="str">
        <f t="shared" si="1162"/>
        <v>89301171</v>
      </c>
      <c r="F5255" t="str">
        <f t="shared" ref="F5255:F5271" si="1170">"8352175337"</f>
        <v>8352175337</v>
      </c>
      <c r="G5255" s="1">
        <v>44691</v>
      </c>
      <c r="H5255" t="str">
        <f>"91439"</f>
        <v>91439</v>
      </c>
      <c r="I5255">
        <v>2</v>
      </c>
      <c r="J5255">
        <v>712</v>
      </c>
      <c r="K5255">
        <v>0</v>
      </c>
      <c r="L5255">
        <v>555.36</v>
      </c>
    </row>
    <row r="5256" spans="1:12" x14ac:dyDescent="0.25">
      <c r="A5256" t="str">
        <f t="shared" si="1167"/>
        <v>89301000</v>
      </c>
      <c r="B5256" t="str">
        <f t="shared" si="1161"/>
        <v>06539000</v>
      </c>
      <c r="C5256" t="str">
        <f t="shared" si="1168"/>
        <v>06539003</v>
      </c>
      <c r="D5256" t="str">
        <f t="shared" si="1169"/>
        <v>813</v>
      </c>
      <c r="E5256" t="str">
        <f t="shared" si="1162"/>
        <v>89301171</v>
      </c>
      <c r="F5256" t="str">
        <f t="shared" si="1170"/>
        <v>8352175337</v>
      </c>
      <c r="G5256" s="1">
        <v>44691</v>
      </c>
      <c r="H5256" t="str">
        <f>"91439"</f>
        <v>91439</v>
      </c>
      <c r="I5256">
        <v>1</v>
      </c>
      <c r="J5256">
        <v>356</v>
      </c>
      <c r="K5256">
        <v>0</v>
      </c>
      <c r="L5256">
        <v>277.68</v>
      </c>
    </row>
    <row r="5257" spans="1:12" x14ac:dyDescent="0.25">
      <c r="A5257" t="str">
        <f t="shared" si="1167"/>
        <v>89301000</v>
      </c>
      <c r="B5257" t="str">
        <f t="shared" si="1161"/>
        <v>06539000</v>
      </c>
      <c r="C5257" t="str">
        <f t="shared" si="1168"/>
        <v>06539003</v>
      </c>
      <c r="D5257" t="str">
        <f t="shared" si="1169"/>
        <v>813</v>
      </c>
      <c r="E5257" t="str">
        <f t="shared" si="1162"/>
        <v>89301171</v>
      </c>
      <c r="F5257" t="str">
        <f t="shared" si="1170"/>
        <v>8352175337</v>
      </c>
      <c r="G5257" s="1">
        <v>44691</v>
      </c>
      <c r="H5257" t="str">
        <f>"91439"</f>
        <v>91439</v>
      </c>
      <c r="I5257">
        <v>1</v>
      </c>
      <c r="J5257">
        <v>356</v>
      </c>
      <c r="K5257">
        <v>0</v>
      </c>
      <c r="L5257">
        <v>277.68</v>
      </c>
    </row>
    <row r="5258" spans="1:12" x14ac:dyDescent="0.25">
      <c r="A5258" t="str">
        <f t="shared" si="1167"/>
        <v>89301000</v>
      </c>
      <c r="B5258" t="str">
        <f t="shared" si="1161"/>
        <v>06539000</v>
      </c>
      <c r="C5258" t="str">
        <f t="shared" si="1168"/>
        <v>06539003</v>
      </c>
      <c r="D5258" t="str">
        <f t="shared" si="1169"/>
        <v>813</v>
      </c>
      <c r="E5258" t="str">
        <f t="shared" si="1162"/>
        <v>89301171</v>
      </c>
      <c r="F5258" t="str">
        <f t="shared" si="1170"/>
        <v>8352175337</v>
      </c>
      <c r="G5258" s="1">
        <v>44691</v>
      </c>
      <c r="H5258" t="str">
        <f>"91439"</f>
        <v>91439</v>
      </c>
      <c r="I5258">
        <v>1</v>
      </c>
      <c r="J5258">
        <v>356</v>
      </c>
      <c r="K5258">
        <v>0</v>
      </c>
      <c r="L5258">
        <v>277.68</v>
      </c>
    </row>
    <row r="5259" spans="1:12" x14ac:dyDescent="0.25">
      <c r="A5259" t="str">
        <f t="shared" si="1167"/>
        <v>89301000</v>
      </c>
      <c r="B5259" t="str">
        <f t="shared" si="1161"/>
        <v>06539000</v>
      </c>
      <c r="C5259" t="str">
        <f t="shared" si="1168"/>
        <v>06539003</v>
      </c>
      <c r="D5259" t="str">
        <f t="shared" si="1169"/>
        <v>813</v>
      </c>
      <c r="E5259" t="str">
        <f t="shared" si="1162"/>
        <v>89301171</v>
      </c>
      <c r="F5259" t="str">
        <f t="shared" si="1170"/>
        <v>8352175337</v>
      </c>
      <c r="G5259" s="1">
        <v>44691</v>
      </c>
      <c r="H5259" t="str">
        <f>"91439"</f>
        <v>91439</v>
      </c>
      <c r="I5259">
        <v>1</v>
      </c>
      <c r="J5259">
        <v>356</v>
      </c>
      <c r="K5259">
        <v>0</v>
      </c>
      <c r="L5259">
        <v>277.68</v>
      </c>
    </row>
    <row r="5260" spans="1:12" x14ac:dyDescent="0.25">
      <c r="A5260" t="str">
        <f t="shared" si="1167"/>
        <v>89301000</v>
      </c>
      <c r="B5260" t="str">
        <f t="shared" si="1161"/>
        <v>06539000</v>
      </c>
      <c r="C5260" t="str">
        <f t="shared" si="1168"/>
        <v>06539003</v>
      </c>
      <c r="D5260" t="str">
        <f t="shared" si="1169"/>
        <v>813</v>
      </c>
      <c r="E5260" t="str">
        <f t="shared" si="1162"/>
        <v>89301171</v>
      </c>
      <c r="F5260" t="str">
        <f t="shared" si="1170"/>
        <v>8352175337</v>
      </c>
      <c r="G5260" s="1">
        <v>44704</v>
      </c>
      <c r="H5260" t="str">
        <f t="shared" ref="H5260:H5267" si="1171">"91413"</f>
        <v>91413</v>
      </c>
      <c r="I5260">
        <v>1</v>
      </c>
      <c r="J5260">
        <v>853</v>
      </c>
      <c r="K5260">
        <v>0</v>
      </c>
      <c r="L5260">
        <v>665.34</v>
      </c>
    </row>
    <row r="5261" spans="1:12" x14ac:dyDescent="0.25">
      <c r="A5261" t="str">
        <f t="shared" si="1167"/>
        <v>89301000</v>
      </c>
      <c r="B5261" t="str">
        <f t="shared" si="1161"/>
        <v>06539000</v>
      </c>
      <c r="C5261" t="str">
        <f t="shared" si="1168"/>
        <v>06539003</v>
      </c>
      <c r="D5261" t="str">
        <f t="shared" si="1169"/>
        <v>813</v>
      </c>
      <c r="E5261" t="str">
        <f t="shared" si="1162"/>
        <v>89301171</v>
      </c>
      <c r="F5261" t="str">
        <f t="shared" si="1170"/>
        <v>8352175337</v>
      </c>
      <c r="G5261" s="1">
        <v>44704</v>
      </c>
      <c r="H5261" t="str">
        <f t="shared" si="1171"/>
        <v>91413</v>
      </c>
      <c r="I5261">
        <v>1</v>
      </c>
      <c r="J5261">
        <v>853</v>
      </c>
      <c r="K5261">
        <v>0</v>
      </c>
      <c r="L5261">
        <v>665.34</v>
      </c>
    </row>
    <row r="5262" spans="1:12" x14ac:dyDescent="0.25">
      <c r="A5262" t="str">
        <f t="shared" si="1167"/>
        <v>89301000</v>
      </c>
      <c r="B5262" t="str">
        <f t="shared" si="1161"/>
        <v>06539000</v>
      </c>
      <c r="C5262" t="str">
        <f t="shared" si="1168"/>
        <v>06539003</v>
      </c>
      <c r="D5262" t="str">
        <f t="shared" si="1169"/>
        <v>813</v>
      </c>
      <c r="E5262" t="str">
        <f t="shared" si="1162"/>
        <v>89301171</v>
      </c>
      <c r="F5262" t="str">
        <f t="shared" si="1170"/>
        <v>8352175337</v>
      </c>
      <c r="G5262" s="1">
        <v>44699</v>
      </c>
      <c r="H5262" t="str">
        <f t="shared" si="1171"/>
        <v>91413</v>
      </c>
      <c r="I5262">
        <v>1</v>
      </c>
      <c r="J5262">
        <v>853</v>
      </c>
      <c r="K5262">
        <v>0</v>
      </c>
      <c r="L5262">
        <v>665.34</v>
      </c>
    </row>
    <row r="5263" spans="1:12" x14ac:dyDescent="0.25">
      <c r="A5263" t="str">
        <f t="shared" si="1167"/>
        <v>89301000</v>
      </c>
      <c r="B5263" t="str">
        <f t="shared" si="1161"/>
        <v>06539000</v>
      </c>
      <c r="C5263" t="str">
        <f t="shared" si="1168"/>
        <v>06539003</v>
      </c>
      <c r="D5263" t="str">
        <f t="shared" si="1169"/>
        <v>813</v>
      </c>
      <c r="E5263" t="str">
        <f t="shared" si="1162"/>
        <v>89301171</v>
      </c>
      <c r="F5263" t="str">
        <f t="shared" si="1170"/>
        <v>8352175337</v>
      </c>
      <c r="G5263" s="1">
        <v>44699</v>
      </c>
      <c r="H5263" t="str">
        <f t="shared" si="1171"/>
        <v>91413</v>
      </c>
      <c r="I5263">
        <v>1</v>
      </c>
      <c r="J5263">
        <v>853</v>
      </c>
      <c r="K5263">
        <v>0</v>
      </c>
      <c r="L5263">
        <v>665.34</v>
      </c>
    </row>
    <row r="5264" spans="1:12" x14ac:dyDescent="0.25">
      <c r="A5264" t="str">
        <f t="shared" si="1167"/>
        <v>89301000</v>
      </c>
      <c r="B5264" t="str">
        <f t="shared" si="1161"/>
        <v>06539000</v>
      </c>
      <c r="C5264" t="str">
        <f t="shared" si="1168"/>
        <v>06539003</v>
      </c>
      <c r="D5264" t="str">
        <f t="shared" si="1169"/>
        <v>813</v>
      </c>
      <c r="E5264" t="str">
        <f t="shared" si="1162"/>
        <v>89301171</v>
      </c>
      <c r="F5264" t="str">
        <f t="shared" si="1170"/>
        <v>8352175337</v>
      </c>
      <c r="G5264" s="1">
        <v>44704</v>
      </c>
      <c r="H5264" t="str">
        <f t="shared" si="1171"/>
        <v>91413</v>
      </c>
      <c r="I5264">
        <v>1</v>
      </c>
      <c r="J5264">
        <v>853</v>
      </c>
      <c r="K5264">
        <v>0</v>
      </c>
      <c r="L5264">
        <v>665.34</v>
      </c>
    </row>
    <row r="5265" spans="1:12" x14ac:dyDescent="0.25">
      <c r="A5265" t="str">
        <f t="shared" si="1167"/>
        <v>89301000</v>
      </c>
      <c r="B5265" t="str">
        <f t="shared" si="1161"/>
        <v>06539000</v>
      </c>
      <c r="C5265" t="str">
        <f t="shared" si="1168"/>
        <v>06539003</v>
      </c>
      <c r="D5265" t="str">
        <f t="shared" si="1169"/>
        <v>813</v>
      </c>
      <c r="E5265" t="str">
        <f t="shared" si="1162"/>
        <v>89301171</v>
      </c>
      <c r="F5265" t="str">
        <f t="shared" si="1170"/>
        <v>8352175337</v>
      </c>
      <c r="G5265" s="1">
        <v>44704</v>
      </c>
      <c r="H5265" t="str">
        <f t="shared" si="1171"/>
        <v>91413</v>
      </c>
      <c r="I5265">
        <v>1</v>
      </c>
      <c r="J5265">
        <v>853</v>
      </c>
      <c r="K5265">
        <v>0</v>
      </c>
      <c r="L5265">
        <v>665.34</v>
      </c>
    </row>
    <row r="5266" spans="1:12" x14ac:dyDescent="0.25">
      <c r="A5266" t="str">
        <f t="shared" si="1167"/>
        <v>89301000</v>
      </c>
      <c r="B5266" t="str">
        <f t="shared" si="1161"/>
        <v>06539000</v>
      </c>
      <c r="C5266" t="str">
        <f t="shared" si="1168"/>
        <v>06539003</v>
      </c>
      <c r="D5266" t="str">
        <f t="shared" si="1169"/>
        <v>813</v>
      </c>
      <c r="E5266" t="str">
        <f t="shared" si="1162"/>
        <v>89301171</v>
      </c>
      <c r="F5266" t="str">
        <f t="shared" si="1170"/>
        <v>8352175337</v>
      </c>
      <c r="G5266" s="1">
        <v>44704</v>
      </c>
      <c r="H5266" t="str">
        <f t="shared" si="1171"/>
        <v>91413</v>
      </c>
      <c r="I5266">
        <v>1</v>
      </c>
      <c r="J5266">
        <v>853</v>
      </c>
      <c r="K5266">
        <v>0</v>
      </c>
      <c r="L5266">
        <v>665.34</v>
      </c>
    </row>
    <row r="5267" spans="1:12" x14ac:dyDescent="0.25">
      <c r="A5267" t="str">
        <f t="shared" si="1167"/>
        <v>89301000</v>
      </c>
      <c r="B5267" t="str">
        <f t="shared" si="1161"/>
        <v>06539000</v>
      </c>
      <c r="C5267" t="str">
        <f t="shared" si="1168"/>
        <v>06539003</v>
      </c>
      <c r="D5267" t="str">
        <f t="shared" si="1169"/>
        <v>813</v>
      </c>
      <c r="E5267" t="str">
        <f t="shared" si="1162"/>
        <v>89301171</v>
      </c>
      <c r="F5267" t="str">
        <f t="shared" si="1170"/>
        <v>8352175337</v>
      </c>
      <c r="G5267" s="1">
        <v>44704</v>
      </c>
      <c r="H5267" t="str">
        <f t="shared" si="1171"/>
        <v>91413</v>
      </c>
      <c r="I5267">
        <v>1</v>
      </c>
      <c r="J5267">
        <v>853</v>
      </c>
      <c r="K5267">
        <v>0</v>
      </c>
      <c r="L5267">
        <v>665.34</v>
      </c>
    </row>
    <row r="5268" spans="1:12" x14ac:dyDescent="0.25">
      <c r="A5268" t="str">
        <f t="shared" si="1167"/>
        <v>89301000</v>
      </c>
      <c r="B5268" t="str">
        <f t="shared" si="1161"/>
        <v>06539000</v>
      </c>
      <c r="C5268" t="str">
        <f t="shared" si="1168"/>
        <v>06539003</v>
      </c>
      <c r="D5268" t="str">
        <f t="shared" si="1169"/>
        <v>813</v>
      </c>
      <c r="E5268" t="str">
        <f t="shared" si="1162"/>
        <v>89301171</v>
      </c>
      <c r="F5268" t="str">
        <f t="shared" si="1170"/>
        <v>8352175337</v>
      </c>
      <c r="G5268" s="1">
        <v>44697</v>
      </c>
      <c r="H5268" t="str">
        <f>"91329"</f>
        <v>91329</v>
      </c>
      <c r="I5268">
        <v>2</v>
      </c>
      <c r="J5268">
        <v>428</v>
      </c>
      <c r="K5268">
        <v>0</v>
      </c>
      <c r="L5268">
        <v>333.84</v>
      </c>
    </row>
    <row r="5269" spans="1:12" x14ac:dyDescent="0.25">
      <c r="A5269" t="str">
        <f t="shared" si="1167"/>
        <v>89301000</v>
      </c>
      <c r="B5269" t="str">
        <f t="shared" si="1161"/>
        <v>06539000</v>
      </c>
      <c r="C5269" t="str">
        <f t="shared" si="1168"/>
        <v>06539003</v>
      </c>
      <c r="D5269" t="str">
        <f t="shared" si="1169"/>
        <v>813</v>
      </c>
      <c r="E5269" t="str">
        <f t="shared" si="1162"/>
        <v>89301171</v>
      </c>
      <c r="F5269" t="str">
        <f t="shared" si="1170"/>
        <v>8352175337</v>
      </c>
      <c r="G5269" s="1">
        <v>44697</v>
      </c>
      <c r="H5269" t="str">
        <f>"91329"</f>
        <v>91329</v>
      </c>
      <c r="I5269">
        <v>2</v>
      </c>
      <c r="J5269">
        <v>428</v>
      </c>
      <c r="K5269">
        <v>0</v>
      </c>
      <c r="L5269">
        <v>333.84</v>
      </c>
    </row>
    <row r="5270" spans="1:12" x14ac:dyDescent="0.25">
      <c r="A5270" t="str">
        <f t="shared" si="1167"/>
        <v>89301000</v>
      </c>
      <c r="B5270" t="str">
        <f t="shared" si="1161"/>
        <v>06539000</v>
      </c>
      <c r="C5270" t="str">
        <f t="shared" si="1168"/>
        <v>06539003</v>
      </c>
      <c r="D5270" t="str">
        <f t="shared" si="1169"/>
        <v>813</v>
      </c>
      <c r="E5270" t="str">
        <f t="shared" si="1162"/>
        <v>89301171</v>
      </c>
      <c r="F5270" t="str">
        <f t="shared" si="1170"/>
        <v>8352175337</v>
      </c>
      <c r="G5270" s="1">
        <v>44692</v>
      </c>
      <c r="H5270" t="str">
        <f>"91329"</f>
        <v>91329</v>
      </c>
      <c r="I5270">
        <v>2</v>
      </c>
      <c r="J5270">
        <v>428</v>
      </c>
      <c r="K5270">
        <v>0</v>
      </c>
      <c r="L5270">
        <v>333.84</v>
      </c>
    </row>
    <row r="5271" spans="1:12" x14ac:dyDescent="0.25">
      <c r="A5271" t="str">
        <f t="shared" si="1167"/>
        <v>89301000</v>
      </c>
      <c r="B5271" t="str">
        <f t="shared" si="1161"/>
        <v>06539000</v>
      </c>
      <c r="C5271" t="str">
        <f t="shared" si="1168"/>
        <v>06539003</v>
      </c>
      <c r="D5271" t="str">
        <f t="shared" si="1169"/>
        <v>813</v>
      </c>
      <c r="E5271" t="str">
        <f t="shared" si="1162"/>
        <v>89301171</v>
      </c>
      <c r="F5271" t="str">
        <f t="shared" si="1170"/>
        <v>8352175337</v>
      </c>
      <c r="G5271" s="1">
        <v>44692</v>
      </c>
      <c r="H5271" t="str">
        <f>"91329"</f>
        <v>91329</v>
      </c>
      <c r="I5271">
        <v>2</v>
      </c>
      <c r="J5271">
        <v>428</v>
      </c>
      <c r="K5271">
        <v>0</v>
      </c>
      <c r="L5271">
        <v>333.84</v>
      </c>
    </row>
    <row r="5272" spans="1:12" x14ac:dyDescent="0.25">
      <c r="A5272" t="str">
        <f t="shared" si="1167"/>
        <v>89301000</v>
      </c>
      <c r="B5272" t="str">
        <f t="shared" si="1161"/>
        <v>06539000</v>
      </c>
      <c r="C5272" t="str">
        <f t="shared" si="1168"/>
        <v>06539003</v>
      </c>
      <c r="D5272" t="str">
        <f t="shared" si="1169"/>
        <v>813</v>
      </c>
      <c r="E5272" t="str">
        <f t="shared" si="1162"/>
        <v>89301171</v>
      </c>
      <c r="F5272" t="str">
        <f t="shared" ref="F5272:F5298" si="1172">"9804245704"</f>
        <v>9804245704</v>
      </c>
      <c r="G5272" s="1">
        <v>44691</v>
      </c>
      <c r="H5272" t="str">
        <f>"91439"</f>
        <v>91439</v>
      </c>
      <c r="I5272">
        <v>1</v>
      </c>
      <c r="J5272">
        <v>356</v>
      </c>
      <c r="K5272">
        <v>0</v>
      </c>
      <c r="L5272">
        <v>277.68</v>
      </c>
    </row>
    <row r="5273" spans="1:12" x14ac:dyDescent="0.25">
      <c r="A5273" t="str">
        <f t="shared" si="1167"/>
        <v>89301000</v>
      </c>
      <c r="B5273" t="str">
        <f t="shared" si="1161"/>
        <v>06539000</v>
      </c>
      <c r="C5273" t="str">
        <f t="shared" si="1168"/>
        <v>06539003</v>
      </c>
      <c r="D5273" t="str">
        <f t="shared" si="1169"/>
        <v>813</v>
      </c>
      <c r="E5273" t="str">
        <f t="shared" si="1162"/>
        <v>89301171</v>
      </c>
      <c r="F5273" t="str">
        <f t="shared" si="1172"/>
        <v>9804245704</v>
      </c>
      <c r="G5273" s="1">
        <v>44691</v>
      </c>
      <c r="H5273" t="str">
        <f>"91439"</f>
        <v>91439</v>
      </c>
      <c r="I5273">
        <v>1</v>
      </c>
      <c r="J5273">
        <v>356</v>
      </c>
      <c r="K5273">
        <v>0</v>
      </c>
      <c r="L5273">
        <v>277.68</v>
      </c>
    </row>
    <row r="5274" spans="1:12" x14ac:dyDescent="0.25">
      <c r="A5274" t="str">
        <f t="shared" si="1167"/>
        <v>89301000</v>
      </c>
      <c r="B5274" t="str">
        <f t="shared" si="1161"/>
        <v>06539000</v>
      </c>
      <c r="C5274" t="str">
        <f t="shared" si="1168"/>
        <v>06539003</v>
      </c>
      <c r="D5274" t="str">
        <f t="shared" si="1169"/>
        <v>813</v>
      </c>
      <c r="E5274" t="str">
        <f t="shared" si="1162"/>
        <v>89301171</v>
      </c>
      <c r="F5274" t="str">
        <f t="shared" si="1172"/>
        <v>9804245704</v>
      </c>
      <c r="G5274" s="1">
        <v>44691</v>
      </c>
      <c r="H5274" t="str">
        <f>"91439"</f>
        <v>91439</v>
      </c>
      <c r="I5274">
        <v>1</v>
      </c>
      <c r="J5274">
        <v>356</v>
      </c>
      <c r="K5274">
        <v>0</v>
      </c>
      <c r="L5274">
        <v>277.68</v>
      </c>
    </row>
    <row r="5275" spans="1:12" x14ac:dyDescent="0.25">
      <c r="A5275" t="str">
        <f t="shared" si="1167"/>
        <v>89301000</v>
      </c>
      <c r="B5275" t="str">
        <f t="shared" si="1161"/>
        <v>06539000</v>
      </c>
      <c r="C5275" t="str">
        <f t="shared" si="1168"/>
        <v>06539003</v>
      </c>
      <c r="D5275" t="str">
        <f t="shared" si="1169"/>
        <v>813</v>
      </c>
      <c r="E5275" t="str">
        <f t="shared" si="1162"/>
        <v>89301171</v>
      </c>
      <c r="F5275" t="str">
        <f t="shared" si="1172"/>
        <v>9804245704</v>
      </c>
      <c r="G5275" s="1">
        <v>44691</v>
      </c>
      <c r="H5275" t="str">
        <f>"91439"</f>
        <v>91439</v>
      </c>
      <c r="I5275">
        <v>1</v>
      </c>
      <c r="J5275">
        <v>356</v>
      </c>
      <c r="K5275">
        <v>0</v>
      </c>
      <c r="L5275">
        <v>277.68</v>
      </c>
    </row>
    <row r="5276" spans="1:12" x14ac:dyDescent="0.25">
      <c r="A5276" t="str">
        <f t="shared" si="1167"/>
        <v>89301000</v>
      </c>
      <c r="B5276" t="str">
        <f t="shared" ref="B5276:B5339" si="1173">"06539000"</f>
        <v>06539000</v>
      </c>
      <c r="C5276" t="str">
        <f t="shared" si="1168"/>
        <v>06539003</v>
      </c>
      <c r="D5276" t="str">
        <f t="shared" si="1169"/>
        <v>813</v>
      </c>
      <c r="E5276" t="str">
        <f t="shared" si="1162"/>
        <v>89301171</v>
      </c>
      <c r="F5276" t="str">
        <f t="shared" si="1172"/>
        <v>9804245704</v>
      </c>
      <c r="G5276" s="1">
        <v>44691</v>
      </c>
      <c r="H5276" t="str">
        <f>"91439"</f>
        <v>91439</v>
      </c>
      <c r="I5276">
        <v>2</v>
      </c>
      <c r="J5276">
        <v>712</v>
      </c>
      <c r="K5276">
        <v>0</v>
      </c>
      <c r="L5276">
        <v>555.36</v>
      </c>
    </row>
    <row r="5277" spans="1:12" x14ac:dyDescent="0.25">
      <c r="A5277" t="str">
        <f t="shared" si="1167"/>
        <v>89301000</v>
      </c>
      <c r="B5277" t="str">
        <f t="shared" si="1173"/>
        <v>06539000</v>
      </c>
      <c r="C5277" t="str">
        <f t="shared" si="1168"/>
        <v>06539003</v>
      </c>
      <c r="D5277" t="str">
        <f t="shared" si="1169"/>
        <v>813</v>
      </c>
      <c r="E5277" t="str">
        <f t="shared" si="1162"/>
        <v>89301171</v>
      </c>
      <c r="F5277" t="str">
        <f t="shared" si="1172"/>
        <v>9804245704</v>
      </c>
      <c r="G5277" s="1">
        <v>44690</v>
      </c>
      <c r="H5277" t="str">
        <f t="shared" ref="H5277:H5286" si="1174">"91413"</f>
        <v>91413</v>
      </c>
      <c r="I5277">
        <v>1</v>
      </c>
      <c r="J5277">
        <v>853</v>
      </c>
      <c r="K5277">
        <v>0</v>
      </c>
      <c r="L5277">
        <v>665.34</v>
      </c>
    </row>
    <row r="5278" spans="1:12" x14ac:dyDescent="0.25">
      <c r="A5278" t="str">
        <f t="shared" si="1167"/>
        <v>89301000</v>
      </c>
      <c r="B5278" t="str">
        <f t="shared" si="1173"/>
        <v>06539000</v>
      </c>
      <c r="C5278" t="str">
        <f t="shared" si="1168"/>
        <v>06539003</v>
      </c>
      <c r="D5278" t="str">
        <f t="shared" si="1169"/>
        <v>813</v>
      </c>
      <c r="E5278" t="str">
        <f t="shared" si="1162"/>
        <v>89301171</v>
      </c>
      <c r="F5278" t="str">
        <f t="shared" si="1172"/>
        <v>9804245704</v>
      </c>
      <c r="G5278" s="1">
        <v>44690</v>
      </c>
      <c r="H5278" t="str">
        <f t="shared" si="1174"/>
        <v>91413</v>
      </c>
      <c r="I5278">
        <v>1</v>
      </c>
      <c r="J5278">
        <v>853</v>
      </c>
      <c r="K5278">
        <v>0</v>
      </c>
      <c r="L5278">
        <v>665.34</v>
      </c>
    </row>
    <row r="5279" spans="1:12" x14ac:dyDescent="0.25">
      <c r="A5279" t="str">
        <f t="shared" si="1167"/>
        <v>89301000</v>
      </c>
      <c r="B5279" t="str">
        <f t="shared" si="1173"/>
        <v>06539000</v>
      </c>
      <c r="C5279" t="str">
        <f t="shared" si="1168"/>
        <v>06539003</v>
      </c>
      <c r="D5279" t="str">
        <f t="shared" si="1169"/>
        <v>813</v>
      </c>
      <c r="E5279" t="str">
        <f t="shared" si="1162"/>
        <v>89301171</v>
      </c>
      <c r="F5279" t="str">
        <f t="shared" si="1172"/>
        <v>9804245704</v>
      </c>
      <c r="G5279" s="1">
        <v>44704</v>
      </c>
      <c r="H5279" t="str">
        <f t="shared" si="1174"/>
        <v>91413</v>
      </c>
      <c r="I5279">
        <v>1</v>
      </c>
      <c r="J5279">
        <v>853</v>
      </c>
      <c r="K5279">
        <v>0</v>
      </c>
      <c r="L5279">
        <v>665.34</v>
      </c>
    </row>
    <row r="5280" spans="1:12" x14ac:dyDescent="0.25">
      <c r="A5280" t="str">
        <f t="shared" si="1167"/>
        <v>89301000</v>
      </c>
      <c r="B5280" t="str">
        <f t="shared" si="1173"/>
        <v>06539000</v>
      </c>
      <c r="C5280" t="str">
        <f t="shared" si="1168"/>
        <v>06539003</v>
      </c>
      <c r="D5280" t="str">
        <f t="shared" si="1169"/>
        <v>813</v>
      </c>
      <c r="E5280" t="str">
        <f t="shared" si="1162"/>
        <v>89301171</v>
      </c>
      <c r="F5280" t="str">
        <f t="shared" si="1172"/>
        <v>9804245704</v>
      </c>
      <c r="G5280" s="1">
        <v>44704</v>
      </c>
      <c r="H5280" t="str">
        <f t="shared" si="1174"/>
        <v>91413</v>
      </c>
      <c r="I5280">
        <v>1</v>
      </c>
      <c r="J5280">
        <v>853</v>
      </c>
      <c r="K5280">
        <v>0</v>
      </c>
      <c r="L5280">
        <v>665.34</v>
      </c>
    </row>
    <row r="5281" spans="1:12" x14ac:dyDescent="0.25">
      <c r="A5281" t="str">
        <f t="shared" si="1167"/>
        <v>89301000</v>
      </c>
      <c r="B5281" t="str">
        <f t="shared" si="1173"/>
        <v>06539000</v>
      </c>
      <c r="C5281" t="str">
        <f t="shared" si="1168"/>
        <v>06539003</v>
      </c>
      <c r="D5281" t="str">
        <f t="shared" si="1169"/>
        <v>813</v>
      </c>
      <c r="E5281" t="str">
        <f t="shared" ref="E5281:E5344" si="1175">"89301171"</f>
        <v>89301171</v>
      </c>
      <c r="F5281" t="str">
        <f t="shared" si="1172"/>
        <v>9804245704</v>
      </c>
      <c r="G5281" s="1">
        <v>44699</v>
      </c>
      <c r="H5281" t="str">
        <f t="shared" si="1174"/>
        <v>91413</v>
      </c>
      <c r="I5281">
        <v>1</v>
      </c>
      <c r="J5281">
        <v>853</v>
      </c>
      <c r="K5281">
        <v>0</v>
      </c>
      <c r="L5281">
        <v>665.34</v>
      </c>
    </row>
    <row r="5282" spans="1:12" x14ac:dyDescent="0.25">
      <c r="A5282" t="str">
        <f t="shared" si="1167"/>
        <v>89301000</v>
      </c>
      <c r="B5282" t="str">
        <f t="shared" si="1173"/>
        <v>06539000</v>
      </c>
      <c r="C5282" t="str">
        <f t="shared" ref="C5282:C5298" si="1176">"06539003"</f>
        <v>06539003</v>
      </c>
      <c r="D5282" t="str">
        <f t="shared" ref="D5282:D5298" si="1177">"813"</f>
        <v>813</v>
      </c>
      <c r="E5282" t="str">
        <f t="shared" si="1175"/>
        <v>89301171</v>
      </c>
      <c r="F5282" t="str">
        <f t="shared" si="1172"/>
        <v>9804245704</v>
      </c>
      <c r="G5282" s="1">
        <v>44699</v>
      </c>
      <c r="H5282" t="str">
        <f t="shared" si="1174"/>
        <v>91413</v>
      </c>
      <c r="I5282">
        <v>1</v>
      </c>
      <c r="J5282">
        <v>853</v>
      </c>
      <c r="K5282">
        <v>0</v>
      </c>
      <c r="L5282">
        <v>665.34</v>
      </c>
    </row>
    <row r="5283" spans="1:12" x14ac:dyDescent="0.25">
      <c r="A5283" t="str">
        <f t="shared" si="1167"/>
        <v>89301000</v>
      </c>
      <c r="B5283" t="str">
        <f t="shared" si="1173"/>
        <v>06539000</v>
      </c>
      <c r="C5283" t="str">
        <f t="shared" si="1176"/>
        <v>06539003</v>
      </c>
      <c r="D5283" t="str">
        <f t="shared" si="1177"/>
        <v>813</v>
      </c>
      <c r="E5283" t="str">
        <f t="shared" si="1175"/>
        <v>89301171</v>
      </c>
      <c r="F5283" t="str">
        <f t="shared" si="1172"/>
        <v>9804245704</v>
      </c>
      <c r="G5283" s="1">
        <v>44704</v>
      </c>
      <c r="H5283" t="str">
        <f t="shared" si="1174"/>
        <v>91413</v>
      </c>
      <c r="I5283">
        <v>1</v>
      </c>
      <c r="J5283">
        <v>853</v>
      </c>
      <c r="K5283">
        <v>0</v>
      </c>
      <c r="L5283">
        <v>665.34</v>
      </c>
    </row>
    <row r="5284" spans="1:12" x14ac:dyDescent="0.25">
      <c r="A5284" t="str">
        <f t="shared" si="1167"/>
        <v>89301000</v>
      </c>
      <c r="B5284" t="str">
        <f t="shared" si="1173"/>
        <v>06539000</v>
      </c>
      <c r="C5284" t="str">
        <f t="shared" si="1176"/>
        <v>06539003</v>
      </c>
      <c r="D5284" t="str">
        <f t="shared" si="1177"/>
        <v>813</v>
      </c>
      <c r="E5284" t="str">
        <f t="shared" si="1175"/>
        <v>89301171</v>
      </c>
      <c r="F5284" t="str">
        <f t="shared" si="1172"/>
        <v>9804245704</v>
      </c>
      <c r="G5284" s="1">
        <v>44704</v>
      </c>
      <c r="H5284" t="str">
        <f t="shared" si="1174"/>
        <v>91413</v>
      </c>
      <c r="I5284">
        <v>1</v>
      </c>
      <c r="J5284">
        <v>853</v>
      </c>
      <c r="K5284">
        <v>0</v>
      </c>
      <c r="L5284">
        <v>665.34</v>
      </c>
    </row>
    <row r="5285" spans="1:12" x14ac:dyDescent="0.25">
      <c r="A5285" t="str">
        <f t="shared" si="1167"/>
        <v>89301000</v>
      </c>
      <c r="B5285" t="str">
        <f t="shared" si="1173"/>
        <v>06539000</v>
      </c>
      <c r="C5285" t="str">
        <f t="shared" si="1176"/>
        <v>06539003</v>
      </c>
      <c r="D5285" t="str">
        <f t="shared" si="1177"/>
        <v>813</v>
      </c>
      <c r="E5285" t="str">
        <f t="shared" si="1175"/>
        <v>89301171</v>
      </c>
      <c r="F5285" t="str">
        <f t="shared" si="1172"/>
        <v>9804245704</v>
      </c>
      <c r="G5285" s="1">
        <v>44704</v>
      </c>
      <c r="H5285" t="str">
        <f t="shared" si="1174"/>
        <v>91413</v>
      </c>
      <c r="I5285">
        <v>1</v>
      </c>
      <c r="J5285">
        <v>853</v>
      </c>
      <c r="K5285">
        <v>0</v>
      </c>
      <c r="L5285">
        <v>665.34</v>
      </c>
    </row>
    <row r="5286" spans="1:12" x14ac:dyDescent="0.25">
      <c r="A5286" t="str">
        <f t="shared" si="1167"/>
        <v>89301000</v>
      </c>
      <c r="B5286" t="str">
        <f t="shared" si="1173"/>
        <v>06539000</v>
      </c>
      <c r="C5286" t="str">
        <f t="shared" si="1176"/>
        <v>06539003</v>
      </c>
      <c r="D5286" t="str">
        <f t="shared" si="1177"/>
        <v>813</v>
      </c>
      <c r="E5286" t="str">
        <f t="shared" si="1175"/>
        <v>89301171</v>
      </c>
      <c r="F5286" t="str">
        <f t="shared" si="1172"/>
        <v>9804245704</v>
      </c>
      <c r="G5286" s="1">
        <v>44704</v>
      </c>
      <c r="H5286" t="str">
        <f t="shared" si="1174"/>
        <v>91413</v>
      </c>
      <c r="I5286">
        <v>1</v>
      </c>
      <c r="J5286">
        <v>853</v>
      </c>
      <c r="K5286">
        <v>0</v>
      </c>
      <c r="L5286">
        <v>665.34</v>
      </c>
    </row>
    <row r="5287" spans="1:12" x14ac:dyDescent="0.25">
      <c r="A5287" t="str">
        <f t="shared" si="1167"/>
        <v>89301000</v>
      </c>
      <c r="B5287" t="str">
        <f t="shared" si="1173"/>
        <v>06539000</v>
      </c>
      <c r="C5287" t="str">
        <f t="shared" si="1176"/>
        <v>06539003</v>
      </c>
      <c r="D5287" t="str">
        <f t="shared" si="1177"/>
        <v>813</v>
      </c>
      <c r="E5287" t="str">
        <f t="shared" si="1175"/>
        <v>89301171</v>
      </c>
      <c r="F5287" t="str">
        <f t="shared" si="1172"/>
        <v>9804245704</v>
      </c>
      <c r="G5287" s="1">
        <v>44690</v>
      </c>
      <c r="H5287" t="str">
        <f t="shared" ref="H5287:H5292" si="1178">"91197"</f>
        <v>91197</v>
      </c>
      <c r="I5287">
        <v>1</v>
      </c>
      <c r="J5287">
        <v>1046</v>
      </c>
      <c r="K5287">
        <v>0</v>
      </c>
      <c r="L5287">
        <v>815.88</v>
      </c>
    </row>
    <row r="5288" spans="1:12" x14ac:dyDescent="0.25">
      <c r="A5288" t="str">
        <f t="shared" si="1167"/>
        <v>89301000</v>
      </c>
      <c r="B5288" t="str">
        <f t="shared" si="1173"/>
        <v>06539000</v>
      </c>
      <c r="C5288" t="str">
        <f t="shared" si="1176"/>
        <v>06539003</v>
      </c>
      <c r="D5288" t="str">
        <f t="shared" si="1177"/>
        <v>813</v>
      </c>
      <c r="E5288" t="str">
        <f t="shared" si="1175"/>
        <v>89301171</v>
      </c>
      <c r="F5288" t="str">
        <f t="shared" si="1172"/>
        <v>9804245704</v>
      </c>
      <c r="G5288" s="1">
        <v>44690</v>
      </c>
      <c r="H5288" t="str">
        <f t="shared" si="1178"/>
        <v>91197</v>
      </c>
      <c r="I5288">
        <v>1</v>
      </c>
      <c r="J5288">
        <v>1046</v>
      </c>
      <c r="K5288">
        <v>0</v>
      </c>
      <c r="L5288">
        <v>815.88</v>
      </c>
    </row>
    <row r="5289" spans="1:12" x14ac:dyDescent="0.25">
      <c r="A5289" t="str">
        <f t="shared" si="1167"/>
        <v>89301000</v>
      </c>
      <c r="B5289" t="str">
        <f t="shared" si="1173"/>
        <v>06539000</v>
      </c>
      <c r="C5289" t="str">
        <f t="shared" si="1176"/>
        <v>06539003</v>
      </c>
      <c r="D5289" t="str">
        <f t="shared" si="1177"/>
        <v>813</v>
      </c>
      <c r="E5289" t="str">
        <f t="shared" si="1175"/>
        <v>89301171</v>
      </c>
      <c r="F5289" t="str">
        <f t="shared" si="1172"/>
        <v>9804245704</v>
      </c>
      <c r="G5289" s="1">
        <v>44689</v>
      </c>
      <c r="H5289" t="str">
        <f t="shared" si="1178"/>
        <v>91197</v>
      </c>
      <c r="I5289">
        <v>1</v>
      </c>
      <c r="J5289">
        <v>1046</v>
      </c>
      <c r="K5289">
        <v>0</v>
      </c>
      <c r="L5289">
        <v>815.88</v>
      </c>
    </row>
    <row r="5290" spans="1:12" x14ac:dyDescent="0.25">
      <c r="A5290" t="str">
        <f t="shared" si="1167"/>
        <v>89301000</v>
      </c>
      <c r="B5290" t="str">
        <f t="shared" si="1173"/>
        <v>06539000</v>
      </c>
      <c r="C5290" t="str">
        <f t="shared" si="1176"/>
        <v>06539003</v>
      </c>
      <c r="D5290" t="str">
        <f t="shared" si="1177"/>
        <v>813</v>
      </c>
      <c r="E5290" t="str">
        <f t="shared" si="1175"/>
        <v>89301171</v>
      </c>
      <c r="F5290" t="str">
        <f t="shared" si="1172"/>
        <v>9804245704</v>
      </c>
      <c r="G5290" s="1">
        <v>44689</v>
      </c>
      <c r="H5290" t="str">
        <f t="shared" si="1178"/>
        <v>91197</v>
      </c>
      <c r="I5290">
        <v>1</v>
      </c>
      <c r="J5290">
        <v>1046</v>
      </c>
      <c r="K5290">
        <v>0</v>
      </c>
      <c r="L5290">
        <v>815.88</v>
      </c>
    </row>
    <row r="5291" spans="1:12" x14ac:dyDescent="0.25">
      <c r="A5291" t="str">
        <f t="shared" si="1167"/>
        <v>89301000</v>
      </c>
      <c r="B5291" t="str">
        <f t="shared" si="1173"/>
        <v>06539000</v>
      </c>
      <c r="C5291" t="str">
        <f t="shared" si="1176"/>
        <v>06539003</v>
      </c>
      <c r="D5291" t="str">
        <f t="shared" si="1177"/>
        <v>813</v>
      </c>
      <c r="E5291" t="str">
        <f t="shared" si="1175"/>
        <v>89301171</v>
      </c>
      <c r="F5291" t="str">
        <f t="shared" si="1172"/>
        <v>9804245704</v>
      </c>
      <c r="G5291" s="1">
        <v>44688</v>
      </c>
      <c r="H5291" t="str">
        <f t="shared" si="1178"/>
        <v>91197</v>
      </c>
      <c r="I5291">
        <v>1</v>
      </c>
      <c r="J5291">
        <v>1046</v>
      </c>
      <c r="K5291">
        <v>0</v>
      </c>
      <c r="L5291">
        <v>815.88</v>
      </c>
    </row>
    <row r="5292" spans="1:12" x14ac:dyDescent="0.25">
      <c r="A5292" t="str">
        <f t="shared" si="1167"/>
        <v>89301000</v>
      </c>
      <c r="B5292" t="str">
        <f t="shared" si="1173"/>
        <v>06539000</v>
      </c>
      <c r="C5292" t="str">
        <f t="shared" si="1176"/>
        <v>06539003</v>
      </c>
      <c r="D5292" t="str">
        <f t="shared" si="1177"/>
        <v>813</v>
      </c>
      <c r="E5292" t="str">
        <f t="shared" si="1175"/>
        <v>89301171</v>
      </c>
      <c r="F5292" t="str">
        <f t="shared" si="1172"/>
        <v>9804245704</v>
      </c>
      <c r="G5292" s="1">
        <v>44688</v>
      </c>
      <c r="H5292" t="str">
        <f t="shared" si="1178"/>
        <v>91197</v>
      </c>
      <c r="I5292">
        <v>1</v>
      </c>
      <c r="J5292">
        <v>1046</v>
      </c>
      <c r="K5292">
        <v>0</v>
      </c>
      <c r="L5292">
        <v>815.88</v>
      </c>
    </row>
    <row r="5293" spans="1:12" x14ac:dyDescent="0.25">
      <c r="A5293" t="str">
        <f t="shared" si="1167"/>
        <v>89301000</v>
      </c>
      <c r="B5293" t="str">
        <f t="shared" si="1173"/>
        <v>06539000</v>
      </c>
      <c r="C5293" t="str">
        <f t="shared" si="1176"/>
        <v>06539003</v>
      </c>
      <c r="D5293" t="str">
        <f t="shared" si="1177"/>
        <v>813</v>
      </c>
      <c r="E5293" t="str">
        <f t="shared" si="1175"/>
        <v>89301171</v>
      </c>
      <c r="F5293" t="str">
        <f t="shared" si="1172"/>
        <v>9804245704</v>
      </c>
      <c r="G5293" s="1">
        <v>44704</v>
      </c>
      <c r="H5293" t="str">
        <f>"91329"</f>
        <v>91329</v>
      </c>
      <c r="I5293">
        <v>2</v>
      </c>
      <c r="J5293">
        <v>428</v>
      </c>
      <c r="K5293">
        <v>0</v>
      </c>
      <c r="L5293">
        <v>333.84</v>
      </c>
    </row>
    <row r="5294" spans="1:12" x14ac:dyDescent="0.25">
      <c r="A5294" t="str">
        <f t="shared" si="1167"/>
        <v>89301000</v>
      </c>
      <c r="B5294" t="str">
        <f t="shared" si="1173"/>
        <v>06539000</v>
      </c>
      <c r="C5294" t="str">
        <f t="shared" si="1176"/>
        <v>06539003</v>
      </c>
      <c r="D5294" t="str">
        <f t="shared" si="1177"/>
        <v>813</v>
      </c>
      <c r="E5294" t="str">
        <f t="shared" si="1175"/>
        <v>89301171</v>
      </c>
      <c r="F5294" t="str">
        <f t="shared" si="1172"/>
        <v>9804245704</v>
      </c>
      <c r="G5294" s="1">
        <v>44704</v>
      </c>
      <c r="H5294" t="str">
        <f>"91329"</f>
        <v>91329</v>
      </c>
      <c r="I5294">
        <v>2</v>
      </c>
      <c r="J5294">
        <v>428</v>
      </c>
      <c r="K5294">
        <v>0</v>
      </c>
      <c r="L5294">
        <v>333.84</v>
      </c>
    </row>
    <row r="5295" spans="1:12" x14ac:dyDescent="0.25">
      <c r="A5295" t="str">
        <f t="shared" si="1167"/>
        <v>89301000</v>
      </c>
      <c r="B5295" t="str">
        <f t="shared" si="1173"/>
        <v>06539000</v>
      </c>
      <c r="C5295" t="str">
        <f t="shared" si="1176"/>
        <v>06539003</v>
      </c>
      <c r="D5295" t="str">
        <f t="shared" si="1177"/>
        <v>813</v>
      </c>
      <c r="E5295" t="str">
        <f t="shared" si="1175"/>
        <v>89301171</v>
      </c>
      <c r="F5295" t="str">
        <f t="shared" si="1172"/>
        <v>9804245704</v>
      </c>
      <c r="G5295" s="1">
        <v>44704</v>
      </c>
      <c r="H5295" t="str">
        <f>"91329"</f>
        <v>91329</v>
      </c>
      <c r="I5295">
        <v>2</v>
      </c>
      <c r="J5295">
        <v>428</v>
      </c>
      <c r="K5295">
        <v>0</v>
      </c>
      <c r="L5295">
        <v>333.84</v>
      </c>
    </row>
    <row r="5296" spans="1:12" x14ac:dyDescent="0.25">
      <c r="A5296" t="str">
        <f t="shared" si="1167"/>
        <v>89301000</v>
      </c>
      <c r="B5296" t="str">
        <f t="shared" si="1173"/>
        <v>06539000</v>
      </c>
      <c r="C5296" t="str">
        <f t="shared" si="1176"/>
        <v>06539003</v>
      </c>
      <c r="D5296" t="str">
        <f t="shared" si="1177"/>
        <v>813</v>
      </c>
      <c r="E5296" t="str">
        <f t="shared" si="1175"/>
        <v>89301171</v>
      </c>
      <c r="F5296" t="str">
        <f t="shared" si="1172"/>
        <v>9804245704</v>
      </c>
      <c r="G5296" s="1">
        <v>44704</v>
      </c>
      <c r="H5296" t="str">
        <f>"91329"</f>
        <v>91329</v>
      </c>
      <c r="I5296">
        <v>2</v>
      </c>
      <c r="J5296">
        <v>428</v>
      </c>
      <c r="K5296">
        <v>0</v>
      </c>
      <c r="L5296">
        <v>333.84</v>
      </c>
    </row>
    <row r="5297" spans="1:12" x14ac:dyDescent="0.25">
      <c r="A5297" t="str">
        <f t="shared" si="1167"/>
        <v>89301000</v>
      </c>
      <c r="B5297" t="str">
        <f t="shared" si="1173"/>
        <v>06539000</v>
      </c>
      <c r="C5297" t="str">
        <f t="shared" si="1176"/>
        <v>06539003</v>
      </c>
      <c r="D5297" t="str">
        <f t="shared" si="1177"/>
        <v>813</v>
      </c>
      <c r="E5297" t="str">
        <f t="shared" si="1175"/>
        <v>89301171</v>
      </c>
      <c r="F5297" t="str">
        <f t="shared" si="1172"/>
        <v>9804245704</v>
      </c>
      <c r="G5297" s="1">
        <v>44688</v>
      </c>
      <c r="H5297" t="str">
        <f>"91167"</f>
        <v>91167</v>
      </c>
      <c r="I5297">
        <v>1</v>
      </c>
      <c r="J5297">
        <v>425</v>
      </c>
      <c r="K5297">
        <v>0</v>
      </c>
      <c r="L5297">
        <v>331.5</v>
      </c>
    </row>
    <row r="5298" spans="1:12" x14ac:dyDescent="0.25">
      <c r="A5298" t="str">
        <f t="shared" si="1167"/>
        <v>89301000</v>
      </c>
      <c r="B5298" t="str">
        <f t="shared" si="1173"/>
        <v>06539000</v>
      </c>
      <c r="C5298" t="str">
        <f t="shared" si="1176"/>
        <v>06539003</v>
      </c>
      <c r="D5298" t="str">
        <f t="shared" si="1177"/>
        <v>813</v>
      </c>
      <c r="E5298" t="str">
        <f t="shared" si="1175"/>
        <v>89301171</v>
      </c>
      <c r="F5298" t="str">
        <f t="shared" si="1172"/>
        <v>9804245704</v>
      </c>
      <c r="G5298" s="1">
        <v>44688</v>
      </c>
      <c r="H5298" t="str">
        <f>"91169"</f>
        <v>91169</v>
      </c>
      <c r="I5298">
        <v>1</v>
      </c>
      <c r="J5298">
        <v>425</v>
      </c>
      <c r="K5298">
        <v>0</v>
      </c>
      <c r="L5298">
        <v>331.5</v>
      </c>
    </row>
    <row r="5299" spans="1:12" x14ac:dyDescent="0.25">
      <c r="A5299" t="str">
        <f t="shared" si="1167"/>
        <v>89301000</v>
      </c>
      <c r="B5299" t="str">
        <f t="shared" si="1173"/>
        <v>06539000</v>
      </c>
      <c r="C5299" t="str">
        <f>"06539001"</f>
        <v>06539001</v>
      </c>
      <c r="D5299" t="str">
        <f>"801"</f>
        <v>801</v>
      </c>
      <c r="E5299" t="str">
        <f t="shared" si="1175"/>
        <v>89301171</v>
      </c>
      <c r="F5299" t="str">
        <f t="shared" ref="F5299:F5345" si="1179">"9252215709"</f>
        <v>9252215709</v>
      </c>
      <c r="G5299" s="1">
        <v>44694</v>
      </c>
      <c r="H5299" t="str">
        <f>"81329"</f>
        <v>81329</v>
      </c>
      <c r="I5299">
        <v>1</v>
      </c>
      <c r="J5299">
        <v>16</v>
      </c>
      <c r="K5299">
        <v>0</v>
      </c>
      <c r="L5299">
        <v>12.48</v>
      </c>
    </row>
    <row r="5300" spans="1:12" x14ac:dyDescent="0.25">
      <c r="A5300" t="str">
        <f t="shared" si="1167"/>
        <v>89301000</v>
      </c>
      <c r="B5300" t="str">
        <f t="shared" si="1173"/>
        <v>06539000</v>
      </c>
      <c r="C5300" t="str">
        <f>"06539001"</f>
        <v>06539001</v>
      </c>
      <c r="D5300" t="str">
        <f>"801"</f>
        <v>801</v>
      </c>
      <c r="E5300" t="str">
        <f t="shared" si="1175"/>
        <v>89301171</v>
      </c>
      <c r="F5300" t="str">
        <f t="shared" si="1179"/>
        <v>9252215709</v>
      </c>
      <c r="G5300" s="1">
        <v>44694</v>
      </c>
      <c r="H5300" t="str">
        <f>"81331"</f>
        <v>81331</v>
      </c>
      <c r="I5300">
        <v>1</v>
      </c>
      <c r="J5300">
        <v>193</v>
      </c>
      <c r="K5300">
        <v>0</v>
      </c>
      <c r="L5300">
        <v>150.54</v>
      </c>
    </row>
    <row r="5301" spans="1:12" x14ac:dyDescent="0.25">
      <c r="A5301" t="str">
        <f t="shared" si="1167"/>
        <v>89301000</v>
      </c>
      <c r="B5301" t="str">
        <f t="shared" si="1173"/>
        <v>06539000</v>
      </c>
      <c r="C5301" t="str">
        <f t="shared" ref="C5301:C5308" si="1180">"06539002"</f>
        <v>06539002</v>
      </c>
      <c r="D5301" t="str">
        <f t="shared" ref="D5301:D5308" si="1181">"802"</f>
        <v>802</v>
      </c>
      <c r="E5301" t="str">
        <f t="shared" si="1175"/>
        <v>89301171</v>
      </c>
      <c r="F5301" t="str">
        <f t="shared" si="1179"/>
        <v>9252215709</v>
      </c>
      <c r="G5301" s="1">
        <v>44694</v>
      </c>
      <c r="H5301" t="str">
        <f t="shared" ref="H5301:H5308" si="1182">"82097"</f>
        <v>82097</v>
      </c>
      <c r="I5301">
        <v>1</v>
      </c>
      <c r="J5301">
        <v>380</v>
      </c>
      <c r="K5301">
        <v>0</v>
      </c>
      <c r="L5301">
        <v>345.8</v>
      </c>
    </row>
    <row r="5302" spans="1:12" x14ac:dyDescent="0.25">
      <c r="A5302" t="str">
        <f t="shared" si="1167"/>
        <v>89301000</v>
      </c>
      <c r="B5302" t="str">
        <f t="shared" si="1173"/>
        <v>06539000</v>
      </c>
      <c r="C5302" t="str">
        <f t="shared" si="1180"/>
        <v>06539002</v>
      </c>
      <c r="D5302" t="str">
        <f t="shared" si="1181"/>
        <v>802</v>
      </c>
      <c r="E5302" t="str">
        <f t="shared" si="1175"/>
        <v>89301171</v>
      </c>
      <c r="F5302" t="str">
        <f t="shared" si="1179"/>
        <v>9252215709</v>
      </c>
      <c r="G5302" s="1">
        <v>44694</v>
      </c>
      <c r="H5302" t="str">
        <f t="shared" si="1182"/>
        <v>82097</v>
      </c>
      <c r="I5302">
        <v>1</v>
      </c>
      <c r="J5302">
        <v>380</v>
      </c>
      <c r="K5302">
        <v>0</v>
      </c>
      <c r="L5302">
        <v>345.8</v>
      </c>
    </row>
    <row r="5303" spans="1:12" x14ac:dyDescent="0.25">
      <c r="A5303" t="str">
        <f t="shared" si="1167"/>
        <v>89301000</v>
      </c>
      <c r="B5303" t="str">
        <f t="shared" si="1173"/>
        <v>06539000</v>
      </c>
      <c r="C5303" t="str">
        <f t="shared" si="1180"/>
        <v>06539002</v>
      </c>
      <c r="D5303" t="str">
        <f t="shared" si="1181"/>
        <v>802</v>
      </c>
      <c r="E5303" t="str">
        <f t="shared" si="1175"/>
        <v>89301171</v>
      </c>
      <c r="F5303" t="str">
        <f t="shared" si="1179"/>
        <v>9252215709</v>
      </c>
      <c r="G5303" s="1">
        <v>44694</v>
      </c>
      <c r="H5303" t="str">
        <f t="shared" si="1182"/>
        <v>82097</v>
      </c>
      <c r="I5303">
        <v>2</v>
      </c>
      <c r="J5303">
        <v>760</v>
      </c>
      <c r="K5303">
        <v>0</v>
      </c>
      <c r="L5303">
        <v>691.6</v>
      </c>
    </row>
    <row r="5304" spans="1:12" x14ac:dyDescent="0.25">
      <c r="A5304" t="str">
        <f t="shared" si="1167"/>
        <v>89301000</v>
      </c>
      <c r="B5304" t="str">
        <f t="shared" si="1173"/>
        <v>06539000</v>
      </c>
      <c r="C5304" t="str">
        <f t="shared" si="1180"/>
        <v>06539002</v>
      </c>
      <c r="D5304" t="str">
        <f t="shared" si="1181"/>
        <v>802</v>
      </c>
      <c r="E5304" t="str">
        <f t="shared" si="1175"/>
        <v>89301171</v>
      </c>
      <c r="F5304" t="str">
        <f t="shared" si="1179"/>
        <v>9252215709</v>
      </c>
      <c r="G5304" s="1">
        <v>44694</v>
      </c>
      <c r="H5304" t="str">
        <f t="shared" si="1182"/>
        <v>82097</v>
      </c>
      <c r="I5304">
        <v>2</v>
      </c>
      <c r="J5304">
        <v>760</v>
      </c>
      <c r="K5304">
        <v>0</v>
      </c>
      <c r="L5304">
        <v>691.6</v>
      </c>
    </row>
    <row r="5305" spans="1:12" x14ac:dyDescent="0.25">
      <c r="A5305" t="str">
        <f t="shared" si="1167"/>
        <v>89301000</v>
      </c>
      <c r="B5305" t="str">
        <f t="shared" si="1173"/>
        <v>06539000</v>
      </c>
      <c r="C5305" t="str">
        <f t="shared" si="1180"/>
        <v>06539002</v>
      </c>
      <c r="D5305" t="str">
        <f t="shared" si="1181"/>
        <v>802</v>
      </c>
      <c r="E5305" t="str">
        <f t="shared" si="1175"/>
        <v>89301171</v>
      </c>
      <c r="F5305" t="str">
        <f t="shared" si="1179"/>
        <v>9252215709</v>
      </c>
      <c r="G5305" s="1">
        <v>44694</v>
      </c>
      <c r="H5305" t="str">
        <f t="shared" si="1182"/>
        <v>82097</v>
      </c>
      <c r="I5305">
        <v>1</v>
      </c>
      <c r="J5305">
        <v>380</v>
      </c>
      <c r="K5305">
        <v>0</v>
      </c>
      <c r="L5305">
        <v>345.8</v>
      </c>
    </row>
    <row r="5306" spans="1:12" x14ac:dyDescent="0.25">
      <c r="A5306" t="str">
        <f t="shared" si="1167"/>
        <v>89301000</v>
      </c>
      <c r="B5306" t="str">
        <f t="shared" si="1173"/>
        <v>06539000</v>
      </c>
      <c r="C5306" t="str">
        <f t="shared" si="1180"/>
        <v>06539002</v>
      </c>
      <c r="D5306" t="str">
        <f t="shared" si="1181"/>
        <v>802</v>
      </c>
      <c r="E5306" t="str">
        <f t="shared" si="1175"/>
        <v>89301171</v>
      </c>
      <c r="F5306" t="str">
        <f t="shared" si="1179"/>
        <v>9252215709</v>
      </c>
      <c r="G5306" s="1">
        <v>44694</v>
      </c>
      <c r="H5306" t="str">
        <f t="shared" si="1182"/>
        <v>82097</v>
      </c>
      <c r="I5306">
        <v>1</v>
      </c>
      <c r="J5306">
        <v>380</v>
      </c>
      <c r="K5306">
        <v>0</v>
      </c>
      <c r="L5306">
        <v>345.8</v>
      </c>
    </row>
    <row r="5307" spans="1:12" x14ac:dyDescent="0.25">
      <c r="A5307" t="str">
        <f t="shared" si="1167"/>
        <v>89301000</v>
      </c>
      <c r="B5307" t="str">
        <f t="shared" si="1173"/>
        <v>06539000</v>
      </c>
      <c r="C5307" t="str">
        <f t="shared" si="1180"/>
        <v>06539002</v>
      </c>
      <c r="D5307" t="str">
        <f t="shared" si="1181"/>
        <v>802</v>
      </c>
      <c r="E5307" t="str">
        <f t="shared" si="1175"/>
        <v>89301171</v>
      </c>
      <c r="F5307" t="str">
        <f t="shared" si="1179"/>
        <v>9252215709</v>
      </c>
      <c r="G5307" s="1">
        <v>44694</v>
      </c>
      <c r="H5307" t="str">
        <f t="shared" si="1182"/>
        <v>82097</v>
      </c>
      <c r="I5307">
        <v>2</v>
      </c>
      <c r="J5307">
        <v>760</v>
      </c>
      <c r="K5307">
        <v>0</v>
      </c>
      <c r="L5307">
        <v>691.6</v>
      </c>
    </row>
    <row r="5308" spans="1:12" x14ac:dyDescent="0.25">
      <c r="A5308" t="str">
        <f t="shared" si="1167"/>
        <v>89301000</v>
      </c>
      <c r="B5308" t="str">
        <f t="shared" si="1173"/>
        <v>06539000</v>
      </c>
      <c r="C5308" t="str">
        <f t="shared" si="1180"/>
        <v>06539002</v>
      </c>
      <c r="D5308" t="str">
        <f t="shared" si="1181"/>
        <v>802</v>
      </c>
      <c r="E5308" t="str">
        <f t="shared" si="1175"/>
        <v>89301171</v>
      </c>
      <c r="F5308" t="str">
        <f t="shared" si="1179"/>
        <v>9252215709</v>
      </c>
      <c r="G5308" s="1">
        <v>44694</v>
      </c>
      <c r="H5308" t="str">
        <f t="shared" si="1182"/>
        <v>82097</v>
      </c>
      <c r="I5308">
        <v>2</v>
      </c>
      <c r="J5308">
        <v>760</v>
      </c>
      <c r="K5308">
        <v>0</v>
      </c>
      <c r="L5308">
        <v>691.6</v>
      </c>
    </row>
    <row r="5309" spans="1:12" x14ac:dyDescent="0.25">
      <c r="A5309" t="str">
        <f t="shared" si="1167"/>
        <v>89301000</v>
      </c>
      <c r="B5309" t="str">
        <f t="shared" si="1173"/>
        <v>06539000</v>
      </c>
      <c r="C5309" t="str">
        <f t="shared" ref="C5309:C5345" si="1183">"06539003"</f>
        <v>06539003</v>
      </c>
      <c r="D5309" t="str">
        <f t="shared" ref="D5309:D5345" si="1184">"813"</f>
        <v>813</v>
      </c>
      <c r="E5309" t="str">
        <f t="shared" si="1175"/>
        <v>89301171</v>
      </c>
      <c r="F5309" t="str">
        <f t="shared" si="1179"/>
        <v>9252215709</v>
      </c>
      <c r="G5309" s="1">
        <v>44698</v>
      </c>
      <c r="H5309" t="str">
        <f>"91439"</f>
        <v>91439</v>
      </c>
      <c r="I5309">
        <v>1</v>
      </c>
      <c r="J5309">
        <v>356</v>
      </c>
      <c r="K5309">
        <v>0</v>
      </c>
      <c r="L5309">
        <v>277.68</v>
      </c>
    </row>
    <row r="5310" spans="1:12" x14ac:dyDescent="0.25">
      <c r="A5310" t="str">
        <f t="shared" si="1167"/>
        <v>89301000</v>
      </c>
      <c r="B5310" t="str">
        <f t="shared" si="1173"/>
        <v>06539000</v>
      </c>
      <c r="C5310" t="str">
        <f t="shared" si="1183"/>
        <v>06539003</v>
      </c>
      <c r="D5310" t="str">
        <f t="shared" si="1184"/>
        <v>813</v>
      </c>
      <c r="E5310" t="str">
        <f t="shared" si="1175"/>
        <v>89301171</v>
      </c>
      <c r="F5310" t="str">
        <f t="shared" si="1179"/>
        <v>9252215709</v>
      </c>
      <c r="G5310" s="1">
        <v>44698</v>
      </c>
      <c r="H5310" t="str">
        <f>"91439"</f>
        <v>91439</v>
      </c>
      <c r="I5310">
        <v>1</v>
      </c>
      <c r="J5310">
        <v>356</v>
      </c>
      <c r="K5310">
        <v>0</v>
      </c>
      <c r="L5310">
        <v>277.68</v>
      </c>
    </row>
    <row r="5311" spans="1:12" x14ac:dyDescent="0.25">
      <c r="A5311" t="str">
        <f t="shared" si="1167"/>
        <v>89301000</v>
      </c>
      <c r="B5311" t="str">
        <f t="shared" si="1173"/>
        <v>06539000</v>
      </c>
      <c r="C5311" t="str">
        <f t="shared" si="1183"/>
        <v>06539003</v>
      </c>
      <c r="D5311" t="str">
        <f t="shared" si="1184"/>
        <v>813</v>
      </c>
      <c r="E5311" t="str">
        <f t="shared" si="1175"/>
        <v>89301171</v>
      </c>
      <c r="F5311" t="str">
        <f t="shared" si="1179"/>
        <v>9252215709</v>
      </c>
      <c r="G5311" s="1">
        <v>44698</v>
      </c>
      <c r="H5311" t="str">
        <f>"91439"</f>
        <v>91439</v>
      </c>
      <c r="I5311">
        <v>1</v>
      </c>
      <c r="J5311">
        <v>356</v>
      </c>
      <c r="K5311">
        <v>0</v>
      </c>
      <c r="L5311">
        <v>277.68</v>
      </c>
    </row>
    <row r="5312" spans="1:12" x14ac:dyDescent="0.25">
      <c r="A5312" t="str">
        <f t="shared" si="1167"/>
        <v>89301000</v>
      </c>
      <c r="B5312" t="str">
        <f t="shared" si="1173"/>
        <v>06539000</v>
      </c>
      <c r="C5312" t="str">
        <f t="shared" si="1183"/>
        <v>06539003</v>
      </c>
      <c r="D5312" t="str">
        <f t="shared" si="1184"/>
        <v>813</v>
      </c>
      <c r="E5312" t="str">
        <f t="shared" si="1175"/>
        <v>89301171</v>
      </c>
      <c r="F5312" t="str">
        <f t="shared" si="1179"/>
        <v>9252215709</v>
      </c>
      <c r="G5312" s="1">
        <v>44698</v>
      </c>
      <c r="H5312" t="str">
        <f>"91439"</f>
        <v>91439</v>
      </c>
      <c r="I5312">
        <v>2</v>
      </c>
      <c r="J5312">
        <v>712</v>
      </c>
      <c r="K5312">
        <v>0</v>
      </c>
      <c r="L5312">
        <v>555.36</v>
      </c>
    </row>
    <row r="5313" spans="1:12" x14ac:dyDescent="0.25">
      <c r="A5313" t="str">
        <f t="shared" si="1167"/>
        <v>89301000</v>
      </c>
      <c r="B5313" t="str">
        <f t="shared" si="1173"/>
        <v>06539000</v>
      </c>
      <c r="C5313" t="str">
        <f t="shared" si="1183"/>
        <v>06539003</v>
      </c>
      <c r="D5313" t="str">
        <f t="shared" si="1184"/>
        <v>813</v>
      </c>
      <c r="E5313" t="str">
        <f t="shared" si="1175"/>
        <v>89301171</v>
      </c>
      <c r="F5313" t="str">
        <f t="shared" si="1179"/>
        <v>9252215709</v>
      </c>
      <c r="G5313" s="1">
        <v>44698</v>
      </c>
      <c r="H5313" t="str">
        <f>"91439"</f>
        <v>91439</v>
      </c>
      <c r="I5313">
        <v>1</v>
      </c>
      <c r="J5313">
        <v>356</v>
      </c>
      <c r="K5313">
        <v>0</v>
      </c>
      <c r="L5313">
        <v>277.68</v>
      </c>
    </row>
    <row r="5314" spans="1:12" x14ac:dyDescent="0.25">
      <c r="A5314" t="str">
        <f t="shared" ref="A5314:A5377" si="1185">"89301000"</f>
        <v>89301000</v>
      </c>
      <c r="B5314" t="str">
        <f t="shared" si="1173"/>
        <v>06539000</v>
      </c>
      <c r="C5314" t="str">
        <f t="shared" si="1183"/>
        <v>06539003</v>
      </c>
      <c r="D5314" t="str">
        <f t="shared" si="1184"/>
        <v>813</v>
      </c>
      <c r="E5314" t="str">
        <f t="shared" si="1175"/>
        <v>89301171</v>
      </c>
      <c r="F5314" t="str">
        <f t="shared" si="1179"/>
        <v>9252215709</v>
      </c>
      <c r="G5314" s="1">
        <v>44699</v>
      </c>
      <c r="H5314" t="str">
        <f t="shared" ref="H5314:H5323" si="1186">"91413"</f>
        <v>91413</v>
      </c>
      <c r="I5314">
        <v>1</v>
      </c>
      <c r="J5314">
        <v>853</v>
      </c>
      <c r="K5314">
        <v>0</v>
      </c>
      <c r="L5314">
        <v>665.34</v>
      </c>
    </row>
    <row r="5315" spans="1:12" x14ac:dyDescent="0.25">
      <c r="A5315" t="str">
        <f t="shared" si="1185"/>
        <v>89301000</v>
      </c>
      <c r="B5315" t="str">
        <f t="shared" si="1173"/>
        <v>06539000</v>
      </c>
      <c r="C5315" t="str">
        <f t="shared" si="1183"/>
        <v>06539003</v>
      </c>
      <c r="D5315" t="str">
        <f t="shared" si="1184"/>
        <v>813</v>
      </c>
      <c r="E5315" t="str">
        <f t="shared" si="1175"/>
        <v>89301171</v>
      </c>
      <c r="F5315" t="str">
        <f t="shared" si="1179"/>
        <v>9252215709</v>
      </c>
      <c r="G5315" s="1">
        <v>44699</v>
      </c>
      <c r="H5315" t="str">
        <f t="shared" si="1186"/>
        <v>91413</v>
      </c>
      <c r="I5315">
        <v>1</v>
      </c>
      <c r="J5315">
        <v>853</v>
      </c>
      <c r="K5315">
        <v>0</v>
      </c>
      <c r="L5315">
        <v>665.34</v>
      </c>
    </row>
    <row r="5316" spans="1:12" x14ac:dyDescent="0.25">
      <c r="A5316" t="str">
        <f t="shared" si="1185"/>
        <v>89301000</v>
      </c>
      <c r="B5316" t="str">
        <f t="shared" si="1173"/>
        <v>06539000</v>
      </c>
      <c r="C5316" t="str">
        <f t="shared" si="1183"/>
        <v>06539003</v>
      </c>
      <c r="D5316" t="str">
        <f t="shared" si="1184"/>
        <v>813</v>
      </c>
      <c r="E5316" t="str">
        <f t="shared" si="1175"/>
        <v>89301171</v>
      </c>
      <c r="F5316" t="str">
        <f t="shared" si="1179"/>
        <v>9252215709</v>
      </c>
      <c r="G5316" s="1">
        <v>44706</v>
      </c>
      <c r="H5316" t="str">
        <f t="shared" si="1186"/>
        <v>91413</v>
      </c>
      <c r="I5316">
        <v>1</v>
      </c>
      <c r="J5316">
        <v>853</v>
      </c>
      <c r="K5316">
        <v>0</v>
      </c>
      <c r="L5316">
        <v>665.34</v>
      </c>
    </row>
    <row r="5317" spans="1:12" x14ac:dyDescent="0.25">
      <c r="A5317" t="str">
        <f t="shared" si="1185"/>
        <v>89301000</v>
      </c>
      <c r="B5317" t="str">
        <f t="shared" si="1173"/>
        <v>06539000</v>
      </c>
      <c r="C5317" t="str">
        <f t="shared" si="1183"/>
        <v>06539003</v>
      </c>
      <c r="D5317" t="str">
        <f t="shared" si="1184"/>
        <v>813</v>
      </c>
      <c r="E5317" t="str">
        <f t="shared" si="1175"/>
        <v>89301171</v>
      </c>
      <c r="F5317" t="str">
        <f t="shared" si="1179"/>
        <v>9252215709</v>
      </c>
      <c r="G5317" s="1">
        <v>44706</v>
      </c>
      <c r="H5317" t="str">
        <f t="shared" si="1186"/>
        <v>91413</v>
      </c>
      <c r="I5317">
        <v>1</v>
      </c>
      <c r="J5317">
        <v>853</v>
      </c>
      <c r="K5317">
        <v>0</v>
      </c>
      <c r="L5317">
        <v>665.34</v>
      </c>
    </row>
    <row r="5318" spans="1:12" x14ac:dyDescent="0.25">
      <c r="A5318" t="str">
        <f t="shared" si="1185"/>
        <v>89301000</v>
      </c>
      <c r="B5318" t="str">
        <f t="shared" si="1173"/>
        <v>06539000</v>
      </c>
      <c r="C5318" t="str">
        <f t="shared" si="1183"/>
        <v>06539003</v>
      </c>
      <c r="D5318" t="str">
        <f t="shared" si="1184"/>
        <v>813</v>
      </c>
      <c r="E5318" t="str">
        <f t="shared" si="1175"/>
        <v>89301171</v>
      </c>
      <c r="F5318" t="str">
        <f t="shared" si="1179"/>
        <v>9252215709</v>
      </c>
      <c r="G5318" s="1">
        <v>44706</v>
      </c>
      <c r="H5318" t="str">
        <f t="shared" si="1186"/>
        <v>91413</v>
      </c>
      <c r="I5318">
        <v>1</v>
      </c>
      <c r="J5318">
        <v>853</v>
      </c>
      <c r="K5318">
        <v>0</v>
      </c>
      <c r="L5318">
        <v>665.34</v>
      </c>
    </row>
    <row r="5319" spans="1:12" x14ac:dyDescent="0.25">
      <c r="A5319" t="str">
        <f t="shared" si="1185"/>
        <v>89301000</v>
      </c>
      <c r="B5319" t="str">
        <f t="shared" si="1173"/>
        <v>06539000</v>
      </c>
      <c r="C5319" t="str">
        <f t="shared" si="1183"/>
        <v>06539003</v>
      </c>
      <c r="D5319" t="str">
        <f t="shared" si="1184"/>
        <v>813</v>
      </c>
      <c r="E5319" t="str">
        <f t="shared" si="1175"/>
        <v>89301171</v>
      </c>
      <c r="F5319" t="str">
        <f t="shared" si="1179"/>
        <v>9252215709</v>
      </c>
      <c r="G5319" s="1">
        <v>44706</v>
      </c>
      <c r="H5319" t="str">
        <f t="shared" si="1186"/>
        <v>91413</v>
      </c>
      <c r="I5319">
        <v>1</v>
      </c>
      <c r="J5319">
        <v>853</v>
      </c>
      <c r="K5319">
        <v>0</v>
      </c>
      <c r="L5319">
        <v>665.34</v>
      </c>
    </row>
    <row r="5320" spans="1:12" x14ac:dyDescent="0.25">
      <c r="A5320" t="str">
        <f t="shared" si="1185"/>
        <v>89301000</v>
      </c>
      <c r="B5320" t="str">
        <f t="shared" si="1173"/>
        <v>06539000</v>
      </c>
      <c r="C5320" t="str">
        <f t="shared" si="1183"/>
        <v>06539003</v>
      </c>
      <c r="D5320" t="str">
        <f t="shared" si="1184"/>
        <v>813</v>
      </c>
      <c r="E5320" t="str">
        <f t="shared" si="1175"/>
        <v>89301171</v>
      </c>
      <c r="F5320" t="str">
        <f t="shared" si="1179"/>
        <v>9252215709</v>
      </c>
      <c r="G5320" s="1">
        <v>44709</v>
      </c>
      <c r="H5320" t="str">
        <f t="shared" si="1186"/>
        <v>91413</v>
      </c>
      <c r="I5320">
        <v>1</v>
      </c>
      <c r="J5320">
        <v>853</v>
      </c>
      <c r="K5320">
        <v>0</v>
      </c>
      <c r="L5320">
        <v>665.34</v>
      </c>
    </row>
    <row r="5321" spans="1:12" x14ac:dyDescent="0.25">
      <c r="A5321" t="str">
        <f t="shared" si="1185"/>
        <v>89301000</v>
      </c>
      <c r="B5321" t="str">
        <f t="shared" si="1173"/>
        <v>06539000</v>
      </c>
      <c r="C5321" t="str">
        <f t="shared" si="1183"/>
        <v>06539003</v>
      </c>
      <c r="D5321" t="str">
        <f t="shared" si="1184"/>
        <v>813</v>
      </c>
      <c r="E5321" t="str">
        <f t="shared" si="1175"/>
        <v>89301171</v>
      </c>
      <c r="F5321" t="str">
        <f t="shared" si="1179"/>
        <v>9252215709</v>
      </c>
      <c r="G5321" s="1">
        <v>44705</v>
      </c>
      <c r="H5321" t="str">
        <f t="shared" si="1186"/>
        <v>91413</v>
      </c>
      <c r="I5321">
        <v>1</v>
      </c>
      <c r="J5321">
        <v>853</v>
      </c>
      <c r="K5321">
        <v>0</v>
      </c>
      <c r="L5321">
        <v>665.34</v>
      </c>
    </row>
    <row r="5322" spans="1:12" x14ac:dyDescent="0.25">
      <c r="A5322" t="str">
        <f t="shared" si="1185"/>
        <v>89301000</v>
      </c>
      <c r="B5322" t="str">
        <f t="shared" si="1173"/>
        <v>06539000</v>
      </c>
      <c r="C5322" t="str">
        <f t="shared" si="1183"/>
        <v>06539003</v>
      </c>
      <c r="D5322" t="str">
        <f t="shared" si="1184"/>
        <v>813</v>
      </c>
      <c r="E5322" t="str">
        <f t="shared" si="1175"/>
        <v>89301171</v>
      </c>
      <c r="F5322" t="str">
        <f t="shared" si="1179"/>
        <v>9252215709</v>
      </c>
      <c r="G5322" s="1">
        <v>44709</v>
      </c>
      <c r="H5322" t="str">
        <f t="shared" si="1186"/>
        <v>91413</v>
      </c>
      <c r="I5322">
        <v>1</v>
      </c>
      <c r="J5322">
        <v>853</v>
      </c>
      <c r="K5322">
        <v>0</v>
      </c>
      <c r="L5322">
        <v>665.34</v>
      </c>
    </row>
    <row r="5323" spans="1:12" x14ac:dyDescent="0.25">
      <c r="A5323" t="str">
        <f t="shared" si="1185"/>
        <v>89301000</v>
      </c>
      <c r="B5323" t="str">
        <f t="shared" si="1173"/>
        <v>06539000</v>
      </c>
      <c r="C5323" t="str">
        <f t="shared" si="1183"/>
        <v>06539003</v>
      </c>
      <c r="D5323" t="str">
        <f t="shared" si="1184"/>
        <v>813</v>
      </c>
      <c r="E5323" t="str">
        <f t="shared" si="1175"/>
        <v>89301171</v>
      </c>
      <c r="F5323" t="str">
        <f t="shared" si="1179"/>
        <v>9252215709</v>
      </c>
      <c r="G5323" s="1">
        <v>44705</v>
      </c>
      <c r="H5323" t="str">
        <f t="shared" si="1186"/>
        <v>91413</v>
      </c>
      <c r="I5323">
        <v>1</v>
      </c>
      <c r="J5323">
        <v>853</v>
      </c>
      <c r="K5323">
        <v>0</v>
      </c>
      <c r="L5323">
        <v>665.34</v>
      </c>
    </row>
    <row r="5324" spans="1:12" x14ac:dyDescent="0.25">
      <c r="A5324" t="str">
        <f t="shared" si="1185"/>
        <v>89301000</v>
      </c>
      <c r="B5324" t="str">
        <f t="shared" si="1173"/>
        <v>06539000</v>
      </c>
      <c r="C5324" t="str">
        <f t="shared" si="1183"/>
        <v>06539003</v>
      </c>
      <c r="D5324" t="str">
        <f t="shared" si="1184"/>
        <v>813</v>
      </c>
      <c r="E5324" t="str">
        <f t="shared" si="1175"/>
        <v>89301171</v>
      </c>
      <c r="F5324" t="str">
        <f t="shared" si="1179"/>
        <v>9252215709</v>
      </c>
      <c r="G5324" s="1">
        <v>44694</v>
      </c>
      <c r="H5324" t="str">
        <f t="shared" ref="H5324:H5330" si="1187">"91197"</f>
        <v>91197</v>
      </c>
      <c r="I5324">
        <v>1</v>
      </c>
      <c r="J5324">
        <v>1046</v>
      </c>
      <c r="K5324">
        <v>0</v>
      </c>
      <c r="L5324">
        <v>815.88</v>
      </c>
    </row>
    <row r="5325" spans="1:12" x14ac:dyDescent="0.25">
      <c r="A5325" t="str">
        <f t="shared" si="1185"/>
        <v>89301000</v>
      </c>
      <c r="B5325" t="str">
        <f t="shared" si="1173"/>
        <v>06539000</v>
      </c>
      <c r="C5325" t="str">
        <f t="shared" si="1183"/>
        <v>06539003</v>
      </c>
      <c r="D5325" t="str">
        <f t="shared" si="1184"/>
        <v>813</v>
      </c>
      <c r="E5325" t="str">
        <f t="shared" si="1175"/>
        <v>89301171</v>
      </c>
      <c r="F5325" t="str">
        <f t="shared" si="1179"/>
        <v>9252215709</v>
      </c>
      <c r="G5325" s="1">
        <v>44697</v>
      </c>
      <c r="H5325" t="str">
        <f t="shared" si="1187"/>
        <v>91197</v>
      </c>
      <c r="I5325">
        <v>1</v>
      </c>
      <c r="J5325">
        <v>1046</v>
      </c>
      <c r="K5325">
        <v>0</v>
      </c>
      <c r="L5325">
        <v>815.88</v>
      </c>
    </row>
    <row r="5326" spans="1:12" x14ac:dyDescent="0.25">
      <c r="A5326" t="str">
        <f t="shared" si="1185"/>
        <v>89301000</v>
      </c>
      <c r="B5326" t="str">
        <f t="shared" si="1173"/>
        <v>06539000</v>
      </c>
      <c r="C5326" t="str">
        <f t="shared" si="1183"/>
        <v>06539003</v>
      </c>
      <c r="D5326" t="str">
        <f t="shared" si="1184"/>
        <v>813</v>
      </c>
      <c r="E5326" t="str">
        <f t="shared" si="1175"/>
        <v>89301171</v>
      </c>
      <c r="F5326" t="str">
        <f t="shared" si="1179"/>
        <v>9252215709</v>
      </c>
      <c r="G5326" s="1">
        <v>44697</v>
      </c>
      <c r="H5326" t="str">
        <f t="shared" si="1187"/>
        <v>91197</v>
      </c>
      <c r="I5326">
        <v>1</v>
      </c>
      <c r="J5326">
        <v>1046</v>
      </c>
      <c r="K5326">
        <v>0</v>
      </c>
      <c r="L5326">
        <v>815.88</v>
      </c>
    </row>
    <row r="5327" spans="1:12" x14ac:dyDescent="0.25">
      <c r="A5327" t="str">
        <f t="shared" si="1185"/>
        <v>89301000</v>
      </c>
      <c r="B5327" t="str">
        <f t="shared" si="1173"/>
        <v>06539000</v>
      </c>
      <c r="C5327" t="str">
        <f t="shared" si="1183"/>
        <v>06539003</v>
      </c>
      <c r="D5327" t="str">
        <f t="shared" si="1184"/>
        <v>813</v>
      </c>
      <c r="E5327" t="str">
        <f t="shared" si="1175"/>
        <v>89301171</v>
      </c>
      <c r="F5327" t="str">
        <f t="shared" si="1179"/>
        <v>9252215709</v>
      </c>
      <c r="G5327" s="1">
        <v>44696</v>
      </c>
      <c r="H5327" t="str">
        <f t="shared" si="1187"/>
        <v>91197</v>
      </c>
      <c r="I5327">
        <v>1</v>
      </c>
      <c r="J5327">
        <v>1046</v>
      </c>
      <c r="K5327">
        <v>0</v>
      </c>
      <c r="L5327">
        <v>815.88</v>
      </c>
    </row>
    <row r="5328" spans="1:12" x14ac:dyDescent="0.25">
      <c r="A5328" t="str">
        <f t="shared" si="1185"/>
        <v>89301000</v>
      </c>
      <c r="B5328" t="str">
        <f t="shared" si="1173"/>
        <v>06539000</v>
      </c>
      <c r="C5328" t="str">
        <f t="shared" si="1183"/>
        <v>06539003</v>
      </c>
      <c r="D5328" t="str">
        <f t="shared" si="1184"/>
        <v>813</v>
      </c>
      <c r="E5328" t="str">
        <f t="shared" si="1175"/>
        <v>89301171</v>
      </c>
      <c r="F5328" t="str">
        <f t="shared" si="1179"/>
        <v>9252215709</v>
      </c>
      <c r="G5328" s="1">
        <v>44696</v>
      </c>
      <c r="H5328" t="str">
        <f t="shared" si="1187"/>
        <v>91197</v>
      </c>
      <c r="I5328">
        <v>1</v>
      </c>
      <c r="J5328">
        <v>1046</v>
      </c>
      <c r="K5328">
        <v>0</v>
      </c>
      <c r="L5328">
        <v>815.88</v>
      </c>
    </row>
    <row r="5329" spans="1:12" x14ac:dyDescent="0.25">
      <c r="A5329" t="str">
        <f t="shared" si="1185"/>
        <v>89301000</v>
      </c>
      <c r="B5329" t="str">
        <f t="shared" si="1173"/>
        <v>06539000</v>
      </c>
      <c r="C5329" t="str">
        <f t="shared" si="1183"/>
        <v>06539003</v>
      </c>
      <c r="D5329" t="str">
        <f t="shared" si="1184"/>
        <v>813</v>
      </c>
      <c r="E5329" t="str">
        <f t="shared" si="1175"/>
        <v>89301171</v>
      </c>
      <c r="F5329" t="str">
        <f t="shared" si="1179"/>
        <v>9252215709</v>
      </c>
      <c r="G5329" s="1">
        <v>44695</v>
      </c>
      <c r="H5329" t="str">
        <f t="shared" si="1187"/>
        <v>91197</v>
      </c>
      <c r="I5329">
        <v>1</v>
      </c>
      <c r="J5329">
        <v>1046</v>
      </c>
      <c r="K5329">
        <v>0</v>
      </c>
      <c r="L5329">
        <v>815.88</v>
      </c>
    </row>
    <row r="5330" spans="1:12" x14ac:dyDescent="0.25">
      <c r="A5330" t="str">
        <f t="shared" si="1185"/>
        <v>89301000</v>
      </c>
      <c r="B5330" t="str">
        <f t="shared" si="1173"/>
        <v>06539000</v>
      </c>
      <c r="C5330" t="str">
        <f t="shared" si="1183"/>
        <v>06539003</v>
      </c>
      <c r="D5330" t="str">
        <f t="shared" si="1184"/>
        <v>813</v>
      </c>
      <c r="E5330" t="str">
        <f t="shared" si="1175"/>
        <v>89301171</v>
      </c>
      <c r="F5330" t="str">
        <f t="shared" si="1179"/>
        <v>9252215709</v>
      </c>
      <c r="G5330" s="1">
        <v>44695</v>
      </c>
      <c r="H5330" t="str">
        <f t="shared" si="1187"/>
        <v>91197</v>
      </c>
      <c r="I5330">
        <v>1</v>
      </c>
      <c r="J5330">
        <v>1046</v>
      </c>
      <c r="K5330">
        <v>0</v>
      </c>
      <c r="L5330">
        <v>815.88</v>
      </c>
    </row>
    <row r="5331" spans="1:12" x14ac:dyDescent="0.25">
      <c r="A5331" t="str">
        <f t="shared" si="1185"/>
        <v>89301000</v>
      </c>
      <c r="B5331" t="str">
        <f t="shared" si="1173"/>
        <v>06539000</v>
      </c>
      <c r="C5331" t="str">
        <f t="shared" si="1183"/>
        <v>06539003</v>
      </c>
      <c r="D5331" t="str">
        <f t="shared" si="1184"/>
        <v>813</v>
      </c>
      <c r="E5331" t="str">
        <f t="shared" si="1175"/>
        <v>89301171</v>
      </c>
      <c r="F5331" t="str">
        <f t="shared" si="1179"/>
        <v>9252215709</v>
      </c>
      <c r="G5331" s="1">
        <v>44705</v>
      </c>
      <c r="H5331" t="str">
        <f>"91329"</f>
        <v>91329</v>
      </c>
      <c r="I5331">
        <v>2</v>
      </c>
      <c r="J5331">
        <v>428</v>
      </c>
      <c r="K5331">
        <v>0</v>
      </c>
      <c r="L5331">
        <v>333.84</v>
      </c>
    </row>
    <row r="5332" spans="1:12" x14ac:dyDescent="0.25">
      <c r="A5332" t="str">
        <f t="shared" si="1185"/>
        <v>89301000</v>
      </c>
      <c r="B5332" t="str">
        <f t="shared" si="1173"/>
        <v>06539000</v>
      </c>
      <c r="C5332" t="str">
        <f t="shared" si="1183"/>
        <v>06539003</v>
      </c>
      <c r="D5332" t="str">
        <f t="shared" si="1184"/>
        <v>813</v>
      </c>
      <c r="E5332" t="str">
        <f t="shared" si="1175"/>
        <v>89301171</v>
      </c>
      <c r="F5332" t="str">
        <f t="shared" si="1179"/>
        <v>9252215709</v>
      </c>
      <c r="G5332" s="1">
        <v>44705</v>
      </c>
      <c r="H5332" t="str">
        <f>"91329"</f>
        <v>91329</v>
      </c>
      <c r="I5332">
        <v>2</v>
      </c>
      <c r="J5332">
        <v>428</v>
      </c>
      <c r="K5332">
        <v>0</v>
      </c>
      <c r="L5332">
        <v>333.84</v>
      </c>
    </row>
    <row r="5333" spans="1:12" x14ac:dyDescent="0.25">
      <c r="A5333" t="str">
        <f t="shared" si="1185"/>
        <v>89301000</v>
      </c>
      <c r="B5333" t="str">
        <f t="shared" si="1173"/>
        <v>06539000</v>
      </c>
      <c r="C5333" t="str">
        <f t="shared" si="1183"/>
        <v>06539003</v>
      </c>
      <c r="D5333" t="str">
        <f t="shared" si="1184"/>
        <v>813</v>
      </c>
      <c r="E5333" t="str">
        <f t="shared" si="1175"/>
        <v>89301171</v>
      </c>
      <c r="F5333" t="str">
        <f t="shared" si="1179"/>
        <v>9252215709</v>
      </c>
      <c r="G5333" s="1">
        <v>44705</v>
      </c>
      <c r="H5333" t="str">
        <f>"91329"</f>
        <v>91329</v>
      </c>
      <c r="I5333">
        <v>2</v>
      </c>
      <c r="J5333">
        <v>428</v>
      </c>
      <c r="K5333">
        <v>0</v>
      </c>
      <c r="L5333">
        <v>333.84</v>
      </c>
    </row>
    <row r="5334" spans="1:12" x14ac:dyDescent="0.25">
      <c r="A5334" t="str">
        <f t="shared" si="1185"/>
        <v>89301000</v>
      </c>
      <c r="B5334" t="str">
        <f t="shared" si="1173"/>
        <v>06539000</v>
      </c>
      <c r="C5334" t="str">
        <f t="shared" si="1183"/>
        <v>06539003</v>
      </c>
      <c r="D5334" t="str">
        <f t="shared" si="1184"/>
        <v>813</v>
      </c>
      <c r="E5334" t="str">
        <f t="shared" si="1175"/>
        <v>89301171</v>
      </c>
      <c r="F5334" t="str">
        <f t="shared" si="1179"/>
        <v>9252215709</v>
      </c>
      <c r="G5334" s="1">
        <v>44705</v>
      </c>
      <c r="H5334" t="str">
        <f>"91329"</f>
        <v>91329</v>
      </c>
      <c r="I5334">
        <v>2</v>
      </c>
      <c r="J5334">
        <v>428</v>
      </c>
      <c r="K5334">
        <v>0</v>
      </c>
      <c r="L5334">
        <v>333.84</v>
      </c>
    </row>
    <row r="5335" spans="1:12" x14ac:dyDescent="0.25">
      <c r="A5335" t="str">
        <f t="shared" si="1185"/>
        <v>89301000</v>
      </c>
      <c r="B5335" t="str">
        <f t="shared" si="1173"/>
        <v>06539000</v>
      </c>
      <c r="C5335" t="str">
        <f t="shared" si="1183"/>
        <v>06539003</v>
      </c>
      <c r="D5335" t="str">
        <f t="shared" si="1184"/>
        <v>813</v>
      </c>
      <c r="E5335" t="str">
        <f t="shared" si="1175"/>
        <v>89301171</v>
      </c>
      <c r="F5335" t="str">
        <f t="shared" si="1179"/>
        <v>9252215709</v>
      </c>
      <c r="G5335" s="1">
        <v>44697</v>
      </c>
      <c r="H5335" t="str">
        <f>"91129"</f>
        <v>91129</v>
      </c>
      <c r="I5335">
        <v>1</v>
      </c>
      <c r="J5335">
        <v>174</v>
      </c>
      <c r="K5335">
        <v>0</v>
      </c>
      <c r="L5335">
        <v>135.72</v>
      </c>
    </row>
    <row r="5336" spans="1:12" x14ac:dyDescent="0.25">
      <c r="A5336" t="str">
        <f t="shared" si="1185"/>
        <v>89301000</v>
      </c>
      <c r="B5336" t="str">
        <f t="shared" si="1173"/>
        <v>06539000</v>
      </c>
      <c r="C5336" t="str">
        <f t="shared" si="1183"/>
        <v>06539003</v>
      </c>
      <c r="D5336" t="str">
        <f t="shared" si="1184"/>
        <v>813</v>
      </c>
      <c r="E5336" t="str">
        <f t="shared" si="1175"/>
        <v>89301171</v>
      </c>
      <c r="F5336" t="str">
        <f t="shared" si="1179"/>
        <v>9252215709</v>
      </c>
      <c r="G5336" s="1">
        <v>44697</v>
      </c>
      <c r="H5336" t="str">
        <f>"91131"</f>
        <v>91131</v>
      </c>
      <c r="I5336">
        <v>1</v>
      </c>
      <c r="J5336">
        <v>171</v>
      </c>
      <c r="K5336">
        <v>0</v>
      </c>
      <c r="L5336">
        <v>133.38</v>
      </c>
    </row>
    <row r="5337" spans="1:12" x14ac:dyDescent="0.25">
      <c r="A5337" t="str">
        <f t="shared" si="1185"/>
        <v>89301000</v>
      </c>
      <c r="B5337" t="str">
        <f t="shared" si="1173"/>
        <v>06539000</v>
      </c>
      <c r="C5337" t="str">
        <f t="shared" si="1183"/>
        <v>06539003</v>
      </c>
      <c r="D5337" t="str">
        <f t="shared" si="1184"/>
        <v>813</v>
      </c>
      <c r="E5337" t="str">
        <f t="shared" si="1175"/>
        <v>89301171</v>
      </c>
      <c r="F5337" t="str">
        <f t="shared" si="1179"/>
        <v>9252215709</v>
      </c>
      <c r="G5337" s="1">
        <v>44697</v>
      </c>
      <c r="H5337" t="str">
        <f>"91133"</f>
        <v>91133</v>
      </c>
      <c r="I5337">
        <v>1</v>
      </c>
      <c r="J5337">
        <v>176</v>
      </c>
      <c r="K5337">
        <v>0</v>
      </c>
      <c r="L5337">
        <v>137.28</v>
      </c>
    </row>
    <row r="5338" spans="1:12" x14ac:dyDescent="0.25">
      <c r="A5338" t="str">
        <f t="shared" si="1185"/>
        <v>89301000</v>
      </c>
      <c r="B5338" t="str">
        <f t="shared" si="1173"/>
        <v>06539000</v>
      </c>
      <c r="C5338" t="str">
        <f t="shared" si="1183"/>
        <v>06539003</v>
      </c>
      <c r="D5338" t="str">
        <f t="shared" si="1184"/>
        <v>813</v>
      </c>
      <c r="E5338" t="str">
        <f t="shared" si="1175"/>
        <v>89301171</v>
      </c>
      <c r="F5338" t="str">
        <f t="shared" si="1179"/>
        <v>9252215709</v>
      </c>
      <c r="G5338" s="1">
        <v>44697</v>
      </c>
      <c r="H5338" t="str">
        <f>"91171"</f>
        <v>91171</v>
      </c>
      <c r="I5338">
        <v>1</v>
      </c>
      <c r="J5338">
        <v>360</v>
      </c>
      <c r="K5338">
        <v>0</v>
      </c>
      <c r="L5338">
        <v>280.8</v>
      </c>
    </row>
    <row r="5339" spans="1:12" x14ac:dyDescent="0.25">
      <c r="A5339" t="str">
        <f t="shared" si="1185"/>
        <v>89301000</v>
      </c>
      <c r="B5339" t="str">
        <f t="shared" si="1173"/>
        <v>06539000</v>
      </c>
      <c r="C5339" t="str">
        <f t="shared" si="1183"/>
        <v>06539003</v>
      </c>
      <c r="D5339" t="str">
        <f t="shared" si="1184"/>
        <v>813</v>
      </c>
      <c r="E5339" t="str">
        <f t="shared" si="1175"/>
        <v>89301171</v>
      </c>
      <c r="F5339" t="str">
        <f t="shared" si="1179"/>
        <v>9252215709</v>
      </c>
      <c r="G5339" s="1">
        <v>44694</v>
      </c>
      <c r="H5339" t="str">
        <f>"91173"</f>
        <v>91173</v>
      </c>
      <c r="I5339">
        <v>1</v>
      </c>
      <c r="J5339">
        <v>335</v>
      </c>
      <c r="K5339">
        <v>0</v>
      </c>
      <c r="L5339">
        <v>261.3</v>
      </c>
    </row>
    <row r="5340" spans="1:12" x14ac:dyDescent="0.25">
      <c r="A5340" t="str">
        <f t="shared" si="1185"/>
        <v>89301000</v>
      </c>
      <c r="B5340" t="str">
        <f t="shared" ref="B5340:B5403" si="1188">"06539000"</f>
        <v>06539000</v>
      </c>
      <c r="C5340" t="str">
        <f t="shared" si="1183"/>
        <v>06539003</v>
      </c>
      <c r="D5340" t="str">
        <f t="shared" si="1184"/>
        <v>813</v>
      </c>
      <c r="E5340" t="str">
        <f t="shared" si="1175"/>
        <v>89301171</v>
      </c>
      <c r="F5340" t="str">
        <f t="shared" si="1179"/>
        <v>9252215709</v>
      </c>
      <c r="G5340" s="1">
        <v>44697</v>
      </c>
      <c r="H5340" t="str">
        <f>"91175"</f>
        <v>91175</v>
      </c>
      <c r="I5340">
        <v>1</v>
      </c>
      <c r="J5340">
        <v>360</v>
      </c>
      <c r="K5340">
        <v>0</v>
      </c>
      <c r="L5340">
        <v>280.8</v>
      </c>
    </row>
    <row r="5341" spans="1:12" x14ac:dyDescent="0.25">
      <c r="A5341" t="str">
        <f t="shared" si="1185"/>
        <v>89301000</v>
      </c>
      <c r="B5341" t="str">
        <f t="shared" si="1188"/>
        <v>06539000</v>
      </c>
      <c r="C5341" t="str">
        <f t="shared" si="1183"/>
        <v>06539003</v>
      </c>
      <c r="D5341" t="str">
        <f t="shared" si="1184"/>
        <v>813</v>
      </c>
      <c r="E5341" t="str">
        <f t="shared" si="1175"/>
        <v>89301171</v>
      </c>
      <c r="F5341" t="str">
        <f t="shared" si="1179"/>
        <v>9252215709</v>
      </c>
      <c r="G5341" s="1">
        <v>44695</v>
      </c>
      <c r="H5341" t="str">
        <f>"91167"</f>
        <v>91167</v>
      </c>
      <c r="I5341">
        <v>1</v>
      </c>
      <c r="J5341">
        <v>425</v>
      </c>
      <c r="K5341">
        <v>0</v>
      </c>
      <c r="L5341">
        <v>331.5</v>
      </c>
    </row>
    <row r="5342" spans="1:12" x14ac:dyDescent="0.25">
      <c r="A5342" t="str">
        <f t="shared" si="1185"/>
        <v>89301000</v>
      </c>
      <c r="B5342" t="str">
        <f t="shared" si="1188"/>
        <v>06539000</v>
      </c>
      <c r="C5342" t="str">
        <f t="shared" si="1183"/>
        <v>06539003</v>
      </c>
      <c r="D5342" t="str">
        <f t="shared" si="1184"/>
        <v>813</v>
      </c>
      <c r="E5342" t="str">
        <f t="shared" si="1175"/>
        <v>89301171</v>
      </c>
      <c r="F5342" t="str">
        <f t="shared" si="1179"/>
        <v>9252215709</v>
      </c>
      <c r="G5342" s="1">
        <v>44695</v>
      </c>
      <c r="H5342" t="str">
        <f>"91169"</f>
        <v>91169</v>
      </c>
      <c r="I5342">
        <v>1</v>
      </c>
      <c r="J5342">
        <v>425</v>
      </c>
      <c r="K5342">
        <v>0</v>
      </c>
      <c r="L5342">
        <v>331.5</v>
      </c>
    </row>
    <row r="5343" spans="1:12" x14ac:dyDescent="0.25">
      <c r="A5343" t="str">
        <f t="shared" si="1185"/>
        <v>89301000</v>
      </c>
      <c r="B5343" t="str">
        <f t="shared" si="1188"/>
        <v>06539000</v>
      </c>
      <c r="C5343" t="str">
        <f t="shared" si="1183"/>
        <v>06539003</v>
      </c>
      <c r="D5343" t="str">
        <f t="shared" si="1184"/>
        <v>813</v>
      </c>
      <c r="E5343" t="str">
        <f t="shared" si="1175"/>
        <v>89301171</v>
      </c>
      <c r="F5343" t="str">
        <f t="shared" si="1179"/>
        <v>9252215709</v>
      </c>
      <c r="G5343" s="1">
        <v>44694</v>
      </c>
      <c r="H5343" t="str">
        <f>"91167"</f>
        <v>91167</v>
      </c>
      <c r="I5343">
        <v>1</v>
      </c>
      <c r="J5343">
        <v>425</v>
      </c>
      <c r="K5343">
        <v>0</v>
      </c>
      <c r="L5343">
        <v>331.5</v>
      </c>
    </row>
    <row r="5344" spans="1:12" x14ac:dyDescent="0.25">
      <c r="A5344" t="str">
        <f t="shared" si="1185"/>
        <v>89301000</v>
      </c>
      <c r="B5344" t="str">
        <f t="shared" si="1188"/>
        <v>06539000</v>
      </c>
      <c r="C5344" t="str">
        <f t="shared" si="1183"/>
        <v>06539003</v>
      </c>
      <c r="D5344" t="str">
        <f t="shared" si="1184"/>
        <v>813</v>
      </c>
      <c r="E5344" t="str">
        <f t="shared" si="1175"/>
        <v>89301171</v>
      </c>
      <c r="F5344" t="str">
        <f t="shared" si="1179"/>
        <v>9252215709</v>
      </c>
      <c r="G5344" s="1">
        <v>44694</v>
      </c>
      <c r="H5344" t="str">
        <f>"91169"</f>
        <v>91169</v>
      </c>
      <c r="I5344">
        <v>1</v>
      </c>
      <c r="J5344">
        <v>425</v>
      </c>
      <c r="K5344">
        <v>0</v>
      </c>
      <c r="L5344">
        <v>331.5</v>
      </c>
    </row>
    <row r="5345" spans="1:12" x14ac:dyDescent="0.25">
      <c r="A5345" t="str">
        <f t="shared" si="1185"/>
        <v>89301000</v>
      </c>
      <c r="B5345" t="str">
        <f t="shared" si="1188"/>
        <v>06539000</v>
      </c>
      <c r="C5345" t="str">
        <f t="shared" si="1183"/>
        <v>06539003</v>
      </c>
      <c r="D5345" t="str">
        <f t="shared" si="1184"/>
        <v>813</v>
      </c>
      <c r="E5345" t="str">
        <f t="shared" ref="E5345:E5408" si="1189">"89301171"</f>
        <v>89301171</v>
      </c>
      <c r="F5345" t="str">
        <f t="shared" si="1179"/>
        <v>9252215709</v>
      </c>
      <c r="G5345" s="1">
        <v>44694</v>
      </c>
      <c r="H5345" t="str">
        <f>"91475"</f>
        <v>91475</v>
      </c>
      <c r="I5345">
        <v>1</v>
      </c>
      <c r="J5345">
        <v>206</v>
      </c>
      <c r="K5345">
        <v>0</v>
      </c>
      <c r="L5345">
        <v>160.68</v>
      </c>
    </row>
    <row r="5346" spans="1:12" x14ac:dyDescent="0.25">
      <c r="A5346" t="str">
        <f t="shared" si="1185"/>
        <v>89301000</v>
      </c>
      <c r="B5346" t="str">
        <f t="shared" si="1188"/>
        <v>06539000</v>
      </c>
      <c r="C5346" t="str">
        <f>"06539001"</f>
        <v>06539001</v>
      </c>
      <c r="D5346" t="str">
        <f>"801"</f>
        <v>801</v>
      </c>
      <c r="E5346" t="str">
        <f t="shared" si="1189"/>
        <v>89301171</v>
      </c>
      <c r="F5346" t="str">
        <f t="shared" ref="F5346:F5392" si="1190">"9104034852"</f>
        <v>9104034852</v>
      </c>
      <c r="G5346" s="1">
        <v>44694</v>
      </c>
      <c r="H5346" t="str">
        <f>"81329"</f>
        <v>81329</v>
      </c>
      <c r="I5346">
        <v>1</v>
      </c>
      <c r="J5346">
        <v>16</v>
      </c>
      <c r="K5346">
        <v>0</v>
      </c>
      <c r="L5346">
        <v>12.48</v>
      </c>
    </row>
    <row r="5347" spans="1:12" x14ac:dyDescent="0.25">
      <c r="A5347" t="str">
        <f t="shared" si="1185"/>
        <v>89301000</v>
      </c>
      <c r="B5347" t="str">
        <f t="shared" si="1188"/>
        <v>06539000</v>
      </c>
      <c r="C5347" t="str">
        <f>"06539001"</f>
        <v>06539001</v>
      </c>
      <c r="D5347" t="str">
        <f>"801"</f>
        <v>801</v>
      </c>
      <c r="E5347" t="str">
        <f t="shared" si="1189"/>
        <v>89301171</v>
      </c>
      <c r="F5347" t="str">
        <f t="shared" si="1190"/>
        <v>9104034852</v>
      </c>
      <c r="G5347" s="1">
        <v>44694</v>
      </c>
      <c r="H5347" t="str">
        <f>"81331"</f>
        <v>81331</v>
      </c>
      <c r="I5347">
        <v>1</v>
      </c>
      <c r="J5347">
        <v>193</v>
      </c>
      <c r="K5347">
        <v>0</v>
      </c>
      <c r="L5347">
        <v>150.54</v>
      </c>
    </row>
    <row r="5348" spans="1:12" x14ac:dyDescent="0.25">
      <c r="A5348" t="str">
        <f t="shared" si="1185"/>
        <v>89301000</v>
      </c>
      <c r="B5348" t="str">
        <f t="shared" si="1188"/>
        <v>06539000</v>
      </c>
      <c r="C5348" t="str">
        <f t="shared" ref="C5348:C5355" si="1191">"06539002"</f>
        <v>06539002</v>
      </c>
      <c r="D5348" t="str">
        <f t="shared" ref="D5348:D5355" si="1192">"802"</f>
        <v>802</v>
      </c>
      <c r="E5348" t="str">
        <f t="shared" si="1189"/>
        <v>89301171</v>
      </c>
      <c r="F5348" t="str">
        <f t="shared" si="1190"/>
        <v>9104034852</v>
      </c>
      <c r="G5348" s="1">
        <v>44694</v>
      </c>
      <c r="H5348" t="str">
        <f t="shared" ref="H5348:H5355" si="1193">"82097"</f>
        <v>82097</v>
      </c>
      <c r="I5348">
        <v>1</v>
      </c>
      <c r="J5348">
        <v>380</v>
      </c>
      <c r="K5348">
        <v>0</v>
      </c>
      <c r="L5348">
        <v>345.8</v>
      </c>
    </row>
    <row r="5349" spans="1:12" x14ac:dyDescent="0.25">
      <c r="A5349" t="str">
        <f t="shared" si="1185"/>
        <v>89301000</v>
      </c>
      <c r="B5349" t="str">
        <f t="shared" si="1188"/>
        <v>06539000</v>
      </c>
      <c r="C5349" t="str">
        <f t="shared" si="1191"/>
        <v>06539002</v>
      </c>
      <c r="D5349" t="str">
        <f t="shared" si="1192"/>
        <v>802</v>
      </c>
      <c r="E5349" t="str">
        <f t="shared" si="1189"/>
        <v>89301171</v>
      </c>
      <c r="F5349" t="str">
        <f t="shared" si="1190"/>
        <v>9104034852</v>
      </c>
      <c r="G5349" s="1">
        <v>44694</v>
      </c>
      <c r="H5349" t="str">
        <f t="shared" si="1193"/>
        <v>82097</v>
      </c>
      <c r="I5349">
        <v>1</v>
      </c>
      <c r="J5349">
        <v>380</v>
      </c>
      <c r="K5349">
        <v>0</v>
      </c>
      <c r="L5349">
        <v>345.8</v>
      </c>
    </row>
    <row r="5350" spans="1:12" x14ac:dyDescent="0.25">
      <c r="A5350" t="str">
        <f t="shared" si="1185"/>
        <v>89301000</v>
      </c>
      <c r="B5350" t="str">
        <f t="shared" si="1188"/>
        <v>06539000</v>
      </c>
      <c r="C5350" t="str">
        <f t="shared" si="1191"/>
        <v>06539002</v>
      </c>
      <c r="D5350" t="str">
        <f t="shared" si="1192"/>
        <v>802</v>
      </c>
      <c r="E5350" t="str">
        <f t="shared" si="1189"/>
        <v>89301171</v>
      </c>
      <c r="F5350" t="str">
        <f t="shared" si="1190"/>
        <v>9104034852</v>
      </c>
      <c r="G5350" s="1">
        <v>44694</v>
      </c>
      <c r="H5350" t="str">
        <f t="shared" si="1193"/>
        <v>82097</v>
      </c>
      <c r="I5350">
        <v>1</v>
      </c>
      <c r="J5350">
        <v>380</v>
      </c>
      <c r="K5350">
        <v>0</v>
      </c>
      <c r="L5350">
        <v>345.8</v>
      </c>
    </row>
    <row r="5351" spans="1:12" x14ac:dyDescent="0.25">
      <c r="A5351" t="str">
        <f t="shared" si="1185"/>
        <v>89301000</v>
      </c>
      <c r="B5351" t="str">
        <f t="shared" si="1188"/>
        <v>06539000</v>
      </c>
      <c r="C5351" t="str">
        <f t="shared" si="1191"/>
        <v>06539002</v>
      </c>
      <c r="D5351" t="str">
        <f t="shared" si="1192"/>
        <v>802</v>
      </c>
      <c r="E5351" t="str">
        <f t="shared" si="1189"/>
        <v>89301171</v>
      </c>
      <c r="F5351" t="str">
        <f t="shared" si="1190"/>
        <v>9104034852</v>
      </c>
      <c r="G5351" s="1">
        <v>44694</v>
      </c>
      <c r="H5351" t="str">
        <f t="shared" si="1193"/>
        <v>82097</v>
      </c>
      <c r="I5351">
        <v>1</v>
      </c>
      <c r="J5351">
        <v>380</v>
      </c>
      <c r="K5351">
        <v>0</v>
      </c>
      <c r="L5351">
        <v>345.8</v>
      </c>
    </row>
    <row r="5352" spans="1:12" x14ac:dyDescent="0.25">
      <c r="A5352" t="str">
        <f t="shared" si="1185"/>
        <v>89301000</v>
      </c>
      <c r="B5352" t="str">
        <f t="shared" si="1188"/>
        <v>06539000</v>
      </c>
      <c r="C5352" t="str">
        <f t="shared" si="1191"/>
        <v>06539002</v>
      </c>
      <c r="D5352" t="str">
        <f t="shared" si="1192"/>
        <v>802</v>
      </c>
      <c r="E5352" t="str">
        <f t="shared" si="1189"/>
        <v>89301171</v>
      </c>
      <c r="F5352" t="str">
        <f t="shared" si="1190"/>
        <v>9104034852</v>
      </c>
      <c r="G5352" s="1">
        <v>44694</v>
      </c>
      <c r="H5352" t="str">
        <f t="shared" si="1193"/>
        <v>82097</v>
      </c>
      <c r="I5352">
        <v>1</v>
      </c>
      <c r="J5352">
        <v>380</v>
      </c>
      <c r="K5352">
        <v>0</v>
      </c>
      <c r="L5352">
        <v>345.8</v>
      </c>
    </row>
    <row r="5353" spans="1:12" x14ac:dyDescent="0.25">
      <c r="A5353" t="str">
        <f t="shared" si="1185"/>
        <v>89301000</v>
      </c>
      <c r="B5353" t="str">
        <f t="shared" si="1188"/>
        <v>06539000</v>
      </c>
      <c r="C5353" t="str">
        <f t="shared" si="1191"/>
        <v>06539002</v>
      </c>
      <c r="D5353" t="str">
        <f t="shared" si="1192"/>
        <v>802</v>
      </c>
      <c r="E5353" t="str">
        <f t="shared" si="1189"/>
        <v>89301171</v>
      </c>
      <c r="F5353" t="str">
        <f t="shared" si="1190"/>
        <v>9104034852</v>
      </c>
      <c r="G5353" s="1">
        <v>44694</v>
      </c>
      <c r="H5353" t="str">
        <f t="shared" si="1193"/>
        <v>82097</v>
      </c>
      <c r="I5353">
        <v>1</v>
      </c>
      <c r="J5353">
        <v>380</v>
      </c>
      <c r="K5353">
        <v>0</v>
      </c>
      <c r="L5353">
        <v>345.8</v>
      </c>
    </row>
    <row r="5354" spans="1:12" x14ac:dyDescent="0.25">
      <c r="A5354" t="str">
        <f t="shared" si="1185"/>
        <v>89301000</v>
      </c>
      <c r="B5354" t="str">
        <f t="shared" si="1188"/>
        <v>06539000</v>
      </c>
      <c r="C5354" t="str">
        <f t="shared" si="1191"/>
        <v>06539002</v>
      </c>
      <c r="D5354" t="str">
        <f t="shared" si="1192"/>
        <v>802</v>
      </c>
      <c r="E5354" t="str">
        <f t="shared" si="1189"/>
        <v>89301171</v>
      </c>
      <c r="F5354" t="str">
        <f t="shared" si="1190"/>
        <v>9104034852</v>
      </c>
      <c r="G5354" s="1">
        <v>44694</v>
      </c>
      <c r="H5354" t="str">
        <f t="shared" si="1193"/>
        <v>82097</v>
      </c>
      <c r="I5354">
        <v>1</v>
      </c>
      <c r="J5354">
        <v>380</v>
      </c>
      <c r="K5354">
        <v>0</v>
      </c>
      <c r="L5354">
        <v>345.8</v>
      </c>
    </row>
    <row r="5355" spans="1:12" x14ac:dyDescent="0.25">
      <c r="A5355" t="str">
        <f t="shared" si="1185"/>
        <v>89301000</v>
      </c>
      <c r="B5355" t="str">
        <f t="shared" si="1188"/>
        <v>06539000</v>
      </c>
      <c r="C5355" t="str">
        <f t="shared" si="1191"/>
        <v>06539002</v>
      </c>
      <c r="D5355" t="str">
        <f t="shared" si="1192"/>
        <v>802</v>
      </c>
      <c r="E5355" t="str">
        <f t="shared" si="1189"/>
        <v>89301171</v>
      </c>
      <c r="F5355" t="str">
        <f t="shared" si="1190"/>
        <v>9104034852</v>
      </c>
      <c r="G5355" s="1">
        <v>44694</v>
      </c>
      <c r="H5355" t="str">
        <f t="shared" si="1193"/>
        <v>82097</v>
      </c>
      <c r="I5355">
        <v>1</v>
      </c>
      <c r="J5355">
        <v>380</v>
      </c>
      <c r="K5355">
        <v>0</v>
      </c>
      <c r="L5355">
        <v>345.8</v>
      </c>
    </row>
    <row r="5356" spans="1:12" x14ac:dyDescent="0.25">
      <c r="A5356" t="str">
        <f t="shared" si="1185"/>
        <v>89301000</v>
      </c>
      <c r="B5356" t="str">
        <f t="shared" si="1188"/>
        <v>06539000</v>
      </c>
      <c r="C5356" t="str">
        <f t="shared" ref="C5356:C5392" si="1194">"06539003"</f>
        <v>06539003</v>
      </c>
      <c r="D5356" t="str">
        <f t="shared" ref="D5356:D5392" si="1195">"813"</f>
        <v>813</v>
      </c>
      <c r="E5356" t="str">
        <f t="shared" si="1189"/>
        <v>89301171</v>
      </c>
      <c r="F5356" t="str">
        <f t="shared" si="1190"/>
        <v>9104034852</v>
      </c>
      <c r="G5356" s="1">
        <v>44698</v>
      </c>
      <c r="H5356" t="str">
        <f>"91439"</f>
        <v>91439</v>
      </c>
      <c r="I5356">
        <v>2</v>
      </c>
      <c r="J5356">
        <v>712</v>
      </c>
      <c r="K5356">
        <v>0</v>
      </c>
      <c r="L5356">
        <v>555.36</v>
      </c>
    </row>
    <row r="5357" spans="1:12" x14ac:dyDescent="0.25">
      <c r="A5357" t="str">
        <f t="shared" si="1185"/>
        <v>89301000</v>
      </c>
      <c r="B5357" t="str">
        <f t="shared" si="1188"/>
        <v>06539000</v>
      </c>
      <c r="C5357" t="str">
        <f t="shared" si="1194"/>
        <v>06539003</v>
      </c>
      <c r="D5357" t="str">
        <f t="shared" si="1195"/>
        <v>813</v>
      </c>
      <c r="E5357" t="str">
        <f t="shared" si="1189"/>
        <v>89301171</v>
      </c>
      <c r="F5357" t="str">
        <f t="shared" si="1190"/>
        <v>9104034852</v>
      </c>
      <c r="G5357" s="1">
        <v>44698</v>
      </c>
      <c r="H5357" t="str">
        <f>"91439"</f>
        <v>91439</v>
      </c>
      <c r="I5357">
        <v>1</v>
      </c>
      <c r="J5357">
        <v>356</v>
      </c>
      <c r="K5357">
        <v>0</v>
      </c>
      <c r="L5357">
        <v>277.68</v>
      </c>
    </row>
    <row r="5358" spans="1:12" x14ac:dyDescent="0.25">
      <c r="A5358" t="str">
        <f t="shared" si="1185"/>
        <v>89301000</v>
      </c>
      <c r="B5358" t="str">
        <f t="shared" si="1188"/>
        <v>06539000</v>
      </c>
      <c r="C5358" t="str">
        <f t="shared" si="1194"/>
        <v>06539003</v>
      </c>
      <c r="D5358" t="str">
        <f t="shared" si="1195"/>
        <v>813</v>
      </c>
      <c r="E5358" t="str">
        <f t="shared" si="1189"/>
        <v>89301171</v>
      </c>
      <c r="F5358" t="str">
        <f t="shared" si="1190"/>
        <v>9104034852</v>
      </c>
      <c r="G5358" s="1">
        <v>44698</v>
      </c>
      <c r="H5358" t="str">
        <f>"91439"</f>
        <v>91439</v>
      </c>
      <c r="I5358">
        <v>1</v>
      </c>
      <c r="J5358">
        <v>356</v>
      </c>
      <c r="K5358">
        <v>0</v>
      </c>
      <c r="L5358">
        <v>277.68</v>
      </c>
    </row>
    <row r="5359" spans="1:12" x14ac:dyDescent="0.25">
      <c r="A5359" t="str">
        <f t="shared" si="1185"/>
        <v>89301000</v>
      </c>
      <c r="B5359" t="str">
        <f t="shared" si="1188"/>
        <v>06539000</v>
      </c>
      <c r="C5359" t="str">
        <f t="shared" si="1194"/>
        <v>06539003</v>
      </c>
      <c r="D5359" t="str">
        <f t="shared" si="1195"/>
        <v>813</v>
      </c>
      <c r="E5359" t="str">
        <f t="shared" si="1189"/>
        <v>89301171</v>
      </c>
      <c r="F5359" t="str">
        <f t="shared" si="1190"/>
        <v>9104034852</v>
      </c>
      <c r="G5359" s="1">
        <v>44698</v>
      </c>
      <c r="H5359" t="str">
        <f>"91439"</f>
        <v>91439</v>
      </c>
      <c r="I5359">
        <v>1</v>
      </c>
      <c r="J5359">
        <v>356</v>
      </c>
      <c r="K5359">
        <v>0</v>
      </c>
      <c r="L5359">
        <v>277.68</v>
      </c>
    </row>
    <row r="5360" spans="1:12" x14ac:dyDescent="0.25">
      <c r="A5360" t="str">
        <f t="shared" si="1185"/>
        <v>89301000</v>
      </c>
      <c r="B5360" t="str">
        <f t="shared" si="1188"/>
        <v>06539000</v>
      </c>
      <c r="C5360" t="str">
        <f t="shared" si="1194"/>
        <v>06539003</v>
      </c>
      <c r="D5360" t="str">
        <f t="shared" si="1195"/>
        <v>813</v>
      </c>
      <c r="E5360" t="str">
        <f t="shared" si="1189"/>
        <v>89301171</v>
      </c>
      <c r="F5360" t="str">
        <f t="shared" si="1190"/>
        <v>9104034852</v>
      </c>
      <c r="G5360" s="1">
        <v>44698</v>
      </c>
      <c r="H5360" t="str">
        <f>"91439"</f>
        <v>91439</v>
      </c>
      <c r="I5360">
        <v>1</v>
      </c>
      <c r="J5360">
        <v>356</v>
      </c>
      <c r="K5360">
        <v>0</v>
      </c>
      <c r="L5360">
        <v>277.68</v>
      </c>
    </row>
    <row r="5361" spans="1:12" x14ac:dyDescent="0.25">
      <c r="A5361" t="str">
        <f t="shared" si="1185"/>
        <v>89301000</v>
      </c>
      <c r="B5361" t="str">
        <f t="shared" si="1188"/>
        <v>06539000</v>
      </c>
      <c r="C5361" t="str">
        <f t="shared" si="1194"/>
        <v>06539003</v>
      </c>
      <c r="D5361" t="str">
        <f t="shared" si="1195"/>
        <v>813</v>
      </c>
      <c r="E5361" t="str">
        <f t="shared" si="1189"/>
        <v>89301171</v>
      </c>
      <c r="F5361" t="str">
        <f t="shared" si="1190"/>
        <v>9104034852</v>
      </c>
      <c r="G5361" s="1">
        <v>44699</v>
      </c>
      <c r="H5361" t="str">
        <f t="shared" ref="H5361:H5370" si="1196">"91413"</f>
        <v>91413</v>
      </c>
      <c r="I5361">
        <v>1</v>
      </c>
      <c r="J5361">
        <v>853</v>
      </c>
      <c r="K5361">
        <v>0</v>
      </c>
      <c r="L5361">
        <v>665.34</v>
      </c>
    </row>
    <row r="5362" spans="1:12" x14ac:dyDescent="0.25">
      <c r="A5362" t="str">
        <f t="shared" si="1185"/>
        <v>89301000</v>
      </c>
      <c r="B5362" t="str">
        <f t="shared" si="1188"/>
        <v>06539000</v>
      </c>
      <c r="C5362" t="str">
        <f t="shared" si="1194"/>
        <v>06539003</v>
      </c>
      <c r="D5362" t="str">
        <f t="shared" si="1195"/>
        <v>813</v>
      </c>
      <c r="E5362" t="str">
        <f t="shared" si="1189"/>
        <v>89301171</v>
      </c>
      <c r="F5362" t="str">
        <f t="shared" si="1190"/>
        <v>9104034852</v>
      </c>
      <c r="G5362" s="1">
        <v>44699</v>
      </c>
      <c r="H5362" t="str">
        <f t="shared" si="1196"/>
        <v>91413</v>
      </c>
      <c r="I5362">
        <v>1</v>
      </c>
      <c r="J5362">
        <v>853</v>
      </c>
      <c r="K5362">
        <v>0</v>
      </c>
      <c r="L5362">
        <v>665.34</v>
      </c>
    </row>
    <row r="5363" spans="1:12" x14ac:dyDescent="0.25">
      <c r="A5363" t="str">
        <f t="shared" si="1185"/>
        <v>89301000</v>
      </c>
      <c r="B5363" t="str">
        <f t="shared" si="1188"/>
        <v>06539000</v>
      </c>
      <c r="C5363" t="str">
        <f t="shared" si="1194"/>
        <v>06539003</v>
      </c>
      <c r="D5363" t="str">
        <f t="shared" si="1195"/>
        <v>813</v>
      </c>
      <c r="E5363" t="str">
        <f t="shared" si="1189"/>
        <v>89301171</v>
      </c>
      <c r="F5363" t="str">
        <f t="shared" si="1190"/>
        <v>9104034852</v>
      </c>
      <c r="G5363" s="1">
        <v>44706</v>
      </c>
      <c r="H5363" t="str">
        <f t="shared" si="1196"/>
        <v>91413</v>
      </c>
      <c r="I5363">
        <v>1</v>
      </c>
      <c r="J5363">
        <v>853</v>
      </c>
      <c r="K5363">
        <v>0</v>
      </c>
      <c r="L5363">
        <v>665.34</v>
      </c>
    </row>
    <row r="5364" spans="1:12" x14ac:dyDescent="0.25">
      <c r="A5364" t="str">
        <f t="shared" si="1185"/>
        <v>89301000</v>
      </c>
      <c r="B5364" t="str">
        <f t="shared" si="1188"/>
        <v>06539000</v>
      </c>
      <c r="C5364" t="str">
        <f t="shared" si="1194"/>
        <v>06539003</v>
      </c>
      <c r="D5364" t="str">
        <f t="shared" si="1195"/>
        <v>813</v>
      </c>
      <c r="E5364" t="str">
        <f t="shared" si="1189"/>
        <v>89301171</v>
      </c>
      <c r="F5364" t="str">
        <f t="shared" si="1190"/>
        <v>9104034852</v>
      </c>
      <c r="G5364" s="1">
        <v>44706</v>
      </c>
      <c r="H5364" t="str">
        <f t="shared" si="1196"/>
        <v>91413</v>
      </c>
      <c r="I5364">
        <v>1</v>
      </c>
      <c r="J5364">
        <v>853</v>
      </c>
      <c r="K5364">
        <v>0</v>
      </c>
      <c r="L5364">
        <v>665.34</v>
      </c>
    </row>
    <row r="5365" spans="1:12" x14ac:dyDescent="0.25">
      <c r="A5365" t="str">
        <f t="shared" si="1185"/>
        <v>89301000</v>
      </c>
      <c r="B5365" t="str">
        <f t="shared" si="1188"/>
        <v>06539000</v>
      </c>
      <c r="C5365" t="str">
        <f t="shared" si="1194"/>
        <v>06539003</v>
      </c>
      <c r="D5365" t="str">
        <f t="shared" si="1195"/>
        <v>813</v>
      </c>
      <c r="E5365" t="str">
        <f t="shared" si="1189"/>
        <v>89301171</v>
      </c>
      <c r="F5365" t="str">
        <f t="shared" si="1190"/>
        <v>9104034852</v>
      </c>
      <c r="G5365" s="1">
        <v>44706</v>
      </c>
      <c r="H5365" t="str">
        <f t="shared" si="1196"/>
        <v>91413</v>
      </c>
      <c r="I5365">
        <v>1</v>
      </c>
      <c r="J5365">
        <v>853</v>
      </c>
      <c r="K5365">
        <v>0</v>
      </c>
      <c r="L5365">
        <v>665.34</v>
      </c>
    </row>
    <row r="5366" spans="1:12" x14ac:dyDescent="0.25">
      <c r="A5366" t="str">
        <f t="shared" si="1185"/>
        <v>89301000</v>
      </c>
      <c r="B5366" t="str">
        <f t="shared" si="1188"/>
        <v>06539000</v>
      </c>
      <c r="C5366" t="str">
        <f t="shared" si="1194"/>
        <v>06539003</v>
      </c>
      <c r="D5366" t="str">
        <f t="shared" si="1195"/>
        <v>813</v>
      </c>
      <c r="E5366" t="str">
        <f t="shared" si="1189"/>
        <v>89301171</v>
      </c>
      <c r="F5366" t="str">
        <f t="shared" si="1190"/>
        <v>9104034852</v>
      </c>
      <c r="G5366" s="1">
        <v>44706</v>
      </c>
      <c r="H5366" t="str">
        <f t="shared" si="1196"/>
        <v>91413</v>
      </c>
      <c r="I5366">
        <v>1</v>
      </c>
      <c r="J5366">
        <v>853</v>
      </c>
      <c r="K5366">
        <v>0</v>
      </c>
      <c r="L5366">
        <v>665.34</v>
      </c>
    </row>
    <row r="5367" spans="1:12" x14ac:dyDescent="0.25">
      <c r="A5367" t="str">
        <f t="shared" si="1185"/>
        <v>89301000</v>
      </c>
      <c r="B5367" t="str">
        <f t="shared" si="1188"/>
        <v>06539000</v>
      </c>
      <c r="C5367" t="str">
        <f t="shared" si="1194"/>
        <v>06539003</v>
      </c>
      <c r="D5367" t="str">
        <f t="shared" si="1195"/>
        <v>813</v>
      </c>
      <c r="E5367" t="str">
        <f t="shared" si="1189"/>
        <v>89301171</v>
      </c>
      <c r="F5367" t="str">
        <f t="shared" si="1190"/>
        <v>9104034852</v>
      </c>
      <c r="G5367" s="1">
        <v>44705</v>
      </c>
      <c r="H5367" t="str">
        <f t="shared" si="1196"/>
        <v>91413</v>
      </c>
      <c r="I5367">
        <v>1</v>
      </c>
      <c r="J5367">
        <v>853</v>
      </c>
      <c r="K5367">
        <v>0</v>
      </c>
      <c r="L5367">
        <v>665.34</v>
      </c>
    </row>
    <row r="5368" spans="1:12" x14ac:dyDescent="0.25">
      <c r="A5368" t="str">
        <f t="shared" si="1185"/>
        <v>89301000</v>
      </c>
      <c r="B5368" t="str">
        <f t="shared" si="1188"/>
        <v>06539000</v>
      </c>
      <c r="C5368" t="str">
        <f t="shared" si="1194"/>
        <v>06539003</v>
      </c>
      <c r="D5368" t="str">
        <f t="shared" si="1195"/>
        <v>813</v>
      </c>
      <c r="E5368" t="str">
        <f t="shared" si="1189"/>
        <v>89301171</v>
      </c>
      <c r="F5368" t="str">
        <f t="shared" si="1190"/>
        <v>9104034852</v>
      </c>
      <c r="G5368" s="1">
        <v>44705</v>
      </c>
      <c r="H5368" t="str">
        <f t="shared" si="1196"/>
        <v>91413</v>
      </c>
      <c r="I5368">
        <v>1</v>
      </c>
      <c r="J5368">
        <v>853</v>
      </c>
      <c r="K5368">
        <v>0</v>
      </c>
      <c r="L5368">
        <v>665.34</v>
      </c>
    </row>
    <row r="5369" spans="1:12" x14ac:dyDescent="0.25">
      <c r="A5369" t="str">
        <f t="shared" si="1185"/>
        <v>89301000</v>
      </c>
      <c r="B5369" t="str">
        <f t="shared" si="1188"/>
        <v>06539000</v>
      </c>
      <c r="C5369" t="str">
        <f t="shared" si="1194"/>
        <v>06539003</v>
      </c>
      <c r="D5369" t="str">
        <f t="shared" si="1195"/>
        <v>813</v>
      </c>
      <c r="E5369" t="str">
        <f t="shared" si="1189"/>
        <v>89301171</v>
      </c>
      <c r="F5369" t="str">
        <f t="shared" si="1190"/>
        <v>9104034852</v>
      </c>
      <c r="G5369" s="1">
        <v>44705</v>
      </c>
      <c r="H5369" t="str">
        <f t="shared" si="1196"/>
        <v>91413</v>
      </c>
      <c r="I5369">
        <v>1</v>
      </c>
      <c r="J5369">
        <v>853</v>
      </c>
      <c r="K5369">
        <v>0</v>
      </c>
      <c r="L5369">
        <v>665.34</v>
      </c>
    </row>
    <row r="5370" spans="1:12" x14ac:dyDescent="0.25">
      <c r="A5370" t="str">
        <f t="shared" si="1185"/>
        <v>89301000</v>
      </c>
      <c r="B5370" t="str">
        <f t="shared" si="1188"/>
        <v>06539000</v>
      </c>
      <c r="C5370" t="str">
        <f t="shared" si="1194"/>
        <v>06539003</v>
      </c>
      <c r="D5370" t="str">
        <f t="shared" si="1195"/>
        <v>813</v>
      </c>
      <c r="E5370" t="str">
        <f t="shared" si="1189"/>
        <v>89301171</v>
      </c>
      <c r="F5370" t="str">
        <f t="shared" si="1190"/>
        <v>9104034852</v>
      </c>
      <c r="G5370" s="1">
        <v>44705</v>
      </c>
      <c r="H5370" t="str">
        <f t="shared" si="1196"/>
        <v>91413</v>
      </c>
      <c r="I5370">
        <v>1</v>
      </c>
      <c r="J5370">
        <v>853</v>
      </c>
      <c r="K5370">
        <v>0</v>
      </c>
      <c r="L5370">
        <v>665.34</v>
      </c>
    </row>
    <row r="5371" spans="1:12" x14ac:dyDescent="0.25">
      <c r="A5371" t="str">
        <f t="shared" si="1185"/>
        <v>89301000</v>
      </c>
      <c r="B5371" t="str">
        <f t="shared" si="1188"/>
        <v>06539000</v>
      </c>
      <c r="C5371" t="str">
        <f t="shared" si="1194"/>
        <v>06539003</v>
      </c>
      <c r="D5371" t="str">
        <f t="shared" si="1195"/>
        <v>813</v>
      </c>
      <c r="E5371" t="str">
        <f t="shared" si="1189"/>
        <v>89301171</v>
      </c>
      <c r="F5371" t="str">
        <f t="shared" si="1190"/>
        <v>9104034852</v>
      </c>
      <c r="G5371" s="1">
        <v>44694</v>
      </c>
      <c r="H5371" t="str">
        <f t="shared" ref="H5371:H5377" si="1197">"91197"</f>
        <v>91197</v>
      </c>
      <c r="I5371">
        <v>1</v>
      </c>
      <c r="J5371">
        <v>1046</v>
      </c>
      <c r="K5371">
        <v>0</v>
      </c>
      <c r="L5371">
        <v>815.88</v>
      </c>
    </row>
    <row r="5372" spans="1:12" x14ac:dyDescent="0.25">
      <c r="A5372" t="str">
        <f t="shared" si="1185"/>
        <v>89301000</v>
      </c>
      <c r="B5372" t="str">
        <f t="shared" si="1188"/>
        <v>06539000</v>
      </c>
      <c r="C5372" t="str">
        <f t="shared" si="1194"/>
        <v>06539003</v>
      </c>
      <c r="D5372" t="str">
        <f t="shared" si="1195"/>
        <v>813</v>
      </c>
      <c r="E5372" t="str">
        <f t="shared" si="1189"/>
        <v>89301171</v>
      </c>
      <c r="F5372" t="str">
        <f t="shared" si="1190"/>
        <v>9104034852</v>
      </c>
      <c r="G5372" s="1">
        <v>44697</v>
      </c>
      <c r="H5372" t="str">
        <f t="shared" si="1197"/>
        <v>91197</v>
      </c>
      <c r="I5372">
        <v>1</v>
      </c>
      <c r="J5372">
        <v>1046</v>
      </c>
      <c r="K5372">
        <v>0</v>
      </c>
      <c r="L5372">
        <v>815.88</v>
      </c>
    </row>
    <row r="5373" spans="1:12" x14ac:dyDescent="0.25">
      <c r="A5373" t="str">
        <f t="shared" si="1185"/>
        <v>89301000</v>
      </c>
      <c r="B5373" t="str">
        <f t="shared" si="1188"/>
        <v>06539000</v>
      </c>
      <c r="C5373" t="str">
        <f t="shared" si="1194"/>
        <v>06539003</v>
      </c>
      <c r="D5373" t="str">
        <f t="shared" si="1195"/>
        <v>813</v>
      </c>
      <c r="E5373" t="str">
        <f t="shared" si="1189"/>
        <v>89301171</v>
      </c>
      <c r="F5373" t="str">
        <f t="shared" si="1190"/>
        <v>9104034852</v>
      </c>
      <c r="G5373" s="1">
        <v>44697</v>
      </c>
      <c r="H5373" t="str">
        <f t="shared" si="1197"/>
        <v>91197</v>
      </c>
      <c r="I5373">
        <v>1</v>
      </c>
      <c r="J5373">
        <v>1046</v>
      </c>
      <c r="K5373">
        <v>0</v>
      </c>
      <c r="L5373">
        <v>815.88</v>
      </c>
    </row>
    <row r="5374" spans="1:12" x14ac:dyDescent="0.25">
      <c r="A5374" t="str">
        <f t="shared" si="1185"/>
        <v>89301000</v>
      </c>
      <c r="B5374" t="str">
        <f t="shared" si="1188"/>
        <v>06539000</v>
      </c>
      <c r="C5374" t="str">
        <f t="shared" si="1194"/>
        <v>06539003</v>
      </c>
      <c r="D5374" t="str">
        <f t="shared" si="1195"/>
        <v>813</v>
      </c>
      <c r="E5374" t="str">
        <f t="shared" si="1189"/>
        <v>89301171</v>
      </c>
      <c r="F5374" t="str">
        <f t="shared" si="1190"/>
        <v>9104034852</v>
      </c>
      <c r="G5374" s="1">
        <v>44696</v>
      </c>
      <c r="H5374" t="str">
        <f t="shared" si="1197"/>
        <v>91197</v>
      </c>
      <c r="I5374">
        <v>1</v>
      </c>
      <c r="J5374">
        <v>1046</v>
      </c>
      <c r="K5374">
        <v>0</v>
      </c>
      <c r="L5374">
        <v>815.88</v>
      </c>
    </row>
    <row r="5375" spans="1:12" x14ac:dyDescent="0.25">
      <c r="A5375" t="str">
        <f t="shared" si="1185"/>
        <v>89301000</v>
      </c>
      <c r="B5375" t="str">
        <f t="shared" si="1188"/>
        <v>06539000</v>
      </c>
      <c r="C5375" t="str">
        <f t="shared" si="1194"/>
        <v>06539003</v>
      </c>
      <c r="D5375" t="str">
        <f t="shared" si="1195"/>
        <v>813</v>
      </c>
      <c r="E5375" t="str">
        <f t="shared" si="1189"/>
        <v>89301171</v>
      </c>
      <c r="F5375" t="str">
        <f t="shared" si="1190"/>
        <v>9104034852</v>
      </c>
      <c r="G5375" s="1">
        <v>44696</v>
      </c>
      <c r="H5375" t="str">
        <f t="shared" si="1197"/>
        <v>91197</v>
      </c>
      <c r="I5375">
        <v>1</v>
      </c>
      <c r="J5375">
        <v>1046</v>
      </c>
      <c r="K5375">
        <v>0</v>
      </c>
      <c r="L5375">
        <v>815.88</v>
      </c>
    </row>
    <row r="5376" spans="1:12" x14ac:dyDescent="0.25">
      <c r="A5376" t="str">
        <f t="shared" si="1185"/>
        <v>89301000</v>
      </c>
      <c r="B5376" t="str">
        <f t="shared" si="1188"/>
        <v>06539000</v>
      </c>
      <c r="C5376" t="str">
        <f t="shared" si="1194"/>
        <v>06539003</v>
      </c>
      <c r="D5376" t="str">
        <f t="shared" si="1195"/>
        <v>813</v>
      </c>
      <c r="E5376" t="str">
        <f t="shared" si="1189"/>
        <v>89301171</v>
      </c>
      <c r="F5376" t="str">
        <f t="shared" si="1190"/>
        <v>9104034852</v>
      </c>
      <c r="G5376" s="1">
        <v>44695</v>
      </c>
      <c r="H5376" t="str">
        <f t="shared" si="1197"/>
        <v>91197</v>
      </c>
      <c r="I5376">
        <v>1</v>
      </c>
      <c r="J5376">
        <v>1046</v>
      </c>
      <c r="K5376">
        <v>0</v>
      </c>
      <c r="L5376">
        <v>815.88</v>
      </c>
    </row>
    <row r="5377" spans="1:12" x14ac:dyDescent="0.25">
      <c r="A5377" t="str">
        <f t="shared" si="1185"/>
        <v>89301000</v>
      </c>
      <c r="B5377" t="str">
        <f t="shared" si="1188"/>
        <v>06539000</v>
      </c>
      <c r="C5377" t="str">
        <f t="shared" si="1194"/>
        <v>06539003</v>
      </c>
      <c r="D5377" t="str">
        <f t="shared" si="1195"/>
        <v>813</v>
      </c>
      <c r="E5377" t="str">
        <f t="shared" si="1189"/>
        <v>89301171</v>
      </c>
      <c r="F5377" t="str">
        <f t="shared" si="1190"/>
        <v>9104034852</v>
      </c>
      <c r="G5377" s="1">
        <v>44695</v>
      </c>
      <c r="H5377" t="str">
        <f t="shared" si="1197"/>
        <v>91197</v>
      </c>
      <c r="I5377">
        <v>1</v>
      </c>
      <c r="J5377">
        <v>1046</v>
      </c>
      <c r="K5377">
        <v>0</v>
      </c>
      <c r="L5377">
        <v>815.88</v>
      </c>
    </row>
    <row r="5378" spans="1:12" x14ac:dyDescent="0.25">
      <c r="A5378" t="str">
        <f t="shared" ref="A5378:A5441" si="1198">"89301000"</f>
        <v>89301000</v>
      </c>
      <c r="B5378" t="str">
        <f t="shared" si="1188"/>
        <v>06539000</v>
      </c>
      <c r="C5378" t="str">
        <f t="shared" si="1194"/>
        <v>06539003</v>
      </c>
      <c r="D5378" t="str">
        <f t="shared" si="1195"/>
        <v>813</v>
      </c>
      <c r="E5378" t="str">
        <f t="shared" si="1189"/>
        <v>89301171</v>
      </c>
      <c r="F5378" t="str">
        <f t="shared" si="1190"/>
        <v>9104034852</v>
      </c>
      <c r="G5378" s="1">
        <v>44705</v>
      </c>
      <c r="H5378" t="str">
        <f>"91329"</f>
        <v>91329</v>
      </c>
      <c r="I5378">
        <v>2</v>
      </c>
      <c r="J5378">
        <v>428</v>
      </c>
      <c r="K5378">
        <v>0</v>
      </c>
      <c r="L5378">
        <v>333.84</v>
      </c>
    </row>
    <row r="5379" spans="1:12" x14ac:dyDescent="0.25">
      <c r="A5379" t="str">
        <f t="shared" si="1198"/>
        <v>89301000</v>
      </c>
      <c r="B5379" t="str">
        <f t="shared" si="1188"/>
        <v>06539000</v>
      </c>
      <c r="C5379" t="str">
        <f t="shared" si="1194"/>
        <v>06539003</v>
      </c>
      <c r="D5379" t="str">
        <f t="shared" si="1195"/>
        <v>813</v>
      </c>
      <c r="E5379" t="str">
        <f t="shared" si="1189"/>
        <v>89301171</v>
      </c>
      <c r="F5379" t="str">
        <f t="shared" si="1190"/>
        <v>9104034852</v>
      </c>
      <c r="G5379" s="1">
        <v>44705</v>
      </c>
      <c r="H5379" t="str">
        <f>"91329"</f>
        <v>91329</v>
      </c>
      <c r="I5379">
        <v>2</v>
      </c>
      <c r="J5379">
        <v>428</v>
      </c>
      <c r="K5379">
        <v>0</v>
      </c>
      <c r="L5379">
        <v>333.84</v>
      </c>
    </row>
    <row r="5380" spans="1:12" x14ac:dyDescent="0.25">
      <c r="A5380" t="str">
        <f t="shared" si="1198"/>
        <v>89301000</v>
      </c>
      <c r="B5380" t="str">
        <f t="shared" si="1188"/>
        <v>06539000</v>
      </c>
      <c r="C5380" t="str">
        <f t="shared" si="1194"/>
        <v>06539003</v>
      </c>
      <c r="D5380" t="str">
        <f t="shared" si="1195"/>
        <v>813</v>
      </c>
      <c r="E5380" t="str">
        <f t="shared" si="1189"/>
        <v>89301171</v>
      </c>
      <c r="F5380" t="str">
        <f t="shared" si="1190"/>
        <v>9104034852</v>
      </c>
      <c r="G5380" s="1">
        <v>44705</v>
      </c>
      <c r="H5380" t="str">
        <f>"91329"</f>
        <v>91329</v>
      </c>
      <c r="I5380">
        <v>2</v>
      </c>
      <c r="J5380">
        <v>428</v>
      </c>
      <c r="K5380">
        <v>0</v>
      </c>
      <c r="L5380">
        <v>333.84</v>
      </c>
    </row>
    <row r="5381" spans="1:12" x14ac:dyDescent="0.25">
      <c r="A5381" t="str">
        <f t="shared" si="1198"/>
        <v>89301000</v>
      </c>
      <c r="B5381" t="str">
        <f t="shared" si="1188"/>
        <v>06539000</v>
      </c>
      <c r="C5381" t="str">
        <f t="shared" si="1194"/>
        <v>06539003</v>
      </c>
      <c r="D5381" t="str">
        <f t="shared" si="1195"/>
        <v>813</v>
      </c>
      <c r="E5381" t="str">
        <f t="shared" si="1189"/>
        <v>89301171</v>
      </c>
      <c r="F5381" t="str">
        <f t="shared" si="1190"/>
        <v>9104034852</v>
      </c>
      <c r="G5381" s="1">
        <v>44705</v>
      </c>
      <c r="H5381" t="str">
        <f>"91329"</f>
        <v>91329</v>
      </c>
      <c r="I5381">
        <v>2</v>
      </c>
      <c r="J5381">
        <v>428</v>
      </c>
      <c r="K5381">
        <v>0</v>
      </c>
      <c r="L5381">
        <v>333.84</v>
      </c>
    </row>
    <row r="5382" spans="1:12" x14ac:dyDescent="0.25">
      <c r="A5382" t="str">
        <f t="shared" si="1198"/>
        <v>89301000</v>
      </c>
      <c r="B5382" t="str">
        <f t="shared" si="1188"/>
        <v>06539000</v>
      </c>
      <c r="C5382" t="str">
        <f t="shared" si="1194"/>
        <v>06539003</v>
      </c>
      <c r="D5382" t="str">
        <f t="shared" si="1195"/>
        <v>813</v>
      </c>
      <c r="E5382" t="str">
        <f t="shared" si="1189"/>
        <v>89301171</v>
      </c>
      <c r="F5382" t="str">
        <f t="shared" si="1190"/>
        <v>9104034852</v>
      </c>
      <c r="G5382" s="1">
        <v>44697</v>
      </c>
      <c r="H5382" t="str">
        <f>"91129"</f>
        <v>91129</v>
      </c>
      <c r="I5382">
        <v>1</v>
      </c>
      <c r="J5382">
        <v>174</v>
      </c>
      <c r="K5382">
        <v>0</v>
      </c>
      <c r="L5382">
        <v>135.72</v>
      </c>
    </row>
    <row r="5383" spans="1:12" x14ac:dyDescent="0.25">
      <c r="A5383" t="str">
        <f t="shared" si="1198"/>
        <v>89301000</v>
      </c>
      <c r="B5383" t="str">
        <f t="shared" si="1188"/>
        <v>06539000</v>
      </c>
      <c r="C5383" t="str">
        <f t="shared" si="1194"/>
        <v>06539003</v>
      </c>
      <c r="D5383" t="str">
        <f t="shared" si="1195"/>
        <v>813</v>
      </c>
      <c r="E5383" t="str">
        <f t="shared" si="1189"/>
        <v>89301171</v>
      </c>
      <c r="F5383" t="str">
        <f t="shared" si="1190"/>
        <v>9104034852</v>
      </c>
      <c r="G5383" s="1">
        <v>44697</v>
      </c>
      <c r="H5383" t="str">
        <f>"91131"</f>
        <v>91131</v>
      </c>
      <c r="I5383">
        <v>1</v>
      </c>
      <c r="J5383">
        <v>171</v>
      </c>
      <c r="K5383">
        <v>0</v>
      </c>
      <c r="L5383">
        <v>133.38</v>
      </c>
    </row>
    <row r="5384" spans="1:12" x14ac:dyDescent="0.25">
      <c r="A5384" t="str">
        <f t="shared" si="1198"/>
        <v>89301000</v>
      </c>
      <c r="B5384" t="str">
        <f t="shared" si="1188"/>
        <v>06539000</v>
      </c>
      <c r="C5384" t="str">
        <f t="shared" si="1194"/>
        <v>06539003</v>
      </c>
      <c r="D5384" t="str">
        <f t="shared" si="1195"/>
        <v>813</v>
      </c>
      <c r="E5384" t="str">
        <f t="shared" si="1189"/>
        <v>89301171</v>
      </c>
      <c r="F5384" t="str">
        <f t="shared" si="1190"/>
        <v>9104034852</v>
      </c>
      <c r="G5384" s="1">
        <v>44697</v>
      </c>
      <c r="H5384" t="str">
        <f>"91133"</f>
        <v>91133</v>
      </c>
      <c r="I5384">
        <v>1</v>
      </c>
      <c r="J5384">
        <v>176</v>
      </c>
      <c r="K5384">
        <v>0</v>
      </c>
      <c r="L5384">
        <v>137.28</v>
      </c>
    </row>
    <row r="5385" spans="1:12" x14ac:dyDescent="0.25">
      <c r="A5385" t="str">
        <f t="shared" si="1198"/>
        <v>89301000</v>
      </c>
      <c r="B5385" t="str">
        <f t="shared" si="1188"/>
        <v>06539000</v>
      </c>
      <c r="C5385" t="str">
        <f t="shared" si="1194"/>
        <v>06539003</v>
      </c>
      <c r="D5385" t="str">
        <f t="shared" si="1195"/>
        <v>813</v>
      </c>
      <c r="E5385" t="str">
        <f t="shared" si="1189"/>
        <v>89301171</v>
      </c>
      <c r="F5385" t="str">
        <f t="shared" si="1190"/>
        <v>9104034852</v>
      </c>
      <c r="G5385" s="1">
        <v>44697</v>
      </c>
      <c r="H5385" t="str">
        <f>"91171"</f>
        <v>91171</v>
      </c>
      <c r="I5385">
        <v>1</v>
      </c>
      <c r="J5385">
        <v>360</v>
      </c>
      <c r="K5385">
        <v>0</v>
      </c>
      <c r="L5385">
        <v>280.8</v>
      </c>
    </row>
    <row r="5386" spans="1:12" x14ac:dyDescent="0.25">
      <c r="A5386" t="str">
        <f t="shared" si="1198"/>
        <v>89301000</v>
      </c>
      <c r="B5386" t="str">
        <f t="shared" si="1188"/>
        <v>06539000</v>
      </c>
      <c r="C5386" t="str">
        <f t="shared" si="1194"/>
        <v>06539003</v>
      </c>
      <c r="D5386" t="str">
        <f t="shared" si="1195"/>
        <v>813</v>
      </c>
      <c r="E5386" t="str">
        <f t="shared" si="1189"/>
        <v>89301171</v>
      </c>
      <c r="F5386" t="str">
        <f t="shared" si="1190"/>
        <v>9104034852</v>
      </c>
      <c r="G5386" s="1">
        <v>44694</v>
      </c>
      <c r="H5386" t="str">
        <f>"91173"</f>
        <v>91173</v>
      </c>
      <c r="I5386">
        <v>1</v>
      </c>
      <c r="J5386">
        <v>335</v>
      </c>
      <c r="K5386">
        <v>0</v>
      </c>
      <c r="L5386">
        <v>261.3</v>
      </c>
    </row>
    <row r="5387" spans="1:12" x14ac:dyDescent="0.25">
      <c r="A5387" t="str">
        <f t="shared" si="1198"/>
        <v>89301000</v>
      </c>
      <c r="B5387" t="str">
        <f t="shared" si="1188"/>
        <v>06539000</v>
      </c>
      <c r="C5387" t="str">
        <f t="shared" si="1194"/>
        <v>06539003</v>
      </c>
      <c r="D5387" t="str">
        <f t="shared" si="1195"/>
        <v>813</v>
      </c>
      <c r="E5387" t="str">
        <f t="shared" si="1189"/>
        <v>89301171</v>
      </c>
      <c r="F5387" t="str">
        <f t="shared" si="1190"/>
        <v>9104034852</v>
      </c>
      <c r="G5387" s="1">
        <v>44697</v>
      </c>
      <c r="H5387" t="str">
        <f>"91175"</f>
        <v>91175</v>
      </c>
      <c r="I5387">
        <v>1</v>
      </c>
      <c r="J5387">
        <v>360</v>
      </c>
      <c r="K5387">
        <v>0</v>
      </c>
      <c r="L5387">
        <v>280.8</v>
      </c>
    </row>
    <row r="5388" spans="1:12" x14ac:dyDescent="0.25">
      <c r="A5388" t="str">
        <f t="shared" si="1198"/>
        <v>89301000</v>
      </c>
      <c r="B5388" t="str">
        <f t="shared" si="1188"/>
        <v>06539000</v>
      </c>
      <c r="C5388" t="str">
        <f t="shared" si="1194"/>
        <v>06539003</v>
      </c>
      <c r="D5388" t="str">
        <f t="shared" si="1195"/>
        <v>813</v>
      </c>
      <c r="E5388" t="str">
        <f t="shared" si="1189"/>
        <v>89301171</v>
      </c>
      <c r="F5388" t="str">
        <f t="shared" si="1190"/>
        <v>9104034852</v>
      </c>
      <c r="G5388" s="1">
        <v>44695</v>
      </c>
      <c r="H5388" t="str">
        <f>"91167"</f>
        <v>91167</v>
      </c>
      <c r="I5388">
        <v>1</v>
      </c>
      <c r="J5388">
        <v>425</v>
      </c>
      <c r="K5388">
        <v>0</v>
      </c>
      <c r="L5388">
        <v>331.5</v>
      </c>
    </row>
    <row r="5389" spans="1:12" x14ac:dyDescent="0.25">
      <c r="A5389" t="str">
        <f t="shared" si="1198"/>
        <v>89301000</v>
      </c>
      <c r="B5389" t="str">
        <f t="shared" si="1188"/>
        <v>06539000</v>
      </c>
      <c r="C5389" t="str">
        <f t="shared" si="1194"/>
        <v>06539003</v>
      </c>
      <c r="D5389" t="str">
        <f t="shared" si="1195"/>
        <v>813</v>
      </c>
      <c r="E5389" t="str">
        <f t="shared" si="1189"/>
        <v>89301171</v>
      </c>
      <c r="F5389" t="str">
        <f t="shared" si="1190"/>
        <v>9104034852</v>
      </c>
      <c r="G5389" s="1">
        <v>44695</v>
      </c>
      <c r="H5389" t="str">
        <f>"91169"</f>
        <v>91169</v>
      </c>
      <c r="I5389">
        <v>1</v>
      </c>
      <c r="J5389">
        <v>425</v>
      </c>
      <c r="K5389">
        <v>0</v>
      </c>
      <c r="L5389">
        <v>331.5</v>
      </c>
    </row>
    <row r="5390" spans="1:12" x14ac:dyDescent="0.25">
      <c r="A5390" t="str">
        <f t="shared" si="1198"/>
        <v>89301000</v>
      </c>
      <c r="B5390" t="str">
        <f t="shared" si="1188"/>
        <v>06539000</v>
      </c>
      <c r="C5390" t="str">
        <f t="shared" si="1194"/>
        <v>06539003</v>
      </c>
      <c r="D5390" t="str">
        <f t="shared" si="1195"/>
        <v>813</v>
      </c>
      <c r="E5390" t="str">
        <f t="shared" si="1189"/>
        <v>89301171</v>
      </c>
      <c r="F5390" t="str">
        <f t="shared" si="1190"/>
        <v>9104034852</v>
      </c>
      <c r="G5390" s="1">
        <v>44694</v>
      </c>
      <c r="H5390" t="str">
        <f>"91167"</f>
        <v>91167</v>
      </c>
      <c r="I5390">
        <v>1</v>
      </c>
      <c r="J5390">
        <v>425</v>
      </c>
      <c r="K5390">
        <v>0</v>
      </c>
      <c r="L5390">
        <v>331.5</v>
      </c>
    </row>
    <row r="5391" spans="1:12" x14ac:dyDescent="0.25">
      <c r="A5391" t="str">
        <f t="shared" si="1198"/>
        <v>89301000</v>
      </c>
      <c r="B5391" t="str">
        <f t="shared" si="1188"/>
        <v>06539000</v>
      </c>
      <c r="C5391" t="str">
        <f t="shared" si="1194"/>
        <v>06539003</v>
      </c>
      <c r="D5391" t="str">
        <f t="shared" si="1195"/>
        <v>813</v>
      </c>
      <c r="E5391" t="str">
        <f t="shared" si="1189"/>
        <v>89301171</v>
      </c>
      <c r="F5391" t="str">
        <f t="shared" si="1190"/>
        <v>9104034852</v>
      </c>
      <c r="G5391" s="1">
        <v>44694</v>
      </c>
      <c r="H5391" t="str">
        <f>"91169"</f>
        <v>91169</v>
      </c>
      <c r="I5391">
        <v>1</v>
      </c>
      <c r="J5391">
        <v>425</v>
      </c>
      <c r="K5391">
        <v>0</v>
      </c>
      <c r="L5391">
        <v>331.5</v>
      </c>
    </row>
    <row r="5392" spans="1:12" x14ac:dyDescent="0.25">
      <c r="A5392" t="str">
        <f t="shared" si="1198"/>
        <v>89301000</v>
      </c>
      <c r="B5392" t="str">
        <f t="shared" si="1188"/>
        <v>06539000</v>
      </c>
      <c r="C5392" t="str">
        <f t="shared" si="1194"/>
        <v>06539003</v>
      </c>
      <c r="D5392" t="str">
        <f t="shared" si="1195"/>
        <v>813</v>
      </c>
      <c r="E5392" t="str">
        <f t="shared" si="1189"/>
        <v>89301171</v>
      </c>
      <c r="F5392" t="str">
        <f t="shared" si="1190"/>
        <v>9104034852</v>
      </c>
      <c r="G5392" s="1">
        <v>44694</v>
      </c>
      <c r="H5392" t="str">
        <f>"91475"</f>
        <v>91475</v>
      </c>
      <c r="I5392">
        <v>1</v>
      </c>
      <c r="J5392">
        <v>206</v>
      </c>
      <c r="K5392">
        <v>0</v>
      </c>
      <c r="L5392">
        <v>160.68</v>
      </c>
    </row>
    <row r="5393" spans="1:12" x14ac:dyDescent="0.25">
      <c r="A5393" t="str">
        <f t="shared" si="1198"/>
        <v>89301000</v>
      </c>
      <c r="B5393" t="str">
        <f t="shared" si="1188"/>
        <v>06539000</v>
      </c>
      <c r="C5393" t="str">
        <f>"06539001"</f>
        <v>06539001</v>
      </c>
      <c r="D5393" t="str">
        <f>"801"</f>
        <v>801</v>
      </c>
      <c r="E5393" t="str">
        <f t="shared" si="1189"/>
        <v>89301171</v>
      </c>
      <c r="F5393" t="str">
        <f t="shared" ref="F5393:F5439" si="1199">"8808184726"</f>
        <v>8808184726</v>
      </c>
      <c r="G5393" s="1">
        <v>44694</v>
      </c>
      <c r="H5393" t="str">
        <f>"81329"</f>
        <v>81329</v>
      </c>
      <c r="I5393">
        <v>1</v>
      </c>
      <c r="J5393">
        <v>16</v>
      </c>
      <c r="K5393">
        <v>0</v>
      </c>
      <c r="L5393">
        <v>12.48</v>
      </c>
    </row>
    <row r="5394" spans="1:12" x14ac:dyDescent="0.25">
      <c r="A5394" t="str">
        <f t="shared" si="1198"/>
        <v>89301000</v>
      </c>
      <c r="B5394" t="str">
        <f t="shared" si="1188"/>
        <v>06539000</v>
      </c>
      <c r="C5394" t="str">
        <f>"06539001"</f>
        <v>06539001</v>
      </c>
      <c r="D5394" t="str">
        <f>"801"</f>
        <v>801</v>
      </c>
      <c r="E5394" t="str">
        <f t="shared" si="1189"/>
        <v>89301171</v>
      </c>
      <c r="F5394" t="str">
        <f t="shared" si="1199"/>
        <v>8808184726</v>
      </c>
      <c r="G5394" s="1">
        <v>44694</v>
      </c>
      <c r="H5394" t="str">
        <f>"81331"</f>
        <v>81331</v>
      </c>
      <c r="I5394">
        <v>1</v>
      </c>
      <c r="J5394">
        <v>193</v>
      </c>
      <c r="K5394">
        <v>0</v>
      </c>
      <c r="L5394">
        <v>150.54</v>
      </c>
    </row>
    <row r="5395" spans="1:12" x14ac:dyDescent="0.25">
      <c r="A5395" t="str">
        <f t="shared" si="1198"/>
        <v>89301000</v>
      </c>
      <c r="B5395" t="str">
        <f t="shared" si="1188"/>
        <v>06539000</v>
      </c>
      <c r="C5395" t="str">
        <f t="shared" ref="C5395:C5402" si="1200">"06539002"</f>
        <v>06539002</v>
      </c>
      <c r="D5395" t="str">
        <f t="shared" ref="D5395:D5402" si="1201">"802"</f>
        <v>802</v>
      </c>
      <c r="E5395" t="str">
        <f t="shared" si="1189"/>
        <v>89301171</v>
      </c>
      <c r="F5395" t="str">
        <f t="shared" si="1199"/>
        <v>8808184726</v>
      </c>
      <c r="G5395" s="1">
        <v>44694</v>
      </c>
      <c r="H5395" t="str">
        <f t="shared" ref="H5395:H5402" si="1202">"82097"</f>
        <v>82097</v>
      </c>
      <c r="I5395">
        <v>1</v>
      </c>
      <c r="J5395">
        <v>380</v>
      </c>
      <c r="K5395">
        <v>0</v>
      </c>
      <c r="L5395">
        <v>345.8</v>
      </c>
    </row>
    <row r="5396" spans="1:12" x14ac:dyDescent="0.25">
      <c r="A5396" t="str">
        <f t="shared" si="1198"/>
        <v>89301000</v>
      </c>
      <c r="B5396" t="str">
        <f t="shared" si="1188"/>
        <v>06539000</v>
      </c>
      <c r="C5396" t="str">
        <f t="shared" si="1200"/>
        <v>06539002</v>
      </c>
      <c r="D5396" t="str">
        <f t="shared" si="1201"/>
        <v>802</v>
      </c>
      <c r="E5396" t="str">
        <f t="shared" si="1189"/>
        <v>89301171</v>
      </c>
      <c r="F5396" t="str">
        <f t="shared" si="1199"/>
        <v>8808184726</v>
      </c>
      <c r="G5396" s="1">
        <v>44694</v>
      </c>
      <c r="H5396" t="str">
        <f t="shared" si="1202"/>
        <v>82097</v>
      </c>
      <c r="I5396">
        <v>1</v>
      </c>
      <c r="J5396">
        <v>380</v>
      </c>
      <c r="K5396">
        <v>0</v>
      </c>
      <c r="L5396">
        <v>345.8</v>
      </c>
    </row>
    <row r="5397" spans="1:12" x14ac:dyDescent="0.25">
      <c r="A5397" t="str">
        <f t="shared" si="1198"/>
        <v>89301000</v>
      </c>
      <c r="B5397" t="str">
        <f t="shared" si="1188"/>
        <v>06539000</v>
      </c>
      <c r="C5397" t="str">
        <f t="shared" si="1200"/>
        <v>06539002</v>
      </c>
      <c r="D5397" t="str">
        <f t="shared" si="1201"/>
        <v>802</v>
      </c>
      <c r="E5397" t="str">
        <f t="shared" si="1189"/>
        <v>89301171</v>
      </c>
      <c r="F5397" t="str">
        <f t="shared" si="1199"/>
        <v>8808184726</v>
      </c>
      <c r="G5397" s="1">
        <v>44694</v>
      </c>
      <c r="H5397" t="str">
        <f t="shared" si="1202"/>
        <v>82097</v>
      </c>
      <c r="I5397">
        <v>1</v>
      </c>
      <c r="J5397">
        <v>380</v>
      </c>
      <c r="K5397">
        <v>0</v>
      </c>
      <c r="L5397">
        <v>345.8</v>
      </c>
    </row>
    <row r="5398" spans="1:12" x14ac:dyDescent="0.25">
      <c r="A5398" t="str">
        <f t="shared" si="1198"/>
        <v>89301000</v>
      </c>
      <c r="B5398" t="str">
        <f t="shared" si="1188"/>
        <v>06539000</v>
      </c>
      <c r="C5398" t="str">
        <f t="shared" si="1200"/>
        <v>06539002</v>
      </c>
      <c r="D5398" t="str">
        <f t="shared" si="1201"/>
        <v>802</v>
      </c>
      <c r="E5398" t="str">
        <f t="shared" si="1189"/>
        <v>89301171</v>
      </c>
      <c r="F5398" t="str">
        <f t="shared" si="1199"/>
        <v>8808184726</v>
      </c>
      <c r="G5398" s="1">
        <v>44694</v>
      </c>
      <c r="H5398" t="str">
        <f t="shared" si="1202"/>
        <v>82097</v>
      </c>
      <c r="I5398">
        <v>1</v>
      </c>
      <c r="J5398">
        <v>380</v>
      </c>
      <c r="K5398">
        <v>0</v>
      </c>
      <c r="L5398">
        <v>345.8</v>
      </c>
    </row>
    <row r="5399" spans="1:12" x14ac:dyDescent="0.25">
      <c r="A5399" t="str">
        <f t="shared" si="1198"/>
        <v>89301000</v>
      </c>
      <c r="B5399" t="str">
        <f t="shared" si="1188"/>
        <v>06539000</v>
      </c>
      <c r="C5399" t="str">
        <f t="shared" si="1200"/>
        <v>06539002</v>
      </c>
      <c r="D5399" t="str">
        <f t="shared" si="1201"/>
        <v>802</v>
      </c>
      <c r="E5399" t="str">
        <f t="shared" si="1189"/>
        <v>89301171</v>
      </c>
      <c r="F5399" t="str">
        <f t="shared" si="1199"/>
        <v>8808184726</v>
      </c>
      <c r="G5399" s="1">
        <v>44694</v>
      </c>
      <c r="H5399" t="str">
        <f t="shared" si="1202"/>
        <v>82097</v>
      </c>
      <c r="I5399">
        <v>1</v>
      </c>
      <c r="J5399">
        <v>380</v>
      </c>
      <c r="K5399">
        <v>0</v>
      </c>
      <c r="L5399">
        <v>345.8</v>
      </c>
    </row>
    <row r="5400" spans="1:12" x14ac:dyDescent="0.25">
      <c r="A5400" t="str">
        <f t="shared" si="1198"/>
        <v>89301000</v>
      </c>
      <c r="B5400" t="str">
        <f t="shared" si="1188"/>
        <v>06539000</v>
      </c>
      <c r="C5400" t="str">
        <f t="shared" si="1200"/>
        <v>06539002</v>
      </c>
      <c r="D5400" t="str">
        <f t="shared" si="1201"/>
        <v>802</v>
      </c>
      <c r="E5400" t="str">
        <f t="shared" si="1189"/>
        <v>89301171</v>
      </c>
      <c r="F5400" t="str">
        <f t="shared" si="1199"/>
        <v>8808184726</v>
      </c>
      <c r="G5400" s="1">
        <v>44694</v>
      </c>
      <c r="H5400" t="str">
        <f t="shared" si="1202"/>
        <v>82097</v>
      </c>
      <c r="I5400">
        <v>1</v>
      </c>
      <c r="J5400">
        <v>380</v>
      </c>
      <c r="K5400">
        <v>0</v>
      </c>
      <c r="L5400">
        <v>345.8</v>
      </c>
    </row>
    <row r="5401" spans="1:12" x14ac:dyDescent="0.25">
      <c r="A5401" t="str">
        <f t="shared" si="1198"/>
        <v>89301000</v>
      </c>
      <c r="B5401" t="str">
        <f t="shared" si="1188"/>
        <v>06539000</v>
      </c>
      <c r="C5401" t="str">
        <f t="shared" si="1200"/>
        <v>06539002</v>
      </c>
      <c r="D5401" t="str">
        <f t="shared" si="1201"/>
        <v>802</v>
      </c>
      <c r="E5401" t="str">
        <f t="shared" si="1189"/>
        <v>89301171</v>
      </c>
      <c r="F5401" t="str">
        <f t="shared" si="1199"/>
        <v>8808184726</v>
      </c>
      <c r="G5401" s="1">
        <v>44694</v>
      </c>
      <c r="H5401" t="str">
        <f t="shared" si="1202"/>
        <v>82097</v>
      </c>
      <c r="I5401">
        <v>1</v>
      </c>
      <c r="J5401">
        <v>380</v>
      </c>
      <c r="K5401">
        <v>0</v>
      </c>
      <c r="L5401">
        <v>345.8</v>
      </c>
    </row>
    <row r="5402" spans="1:12" x14ac:dyDescent="0.25">
      <c r="A5402" t="str">
        <f t="shared" si="1198"/>
        <v>89301000</v>
      </c>
      <c r="B5402" t="str">
        <f t="shared" si="1188"/>
        <v>06539000</v>
      </c>
      <c r="C5402" t="str">
        <f t="shared" si="1200"/>
        <v>06539002</v>
      </c>
      <c r="D5402" t="str">
        <f t="shared" si="1201"/>
        <v>802</v>
      </c>
      <c r="E5402" t="str">
        <f t="shared" si="1189"/>
        <v>89301171</v>
      </c>
      <c r="F5402" t="str">
        <f t="shared" si="1199"/>
        <v>8808184726</v>
      </c>
      <c r="G5402" s="1">
        <v>44694</v>
      </c>
      <c r="H5402" t="str">
        <f t="shared" si="1202"/>
        <v>82097</v>
      </c>
      <c r="I5402">
        <v>1</v>
      </c>
      <c r="J5402">
        <v>380</v>
      </c>
      <c r="K5402">
        <v>0</v>
      </c>
      <c r="L5402">
        <v>345.8</v>
      </c>
    </row>
    <row r="5403" spans="1:12" x14ac:dyDescent="0.25">
      <c r="A5403" t="str">
        <f t="shared" si="1198"/>
        <v>89301000</v>
      </c>
      <c r="B5403" t="str">
        <f t="shared" si="1188"/>
        <v>06539000</v>
      </c>
      <c r="C5403" t="str">
        <f t="shared" ref="C5403:C5449" si="1203">"06539003"</f>
        <v>06539003</v>
      </c>
      <c r="D5403" t="str">
        <f t="shared" ref="D5403:D5449" si="1204">"813"</f>
        <v>813</v>
      </c>
      <c r="E5403" t="str">
        <f t="shared" si="1189"/>
        <v>89301171</v>
      </c>
      <c r="F5403" t="str">
        <f t="shared" si="1199"/>
        <v>8808184726</v>
      </c>
      <c r="G5403" s="1">
        <v>44698</v>
      </c>
      <c r="H5403" t="str">
        <f>"91439"</f>
        <v>91439</v>
      </c>
      <c r="I5403">
        <v>2</v>
      </c>
      <c r="J5403">
        <v>712</v>
      </c>
      <c r="K5403">
        <v>0</v>
      </c>
      <c r="L5403">
        <v>555.36</v>
      </c>
    </row>
    <row r="5404" spans="1:12" x14ac:dyDescent="0.25">
      <c r="A5404" t="str">
        <f t="shared" si="1198"/>
        <v>89301000</v>
      </c>
      <c r="B5404" t="str">
        <f t="shared" ref="B5404:B5449" si="1205">"06539000"</f>
        <v>06539000</v>
      </c>
      <c r="C5404" t="str">
        <f t="shared" si="1203"/>
        <v>06539003</v>
      </c>
      <c r="D5404" t="str">
        <f t="shared" si="1204"/>
        <v>813</v>
      </c>
      <c r="E5404" t="str">
        <f t="shared" si="1189"/>
        <v>89301171</v>
      </c>
      <c r="F5404" t="str">
        <f t="shared" si="1199"/>
        <v>8808184726</v>
      </c>
      <c r="G5404" s="1">
        <v>44698</v>
      </c>
      <c r="H5404" t="str">
        <f>"91439"</f>
        <v>91439</v>
      </c>
      <c r="I5404">
        <v>1</v>
      </c>
      <c r="J5404">
        <v>356</v>
      </c>
      <c r="K5404">
        <v>0</v>
      </c>
      <c r="L5404">
        <v>277.68</v>
      </c>
    </row>
    <row r="5405" spans="1:12" x14ac:dyDescent="0.25">
      <c r="A5405" t="str">
        <f t="shared" si="1198"/>
        <v>89301000</v>
      </c>
      <c r="B5405" t="str">
        <f t="shared" si="1205"/>
        <v>06539000</v>
      </c>
      <c r="C5405" t="str">
        <f t="shared" si="1203"/>
        <v>06539003</v>
      </c>
      <c r="D5405" t="str">
        <f t="shared" si="1204"/>
        <v>813</v>
      </c>
      <c r="E5405" t="str">
        <f t="shared" si="1189"/>
        <v>89301171</v>
      </c>
      <c r="F5405" t="str">
        <f t="shared" si="1199"/>
        <v>8808184726</v>
      </c>
      <c r="G5405" s="1">
        <v>44698</v>
      </c>
      <c r="H5405" t="str">
        <f>"91439"</f>
        <v>91439</v>
      </c>
      <c r="I5405">
        <v>1</v>
      </c>
      <c r="J5405">
        <v>356</v>
      </c>
      <c r="K5405">
        <v>0</v>
      </c>
      <c r="L5405">
        <v>277.68</v>
      </c>
    </row>
    <row r="5406" spans="1:12" x14ac:dyDescent="0.25">
      <c r="A5406" t="str">
        <f t="shared" si="1198"/>
        <v>89301000</v>
      </c>
      <c r="B5406" t="str">
        <f t="shared" si="1205"/>
        <v>06539000</v>
      </c>
      <c r="C5406" t="str">
        <f t="shared" si="1203"/>
        <v>06539003</v>
      </c>
      <c r="D5406" t="str">
        <f t="shared" si="1204"/>
        <v>813</v>
      </c>
      <c r="E5406" t="str">
        <f t="shared" si="1189"/>
        <v>89301171</v>
      </c>
      <c r="F5406" t="str">
        <f t="shared" si="1199"/>
        <v>8808184726</v>
      </c>
      <c r="G5406" s="1">
        <v>44698</v>
      </c>
      <c r="H5406" t="str">
        <f>"91439"</f>
        <v>91439</v>
      </c>
      <c r="I5406">
        <v>1</v>
      </c>
      <c r="J5406">
        <v>356</v>
      </c>
      <c r="K5406">
        <v>0</v>
      </c>
      <c r="L5406">
        <v>277.68</v>
      </c>
    </row>
    <row r="5407" spans="1:12" x14ac:dyDescent="0.25">
      <c r="A5407" t="str">
        <f t="shared" si="1198"/>
        <v>89301000</v>
      </c>
      <c r="B5407" t="str">
        <f t="shared" si="1205"/>
        <v>06539000</v>
      </c>
      <c r="C5407" t="str">
        <f t="shared" si="1203"/>
        <v>06539003</v>
      </c>
      <c r="D5407" t="str">
        <f t="shared" si="1204"/>
        <v>813</v>
      </c>
      <c r="E5407" t="str">
        <f t="shared" si="1189"/>
        <v>89301171</v>
      </c>
      <c r="F5407" t="str">
        <f t="shared" si="1199"/>
        <v>8808184726</v>
      </c>
      <c r="G5407" s="1">
        <v>44698</v>
      </c>
      <c r="H5407" t="str">
        <f>"91439"</f>
        <v>91439</v>
      </c>
      <c r="I5407">
        <v>1</v>
      </c>
      <c r="J5407">
        <v>356</v>
      </c>
      <c r="K5407">
        <v>0</v>
      </c>
      <c r="L5407">
        <v>277.68</v>
      </c>
    </row>
    <row r="5408" spans="1:12" x14ac:dyDescent="0.25">
      <c r="A5408" t="str">
        <f t="shared" si="1198"/>
        <v>89301000</v>
      </c>
      <c r="B5408" t="str">
        <f t="shared" si="1205"/>
        <v>06539000</v>
      </c>
      <c r="C5408" t="str">
        <f t="shared" si="1203"/>
        <v>06539003</v>
      </c>
      <c r="D5408" t="str">
        <f t="shared" si="1204"/>
        <v>813</v>
      </c>
      <c r="E5408" t="str">
        <f t="shared" si="1189"/>
        <v>89301171</v>
      </c>
      <c r="F5408" t="str">
        <f t="shared" si="1199"/>
        <v>8808184726</v>
      </c>
      <c r="G5408" s="1">
        <v>44699</v>
      </c>
      <c r="H5408" t="str">
        <f t="shared" ref="H5408:H5417" si="1206">"91413"</f>
        <v>91413</v>
      </c>
      <c r="I5408">
        <v>1</v>
      </c>
      <c r="J5408">
        <v>853</v>
      </c>
      <c r="K5408">
        <v>0</v>
      </c>
      <c r="L5408">
        <v>665.34</v>
      </c>
    </row>
    <row r="5409" spans="1:12" x14ac:dyDescent="0.25">
      <c r="A5409" t="str">
        <f t="shared" si="1198"/>
        <v>89301000</v>
      </c>
      <c r="B5409" t="str">
        <f t="shared" si="1205"/>
        <v>06539000</v>
      </c>
      <c r="C5409" t="str">
        <f t="shared" si="1203"/>
        <v>06539003</v>
      </c>
      <c r="D5409" t="str">
        <f t="shared" si="1204"/>
        <v>813</v>
      </c>
      <c r="E5409" t="str">
        <f t="shared" ref="E5409:E5439" si="1207">"89301171"</f>
        <v>89301171</v>
      </c>
      <c r="F5409" t="str">
        <f t="shared" si="1199"/>
        <v>8808184726</v>
      </c>
      <c r="G5409" s="1">
        <v>44699</v>
      </c>
      <c r="H5409" t="str">
        <f t="shared" si="1206"/>
        <v>91413</v>
      </c>
      <c r="I5409">
        <v>1</v>
      </c>
      <c r="J5409">
        <v>853</v>
      </c>
      <c r="K5409">
        <v>0</v>
      </c>
      <c r="L5409">
        <v>665.34</v>
      </c>
    </row>
    <row r="5410" spans="1:12" x14ac:dyDescent="0.25">
      <c r="A5410" t="str">
        <f t="shared" si="1198"/>
        <v>89301000</v>
      </c>
      <c r="B5410" t="str">
        <f t="shared" si="1205"/>
        <v>06539000</v>
      </c>
      <c r="C5410" t="str">
        <f t="shared" si="1203"/>
        <v>06539003</v>
      </c>
      <c r="D5410" t="str">
        <f t="shared" si="1204"/>
        <v>813</v>
      </c>
      <c r="E5410" t="str">
        <f t="shared" si="1207"/>
        <v>89301171</v>
      </c>
      <c r="F5410" t="str">
        <f t="shared" si="1199"/>
        <v>8808184726</v>
      </c>
      <c r="G5410" s="1">
        <v>44706</v>
      </c>
      <c r="H5410" t="str">
        <f t="shared" si="1206"/>
        <v>91413</v>
      </c>
      <c r="I5410">
        <v>1</v>
      </c>
      <c r="J5410">
        <v>853</v>
      </c>
      <c r="K5410">
        <v>0</v>
      </c>
      <c r="L5410">
        <v>665.34</v>
      </c>
    </row>
    <row r="5411" spans="1:12" x14ac:dyDescent="0.25">
      <c r="A5411" t="str">
        <f t="shared" si="1198"/>
        <v>89301000</v>
      </c>
      <c r="B5411" t="str">
        <f t="shared" si="1205"/>
        <v>06539000</v>
      </c>
      <c r="C5411" t="str">
        <f t="shared" si="1203"/>
        <v>06539003</v>
      </c>
      <c r="D5411" t="str">
        <f t="shared" si="1204"/>
        <v>813</v>
      </c>
      <c r="E5411" t="str">
        <f t="shared" si="1207"/>
        <v>89301171</v>
      </c>
      <c r="F5411" t="str">
        <f t="shared" si="1199"/>
        <v>8808184726</v>
      </c>
      <c r="G5411" s="1">
        <v>44706</v>
      </c>
      <c r="H5411" t="str">
        <f t="shared" si="1206"/>
        <v>91413</v>
      </c>
      <c r="I5411">
        <v>1</v>
      </c>
      <c r="J5411">
        <v>853</v>
      </c>
      <c r="K5411">
        <v>0</v>
      </c>
      <c r="L5411">
        <v>665.34</v>
      </c>
    </row>
    <row r="5412" spans="1:12" x14ac:dyDescent="0.25">
      <c r="A5412" t="str">
        <f t="shared" si="1198"/>
        <v>89301000</v>
      </c>
      <c r="B5412" t="str">
        <f t="shared" si="1205"/>
        <v>06539000</v>
      </c>
      <c r="C5412" t="str">
        <f t="shared" si="1203"/>
        <v>06539003</v>
      </c>
      <c r="D5412" t="str">
        <f t="shared" si="1204"/>
        <v>813</v>
      </c>
      <c r="E5412" t="str">
        <f t="shared" si="1207"/>
        <v>89301171</v>
      </c>
      <c r="F5412" t="str">
        <f t="shared" si="1199"/>
        <v>8808184726</v>
      </c>
      <c r="G5412" s="1">
        <v>44706</v>
      </c>
      <c r="H5412" t="str">
        <f t="shared" si="1206"/>
        <v>91413</v>
      </c>
      <c r="I5412">
        <v>1</v>
      </c>
      <c r="J5412">
        <v>853</v>
      </c>
      <c r="K5412">
        <v>0</v>
      </c>
      <c r="L5412">
        <v>665.34</v>
      </c>
    </row>
    <row r="5413" spans="1:12" x14ac:dyDescent="0.25">
      <c r="A5413" t="str">
        <f t="shared" si="1198"/>
        <v>89301000</v>
      </c>
      <c r="B5413" t="str">
        <f t="shared" si="1205"/>
        <v>06539000</v>
      </c>
      <c r="C5413" t="str">
        <f t="shared" si="1203"/>
        <v>06539003</v>
      </c>
      <c r="D5413" t="str">
        <f t="shared" si="1204"/>
        <v>813</v>
      </c>
      <c r="E5413" t="str">
        <f t="shared" si="1207"/>
        <v>89301171</v>
      </c>
      <c r="F5413" t="str">
        <f t="shared" si="1199"/>
        <v>8808184726</v>
      </c>
      <c r="G5413" s="1">
        <v>44706</v>
      </c>
      <c r="H5413" t="str">
        <f t="shared" si="1206"/>
        <v>91413</v>
      </c>
      <c r="I5413">
        <v>1</v>
      </c>
      <c r="J5413">
        <v>853</v>
      </c>
      <c r="K5413">
        <v>0</v>
      </c>
      <c r="L5413">
        <v>665.34</v>
      </c>
    </row>
    <row r="5414" spans="1:12" x14ac:dyDescent="0.25">
      <c r="A5414" t="str">
        <f t="shared" si="1198"/>
        <v>89301000</v>
      </c>
      <c r="B5414" t="str">
        <f t="shared" si="1205"/>
        <v>06539000</v>
      </c>
      <c r="C5414" t="str">
        <f t="shared" si="1203"/>
        <v>06539003</v>
      </c>
      <c r="D5414" t="str">
        <f t="shared" si="1204"/>
        <v>813</v>
      </c>
      <c r="E5414" t="str">
        <f t="shared" si="1207"/>
        <v>89301171</v>
      </c>
      <c r="F5414" t="str">
        <f t="shared" si="1199"/>
        <v>8808184726</v>
      </c>
      <c r="G5414" s="1">
        <v>44706</v>
      </c>
      <c r="H5414" t="str">
        <f t="shared" si="1206"/>
        <v>91413</v>
      </c>
      <c r="I5414">
        <v>1</v>
      </c>
      <c r="J5414">
        <v>853</v>
      </c>
      <c r="K5414">
        <v>0</v>
      </c>
      <c r="L5414">
        <v>665.34</v>
      </c>
    </row>
    <row r="5415" spans="1:12" x14ac:dyDescent="0.25">
      <c r="A5415" t="str">
        <f t="shared" si="1198"/>
        <v>89301000</v>
      </c>
      <c r="B5415" t="str">
        <f t="shared" si="1205"/>
        <v>06539000</v>
      </c>
      <c r="C5415" t="str">
        <f t="shared" si="1203"/>
        <v>06539003</v>
      </c>
      <c r="D5415" t="str">
        <f t="shared" si="1204"/>
        <v>813</v>
      </c>
      <c r="E5415" t="str">
        <f t="shared" si="1207"/>
        <v>89301171</v>
      </c>
      <c r="F5415" t="str">
        <f t="shared" si="1199"/>
        <v>8808184726</v>
      </c>
      <c r="G5415" s="1">
        <v>44706</v>
      </c>
      <c r="H5415" t="str">
        <f t="shared" si="1206"/>
        <v>91413</v>
      </c>
      <c r="I5415">
        <v>1</v>
      </c>
      <c r="J5415">
        <v>853</v>
      </c>
      <c r="K5415">
        <v>0</v>
      </c>
      <c r="L5415">
        <v>665.34</v>
      </c>
    </row>
    <row r="5416" spans="1:12" x14ac:dyDescent="0.25">
      <c r="A5416" t="str">
        <f t="shared" si="1198"/>
        <v>89301000</v>
      </c>
      <c r="B5416" t="str">
        <f t="shared" si="1205"/>
        <v>06539000</v>
      </c>
      <c r="C5416" t="str">
        <f t="shared" si="1203"/>
        <v>06539003</v>
      </c>
      <c r="D5416" t="str">
        <f t="shared" si="1204"/>
        <v>813</v>
      </c>
      <c r="E5416" t="str">
        <f t="shared" si="1207"/>
        <v>89301171</v>
      </c>
      <c r="F5416" t="str">
        <f t="shared" si="1199"/>
        <v>8808184726</v>
      </c>
      <c r="G5416" s="1">
        <v>44706</v>
      </c>
      <c r="H5416" t="str">
        <f t="shared" si="1206"/>
        <v>91413</v>
      </c>
      <c r="I5416">
        <v>1</v>
      </c>
      <c r="J5416">
        <v>853</v>
      </c>
      <c r="K5416">
        <v>0</v>
      </c>
      <c r="L5416">
        <v>665.34</v>
      </c>
    </row>
    <row r="5417" spans="1:12" x14ac:dyDescent="0.25">
      <c r="A5417" t="str">
        <f t="shared" si="1198"/>
        <v>89301000</v>
      </c>
      <c r="B5417" t="str">
        <f t="shared" si="1205"/>
        <v>06539000</v>
      </c>
      <c r="C5417" t="str">
        <f t="shared" si="1203"/>
        <v>06539003</v>
      </c>
      <c r="D5417" t="str">
        <f t="shared" si="1204"/>
        <v>813</v>
      </c>
      <c r="E5417" t="str">
        <f t="shared" si="1207"/>
        <v>89301171</v>
      </c>
      <c r="F5417" t="str">
        <f t="shared" si="1199"/>
        <v>8808184726</v>
      </c>
      <c r="G5417" s="1">
        <v>44706</v>
      </c>
      <c r="H5417" t="str">
        <f t="shared" si="1206"/>
        <v>91413</v>
      </c>
      <c r="I5417">
        <v>1</v>
      </c>
      <c r="J5417">
        <v>853</v>
      </c>
      <c r="K5417">
        <v>0</v>
      </c>
      <c r="L5417">
        <v>665.34</v>
      </c>
    </row>
    <row r="5418" spans="1:12" x14ac:dyDescent="0.25">
      <c r="A5418" t="str">
        <f t="shared" si="1198"/>
        <v>89301000</v>
      </c>
      <c r="B5418" t="str">
        <f t="shared" si="1205"/>
        <v>06539000</v>
      </c>
      <c r="C5418" t="str">
        <f t="shared" si="1203"/>
        <v>06539003</v>
      </c>
      <c r="D5418" t="str">
        <f t="shared" si="1204"/>
        <v>813</v>
      </c>
      <c r="E5418" t="str">
        <f t="shared" si="1207"/>
        <v>89301171</v>
      </c>
      <c r="F5418" t="str">
        <f t="shared" si="1199"/>
        <v>8808184726</v>
      </c>
      <c r="G5418" s="1">
        <v>44694</v>
      </c>
      <c r="H5418" t="str">
        <f t="shared" ref="H5418:H5424" si="1208">"91197"</f>
        <v>91197</v>
      </c>
      <c r="I5418">
        <v>1</v>
      </c>
      <c r="J5418">
        <v>1046</v>
      </c>
      <c r="K5418">
        <v>0</v>
      </c>
      <c r="L5418">
        <v>815.88</v>
      </c>
    </row>
    <row r="5419" spans="1:12" x14ac:dyDescent="0.25">
      <c r="A5419" t="str">
        <f t="shared" si="1198"/>
        <v>89301000</v>
      </c>
      <c r="B5419" t="str">
        <f t="shared" si="1205"/>
        <v>06539000</v>
      </c>
      <c r="C5419" t="str">
        <f t="shared" si="1203"/>
        <v>06539003</v>
      </c>
      <c r="D5419" t="str">
        <f t="shared" si="1204"/>
        <v>813</v>
      </c>
      <c r="E5419" t="str">
        <f t="shared" si="1207"/>
        <v>89301171</v>
      </c>
      <c r="F5419" t="str">
        <f t="shared" si="1199"/>
        <v>8808184726</v>
      </c>
      <c r="G5419" s="1">
        <v>44697</v>
      </c>
      <c r="H5419" t="str">
        <f t="shared" si="1208"/>
        <v>91197</v>
      </c>
      <c r="I5419">
        <v>1</v>
      </c>
      <c r="J5419">
        <v>1046</v>
      </c>
      <c r="K5419">
        <v>0</v>
      </c>
      <c r="L5419">
        <v>815.88</v>
      </c>
    </row>
    <row r="5420" spans="1:12" x14ac:dyDescent="0.25">
      <c r="A5420" t="str">
        <f t="shared" si="1198"/>
        <v>89301000</v>
      </c>
      <c r="B5420" t="str">
        <f t="shared" si="1205"/>
        <v>06539000</v>
      </c>
      <c r="C5420" t="str">
        <f t="shared" si="1203"/>
        <v>06539003</v>
      </c>
      <c r="D5420" t="str">
        <f t="shared" si="1204"/>
        <v>813</v>
      </c>
      <c r="E5420" t="str">
        <f t="shared" si="1207"/>
        <v>89301171</v>
      </c>
      <c r="F5420" t="str">
        <f t="shared" si="1199"/>
        <v>8808184726</v>
      </c>
      <c r="G5420" s="1">
        <v>44697</v>
      </c>
      <c r="H5420" t="str">
        <f t="shared" si="1208"/>
        <v>91197</v>
      </c>
      <c r="I5420">
        <v>1</v>
      </c>
      <c r="J5420">
        <v>1046</v>
      </c>
      <c r="K5420">
        <v>0</v>
      </c>
      <c r="L5420">
        <v>815.88</v>
      </c>
    </row>
    <row r="5421" spans="1:12" x14ac:dyDescent="0.25">
      <c r="A5421" t="str">
        <f t="shared" si="1198"/>
        <v>89301000</v>
      </c>
      <c r="B5421" t="str">
        <f t="shared" si="1205"/>
        <v>06539000</v>
      </c>
      <c r="C5421" t="str">
        <f t="shared" si="1203"/>
        <v>06539003</v>
      </c>
      <c r="D5421" t="str">
        <f t="shared" si="1204"/>
        <v>813</v>
      </c>
      <c r="E5421" t="str">
        <f t="shared" si="1207"/>
        <v>89301171</v>
      </c>
      <c r="F5421" t="str">
        <f t="shared" si="1199"/>
        <v>8808184726</v>
      </c>
      <c r="G5421" s="1">
        <v>44696</v>
      </c>
      <c r="H5421" t="str">
        <f t="shared" si="1208"/>
        <v>91197</v>
      </c>
      <c r="I5421">
        <v>1</v>
      </c>
      <c r="J5421">
        <v>1046</v>
      </c>
      <c r="K5421">
        <v>0</v>
      </c>
      <c r="L5421">
        <v>815.88</v>
      </c>
    </row>
    <row r="5422" spans="1:12" x14ac:dyDescent="0.25">
      <c r="A5422" t="str">
        <f t="shared" si="1198"/>
        <v>89301000</v>
      </c>
      <c r="B5422" t="str">
        <f t="shared" si="1205"/>
        <v>06539000</v>
      </c>
      <c r="C5422" t="str">
        <f t="shared" si="1203"/>
        <v>06539003</v>
      </c>
      <c r="D5422" t="str">
        <f t="shared" si="1204"/>
        <v>813</v>
      </c>
      <c r="E5422" t="str">
        <f t="shared" si="1207"/>
        <v>89301171</v>
      </c>
      <c r="F5422" t="str">
        <f t="shared" si="1199"/>
        <v>8808184726</v>
      </c>
      <c r="G5422" s="1">
        <v>44696</v>
      </c>
      <c r="H5422" t="str">
        <f t="shared" si="1208"/>
        <v>91197</v>
      </c>
      <c r="I5422">
        <v>1</v>
      </c>
      <c r="J5422">
        <v>1046</v>
      </c>
      <c r="K5422">
        <v>0</v>
      </c>
      <c r="L5422">
        <v>815.88</v>
      </c>
    </row>
    <row r="5423" spans="1:12" x14ac:dyDescent="0.25">
      <c r="A5423" t="str">
        <f t="shared" si="1198"/>
        <v>89301000</v>
      </c>
      <c r="B5423" t="str">
        <f t="shared" si="1205"/>
        <v>06539000</v>
      </c>
      <c r="C5423" t="str">
        <f t="shared" si="1203"/>
        <v>06539003</v>
      </c>
      <c r="D5423" t="str">
        <f t="shared" si="1204"/>
        <v>813</v>
      </c>
      <c r="E5423" t="str">
        <f t="shared" si="1207"/>
        <v>89301171</v>
      </c>
      <c r="F5423" t="str">
        <f t="shared" si="1199"/>
        <v>8808184726</v>
      </c>
      <c r="G5423" s="1">
        <v>44695</v>
      </c>
      <c r="H5423" t="str">
        <f t="shared" si="1208"/>
        <v>91197</v>
      </c>
      <c r="I5423">
        <v>1</v>
      </c>
      <c r="J5423">
        <v>1046</v>
      </c>
      <c r="K5423">
        <v>0</v>
      </c>
      <c r="L5423">
        <v>815.88</v>
      </c>
    </row>
    <row r="5424" spans="1:12" x14ac:dyDescent="0.25">
      <c r="A5424" t="str">
        <f t="shared" si="1198"/>
        <v>89301000</v>
      </c>
      <c r="B5424" t="str">
        <f t="shared" si="1205"/>
        <v>06539000</v>
      </c>
      <c r="C5424" t="str">
        <f t="shared" si="1203"/>
        <v>06539003</v>
      </c>
      <c r="D5424" t="str">
        <f t="shared" si="1204"/>
        <v>813</v>
      </c>
      <c r="E5424" t="str">
        <f t="shared" si="1207"/>
        <v>89301171</v>
      </c>
      <c r="F5424" t="str">
        <f t="shared" si="1199"/>
        <v>8808184726</v>
      </c>
      <c r="G5424" s="1">
        <v>44695</v>
      </c>
      <c r="H5424" t="str">
        <f t="shared" si="1208"/>
        <v>91197</v>
      </c>
      <c r="I5424">
        <v>1</v>
      </c>
      <c r="J5424">
        <v>1046</v>
      </c>
      <c r="K5424">
        <v>0</v>
      </c>
      <c r="L5424">
        <v>815.88</v>
      </c>
    </row>
    <row r="5425" spans="1:12" x14ac:dyDescent="0.25">
      <c r="A5425" t="str">
        <f t="shared" si="1198"/>
        <v>89301000</v>
      </c>
      <c r="B5425" t="str">
        <f t="shared" si="1205"/>
        <v>06539000</v>
      </c>
      <c r="C5425" t="str">
        <f t="shared" si="1203"/>
        <v>06539003</v>
      </c>
      <c r="D5425" t="str">
        <f t="shared" si="1204"/>
        <v>813</v>
      </c>
      <c r="E5425" t="str">
        <f t="shared" si="1207"/>
        <v>89301171</v>
      </c>
      <c r="F5425" t="str">
        <f t="shared" si="1199"/>
        <v>8808184726</v>
      </c>
      <c r="G5425" s="1">
        <v>44706</v>
      </c>
      <c r="H5425" t="str">
        <f>"91329"</f>
        <v>91329</v>
      </c>
      <c r="I5425">
        <v>2</v>
      </c>
      <c r="J5425">
        <v>428</v>
      </c>
      <c r="K5425">
        <v>0</v>
      </c>
      <c r="L5425">
        <v>333.84</v>
      </c>
    </row>
    <row r="5426" spans="1:12" x14ac:dyDescent="0.25">
      <c r="A5426" t="str">
        <f t="shared" si="1198"/>
        <v>89301000</v>
      </c>
      <c r="B5426" t="str">
        <f t="shared" si="1205"/>
        <v>06539000</v>
      </c>
      <c r="C5426" t="str">
        <f t="shared" si="1203"/>
        <v>06539003</v>
      </c>
      <c r="D5426" t="str">
        <f t="shared" si="1204"/>
        <v>813</v>
      </c>
      <c r="E5426" t="str">
        <f t="shared" si="1207"/>
        <v>89301171</v>
      </c>
      <c r="F5426" t="str">
        <f t="shared" si="1199"/>
        <v>8808184726</v>
      </c>
      <c r="G5426" s="1">
        <v>44706</v>
      </c>
      <c r="H5426" t="str">
        <f>"91329"</f>
        <v>91329</v>
      </c>
      <c r="I5426">
        <v>2</v>
      </c>
      <c r="J5426">
        <v>428</v>
      </c>
      <c r="K5426">
        <v>0</v>
      </c>
      <c r="L5426">
        <v>333.84</v>
      </c>
    </row>
    <row r="5427" spans="1:12" x14ac:dyDescent="0.25">
      <c r="A5427" t="str">
        <f t="shared" si="1198"/>
        <v>89301000</v>
      </c>
      <c r="B5427" t="str">
        <f t="shared" si="1205"/>
        <v>06539000</v>
      </c>
      <c r="C5427" t="str">
        <f t="shared" si="1203"/>
        <v>06539003</v>
      </c>
      <c r="D5427" t="str">
        <f t="shared" si="1204"/>
        <v>813</v>
      </c>
      <c r="E5427" t="str">
        <f t="shared" si="1207"/>
        <v>89301171</v>
      </c>
      <c r="F5427" t="str">
        <f t="shared" si="1199"/>
        <v>8808184726</v>
      </c>
      <c r="G5427" s="1">
        <v>44706</v>
      </c>
      <c r="H5427" t="str">
        <f>"91329"</f>
        <v>91329</v>
      </c>
      <c r="I5427">
        <v>2</v>
      </c>
      <c r="J5427">
        <v>428</v>
      </c>
      <c r="K5427">
        <v>0</v>
      </c>
      <c r="L5427">
        <v>333.84</v>
      </c>
    </row>
    <row r="5428" spans="1:12" x14ac:dyDescent="0.25">
      <c r="A5428" t="str">
        <f t="shared" si="1198"/>
        <v>89301000</v>
      </c>
      <c r="B5428" t="str">
        <f t="shared" si="1205"/>
        <v>06539000</v>
      </c>
      <c r="C5428" t="str">
        <f t="shared" si="1203"/>
        <v>06539003</v>
      </c>
      <c r="D5428" t="str">
        <f t="shared" si="1204"/>
        <v>813</v>
      </c>
      <c r="E5428" t="str">
        <f t="shared" si="1207"/>
        <v>89301171</v>
      </c>
      <c r="F5428" t="str">
        <f t="shared" si="1199"/>
        <v>8808184726</v>
      </c>
      <c r="G5428" s="1">
        <v>44706</v>
      </c>
      <c r="H5428" t="str">
        <f>"91329"</f>
        <v>91329</v>
      </c>
      <c r="I5428">
        <v>2</v>
      </c>
      <c r="J5428">
        <v>428</v>
      </c>
      <c r="K5428">
        <v>0</v>
      </c>
      <c r="L5428">
        <v>333.84</v>
      </c>
    </row>
    <row r="5429" spans="1:12" x14ac:dyDescent="0.25">
      <c r="A5429" t="str">
        <f t="shared" si="1198"/>
        <v>89301000</v>
      </c>
      <c r="B5429" t="str">
        <f t="shared" si="1205"/>
        <v>06539000</v>
      </c>
      <c r="C5429" t="str">
        <f t="shared" si="1203"/>
        <v>06539003</v>
      </c>
      <c r="D5429" t="str">
        <f t="shared" si="1204"/>
        <v>813</v>
      </c>
      <c r="E5429" t="str">
        <f t="shared" si="1207"/>
        <v>89301171</v>
      </c>
      <c r="F5429" t="str">
        <f t="shared" si="1199"/>
        <v>8808184726</v>
      </c>
      <c r="G5429" s="1">
        <v>44697</v>
      </c>
      <c r="H5429" t="str">
        <f>"91129"</f>
        <v>91129</v>
      </c>
      <c r="I5429">
        <v>1</v>
      </c>
      <c r="J5429">
        <v>174</v>
      </c>
      <c r="K5429">
        <v>0</v>
      </c>
      <c r="L5429">
        <v>135.72</v>
      </c>
    </row>
    <row r="5430" spans="1:12" x14ac:dyDescent="0.25">
      <c r="A5430" t="str">
        <f t="shared" si="1198"/>
        <v>89301000</v>
      </c>
      <c r="B5430" t="str">
        <f t="shared" si="1205"/>
        <v>06539000</v>
      </c>
      <c r="C5430" t="str">
        <f t="shared" si="1203"/>
        <v>06539003</v>
      </c>
      <c r="D5430" t="str">
        <f t="shared" si="1204"/>
        <v>813</v>
      </c>
      <c r="E5430" t="str">
        <f t="shared" si="1207"/>
        <v>89301171</v>
      </c>
      <c r="F5430" t="str">
        <f t="shared" si="1199"/>
        <v>8808184726</v>
      </c>
      <c r="G5430" s="1">
        <v>44697</v>
      </c>
      <c r="H5430" t="str">
        <f>"91131"</f>
        <v>91131</v>
      </c>
      <c r="I5430">
        <v>1</v>
      </c>
      <c r="J5430">
        <v>171</v>
      </c>
      <c r="K5430">
        <v>0</v>
      </c>
      <c r="L5430">
        <v>133.38</v>
      </c>
    </row>
    <row r="5431" spans="1:12" x14ac:dyDescent="0.25">
      <c r="A5431" t="str">
        <f t="shared" si="1198"/>
        <v>89301000</v>
      </c>
      <c r="B5431" t="str">
        <f t="shared" si="1205"/>
        <v>06539000</v>
      </c>
      <c r="C5431" t="str">
        <f t="shared" si="1203"/>
        <v>06539003</v>
      </c>
      <c r="D5431" t="str">
        <f t="shared" si="1204"/>
        <v>813</v>
      </c>
      <c r="E5431" t="str">
        <f t="shared" si="1207"/>
        <v>89301171</v>
      </c>
      <c r="F5431" t="str">
        <f t="shared" si="1199"/>
        <v>8808184726</v>
      </c>
      <c r="G5431" s="1">
        <v>44697</v>
      </c>
      <c r="H5431" t="str">
        <f>"91133"</f>
        <v>91133</v>
      </c>
      <c r="I5431">
        <v>1</v>
      </c>
      <c r="J5431">
        <v>176</v>
      </c>
      <c r="K5431">
        <v>0</v>
      </c>
      <c r="L5431">
        <v>137.28</v>
      </c>
    </row>
    <row r="5432" spans="1:12" x14ac:dyDescent="0.25">
      <c r="A5432" t="str">
        <f t="shared" si="1198"/>
        <v>89301000</v>
      </c>
      <c r="B5432" t="str">
        <f t="shared" si="1205"/>
        <v>06539000</v>
      </c>
      <c r="C5432" t="str">
        <f t="shared" si="1203"/>
        <v>06539003</v>
      </c>
      <c r="D5432" t="str">
        <f t="shared" si="1204"/>
        <v>813</v>
      </c>
      <c r="E5432" t="str">
        <f t="shared" si="1207"/>
        <v>89301171</v>
      </c>
      <c r="F5432" t="str">
        <f t="shared" si="1199"/>
        <v>8808184726</v>
      </c>
      <c r="G5432" s="1">
        <v>44697</v>
      </c>
      <c r="H5432" t="str">
        <f>"91171"</f>
        <v>91171</v>
      </c>
      <c r="I5432">
        <v>1</v>
      </c>
      <c r="J5432">
        <v>360</v>
      </c>
      <c r="K5432">
        <v>0</v>
      </c>
      <c r="L5432">
        <v>280.8</v>
      </c>
    </row>
    <row r="5433" spans="1:12" x14ac:dyDescent="0.25">
      <c r="A5433" t="str">
        <f t="shared" si="1198"/>
        <v>89301000</v>
      </c>
      <c r="B5433" t="str">
        <f t="shared" si="1205"/>
        <v>06539000</v>
      </c>
      <c r="C5433" t="str">
        <f t="shared" si="1203"/>
        <v>06539003</v>
      </c>
      <c r="D5433" t="str">
        <f t="shared" si="1204"/>
        <v>813</v>
      </c>
      <c r="E5433" t="str">
        <f t="shared" si="1207"/>
        <v>89301171</v>
      </c>
      <c r="F5433" t="str">
        <f t="shared" si="1199"/>
        <v>8808184726</v>
      </c>
      <c r="G5433" s="1">
        <v>44694</v>
      </c>
      <c r="H5433" t="str">
        <f>"91173"</f>
        <v>91173</v>
      </c>
      <c r="I5433">
        <v>1</v>
      </c>
      <c r="J5433">
        <v>335</v>
      </c>
      <c r="K5433">
        <v>0</v>
      </c>
      <c r="L5433">
        <v>261.3</v>
      </c>
    </row>
    <row r="5434" spans="1:12" x14ac:dyDescent="0.25">
      <c r="A5434" t="str">
        <f t="shared" si="1198"/>
        <v>89301000</v>
      </c>
      <c r="B5434" t="str">
        <f t="shared" si="1205"/>
        <v>06539000</v>
      </c>
      <c r="C5434" t="str">
        <f t="shared" si="1203"/>
        <v>06539003</v>
      </c>
      <c r="D5434" t="str">
        <f t="shared" si="1204"/>
        <v>813</v>
      </c>
      <c r="E5434" t="str">
        <f t="shared" si="1207"/>
        <v>89301171</v>
      </c>
      <c r="F5434" t="str">
        <f t="shared" si="1199"/>
        <v>8808184726</v>
      </c>
      <c r="G5434" s="1">
        <v>44697</v>
      </c>
      <c r="H5434" t="str">
        <f>"91175"</f>
        <v>91175</v>
      </c>
      <c r="I5434">
        <v>1</v>
      </c>
      <c r="J5434">
        <v>360</v>
      </c>
      <c r="K5434">
        <v>0</v>
      </c>
      <c r="L5434">
        <v>280.8</v>
      </c>
    </row>
    <row r="5435" spans="1:12" x14ac:dyDescent="0.25">
      <c r="A5435" t="str">
        <f t="shared" si="1198"/>
        <v>89301000</v>
      </c>
      <c r="B5435" t="str">
        <f t="shared" si="1205"/>
        <v>06539000</v>
      </c>
      <c r="C5435" t="str">
        <f t="shared" si="1203"/>
        <v>06539003</v>
      </c>
      <c r="D5435" t="str">
        <f t="shared" si="1204"/>
        <v>813</v>
      </c>
      <c r="E5435" t="str">
        <f t="shared" si="1207"/>
        <v>89301171</v>
      </c>
      <c r="F5435" t="str">
        <f t="shared" si="1199"/>
        <v>8808184726</v>
      </c>
      <c r="G5435" s="1">
        <v>44695</v>
      </c>
      <c r="H5435" t="str">
        <f>"91167"</f>
        <v>91167</v>
      </c>
      <c r="I5435">
        <v>1</v>
      </c>
      <c r="J5435">
        <v>425</v>
      </c>
      <c r="K5435">
        <v>0</v>
      </c>
      <c r="L5435">
        <v>331.5</v>
      </c>
    </row>
    <row r="5436" spans="1:12" x14ac:dyDescent="0.25">
      <c r="A5436" t="str">
        <f t="shared" si="1198"/>
        <v>89301000</v>
      </c>
      <c r="B5436" t="str">
        <f t="shared" si="1205"/>
        <v>06539000</v>
      </c>
      <c r="C5436" t="str">
        <f t="shared" si="1203"/>
        <v>06539003</v>
      </c>
      <c r="D5436" t="str">
        <f t="shared" si="1204"/>
        <v>813</v>
      </c>
      <c r="E5436" t="str">
        <f t="shared" si="1207"/>
        <v>89301171</v>
      </c>
      <c r="F5436" t="str">
        <f t="shared" si="1199"/>
        <v>8808184726</v>
      </c>
      <c r="G5436" s="1">
        <v>44695</v>
      </c>
      <c r="H5436" t="str">
        <f>"91169"</f>
        <v>91169</v>
      </c>
      <c r="I5436">
        <v>1</v>
      </c>
      <c r="J5436">
        <v>425</v>
      </c>
      <c r="K5436">
        <v>0</v>
      </c>
      <c r="L5436">
        <v>331.5</v>
      </c>
    </row>
    <row r="5437" spans="1:12" x14ac:dyDescent="0.25">
      <c r="A5437" t="str">
        <f t="shared" si="1198"/>
        <v>89301000</v>
      </c>
      <c r="B5437" t="str">
        <f t="shared" si="1205"/>
        <v>06539000</v>
      </c>
      <c r="C5437" t="str">
        <f t="shared" si="1203"/>
        <v>06539003</v>
      </c>
      <c r="D5437" t="str">
        <f t="shared" si="1204"/>
        <v>813</v>
      </c>
      <c r="E5437" t="str">
        <f t="shared" si="1207"/>
        <v>89301171</v>
      </c>
      <c r="F5437" t="str">
        <f t="shared" si="1199"/>
        <v>8808184726</v>
      </c>
      <c r="G5437" s="1">
        <v>44694</v>
      </c>
      <c r="H5437" t="str">
        <f>"91167"</f>
        <v>91167</v>
      </c>
      <c r="I5437">
        <v>1</v>
      </c>
      <c r="J5437">
        <v>425</v>
      </c>
      <c r="K5437">
        <v>0</v>
      </c>
      <c r="L5437">
        <v>331.5</v>
      </c>
    </row>
    <row r="5438" spans="1:12" x14ac:dyDescent="0.25">
      <c r="A5438" t="str">
        <f t="shared" si="1198"/>
        <v>89301000</v>
      </c>
      <c r="B5438" t="str">
        <f t="shared" si="1205"/>
        <v>06539000</v>
      </c>
      <c r="C5438" t="str">
        <f t="shared" si="1203"/>
        <v>06539003</v>
      </c>
      <c r="D5438" t="str">
        <f t="shared" si="1204"/>
        <v>813</v>
      </c>
      <c r="E5438" t="str">
        <f t="shared" si="1207"/>
        <v>89301171</v>
      </c>
      <c r="F5438" t="str">
        <f t="shared" si="1199"/>
        <v>8808184726</v>
      </c>
      <c r="G5438" s="1">
        <v>44694</v>
      </c>
      <c r="H5438" t="str">
        <f>"91169"</f>
        <v>91169</v>
      </c>
      <c r="I5438">
        <v>1</v>
      </c>
      <c r="J5438">
        <v>425</v>
      </c>
      <c r="K5438">
        <v>0</v>
      </c>
      <c r="L5438">
        <v>331.5</v>
      </c>
    </row>
    <row r="5439" spans="1:12" x14ac:dyDescent="0.25">
      <c r="A5439" t="str">
        <f t="shared" si="1198"/>
        <v>89301000</v>
      </c>
      <c r="B5439" t="str">
        <f t="shared" si="1205"/>
        <v>06539000</v>
      </c>
      <c r="C5439" t="str">
        <f t="shared" si="1203"/>
        <v>06539003</v>
      </c>
      <c r="D5439" t="str">
        <f t="shared" si="1204"/>
        <v>813</v>
      </c>
      <c r="E5439" t="str">
        <f t="shared" si="1207"/>
        <v>89301171</v>
      </c>
      <c r="F5439" t="str">
        <f t="shared" si="1199"/>
        <v>8808184726</v>
      </c>
      <c r="G5439" s="1">
        <v>44694</v>
      </c>
      <c r="H5439" t="str">
        <f>"91475"</f>
        <v>91475</v>
      </c>
      <c r="I5439">
        <v>1</v>
      </c>
      <c r="J5439">
        <v>206</v>
      </c>
      <c r="K5439">
        <v>0</v>
      </c>
      <c r="L5439">
        <v>160.68</v>
      </c>
    </row>
    <row r="5440" spans="1:12" x14ac:dyDescent="0.25">
      <c r="A5440" t="str">
        <f t="shared" si="1198"/>
        <v>89301000</v>
      </c>
      <c r="B5440" t="str">
        <f t="shared" si="1205"/>
        <v>06539000</v>
      </c>
      <c r="C5440" t="str">
        <f t="shared" si="1203"/>
        <v>06539003</v>
      </c>
      <c r="D5440" t="str">
        <f t="shared" si="1204"/>
        <v>813</v>
      </c>
      <c r="E5440" t="str">
        <f t="shared" ref="E5440:E5449" si="1209">"89301172"</f>
        <v>89301172</v>
      </c>
      <c r="F5440" t="str">
        <f>"8152245332"</f>
        <v>8152245332</v>
      </c>
      <c r="G5440" s="1">
        <v>44697</v>
      </c>
      <c r="H5440" t="str">
        <f>"91329"</f>
        <v>91329</v>
      </c>
      <c r="I5440">
        <v>2</v>
      </c>
      <c r="J5440">
        <v>428</v>
      </c>
      <c r="K5440">
        <v>0</v>
      </c>
      <c r="L5440">
        <v>333.84</v>
      </c>
    </row>
    <row r="5441" spans="1:12" x14ac:dyDescent="0.25">
      <c r="A5441" t="str">
        <f t="shared" si="1198"/>
        <v>89301000</v>
      </c>
      <c r="B5441" t="str">
        <f t="shared" si="1205"/>
        <v>06539000</v>
      </c>
      <c r="C5441" t="str">
        <f t="shared" si="1203"/>
        <v>06539003</v>
      </c>
      <c r="D5441" t="str">
        <f t="shared" si="1204"/>
        <v>813</v>
      </c>
      <c r="E5441" t="str">
        <f t="shared" si="1209"/>
        <v>89301172</v>
      </c>
      <c r="F5441" t="str">
        <f>"8152245332"</f>
        <v>8152245332</v>
      </c>
      <c r="G5441" s="1">
        <v>44697</v>
      </c>
      <c r="H5441" t="str">
        <f>"91329"</f>
        <v>91329</v>
      </c>
      <c r="I5441">
        <v>2</v>
      </c>
      <c r="J5441">
        <v>428</v>
      </c>
      <c r="K5441">
        <v>0</v>
      </c>
      <c r="L5441">
        <v>333.84</v>
      </c>
    </row>
    <row r="5442" spans="1:12" x14ac:dyDescent="0.25">
      <c r="A5442" t="str">
        <f t="shared" ref="A5442:A5505" si="1210">"89301000"</f>
        <v>89301000</v>
      </c>
      <c r="B5442" t="str">
        <f t="shared" si="1205"/>
        <v>06539000</v>
      </c>
      <c r="C5442" t="str">
        <f t="shared" si="1203"/>
        <v>06539003</v>
      </c>
      <c r="D5442" t="str">
        <f t="shared" si="1204"/>
        <v>813</v>
      </c>
      <c r="E5442" t="str">
        <f t="shared" si="1209"/>
        <v>89301172</v>
      </c>
      <c r="F5442" t="str">
        <f>"8152245332"</f>
        <v>8152245332</v>
      </c>
      <c r="G5442" s="1">
        <v>44697</v>
      </c>
      <c r="H5442" t="str">
        <f>"91329"</f>
        <v>91329</v>
      </c>
      <c r="I5442">
        <v>2</v>
      </c>
      <c r="J5442">
        <v>428</v>
      </c>
      <c r="K5442">
        <v>0</v>
      </c>
      <c r="L5442">
        <v>333.84</v>
      </c>
    </row>
    <row r="5443" spans="1:12" x14ac:dyDescent="0.25">
      <c r="A5443" t="str">
        <f t="shared" si="1210"/>
        <v>89301000</v>
      </c>
      <c r="B5443" t="str">
        <f t="shared" si="1205"/>
        <v>06539000</v>
      </c>
      <c r="C5443" t="str">
        <f t="shared" si="1203"/>
        <v>06539003</v>
      </c>
      <c r="D5443" t="str">
        <f t="shared" si="1204"/>
        <v>813</v>
      </c>
      <c r="E5443" t="str">
        <f t="shared" si="1209"/>
        <v>89301172</v>
      </c>
      <c r="F5443" t="str">
        <f>"8152245332"</f>
        <v>8152245332</v>
      </c>
      <c r="G5443" s="1">
        <v>44697</v>
      </c>
      <c r="H5443" t="str">
        <f>"91329"</f>
        <v>91329</v>
      </c>
      <c r="I5443">
        <v>2</v>
      </c>
      <c r="J5443">
        <v>428</v>
      </c>
      <c r="K5443">
        <v>0</v>
      </c>
      <c r="L5443">
        <v>333.84</v>
      </c>
    </row>
    <row r="5444" spans="1:12" x14ac:dyDescent="0.25">
      <c r="A5444" t="str">
        <f t="shared" si="1210"/>
        <v>89301000</v>
      </c>
      <c r="B5444" t="str">
        <f t="shared" si="1205"/>
        <v>06539000</v>
      </c>
      <c r="C5444" t="str">
        <f t="shared" si="1203"/>
        <v>06539003</v>
      </c>
      <c r="D5444" t="str">
        <f t="shared" si="1204"/>
        <v>813</v>
      </c>
      <c r="E5444" t="str">
        <f t="shared" si="1209"/>
        <v>89301172</v>
      </c>
      <c r="F5444" t="str">
        <f>"8152245332"</f>
        <v>8152245332</v>
      </c>
      <c r="G5444" s="1">
        <v>44694</v>
      </c>
      <c r="H5444" t="str">
        <f>"91475"</f>
        <v>91475</v>
      </c>
      <c r="I5444">
        <v>1</v>
      </c>
      <c r="J5444">
        <v>206</v>
      </c>
      <c r="K5444">
        <v>0</v>
      </c>
      <c r="L5444">
        <v>160.68</v>
      </c>
    </row>
    <row r="5445" spans="1:12" x14ac:dyDescent="0.25">
      <c r="A5445" t="str">
        <f t="shared" si="1210"/>
        <v>89301000</v>
      </c>
      <c r="B5445" t="str">
        <f t="shared" si="1205"/>
        <v>06539000</v>
      </c>
      <c r="C5445" t="str">
        <f t="shared" si="1203"/>
        <v>06539003</v>
      </c>
      <c r="D5445" t="str">
        <f t="shared" si="1204"/>
        <v>813</v>
      </c>
      <c r="E5445" t="str">
        <f t="shared" si="1209"/>
        <v>89301172</v>
      </c>
      <c r="F5445" t="str">
        <f>"6604291430"</f>
        <v>6604291430</v>
      </c>
      <c r="G5445" s="1">
        <v>44697</v>
      </c>
      <c r="H5445" t="str">
        <f>"91329"</f>
        <v>91329</v>
      </c>
      <c r="I5445">
        <v>2</v>
      </c>
      <c r="J5445">
        <v>428</v>
      </c>
      <c r="K5445">
        <v>0</v>
      </c>
      <c r="L5445">
        <v>333.84</v>
      </c>
    </row>
    <row r="5446" spans="1:12" x14ac:dyDescent="0.25">
      <c r="A5446" t="str">
        <f t="shared" si="1210"/>
        <v>89301000</v>
      </c>
      <c r="B5446" t="str">
        <f t="shared" si="1205"/>
        <v>06539000</v>
      </c>
      <c r="C5446" t="str">
        <f t="shared" si="1203"/>
        <v>06539003</v>
      </c>
      <c r="D5446" t="str">
        <f t="shared" si="1204"/>
        <v>813</v>
      </c>
      <c r="E5446" t="str">
        <f t="shared" si="1209"/>
        <v>89301172</v>
      </c>
      <c r="F5446" t="str">
        <f>"6604291430"</f>
        <v>6604291430</v>
      </c>
      <c r="G5446" s="1">
        <v>44697</v>
      </c>
      <c r="H5446" t="str">
        <f>"91329"</f>
        <v>91329</v>
      </c>
      <c r="I5446">
        <v>2</v>
      </c>
      <c r="J5446">
        <v>428</v>
      </c>
      <c r="K5446">
        <v>0</v>
      </c>
      <c r="L5446">
        <v>333.84</v>
      </c>
    </row>
    <row r="5447" spans="1:12" x14ac:dyDescent="0.25">
      <c r="A5447" t="str">
        <f t="shared" si="1210"/>
        <v>89301000</v>
      </c>
      <c r="B5447" t="str">
        <f t="shared" si="1205"/>
        <v>06539000</v>
      </c>
      <c r="C5447" t="str">
        <f t="shared" si="1203"/>
        <v>06539003</v>
      </c>
      <c r="D5447" t="str">
        <f t="shared" si="1204"/>
        <v>813</v>
      </c>
      <c r="E5447" t="str">
        <f t="shared" si="1209"/>
        <v>89301172</v>
      </c>
      <c r="F5447" t="str">
        <f>"6604291430"</f>
        <v>6604291430</v>
      </c>
      <c r="G5447" s="1">
        <v>44697</v>
      </c>
      <c r="H5447" t="str">
        <f>"91329"</f>
        <v>91329</v>
      </c>
      <c r="I5447">
        <v>2</v>
      </c>
      <c r="J5447">
        <v>428</v>
      </c>
      <c r="K5447">
        <v>0</v>
      </c>
      <c r="L5447">
        <v>333.84</v>
      </c>
    </row>
    <row r="5448" spans="1:12" x14ac:dyDescent="0.25">
      <c r="A5448" t="str">
        <f t="shared" si="1210"/>
        <v>89301000</v>
      </c>
      <c r="B5448" t="str">
        <f t="shared" si="1205"/>
        <v>06539000</v>
      </c>
      <c r="C5448" t="str">
        <f t="shared" si="1203"/>
        <v>06539003</v>
      </c>
      <c r="D5448" t="str">
        <f t="shared" si="1204"/>
        <v>813</v>
      </c>
      <c r="E5448" t="str">
        <f t="shared" si="1209"/>
        <v>89301172</v>
      </c>
      <c r="F5448" t="str">
        <f>"6604291430"</f>
        <v>6604291430</v>
      </c>
      <c r="G5448" s="1">
        <v>44697</v>
      </c>
      <c r="H5448" t="str">
        <f>"91329"</f>
        <v>91329</v>
      </c>
      <c r="I5448">
        <v>2</v>
      </c>
      <c r="J5448">
        <v>428</v>
      </c>
      <c r="K5448">
        <v>0</v>
      </c>
      <c r="L5448">
        <v>333.84</v>
      </c>
    </row>
    <row r="5449" spans="1:12" x14ac:dyDescent="0.25">
      <c r="A5449" t="str">
        <f t="shared" si="1210"/>
        <v>89301000</v>
      </c>
      <c r="B5449" t="str">
        <f t="shared" si="1205"/>
        <v>06539000</v>
      </c>
      <c r="C5449" t="str">
        <f t="shared" si="1203"/>
        <v>06539003</v>
      </c>
      <c r="D5449" t="str">
        <f t="shared" si="1204"/>
        <v>813</v>
      </c>
      <c r="E5449" t="str">
        <f t="shared" si="1209"/>
        <v>89301172</v>
      </c>
      <c r="F5449" t="str">
        <f>"6604291430"</f>
        <v>6604291430</v>
      </c>
      <c r="G5449" s="1">
        <v>44694</v>
      </c>
      <c r="H5449" t="str">
        <f>"91475"</f>
        <v>91475</v>
      </c>
      <c r="I5449">
        <v>1</v>
      </c>
      <c r="J5449">
        <v>206</v>
      </c>
      <c r="K5449">
        <v>0</v>
      </c>
      <c r="L5449">
        <v>160.68</v>
      </c>
    </row>
    <row r="5450" spans="1:12" x14ac:dyDescent="0.25">
      <c r="A5450" t="str">
        <f t="shared" si="1210"/>
        <v>89301000</v>
      </c>
      <c r="B5450" t="str">
        <f>"89632000"</f>
        <v>89632000</v>
      </c>
      <c r="C5450" t="str">
        <f>"89632000"</f>
        <v>89632000</v>
      </c>
      <c r="D5450" t="str">
        <f t="shared" ref="D5450:D5458" si="1211">"809"</f>
        <v>809</v>
      </c>
      <c r="E5450" t="str">
        <f>"89301212"</f>
        <v>89301212</v>
      </c>
      <c r="F5450" t="str">
        <f>"0412043225"</f>
        <v>0412043225</v>
      </c>
      <c r="G5450" s="1">
        <v>44690</v>
      </c>
      <c r="H5450" t="str">
        <f>"09139"</f>
        <v>09139</v>
      </c>
      <c r="I5450">
        <v>1</v>
      </c>
      <c r="J5450">
        <v>346</v>
      </c>
      <c r="K5450">
        <v>0</v>
      </c>
      <c r="L5450">
        <v>484.4</v>
      </c>
    </row>
    <row r="5451" spans="1:12" x14ac:dyDescent="0.25">
      <c r="A5451" t="str">
        <f t="shared" si="1210"/>
        <v>89301000</v>
      </c>
      <c r="B5451" t="str">
        <f>"89632000"</f>
        <v>89632000</v>
      </c>
      <c r="C5451" t="str">
        <f>"89632000"</f>
        <v>89632000</v>
      </c>
      <c r="D5451" t="str">
        <f t="shared" si="1211"/>
        <v>809</v>
      </c>
      <c r="E5451" t="str">
        <f>"89301212"</f>
        <v>89301212</v>
      </c>
      <c r="F5451" t="str">
        <f>"0412043225"</f>
        <v>0412043225</v>
      </c>
      <c r="G5451" s="1">
        <v>44690</v>
      </c>
      <c r="H5451" t="str">
        <f>"09135"</f>
        <v>09135</v>
      </c>
      <c r="I5451">
        <v>1</v>
      </c>
      <c r="J5451">
        <v>174</v>
      </c>
      <c r="K5451">
        <v>0</v>
      </c>
      <c r="L5451">
        <v>243.6</v>
      </c>
    </row>
    <row r="5452" spans="1:12" x14ac:dyDescent="0.25">
      <c r="A5452" t="str">
        <f t="shared" si="1210"/>
        <v>89301000</v>
      </c>
      <c r="B5452" t="str">
        <f t="shared" ref="B5452:B5460" si="1212">"93201000"</f>
        <v>93201000</v>
      </c>
      <c r="C5452" t="str">
        <f t="shared" ref="C5452:C5458" si="1213">"93201350"</f>
        <v>93201350</v>
      </c>
      <c r="D5452" t="str">
        <f t="shared" si="1211"/>
        <v>809</v>
      </c>
      <c r="E5452" t="str">
        <f>"89301212"</f>
        <v>89301212</v>
      </c>
      <c r="F5452" t="str">
        <f>"6762051494"</f>
        <v>6762051494</v>
      </c>
      <c r="G5452" s="1">
        <v>44684</v>
      </c>
      <c r="H5452" t="str">
        <f>"89513"</f>
        <v>89513</v>
      </c>
      <c r="I5452">
        <v>1</v>
      </c>
      <c r="J5452">
        <v>371</v>
      </c>
      <c r="K5452">
        <v>0</v>
      </c>
      <c r="L5452">
        <v>519.4</v>
      </c>
    </row>
    <row r="5453" spans="1:12" x14ac:dyDescent="0.25">
      <c r="A5453" t="str">
        <f t="shared" si="1210"/>
        <v>89301000</v>
      </c>
      <c r="B5453" t="str">
        <f t="shared" si="1212"/>
        <v>93201000</v>
      </c>
      <c r="C5453" t="str">
        <f t="shared" si="1213"/>
        <v>93201350</v>
      </c>
      <c r="D5453" t="str">
        <f t="shared" si="1211"/>
        <v>809</v>
      </c>
      <c r="E5453" t="str">
        <f>"89301212"</f>
        <v>89301212</v>
      </c>
      <c r="F5453" t="str">
        <f>"6762051494"</f>
        <v>6762051494</v>
      </c>
      <c r="G5453" s="1">
        <v>44684</v>
      </c>
      <c r="H5453" t="str">
        <f>"89514"</f>
        <v>89514</v>
      </c>
      <c r="I5453">
        <v>1</v>
      </c>
      <c r="J5453">
        <v>371</v>
      </c>
      <c r="K5453">
        <v>0</v>
      </c>
      <c r="L5453">
        <v>519.4</v>
      </c>
    </row>
    <row r="5454" spans="1:12" x14ac:dyDescent="0.25">
      <c r="A5454" t="str">
        <f t="shared" si="1210"/>
        <v>89301000</v>
      </c>
      <c r="B5454" t="str">
        <f t="shared" si="1212"/>
        <v>93201000</v>
      </c>
      <c r="C5454" t="str">
        <f t="shared" si="1213"/>
        <v>93201350</v>
      </c>
      <c r="D5454" t="str">
        <f t="shared" si="1211"/>
        <v>809</v>
      </c>
      <c r="E5454" t="str">
        <f>"89301062"</f>
        <v>89301062</v>
      </c>
      <c r="F5454" t="str">
        <f>"7212025777"</f>
        <v>7212025777</v>
      </c>
      <c r="G5454" s="1">
        <v>44698</v>
      </c>
      <c r="H5454" t="str">
        <f>"89615"</f>
        <v>89615</v>
      </c>
      <c r="I5454">
        <v>1</v>
      </c>
      <c r="J5454">
        <v>2170</v>
      </c>
      <c r="K5454">
        <v>0</v>
      </c>
      <c r="L5454">
        <v>1302</v>
      </c>
    </row>
    <row r="5455" spans="1:12" x14ac:dyDescent="0.25">
      <c r="A5455" t="str">
        <f t="shared" si="1210"/>
        <v>89301000</v>
      </c>
      <c r="B5455" t="str">
        <f t="shared" si="1212"/>
        <v>93201000</v>
      </c>
      <c r="C5455" t="str">
        <f t="shared" si="1213"/>
        <v>93201350</v>
      </c>
      <c r="D5455" t="str">
        <f t="shared" si="1211"/>
        <v>809</v>
      </c>
      <c r="E5455" t="str">
        <f>"89301212"</f>
        <v>89301212</v>
      </c>
      <c r="F5455" t="str">
        <f>"5654271051"</f>
        <v>5654271051</v>
      </c>
      <c r="G5455" s="1">
        <v>44683</v>
      </c>
      <c r="H5455" t="str">
        <f>"89180"</f>
        <v>89180</v>
      </c>
      <c r="I5455">
        <v>2</v>
      </c>
      <c r="J5455">
        <v>752</v>
      </c>
      <c r="K5455">
        <v>0</v>
      </c>
      <c r="L5455">
        <v>1052.8</v>
      </c>
    </row>
    <row r="5456" spans="1:12" x14ac:dyDescent="0.25">
      <c r="A5456" t="str">
        <f t="shared" si="1210"/>
        <v>89301000</v>
      </c>
      <c r="B5456" t="str">
        <f t="shared" si="1212"/>
        <v>93201000</v>
      </c>
      <c r="C5456" t="str">
        <f t="shared" si="1213"/>
        <v>93201350</v>
      </c>
      <c r="D5456" t="str">
        <f t="shared" si="1211"/>
        <v>809</v>
      </c>
      <c r="E5456" t="str">
        <f>"89301212"</f>
        <v>89301212</v>
      </c>
      <c r="F5456" t="str">
        <f>"5654271051"</f>
        <v>5654271051</v>
      </c>
      <c r="G5456" s="1">
        <v>44683</v>
      </c>
      <c r="H5456" t="str">
        <f>"89512"</f>
        <v>89512</v>
      </c>
      <c r="I5456">
        <v>1</v>
      </c>
      <c r="J5456">
        <v>277</v>
      </c>
      <c r="K5456">
        <v>0</v>
      </c>
      <c r="L5456">
        <v>387.8</v>
      </c>
    </row>
    <row r="5457" spans="1:12" x14ac:dyDescent="0.25">
      <c r="A5457" t="str">
        <f t="shared" si="1210"/>
        <v>89301000</v>
      </c>
      <c r="B5457" t="str">
        <f t="shared" si="1212"/>
        <v>93201000</v>
      </c>
      <c r="C5457" t="str">
        <f t="shared" si="1213"/>
        <v>93201350</v>
      </c>
      <c r="D5457" t="str">
        <f t="shared" si="1211"/>
        <v>809</v>
      </c>
      <c r="E5457" t="str">
        <f>"89301212"</f>
        <v>89301212</v>
      </c>
      <c r="F5457" t="str">
        <f>"5858140475"</f>
        <v>5858140475</v>
      </c>
      <c r="G5457" s="1">
        <v>44699</v>
      </c>
      <c r="H5457" t="str">
        <f>"89512"</f>
        <v>89512</v>
      </c>
      <c r="I5457">
        <v>1</v>
      </c>
      <c r="J5457">
        <v>277</v>
      </c>
      <c r="K5457">
        <v>0</v>
      </c>
      <c r="L5457">
        <v>387.8</v>
      </c>
    </row>
    <row r="5458" spans="1:12" x14ac:dyDescent="0.25">
      <c r="A5458" t="str">
        <f t="shared" si="1210"/>
        <v>89301000</v>
      </c>
      <c r="B5458" t="str">
        <f t="shared" si="1212"/>
        <v>93201000</v>
      </c>
      <c r="C5458" t="str">
        <f t="shared" si="1213"/>
        <v>93201350</v>
      </c>
      <c r="D5458" t="str">
        <f t="shared" si="1211"/>
        <v>809</v>
      </c>
      <c r="E5458" t="str">
        <f>"89301212"</f>
        <v>89301212</v>
      </c>
      <c r="F5458" t="str">
        <f>"5858140475"</f>
        <v>5858140475</v>
      </c>
      <c r="G5458" s="1">
        <v>44699</v>
      </c>
      <c r="H5458" t="str">
        <f>"89180"</f>
        <v>89180</v>
      </c>
      <c r="I5458">
        <v>2</v>
      </c>
      <c r="J5458">
        <v>752</v>
      </c>
      <c r="K5458">
        <v>0</v>
      </c>
      <c r="L5458">
        <v>1052.8</v>
      </c>
    </row>
    <row r="5459" spans="1:12" x14ac:dyDescent="0.25">
      <c r="A5459" t="str">
        <f t="shared" si="1210"/>
        <v>89301000</v>
      </c>
      <c r="B5459" t="str">
        <f t="shared" si="1212"/>
        <v>93201000</v>
      </c>
      <c r="C5459" t="str">
        <f>"93201355"</f>
        <v>93201355</v>
      </c>
      <c r="D5459" t="str">
        <f>"810"</f>
        <v>810</v>
      </c>
      <c r="E5459" t="str">
        <f>"89301172"</f>
        <v>89301172</v>
      </c>
      <c r="F5459" t="str">
        <f>"520102019"</f>
        <v>520102019</v>
      </c>
      <c r="G5459" s="1">
        <v>44712</v>
      </c>
      <c r="H5459" t="str">
        <f>"89713"</f>
        <v>89713</v>
      </c>
      <c r="I5459">
        <v>1</v>
      </c>
      <c r="J5459">
        <v>5362</v>
      </c>
      <c r="K5459">
        <v>0</v>
      </c>
      <c r="L5459">
        <v>3217.2</v>
      </c>
    </row>
    <row r="5460" spans="1:12" x14ac:dyDescent="0.25">
      <c r="A5460" t="str">
        <f t="shared" si="1210"/>
        <v>89301000</v>
      </c>
      <c r="B5460" t="str">
        <f t="shared" si="1212"/>
        <v>93201000</v>
      </c>
      <c r="C5460" t="str">
        <f>"93201355"</f>
        <v>93201355</v>
      </c>
      <c r="D5460" t="str">
        <f>"810"</f>
        <v>810</v>
      </c>
      <c r="E5460" t="str">
        <f>"89301112"</f>
        <v>89301112</v>
      </c>
      <c r="F5460" t="str">
        <f>"0755106143"</f>
        <v>0755106143</v>
      </c>
      <c r="G5460" s="1">
        <v>44706</v>
      </c>
      <c r="H5460" t="str">
        <f>"89713"</f>
        <v>89713</v>
      </c>
      <c r="I5460">
        <v>1</v>
      </c>
      <c r="J5460">
        <v>5362</v>
      </c>
      <c r="K5460">
        <v>0</v>
      </c>
      <c r="L5460">
        <v>3217.2</v>
      </c>
    </row>
    <row r="5461" spans="1:12" x14ac:dyDescent="0.25">
      <c r="A5461" t="str">
        <f t="shared" si="1210"/>
        <v>89301000</v>
      </c>
      <c r="B5461" t="str">
        <f t="shared" ref="B5461:B5469" si="1214">"89445000"</f>
        <v>89445000</v>
      </c>
      <c r="C5461" t="str">
        <f t="shared" ref="C5461:C5469" si="1215">"89445001"</f>
        <v>89445001</v>
      </c>
      <c r="D5461" t="str">
        <f t="shared" ref="D5461:D5469" si="1216">"801"</f>
        <v>801</v>
      </c>
      <c r="E5461" t="str">
        <f t="shared" ref="E5461:E5469" si="1217">"89301082"</f>
        <v>89301082</v>
      </c>
      <c r="F5461" t="str">
        <f t="shared" ref="F5461:F5469" si="1218">"9362095732"</f>
        <v>9362095732</v>
      </c>
      <c r="G5461" s="1">
        <v>44694</v>
      </c>
      <c r="H5461" t="str">
        <f>"93195"</f>
        <v>93195</v>
      </c>
      <c r="I5461">
        <v>1</v>
      </c>
      <c r="J5461">
        <v>181</v>
      </c>
      <c r="K5461">
        <v>0</v>
      </c>
      <c r="L5461">
        <v>141.18</v>
      </c>
    </row>
    <row r="5462" spans="1:12" x14ac:dyDescent="0.25">
      <c r="A5462" t="str">
        <f t="shared" si="1210"/>
        <v>89301000</v>
      </c>
      <c r="B5462" t="str">
        <f t="shared" si="1214"/>
        <v>89445000</v>
      </c>
      <c r="C5462" t="str">
        <f t="shared" si="1215"/>
        <v>89445001</v>
      </c>
      <c r="D5462" t="str">
        <f t="shared" si="1216"/>
        <v>801</v>
      </c>
      <c r="E5462" t="str">
        <f t="shared" si="1217"/>
        <v>89301082</v>
      </c>
      <c r="F5462" t="str">
        <f t="shared" si="1218"/>
        <v>9362095732</v>
      </c>
      <c r="G5462" s="1">
        <v>44694</v>
      </c>
      <c r="H5462" t="str">
        <f>"09119"</f>
        <v>09119</v>
      </c>
      <c r="I5462">
        <v>1</v>
      </c>
      <c r="J5462">
        <v>42</v>
      </c>
      <c r="K5462">
        <v>0</v>
      </c>
      <c r="L5462">
        <v>32.76</v>
      </c>
    </row>
    <row r="5463" spans="1:12" x14ac:dyDescent="0.25">
      <c r="A5463" t="str">
        <f t="shared" si="1210"/>
        <v>89301000</v>
      </c>
      <c r="B5463" t="str">
        <f t="shared" si="1214"/>
        <v>89445000</v>
      </c>
      <c r="C5463" t="str">
        <f t="shared" si="1215"/>
        <v>89445001</v>
      </c>
      <c r="D5463" t="str">
        <f t="shared" si="1216"/>
        <v>801</v>
      </c>
      <c r="E5463" t="str">
        <f t="shared" si="1217"/>
        <v>89301082</v>
      </c>
      <c r="F5463" t="str">
        <f t="shared" si="1218"/>
        <v>9362095732</v>
      </c>
      <c r="G5463" s="1">
        <v>44694</v>
      </c>
      <c r="H5463" t="str">
        <f>"93177"</f>
        <v>93177</v>
      </c>
      <c r="I5463">
        <v>1</v>
      </c>
      <c r="J5463">
        <v>178</v>
      </c>
      <c r="K5463">
        <v>0</v>
      </c>
      <c r="L5463">
        <v>138.84</v>
      </c>
    </row>
    <row r="5464" spans="1:12" x14ac:dyDescent="0.25">
      <c r="A5464" t="str">
        <f t="shared" si="1210"/>
        <v>89301000</v>
      </c>
      <c r="B5464" t="str">
        <f t="shared" si="1214"/>
        <v>89445000</v>
      </c>
      <c r="C5464" t="str">
        <f t="shared" si="1215"/>
        <v>89445001</v>
      </c>
      <c r="D5464" t="str">
        <f t="shared" si="1216"/>
        <v>801</v>
      </c>
      <c r="E5464" t="str">
        <f t="shared" si="1217"/>
        <v>89301082</v>
      </c>
      <c r="F5464" t="str">
        <f t="shared" si="1218"/>
        <v>9362095732</v>
      </c>
      <c r="G5464" s="1">
        <v>44694</v>
      </c>
      <c r="H5464" t="str">
        <f>"93231"</f>
        <v>93231</v>
      </c>
      <c r="I5464">
        <v>1</v>
      </c>
      <c r="J5464">
        <v>402</v>
      </c>
      <c r="K5464">
        <v>0</v>
      </c>
      <c r="L5464">
        <v>313.56</v>
      </c>
    </row>
    <row r="5465" spans="1:12" x14ac:dyDescent="0.25">
      <c r="A5465" t="str">
        <f t="shared" si="1210"/>
        <v>89301000</v>
      </c>
      <c r="B5465" t="str">
        <f t="shared" si="1214"/>
        <v>89445000</v>
      </c>
      <c r="C5465" t="str">
        <f t="shared" si="1215"/>
        <v>89445001</v>
      </c>
      <c r="D5465" t="str">
        <f t="shared" si="1216"/>
        <v>801</v>
      </c>
      <c r="E5465" t="str">
        <f t="shared" si="1217"/>
        <v>89301082</v>
      </c>
      <c r="F5465" t="str">
        <f t="shared" si="1218"/>
        <v>9362095732</v>
      </c>
      <c r="G5465" s="1">
        <v>44694</v>
      </c>
      <c r="H5465" t="str">
        <f>"93217"</f>
        <v>93217</v>
      </c>
      <c r="I5465">
        <v>1</v>
      </c>
      <c r="J5465">
        <v>420</v>
      </c>
      <c r="K5465">
        <v>0</v>
      </c>
      <c r="L5465">
        <v>327.60000000000002</v>
      </c>
    </row>
    <row r="5466" spans="1:12" x14ac:dyDescent="0.25">
      <c r="A5466" t="str">
        <f t="shared" si="1210"/>
        <v>89301000</v>
      </c>
      <c r="B5466" t="str">
        <f t="shared" si="1214"/>
        <v>89445000</v>
      </c>
      <c r="C5466" t="str">
        <f t="shared" si="1215"/>
        <v>89445001</v>
      </c>
      <c r="D5466" t="str">
        <f t="shared" si="1216"/>
        <v>801</v>
      </c>
      <c r="E5466" t="str">
        <f t="shared" si="1217"/>
        <v>89301082</v>
      </c>
      <c r="F5466" t="str">
        <f t="shared" si="1218"/>
        <v>9362095732</v>
      </c>
      <c r="G5466" s="1">
        <v>44694</v>
      </c>
      <c r="H5466" t="str">
        <f>"93137"</f>
        <v>93137</v>
      </c>
      <c r="I5466">
        <v>1</v>
      </c>
      <c r="J5466">
        <v>184</v>
      </c>
      <c r="K5466">
        <v>0</v>
      </c>
      <c r="L5466">
        <v>143.52000000000001</v>
      </c>
    </row>
    <row r="5467" spans="1:12" x14ac:dyDescent="0.25">
      <c r="A5467" t="str">
        <f t="shared" si="1210"/>
        <v>89301000</v>
      </c>
      <c r="B5467" t="str">
        <f t="shared" si="1214"/>
        <v>89445000</v>
      </c>
      <c r="C5467" t="str">
        <f t="shared" si="1215"/>
        <v>89445001</v>
      </c>
      <c r="D5467" t="str">
        <f t="shared" si="1216"/>
        <v>801</v>
      </c>
      <c r="E5467" t="str">
        <f t="shared" si="1217"/>
        <v>89301082</v>
      </c>
      <c r="F5467" t="str">
        <f t="shared" si="1218"/>
        <v>9362095732</v>
      </c>
      <c r="G5467" s="1">
        <v>44694</v>
      </c>
      <c r="H5467" t="str">
        <f>"93245"</f>
        <v>93245</v>
      </c>
      <c r="I5467">
        <v>1</v>
      </c>
      <c r="J5467">
        <v>190</v>
      </c>
      <c r="K5467">
        <v>0</v>
      </c>
      <c r="L5467">
        <v>148.19999999999999</v>
      </c>
    </row>
    <row r="5468" spans="1:12" x14ac:dyDescent="0.25">
      <c r="A5468" t="str">
        <f t="shared" si="1210"/>
        <v>89301000</v>
      </c>
      <c r="B5468" t="str">
        <f t="shared" si="1214"/>
        <v>89445000</v>
      </c>
      <c r="C5468" t="str">
        <f t="shared" si="1215"/>
        <v>89445001</v>
      </c>
      <c r="D5468" t="str">
        <f t="shared" si="1216"/>
        <v>801</v>
      </c>
      <c r="E5468" t="str">
        <f t="shared" si="1217"/>
        <v>89301082</v>
      </c>
      <c r="F5468" t="str">
        <f t="shared" si="1218"/>
        <v>9362095732</v>
      </c>
      <c r="G5468" s="1">
        <v>44694</v>
      </c>
      <c r="H5468" t="str">
        <f>"93189"</f>
        <v>93189</v>
      </c>
      <c r="I5468">
        <v>1</v>
      </c>
      <c r="J5468">
        <v>189</v>
      </c>
      <c r="K5468">
        <v>0</v>
      </c>
      <c r="L5468">
        <v>147.41999999999999</v>
      </c>
    </row>
    <row r="5469" spans="1:12" x14ac:dyDescent="0.25">
      <c r="A5469" t="str">
        <f t="shared" si="1210"/>
        <v>89301000</v>
      </c>
      <c r="B5469" t="str">
        <f t="shared" si="1214"/>
        <v>89445000</v>
      </c>
      <c r="C5469" t="str">
        <f t="shared" si="1215"/>
        <v>89445001</v>
      </c>
      <c r="D5469" t="str">
        <f t="shared" si="1216"/>
        <v>801</v>
      </c>
      <c r="E5469" t="str">
        <f t="shared" si="1217"/>
        <v>89301082</v>
      </c>
      <c r="F5469" t="str">
        <f t="shared" si="1218"/>
        <v>9362095732</v>
      </c>
      <c r="G5469" s="1">
        <v>44694</v>
      </c>
      <c r="H5469" t="str">
        <f>"97111"</f>
        <v>97111</v>
      </c>
      <c r="I5469">
        <v>1</v>
      </c>
      <c r="J5469">
        <v>18</v>
      </c>
      <c r="K5469">
        <v>0</v>
      </c>
      <c r="L5469">
        <v>14.04</v>
      </c>
    </row>
    <row r="5470" spans="1:12" x14ac:dyDescent="0.25">
      <c r="A5470" t="str">
        <f t="shared" si="1210"/>
        <v>89301000</v>
      </c>
      <c r="B5470" t="str">
        <f t="shared" ref="B5470:B5495" si="1219">"75311000"</f>
        <v>75311000</v>
      </c>
      <c r="C5470" t="str">
        <f>"75311001"</f>
        <v>75311001</v>
      </c>
      <c r="D5470" t="str">
        <f>"818"</f>
        <v>818</v>
      </c>
      <c r="E5470" t="str">
        <f t="shared" ref="E5470:E5495" si="1220">"89301167"</f>
        <v>89301167</v>
      </c>
      <c r="F5470" t="str">
        <f t="shared" ref="F5470:F5495" si="1221">"5957040397"</f>
        <v>5957040397</v>
      </c>
      <c r="G5470" s="1">
        <v>44699</v>
      </c>
      <c r="H5470" t="str">
        <f>"96167"</f>
        <v>96167</v>
      </c>
      <c r="I5470">
        <v>1</v>
      </c>
      <c r="J5470">
        <v>67</v>
      </c>
      <c r="K5470">
        <v>0</v>
      </c>
      <c r="L5470">
        <v>60.97</v>
      </c>
    </row>
    <row r="5471" spans="1:12" x14ac:dyDescent="0.25">
      <c r="A5471" t="str">
        <f t="shared" si="1210"/>
        <v>89301000</v>
      </c>
      <c r="B5471" t="str">
        <f t="shared" si="1219"/>
        <v>75311000</v>
      </c>
      <c r="C5471" t="str">
        <f t="shared" ref="C5471:C5495" si="1222">"75311715"</f>
        <v>75311715</v>
      </c>
      <c r="D5471" t="str">
        <f t="shared" ref="D5471:D5495" si="1223">"801"</f>
        <v>801</v>
      </c>
      <c r="E5471" t="str">
        <f t="shared" si="1220"/>
        <v>89301167</v>
      </c>
      <c r="F5471" t="str">
        <f t="shared" si="1221"/>
        <v>5957040397</v>
      </c>
      <c r="G5471" s="1">
        <v>44699</v>
      </c>
      <c r="H5471" t="str">
        <f>"81621"</f>
        <v>81621</v>
      </c>
      <c r="I5471">
        <v>1</v>
      </c>
      <c r="J5471">
        <v>19</v>
      </c>
      <c r="K5471">
        <v>0</v>
      </c>
      <c r="L5471">
        <v>14.82</v>
      </c>
    </row>
    <row r="5472" spans="1:12" x14ac:dyDescent="0.25">
      <c r="A5472" t="str">
        <f t="shared" si="1210"/>
        <v>89301000</v>
      </c>
      <c r="B5472" t="str">
        <f t="shared" si="1219"/>
        <v>75311000</v>
      </c>
      <c r="C5472" t="str">
        <f t="shared" si="1222"/>
        <v>75311715</v>
      </c>
      <c r="D5472" t="str">
        <f t="shared" si="1223"/>
        <v>801</v>
      </c>
      <c r="E5472" t="str">
        <f t="shared" si="1220"/>
        <v>89301167</v>
      </c>
      <c r="F5472" t="str">
        <f t="shared" si="1221"/>
        <v>5957040397</v>
      </c>
      <c r="G5472" s="1">
        <v>44699</v>
      </c>
      <c r="H5472" t="str">
        <f>"81499"</f>
        <v>81499</v>
      </c>
      <c r="I5472">
        <v>1</v>
      </c>
      <c r="J5472">
        <v>18</v>
      </c>
      <c r="K5472">
        <v>0</v>
      </c>
      <c r="L5472">
        <v>14.04</v>
      </c>
    </row>
    <row r="5473" spans="1:12" x14ac:dyDescent="0.25">
      <c r="A5473" t="str">
        <f t="shared" si="1210"/>
        <v>89301000</v>
      </c>
      <c r="B5473" t="str">
        <f t="shared" si="1219"/>
        <v>75311000</v>
      </c>
      <c r="C5473" t="str">
        <f t="shared" si="1222"/>
        <v>75311715</v>
      </c>
      <c r="D5473" t="str">
        <f t="shared" si="1223"/>
        <v>801</v>
      </c>
      <c r="E5473" t="str">
        <f t="shared" si="1220"/>
        <v>89301167</v>
      </c>
      <c r="F5473" t="str">
        <f t="shared" si="1221"/>
        <v>5957040397</v>
      </c>
      <c r="G5473" s="1">
        <v>44699</v>
      </c>
      <c r="H5473" t="str">
        <f>"81523"</f>
        <v>81523</v>
      </c>
      <c r="I5473">
        <v>1</v>
      </c>
      <c r="J5473">
        <v>23</v>
      </c>
      <c r="K5473">
        <v>0</v>
      </c>
      <c r="L5473">
        <v>17.940000000000001</v>
      </c>
    </row>
    <row r="5474" spans="1:12" x14ac:dyDescent="0.25">
      <c r="A5474" t="str">
        <f t="shared" si="1210"/>
        <v>89301000</v>
      </c>
      <c r="B5474" t="str">
        <f t="shared" si="1219"/>
        <v>75311000</v>
      </c>
      <c r="C5474" t="str">
        <f t="shared" si="1222"/>
        <v>75311715</v>
      </c>
      <c r="D5474" t="str">
        <f t="shared" si="1223"/>
        <v>801</v>
      </c>
      <c r="E5474" t="str">
        <f t="shared" si="1220"/>
        <v>89301167</v>
      </c>
      <c r="F5474" t="str">
        <f t="shared" si="1221"/>
        <v>5957040397</v>
      </c>
      <c r="G5474" s="1">
        <v>44699</v>
      </c>
      <c r="H5474" t="str">
        <f>"81593"</f>
        <v>81593</v>
      </c>
      <c r="I5474">
        <v>1</v>
      </c>
      <c r="J5474">
        <v>22</v>
      </c>
      <c r="K5474">
        <v>0</v>
      </c>
      <c r="L5474">
        <v>17.16</v>
      </c>
    </row>
    <row r="5475" spans="1:12" x14ac:dyDescent="0.25">
      <c r="A5475" t="str">
        <f t="shared" si="1210"/>
        <v>89301000</v>
      </c>
      <c r="B5475" t="str">
        <f t="shared" si="1219"/>
        <v>75311000</v>
      </c>
      <c r="C5475" t="str">
        <f t="shared" si="1222"/>
        <v>75311715</v>
      </c>
      <c r="D5475" t="str">
        <f t="shared" si="1223"/>
        <v>801</v>
      </c>
      <c r="E5475" t="str">
        <f t="shared" si="1220"/>
        <v>89301167</v>
      </c>
      <c r="F5475" t="str">
        <f t="shared" si="1221"/>
        <v>5957040397</v>
      </c>
      <c r="G5475" s="1">
        <v>44699</v>
      </c>
      <c r="H5475" t="str">
        <f>"81393"</f>
        <v>81393</v>
      </c>
      <c r="I5475">
        <v>1</v>
      </c>
      <c r="J5475">
        <v>24</v>
      </c>
      <c r="K5475">
        <v>0</v>
      </c>
      <c r="L5475">
        <v>18.72</v>
      </c>
    </row>
    <row r="5476" spans="1:12" x14ac:dyDescent="0.25">
      <c r="A5476" t="str">
        <f t="shared" si="1210"/>
        <v>89301000</v>
      </c>
      <c r="B5476" t="str">
        <f t="shared" si="1219"/>
        <v>75311000</v>
      </c>
      <c r="C5476" t="str">
        <f t="shared" si="1222"/>
        <v>75311715</v>
      </c>
      <c r="D5476" t="str">
        <f t="shared" si="1223"/>
        <v>801</v>
      </c>
      <c r="E5476" t="str">
        <f t="shared" si="1220"/>
        <v>89301167</v>
      </c>
      <c r="F5476" t="str">
        <f t="shared" si="1221"/>
        <v>5957040397</v>
      </c>
      <c r="G5476" s="1">
        <v>44699</v>
      </c>
      <c r="H5476" t="str">
        <f>"81469"</f>
        <v>81469</v>
      </c>
      <c r="I5476">
        <v>1</v>
      </c>
      <c r="J5476">
        <v>16</v>
      </c>
      <c r="K5476">
        <v>0</v>
      </c>
      <c r="L5476">
        <v>12.48</v>
      </c>
    </row>
    <row r="5477" spans="1:12" x14ac:dyDescent="0.25">
      <c r="A5477" t="str">
        <f t="shared" si="1210"/>
        <v>89301000</v>
      </c>
      <c r="B5477" t="str">
        <f t="shared" si="1219"/>
        <v>75311000</v>
      </c>
      <c r="C5477" t="str">
        <f t="shared" si="1222"/>
        <v>75311715</v>
      </c>
      <c r="D5477" t="str">
        <f t="shared" si="1223"/>
        <v>801</v>
      </c>
      <c r="E5477" t="str">
        <f t="shared" si="1220"/>
        <v>89301167</v>
      </c>
      <c r="F5477" t="str">
        <f t="shared" si="1221"/>
        <v>5957040397</v>
      </c>
      <c r="G5477" s="1">
        <v>44699</v>
      </c>
      <c r="H5477" t="str">
        <f>"81625"</f>
        <v>81625</v>
      </c>
      <c r="I5477">
        <v>1</v>
      </c>
      <c r="J5477">
        <v>20</v>
      </c>
      <c r="K5477">
        <v>0</v>
      </c>
      <c r="L5477">
        <v>15.6</v>
      </c>
    </row>
    <row r="5478" spans="1:12" x14ac:dyDescent="0.25">
      <c r="A5478" t="str">
        <f t="shared" si="1210"/>
        <v>89301000</v>
      </c>
      <c r="B5478" t="str">
        <f t="shared" si="1219"/>
        <v>75311000</v>
      </c>
      <c r="C5478" t="str">
        <f t="shared" si="1222"/>
        <v>75311715</v>
      </c>
      <c r="D5478" t="str">
        <f t="shared" si="1223"/>
        <v>801</v>
      </c>
      <c r="E5478" t="str">
        <f t="shared" si="1220"/>
        <v>89301167</v>
      </c>
      <c r="F5478" t="str">
        <f t="shared" si="1221"/>
        <v>5957040397</v>
      </c>
      <c r="G5478" s="1">
        <v>44699</v>
      </c>
      <c r="H5478" t="str">
        <f>"81361"</f>
        <v>81361</v>
      </c>
      <c r="I5478">
        <v>1</v>
      </c>
      <c r="J5478">
        <v>17</v>
      </c>
      <c r="K5478">
        <v>0</v>
      </c>
      <c r="L5478">
        <v>13.26</v>
      </c>
    </row>
    <row r="5479" spans="1:12" x14ac:dyDescent="0.25">
      <c r="A5479" t="str">
        <f t="shared" si="1210"/>
        <v>89301000</v>
      </c>
      <c r="B5479" t="str">
        <f t="shared" si="1219"/>
        <v>75311000</v>
      </c>
      <c r="C5479" t="str">
        <f t="shared" si="1222"/>
        <v>75311715</v>
      </c>
      <c r="D5479" t="str">
        <f t="shared" si="1223"/>
        <v>801</v>
      </c>
      <c r="E5479" t="str">
        <f t="shared" si="1220"/>
        <v>89301167</v>
      </c>
      <c r="F5479" t="str">
        <f t="shared" si="1221"/>
        <v>5957040397</v>
      </c>
      <c r="G5479" s="1">
        <v>44699</v>
      </c>
      <c r="H5479" t="str">
        <f>"81337"</f>
        <v>81337</v>
      </c>
      <c r="I5479">
        <v>1</v>
      </c>
      <c r="J5479">
        <v>19</v>
      </c>
      <c r="K5479">
        <v>0</v>
      </c>
      <c r="L5479">
        <v>14.82</v>
      </c>
    </row>
    <row r="5480" spans="1:12" x14ac:dyDescent="0.25">
      <c r="A5480" t="str">
        <f t="shared" si="1210"/>
        <v>89301000</v>
      </c>
      <c r="B5480" t="str">
        <f t="shared" si="1219"/>
        <v>75311000</v>
      </c>
      <c r="C5480" t="str">
        <f t="shared" si="1222"/>
        <v>75311715</v>
      </c>
      <c r="D5480" t="str">
        <f t="shared" si="1223"/>
        <v>801</v>
      </c>
      <c r="E5480" t="str">
        <f t="shared" si="1220"/>
        <v>89301167</v>
      </c>
      <c r="F5480" t="str">
        <f t="shared" si="1221"/>
        <v>5957040397</v>
      </c>
      <c r="G5480" s="1">
        <v>44699</v>
      </c>
      <c r="H5480" t="str">
        <f>"81357"</f>
        <v>81357</v>
      </c>
      <c r="I5480">
        <v>1</v>
      </c>
      <c r="J5480">
        <v>19</v>
      </c>
      <c r="K5480">
        <v>0</v>
      </c>
      <c r="L5480">
        <v>14.82</v>
      </c>
    </row>
    <row r="5481" spans="1:12" x14ac:dyDescent="0.25">
      <c r="A5481" t="str">
        <f t="shared" si="1210"/>
        <v>89301000</v>
      </c>
      <c r="B5481" t="str">
        <f t="shared" si="1219"/>
        <v>75311000</v>
      </c>
      <c r="C5481" t="str">
        <f t="shared" si="1222"/>
        <v>75311715</v>
      </c>
      <c r="D5481" t="str">
        <f t="shared" si="1223"/>
        <v>801</v>
      </c>
      <c r="E5481" t="str">
        <f t="shared" si="1220"/>
        <v>89301167</v>
      </c>
      <c r="F5481" t="str">
        <f t="shared" si="1221"/>
        <v>5957040397</v>
      </c>
      <c r="G5481" s="1">
        <v>44699</v>
      </c>
      <c r="H5481" t="str">
        <f>"81435"</f>
        <v>81435</v>
      </c>
      <c r="I5481">
        <v>1</v>
      </c>
      <c r="J5481">
        <v>22</v>
      </c>
      <c r="K5481">
        <v>0</v>
      </c>
      <c r="L5481">
        <v>17.16</v>
      </c>
    </row>
    <row r="5482" spans="1:12" x14ac:dyDescent="0.25">
      <c r="A5482" t="str">
        <f t="shared" si="1210"/>
        <v>89301000</v>
      </c>
      <c r="B5482" t="str">
        <f t="shared" si="1219"/>
        <v>75311000</v>
      </c>
      <c r="C5482" t="str">
        <f t="shared" si="1222"/>
        <v>75311715</v>
      </c>
      <c r="D5482" t="str">
        <f t="shared" si="1223"/>
        <v>801</v>
      </c>
      <c r="E5482" t="str">
        <f t="shared" si="1220"/>
        <v>89301167</v>
      </c>
      <c r="F5482" t="str">
        <f t="shared" si="1221"/>
        <v>5957040397</v>
      </c>
      <c r="G5482" s="1">
        <v>44699</v>
      </c>
      <c r="H5482" t="str">
        <f>"81421"</f>
        <v>81421</v>
      </c>
      <c r="I5482">
        <v>1</v>
      </c>
      <c r="J5482">
        <v>19</v>
      </c>
      <c r="K5482">
        <v>0</v>
      </c>
      <c r="L5482">
        <v>14.82</v>
      </c>
    </row>
    <row r="5483" spans="1:12" x14ac:dyDescent="0.25">
      <c r="A5483" t="str">
        <f t="shared" si="1210"/>
        <v>89301000</v>
      </c>
      <c r="B5483" t="str">
        <f t="shared" si="1219"/>
        <v>75311000</v>
      </c>
      <c r="C5483" t="str">
        <f t="shared" si="1222"/>
        <v>75311715</v>
      </c>
      <c r="D5483" t="str">
        <f t="shared" si="1223"/>
        <v>801</v>
      </c>
      <c r="E5483" t="str">
        <f t="shared" si="1220"/>
        <v>89301167</v>
      </c>
      <c r="F5483" t="str">
        <f t="shared" si="1221"/>
        <v>5957040397</v>
      </c>
      <c r="G5483" s="1">
        <v>44699</v>
      </c>
      <c r="H5483" t="str">
        <f>"81383"</f>
        <v>81383</v>
      </c>
      <c r="I5483">
        <v>1</v>
      </c>
      <c r="J5483">
        <v>23</v>
      </c>
      <c r="K5483">
        <v>0</v>
      </c>
      <c r="L5483">
        <v>17.940000000000001</v>
      </c>
    </row>
    <row r="5484" spans="1:12" x14ac:dyDescent="0.25">
      <c r="A5484" t="str">
        <f t="shared" si="1210"/>
        <v>89301000</v>
      </c>
      <c r="B5484" t="str">
        <f t="shared" si="1219"/>
        <v>75311000</v>
      </c>
      <c r="C5484" t="str">
        <f t="shared" si="1222"/>
        <v>75311715</v>
      </c>
      <c r="D5484" t="str">
        <f t="shared" si="1223"/>
        <v>801</v>
      </c>
      <c r="E5484" t="str">
        <f t="shared" si="1220"/>
        <v>89301167</v>
      </c>
      <c r="F5484" t="str">
        <f t="shared" si="1221"/>
        <v>5957040397</v>
      </c>
      <c r="G5484" s="1">
        <v>44699</v>
      </c>
      <c r="H5484" t="str">
        <f>"81471"</f>
        <v>81471</v>
      </c>
      <c r="I5484">
        <v>1</v>
      </c>
      <c r="J5484">
        <v>24</v>
      </c>
      <c r="K5484">
        <v>0</v>
      </c>
      <c r="L5484">
        <v>18.72</v>
      </c>
    </row>
    <row r="5485" spans="1:12" x14ac:dyDescent="0.25">
      <c r="A5485" t="str">
        <f t="shared" si="1210"/>
        <v>89301000</v>
      </c>
      <c r="B5485" t="str">
        <f t="shared" si="1219"/>
        <v>75311000</v>
      </c>
      <c r="C5485" t="str">
        <f t="shared" si="1222"/>
        <v>75311715</v>
      </c>
      <c r="D5485" t="str">
        <f t="shared" si="1223"/>
        <v>801</v>
      </c>
      <c r="E5485" t="str">
        <f t="shared" si="1220"/>
        <v>89301167</v>
      </c>
      <c r="F5485" t="str">
        <f t="shared" si="1221"/>
        <v>5957040397</v>
      </c>
      <c r="G5485" s="1">
        <v>44699</v>
      </c>
      <c r="H5485" t="str">
        <f>"81473"</f>
        <v>81473</v>
      </c>
      <c r="I5485">
        <v>1</v>
      </c>
      <c r="J5485">
        <v>51</v>
      </c>
      <c r="K5485">
        <v>0</v>
      </c>
      <c r="L5485">
        <v>39.78</v>
      </c>
    </row>
    <row r="5486" spans="1:12" x14ac:dyDescent="0.25">
      <c r="A5486" t="str">
        <f t="shared" si="1210"/>
        <v>89301000</v>
      </c>
      <c r="B5486" t="str">
        <f t="shared" si="1219"/>
        <v>75311000</v>
      </c>
      <c r="C5486" t="str">
        <f t="shared" si="1222"/>
        <v>75311715</v>
      </c>
      <c r="D5486" t="str">
        <f t="shared" si="1223"/>
        <v>801</v>
      </c>
      <c r="E5486" t="str">
        <f t="shared" si="1220"/>
        <v>89301167</v>
      </c>
      <c r="F5486" t="str">
        <f t="shared" si="1221"/>
        <v>5957040397</v>
      </c>
      <c r="G5486" s="1">
        <v>44699</v>
      </c>
      <c r="H5486" t="str">
        <f>"81527"</f>
        <v>81527</v>
      </c>
      <c r="I5486">
        <v>1</v>
      </c>
      <c r="J5486">
        <v>62</v>
      </c>
      <c r="K5486">
        <v>0</v>
      </c>
      <c r="L5486">
        <v>48.36</v>
      </c>
    </row>
    <row r="5487" spans="1:12" x14ac:dyDescent="0.25">
      <c r="A5487" t="str">
        <f t="shared" si="1210"/>
        <v>89301000</v>
      </c>
      <c r="B5487" t="str">
        <f t="shared" si="1219"/>
        <v>75311000</v>
      </c>
      <c r="C5487" t="str">
        <f t="shared" si="1222"/>
        <v>75311715</v>
      </c>
      <c r="D5487" t="str">
        <f t="shared" si="1223"/>
        <v>801</v>
      </c>
      <c r="E5487" t="str">
        <f t="shared" si="1220"/>
        <v>89301167</v>
      </c>
      <c r="F5487" t="str">
        <f t="shared" si="1221"/>
        <v>5957040397</v>
      </c>
      <c r="G5487" s="1">
        <v>44699</v>
      </c>
      <c r="H5487" t="str">
        <f>"81611"</f>
        <v>81611</v>
      </c>
      <c r="I5487">
        <v>1</v>
      </c>
      <c r="J5487">
        <v>29</v>
      </c>
      <c r="K5487">
        <v>0</v>
      </c>
      <c r="L5487">
        <v>22.62</v>
      </c>
    </row>
    <row r="5488" spans="1:12" x14ac:dyDescent="0.25">
      <c r="A5488" t="str">
        <f t="shared" si="1210"/>
        <v>89301000</v>
      </c>
      <c r="B5488" t="str">
        <f t="shared" si="1219"/>
        <v>75311000</v>
      </c>
      <c r="C5488" t="str">
        <f t="shared" si="1222"/>
        <v>75311715</v>
      </c>
      <c r="D5488" t="str">
        <f t="shared" si="1223"/>
        <v>801</v>
      </c>
      <c r="E5488" t="str">
        <f t="shared" si="1220"/>
        <v>89301167</v>
      </c>
      <c r="F5488" t="str">
        <f t="shared" si="1221"/>
        <v>5957040397</v>
      </c>
      <c r="G5488" s="1">
        <v>44699</v>
      </c>
      <c r="H5488" t="str">
        <f>"81365"</f>
        <v>81365</v>
      </c>
      <c r="I5488">
        <v>1</v>
      </c>
      <c r="J5488">
        <v>16</v>
      </c>
      <c r="K5488">
        <v>0</v>
      </c>
      <c r="L5488">
        <v>12.48</v>
      </c>
    </row>
    <row r="5489" spans="1:12" x14ac:dyDescent="0.25">
      <c r="A5489" t="str">
        <f t="shared" si="1210"/>
        <v>89301000</v>
      </c>
      <c r="B5489" t="str">
        <f t="shared" si="1219"/>
        <v>75311000</v>
      </c>
      <c r="C5489" t="str">
        <f t="shared" si="1222"/>
        <v>75311715</v>
      </c>
      <c r="D5489" t="str">
        <f t="shared" si="1223"/>
        <v>801</v>
      </c>
      <c r="E5489" t="str">
        <f t="shared" si="1220"/>
        <v>89301167</v>
      </c>
      <c r="F5489" t="str">
        <f t="shared" si="1221"/>
        <v>5957040397</v>
      </c>
      <c r="G5489" s="1">
        <v>44699</v>
      </c>
      <c r="H5489" t="str">
        <f>"81439"</f>
        <v>81439</v>
      </c>
      <c r="I5489">
        <v>1</v>
      </c>
      <c r="J5489">
        <v>16</v>
      </c>
      <c r="K5489">
        <v>0</v>
      </c>
      <c r="L5489">
        <v>12.48</v>
      </c>
    </row>
    <row r="5490" spans="1:12" x14ac:dyDescent="0.25">
      <c r="A5490" t="str">
        <f t="shared" si="1210"/>
        <v>89301000</v>
      </c>
      <c r="B5490" t="str">
        <f t="shared" si="1219"/>
        <v>75311000</v>
      </c>
      <c r="C5490" t="str">
        <f t="shared" si="1222"/>
        <v>75311715</v>
      </c>
      <c r="D5490" t="str">
        <f t="shared" si="1223"/>
        <v>801</v>
      </c>
      <c r="E5490" t="str">
        <f t="shared" si="1220"/>
        <v>89301167</v>
      </c>
      <c r="F5490" t="str">
        <f t="shared" si="1221"/>
        <v>5957040397</v>
      </c>
      <c r="G5490" s="1">
        <v>44699</v>
      </c>
      <c r="H5490" t="str">
        <f>"91153"</f>
        <v>91153</v>
      </c>
      <c r="I5490">
        <v>1</v>
      </c>
      <c r="J5490">
        <v>152</v>
      </c>
      <c r="K5490">
        <v>0</v>
      </c>
      <c r="L5490">
        <v>118.56</v>
      </c>
    </row>
    <row r="5491" spans="1:12" x14ac:dyDescent="0.25">
      <c r="A5491" t="str">
        <f t="shared" si="1210"/>
        <v>89301000</v>
      </c>
      <c r="B5491" t="str">
        <f t="shared" si="1219"/>
        <v>75311000</v>
      </c>
      <c r="C5491" t="str">
        <f t="shared" si="1222"/>
        <v>75311715</v>
      </c>
      <c r="D5491" t="str">
        <f t="shared" si="1223"/>
        <v>801</v>
      </c>
      <c r="E5491" t="str">
        <f t="shared" si="1220"/>
        <v>89301167</v>
      </c>
      <c r="F5491" t="str">
        <f t="shared" si="1221"/>
        <v>5957040397</v>
      </c>
      <c r="G5491" s="1">
        <v>44699</v>
      </c>
      <c r="H5491" t="str">
        <f>"81329"</f>
        <v>81329</v>
      </c>
      <c r="I5491">
        <v>1</v>
      </c>
      <c r="J5491">
        <v>16</v>
      </c>
      <c r="K5491">
        <v>0</v>
      </c>
      <c r="L5491">
        <v>12.48</v>
      </c>
    </row>
    <row r="5492" spans="1:12" x14ac:dyDescent="0.25">
      <c r="A5492" t="str">
        <f t="shared" si="1210"/>
        <v>89301000</v>
      </c>
      <c r="B5492" t="str">
        <f t="shared" si="1219"/>
        <v>75311000</v>
      </c>
      <c r="C5492" t="str">
        <f t="shared" si="1222"/>
        <v>75311715</v>
      </c>
      <c r="D5492" t="str">
        <f t="shared" si="1223"/>
        <v>801</v>
      </c>
      <c r="E5492" t="str">
        <f t="shared" si="1220"/>
        <v>89301167</v>
      </c>
      <c r="F5492" t="str">
        <f t="shared" si="1221"/>
        <v>5957040397</v>
      </c>
      <c r="G5492" s="1">
        <v>44699</v>
      </c>
      <c r="H5492" t="str">
        <f>"97111"</f>
        <v>97111</v>
      </c>
      <c r="I5492">
        <v>2</v>
      </c>
      <c r="J5492">
        <v>36</v>
      </c>
      <c r="K5492">
        <v>0</v>
      </c>
      <c r="L5492">
        <v>28.08</v>
      </c>
    </row>
    <row r="5493" spans="1:12" x14ac:dyDescent="0.25">
      <c r="A5493" t="str">
        <f t="shared" si="1210"/>
        <v>89301000</v>
      </c>
      <c r="B5493" t="str">
        <f t="shared" si="1219"/>
        <v>75311000</v>
      </c>
      <c r="C5493" t="str">
        <f t="shared" si="1222"/>
        <v>75311715</v>
      </c>
      <c r="D5493" t="str">
        <f t="shared" si="1223"/>
        <v>801</v>
      </c>
      <c r="E5493" t="str">
        <f t="shared" si="1220"/>
        <v>89301167</v>
      </c>
      <c r="F5493" t="str">
        <f t="shared" si="1221"/>
        <v>5957040397</v>
      </c>
      <c r="G5493" s="1">
        <v>44699</v>
      </c>
      <c r="H5493" t="str">
        <f>"81683"</f>
        <v>81683</v>
      </c>
      <c r="I5493">
        <v>1</v>
      </c>
      <c r="J5493">
        <v>7</v>
      </c>
      <c r="K5493">
        <v>0</v>
      </c>
      <c r="L5493">
        <v>5.46</v>
      </c>
    </row>
    <row r="5494" spans="1:12" x14ac:dyDescent="0.25">
      <c r="A5494" t="str">
        <f t="shared" si="1210"/>
        <v>89301000</v>
      </c>
      <c r="B5494" t="str">
        <f t="shared" si="1219"/>
        <v>75311000</v>
      </c>
      <c r="C5494" t="str">
        <f t="shared" si="1222"/>
        <v>75311715</v>
      </c>
      <c r="D5494" t="str">
        <f t="shared" si="1223"/>
        <v>801</v>
      </c>
      <c r="E5494" t="str">
        <f t="shared" si="1220"/>
        <v>89301167</v>
      </c>
      <c r="F5494" t="str">
        <f t="shared" si="1221"/>
        <v>5957040397</v>
      </c>
      <c r="G5494" s="1">
        <v>44699</v>
      </c>
      <c r="H5494" t="str">
        <f>"93195"</f>
        <v>93195</v>
      </c>
      <c r="I5494">
        <v>1</v>
      </c>
      <c r="J5494">
        <v>181</v>
      </c>
      <c r="K5494">
        <v>0</v>
      </c>
      <c r="L5494">
        <v>141.18</v>
      </c>
    </row>
    <row r="5495" spans="1:12" x14ac:dyDescent="0.25">
      <c r="A5495" t="str">
        <f t="shared" si="1210"/>
        <v>89301000</v>
      </c>
      <c r="B5495" t="str">
        <f t="shared" si="1219"/>
        <v>75311000</v>
      </c>
      <c r="C5495" t="str">
        <f t="shared" si="1222"/>
        <v>75311715</v>
      </c>
      <c r="D5495" t="str">
        <f t="shared" si="1223"/>
        <v>801</v>
      </c>
      <c r="E5495" t="str">
        <f t="shared" si="1220"/>
        <v>89301167</v>
      </c>
      <c r="F5495" t="str">
        <f t="shared" si="1221"/>
        <v>5957040397</v>
      </c>
      <c r="G5495" s="1">
        <v>44699</v>
      </c>
      <c r="H5495" t="str">
        <f>"93189"</f>
        <v>93189</v>
      </c>
      <c r="I5495">
        <v>1</v>
      </c>
      <c r="J5495">
        <v>189</v>
      </c>
      <c r="K5495">
        <v>0</v>
      </c>
      <c r="L5495">
        <v>147.41999999999999</v>
      </c>
    </row>
    <row r="5496" spans="1:12" x14ac:dyDescent="0.25">
      <c r="A5496" t="str">
        <f t="shared" si="1210"/>
        <v>89301000</v>
      </c>
      <c r="B5496" t="str">
        <f>"77001000"</f>
        <v>77001000</v>
      </c>
      <c r="C5496" t="str">
        <f>"77001073"</f>
        <v>77001073</v>
      </c>
      <c r="D5496" t="str">
        <f>"810"</f>
        <v>810</v>
      </c>
      <c r="E5496" t="str">
        <f>"89301172"</f>
        <v>89301172</v>
      </c>
      <c r="F5496" t="str">
        <f>"7311180998"</f>
        <v>7311180998</v>
      </c>
      <c r="G5496" s="1">
        <v>44683</v>
      </c>
      <c r="H5496" t="str">
        <f>"89713"</f>
        <v>89713</v>
      </c>
      <c r="I5496">
        <v>1</v>
      </c>
      <c r="J5496">
        <v>5362</v>
      </c>
      <c r="K5496">
        <v>0</v>
      </c>
      <c r="L5496">
        <v>3217.2</v>
      </c>
    </row>
    <row r="5497" spans="1:12" x14ac:dyDescent="0.25">
      <c r="A5497" t="str">
        <f t="shared" si="1210"/>
        <v>89301000</v>
      </c>
      <c r="B5497" t="str">
        <f>"77001000"</f>
        <v>77001000</v>
      </c>
      <c r="C5497" t="str">
        <f>"77001073"</f>
        <v>77001073</v>
      </c>
      <c r="D5497" t="str">
        <f>"810"</f>
        <v>810</v>
      </c>
      <c r="E5497" t="str">
        <f>"89301062"</f>
        <v>89301062</v>
      </c>
      <c r="F5497" t="str">
        <f>"8010164668"</f>
        <v>8010164668</v>
      </c>
      <c r="G5497" s="1">
        <v>44705</v>
      </c>
      <c r="H5497" t="str">
        <f>"89713"</f>
        <v>89713</v>
      </c>
      <c r="I5497">
        <v>1</v>
      </c>
      <c r="J5497">
        <v>5362</v>
      </c>
      <c r="K5497">
        <v>0</v>
      </c>
      <c r="L5497">
        <v>3217.2</v>
      </c>
    </row>
    <row r="5498" spans="1:12" x14ac:dyDescent="0.25">
      <c r="A5498" t="str">
        <f t="shared" si="1210"/>
        <v>89301000</v>
      </c>
      <c r="B5498" t="str">
        <f>"87004000"</f>
        <v>87004000</v>
      </c>
      <c r="C5498" t="str">
        <f>"87004900"</f>
        <v>87004900</v>
      </c>
      <c r="D5498" t="str">
        <f>"810"</f>
        <v>810</v>
      </c>
      <c r="E5498" t="str">
        <f>"89301062"</f>
        <v>89301062</v>
      </c>
      <c r="F5498" t="str">
        <f>"526013336"</f>
        <v>526013336</v>
      </c>
      <c r="G5498" s="1">
        <v>44684</v>
      </c>
      <c r="H5498" t="str">
        <f>"89713"</f>
        <v>89713</v>
      </c>
      <c r="I5498">
        <v>1</v>
      </c>
      <c r="J5498">
        <v>5362</v>
      </c>
      <c r="K5498">
        <v>0</v>
      </c>
      <c r="L5498">
        <v>3217.2</v>
      </c>
    </row>
    <row r="5499" spans="1:12" x14ac:dyDescent="0.25">
      <c r="A5499" t="str">
        <f t="shared" si="1210"/>
        <v>89301000</v>
      </c>
      <c r="B5499" t="str">
        <f>"87004000"</f>
        <v>87004000</v>
      </c>
      <c r="C5499" t="str">
        <f>"87004900"</f>
        <v>87004900</v>
      </c>
      <c r="D5499" t="str">
        <f>"810"</f>
        <v>810</v>
      </c>
      <c r="E5499" t="str">
        <f>"89301062"</f>
        <v>89301062</v>
      </c>
      <c r="F5499" t="str">
        <f>"526013336"</f>
        <v>526013336</v>
      </c>
      <c r="G5499" s="1">
        <v>44684</v>
      </c>
      <c r="H5499" t="str">
        <f>"89725"</f>
        <v>89725</v>
      </c>
      <c r="I5499">
        <v>1</v>
      </c>
      <c r="J5499">
        <v>2839</v>
      </c>
      <c r="K5499">
        <v>0</v>
      </c>
      <c r="L5499">
        <v>1703.4</v>
      </c>
    </row>
    <row r="5500" spans="1:12" x14ac:dyDescent="0.25">
      <c r="A5500" t="str">
        <f t="shared" si="1210"/>
        <v>89301000</v>
      </c>
      <c r="B5500" t="str">
        <f>"87001000"</f>
        <v>87001000</v>
      </c>
      <c r="C5500" t="str">
        <f>"87001589"</f>
        <v>87001589</v>
      </c>
      <c r="D5500" t="str">
        <f>"809"</f>
        <v>809</v>
      </c>
      <c r="E5500" t="str">
        <f>"89301062"</f>
        <v>89301062</v>
      </c>
      <c r="F5500" t="str">
        <f>"526013336"</f>
        <v>526013336</v>
      </c>
      <c r="G5500" s="1">
        <v>44698</v>
      </c>
      <c r="H5500" t="str">
        <f>"89119"</f>
        <v>89119</v>
      </c>
      <c r="I5500">
        <v>1</v>
      </c>
      <c r="J5500">
        <v>200</v>
      </c>
      <c r="K5500">
        <v>0</v>
      </c>
      <c r="L5500">
        <v>280</v>
      </c>
    </row>
    <row r="5501" spans="1:12" x14ac:dyDescent="0.25">
      <c r="A5501" t="str">
        <f t="shared" si="1210"/>
        <v>89301000</v>
      </c>
      <c r="B5501" t="str">
        <f>"72100000"</f>
        <v>72100000</v>
      </c>
      <c r="C5501" t="str">
        <f>"72100632"</f>
        <v>72100632</v>
      </c>
      <c r="D5501" t="str">
        <f>"816"</f>
        <v>816</v>
      </c>
      <c r="E5501" t="str">
        <f>"89301091"</f>
        <v>89301091</v>
      </c>
      <c r="F5501" t="str">
        <f>"2202220834"</f>
        <v>2202220834</v>
      </c>
      <c r="G5501" s="1">
        <v>44623</v>
      </c>
      <c r="H5501" t="str">
        <f>"94297"</f>
        <v>94297</v>
      </c>
      <c r="I5501">
        <v>1</v>
      </c>
      <c r="J5501">
        <v>298</v>
      </c>
      <c r="K5501">
        <v>0</v>
      </c>
      <c r="L5501">
        <v>366.54</v>
      </c>
    </row>
    <row r="5502" spans="1:12" x14ac:dyDescent="0.25">
      <c r="A5502" t="str">
        <f t="shared" si="1210"/>
        <v>89301000</v>
      </c>
      <c r="B5502" t="str">
        <f t="shared" ref="B5502:B5533" si="1224">"89383000"</f>
        <v>89383000</v>
      </c>
      <c r="C5502" t="str">
        <f t="shared" ref="C5502:C5533" si="1225">"89383002"</f>
        <v>89383002</v>
      </c>
      <c r="D5502" t="str">
        <f t="shared" ref="D5502:D5533" si="1226">"809"</f>
        <v>809</v>
      </c>
      <c r="E5502" t="str">
        <f t="shared" ref="E5502:E5517" si="1227">"89301212"</f>
        <v>89301212</v>
      </c>
      <c r="F5502" t="str">
        <f>"6255100148"</f>
        <v>6255100148</v>
      </c>
      <c r="G5502" s="1">
        <v>44662</v>
      </c>
      <c r="H5502" t="str">
        <f>"89180"</f>
        <v>89180</v>
      </c>
      <c r="I5502">
        <v>2</v>
      </c>
      <c r="J5502">
        <v>752</v>
      </c>
      <c r="K5502">
        <v>0</v>
      </c>
      <c r="L5502">
        <v>1052.8</v>
      </c>
    </row>
    <row r="5503" spans="1:12" x14ac:dyDescent="0.25">
      <c r="A5503" t="str">
        <f t="shared" si="1210"/>
        <v>89301000</v>
      </c>
      <c r="B5503" t="str">
        <f t="shared" si="1224"/>
        <v>89383000</v>
      </c>
      <c r="C5503" t="str">
        <f t="shared" si="1225"/>
        <v>89383002</v>
      </c>
      <c r="D5503" t="str">
        <f t="shared" si="1226"/>
        <v>809</v>
      </c>
      <c r="E5503" t="str">
        <f t="shared" si="1227"/>
        <v>89301212</v>
      </c>
      <c r="F5503" t="str">
        <f>"6255100148"</f>
        <v>6255100148</v>
      </c>
      <c r="G5503" s="1">
        <v>44662</v>
      </c>
      <c r="H5503" t="str">
        <f>"89512"</f>
        <v>89512</v>
      </c>
      <c r="I5503">
        <v>1</v>
      </c>
      <c r="J5503">
        <v>277</v>
      </c>
      <c r="K5503">
        <v>0</v>
      </c>
      <c r="L5503">
        <v>387.8</v>
      </c>
    </row>
    <row r="5504" spans="1:12" x14ac:dyDescent="0.25">
      <c r="A5504" t="str">
        <f t="shared" si="1210"/>
        <v>89301000</v>
      </c>
      <c r="B5504" t="str">
        <f t="shared" si="1224"/>
        <v>89383000</v>
      </c>
      <c r="C5504" t="str">
        <f t="shared" si="1225"/>
        <v>89383002</v>
      </c>
      <c r="D5504" t="str">
        <f t="shared" si="1226"/>
        <v>809</v>
      </c>
      <c r="E5504" t="str">
        <f t="shared" si="1227"/>
        <v>89301212</v>
      </c>
      <c r="F5504" t="str">
        <f>"6255100148"</f>
        <v>6255100148</v>
      </c>
      <c r="G5504" s="1">
        <v>44662</v>
      </c>
      <c r="H5504" t="str">
        <f>"89513"</f>
        <v>89513</v>
      </c>
      <c r="I5504">
        <v>1</v>
      </c>
      <c r="J5504">
        <v>371</v>
      </c>
      <c r="K5504">
        <v>0</v>
      </c>
      <c r="L5504">
        <v>519.4</v>
      </c>
    </row>
    <row r="5505" spans="1:12" x14ac:dyDescent="0.25">
      <c r="A5505" t="str">
        <f t="shared" si="1210"/>
        <v>89301000</v>
      </c>
      <c r="B5505" t="str">
        <f t="shared" si="1224"/>
        <v>89383000</v>
      </c>
      <c r="C5505" t="str">
        <f t="shared" si="1225"/>
        <v>89383002</v>
      </c>
      <c r="D5505" t="str">
        <f t="shared" si="1226"/>
        <v>809</v>
      </c>
      <c r="E5505" t="str">
        <f t="shared" si="1227"/>
        <v>89301212</v>
      </c>
      <c r="F5505" t="str">
        <f>"6255100148"</f>
        <v>6255100148</v>
      </c>
      <c r="G5505" s="1">
        <v>44662</v>
      </c>
      <c r="H5505" t="str">
        <f>"89514"</f>
        <v>89514</v>
      </c>
      <c r="I5505">
        <v>1</v>
      </c>
      <c r="J5505">
        <v>371</v>
      </c>
      <c r="K5505">
        <v>0</v>
      </c>
      <c r="L5505">
        <v>519.4</v>
      </c>
    </row>
    <row r="5506" spans="1:12" x14ac:dyDescent="0.25">
      <c r="A5506" t="str">
        <f t="shared" ref="A5506:A5569" si="1228">"89301000"</f>
        <v>89301000</v>
      </c>
      <c r="B5506" t="str">
        <f t="shared" si="1224"/>
        <v>89383000</v>
      </c>
      <c r="C5506" t="str">
        <f t="shared" si="1225"/>
        <v>89383002</v>
      </c>
      <c r="D5506" t="str">
        <f t="shared" si="1226"/>
        <v>809</v>
      </c>
      <c r="E5506" t="str">
        <f t="shared" si="1227"/>
        <v>89301212</v>
      </c>
      <c r="F5506" t="str">
        <f>"5456072490"</f>
        <v>5456072490</v>
      </c>
      <c r="G5506" s="1">
        <v>44679</v>
      </c>
      <c r="H5506" t="str">
        <f>"89514"</f>
        <v>89514</v>
      </c>
      <c r="I5506">
        <v>1</v>
      </c>
      <c r="J5506">
        <v>371</v>
      </c>
      <c r="K5506">
        <v>0</v>
      </c>
      <c r="L5506">
        <v>519.4</v>
      </c>
    </row>
    <row r="5507" spans="1:12" x14ac:dyDescent="0.25">
      <c r="A5507" t="str">
        <f t="shared" si="1228"/>
        <v>89301000</v>
      </c>
      <c r="B5507" t="str">
        <f t="shared" si="1224"/>
        <v>89383000</v>
      </c>
      <c r="C5507" t="str">
        <f t="shared" si="1225"/>
        <v>89383002</v>
      </c>
      <c r="D5507" t="str">
        <f t="shared" si="1226"/>
        <v>809</v>
      </c>
      <c r="E5507" t="str">
        <f t="shared" si="1227"/>
        <v>89301212</v>
      </c>
      <c r="F5507" t="str">
        <f>"5456072490"</f>
        <v>5456072490</v>
      </c>
      <c r="G5507" s="1">
        <v>44679</v>
      </c>
      <c r="H5507" t="str">
        <f>"89513"</f>
        <v>89513</v>
      </c>
      <c r="I5507">
        <v>1</v>
      </c>
      <c r="J5507">
        <v>371</v>
      </c>
      <c r="K5507">
        <v>0</v>
      </c>
      <c r="L5507">
        <v>519.4</v>
      </c>
    </row>
    <row r="5508" spans="1:12" x14ac:dyDescent="0.25">
      <c r="A5508" t="str">
        <f t="shared" si="1228"/>
        <v>89301000</v>
      </c>
      <c r="B5508" t="str">
        <f t="shared" si="1224"/>
        <v>89383000</v>
      </c>
      <c r="C5508" t="str">
        <f t="shared" si="1225"/>
        <v>89383002</v>
      </c>
      <c r="D5508" t="str">
        <f t="shared" si="1226"/>
        <v>809</v>
      </c>
      <c r="E5508" t="str">
        <f t="shared" si="1227"/>
        <v>89301212</v>
      </c>
      <c r="F5508" t="str">
        <f>"6561280055"</f>
        <v>6561280055</v>
      </c>
      <c r="G5508" s="1">
        <v>44683</v>
      </c>
      <c r="H5508" t="str">
        <f>"89513"</f>
        <v>89513</v>
      </c>
      <c r="I5508">
        <v>1</v>
      </c>
      <c r="J5508">
        <v>371</v>
      </c>
      <c r="K5508">
        <v>0</v>
      </c>
      <c r="L5508">
        <v>519.4</v>
      </c>
    </row>
    <row r="5509" spans="1:12" x14ac:dyDescent="0.25">
      <c r="A5509" t="str">
        <f t="shared" si="1228"/>
        <v>89301000</v>
      </c>
      <c r="B5509" t="str">
        <f t="shared" si="1224"/>
        <v>89383000</v>
      </c>
      <c r="C5509" t="str">
        <f t="shared" si="1225"/>
        <v>89383002</v>
      </c>
      <c r="D5509" t="str">
        <f t="shared" si="1226"/>
        <v>809</v>
      </c>
      <c r="E5509" t="str">
        <f t="shared" si="1227"/>
        <v>89301212</v>
      </c>
      <c r="F5509" t="str">
        <f>"6561280055"</f>
        <v>6561280055</v>
      </c>
      <c r="G5509" s="1">
        <v>44683</v>
      </c>
      <c r="H5509" t="str">
        <f>"89514"</f>
        <v>89514</v>
      </c>
      <c r="I5509">
        <v>1</v>
      </c>
      <c r="J5509">
        <v>371</v>
      </c>
      <c r="K5509">
        <v>0</v>
      </c>
      <c r="L5509">
        <v>519.4</v>
      </c>
    </row>
    <row r="5510" spans="1:12" x14ac:dyDescent="0.25">
      <c r="A5510" t="str">
        <f t="shared" si="1228"/>
        <v>89301000</v>
      </c>
      <c r="B5510" t="str">
        <f t="shared" si="1224"/>
        <v>89383000</v>
      </c>
      <c r="C5510" t="str">
        <f t="shared" si="1225"/>
        <v>89383002</v>
      </c>
      <c r="D5510" t="str">
        <f t="shared" si="1226"/>
        <v>809</v>
      </c>
      <c r="E5510" t="str">
        <f t="shared" si="1227"/>
        <v>89301212</v>
      </c>
      <c r="F5510" t="str">
        <f>"505303128"</f>
        <v>505303128</v>
      </c>
      <c r="G5510" s="1">
        <v>44684</v>
      </c>
      <c r="H5510" t="str">
        <f>"89512"</f>
        <v>89512</v>
      </c>
      <c r="I5510">
        <v>1</v>
      </c>
      <c r="J5510">
        <v>277</v>
      </c>
      <c r="K5510">
        <v>0</v>
      </c>
      <c r="L5510">
        <v>387.8</v>
      </c>
    </row>
    <row r="5511" spans="1:12" x14ac:dyDescent="0.25">
      <c r="A5511" t="str">
        <f t="shared" si="1228"/>
        <v>89301000</v>
      </c>
      <c r="B5511" t="str">
        <f t="shared" si="1224"/>
        <v>89383000</v>
      </c>
      <c r="C5511" t="str">
        <f t="shared" si="1225"/>
        <v>89383002</v>
      </c>
      <c r="D5511" t="str">
        <f t="shared" si="1226"/>
        <v>809</v>
      </c>
      <c r="E5511" t="str">
        <f t="shared" si="1227"/>
        <v>89301212</v>
      </c>
      <c r="F5511" t="str">
        <f>"505303128"</f>
        <v>505303128</v>
      </c>
      <c r="G5511" s="1">
        <v>44685</v>
      </c>
      <c r="H5511" t="str">
        <f>"89512"</f>
        <v>89512</v>
      </c>
      <c r="I5511">
        <v>1</v>
      </c>
      <c r="J5511">
        <v>277</v>
      </c>
      <c r="K5511">
        <v>0</v>
      </c>
      <c r="L5511">
        <v>387.8</v>
      </c>
    </row>
    <row r="5512" spans="1:12" x14ac:dyDescent="0.25">
      <c r="A5512" t="str">
        <f t="shared" si="1228"/>
        <v>89301000</v>
      </c>
      <c r="B5512" t="str">
        <f t="shared" si="1224"/>
        <v>89383000</v>
      </c>
      <c r="C5512" t="str">
        <f t="shared" si="1225"/>
        <v>89383002</v>
      </c>
      <c r="D5512" t="str">
        <f t="shared" si="1226"/>
        <v>809</v>
      </c>
      <c r="E5512" t="str">
        <f t="shared" si="1227"/>
        <v>89301212</v>
      </c>
      <c r="F5512" t="str">
        <f>"505303128"</f>
        <v>505303128</v>
      </c>
      <c r="G5512" s="1">
        <v>44685</v>
      </c>
      <c r="H5512" t="str">
        <f>"89311"</f>
        <v>89311</v>
      </c>
      <c r="I5512">
        <v>1</v>
      </c>
      <c r="J5512">
        <v>936</v>
      </c>
      <c r="K5512">
        <v>0</v>
      </c>
      <c r="L5512">
        <v>1310.4000000000001</v>
      </c>
    </row>
    <row r="5513" spans="1:12" x14ac:dyDescent="0.25">
      <c r="A5513" t="str">
        <f t="shared" si="1228"/>
        <v>89301000</v>
      </c>
      <c r="B5513" t="str">
        <f t="shared" si="1224"/>
        <v>89383000</v>
      </c>
      <c r="C5513" t="str">
        <f t="shared" si="1225"/>
        <v>89383002</v>
      </c>
      <c r="D5513" t="str">
        <f t="shared" si="1226"/>
        <v>809</v>
      </c>
      <c r="E5513" t="str">
        <f t="shared" si="1227"/>
        <v>89301212</v>
      </c>
      <c r="F5513" t="str">
        <f>"535117123"</f>
        <v>535117123</v>
      </c>
      <c r="G5513" s="1">
        <v>44685</v>
      </c>
      <c r="H5513" t="str">
        <f>"89313"</f>
        <v>89313</v>
      </c>
      <c r="I5513">
        <v>1</v>
      </c>
      <c r="J5513">
        <v>406</v>
      </c>
      <c r="K5513">
        <v>0</v>
      </c>
      <c r="L5513">
        <v>568.4</v>
      </c>
    </row>
    <row r="5514" spans="1:12" x14ac:dyDescent="0.25">
      <c r="A5514" t="str">
        <f t="shared" si="1228"/>
        <v>89301000</v>
      </c>
      <c r="B5514" t="str">
        <f t="shared" si="1224"/>
        <v>89383000</v>
      </c>
      <c r="C5514" t="str">
        <f t="shared" si="1225"/>
        <v>89383002</v>
      </c>
      <c r="D5514" t="str">
        <f t="shared" si="1226"/>
        <v>809</v>
      </c>
      <c r="E5514" t="str">
        <f t="shared" si="1227"/>
        <v>89301212</v>
      </c>
      <c r="F5514" t="str">
        <f>"535117123"</f>
        <v>535117123</v>
      </c>
      <c r="G5514" s="1">
        <v>44685</v>
      </c>
      <c r="H5514" t="str">
        <f>"09233"</f>
        <v>09233</v>
      </c>
      <c r="I5514">
        <v>1</v>
      </c>
      <c r="J5514">
        <v>99</v>
      </c>
      <c r="K5514">
        <v>0</v>
      </c>
      <c r="L5514">
        <v>138.6</v>
      </c>
    </row>
    <row r="5515" spans="1:12" x14ac:dyDescent="0.25">
      <c r="A5515" t="str">
        <f t="shared" si="1228"/>
        <v>89301000</v>
      </c>
      <c r="B5515" t="str">
        <f t="shared" si="1224"/>
        <v>89383000</v>
      </c>
      <c r="C5515" t="str">
        <f t="shared" si="1225"/>
        <v>89383002</v>
      </c>
      <c r="D5515" t="str">
        <f t="shared" si="1226"/>
        <v>809</v>
      </c>
      <c r="E5515" t="str">
        <f t="shared" si="1227"/>
        <v>89301212</v>
      </c>
      <c r="F5515" t="str">
        <f>"535117123"</f>
        <v>535117123</v>
      </c>
      <c r="G5515" s="1">
        <v>44685</v>
      </c>
      <c r="H5515" t="str">
        <f>"89180"</f>
        <v>89180</v>
      </c>
      <c r="I5515">
        <v>1</v>
      </c>
      <c r="J5515">
        <v>376</v>
      </c>
      <c r="K5515">
        <v>0</v>
      </c>
      <c r="L5515">
        <v>526.4</v>
      </c>
    </row>
    <row r="5516" spans="1:12" x14ac:dyDescent="0.25">
      <c r="A5516" t="str">
        <f t="shared" si="1228"/>
        <v>89301000</v>
      </c>
      <c r="B5516" t="str">
        <f t="shared" si="1224"/>
        <v>89383000</v>
      </c>
      <c r="C5516" t="str">
        <f t="shared" si="1225"/>
        <v>89383002</v>
      </c>
      <c r="D5516" t="str">
        <f t="shared" si="1226"/>
        <v>809</v>
      </c>
      <c r="E5516" t="str">
        <f t="shared" si="1227"/>
        <v>89301212</v>
      </c>
      <c r="F5516" t="str">
        <f>"535117123"</f>
        <v>535117123</v>
      </c>
      <c r="G5516" s="1">
        <v>44685</v>
      </c>
      <c r="H5516" t="str">
        <f>"0225891"</f>
        <v>0225891</v>
      </c>
      <c r="I5516">
        <v>0.05</v>
      </c>
      <c r="K5516">
        <v>18.39</v>
      </c>
      <c r="L5516">
        <v>18.39</v>
      </c>
    </row>
    <row r="5517" spans="1:12" x14ac:dyDescent="0.25">
      <c r="A5517" t="str">
        <f t="shared" si="1228"/>
        <v>89301000</v>
      </c>
      <c r="B5517" t="str">
        <f t="shared" si="1224"/>
        <v>89383000</v>
      </c>
      <c r="C5517" t="str">
        <f t="shared" si="1225"/>
        <v>89383002</v>
      </c>
      <c r="D5517" t="str">
        <f t="shared" si="1226"/>
        <v>809</v>
      </c>
      <c r="E5517" t="str">
        <f t="shared" si="1227"/>
        <v>89301212</v>
      </c>
      <c r="F5517" t="str">
        <f>"535117123"</f>
        <v>535117123</v>
      </c>
      <c r="G5517" s="1">
        <v>44685</v>
      </c>
      <c r="H5517" t="str">
        <f>"0082502"</f>
        <v>0082502</v>
      </c>
      <c r="I5517">
        <v>1</v>
      </c>
      <c r="K5517">
        <v>2093</v>
      </c>
      <c r="L5517">
        <v>2093</v>
      </c>
    </row>
    <row r="5518" spans="1:12" x14ac:dyDescent="0.25">
      <c r="A5518" t="str">
        <f t="shared" si="1228"/>
        <v>89301000</v>
      </c>
      <c r="B5518" t="str">
        <f t="shared" si="1224"/>
        <v>89383000</v>
      </c>
      <c r="C5518" t="str">
        <f t="shared" si="1225"/>
        <v>89383002</v>
      </c>
      <c r="D5518" t="str">
        <f t="shared" si="1226"/>
        <v>809</v>
      </c>
      <c r="E5518" t="str">
        <f>"89301215"</f>
        <v>89301215</v>
      </c>
      <c r="F5518" t="str">
        <f>"8258305363"</f>
        <v>8258305363</v>
      </c>
      <c r="G5518" s="1">
        <v>44685</v>
      </c>
      <c r="H5518" t="str">
        <f>"89512"</f>
        <v>89512</v>
      </c>
      <c r="I5518">
        <v>1</v>
      </c>
      <c r="J5518">
        <v>277</v>
      </c>
      <c r="K5518">
        <v>0</v>
      </c>
      <c r="L5518">
        <v>387.8</v>
      </c>
    </row>
    <row r="5519" spans="1:12" x14ac:dyDescent="0.25">
      <c r="A5519" t="str">
        <f t="shared" si="1228"/>
        <v>89301000</v>
      </c>
      <c r="B5519" t="str">
        <f t="shared" si="1224"/>
        <v>89383000</v>
      </c>
      <c r="C5519" t="str">
        <f t="shared" si="1225"/>
        <v>89383002</v>
      </c>
      <c r="D5519" t="str">
        <f t="shared" si="1226"/>
        <v>809</v>
      </c>
      <c r="E5519" t="str">
        <f>"89301212"</f>
        <v>89301212</v>
      </c>
      <c r="F5519" t="str">
        <f>"6861201391"</f>
        <v>6861201391</v>
      </c>
      <c r="G5519" s="1">
        <v>44687</v>
      </c>
      <c r="H5519" t="str">
        <f>"89513"</f>
        <v>89513</v>
      </c>
      <c r="I5519">
        <v>1</v>
      </c>
      <c r="J5519">
        <v>371</v>
      </c>
      <c r="K5519">
        <v>0</v>
      </c>
      <c r="L5519">
        <v>519.4</v>
      </c>
    </row>
    <row r="5520" spans="1:12" x14ac:dyDescent="0.25">
      <c r="A5520" t="str">
        <f t="shared" si="1228"/>
        <v>89301000</v>
      </c>
      <c r="B5520" t="str">
        <f t="shared" si="1224"/>
        <v>89383000</v>
      </c>
      <c r="C5520" t="str">
        <f t="shared" si="1225"/>
        <v>89383002</v>
      </c>
      <c r="D5520" t="str">
        <f t="shared" si="1226"/>
        <v>809</v>
      </c>
      <c r="E5520" t="str">
        <f>"89301212"</f>
        <v>89301212</v>
      </c>
      <c r="F5520" t="str">
        <f>"6861201391"</f>
        <v>6861201391</v>
      </c>
      <c r="G5520" s="1">
        <v>44687</v>
      </c>
      <c r="H5520" t="str">
        <f>"89514"</f>
        <v>89514</v>
      </c>
      <c r="I5520">
        <v>1</v>
      </c>
      <c r="J5520">
        <v>371</v>
      </c>
      <c r="K5520">
        <v>0</v>
      </c>
      <c r="L5520">
        <v>519.4</v>
      </c>
    </row>
    <row r="5521" spans="1:12" x14ac:dyDescent="0.25">
      <c r="A5521" t="str">
        <f t="shared" si="1228"/>
        <v>89301000</v>
      </c>
      <c r="B5521" t="str">
        <f t="shared" si="1224"/>
        <v>89383000</v>
      </c>
      <c r="C5521" t="str">
        <f t="shared" si="1225"/>
        <v>89383002</v>
      </c>
      <c r="D5521" t="str">
        <f t="shared" si="1226"/>
        <v>809</v>
      </c>
      <c r="E5521" t="str">
        <f>"89301212"</f>
        <v>89301212</v>
      </c>
      <c r="F5521" t="str">
        <f>"465305401"</f>
        <v>465305401</v>
      </c>
      <c r="G5521" s="1">
        <v>44687</v>
      </c>
      <c r="H5521" t="str">
        <f>"89513"</f>
        <v>89513</v>
      </c>
      <c r="I5521">
        <v>1</v>
      </c>
      <c r="J5521">
        <v>371</v>
      </c>
      <c r="K5521">
        <v>0</v>
      </c>
      <c r="L5521">
        <v>519.4</v>
      </c>
    </row>
    <row r="5522" spans="1:12" x14ac:dyDescent="0.25">
      <c r="A5522" t="str">
        <f t="shared" si="1228"/>
        <v>89301000</v>
      </c>
      <c r="B5522" t="str">
        <f t="shared" si="1224"/>
        <v>89383000</v>
      </c>
      <c r="C5522" t="str">
        <f t="shared" si="1225"/>
        <v>89383002</v>
      </c>
      <c r="D5522" t="str">
        <f t="shared" si="1226"/>
        <v>809</v>
      </c>
      <c r="E5522" t="str">
        <f>"89301212"</f>
        <v>89301212</v>
      </c>
      <c r="F5522" t="str">
        <f>"465305401"</f>
        <v>465305401</v>
      </c>
      <c r="G5522" s="1">
        <v>44687</v>
      </c>
      <c r="H5522" t="str">
        <f>"89514"</f>
        <v>89514</v>
      </c>
      <c r="I5522">
        <v>1</v>
      </c>
      <c r="J5522">
        <v>371</v>
      </c>
      <c r="K5522">
        <v>0</v>
      </c>
      <c r="L5522">
        <v>519.4</v>
      </c>
    </row>
    <row r="5523" spans="1:12" x14ac:dyDescent="0.25">
      <c r="A5523" t="str">
        <f t="shared" si="1228"/>
        <v>89301000</v>
      </c>
      <c r="B5523" t="str">
        <f t="shared" si="1224"/>
        <v>89383000</v>
      </c>
      <c r="C5523" t="str">
        <f t="shared" si="1225"/>
        <v>89383002</v>
      </c>
      <c r="D5523" t="str">
        <f t="shared" si="1226"/>
        <v>809</v>
      </c>
      <c r="E5523" t="str">
        <f t="shared" ref="E5523:E5531" si="1229">"89301215"</f>
        <v>89301215</v>
      </c>
      <c r="F5523" t="str">
        <f>"7158265334"</f>
        <v>7158265334</v>
      </c>
      <c r="G5523" s="1">
        <v>44690</v>
      </c>
      <c r="H5523" t="str">
        <f>"89512"</f>
        <v>89512</v>
      </c>
      <c r="I5523">
        <v>1</v>
      </c>
      <c r="J5523">
        <v>277</v>
      </c>
      <c r="K5523">
        <v>0</v>
      </c>
      <c r="L5523">
        <v>387.8</v>
      </c>
    </row>
    <row r="5524" spans="1:12" x14ac:dyDescent="0.25">
      <c r="A5524" t="str">
        <f t="shared" si="1228"/>
        <v>89301000</v>
      </c>
      <c r="B5524" t="str">
        <f t="shared" si="1224"/>
        <v>89383000</v>
      </c>
      <c r="C5524" t="str">
        <f t="shared" si="1225"/>
        <v>89383002</v>
      </c>
      <c r="D5524" t="str">
        <f t="shared" si="1226"/>
        <v>809</v>
      </c>
      <c r="E5524" t="str">
        <f t="shared" si="1229"/>
        <v>89301215</v>
      </c>
      <c r="F5524" t="str">
        <f>"7158265334"</f>
        <v>7158265334</v>
      </c>
      <c r="G5524" s="1">
        <v>44690</v>
      </c>
      <c r="H5524" t="str">
        <f>"89513"</f>
        <v>89513</v>
      </c>
      <c r="I5524">
        <v>1</v>
      </c>
      <c r="J5524">
        <v>371</v>
      </c>
      <c r="K5524">
        <v>0</v>
      </c>
      <c r="L5524">
        <v>519.4</v>
      </c>
    </row>
    <row r="5525" spans="1:12" x14ac:dyDescent="0.25">
      <c r="A5525" t="str">
        <f t="shared" si="1228"/>
        <v>89301000</v>
      </c>
      <c r="B5525" t="str">
        <f t="shared" si="1224"/>
        <v>89383000</v>
      </c>
      <c r="C5525" t="str">
        <f t="shared" si="1225"/>
        <v>89383002</v>
      </c>
      <c r="D5525" t="str">
        <f t="shared" si="1226"/>
        <v>809</v>
      </c>
      <c r="E5525" t="str">
        <f t="shared" si="1229"/>
        <v>89301215</v>
      </c>
      <c r="F5525" t="str">
        <f>"7158265334"</f>
        <v>7158265334</v>
      </c>
      <c r="G5525" s="1">
        <v>44690</v>
      </c>
      <c r="H5525" t="str">
        <f>"89514"</f>
        <v>89514</v>
      </c>
      <c r="I5525">
        <v>1</v>
      </c>
      <c r="J5525">
        <v>371</v>
      </c>
      <c r="K5525">
        <v>0</v>
      </c>
      <c r="L5525">
        <v>519.4</v>
      </c>
    </row>
    <row r="5526" spans="1:12" x14ac:dyDescent="0.25">
      <c r="A5526" t="str">
        <f t="shared" si="1228"/>
        <v>89301000</v>
      </c>
      <c r="B5526" t="str">
        <f t="shared" si="1224"/>
        <v>89383000</v>
      </c>
      <c r="C5526" t="str">
        <f t="shared" si="1225"/>
        <v>89383002</v>
      </c>
      <c r="D5526" t="str">
        <f t="shared" si="1226"/>
        <v>809</v>
      </c>
      <c r="E5526" t="str">
        <f t="shared" si="1229"/>
        <v>89301215</v>
      </c>
      <c r="F5526" t="str">
        <f t="shared" ref="F5526:F5531" si="1230">"8258305363"</f>
        <v>8258305363</v>
      </c>
      <c r="G5526" s="1">
        <v>44686</v>
      </c>
      <c r="H5526" t="str">
        <f>"89313"</f>
        <v>89313</v>
      </c>
      <c r="I5526">
        <v>1</v>
      </c>
      <c r="J5526">
        <v>406</v>
      </c>
      <c r="K5526">
        <v>0</v>
      </c>
      <c r="L5526">
        <v>568.4</v>
      </c>
    </row>
    <row r="5527" spans="1:12" x14ac:dyDescent="0.25">
      <c r="A5527" t="str">
        <f t="shared" si="1228"/>
        <v>89301000</v>
      </c>
      <c r="B5527" t="str">
        <f t="shared" si="1224"/>
        <v>89383000</v>
      </c>
      <c r="C5527" t="str">
        <f t="shared" si="1225"/>
        <v>89383002</v>
      </c>
      <c r="D5527" t="str">
        <f t="shared" si="1226"/>
        <v>809</v>
      </c>
      <c r="E5527" t="str">
        <f t="shared" si="1229"/>
        <v>89301215</v>
      </c>
      <c r="F5527" t="str">
        <f t="shared" si="1230"/>
        <v>8258305363</v>
      </c>
      <c r="G5527" s="1">
        <v>44686</v>
      </c>
      <c r="H5527" t="str">
        <f>"09233"</f>
        <v>09233</v>
      </c>
      <c r="I5527">
        <v>1</v>
      </c>
      <c r="J5527">
        <v>99</v>
      </c>
      <c r="K5527">
        <v>0</v>
      </c>
      <c r="L5527">
        <v>138.6</v>
      </c>
    </row>
    <row r="5528" spans="1:12" x14ac:dyDescent="0.25">
      <c r="A5528" t="str">
        <f t="shared" si="1228"/>
        <v>89301000</v>
      </c>
      <c r="B5528" t="str">
        <f t="shared" si="1224"/>
        <v>89383000</v>
      </c>
      <c r="C5528" t="str">
        <f t="shared" si="1225"/>
        <v>89383002</v>
      </c>
      <c r="D5528" t="str">
        <f t="shared" si="1226"/>
        <v>809</v>
      </c>
      <c r="E5528" t="str">
        <f t="shared" si="1229"/>
        <v>89301215</v>
      </c>
      <c r="F5528" t="str">
        <f t="shared" si="1230"/>
        <v>8258305363</v>
      </c>
      <c r="G5528" s="1">
        <v>44686</v>
      </c>
      <c r="H5528" t="str">
        <f>"89515"</f>
        <v>89515</v>
      </c>
      <c r="I5528">
        <v>1</v>
      </c>
      <c r="J5528">
        <v>339</v>
      </c>
      <c r="K5528">
        <v>0</v>
      </c>
      <c r="L5528">
        <v>474.6</v>
      </c>
    </row>
    <row r="5529" spans="1:12" x14ac:dyDescent="0.25">
      <c r="A5529" t="str">
        <f t="shared" si="1228"/>
        <v>89301000</v>
      </c>
      <c r="B5529" t="str">
        <f t="shared" si="1224"/>
        <v>89383000</v>
      </c>
      <c r="C5529" t="str">
        <f t="shared" si="1225"/>
        <v>89383002</v>
      </c>
      <c r="D5529" t="str">
        <f t="shared" si="1226"/>
        <v>809</v>
      </c>
      <c r="E5529" t="str">
        <f t="shared" si="1229"/>
        <v>89301215</v>
      </c>
      <c r="F5529" t="str">
        <f t="shared" si="1230"/>
        <v>8258305363</v>
      </c>
      <c r="G5529" s="1">
        <v>44686</v>
      </c>
      <c r="H5529" t="str">
        <f>"89512"</f>
        <v>89512</v>
      </c>
      <c r="I5529">
        <v>1</v>
      </c>
      <c r="J5529">
        <v>277</v>
      </c>
      <c r="K5529">
        <v>0</v>
      </c>
      <c r="L5529">
        <v>387.8</v>
      </c>
    </row>
    <row r="5530" spans="1:12" x14ac:dyDescent="0.25">
      <c r="A5530" t="str">
        <f t="shared" si="1228"/>
        <v>89301000</v>
      </c>
      <c r="B5530" t="str">
        <f t="shared" si="1224"/>
        <v>89383000</v>
      </c>
      <c r="C5530" t="str">
        <f t="shared" si="1225"/>
        <v>89383002</v>
      </c>
      <c r="D5530" t="str">
        <f t="shared" si="1226"/>
        <v>809</v>
      </c>
      <c r="E5530" t="str">
        <f t="shared" si="1229"/>
        <v>89301215</v>
      </c>
      <c r="F5530" t="str">
        <f t="shared" si="1230"/>
        <v>8258305363</v>
      </c>
      <c r="G5530" s="1">
        <v>44686</v>
      </c>
      <c r="H5530" t="str">
        <f>"0225891"</f>
        <v>0225891</v>
      </c>
      <c r="I5530">
        <v>0.05</v>
      </c>
      <c r="K5530">
        <v>18.39</v>
      </c>
      <c r="L5530">
        <v>18.39</v>
      </c>
    </row>
    <row r="5531" spans="1:12" x14ac:dyDescent="0.25">
      <c r="A5531" t="str">
        <f t="shared" si="1228"/>
        <v>89301000</v>
      </c>
      <c r="B5531" t="str">
        <f t="shared" si="1224"/>
        <v>89383000</v>
      </c>
      <c r="C5531" t="str">
        <f t="shared" si="1225"/>
        <v>89383002</v>
      </c>
      <c r="D5531" t="str">
        <f t="shared" si="1226"/>
        <v>809</v>
      </c>
      <c r="E5531" t="str">
        <f t="shared" si="1229"/>
        <v>89301215</v>
      </c>
      <c r="F5531" t="str">
        <f t="shared" si="1230"/>
        <v>8258305363</v>
      </c>
      <c r="G5531" s="1">
        <v>44686</v>
      </c>
      <c r="H5531" t="str">
        <f>"0142908"</f>
        <v>0142908</v>
      </c>
      <c r="I5531">
        <v>1</v>
      </c>
      <c r="K5531">
        <v>910</v>
      </c>
      <c r="L5531">
        <v>910</v>
      </c>
    </row>
    <row r="5532" spans="1:12" x14ac:dyDescent="0.25">
      <c r="A5532" t="str">
        <f t="shared" si="1228"/>
        <v>89301000</v>
      </c>
      <c r="B5532" t="str">
        <f t="shared" si="1224"/>
        <v>89383000</v>
      </c>
      <c r="C5532" t="str">
        <f t="shared" si="1225"/>
        <v>89383002</v>
      </c>
      <c r="D5532" t="str">
        <f t="shared" si="1226"/>
        <v>809</v>
      </c>
      <c r="E5532" t="str">
        <f t="shared" ref="E5532:E5544" si="1231">"89301212"</f>
        <v>89301212</v>
      </c>
      <c r="F5532" t="str">
        <f>"7358145344"</f>
        <v>7358145344</v>
      </c>
      <c r="G5532" s="1">
        <v>44691</v>
      </c>
      <c r="H5532" t="str">
        <f>"89180"</f>
        <v>89180</v>
      </c>
      <c r="I5532">
        <v>1</v>
      </c>
      <c r="J5532">
        <v>376</v>
      </c>
      <c r="K5532">
        <v>0</v>
      </c>
      <c r="L5532">
        <v>526.4</v>
      </c>
    </row>
    <row r="5533" spans="1:12" x14ac:dyDescent="0.25">
      <c r="A5533" t="str">
        <f t="shared" si="1228"/>
        <v>89301000</v>
      </c>
      <c r="B5533" t="str">
        <f t="shared" si="1224"/>
        <v>89383000</v>
      </c>
      <c r="C5533" t="str">
        <f t="shared" si="1225"/>
        <v>89383002</v>
      </c>
      <c r="D5533" t="str">
        <f t="shared" si="1226"/>
        <v>809</v>
      </c>
      <c r="E5533" t="str">
        <f t="shared" si="1231"/>
        <v>89301212</v>
      </c>
      <c r="F5533" t="str">
        <f>"7358145344"</f>
        <v>7358145344</v>
      </c>
      <c r="G5533" s="1">
        <v>44691</v>
      </c>
      <c r="H5533" t="str">
        <f>"89512"</f>
        <v>89512</v>
      </c>
      <c r="I5533">
        <v>1</v>
      </c>
      <c r="J5533">
        <v>277</v>
      </c>
      <c r="K5533">
        <v>0</v>
      </c>
      <c r="L5533">
        <v>387.8</v>
      </c>
    </row>
    <row r="5534" spans="1:12" x14ac:dyDescent="0.25">
      <c r="A5534" t="str">
        <f t="shared" si="1228"/>
        <v>89301000</v>
      </c>
      <c r="B5534" t="str">
        <f t="shared" ref="B5534:B5565" si="1232">"89383000"</f>
        <v>89383000</v>
      </c>
      <c r="C5534" t="str">
        <f t="shared" ref="C5534:C5565" si="1233">"89383002"</f>
        <v>89383002</v>
      </c>
      <c r="D5534" t="str">
        <f t="shared" ref="D5534:D5565" si="1234">"809"</f>
        <v>809</v>
      </c>
      <c r="E5534" t="str">
        <f t="shared" si="1231"/>
        <v>89301212</v>
      </c>
      <c r="F5534" t="str">
        <f>"6558160466"</f>
        <v>6558160466</v>
      </c>
      <c r="G5534" s="1">
        <v>44692</v>
      </c>
      <c r="H5534" t="str">
        <f>"89513"</f>
        <v>89513</v>
      </c>
      <c r="I5534">
        <v>1</v>
      </c>
      <c r="J5534">
        <v>371</v>
      </c>
      <c r="K5534">
        <v>0</v>
      </c>
      <c r="L5534">
        <v>519.4</v>
      </c>
    </row>
    <row r="5535" spans="1:12" x14ac:dyDescent="0.25">
      <c r="A5535" t="str">
        <f t="shared" si="1228"/>
        <v>89301000</v>
      </c>
      <c r="B5535" t="str">
        <f t="shared" si="1232"/>
        <v>89383000</v>
      </c>
      <c r="C5535" t="str">
        <f t="shared" si="1233"/>
        <v>89383002</v>
      </c>
      <c r="D5535" t="str">
        <f t="shared" si="1234"/>
        <v>809</v>
      </c>
      <c r="E5535" t="str">
        <f t="shared" si="1231"/>
        <v>89301212</v>
      </c>
      <c r="F5535" t="str">
        <f>"6558160466"</f>
        <v>6558160466</v>
      </c>
      <c r="G5535" s="1">
        <v>44692</v>
      </c>
      <c r="H5535" t="str">
        <f>"89514"</f>
        <v>89514</v>
      </c>
      <c r="I5535">
        <v>1</v>
      </c>
      <c r="J5535">
        <v>371</v>
      </c>
      <c r="K5535">
        <v>0</v>
      </c>
      <c r="L5535">
        <v>519.4</v>
      </c>
    </row>
    <row r="5536" spans="1:12" x14ac:dyDescent="0.25">
      <c r="A5536" t="str">
        <f t="shared" si="1228"/>
        <v>89301000</v>
      </c>
      <c r="B5536" t="str">
        <f t="shared" si="1232"/>
        <v>89383000</v>
      </c>
      <c r="C5536" t="str">
        <f t="shared" si="1233"/>
        <v>89383002</v>
      </c>
      <c r="D5536" t="str">
        <f t="shared" si="1234"/>
        <v>809</v>
      </c>
      <c r="E5536" t="str">
        <f t="shared" si="1231"/>
        <v>89301212</v>
      </c>
      <c r="F5536" t="str">
        <f>"7856295315"</f>
        <v>7856295315</v>
      </c>
      <c r="G5536" s="1">
        <v>44692</v>
      </c>
      <c r="H5536" t="str">
        <f>"89512"</f>
        <v>89512</v>
      </c>
      <c r="I5536">
        <v>1</v>
      </c>
      <c r="J5536">
        <v>277</v>
      </c>
      <c r="K5536">
        <v>0</v>
      </c>
      <c r="L5536">
        <v>387.8</v>
      </c>
    </row>
    <row r="5537" spans="1:12" x14ac:dyDescent="0.25">
      <c r="A5537" t="str">
        <f t="shared" si="1228"/>
        <v>89301000</v>
      </c>
      <c r="B5537" t="str">
        <f t="shared" si="1232"/>
        <v>89383000</v>
      </c>
      <c r="C5537" t="str">
        <f t="shared" si="1233"/>
        <v>89383002</v>
      </c>
      <c r="D5537" t="str">
        <f t="shared" si="1234"/>
        <v>809</v>
      </c>
      <c r="E5537" t="str">
        <f t="shared" si="1231"/>
        <v>89301212</v>
      </c>
      <c r="F5537" t="str">
        <f>"7455255324"</f>
        <v>7455255324</v>
      </c>
      <c r="G5537" s="1">
        <v>44692</v>
      </c>
      <c r="H5537" t="str">
        <f>"89180"</f>
        <v>89180</v>
      </c>
      <c r="I5537">
        <v>2</v>
      </c>
      <c r="J5537">
        <v>752</v>
      </c>
      <c r="K5537">
        <v>0</v>
      </c>
      <c r="L5537">
        <v>1052.8</v>
      </c>
    </row>
    <row r="5538" spans="1:12" x14ac:dyDescent="0.25">
      <c r="A5538" t="str">
        <f t="shared" si="1228"/>
        <v>89301000</v>
      </c>
      <c r="B5538" t="str">
        <f t="shared" si="1232"/>
        <v>89383000</v>
      </c>
      <c r="C5538" t="str">
        <f t="shared" si="1233"/>
        <v>89383002</v>
      </c>
      <c r="D5538" t="str">
        <f t="shared" si="1234"/>
        <v>809</v>
      </c>
      <c r="E5538" t="str">
        <f t="shared" si="1231"/>
        <v>89301212</v>
      </c>
      <c r="F5538" t="str">
        <f>"7455255324"</f>
        <v>7455255324</v>
      </c>
      <c r="G5538" s="1">
        <v>44692</v>
      </c>
      <c r="H5538" t="str">
        <f>"89512"</f>
        <v>89512</v>
      </c>
      <c r="I5538">
        <v>1</v>
      </c>
      <c r="J5538">
        <v>277</v>
      </c>
      <c r="K5538">
        <v>0</v>
      </c>
      <c r="L5538">
        <v>387.8</v>
      </c>
    </row>
    <row r="5539" spans="1:12" x14ac:dyDescent="0.25">
      <c r="A5539" t="str">
        <f t="shared" si="1228"/>
        <v>89301000</v>
      </c>
      <c r="B5539" t="str">
        <f t="shared" si="1232"/>
        <v>89383000</v>
      </c>
      <c r="C5539" t="str">
        <f t="shared" si="1233"/>
        <v>89383002</v>
      </c>
      <c r="D5539" t="str">
        <f t="shared" si="1234"/>
        <v>809</v>
      </c>
      <c r="E5539" t="str">
        <f t="shared" si="1231"/>
        <v>89301212</v>
      </c>
      <c r="F5539" t="str">
        <f t="shared" ref="F5539:F5544" si="1235">"5861161482"</f>
        <v>5861161482</v>
      </c>
      <c r="G5539" s="1">
        <v>44692</v>
      </c>
      <c r="H5539" t="str">
        <f>"89313"</f>
        <v>89313</v>
      </c>
      <c r="I5539">
        <v>1</v>
      </c>
      <c r="J5539">
        <v>406</v>
      </c>
      <c r="K5539">
        <v>0</v>
      </c>
      <c r="L5539">
        <v>568.4</v>
      </c>
    </row>
    <row r="5540" spans="1:12" x14ac:dyDescent="0.25">
      <c r="A5540" t="str">
        <f t="shared" si="1228"/>
        <v>89301000</v>
      </c>
      <c r="B5540" t="str">
        <f t="shared" si="1232"/>
        <v>89383000</v>
      </c>
      <c r="C5540" t="str">
        <f t="shared" si="1233"/>
        <v>89383002</v>
      </c>
      <c r="D5540" t="str">
        <f t="shared" si="1234"/>
        <v>809</v>
      </c>
      <c r="E5540" t="str">
        <f t="shared" si="1231"/>
        <v>89301212</v>
      </c>
      <c r="F5540" t="str">
        <f t="shared" si="1235"/>
        <v>5861161482</v>
      </c>
      <c r="G5540" s="1">
        <v>44692</v>
      </c>
      <c r="H5540" t="str">
        <f>"09233"</f>
        <v>09233</v>
      </c>
      <c r="I5540">
        <v>1</v>
      </c>
      <c r="J5540">
        <v>99</v>
      </c>
      <c r="K5540">
        <v>0</v>
      </c>
      <c r="L5540">
        <v>138.6</v>
      </c>
    </row>
    <row r="5541" spans="1:12" x14ac:dyDescent="0.25">
      <c r="A5541" t="str">
        <f t="shared" si="1228"/>
        <v>89301000</v>
      </c>
      <c r="B5541" t="str">
        <f t="shared" si="1232"/>
        <v>89383000</v>
      </c>
      <c r="C5541" t="str">
        <f t="shared" si="1233"/>
        <v>89383002</v>
      </c>
      <c r="D5541" t="str">
        <f t="shared" si="1234"/>
        <v>809</v>
      </c>
      <c r="E5541" t="str">
        <f t="shared" si="1231"/>
        <v>89301212</v>
      </c>
      <c r="F5541" t="str">
        <f t="shared" si="1235"/>
        <v>5861161482</v>
      </c>
      <c r="G5541" s="1">
        <v>44692</v>
      </c>
      <c r="H5541" t="str">
        <f>"89512"</f>
        <v>89512</v>
      </c>
      <c r="I5541">
        <v>1</v>
      </c>
      <c r="J5541">
        <v>277</v>
      </c>
      <c r="K5541">
        <v>0</v>
      </c>
      <c r="L5541">
        <v>387.8</v>
      </c>
    </row>
    <row r="5542" spans="1:12" x14ac:dyDescent="0.25">
      <c r="A5542" t="str">
        <f t="shared" si="1228"/>
        <v>89301000</v>
      </c>
      <c r="B5542" t="str">
        <f t="shared" si="1232"/>
        <v>89383000</v>
      </c>
      <c r="C5542" t="str">
        <f t="shared" si="1233"/>
        <v>89383002</v>
      </c>
      <c r="D5542" t="str">
        <f t="shared" si="1234"/>
        <v>809</v>
      </c>
      <c r="E5542" t="str">
        <f t="shared" si="1231"/>
        <v>89301212</v>
      </c>
      <c r="F5542" t="str">
        <f t="shared" si="1235"/>
        <v>5861161482</v>
      </c>
      <c r="G5542" s="1">
        <v>44692</v>
      </c>
      <c r="H5542" t="str">
        <f>"89180"</f>
        <v>89180</v>
      </c>
      <c r="I5542">
        <v>1</v>
      </c>
      <c r="J5542">
        <v>376</v>
      </c>
      <c r="K5542">
        <v>0</v>
      </c>
      <c r="L5542">
        <v>526.4</v>
      </c>
    </row>
    <row r="5543" spans="1:12" x14ac:dyDescent="0.25">
      <c r="A5543" t="str">
        <f t="shared" si="1228"/>
        <v>89301000</v>
      </c>
      <c r="B5543" t="str">
        <f t="shared" si="1232"/>
        <v>89383000</v>
      </c>
      <c r="C5543" t="str">
        <f t="shared" si="1233"/>
        <v>89383002</v>
      </c>
      <c r="D5543" t="str">
        <f t="shared" si="1234"/>
        <v>809</v>
      </c>
      <c r="E5543" t="str">
        <f t="shared" si="1231"/>
        <v>89301212</v>
      </c>
      <c r="F5543" t="str">
        <f t="shared" si="1235"/>
        <v>5861161482</v>
      </c>
      <c r="G5543" s="1">
        <v>44692</v>
      </c>
      <c r="H5543" t="str">
        <f>"0225891"</f>
        <v>0225891</v>
      </c>
      <c r="I5543">
        <v>0.05</v>
      </c>
      <c r="K5543">
        <v>18.39</v>
      </c>
      <c r="L5543">
        <v>18.39</v>
      </c>
    </row>
    <row r="5544" spans="1:12" x14ac:dyDescent="0.25">
      <c r="A5544" t="str">
        <f t="shared" si="1228"/>
        <v>89301000</v>
      </c>
      <c r="B5544" t="str">
        <f t="shared" si="1232"/>
        <v>89383000</v>
      </c>
      <c r="C5544" t="str">
        <f t="shared" si="1233"/>
        <v>89383002</v>
      </c>
      <c r="D5544" t="str">
        <f t="shared" si="1234"/>
        <v>809</v>
      </c>
      <c r="E5544" t="str">
        <f t="shared" si="1231"/>
        <v>89301212</v>
      </c>
      <c r="F5544" t="str">
        <f t="shared" si="1235"/>
        <v>5861161482</v>
      </c>
      <c r="G5544" s="1">
        <v>44692</v>
      </c>
      <c r="H5544" t="str">
        <f>"0082502"</f>
        <v>0082502</v>
      </c>
      <c r="I5544">
        <v>1</v>
      </c>
      <c r="K5544">
        <v>2093</v>
      </c>
      <c r="L5544">
        <v>2093</v>
      </c>
    </row>
    <row r="5545" spans="1:12" x14ac:dyDescent="0.25">
      <c r="A5545" t="str">
        <f t="shared" si="1228"/>
        <v>89301000</v>
      </c>
      <c r="B5545" t="str">
        <f t="shared" si="1232"/>
        <v>89383000</v>
      </c>
      <c r="C5545" t="str">
        <f t="shared" si="1233"/>
        <v>89383002</v>
      </c>
      <c r="D5545" t="str">
        <f t="shared" si="1234"/>
        <v>809</v>
      </c>
      <c r="E5545" t="str">
        <f>"89301045"</f>
        <v>89301045</v>
      </c>
      <c r="F5545" t="str">
        <f>"7259095360"</f>
        <v>7259095360</v>
      </c>
      <c r="G5545" s="1">
        <v>44693</v>
      </c>
      <c r="H5545" t="str">
        <f>"89513"</f>
        <v>89513</v>
      </c>
      <c r="I5545">
        <v>1</v>
      </c>
      <c r="J5545">
        <v>371</v>
      </c>
      <c r="K5545">
        <v>0</v>
      </c>
      <c r="L5545">
        <v>519.4</v>
      </c>
    </row>
    <row r="5546" spans="1:12" x14ac:dyDescent="0.25">
      <c r="A5546" t="str">
        <f t="shared" si="1228"/>
        <v>89301000</v>
      </c>
      <c r="B5546" t="str">
        <f t="shared" si="1232"/>
        <v>89383000</v>
      </c>
      <c r="C5546" t="str">
        <f t="shared" si="1233"/>
        <v>89383002</v>
      </c>
      <c r="D5546" t="str">
        <f t="shared" si="1234"/>
        <v>809</v>
      </c>
      <c r="E5546" t="str">
        <f>"89301045"</f>
        <v>89301045</v>
      </c>
      <c r="F5546" t="str">
        <f>"7259095360"</f>
        <v>7259095360</v>
      </c>
      <c r="G5546" s="1">
        <v>44693</v>
      </c>
      <c r="H5546" t="str">
        <f>"89514"</f>
        <v>89514</v>
      </c>
      <c r="I5546">
        <v>1</v>
      </c>
      <c r="J5546">
        <v>371</v>
      </c>
      <c r="K5546">
        <v>0</v>
      </c>
      <c r="L5546">
        <v>519.4</v>
      </c>
    </row>
    <row r="5547" spans="1:12" x14ac:dyDescent="0.25">
      <c r="A5547" t="str">
        <f t="shared" si="1228"/>
        <v>89301000</v>
      </c>
      <c r="B5547" t="str">
        <f t="shared" si="1232"/>
        <v>89383000</v>
      </c>
      <c r="C5547" t="str">
        <f t="shared" si="1233"/>
        <v>89383002</v>
      </c>
      <c r="D5547" t="str">
        <f t="shared" si="1234"/>
        <v>809</v>
      </c>
      <c r="E5547" t="str">
        <f>"89301212"</f>
        <v>89301212</v>
      </c>
      <c r="F5547" t="str">
        <f>"6962025796"</f>
        <v>6962025796</v>
      </c>
      <c r="G5547" s="1">
        <v>44694</v>
      </c>
      <c r="H5547" t="str">
        <f>"89512"</f>
        <v>89512</v>
      </c>
      <c r="I5547">
        <v>1</v>
      </c>
      <c r="J5547">
        <v>277</v>
      </c>
      <c r="K5547">
        <v>0</v>
      </c>
      <c r="L5547">
        <v>387.8</v>
      </c>
    </row>
    <row r="5548" spans="1:12" x14ac:dyDescent="0.25">
      <c r="A5548" t="str">
        <f t="shared" si="1228"/>
        <v>89301000</v>
      </c>
      <c r="B5548" t="str">
        <f t="shared" si="1232"/>
        <v>89383000</v>
      </c>
      <c r="C5548" t="str">
        <f t="shared" si="1233"/>
        <v>89383002</v>
      </c>
      <c r="D5548" t="str">
        <f t="shared" si="1234"/>
        <v>809</v>
      </c>
      <c r="E5548" t="str">
        <f>"89301212"</f>
        <v>89301212</v>
      </c>
      <c r="F5548" t="str">
        <f>"6962025796"</f>
        <v>6962025796</v>
      </c>
      <c r="G5548" s="1">
        <v>44694</v>
      </c>
      <c r="H5548" t="str">
        <f>"89513"</f>
        <v>89513</v>
      </c>
      <c r="I5548">
        <v>1</v>
      </c>
      <c r="J5548">
        <v>371</v>
      </c>
      <c r="K5548">
        <v>0</v>
      </c>
      <c r="L5548">
        <v>519.4</v>
      </c>
    </row>
    <row r="5549" spans="1:12" x14ac:dyDescent="0.25">
      <c r="A5549" t="str">
        <f t="shared" si="1228"/>
        <v>89301000</v>
      </c>
      <c r="B5549" t="str">
        <f t="shared" si="1232"/>
        <v>89383000</v>
      </c>
      <c r="C5549" t="str">
        <f t="shared" si="1233"/>
        <v>89383002</v>
      </c>
      <c r="D5549" t="str">
        <f t="shared" si="1234"/>
        <v>809</v>
      </c>
      <c r="E5549" t="str">
        <f>"89301212"</f>
        <v>89301212</v>
      </c>
      <c r="F5549" t="str">
        <f>"6962025796"</f>
        <v>6962025796</v>
      </c>
      <c r="G5549" s="1">
        <v>44694</v>
      </c>
      <c r="H5549" t="str">
        <f>"89514"</f>
        <v>89514</v>
      </c>
      <c r="I5549">
        <v>1</v>
      </c>
      <c r="J5549">
        <v>371</v>
      </c>
      <c r="K5549">
        <v>0</v>
      </c>
      <c r="L5549">
        <v>519.4</v>
      </c>
    </row>
    <row r="5550" spans="1:12" x14ac:dyDescent="0.25">
      <c r="A5550" t="str">
        <f t="shared" si="1228"/>
        <v>89301000</v>
      </c>
      <c r="B5550" t="str">
        <f t="shared" si="1232"/>
        <v>89383000</v>
      </c>
      <c r="C5550" t="str">
        <f t="shared" si="1233"/>
        <v>89383002</v>
      </c>
      <c r="D5550" t="str">
        <f t="shared" si="1234"/>
        <v>809</v>
      </c>
      <c r="E5550" t="str">
        <f>"89301212"</f>
        <v>89301212</v>
      </c>
      <c r="F5550" t="str">
        <f>"6962025796"</f>
        <v>6962025796</v>
      </c>
      <c r="G5550" s="1">
        <v>44694</v>
      </c>
      <c r="H5550" t="str">
        <f>"89180"</f>
        <v>89180</v>
      </c>
      <c r="I5550">
        <v>2</v>
      </c>
      <c r="J5550">
        <v>752</v>
      </c>
      <c r="K5550">
        <v>0</v>
      </c>
      <c r="L5550">
        <v>1052.8</v>
      </c>
    </row>
    <row r="5551" spans="1:12" x14ac:dyDescent="0.25">
      <c r="A5551" t="str">
        <f t="shared" si="1228"/>
        <v>89301000</v>
      </c>
      <c r="B5551" t="str">
        <f t="shared" si="1232"/>
        <v>89383000</v>
      </c>
      <c r="C5551" t="str">
        <f t="shared" si="1233"/>
        <v>89383002</v>
      </c>
      <c r="D5551" t="str">
        <f t="shared" si="1234"/>
        <v>809</v>
      </c>
      <c r="E5551" t="str">
        <f>"89301215"</f>
        <v>89301215</v>
      </c>
      <c r="F5551" t="str">
        <f>"6061190916"</f>
        <v>6061190916</v>
      </c>
      <c r="G5551" s="1">
        <v>44697</v>
      </c>
      <c r="H5551" t="str">
        <f>"89512"</f>
        <v>89512</v>
      </c>
      <c r="I5551">
        <v>1</v>
      </c>
      <c r="J5551">
        <v>277</v>
      </c>
      <c r="K5551">
        <v>0</v>
      </c>
      <c r="L5551">
        <v>387.8</v>
      </c>
    </row>
    <row r="5552" spans="1:12" x14ac:dyDescent="0.25">
      <c r="A5552" t="str">
        <f t="shared" si="1228"/>
        <v>89301000</v>
      </c>
      <c r="B5552" t="str">
        <f t="shared" si="1232"/>
        <v>89383000</v>
      </c>
      <c r="C5552" t="str">
        <f t="shared" si="1233"/>
        <v>89383002</v>
      </c>
      <c r="D5552" t="str">
        <f t="shared" si="1234"/>
        <v>809</v>
      </c>
      <c r="E5552" t="str">
        <f>"89301215"</f>
        <v>89301215</v>
      </c>
      <c r="F5552" t="str">
        <f>"6061190916"</f>
        <v>6061190916</v>
      </c>
      <c r="G5552" s="1">
        <v>44697</v>
      </c>
      <c r="H5552" t="str">
        <f>"89513"</f>
        <v>89513</v>
      </c>
      <c r="I5552">
        <v>1</v>
      </c>
      <c r="J5552">
        <v>371</v>
      </c>
      <c r="K5552">
        <v>0</v>
      </c>
      <c r="L5552">
        <v>519.4</v>
      </c>
    </row>
    <row r="5553" spans="1:12" x14ac:dyDescent="0.25">
      <c r="A5553" t="str">
        <f t="shared" si="1228"/>
        <v>89301000</v>
      </c>
      <c r="B5553" t="str">
        <f t="shared" si="1232"/>
        <v>89383000</v>
      </c>
      <c r="C5553" t="str">
        <f t="shared" si="1233"/>
        <v>89383002</v>
      </c>
      <c r="D5553" t="str">
        <f t="shared" si="1234"/>
        <v>809</v>
      </c>
      <c r="E5553" t="str">
        <f>"89301215"</f>
        <v>89301215</v>
      </c>
      <c r="F5553" t="str">
        <f>"6061190916"</f>
        <v>6061190916</v>
      </c>
      <c r="G5553" s="1">
        <v>44697</v>
      </c>
      <c r="H5553" t="str">
        <f>"89514"</f>
        <v>89514</v>
      </c>
      <c r="I5553">
        <v>1</v>
      </c>
      <c r="J5553">
        <v>371</v>
      </c>
      <c r="K5553">
        <v>0</v>
      </c>
      <c r="L5553">
        <v>519.4</v>
      </c>
    </row>
    <row r="5554" spans="1:12" x14ac:dyDescent="0.25">
      <c r="A5554" t="str">
        <f t="shared" si="1228"/>
        <v>89301000</v>
      </c>
      <c r="B5554" t="str">
        <f t="shared" si="1232"/>
        <v>89383000</v>
      </c>
      <c r="C5554" t="str">
        <f t="shared" si="1233"/>
        <v>89383002</v>
      </c>
      <c r="D5554" t="str">
        <f t="shared" si="1234"/>
        <v>809</v>
      </c>
      <c r="E5554" t="str">
        <f t="shared" ref="E5554:E5585" si="1236">"89301212"</f>
        <v>89301212</v>
      </c>
      <c r="F5554" t="str">
        <f t="shared" ref="F5554:F5560" si="1237">"5858110940"</f>
        <v>5858110940</v>
      </c>
      <c r="G5554" s="1">
        <v>44694</v>
      </c>
      <c r="H5554" t="str">
        <f>"89313"</f>
        <v>89313</v>
      </c>
      <c r="I5554">
        <v>1</v>
      </c>
      <c r="J5554">
        <v>406</v>
      </c>
      <c r="K5554">
        <v>0</v>
      </c>
      <c r="L5554">
        <v>568.4</v>
      </c>
    </row>
    <row r="5555" spans="1:12" x14ac:dyDescent="0.25">
      <c r="A5555" t="str">
        <f t="shared" si="1228"/>
        <v>89301000</v>
      </c>
      <c r="B5555" t="str">
        <f t="shared" si="1232"/>
        <v>89383000</v>
      </c>
      <c r="C5555" t="str">
        <f t="shared" si="1233"/>
        <v>89383002</v>
      </c>
      <c r="D5555" t="str">
        <f t="shared" si="1234"/>
        <v>809</v>
      </c>
      <c r="E5555" t="str">
        <f t="shared" si="1236"/>
        <v>89301212</v>
      </c>
      <c r="F5555" t="str">
        <f t="shared" si="1237"/>
        <v>5858110940</v>
      </c>
      <c r="G5555" s="1">
        <v>44694</v>
      </c>
      <c r="H5555" t="str">
        <f>"09233"</f>
        <v>09233</v>
      </c>
      <c r="I5555">
        <v>1</v>
      </c>
      <c r="J5555">
        <v>99</v>
      </c>
      <c r="K5555">
        <v>0</v>
      </c>
      <c r="L5555">
        <v>138.6</v>
      </c>
    </row>
    <row r="5556" spans="1:12" x14ac:dyDescent="0.25">
      <c r="A5556" t="str">
        <f t="shared" si="1228"/>
        <v>89301000</v>
      </c>
      <c r="B5556" t="str">
        <f t="shared" si="1232"/>
        <v>89383000</v>
      </c>
      <c r="C5556" t="str">
        <f t="shared" si="1233"/>
        <v>89383002</v>
      </c>
      <c r="D5556" t="str">
        <f t="shared" si="1234"/>
        <v>809</v>
      </c>
      <c r="E5556" t="str">
        <f t="shared" si="1236"/>
        <v>89301212</v>
      </c>
      <c r="F5556" t="str">
        <f t="shared" si="1237"/>
        <v>5858110940</v>
      </c>
      <c r="G5556" s="1">
        <v>44694</v>
      </c>
      <c r="H5556" t="str">
        <f>"89515"</f>
        <v>89515</v>
      </c>
      <c r="I5556">
        <v>1</v>
      </c>
      <c r="J5556">
        <v>339</v>
      </c>
      <c r="K5556">
        <v>0</v>
      </c>
      <c r="L5556">
        <v>474.6</v>
      </c>
    </row>
    <row r="5557" spans="1:12" x14ac:dyDescent="0.25">
      <c r="A5557" t="str">
        <f t="shared" si="1228"/>
        <v>89301000</v>
      </c>
      <c r="B5557" t="str">
        <f t="shared" si="1232"/>
        <v>89383000</v>
      </c>
      <c r="C5557" t="str">
        <f t="shared" si="1233"/>
        <v>89383002</v>
      </c>
      <c r="D5557" t="str">
        <f t="shared" si="1234"/>
        <v>809</v>
      </c>
      <c r="E5557" t="str">
        <f t="shared" si="1236"/>
        <v>89301212</v>
      </c>
      <c r="F5557" t="str">
        <f t="shared" si="1237"/>
        <v>5858110940</v>
      </c>
      <c r="G5557" s="1">
        <v>44694</v>
      </c>
      <c r="H5557" t="str">
        <f>"89512"</f>
        <v>89512</v>
      </c>
      <c r="I5557">
        <v>1</v>
      </c>
      <c r="J5557">
        <v>277</v>
      </c>
      <c r="K5557">
        <v>0</v>
      </c>
      <c r="L5557">
        <v>387.8</v>
      </c>
    </row>
    <row r="5558" spans="1:12" x14ac:dyDescent="0.25">
      <c r="A5558" t="str">
        <f t="shared" si="1228"/>
        <v>89301000</v>
      </c>
      <c r="B5558" t="str">
        <f t="shared" si="1232"/>
        <v>89383000</v>
      </c>
      <c r="C5558" t="str">
        <f t="shared" si="1233"/>
        <v>89383002</v>
      </c>
      <c r="D5558" t="str">
        <f t="shared" si="1234"/>
        <v>809</v>
      </c>
      <c r="E5558" t="str">
        <f t="shared" si="1236"/>
        <v>89301212</v>
      </c>
      <c r="F5558" t="str">
        <f t="shared" si="1237"/>
        <v>5858110940</v>
      </c>
      <c r="G5558" s="1">
        <v>44694</v>
      </c>
      <c r="H5558" t="str">
        <f>"09572"</f>
        <v>09572</v>
      </c>
      <c r="I5558">
        <v>1</v>
      </c>
      <c r="J5558">
        <v>0</v>
      </c>
      <c r="K5558">
        <v>0</v>
      </c>
      <c r="L5558">
        <v>0</v>
      </c>
    </row>
    <row r="5559" spans="1:12" x14ac:dyDescent="0.25">
      <c r="A5559" t="str">
        <f t="shared" si="1228"/>
        <v>89301000</v>
      </c>
      <c r="B5559" t="str">
        <f t="shared" si="1232"/>
        <v>89383000</v>
      </c>
      <c r="C5559" t="str">
        <f t="shared" si="1233"/>
        <v>89383002</v>
      </c>
      <c r="D5559" t="str">
        <f t="shared" si="1234"/>
        <v>809</v>
      </c>
      <c r="E5559" t="str">
        <f t="shared" si="1236"/>
        <v>89301212</v>
      </c>
      <c r="F5559" t="str">
        <f t="shared" si="1237"/>
        <v>5858110940</v>
      </c>
      <c r="G5559" s="1">
        <v>44694</v>
      </c>
      <c r="H5559" t="str">
        <f>"0225891"</f>
        <v>0225891</v>
      </c>
      <c r="I5559">
        <v>0.01</v>
      </c>
      <c r="K5559">
        <v>3.68</v>
      </c>
      <c r="L5559">
        <v>3.68</v>
      </c>
    </row>
    <row r="5560" spans="1:12" x14ac:dyDescent="0.25">
      <c r="A5560" t="str">
        <f t="shared" si="1228"/>
        <v>89301000</v>
      </c>
      <c r="B5560" t="str">
        <f t="shared" si="1232"/>
        <v>89383000</v>
      </c>
      <c r="C5560" t="str">
        <f t="shared" si="1233"/>
        <v>89383002</v>
      </c>
      <c r="D5560" t="str">
        <f t="shared" si="1234"/>
        <v>809</v>
      </c>
      <c r="E5560" t="str">
        <f t="shared" si="1236"/>
        <v>89301212</v>
      </c>
      <c r="F5560" t="str">
        <f t="shared" si="1237"/>
        <v>5858110940</v>
      </c>
      <c r="G5560" s="1">
        <v>44694</v>
      </c>
      <c r="H5560" t="str">
        <f>"0142908"</f>
        <v>0142908</v>
      </c>
      <c r="I5560">
        <v>2</v>
      </c>
      <c r="K5560">
        <v>1820</v>
      </c>
      <c r="L5560">
        <v>1820</v>
      </c>
    </row>
    <row r="5561" spans="1:12" x14ac:dyDescent="0.25">
      <c r="A5561" t="str">
        <f t="shared" si="1228"/>
        <v>89301000</v>
      </c>
      <c r="B5561" t="str">
        <f t="shared" si="1232"/>
        <v>89383000</v>
      </c>
      <c r="C5561" t="str">
        <f t="shared" si="1233"/>
        <v>89383002</v>
      </c>
      <c r="D5561" t="str">
        <f t="shared" si="1234"/>
        <v>809</v>
      </c>
      <c r="E5561" t="str">
        <f t="shared" si="1236"/>
        <v>89301212</v>
      </c>
      <c r="F5561" t="str">
        <f>"8251115378"</f>
        <v>8251115378</v>
      </c>
      <c r="G5561" s="1">
        <v>44699</v>
      </c>
      <c r="H5561" t="str">
        <f>"89313"</f>
        <v>89313</v>
      </c>
      <c r="I5561">
        <v>1</v>
      </c>
      <c r="J5561">
        <v>406</v>
      </c>
      <c r="K5561">
        <v>0</v>
      </c>
      <c r="L5561">
        <v>568.4</v>
      </c>
    </row>
    <row r="5562" spans="1:12" x14ac:dyDescent="0.25">
      <c r="A5562" t="str">
        <f t="shared" si="1228"/>
        <v>89301000</v>
      </c>
      <c r="B5562" t="str">
        <f t="shared" si="1232"/>
        <v>89383000</v>
      </c>
      <c r="C5562" t="str">
        <f t="shared" si="1233"/>
        <v>89383002</v>
      </c>
      <c r="D5562" t="str">
        <f t="shared" si="1234"/>
        <v>809</v>
      </c>
      <c r="E5562" t="str">
        <f t="shared" si="1236"/>
        <v>89301212</v>
      </c>
      <c r="F5562" t="str">
        <f>"8251115378"</f>
        <v>8251115378</v>
      </c>
      <c r="G5562" s="1">
        <v>44699</v>
      </c>
      <c r="H5562" t="str">
        <f>"09233"</f>
        <v>09233</v>
      </c>
      <c r="I5562">
        <v>1</v>
      </c>
      <c r="J5562">
        <v>99</v>
      </c>
      <c r="K5562">
        <v>0</v>
      </c>
      <c r="L5562">
        <v>138.6</v>
      </c>
    </row>
    <row r="5563" spans="1:12" x14ac:dyDescent="0.25">
      <c r="A5563" t="str">
        <f t="shared" si="1228"/>
        <v>89301000</v>
      </c>
      <c r="B5563" t="str">
        <f t="shared" si="1232"/>
        <v>89383000</v>
      </c>
      <c r="C5563" t="str">
        <f t="shared" si="1233"/>
        <v>89383002</v>
      </c>
      <c r="D5563" t="str">
        <f t="shared" si="1234"/>
        <v>809</v>
      </c>
      <c r="E5563" t="str">
        <f t="shared" si="1236"/>
        <v>89301212</v>
      </c>
      <c r="F5563" t="str">
        <f>"8251115378"</f>
        <v>8251115378</v>
      </c>
      <c r="G5563" s="1">
        <v>44699</v>
      </c>
      <c r="H5563" t="str">
        <f>"89180"</f>
        <v>89180</v>
      </c>
      <c r="I5563">
        <v>1</v>
      </c>
      <c r="J5563">
        <v>376</v>
      </c>
      <c r="K5563">
        <v>0</v>
      </c>
      <c r="L5563">
        <v>526.4</v>
      </c>
    </row>
    <row r="5564" spans="1:12" x14ac:dyDescent="0.25">
      <c r="A5564" t="str">
        <f t="shared" si="1228"/>
        <v>89301000</v>
      </c>
      <c r="B5564" t="str">
        <f t="shared" si="1232"/>
        <v>89383000</v>
      </c>
      <c r="C5564" t="str">
        <f t="shared" si="1233"/>
        <v>89383002</v>
      </c>
      <c r="D5564" t="str">
        <f t="shared" si="1234"/>
        <v>809</v>
      </c>
      <c r="E5564" t="str">
        <f t="shared" si="1236"/>
        <v>89301212</v>
      </c>
      <c r="F5564" t="str">
        <f>"8251115378"</f>
        <v>8251115378</v>
      </c>
      <c r="G5564" s="1">
        <v>44699</v>
      </c>
      <c r="H5564" t="str">
        <f>"0225891"</f>
        <v>0225891</v>
      </c>
      <c r="I5564">
        <v>0.05</v>
      </c>
      <c r="K5564">
        <v>18.39</v>
      </c>
      <c r="L5564">
        <v>18.39</v>
      </c>
    </row>
    <row r="5565" spans="1:12" x14ac:dyDescent="0.25">
      <c r="A5565" t="str">
        <f t="shared" si="1228"/>
        <v>89301000</v>
      </c>
      <c r="B5565" t="str">
        <f t="shared" si="1232"/>
        <v>89383000</v>
      </c>
      <c r="C5565" t="str">
        <f t="shared" si="1233"/>
        <v>89383002</v>
      </c>
      <c r="D5565" t="str">
        <f t="shared" si="1234"/>
        <v>809</v>
      </c>
      <c r="E5565" t="str">
        <f t="shared" si="1236"/>
        <v>89301212</v>
      </c>
      <c r="F5565" t="str">
        <f>"8251115378"</f>
        <v>8251115378</v>
      </c>
      <c r="G5565" s="1">
        <v>44699</v>
      </c>
      <c r="H5565" t="str">
        <f>"0082502"</f>
        <v>0082502</v>
      </c>
      <c r="I5565">
        <v>1</v>
      </c>
      <c r="K5565">
        <v>2093</v>
      </c>
      <c r="L5565">
        <v>2093</v>
      </c>
    </row>
    <row r="5566" spans="1:12" x14ac:dyDescent="0.25">
      <c r="A5566" t="str">
        <f t="shared" si="1228"/>
        <v>89301000</v>
      </c>
      <c r="B5566" t="str">
        <f t="shared" ref="B5566:B5597" si="1238">"89383000"</f>
        <v>89383000</v>
      </c>
      <c r="C5566" t="str">
        <f t="shared" ref="C5566:C5597" si="1239">"89383002"</f>
        <v>89383002</v>
      </c>
      <c r="D5566" t="str">
        <f t="shared" ref="D5566:D5597" si="1240">"809"</f>
        <v>809</v>
      </c>
      <c r="E5566" t="str">
        <f t="shared" si="1236"/>
        <v>89301212</v>
      </c>
      <c r="F5566" t="str">
        <f>"7153095345"</f>
        <v>7153095345</v>
      </c>
      <c r="G5566" s="1">
        <v>44699</v>
      </c>
      <c r="H5566" t="str">
        <f>"89513"</f>
        <v>89513</v>
      </c>
      <c r="I5566">
        <v>1</v>
      </c>
      <c r="J5566">
        <v>371</v>
      </c>
      <c r="K5566">
        <v>0</v>
      </c>
      <c r="L5566">
        <v>519.4</v>
      </c>
    </row>
    <row r="5567" spans="1:12" x14ac:dyDescent="0.25">
      <c r="A5567" t="str">
        <f t="shared" si="1228"/>
        <v>89301000</v>
      </c>
      <c r="B5567" t="str">
        <f t="shared" si="1238"/>
        <v>89383000</v>
      </c>
      <c r="C5567" t="str">
        <f t="shared" si="1239"/>
        <v>89383002</v>
      </c>
      <c r="D5567" t="str">
        <f t="shared" si="1240"/>
        <v>809</v>
      </c>
      <c r="E5567" t="str">
        <f t="shared" si="1236"/>
        <v>89301212</v>
      </c>
      <c r="F5567" t="str">
        <f>"7153095345"</f>
        <v>7153095345</v>
      </c>
      <c r="G5567" s="1">
        <v>44699</v>
      </c>
      <c r="H5567" t="str">
        <f>"89514"</f>
        <v>89514</v>
      </c>
      <c r="I5567">
        <v>1</v>
      </c>
      <c r="J5567">
        <v>371</v>
      </c>
      <c r="K5567">
        <v>0</v>
      </c>
      <c r="L5567">
        <v>519.4</v>
      </c>
    </row>
    <row r="5568" spans="1:12" x14ac:dyDescent="0.25">
      <c r="A5568" t="str">
        <f t="shared" si="1228"/>
        <v>89301000</v>
      </c>
      <c r="B5568" t="str">
        <f t="shared" si="1238"/>
        <v>89383000</v>
      </c>
      <c r="C5568" t="str">
        <f t="shared" si="1239"/>
        <v>89383002</v>
      </c>
      <c r="D5568" t="str">
        <f t="shared" si="1240"/>
        <v>809</v>
      </c>
      <c r="E5568" t="str">
        <f t="shared" si="1236"/>
        <v>89301212</v>
      </c>
      <c r="F5568" t="str">
        <f>"7160155310"</f>
        <v>7160155310</v>
      </c>
      <c r="G5568" s="1">
        <v>44699</v>
      </c>
      <c r="H5568" t="str">
        <f>"89512"</f>
        <v>89512</v>
      </c>
      <c r="I5568">
        <v>1</v>
      </c>
      <c r="J5568">
        <v>277</v>
      </c>
      <c r="K5568">
        <v>0</v>
      </c>
      <c r="L5568">
        <v>387.8</v>
      </c>
    </row>
    <row r="5569" spans="1:12" x14ac:dyDescent="0.25">
      <c r="A5569" t="str">
        <f t="shared" si="1228"/>
        <v>89301000</v>
      </c>
      <c r="B5569" t="str">
        <f t="shared" si="1238"/>
        <v>89383000</v>
      </c>
      <c r="C5569" t="str">
        <f t="shared" si="1239"/>
        <v>89383002</v>
      </c>
      <c r="D5569" t="str">
        <f t="shared" si="1240"/>
        <v>809</v>
      </c>
      <c r="E5569" t="str">
        <f t="shared" si="1236"/>
        <v>89301212</v>
      </c>
      <c r="F5569" t="str">
        <f>"465305401"</f>
        <v>465305401</v>
      </c>
      <c r="G5569" s="1">
        <v>44699</v>
      </c>
      <c r="H5569" t="str">
        <f>"89343"</f>
        <v>89343</v>
      </c>
      <c r="I5569">
        <v>1</v>
      </c>
      <c r="J5569">
        <v>4980</v>
      </c>
      <c r="K5569">
        <v>0</v>
      </c>
      <c r="L5569">
        <v>6972</v>
      </c>
    </row>
    <row r="5570" spans="1:12" x14ac:dyDescent="0.25">
      <c r="A5570" t="str">
        <f t="shared" ref="A5570:A5633" si="1241">"89301000"</f>
        <v>89301000</v>
      </c>
      <c r="B5570" t="str">
        <f t="shared" si="1238"/>
        <v>89383000</v>
      </c>
      <c r="C5570" t="str">
        <f t="shared" si="1239"/>
        <v>89383002</v>
      </c>
      <c r="D5570" t="str">
        <f t="shared" si="1240"/>
        <v>809</v>
      </c>
      <c r="E5570" t="str">
        <f t="shared" si="1236"/>
        <v>89301212</v>
      </c>
      <c r="F5570" t="str">
        <f>"465305401"</f>
        <v>465305401</v>
      </c>
      <c r="G5570" s="1">
        <v>44699</v>
      </c>
      <c r="H5570" t="str">
        <f>"89512"</f>
        <v>89512</v>
      </c>
      <c r="I5570">
        <v>1</v>
      </c>
      <c r="J5570">
        <v>277</v>
      </c>
      <c r="K5570">
        <v>0</v>
      </c>
      <c r="L5570">
        <v>387.8</v>
      </c>
    </row>
    <row r="5571" spans="1:12" x14ac:dyDescent="0.25">
      <c r="A5571" t="str">
        <f t="shared" si="1241"/>
        <v>89301000</v>
      </c>
      <c r="B5571" t="str">
        <f t="shared" si="1238"/>
        <v>89383000</v>
      </c>
      <c r="C5571" t="str">
        <f t="shared" si="1239"/>
        <v>89383002</v>
      </c>
      <c r="D5571" t="str">
        <f t="shared" si="1240"/>
        <v>809</v>
      </c>
      <c r="E5571" t="str">
        <f t="shared" si="1236"/>
        <v>89301212</v>
      </c>
      <c r="F5571" t="str">
        <f>"465305401"</f>
        <v>465305401</v>
      </c>
      <c r="G5571" s="1">
        <v>44699</v>
      </c>
      <c r="H5571" t="str">
        <f>"0225891"</f>
        <v>0225891</v>
      </c>
      <c r="I5571">
        <v>0.1</v>
      </c>
      <c r="K5571">
        <v>36.770000000000003</v>
      </c>
      <c r="L5571">
        <v>36.770000000000003</v>
      </c>
    </row>
    <row r="5572" spans="1:12" x14ac:dyDescent="0.25">
      <c r="A5572" t="str">
        <f t="shared" si="1241"/>
        <v>89301000</v>
      </c>
      <c r="B5572" t="str">
        <f t="shared" si="1238"/>
        <v>89383000</v>
      </c>
      <c r="C5572" t="str">
        <f t="shared" si="1239"/>
        <v>89383002</v>
      </c>
      <c r="D5572" t="str">
        <f t="shared" si="1240"/>
        <v>809</v>
      </c>
      <c r="E5572" t="str">
        <f t="shared" si="1236"/>
        <v>89301212</v>
      </c>
      <c r="F5572" t="str">
        <f>"465305401"</f>
        <v>465305401</v>
      </c>
      <c r="G5572" s="1">
        <v>44699</v>
      </c>
      <c r="H5572" t="str">
        <f>"0006707"</f>
        <v>0006707</v>
      </c>
      <c r="I5572">
        <v>1</v>
      </c>
      <c r="K5572">
        <v>9783.27</v>
      </c>
      <c r="L5572">
        <v>9783.27</v>
      </c>
    </row>
    <row r="5573" spans="1:12" x14ac:dyDescent="0.25">
      <c r="A5573" t="str">
        <f t="shared" si="1241"/>
        <v>89301000</v>
      </c>
      <c r="B5573" t="str">
        <f t="shared" si="1238"/>
        <v>89383000</v>
      </c>
      <c r="C5573" t="str">
        <f t="shared" si="1239"/>
        <v>89383002</v>
      </c>
      <c r="D5573" t="str">
        <f t="shared" si="1240"/>
        <v>809</v>
      </c>
      <c r="E5573" t="str">
        <f t="shared" si="1236"/>
        <v>89301212</v>
      </c>
      <c r="F5573" t="str">
        <f>"455529412"</f>
        <v>455529412</v>
      </c>
      <c r="G5573" s="1">
        <v>44701</v>
      </c>
      <c r="H5573" t="str">
        <f>"89513"</f>
        <v>89513</v>
      </c>
      <c r="I5573">
        <v>1</v>
      </c>
      <c r="J5573">
        <v>371</v>
      </c>
      <c r="K5573">
        <v>0</v>
      </c>
      <c r="L5573">
        <v>519.4</v>
      </c>
    </row>
    <row r="5574" spans="1:12" x14ac:dyDescent="0.25">
      <c r="A5574" t="str">
        <f t="shared" si="1241"/>
        <v>89301000</v>
      </c>
      <c r="B5574" t="str">
        <f t="shared" si="1238"/>
        <v>89383000</v>
      </c>
      <c r="C5574" t="str">
        <f t="shared" si="1239"/>
        <v>89383002</v>
      </c>
      <c r="D5574" t="str">
        <f t="shared" si="1240"/>
        <v>809</v>
      </c>
      <c r="E5574" t="str">
        <f t="shared" si="1236"/>
        <v>89301212</v>
      </c>
      <c r="F5574" t="str">
        <f>"455529412"</f>
        <v>455529412</v>
      </c>
      <c r="G5574" s="1">
        <v>44701</v>
      </c>
      <c r="H5574" t="str">
        <f>"89514"</f>
        <v>89514</v>
      </c>
      <c r="I5574">
        <v>1</v>
      </c>
      <c r="J5574">
        <v>371</v>
      </c>
      <c r="K5574">
        <v>0</v>
      </c>
      <c r="L5574">
        <v>519.4</v>
      </c>
    </row>
    <row r="5575" spans="1:12" x14ac:dyDescent="0.25">
      <c r="A5575" t="str">
        <f t="shared" si="1241"/>
        <v>89301000</v>
      </c>
      <c r="B5575" t="str">
        <f t="shared" si="1238"/>
        <v>89383000</v>
      </c>
      <c r="C5575" t="str">
        <f t="shared" si="1239"/>
        <v>89383002</v>
      </c>
      <c r="D5575" t="str">
        <f t="shared" si="1240"/>
        <v>809</v>
      </c>
      <c r="E5575" t="str">
        <f t="shared" si="1236"/>
        <v>89301212</v>
      </c>
      <c r="F5575" t="str">
        <f>"7756195326"</f>
        <v>7756195326</v>
      </c>
      <c r="G5575" s="1">
        <v>44701</v>
      </c>
      <c r="H5575" t="str">
        <f>"89512"</f>
        <v>89512</v>
      </c>
      <c r="I5575">
        <v>1</v>
      </c>
      <c r="J5575">
        <v>277</v>
      </c>
      <c r="K5575">
        <v>0</v>
      </c>
      <c r="L5575">
        <v>387.8</v>
      </c>
    </row>
    <row r="5576" spans="1:12" x14ac:dyDescent="0.25">
      <c r="A5576" t="str">
        <f t="shared" si="1241"/>
        <v>89301000</v>
      </c>
      <c r="B5576" t="str">
        <f t="shared" si="1238"/>
        <v>89383000</v>
      </c>
      <c r="C5576" t="str">
        <f t="shared" si="1239"/>
        <v>89383002</v>
      </c>
      <c r="D5576" t="str">
        <f t="shared" si="1240"/>
        <v>809</v>
      </c>
      <c r="E5576" t="str">
        <f t="shared" si="1236"/>
        <v>89301212</v>
      </c>
      <c r="F5576" t="str">
        <f>"7756195326"</f>
        <v>7756195326</v>
      </c>
      <c r="G5576" s="1">
        <v>44701</v>
      </c>
      <c r="H5576" t="str">
        <f>"89180"</f>
        <v>89180</v>
      </c>
      <c r="I5576">
        <v>2</v>
      </c>
      <c r="J5576">
        <v>752</v>
      </c>
      <c r="K5576">
        <v>0</v>
      </c>
      <c r="L5576">
        <v>1052.8</v>
      </c>
    </row>
    <row r="5577" spans="1:12" x14ac:dyDescent="0.25">
      <c r="A5577" t="str">
        <f t="shared" si="1241"/>
        <v>89301000</v>
      </c>
      <c r="B5577" t="str">
        <f t="shared" si="1238"/>
        <v>89383000</v>
      </c>
      <c r="C5577" t="str">
        <f t="shared" si="1239"/>
        <v>89383002</v>
      </c>
      <c r="D5577" t="str">
        <f t="shared" si="1240"/>
        <v>809</v>
      </c>
      <c r="E5577" t="str">
        <f t="shared" si="1236"/>
        <v>89301212</v>
      </c>
      <c r="F5577" t="str">
        <f>"6357030691"</f>
        <v>6357030691</v>
      </c>
      <c r="G5577" s="1">
        <v>44700</v>
      </c>
      <c r="H5577" t="str">
        <f>"89513"</f>
        <v>89513</v>
      </c>
      <c r="I5577">
        <v>1</v>
      </c>
      <c r="J5577">
        <v>371</v>
      </c>
      <c r="K5577">
        <v>0</v>
      </c>
      <c r="L5577">
        <v>519.4</v>
      </c>
    </row>
    <row r="5578" spans="1:12" x14ac:dyDescent="0.25">
      <c r="A5578" t="str">
        <f t="shared" si="1241"/>
        <v>89301000</v>
      </c>
      <c r="B5578" t="str">
        <f t="shared" si="1238"/>
        <v>89383000</v>
      </c>
      <c r="C5578" t="str">
        <f t="shared" si="1239"/>
        <v>89383002</v>
      </c>
      <c r="D5578" t="str">
        <f t="shared" si="1240"/>
        <v>809</v>
      </c>
      <c r="E5578" t="str">
        <f t="shared" si="1236"/>
        <v>89301212</v>
      </c>
      <c r="F5578" t="str">
        <f>"6357030691"</f>
        <v>6357030691</v>
      </c>
      <c r="G5578" s="1">
        <v>44700</v>
      </c>
      <c r="H5578" t="str">
        <f>"89514"</f>
        <v>89514</v>
      </c>
      <c r="I5578">
        <v>1</v>
      </c>
      <c r="J5578">
        <v>371</v>
      </c>
      <c r="K5578">
        <v>0</v>
      </c>
      <c r="L5578">
        <v>519.4</v>
      </c>
    </row>
    <row r="5579" spans="1:12" x14ac:dyDescent="0.25">
      <c r="A5579" t="str">
        <f t="shared" si="1241"/>
        <v>89301000</v>
      </c>
      <c r="B5579" t="str">
        <f t="shared" si="1238"/>
        <v>89383000</v>
      </c>
      <c r="C5579" t="str">
        <f t="shared" si="1239"/>
        <v>89383002</v>
      </c>
      <c r="D5579" t="str">
        <f t="shared" si="1240"/>
        <v>809</v>
      </c>
      <c r="E5579" t="str">
        <f t="shared" si="1236"/>
        <v>89301212</v>
      </c>
      <c r="F5579" t="str">
        <f>"8962196078"</f>
        <v>8962196078</v>
      </c>
      <c r="G5579" s="1">
        <v>44704</v>
      </c>
      <c r="H5579" t="str">
        <f>"89180"</f>
        <v>89180</v>
      </c>
      <c r="I5579">
        <v>2</v>
      </c>
      <c r="J5579">
        <v>752</v>
      </c>
      <c r="K5579">
        <v>0</v>
      </c>
      <c r="L5579">
        <v>1052.8</v>
      </c>
    </row>
    <row r="5580" spans="1:12" x14ac:dyDescent="0.25">
      <c r="A5580" t="str">
        <f t="shared" si="1241"/>
        <v>89301000</v>
      </c>
      <c r="B5580" t="str">
        <f t="shared" si="1238"/>
        <v>89383000</v>
      </c>
      <c r="C5580" t="str">
        <f t="shared" si="1239"/>
        <v>89383002</v>
      </c>
      <c r="D5580" t="str">
        <f t="shared" si="1240"/>
        <v>809</v>
      </c>
      <c r="E5580" t="str">
        <f t="shared" si="1236"/>
        <v>89301212</v>
      </c>
      <c r="F5580" t="str">
        <f>"8962196078"</f>
        <v>8962196078</v>
      </c>
      <c r="G5580" s="1">
        <v>44704</v>
      </c>
      <c r="H5580" t="str">
        <f>"89512"</f>
        <v>89512</v>
      </c>
      <c r="I5580">
        <v>1</v>
      </c>
      <c r="J5580">
        <v>277</v>
      </c>
      <c r="K5580">
        <v>0</v>
      </c>
      <c r="L5580">
        <v>387.8</v>
      </c>
    </row>
    <row r="5581" spans="1:12" x14ac:dyDescent="0.25">
      <c r="A5581" t="str">
        <f t="shared" si="1241"/>
        <v>89301000</v>
      </c>
      <c r="B5581" t="str">
        <f t="shared" si="1238"/>
        <v>89383000</v>
      </c>
      <c r="C5581" t="str">
        <f t="shared" si="1239"/>
        <v>89383002</v>
      </c>
      <c r="D5581" t="str">
        <f t="shared" si="1240"/>
        <v>809</v>
      </c>
      <c r="E5581" t="str">
        <f t="shared" si="1236"/>
        <v>89301212</v>
      </c>
      <c r="F5581" t="str">
        <f>"8161201675"</f>
        <v>8161201675</v>
      </c>
      <c r="G5581" s="1">
        <v>44704</v>
      </c>
      <c r="H5581" t="str">
        <f>"89180"</f>
        <v>89180</v>
      </c>
      <c r="I5581">
        <v>2</v>
      </c>
      <c r="J5581">
        <v>752</v>
      </c>
      <c r="K5581">
        <v>0</v>
      </c>
      <c r="L5581">
        <v>1052.8</v>
      </c>
    </row>
    <row r="5582" spans="1:12" x14ac:dyDescent="0.25">
      <c r="A5582" t="str">
        <f t="shared" si="1241"/>
        <v>89301000</v>
      </c>
      <c r="B5582" t="str">
        <f t="shared" si="1238"/>
        <v>89383000</v>
      </c>
      <c r="C5582" t="str">
        <f t="shared" si="1239"/>
        <v>89383002</v>
      </c>
      <c r="D5582" t="str">
        <f t="shared" si="1240"/>
        <v>809</v>
      </c>
      <c r="E5582" t="str">
        <f t="shared" si="1236"/>
        <v>89301212</v>
      </c>
      <c r="F5582" t="str">
        <f>"8161201675"</f>
        <v>8161201675</v>
      </c>
      <c r="G5582" s="1">
        <v>44704</v>
      </c>
      <c r="H5582" t="str">
        <f>"89512"</f>
        <v>89512</v>
      </c>
      <c r="I5582">
        <v>1</v>
      </c>
      <c r="J5582">
        <v>277</v>
      </c>
      <c r="K5582">
        <v>0</v>
      </c>
      <c r="L5582">
        <v>387.8</v>
      </c>
    </row>
    <row r="5583" spans="1:12" x14ac:dyDescent="0.25">
      <c r="A5583" t="str">
        <f t="shared" si="1241"/>
        <v>89301000</v>
      </c>
      <c r="B5583" t="str">
        <f t="shared" si="1238"/>
        <v>89383000</v>
      </c>
      <c r="C5583" t="str">
        <f t="shared" si="1239"/>
        <v>89383002</v>
      </c>
      <c r="D5583" t="str">
        <f t="shared" si="1240"/>
        <v>809</v>
      </c>
      <c r="E5583" t="str">
        <f t="shared" si="1236"/>
        <v>89301212</v>
      </c>
      <c r="F5583" t="str">
        <f>"485805409"</f>
        <v>485805409</v>
      </c>
      <c r="G5583" s="1">
        <v>44704</v>
      </c>
      <c r="H5583" t="str">
        <f>"89512"</f>
        <v>89512</v>
      </c>
      <c r="I5583">
        <v>1</v>
      </c>
      <c r="J5583">
        <v>277</v>
      </c>
      <c r="K5583">
        <v>0</v>
      </c>
      <c r="L5583">
        <v>387.8</v>
      </c>
    </row>
    <row r="5584" spans="1:12" x14ac:dyDescent="0.25">
      <c r="A5584" t="str">
        <f t="shared" si="1241"/>
        <v>89301000</v>
      </c>
      <c r="B5584" t="str">
        <f t="shared" si="1238"/>
        <v>89383000</v>
      </c>
      <c r="C5584" t="str">
        <f t="shared" si="1239"/>
        <v>89383002</v>
      </c>
      <c r="D5584" t="str">
        <f t="shared" si="1240"/>
        <v>809</v>
      </c>
      <c r="E5584" t="str">
        <f t="shared" si="1236"/>
        <v>89301212</v>
      </c>
      <c r="F5584" t="str">
        <f>"6759230071"</f>
        <v>6759230071</v>
      </c>
      <c r="G5584" s="1">
        <v>44705</v>
      </c>
      <c r="H5584" t="str">
        <f>"89513"</f>
        <v>89513</v>
      </c>
      <c r="I5584">
        <v>1</v>
      </c>
      <c r="J5584">
        <v>371</v>
      </c>
      <c r="K5584">
        <v>0</v>
      </c>
      <c r="L5584">
        <v>519.4</v>
      </c>
    </row>
    <row r="5585" spans="1:12" x14ac:dyDescent="0.25">
      <c r="A5585" t="str">
        <f t="shared" si="1241"/>
        <v>89301000</v>
      </c>
      <c r="B5585" t="str">
        <f t="shared" si="1238"/>
        <v>89383000</v>
      </c>
      <c r="C5585" t="str">
        <f t="shared" si="1239"/>
        <v>89383002</v>
      </c>
      <c r="D5585" t="str">
        <f t="shared" si="1240"/>
        <v>809</v>
      </c>
      <c r="E5585" t="str">
        <f t="shared" si="1236"/>
        <v>89301212</v>
      </c>
      <c r="F5585" t="str">
        <f>"6759230071"</f>
        <v>6759230071</v>
      </c>
      <c r="G5585" s="1">
        <v>44705</v>
      </c>
      <c r="H5585" t="str">
        <f>"89514"</f>
        <v>89514</v>
      </c>
      <c r="I5585">
        <v>1</v>
      </c>
      <c r="J5585">
        <v>371</v>
      </c>
      <c r="K5585">
        <v>0</v>
      </c>
      <c r="L5585">
        <v>519.4</v>
      </c>
    </row>
    <row r="5586" spans="1:12" x14ac:dyDescent="0.25">
      <c r="A5586" t="str">
        <f t="shared" si="1241"/>
        <v>89301000</v>
      </c>
      <c r="B5586" t="str">
        <f t="shared" si="1238"/>
        <v>89383000</v>
      </c>
      <c r="C5586" t="str">
        <f t="shared" si="1239"/>
        <v>89383002</v>
      </c>
      <c r="D5586" t="str">
        <f t="shared" si="1240"/>
        <v>809</v>
      </c>
      <c r="E5586" t="str">
        <f t="shared" ref="E5586:E5608" si="1242">"89301212"</f>
        <v>89301212</v>
      </c>
      <c r="F5586" t="str">
        <f>"7462024339"</f>
        <v>7462024339</v>
      </c>
      <c r="G5586" s="1">
        <v>44706</v>
      </c>
      <c r="H5586" t="str">
        <f>"89180"</f>
        <v>89180</v>
      </c>
      <c r="I5586">
        <v>2</v>
      </c>
      <c r="J5586">
        <v>752</v>
      </c>
      <c r="K5586">
        <v>0</v>
      </c>
      <c r="L5586">
        <v>1052.8</v>
      </c>
    </row>
    <row r="5587" spans="1:12" x14ac:dyDescent="0.25">
      <c r="A5587" t="str">
        <f t="shared" si="1241"/>
        <v>89301000</v>
      </c>
      <c r="B5587" t="str">
        <f t="shared" si="1238"/>
        <v>89383000</v>
      </c>
      <c r="C5587" t="str">
        <f t="shared" si="1239"/>
        <v>89383002</v>
      </c>
      <c r="D5587" t="str">
        <f t="shared" si="1240"/>
        <v>809</v>
      </c>
      <c r="E5587" t="str">
        <f t="shared" si="1242"/>
        <v>89301212</v>
      </c>
      <c r="F5587" t="str">
        <f>"7462024339"</f>
        <v>7462024339</v>
      </c>
      <c r="G5587" s="1">
        <v>44706</v>
      </c>
      <c r="H5587" t="str">
        <f>"89512"</f>
        <v>89512</v>
      </c>
      <c r="I5587">
        <v>1</v>
      </c>
      <c r="J5587">
        <v>277</v>
      </c>
      <c r="K5587">
        <v>0</v>
      </c>
      <c r="L5587">
        <v>387.8</v>
      </c>
    </row>
    <row r="5588" spans="1:12" x14ac:dyDescent="0.25">
      <c r="A5588" t="str">
        <f t="shared" si="1241"/>
        <v>89301000</v>
      </c>
      <c r="B5588" t="str">
        <f t="shared" si="1238"/>
        <v>89383000</v>
      </c>
      <c r="C5588" t="str">
        <f t="shared" si="1239"/>
        <v>89383002</v>
      </c>
      <c r="D5588" t="str">
        <f t="shared" si="1240"/>
        <v>809</v>
      </c>
      <c r="E5588" t="str">
        <f t="shared" si="1242"/>
        <v>89301212</v>
      </c>
      <c r="F5588" t="str">
        <f>"7462024339"</f>
        <v>7462024339</v>
      </c>
      <c r="G5588" s="1">
        <v>44706</v>
      </c>
      <c r="H5588" t="str">
        <f>"89513"</f>
        <v>89513</v>
      </c>
      <c r="I5588">
        <v>1</v>
      </c>
      <c r="J5588">
        <v>371</v>
      </c>
      <c r="K5588">
        <v>0</v>
      </c>
      <c r="L5588">
        <v>519.4</v>
      </c>
    </row>
    <row r="5589" spans="1:12" x14ac:dyDescent="0.25">
      <c r="A5589" t="str">
        <f t="shared" si="1241"/>
        <v>89301000</v>
      </c>
      <c r="B5589" t="str">
        <f t="shared" si="1238"/>
        <v>89383000</v>
      </c>
      <c r="C5589" t="str">
        <f t="shared" si="1239"/>
        <v>89383002</v>
      </c>
      <c r="D5589" t="str">
        <f t="shared" si="1240"/>
        <v>809</v>
      </c>
      <c r="E5589" t="str">
        <f t="shared" si="1242"/>
        <v>89301212</v>
      </c>
      <c r="F5589" t="str">
        <f>"7462024339"</f>
        <v>7462024339</v>
      </c>
      <c r="G5589" s="1">
        <v>44706</v>
      </c>
      <c r="H5589" t="str">
        <f>"89514"</f>
        <v>89514</v>
      </c>
      <c r="I5589">
        <v>1</v>
      </c>
      <c r="J5589">
        <v>371</v>
      </c>
      <c r="K5589">
        <v>0</v>
      </c>
      <c r="L5589">
        <v>519.4</v>
      </c>
    </row>
    <row r="5590" spans="1:12" x14ac:dyDescent="0.25">
      <c r="A5590" t="str">
        <f t="shared" si="1241"/>
        <v>89301000</v>
      </c>
      <c r="B5590" t="str">
        <f t="shared" si="1238"/>
        <v>89383000</v>
      </c>
      <c r="C5590" t="str">
        <f t="shared" si="1239"/>
        <v>89383002</v>
      </c>
      <c r="D5590" t="str">
        <f t="shared" si="1240"/>
        <v>809</v>
      </c>
      <c r="E5590" t="str">
        <f t="shared" si="1242"/>
        <v>89301212</v>
      </c>
      <c r="F5590" t="str">
        <f>"505713230"</f>
        <v>505713230</v>
      </c>
      <c r="G5590" s="1">
        <v>44707</v>
      </c>
      <c r="H5590" t="str">
        <f>"89180"</f>
        <v>89180</v>
      </c>
      <c r="I5590">
        <v>2</v>
      </c>
      <c r="J5590">
        <v>752</v>
      </c>
      <c r="K5590">
        <v>0</v>
      </c>
      <c r="L5590">
        <v>1052.8</v>
      </c>
    </row>
    <row r="5591" spans="1:12" x14ac:dyDescent="0.25">
      <c r="A5591" t="str">
        <f t="shared" si="1241"/>
        <v>89301000</v>
      </c>
      <c r="B5591" t="str">
        <f t="shared" si="1238"/>
        <v>89383000</v>
      </c>
      <c r="C5591" t="str">
        <f t="shared" si="1239"/>
        <v>89383002</v>
      </c>
      <c r="D5591" t="str">
        <f t="shared" si="1240"/>
        <v>809</v>
      </c>
      <c r="E5591" t="str">
        <f t="shared" si="1242"/>
        <v>89301212</v>
      </c>
      <c r="F5591" t="str">
        <f>"505713230"</f>
        <v>505713230</v>
      </c>
      <c r="G5591" s="1">
        <v>44707</v>
      </c>
      <c r="H5591" t="str">
        <f>"89512"</f>
        <v>89512</v>
      </c>
      <c r="I5591">
        <v>1</v>
      </c>
      <c r="J5591">
        <v>277</v>
      </c>
      <c r="K5591">
        <v>0</v>
      </c>
      <c r="L5591">
        <v>387.8</v>
      </c>
    </row>
    <row r="5592" spans="1:12" x14ac:dyDescent="0.25">
      <c r="A5592" t="str">
        <f t="shared" si="1241"/>
        <v>89301000</v>
      </c>
      <c r="B5592" t="str">
        <f t="shared" si="1238"/>
        <v>89383000</v>
      </c>
      <c r="C5592" t="str">
        <f t="shared" si="1239"/>
        <v>89383002</v>
      </c>
      <c r="D5592" t="str">
        <f t="shared" si="1240"/>
        <v>809</v>
      </c>
      <c r="E5592" t="str">
        <f t="shared" si="1242"/>
        <v>89301212</v>
      </c>
      <c r="F5592" t="str">
        <f>"6161230823"</f>
        <v>6161230823</v>
      </c>
      <c r="G5592" s="1">
        <v>44708</v>
      </c>
      <c r="H5592" t="str">
        <f>"89180"</f>
        <v>89180</v>
      </c>
      <c r="I5592">
        <v>2</v>
      </c>
      <c r="J5592">
        <v>752</v>
      </c>
      <c r="K5592">
        <v>0</v>
      </c>
      <c r="L5592">
        <v>1052.8</v>
      </c>
    </row>
    <row r="5593" spans="1:12" x14ac:dyDescent="0.25">
      <c r="A5593" t="str">
        <f t="shared" si="1241"/>
        <v>89301000</v>
      </c>
      <c r="B5593" t="str">
        <f t="shared" si="1238"/>
        <v>89383000</v>
      </c>
      <c r="C5593" t="str">
        <f t="shared" si="1239"/>
        <v>89383002</v>
      </c>
      <c r="D5593" t="str">
        <f t="shared" si="1240"/>
        <v>809</v>
      </c>
      <c r="E5593" t="str">
        <f t="shared" si="1242"/>
        <v>89301212</v>
      </c>
      <c r="F5593" t="str">
        <f>"6161230823"</f>
        <v>6161230823</v>
      </c>
      <c r="G5593" s="1">
        <v>44708</v>
      </c>
      <c r="H5593" t="str">
        <f>"89512"</f>
        <v>89512</v>
      </c>
      <c r="I5593">
        <v>1</v>
      </c>
      <c r="J5593">
        <v>277</v>
      </c>
      <c r="K5593">
        <v>0</v>
      </c>
      <c r="L5593">
        <v>387.8</v>
      </c>
    </row>
    <row r="5594" spans="1:12" x14ac:dyDescent="0.25">
      <c r="A5594" t="str">
        <f t="shared" si="1241"/>
        <v>89301000</v>
      </c>
      <c r="B5594" t="str">
        <f t="shared" si="1238"/>
        <v>89383000</v>
      </c>
      <c r="C5594" t="str">
        <f t="shared" si="1239"/>
        <v>89383002</v>
      </c>
      <c r="D5594" t="str">
        <f t="shared" si="1240"/>
        <v>809</v>
      </c>
      <c r="E5594" t="str">
        <f t="shared" si="1242"/>
        <v>89301212</v>
      </c>
      <c r="F5594" t="str">
        <f>"6161230823"</f>
        <v>6161230823</v>
      </c>
      <c r="G5594" s="1">
        <v>44708</v>
      </c>
      <c r="H5594" t="str">
        <f>"89513"</f>
        <v>89513</v>
      </c>
      <c r="I5594">
        <v>1</v>
      </c>
      <c r="J5594">
        <v>371</v>
      </c>
      <c r="K5594">
        <v>0</v>
      </c>
      <c r="L5594">
        <v>519.4</v>
      </c>
    </row>
    <row r="5595" spans="1:12" x14ac:dyDescent="0.25">
      <c r="A5595" t="str">
        <f t="shared" si="1241"/>
        <v>89301000</v>
      </c>
      <c r="B5595" t="str">
        <f t="shared" si="1238"/>
        <v>89383000</v>
      </c>
      <c r="C5595" t="str">
        <f t="shared" si="1239"/>
        <v>89383002</v>
      </c>
      <c r="D5595" t="str">
        <f t="shared" si="1240"/>
        <v>809</v>
      </c>
      <c r="E5595" t="str">
        <f t="shared" si="1242"/>
        <v>89301212</v>
      </c>
      <c r="F5595" t="str">
        <f>"6161230823"</f>
        <v>6161230823</v>
      </c>
      <c r="G5595" s="1">
        <v>44708</v>
      </c>
      <c r="H5595" t="str">
        <f>"89514"</f>
        <v>89514</v>
      </c>
      <c r="I5595">
        <v>1</v>
      </c>
      <c r="J5595">
        <v>371</v>
      </c>
      <c r="K5595">
        <v>0</v>
      </c>
      <c r="L5595">
        <v>519.4</v>
      </c>
    </row>
    <row r="5596" spans="1:12" x14ac:dyDescent="0.25">
      <c r="A5596" t="str">
        <f t="shared" si="1241"/>
        <v>89301000</v>
      </c>
      <c r="B5596" t="str">
        <f t="shared" si="1238"/>
        <v>89383000</v>
      </c>
      <c r="C5596" t="str">
        <f t="shared" si="1239"/>
        <v>89383002</v>
      </c>
      <c r="D5596" t="str">
        <f t="shared" si="1240"/>
        <v>809</v>
      </c>
      <c r="E5596" t="str">
        <f t="shared" si="1242"/>
        <v>89301212</v>
      </c>
      <c r="F5596" t="str">
        <f>"6853190025"</f>
        <v>6853190025</v>
      </c>
      <c r="G5596" s="1">
        <v>44708</v>
      </c>
      <c r="H5596" t="str">
        <f>"89512"</f>
        <v>89512</v>
      </c>
      <c r="I5596">
        <v>1</v>
      </c>
      <c r="J5596">
        <v>277</v>
      </c>
      <c r="K5596">
        <v>0</v>
      </c>
      <c r="L5596">
        <v>387.8</v>
      </c>
    </row>
    <row r="5597" spans="1:12" x14ac:dyDescent="0.25">
      <c r="A5597" t="str">
        <f t="shared" si="1241"/>
        <v>89301000</v>
      </c>
      <c r="B5597" t="str">
        <f t="shared" si="1238"/>
        <v>89383000</v>
      </c>
      <c r="C5597" t="str">
        <f t="shared" si="1239"/>
        <v>89383002</v>
      </c>
      <c r="D5597" t="str">
        <f t="shared" si="1240"/>
        <v>809</v>
      </c>
      <c r="E5597" t="str">
        <f t="shared" si="1242"/>
        <v>89301212</v>
      </c>
      <c r="F5597" t="str">
        <f>"6853190025"</f>
        <v>6853190025</v>
      </c>
      <c r="G5597" s="1">
        <v>44708</v>
      </c>
      <c r="H5597" t="str">
        <f>"89513"</f>
        <v>89513</v>
      </c>
      <c r="I5597">
        <v>1</v>
      </c>
      <c r="J5597">
        <v>371</v>
      </c>
      <c r="K5597">
        <v>0</v>
      </c>
      <c r="L5597">
        <v>519.4</v>
      </c>
    </row>
    <row r="5598" spans="1:12" x14ac:dyDescent="0.25">
      <c r="A5598" t="str">
        <f t="shared" si="1241"/>
        <v>89301000</v>
      </c>
      <c r="B5598" t="str">
        <f t="shared" ref="B5598:B5616" si="1243">"89383000"</f>
        <v>89383000</v>
      </c>
      <c r="C5598" t="str">
        <f t="shared" ref="C5598:C5616" si="1244">"89383002"</f>
        <v>89383002</v>
      </c>
      <c r="D5598" t="str">
        <f t="shared" ref="D5598:D5621" si="1245">"809"</f>
        <v>809</v>
      </c>
      <c r="E5598" t="str">
        <f t="shared" si="1242"/>
        <v>89301212</v>
      </c>
      <c r="F5598" t="str">
        <f>"6853190025"</f>
        <v>6853190025</v>
      </c>
      <c r="G5598" s="1">
        <v>44708</v>
      </c>
      <c r="H5598" t="str">
        <f>"89514"</f>
        <v>89514</v>
      </c>
      <c r="I5598">
        <v>1</v>
      </c>
      <c r="J5598">
        <v>371</v>
      </c>
      <c r="K5598">
        <v>0</v>
      </c>
      <c r="L5598">
        <v>519.4</v>
      </c>
    </row>
    <row r="5599" spans="1:12" x14ac:dyDescent="0.25">
      <c r="A5599" t="str">
        <f t="shared" si="1241"/>
        <v>89301000</v>
      </c>
      <c r="B5599" t="str">
        <f t="shared" si="1243"/>
        <v>89383000</v>
      </c>
      <c r="C5599" t="str">
        <f t="shared" si="1244"/>
        <v>89383002</v>
      </c>
      <c r="D5599" t="str">
        <f t="shared" si="1245"/>
        <v>809</v>
      </c>
      <c r="E5599" t="str">
        <f t="shared" si="1242"/>
        <v>89301212</v>
      </c>
      <c r="F5599" t="str">
        <f>"5959181701"</f>
        <v>5959181701</v>
      </c>
      <c r="G5599" s="1">
        <v>44711</v>
      </c>
      <c r="H5599" t="str">
        <f>"89180"</f>
        <v>89180</v>
      </c>
      <c r="I5599">
        <v>2</v>
      </c>
      <c r="J5599">
        <v>752</v>
      </c>
      <c r="K5599">
        <v>0</v>
      </c>
      <c r="L5599">
        <v>1052.8</v>
      </c>
    </row>
    <row r="5600" spans="1:12" x14ac:dyDescent="0.25">
      <c r="A5600" t="str">
        <f t="shared" si="1241"/>
        <v>89301000</v>
      </c>
      <c r="B5600" t="str">
        <f t="shared" si="1243"/>
        <v>89383000</v>
      </c>
      <c r="C5600" t="str">
        <f t="shared" si="1244"/>
        <v>89383002</v>
      </c>
      <c r="D5600" t="str">
        <f t="shared" si="1245"/>
        <v>809</v>
      </c>
      <c r="E5600" t="str">
        <f t="shared" si="1242"/>
        <v>89301212</v>
      </c>
      <c r="F5600" t="str">
        <f>"5959181701"</f>
        <v>5959181701</v>
      </c>
      <c r="G5600" s="1">
        <v>44711</v>
      </c>
      <c r="H5600" t="str">
        <f>"89512"</f>
        <v>89512</v>
      </c>
      <c r="I5600">
        <v>1</v>
      </c>
      <c r="J5600">
        <v>277</v>
      </c>
      <c r="K5600">
        <v>0</v>
      </c>
      <c r="L5600">
        <v>387.8</v>
      </c>
    </row>
    <row r="5601" spans="1:12" x14ac:dyDescent="0.25">
      <c r="A5601" t="str">
        <f t="shared" si="1241"/>
        <v>89301000</v>
      </c>
      <c r="B5601" t="str">
        <f t="shared" si="1243"/>
        <v>89383000</v>
      </c>
      <c r="C5601" t="str">
        <f t="shared" si="1244"/>
        <v>89383002</v>
      </c>
      <c r="D5601" t="str">
        <f t="shared" si="1245"/>
        <v>809</v>
      </c>
      <c r="E5601" t="str">
        <f t="shared" si="1242"/>
        <v>89301212</v>
      </c>
      <c r="F5601" t="str">
        <f>"5959181701"</f>
        <v>5959181701</v>
      </c>
      <c r="G5601" s="1">
        <v>44711</v>
      </c>
      <c r="H5601" t="str">
        <f>"89513"</f>
        <v>89513</v>
      </c>
      <c r="I5601">
        <v>1</v>
      </c>
      <c r="J5601">
        <v>371</v>
      </c>
      <c r="K5601">
        <v>0</v>
      </c>
      <c r="L5601">
        <v>519.4</v>
      </c>
    </row>
    <row r="5602" spans="1:12" x14ac:dyDescent="0.25">
      <c r="A5602" t="str">
        <f t="shared" si="1241"/>
        <v>89301000</v>
      </c>
      <c r="B5602" t="str">
        <f t="shared" si="1243"/>
        <v>89383000</v>
      </c>
      <c r="C5602" t="str">
        <f t="shared" si="1244"/>
        <v>89383002</v>
      </c>
      <c r="D5602" t="str">
        <f t="shared" si="1245"/>
        <v>809</v>
      </c>
      <c r="E5602" t="str">
        <f t="shared" si="1242"/>
        <v>89301212</v>
      </c>
      <c r="F5602" t="str">
        <f>"5959181701"</f>
        <v>5959181701</v>
      </c>
      <c r="G5602" s="1">
        <v>44711</v>
      </c>
      <c r="H5602" t="str">
        <f>"89514"</f>
        <v>89514</v>
      </c>
      <c r="I5602">
        <v>1</v>
      </c>
      <c r="J5602">
        <v>371</v>
      </c>
      <c r="K5602">
        <v>0</v>
      </c>
      <c r="L5602">
        <v>519.4</v>
      </c>
    </row>
    <row r="5603" spans="1:12" x14ac:dyDescent="0.25">
      <c r="A5603" t="str">
        <f t="shared" si="1241"/>
        <v>89301000</v>
      </c>
      <c r="B5603" t="str">
        <f t="shared" si="1243"/>
        <v>89383000</v>
      </c>
      <c r="C5603" t="str">
        <f t="shared" si="1244"/>
        <v>89383002</v>
      </c>
      <c r="D5603" t="str">
        <f t="shared" si="1245"/>
        <v>809</v>
      </c>
      <c r="E5603" t="str">
        <f t="shared" si="1242"/>
        <v>89301212</v>
      </c>
      <c r="F5603" t="str">
        <f t="shared" ref="F5603:F5608" si="1246">"8161201675"</f>
        <v>8161201675</v>
      </c>
      <c r="G5603" s="1">
        <v>44706</v>
      </c>
      <c r="H5603" t="str">
        <f>"89313"</f>
        <v>89313</v>
      </c>
      <c r="I5603">
        <v>1</v>
      </c>
      <c r="J5603">
        <v>406</v>
      </c>
      <c r="K5603">
        <v>0</v>
      </c>
      <c r="L5603">
        <v>568.4</v>
      </c>
    </row>
    <row r="5604" spans="1:12" x14ac:dyDescent="0.25">
      <c r="A5604" t="str">
        <f t="shared" si="1241"/>
        <v>89301000</v>
      </c>
      <c r="B5604" t="str">
        <f t="shared" si="1243"/>
        <v>89383000</v>
      </c>
      <c r="C5604" t="str">
        <f t="shared" si="1244"/>
        <v>89383002</v>
      </c>
      <c r="D5604" t="str">
        <f t="shared" si="1245"/>
        <v>809</v>
      </c>
      <c r="E5604" t="str">
        <f t="shared" si="1242"/>
        <v>89301212</v>
      </c>
      <c r="F5604" t="str">
        <f t="shared" si="1246"/>
        <v>8161201675</v>
      </c>
      <c r="G5604" s="1">
        <v>44706</v>
      </c>
      <c r="H5604" t="str">
        <f>"09233"</f>
        <v>09233</v>
      </c>
      <c r="I5604">
        <v>1</v>
      </c>
      <c r="J5604">
        <v>99</v>
      </c>
      <c r="K5604">
        <v>0</v>
      </c>
      <c r="L5604">
        <v>138.6</v>
      </c>
    </row>
    <row r="5605" spans="1:12" x14ac:dyDescent="0.25">
      <c r="A5605" t="str">
        <f t="shared" si="1241"/>
        <v>89301000</v>
      </c>
      <c r="B5605" t="str">
        <f t="shared" si="1243"/>
        <v>89383000</v>
      </c>
      <c r="C5605" t="str">
        <f t="shared" si="1244"/>
        <v>89383002</v>
      </c>
      <c r="D5605" t="str">
        <f t="shared" si="1245"/>
        <v>809</v>
      </c>
      <c r="E5605" t="str">
        <f t="shared" si="1242"/>
        <v>89301212</v>
      </c>
      <c r="F5605" t="str">
        <f t="shared" si="1246"/>
        <v>8161201675</v>
      </c>
      <c r="G5605" s="1">
        <v>44706</v>
      </c>
      <c r="H5605" t="str">
        <f>"89512"</f>
        <v>89512</v>
      </c>
      <c r="I5605">
        <v>1</v>
      </c>
      <c r="J5605">
        <v>277</v>
      </c>
      <c r="K5605">
        <v>0</v>
      </c>
      <c r="L5605">
        <v>387.8</v>
      </c>
    </row>
    <row r="5606" spans="1:12" x14ac:dyDescent="0.25">
      <c r="A5606" t="str">
        <f t="shared" si="1241"/>
        <v>89301000</v>
      </c>
      <c r="B5606" t="str">
        <f t="shared" si="1243"/>
        <v>89383000</v>
      </c>
      <c r="C5606" t="str">
        <f t="shared" si="1244"/>
        <v>89383002</v>
      </c>
      <c r="D5606" t="str">
        <f t="shared" si="1245"/>
        <v>809</v>
      </c>
      <c r="E5606" t="str">
        <f t="shared" si="1242"/>
        <v>89301212</v>
      </c>
      <c r="F5606" t="str">
        <f t="shared" si="1246"/>
        <v>8161201675</v>
      </c>
      <c r="G5606" s="1">
        <v>44706</v>
      </c>
      <c r="H5606" t="str">
        <f>"89515"</f>
        <v>89515</v>
      </c>
      <c r="I5606">
        <v>1</v>
      </c>
      <c r="J5606">
        <v>339</v>
      </c>
      <c r="K5606">
        <v>0</v>
      </c>
      <c r="L5606">
        <v>474.6</v>
      </c>
    </row>
    <row r="5607" spans="1:12" x14ac:dyDescent="0.25">
      <c r="A5607" t="str">
        <f t="shared" si="1241"/>
        <v>89301000</v>
      </c>
      <c r="B5607" t="str">
        <f t="shared" si="1243"/>
        <v>89383000</v>
      </c>
      <c r="C5607" t="str">
        <f t="shared" si="1244"/>
        <v>89383002</v>
      </c>
      <c r="D5607" t="str">
        <f t="shared" si="1245"/>
        <v>809</v>
      </c>
      <c r="E5607" t="str">
        <f t="shared" si="1242"/>
        <v>89301212</v>
      </c>
      <c r="F5607" t="str">
        <f t="shared" si="1246"/>
        <v>8161201675</v>
      </c>
      <c r="G5607" s="1">
        <v>44706</v>
      </c>
      <c r="H5607" t="str">
        <f>"0225891"</f>
        <v>0225891</v>
      </c>
      <c r="I5607">
        <v>0.05</v>
      </c>
      <c r="K5607">
        <v>18.39</v>
      </c>
      <c r="L5607">
        <v>18.39</v>
      </c>
    </row>
    <row r="5608" spans="1:12" x14ac:dyDescent="0.25">
      <c r="A5608" t="str">
        <f t="shared" si="1241"/>
        <v>89301000</v>
      </c>
      <c r="B5608" t="str">
        <f t="shared" si="1243"/>
        <v>89383000</v>
      </c>
      <c r="C5608" t="str">
        <f t="shared" si="1244"/>
        <v>89383002</v>
      </c>
      <c r="D5608" t="str">
        <f t="shared" si="1245"/>
        <v>809</v>
      </c>
      <c r="E5608" t="str">
        <f t="shared" si="1242"/>
        <v>89301212</v>
      </c>
      <c r="F5608" t="str">
        <f t="shared" si="1246"/>
        <v>8161201675</v>
      </c>
      <c r="G5608" s="1">
        <v>44706</v>
      </c>
      <c r="H5608" t="str">
        <f>"0142908"</f>
        <v>0142908</v>
      </c>
      <c r="I5608">
        <v>1</v>
      </c>
      <c r="K5608">
        <v>910</v>
      </c>
      <c r="L5608">
        <v>910</v>
      </c>
    </row>
    <row r="5609" spans="1:12" x14ac:dyDescent="0.25">
      <c r="A5609" t="str">
        <f t="shared" si="1241"/>
        <v>89301000</v>
      </c>
      <c r="B5609" t="str">
        <f t="shared" si="1243"/>
        <v>89383000</v>
      </c>
      <c r="C5609" t="str">
        <f t="shared" si="1244"/>
        <v>89383002</v>
      </c>
      <c r="D5609" t="str">
        <f t="shared" si="1245"/>
        <v>809</v>
      </c>
      <c r="E5609" t="str">
        <f t="shared" ref="E5609:E5614" si="1247">"89301215"</f>
        <v>89301215</v>
      </c>
      <c r="F5609" t="str">
        <f t="shared" ref="F5609:F5614" si="1248">"8258305363"</f>
        <v>8258305363</v>
      </c>
      <c r="G5609" s="1">
        <v>44706</v>
      </c>
      <c r="H5609" t="str">
        <f>"89313"</f>
        <v>89313</v>
      </c>
      <c r="I5609">
        <v>1</v>
      </c>
      <c r="J5609">
        <v>406</v>
      </c>
      <c r="K5609">
        <v>0</v>
      </c>
      <c r="L5609">
        <v>568.4</v>
      </c>
    </row>
    <row r="5610" spans="1:12" x14ac:dyDescent="0.25">
      <c r="A5610" t="str">
        <f t="shared" si="1241"/>
        <v>89301000</v>
      </c>
      <c r="B5610" t="str">
        <f t="shared" si="1243"/>
        <v>89383000</v>
      </c>
      <c r="C5610" t="str">
        <f t="shared" si="1244"/>
        <v>89383002</v>
      </c>
      <c r="D5610" t="str">
        <f t="shared" si="1245"/>
        <v>809</v>
      </c>
      <c r="E5610" t="str">
        <f t="shared" si="1247"/>
        <v>89301215</v>
      </c>
      <c r="F5610" t="str">
        <f t="shared" si="1248"/>
        <v>8258305363</v>
      </c>
      <c r="G5610" s="1">
        <v>44706</v>
      </c>
      <c r="H5610" t="str">
        <f>"09233"</f>
        <v>09233</v>
      </c>
      <c r="I5610">
        <v>1</v>
      </c>
      <c r="J5610">
        <v>99</v>
      </c>
      <c r="K5610">
        <v>0</v>
      </c>
      <c r="L5610">
        <v>138.6</v>
      </c>
    </row>
    <row r="5611" spans="1:12" x14ac:dyDescent="0.25">
      <c r="A5611" t="str">
        <f t="shared" si="1241"/>
        <v>89301000</v>
      </c>
      <c r="B5611" t="str">
        <f t="shared" si="1243"/>
        <v>89383000</v>
      </c>
      <c r="C5611" t="str">
        <f t="shared" si="1244"/>
        <v>89383002</v>
      </c>
      <c r="D5611" t="str">
        <f t="shared" si="1245"/>
        <v>809</v>
      </c>
      <c r="E5611" t="str">
        <f t="shared" si="1247"/>
        <v>89301215</v>
      </c>
      <c r="F5611" t="str">
        <f t="shared" si="1248"/>
        <v>8258305363</v>
      </c>
      <c r="G5611" s="1">
        <v>44706</v>
      </c>
      <c r="H5611" t="str">
        <f>"89515"</f>
        <v>89515</v>
      </c>
      <c r="I5611">
        <v>1</v>
      </c>
      <c r="J5611">
        <v>339</v>
      </c>
      <c r="K5611">
        <v>0</v>
      </c>
      <c r="L5611">
        <v>474.6</v>
      </c>
    </row>
    <row r="5612" spans="1:12" x14ac:dyDescent="0.25">
      <c r="A5612" t="str">
        <f t="shared" si="1241"/>
        <v>89301000</v>
      </c>
      <c r="B5612" t="str">
        <f t="shared" si="1243"/>
        <v>89383000</v>
      </c>
      <c r="C5612" t="str">
        <f t="shared" si="1244"/>
        <v>89383002</v>
      </c>
      <c r="D5612" t="str">
        <f t="shared" si="1245"/>
        <v>809</v>
      </c>
      <c r="E5612" t="str">
        <f t="shared" si="1247"/>
        <v>89301215</v>
      </c>
      <c r="F5612" t="str">
        <f t="shared" si="1248"/>
        <v>8258305363</v>
      </c>
      <c r="G5612" s="1">
        <v>44706</v>
      </c>
      <c r="H5612" t="str">
        <f>"89512"</f>
        <v>89512</v>
      </c>
      <c r="I5612">
        <v>1</v>
      </c>
      <c r="J5612">
        <v>277</v>
      </c>
      <c r="K5612">
        <v>0</v>
      </c>
      <c r="L5612">
        <v>387.8</v>
      </c>
    </row>
    <row r="5613" spans="1:12" x14ac:dyDescent="0.25">
      <c r="A5613" t="str">
        <f t="shared" si="1241"/>
        <v>89301000</v>
      </c>
      <c r="B5613" t="str">
        <f t="shared" si="1243"/>
        <v>89383000</v>
      </c>
      <c r="C5613" t="str">
        <f t="shared" si="1244"/>
        <v>89383002</v>
      </c>
      <c r="D5613" t="str">
        <f t="shared" si="1245"/>
        <v>809</v>
      </c>
      <c r="E5613" t="str">
        <f t="shared" si="1247"/>
        <v>89301215</v>
      </c>
      <c r="F5613" t="str">
        <f t="shared" si="1248"/>
        <v>8258305363</v>
      </c>
      <c r="G5613" s="1">
        <v>44706</v>
      </c>
      <c r="H5613" t="str">
        <f>"0225891"</f>
        <v>0225891</v>
      </c>
      <c r="I5613">
        <v>0.05</v>
      </c>
      <c r="K5613">
        <v>18.39</v>
      </c>
      <c r="L5613">
        <v>18.39</v>
      </c>
    </row>
    <row r="5614" spans="1:12" x14ac:dyDescent="0.25">
      <c r="A5614" t="str">
        <f t="shared" si="1241"/>
        <v>89301000</v>
      </c>
      <c r="B5614" t="str">
        <f t="shared" si="1243"/>
        <v>89383000</v>
      </c>
      <c r="C5614" t="str">
        <f t="shared" si="1244"/>
        <v>89383002</v>
      </c>
      <c r="D5614" t="str">
        <f t="shared" si="1245"/>
        <v>809</v>
      </c>
      <c r="E5614" t="str">
        <f t="shared" si="1247"/>
        <v>89301215</v>
      </c>
      <c r="F5614" t="str">
        <f t="shared" si="1248"/>
        <v>8258305363</v>
      </c>
      <c r="G5614" s="1">
        <v>44706</v>
      </c>
      <c r="H5614" t="str">
        <f>"0142908"</f>
        <v>0142908</v>
      </c>
      <c r="I5614">
        <v>1</v>
      </c>
      <c r="K5614">
        <v>910</v>
      </c>
      <c r="L5614">
        <v>910</v>
      </c>
    </row>
    <row r="5615" spans="1:12" x14ac:dyDescent="0.25">
      <c r="A5615" t="str">
        <f t="shared" si="1241"/>
        <v>89301000</v>
      </c>
      <c r="B5615" t="str">
        <f t="shared" si="1243"/>
        <v>89383000</v>
      </c>
      <c r="C5615" t="str">
        <f t="shared" si="1244"/>
        <v>89383002</v>
      </c>
      <c r="D5615" t="str">
        <f t="shared" si="1245"/>
        <v>809</v>
      </c>
      <c r="E5615" t="str">
        <f>"89301212"</f>
        <v>89301212</v>
      </c>
      <c r="F5615" t="str">
        <f>"505713230"</f>
        <v>505713230</v>
      </c>
      <c r="G5615" s="1">
        <v>44708</v>
      </c>
      <c r="H5615" t="str">
        <f>"89512"</f>
        <v>89512</v>
      </c>
      <c r="I5615">
        <v>1</v>
      </c>
      <c r="J5615">
        <v>277</v>
      </c>
      <c r="K5615">
        <v>0</v>
      </c>
      <c r="L5615">
        <v>387.8</v>
      </c>
    </row>
    <row r="5616" spans="1:12" x14ac:dyDescent="0.25">
      <c r="A5616" t="str">
        <f t="shared" si="1241"/>
        <v>89301000</v>
      </c>
      <c r="B5616" t="str">
        <f t="shared" si="1243"/>
        <v>89383000</v>
      </c>
      <c r="C5616" t="str">
        <f t="shared" si="1244"/>
        <v>89383002</v>
      </c>
      <c r="D5616" t="str">
        <f t="shared" si="1245"/>
        <v>809</v>
      </c>
      <c r="E5616" t="str">
        <f>"89301212"</f>
        <v>89301212</v>
      </c>
      <c r="F5616" t="str">
        <f>"505713230"</f>
        <v>505713230</v>
      </c>
      <c r="G5616" s="1">
        <v>44708</v>
      </c>
      <c r="H5616" t="str">
        <f>"89311"</f>
        <v>89311</v>
      </c>
      <c r="I5616">
        <v>1</v>
      </c>
      <c r="J5616">
        <v>936</v>
      </c>
      <c r="K5616">
        <v>0</v>
      </c>
      <c r="L5616">
        <v>1310.4000000000001</v>
      </c>
    </row>
    <row r="5617" spans="1:12" x14ac:dyDescent="0.25">
      <c r="A5617" t="str">
        <f t="shared" si="1241"/>
        <v>89301000</v>
      </c>
      <c r="B5617" t="str">
        <f>"93507000"</f>
        <v>93507000</v>
      </c>
      <c r="C5617" t="str">
        <f>"93507001"</f>
        <v>93507001</v>
      </c>
      <c r="D5617" t="str">
        <f t="shared" si="1245"/>
        <v>809</v>
      </c>
      <c r="E5617" t="str">
        <f>"89301212"</f>
        <v>89301212</v>
      </c>
      <c r="F5617" t="str">
        <f>"515124381"</f>
        <v>515124381</v>
      </c>
      <c r="G5617" s="1">
        <v>44697</v>
      </c>
      <c r="H5617" t="str">
        <f>"89513"</f>
        <v>89513</v>
      </c>
      <c r="I5617">
        <v>1</v>
      </c>
      <c r="J5617">
        <v>371</v>
      </c>
      <c r="K5617">
        <v>0</v>
      </c>
      <c r="L5617">
        <v>519.4</v>
      </c>
    </row>
    <row r="5618" spans="1:12" x14ac:dyDescent="0.25">
      <c r="A5618" t="str">
        <f t="shared" si="1241"/>
        <v>89301000</v>
      </c>
      <c r="B5618" t="str">
        <f>"93507000"</f>
        <v>93507000</v>
      </c>
      <c r="C5618" t="str">
        <f>"93507001"</f>
        <v>93507001</v>
      </c>
      <c r="D5618" t="str">
        <f t="shared" si="1245"/>
        <v>809</v>
      </c>
      <c r="E5618" t="str">
        <f>"89301212"</f>
        <v>89301212</v>
      </c>
      <c r="F5618" t="str">
        <f>"515124381"</f>
        <v>515124381</v>
      </c>
      <c r="G5618" s="1">
        <v>44697</v>
      </c>
      <c r="H5618" t="str">
        <f>"89514"</f>
        <v>89514</v>
      </c>
      <c r="I5618">
        <v>1</v>
      </c>
      <c r="J5618">
        <v>371</v>
      </c>
      <c r="K5618">
        <v>0</v>
      </c>
      <c r="L5618">
        <v>519.4</v>
      </c>
    </row>
    <row r="5619" spans="1:12" x14ac:dyDescent="0.25">
      <c r="A5619" t="str">
        <f t="shared" si="1241"/>
        <v>89301000</v>
      </c>
      <c r="B5619" t="str">
        <f>"93507000"</f>
        <v>93507000</v>
      </c>
      <c r="C5619" t="str">
        <f>"93507001"</f>
        <v>93507001</v>
      </c>
      <c r="D5619" t="str">
        <f t="shared" si="1245"/>
        <v>809</v>
      </c>
      <c r="E5619" t="str">
        <f>"89301042"</f>
        <v>89301042</v>
      </c>
      <c r="F5619" t="str">
        <f>"5460200757"</f>
        <v>5460200757</v>
      </c>
      <c r="G5619" s="1">
        <v>44712</v>
      </c>
      <c r="H5619" t="str">
        <f>"89513"</f>
        <v>89513</v>
      </c>
      <c r="I5619">
        <v>1</v>
      </c>
      <c r="J5619">
        <v>371</v>
      </c>
      <c r="K5619">
        <v>0</v>
      </c>
      <c r="L5619">
        <v>519.4</v>
      </c>
    </row>
    <row r="5620" spans="1:12" x14ac:dyDescent="0.25">
      <c r="A5620" t="str">
        <f t="shared" si="1241"/>
        <v>89301000</v>
      </c>
      <c r="B5620" t="str">
        <f>"93507000"</f>
        <v>93507000</v>
      </c>
      <c r="C5620" t="str">
        <f>"93507001"</f>
        <v>93507001</v>
      </c>
      <c r="D5620" t="str">
        <f t="shared" si="1245"/>
        <v>809</v>
      </c>
      <c r="E5620" t="str">
        <f>"89301042"</f>
        <v>89301042</v>
      </c>
      <c r="F5620" t="str">
        <f>"5460200757"</f>
        <v>5460200757</v>
      </c>
      <c r="G5620" s="1">
        <v>44712</v>
      </c>
      <c r="H5620" t="str">
        <f>"89514"</f>
        <v>89514</v>
      </c>
      <c r="I5620">
        <v>1</v>
      </c>
      <c r="J5620">
        <v>371</v>
      </c>
      <c r="K5620">
        <v>0</v>
      </c>
      <c r="L5620">
        <v>519.4</v>
      </c>
    </row>
    <row r="5621" spans="1:12" x14ac:dyDescent="0.25">
      <c r="A5621" t="str">
        <f t="shared" si="1241"/>
        <v>89301000</v>
      </c>
      <c r="B5621" t="str">
        <f>"72100000"</f>
        <v>72100000</v>
      </c>
      <c r="C5621" t="str">
        <f>"72100750"</f>
        <v>72100750</v>
      </c>
      <c r="D5621" t="str">
        <f t="shared" si="1245"/>
        <v>809</v>
      </c>
      <c r="E5621" t="str">
        <f>"89301132"</f>
        <v>89301132</v>
      </c>
      <c r="F5621" t="str">
        <f>"8257265313"</f>
        <v>8257265313</v>
      </c>
      <c r="G5621" s="1">
        <v>44692</v>
      </c>
      <c r="H5621" t="str">
        <f>"89713"</f>
        <v>89713</v>
      </c>
      <c r="I5621">
        <v>2</v>
      </c>
      <c r="J5621">
        <v>10724</v>
      </c>
      <c r="K5621">
        <v>0</v>
      </c>
      <c r="L5621">
        <v>6434.4</v>
      </c>
    </row>
    <row r="5622" spans="1:12" x14ac:dyDescent="0.25">
      <c r="A5622" t="str">
        <f t="shared" si="1241"/>
        <v>89301000</v>
      </c>
      <c r="B5622" t="str">
        <f>"72100000"</f>
        <v>72100000</v>
      </c>
      <c r="C5622" t="str">
        <f>"72100632"</f>
        <v>72100632</v>
      </c>
      <c r="D5622" t="str">
        <f>"816"</f>
        <v>816</v>
      </c>
      <c r="E5622" t="str">
        <f>"89301282"</f>
        <v>89301282</v>
      </c>
      <c r="F5622" t="str">
        <f>"1306050229"</f>
        <v>1306050229</v>
      </c>
      <c r="G5622" s="1">
        <v>44659</v>
      </c>
      <c r="H5622" t="str">
        <f>"94983"</f>
        <v>94983</v>
      </c>
      <c r="I5622">
        <v>1</v>
      </c>
      <c r="J5622">
        <v>0</v>
      </c>
      <c r="K5622">
        <v>39600</v>
      </c>
      <c r="L5622">
        <v>39600</v>
      </c>
    </row>
    <row r="5623" spans="1:12" x14ac:dyDescent="0.25">
      <c r="A5623" t="str">
        <f t="shared" si="1241"/>
        <v>89301000</v>
      </c>
      <c r="B5623" t="str">
        <f>"72100000"</f>
        <v>72100000</v>
      </c>
      <c r="C5623" t="str">
        <f>"72100632"</f>
        <v>72100632</v>
      </c>
      <c r="D5623" t="str">
        <f>"816"</f>
        <v>816</v>
      </c>
      <c r="E5623" t="str">
        <f>"89301282"</f>
        <v>89301282</v>
      </c>
      <c r="F5623" t="str">
        <f>"1306050229"</f>
        <v>1306050229</v>
      </c>
      <c r="G5623" s="1">
        <v>44659</v>
      </c>
      <c r="H5623" t="str">
        <f>"94996"</f>
        <v>94996</v>
      </c>
      <c r="I5623">
        <v>1</v>
      </c>
      <c r="J5623">
        <v>0</v>
      </c>
      <c r="K5623">
        <v>0</v>
      </c>
      <c r="L5623">
        <v>0</v>
      </c>
    </row>
    <row r="5624" spans="1:12" x14ac:dyDescent="0.25">
      <c r="A5624" t="str">
        <f t="shared" si="1241"/>
        <v>89301000</v>
      </c>
      <c r="B5624" t="str">
        <f>"72100000"</f>
        <v>72100000</v>
      </c>
      <c r="C5624" t="str">
        <f>"72100632"</f>
        <v>72100632</v>
      </c>
      <c r="D5624" t="str">
        <f>"816"</f>
        <v>816</v>
      </c>
      <c r="E5624" t="str">
        <f>"89301282"</f>
        <v>89301282</v>
      </c>
      <c r="F5624" t="str">
        <f>"2051111183"</f>
        <v>2051111183</v>
      </c>
      <c r="G5624" s="1">
        <v>44658</v>
      </c>
      <c r="H5624" t="str">
        <f>"94351"</f>
        <v>94351</v>
      </c>
      <c r="I5624">
        <v>1</v>
      </c>
      <c r="J5624">
        <v>1709</v>
      </c>
      <c r="K5624">
        <v>0</v>
      </c>
      <c r="L5624">
        <v>1452.65</v>
      </c>
    </row>
    <row r="5625" spans="1:12" x14ac:dyDescent="0.25">
      <c r="A5625" t="str">
        <f t="shared" si="1241"/>
        <v>89301000</v>
      </c>
      <c r="B5625" t="str">
        <f>"72100000"</f>
        <v>72100000</v>
      </c>
      <c r="C5625" t="str">
        <f>"72100632"</f>
        <v>72100632</v>
      </c>
      <c r="D5625" t="str">
        <f>"816"</f>
        <v>816</v>
      </c>
      <c r="E5625" t="str">
        <f>"89301282"</f>
        <v>89301282</v>
      </c>
      <c r="F5625" t="str">
        <f>"2051111183"</f>
        <v>2051111183</v>
      </c>
      <c r="G5625" s="1">
        <v>44658</v>
      </c>
      <c r="H5625" t="str">
        <f>"94351"</f>
        <v>94351</v>
      </c>
      <c r="I5625">
        <v>2</v>
      </c>
      <c r="J5625">
        <v>3418</v>
      </c>
      <c r="K5625">
        <v>0</v>
      </c>
      <c r="L5625">
        <v>2905.3</v>
      </c>
    </row>
    <row r="5626" spans="1:12" x14ac:dyDescent="0.25">
      <c r="A5626" t="str">
        <f t="shared" si="1241"/>
        <v>89301000</v>
      </c>
      <c r="B5626" t="str">
        <f>"44564000"</f>
        <v>44564000</v>
      </c>
      <c r="C5626" t="str">
        <f>"44564006"</f>
        <v>44564006</v>
      </c>
      <c r="D5626" t="str">
        <f>"816"</f>
        <v>816</v>
      </c>
      <c r="E5626" t="str">
        <f>"89301212"</f>
        <v>89301212</v>
      </c>
      <c r="F5626" t="str">
        <f>"5559040861"</f>
        <v>5559040861</v>
      </c>
      <c r="G5626" s="1">
        <v>44649</v>
      </c>
      <c r="H5626" t="str">
        <f>"94233"</f>
        <v>94233</v>
      </c>
      <c r="I5626">
        <v>1</v>
      </c>
      <c r="J5626">
        <v>41183</v>
      </c>
      <c r="K5626">
        <v>0</v>
      </c>
      <c r="L5626">
        <v>35005.550000000003</v>
      </c>
    </row>
    <row r="5627" spans="1:12" x14ac:dyDescent="0.25">
      <c r="A5627" t="str">
        <f t="shared" si="1241"/>
        <v>89301000</v>
      </c>
      <c r="B5627" t="str">
        <f t="shared" ref="B5627:B5658" si="1249">"10510000"</f>
        <v>10510000</v>
      </c>
      <c r="C5627" t="str">
        <f t="shared" ref="C5627:C5658" si="1250">"10510001"</f>
        <v>10510001</v>
      </c>
      <c r="D5627" t="str">
        <f t="shared" ref="D5627:D5658" si="1251">"802"</f>
        <v>802</v>
      </c>
      <c r="E5627" t="str">
        <f t="shared" ref="E5627:E5632" si="1252">"89301202"</f>
        <v>89301202</v>
      </c>
      <c r="F5627" t="str">
        <f t="shared" ref="F5627:F5632" si="1253">"8711171524"</f>
        <v>8711171524</v>
      </c>
      <c r="G5627" s="1">
        <v>44680</v>
      </c>
      <c r="H5627" t="str">
        <f>"82111"</f>
        <v>82111</v>
      </c>
      <c r="I5627">
        <v>1</v>
      </c>
      <c r="J5627">
        <v>36</v>
      </c>
      <c r="K5627">
        <v>0</v>
      </c>
      <c r="L5627">
        <v>32.76</v>
      </c>
    </row>
    <row r="5628" spans="1:12" x14ac:dyDescent="0.25">
      <c r="A5628" t="str">
        <f t="shared" si="1241"/>
        <v>89301000</v>
      </c>
      <c r="B5628" t="str">
        <f t="shared" si="1249"/>
        <v>10510000</v>
      </c>
      <c r="C5628" t="str">
        <f t="shared" si="1250"/>
        <v>10510001</v>
      </c>
      <c r="D5628" t="str">
        <f t="shared" si="1251"/>
        <v>802</v>
      </c>
      <c r="E5628" t="str">
        <f t="shared" si="1252"/>
        <v>89301202</v>
      </c>
      <c r="F5628" t="str">
        <f t="shared" si="1253"/>
        <v>8711171524</v>
      </c>
      <c r="G5628" s="1">
        <v>44680</v>
      </c>
      <c r="H5628" t="str">
        <f>"82079"</f>
        <v>82079</v>
      </c>
      <c r="I5628">
        <v>1</v>
      </c>
      <c r="J5628">
        <v>332</v>
      </c>
      <c r="K5628">
        <v>0</v>
      </c>
      <c r="L5628">
        <v>302.12</v>
      </c>
    </row>
    <row r="5629" spans="1:12" x14ac:dyDescent="0.25">
      <c r="A5629" t="str">
        <f t="shared" si="1241"/>
        <v>89301000</v>
      </c>
      <c r="B5629" t="str">
        <f t="shared" si="1249"/>
        <v>10510000</v>
      </c>
      <c r="C5629" t="str">
        <f t="shared" si="1250"/>
        <v>10510001</v>
      </c>
      <c r="D5629" t="str">
        <f t="shared" si="1251"/>
        <v>802</v>
      </c>
      <c r="E5629" t="str">
        <f t="shared" si="1252"/>
        <v>89301202</v>
      </c>
      <c r="F5629" t="str">
        <f t="shared" si="1253"/>
        <v>8711171524</v>
      </c>
      <c r="G5629" s="1">
        <v>44680</v>
      </c>
      <c r="H5629" t="str">
        <f>"82145"</f>
        <v>82145</v>
      </c>
      <c r="I5629">
        <v>1</v>
      </c>
      <c r="J5629">
        <v>57</v>
      </c>
      <c r="K5629">
        <v>0</v>
      </c>
      <c r="L5629">
        <v>51.87</v>
      </c>
    </row>
    <row r="5630" spans="1:12" x14ac:dyDescent="0.25">
      <c r="A5630" t="str">
        <f t="shared" si="1241"/>
        <v>89301000</v>
      </c>
      <c r="B5630" t="str">
        <f t="shared" si="1249"/>
        <v>10510000</v>
      </c>
      <c r="C5630" t="str">
        <f t="shared" si="1250"/>
        <v>10510001</v>
      </c>
      <c r="D5630" t="str">
        <f t="shared" si="1251"/>
        <v>802</v>
      </c>
      <c r="E5630" t="str">
        <f t="shared" si="1252"/>
        <v>89301202</v>
      </c>
      <c r="F5630" t="str">
        <f t="shared" si="1253"/>
        <v>8711171524</v>
      </c>
      <c r="G5630" s="1">
        <v>44679</v>
      </c>
      <c r="H5630" t="str">
        <f>"97111"</f>
        <v>97111</v>
      </c>
      <c r="I5630">
        <v>1</v>
      </c>
      <c r="J5630">
        <v>18</v>
      </c>
      <c r="K5630">
        <v>0</v>
      </c>
      <c r="L5630">
        <v>16.38</v>
      </c>
    </row>
    <row r="5631" spans="1:12" x14ac:dyDescent="0.25">
      <c r="A5631" t="str">
        <f t="shared" si="1241"/>
        <v>89301000</v>
      </c>
      <c r="B5631" t="str">
        <f t="shared" si="1249"/>
        <v>10510000</v>
      </c>
      <c r="C5631" t="str">
        <f t="shared" si="1250"/>
        <v>10510001</v>
      </c>
      <c r="D5631" t="str">
        <f t="shared" si="1251"/>
        <v>802</v>
      </c>
      <c r="E5631" t="str">
        <f t="shared" si="1252"/>
        <v>89301202</v>
      </c>
      <c r="F5631" t="str">
        <f t="shared" si="1253"/>
        <v>8711171524</v>
      </c>
      <c r="G5631" s="1">
        <v>44680</v>
      </c>
      <c r="H5631" t="str">
        <f>"82113"</f>
        <v>82113</v>
      </c>
      <c r="I5631">
        <v>1</v>
      </c>
      <c r="J5631">
        <v>362</v>
      </c>
      <c r="K5631">
        <v>0</v>
      </c>
      <c r="L5631">
        <v>329.42</v>
      </c>
    </row>
    <row r="5632" spans="1:12" x14ac:dyDescent="0.25">
      <c r="A5632" t="str">
        <f t="shared" si="1241"/>
        <v>89301000</v>
      </c>
      <c r="B5632" t="str">
        <f t="shared" si="1249"/>
        <v>10510000</v>
      </c>
      <c r="C5632" t="str">
        <f t="shared" si="1250"/>
        <v>10510001</v>
      </c>
      <c r="D5632" t="str">
        <f t="shared" si="1251"/>
        <v>802</v>
      </c>
      <c r="E5632" t="str">
        <f t="shared" si="1252"/>
        <v>89301202</v>
      </c>
      <c r="F5632" t="str">
        <f t="shared" si="1253"/>
        <v>8711171524</v>
      </c>
      <c r="G5632" s="1">
        <v>44680</v>
      </c>
      <c r="H5632" t="str">
        <f>"82113"</f>
        <v>82113</v>
      </c>
      <c r="I5632">
        <v>1</v>
      </c>
      <c r="J5632">
        <v>362</v>
      </c>
      <c r="K5632">
        <v>0</v>
      </c>
      <c r="L5632">
        <v>329.42</v>
      </c>
    </row>
    <row r="5633" spans="1:12" x14ac:dyDescent="0.25">
      <c r="A5633" t="str">
        <f t="shared" si="1241"/>
        <v>89301000</v>
      </c>
      <c r="B5633" t="str">
        <f t="shared" si="1249"/>
        <v>10510000</v>
      </c>
      <c r="C5633" t="str">
        <f t="shared" si="1250"/>
        <v>10510001</v>
      </c>
      <c r="D5633" t="str">
        <f t="shared" si="1251"/>
        <v>802</v>
      </c>
      <c r="E5633" t="str">
        <f>"89301011"</f>
        <v>89301011</v>
      </c>
      <c r="F5633" t="str">
        <f>"435204416"</f>
        <v>435204416</v>
      </c>
      <c r="G5633" s="1">
        <v>44624</v>
      </c>
      <c r="H5633" t="str">
        <f>"82034"</f>
        <v>82034</v>
      </c>
      <c r="I5633">
        <v>1</v>
      </c>
      <c r="J5633">
        <v>348</v>
      </c>
      <c r="K5633">
        <v>0</v>
      </c>
      <c r="L5633">
        <v>316.68</v>
      </c>
    </row>
    <row r="5634" spans="1:12" x14ac:dyDescent="0.25">
      <c r="A5634" t="str">
        <f t="shared" ref="A5634:A5697" si="1254">"89301000"</f>
        <v>89301000</v>
      </c>
      <c r="B5634" t="str">
        <f t="shared" si="1249"/>
        <v>10510000</v>
      </c>
      <c r="C5634" t="str">
        <f t="shared" si="1250"/>
        <v>10510001</v>
      </c>
      <c r="D5634" t="str">
        <f t="shared" si="1251"/>
        <v>802</v>
      </c>
      <c r="E5634" t="str">
        <f>"89301011"</f>
        <v>89301011</v>
      </c>
      <c r="F5634" t="str">
        <f>"435204416"</f>
        <v>435204416</v>
      </c>
      <c r="G5634" s="1">
        <v>44624</v>
      </c>
      <c r="H5634" t="str">
        <f>"82038"</f>
        <v>82038</v>
      </c>
      <c r="I5634">
        <v>1</v>
      </c>
      <c r="J5634">
        <v>2142</v>
      </c>
      <c r="K5634">
        <v>0</v>
      </c>
      <c r="L5634">
        <v>1949.22</v>
      </c>
    </row>
    <row r="5635" spans="1:12" x14ac:dyDescent="0.25">
      <c r="A5635" t="str">
        <f t="shared" si="1254"/>
        <v>89301000</v>
      </c>
      <c r="B5635" t="str">
        <f t="shared" si="1249"/>
        <v>10510000</v>
      </c>
      <c r="C5635" t="str">
        <f t="shared" si="1250"/>
        <v>10510001</v>
      </c>
      <c r="D5635" t="str">
        <f t="shared" si="1251"/>
        <v>802</v>
      </c>
      <c r="E5635" t="str">
        <f>"89301011"</f>
        <v>89301011</v>
      </c>
      <c r="F5635" t="str">
        <f>"435204416"</f>
        <v>435204416</v>
      </c>
      <c r="G5635" s="1">
        <v>44621</v>
      </c>
      <c r="H5635" t="str">
        <f>"82077"</f>
        <v>82077</v>
      </c>
      <c r="I5635">
        <v>1</v>
      </c>
      <c r="J5635">
        <v>350</v>
      </c>
      <c r="K5635">
        <v>0</v>
      </c>
      <c r="L5635">
        <v>318.5</v>
      </c>
    </row>
    <row r="5636" spans="1:12" x14ac:dyDescent="0.25">
      <c r="A5636" t="str">
        <f t="shared" si="1254"/>
        <v>89301000</v>
      </c>
      <c r="B5636" t="str">
        <f t="shared" si="1249"/>
        <v>10510000</v>
      </c>
      <c r="C5636" t="str">
        <f t="shared" si="1250"/>
        <v>10510001</v>
      </c>
      <c r="D5636" t="str">
        <f t="shared" si="1251"/>
        <v>802</v>
      </c>
      <c r="E5636" t="str">
        <f>"89301011"</f>
        <v>89301011</v>
      </c>
      <c r="F5636" t="str">
        <f>"435204416"</f>
        <v>435204416</v>
      </c>
      <c r="G5636" s="1">
        <v>44621</v>
      </c>
      <c r="H5636" t="str">
        <f>"82119"</f>
        <v>82119</v>
      </c>
      <c r="I5636">
        <v>1</v>
      </c>
      <c r="J5636">
        <v>229</v>
      </c>
      <c r="K5636">
        <v>0</v>
      </c>
      <c r="L5636">
        <v>208.39</v>
      </c>
    </row>
    <row r="5637" spans="1:12" x14ac:dyDescent="0.25">
      <c r="A5637" t="str">
        <f t="shared" si="1254"/>
        <v>89301000</v>
      </c>
      <c r="B5637" t="str">
        <f t="shared" si="1249"/>
        <v>10510000</v>
      </c>
      <c r="C5637" t="str">
        <f t="shared" si="1250"/>
        <v>10510001</v>
      </c>
      <c r="D5637" t="str">
        <f t="shared" si="1251"/>
        <v>802</v>
      </c>
      <c r="E5637" t="str">
        <f>"89301011"</f>
        <v>89301011</v>
      </c>
      <c r="F5637" t="str">
        <f>"435204416"</f>
        <v>435204416</v>
      </c>
      <c r="G5637" s="1">
        <v>44621</v>
      </c>
      <c r="H5637" t="str">
        <f>"82135"</f>
        <v>82135</v>
      </c>
      <c r="I5637">
        <v>1</v>
      </c>
      <c r="J5637">
        <v>828</v>
      </c>
      <c r="K5637">
        <v>0</v>
      </c>
      <c r="L5637">
        <v>753.48</v>
      </c>
    </row>
    <row r="5638" spans="1:12" x14ac:dyDescent="0.25">
      <c r="A5638" t="str">
        <f t="shared" si="1254"/>
        <v>89301000</v>
      </c>
      <c r="B5638" t="str">
        <f t="shared" si="1249"/>
        <v>10510000</v>
      </c>
      <c r="C5638" t="str">
        <f t="shared" si="1250"/>
        <v>10510001</v>
      </c>
      <c r="D5638" t="str">
        <f t="shared" si="1251"/>
        <v>802</v>
      </c>
      <c r="E5638" t="str">
        <f>"89301012"</f>
        <v>89301012</v>
      </c>
      <c r="F5638" t="str">
        <f>"315928134"</f>
        <v>315928134</v>
      </c>
      <c r="G5638" s="1">
        <v>44636</v>
      </c>
      <c r="H5638" t="str">
        <f>"82077"</f>
        <v>82077</v>
      </c>
      <c r="I5638">
        <v>2</v>
      </c>
      <c r="J5638">
        <v>700</v>
      </c>
      <c r="K5638">
        <v>0</v>
      </c>
      <c r="L5638">
        <v>637</v>
      </c>
    </row>
    <row r="5639" spans="1:12" x14ac:dyDescent="0.25">
      <c r="A5639" t="str">
        <f t="shared" si="1254"/>
        <v>89301000</v>
      </c>
      <c r="B5639" t="str">
        <f t="shared" si="1249"/>
        <v>10510000</v>
      </c>
      <c r="C5639" t="str">
        <f t="shared" si="1250"/>
        <v>10510001</v>
      </c>
      <c r="D5639" t="str">
        <f t="shared" si="1251"/>
        <v>802</v>
      </c>
      <c r="E5639" t="str">
        <f>"89301012"</f>
        <v>89301012</v>
      </c>
      <c r="F5639" t="str">
        <f>"315928134"</f>
        <v>315928134</v>
      </c>
      <c r="G5639" s="1">
        <v>44636</v>
      </c>
      <c r="H5639" t="str">
        <f>"82077"</f>
        <v>82077</v>
      </c>
      <c r="I5639">
        <v>2</v>
      </c>
      <c r="J5639">
        <v>700</v>
      </c>
      <c r="K5639">
        <v>0</v>
      </c>
      <c r="L5639">
        <v>637</v>
      </c>
    </row>
    <row r="5640" spans="1:12" x14ac:dyDescent="0.25">
      <c r="A5640" t="str">
        <f t="shared" si="1254"/>
        <v>89301000</v>
      </c>
      <c r="B5640" t="str">
        <f t="shared" si="1249"/>
        <v>10510000</v>
      </c>
      <c r="C5640" t="str">
        <f t="shared" si="1250"/>
        <v>10510001</v>
      </c>
      <c r="D5640" t="str">
        <f t="shared" si="1251"/>
        <v>802</v>
      </c>
      <c r="E5640" t="str">
        <f>"89301012"</f>
        <v>89301012</v>
      </c>
      <c r="F5640" t="str">
        <f>"315928134"</f>
        <v>315928134</v>
      </c>
      <c r="G5640" s="1">
        <v>44638</v>
      </c>
      <c r="H5640" t="str">
        <f>"82038"</f>
        <v>82038</v>
      </c>
      <c r="I5640">
        <v>1</v>
      </c>
      <c r="J5640">
        <v>2142</v>
      </c>
      <c r="K5640">
        <v>0</v>
      </c>
      <c r="L5640">
        <v>1949.22</v>
      </c>
    </row>
    <row r="5641" spans="1:12" x14ac:dyDescent="0.25">
      <c r="A5641" t="str">
        <f t="shared" si="1254"/>
        <v>89301000</v>
      </c>
      <c r="B5641" t="str">
        <f t="shared" si="1249"/>
        <v>10510000</v>
      </c>
      <c r="C5641" t="str">
        <f t="shared" si="1250"/>
        <v>10510001</v>
      </c>
      <c r="D5641" t="str">
        <f t="shared" si="1251"/>
        <v>802</v>
      </c>
      <c r="E5641" t="str">
        <f>"89301012"</f>
        <v>89301012</v>
      </c>
      <c r="F5641" t="str">
        <f>"315928134"</f>
        <v>315928134</v>
      </c>
      <c r="G5641" s="1">
        <v>44638</v>
      </c>
      <c r="H5641" t="str">
        <f>"82040"</f>
        <v>82040</v>
      </c>
      <c r="I5641">
        <v>1</v>
      </c>
      <c r="J5641">
        <v>927</v>
      </c>
      <c r="K5641">
        <v>0</v>
      </c>
      <c r="L5641">
        <v>843.57</v>
      </c>
    </row>
    <row r="5642" spans="1:12" x14ac:dyDescent="0.25">
      <c r="A5642" t="str">
        <f t="shared" si="1254"/>
        <v>89301000</v>
      </c>
      <c r="B5642" t="str">
        <f t="shared" si="1249"/>
        <v>10510000</v>
      </c>
      <c r="C5642" t="str">
        <f t="shared" si="1250"/>
        <v>10510001</v>
      </c>
      <c r="D5642" t="str">
        <f t="shared" si="1251"/>
        <v>802</v>
      </c>
      <c r="E5642" t="str">
        <f>"89301022"</f>
        <v>89301022</v>
      </c>
      <c r="F5642" t="str">
        <f>"466230438"</f>
        <v>466230438</v>
      </c>
      <c r="G5642" s="1">
        <v>44656</v>
      </c>
      <c r="H5642" t="str">
        <f>"82077"</f>
        <v>82077</v>
      </c>
      <c r="I5642">
        <v>1</v>
      </c>
      <c r="J5642">
        <v>350</v>
      </c>
      <c r="K5642">
        <v>0</v>
      </c>
      <c r="L5642">
        <v>318.5</v>
      </c>
    </row>
    <row r="5643" spans="1:12" x14ac:dyDescent="0.25">
      <c r="A5643" t="str">
        <f t="shared" si="1254"/>
        <v>89301000</v>
      </c>
      <c r="B5643" t="str">
        <f t="shared" si="1249"/>
        <v>10510000</v>
      </c>
      <c r="C5643" t="str">
        <f t="shared" si="1250"/>
        <v>10510001</v>
      </c>
      <c r="D5643" t="str">
        <f t="shared" si="1251"/>
        <v>802</v>
      </c>
      <c r="E5643" t="str">
        <f>"89301022"</f>
        <v>89301022</v>
      </c>
      <c r="F5643" t="str">
        <f>"466230438"</f>
        <v>466230438</v>
      </c>
      <c r="G5643" s="1">
        <v>44656</v>
      </c>
      <c r="H5643" t="str">
        <f>"82077"</f>
        <v>82077</v>
      </c>
      <c r="I5643">
        <v>1</v>
      </c>
      <c r="J5643">
        <v>350</v>
      </c>
      <c r="K5643">
        <v>0</v>
      </c>
      <c r="L5643">
        <v>318.5</v>
      </c>
    </row>
    <row r="5644" spans="1:12" x14ac:dyDescent="0.25">
      <c r="A5644" t="str">
        <f t="shared" si="1254"/>
        <v>89301000</v>
      </c>
      <c r="B5644" t="str">
        <f t="shared" si="1249"/>
        <v>10510000</v>
      </c>
      <c r="C5644" t="str">
        <f t="shared" si="1250"/>
        <v>10510001</v>
      </c>
      <c r="D5644" t="str">
        <f t="shared" si="1251"/>
        <v>802</v>
      </c>
      <c r="E5644" t="str">
        <f>"89301022"</f>
        <v>89301022</v>
      </c>
      <c r="F5644" t="str">
        <f>"466230438"</f>
        <v>466230438</v>
      </c>
      <c r="G5644" s="1">
        <v>44663</v>
      </c>
      <c r="H5644" t="str">
        <f>"82040"</f>
        <v>82040</v>
      </c>
      <c r="I5644">
        <v>1</v>
      </c>
      <c r="J5644">
        <v>927</v>
      </c>
      <c r="K5644">
        <v>0</v>
      </c>
      <c r="L5644">
        <v>843.57</v>
      </c>
    </row>
    <row r="5645" spans="1:12" x14ac:dyDescent="0.25">
      <c r="A5645" t="str">
        <f t="shared" si="1254"/>
        <v>89301000</v>
      </c>
      <c r="B5645" t="str">
        <f t="shared" si="1249"/>
        <v>10510000</v>
      </c>
      <c r="C5645" t="str">
        <f t="shared" si="1250"/>
        <v>10510001</v>
      </c>
      <c r="D5645" t="str">
        <f t="shared" si="1251"/>
        <v>802</v>
      </c>
      <c r="E5645" t="str">
        <f>"89301022"</f>
        <v>89301022</v>
      </c>
      <c r="F5645" t="str">
        <f>"466230438"</f>
        <v>466230438</v>
      </c>
      <c r="G5645" s="1">
        <v>44663</v>
      </c>
      <c r="H5645" t="str">
        <f>"82041"</f>
        <v>82041</v>
      </c>
      <c r="I5645">
        <v>1</v>
      </c>
      <c r="J5645">
        <v>1090</v>
      </c>
      <c r="K5645">
        <v>0</v>
      </c>
      <c r="L5645">
        <v>991.9</v>
      </c>
    </row>
    <row r="5646" spans="1:12" x14ac:dyDescent="0.25">
      <c r="A5646" t="str">
        <f t="shared" si="1254"/>
        <v>89301000</v>
      </c>
      <c r="B5646" t="str">
        <f t="shared" si="1249"/>
        <v>10510000</v>
      </c>
      <c r="C5646" t="str">
        <f t="shared" si="1250"/>
        <v>10510001</v>
      </c>
      <c r="D5646" t="str">
        <f t="shared" si="1251"/>
        <v>802</v>
      </c>
      <c r="E5646" t="str">
        <f t="shared" ref="E5646:E5677" si="1255">"89301171"</f>
        <v>89301171</v>
      </c>
      <c r="F5646" t="str">
        <f>"7552114394"</f>
        <v>7552114394</v>
      </c>
      <c r="G5646" s="1">
        <v>44685</v>
      </c>
      <c r="H5646" t="str">
        <f>"82041"</f>
        <v>82041</v>
      </c>
      <c r="I5646">
        <v>1</v>
      </c>
      <c r="J5646">
        <v>1090</v>
      </c>
      <c r="K5646">
        <v>0</v>
      </c>
      <c r="L5646">
        <v>991.9</v>
      </c>
    </row>
    <row r="5647" spans="1:12" x14ac:dyDescent="0.25">
      <c r="A5647" t="str">
        <f t="shared" si="1254"/>
        <v>89301000</v>
      </c>
      <c r="B5647" t="str">
        <f t="shared" si="1249"/>
        <v>10510000</v>
      </c>
      <c r="C5647" t="str">
        <f t="shared" si="1250"/>
        <v>10510001</v>
      </c>
      <c r="D5647" t="str">
        <f t="shared" si="1251"/>
        <v>802</v>
      </c>
      <c r="E5647" t="str">
        <f t="shared" si="1255"/>
        <v>89301171</v>
      </c>
      <c r="F5647" t="str">
        <f>"7552114394"</f>
        <v>7552114394</v>
      </c>
      <c r="G5647" s="1">
        <v>44685</v>
      </c>
      <c r="H5647" t="str">
        <f>"82041"</f>
        <v>82041</v>
      </c>
      <c r="I5647">
        <v>1</v>
      </c>
      <c r="J5647">
        <v>1090</v>
      </c>
      <c r="K5647">
        <v>0</v>
      </c>
      <c r="L5647">
        <v>991.9</v>
      </c>
    </row>
    <row r="5648" spans="1:12" x14ac:dyDescent="0.25">
      <c r="A5648" t="str">
        <f t="shared" si="1254"/>
        <v>89301000</v>
      </c>
      <c r="B5648" t="str">
        <f t="shared" si="1249"/>
        <v>10510000</v>
      </c>
      <c r="C5648" t="str">
        <f t="shared" si="1250"/>
        <v>10510001</v>
      </c>
      <c r="D5648" t="str">
        <f t="shared" si="1251"/>
        <v>802</v>
      </c>
      <c r="E5648" t="str">
        <f t="shared" si="1255"/>
        <v>89301171</v>
      </c>
      <c r="F5648" t="str">
        <f>"7552114394"</f>
        <v>7552114394</v>
      </c>
      <c r="G5648" s="1">
        <v>44685</v>
      </c>
      <c r="H5648" t="str">
        <f>"82034"</f>
        <v>82034</v>
      </c>
      <c r="I5648">
        <v>1</v>
      </c>
      <c r="J5648">
        <v>348</v>
      </c>
      <c r="K5648">
        <v>0</v>
      </c>
      <c r="L5648">
        <v>316.68</v>
      </c>
    </row>
    <row r="5649" spans="1:12" x14ac:dyDescent="0.25">
      <c r="A5649" t="str">
        <f t="shared" si="1254"/>
        <v>89301000</v>
      </c>
      <c r="B5649" t="str">
        <f t="shared" si="1249"/>
        <v>10510000</v>
      </c>
      <c r="C5649" t="str">
        <f t="shared" si="1250"/>
        <v>10510001</v>
      </c>
      <c r="D5649" t="str">
        <f t="shared" si="1251"/>
        <v>802</v>
      </c>
      <c r="E5649" t="str">
        <f t="shared" si="1255"/>
        <v>89301171</v>
      </c>
      <c r="F5649" t="str">
        <f>"5504167196"</f>
        <v>5504167196</v>
      </c>
      <c r="G5649" s="1">
        <v>44685</v>
      </c>
      <c r="H5649" t="str">
        <f>"82034"</f>
        <v>82034</v>
      </c>
      <c r="I5649">
        <v>1</v>
      </c>
      <c r="J5649">
        <v>348</v>
      </c>
      <c r="K5649">
        <v>0</v>
      </c>
      <c r="L5649">
        <v>316.68</v>
      </c>
    </row>
    <row r="5650" spans="1:12" x14ac:dyDescent="0.25">
      <c r="A5650" t="str">
        <f t="shared" si="1254"/>
        <v>89301000</v>
      </c>
      <c r="B5650" t="str">
        <f t="shared" si="1249"/>
        <v>10510000</v>
      </c>
      <c r="C5650" t="str">
        <f t="shared" si="1250"/>
        <v>10510001</v>
      </c>
      <c r="D5650" t="str">
        <f t="shared" si="1251"/>
        <v>802</v>
      </c>
      <c r="E5650" t="str">
        <f t="shared" si="1255"/>
        <v>89301171</v>
      </c>
      <c r="F5650" t="str">
        <f>"5504167196"</f>
        <v>5504167196</v>
      </c>
      <c r="G5650" s="1">
        <v>44685</v>
      </c>
      <c r="H5650" t="str">
        <f>"82041"</f>
        <v>82041</v>
      </c>
      <c r="I5650">
        <v>1</v>
      </c>
      <c r="J5650">
        <v>1090</v>
      </c>
      <c r="K5650">
        <v>0</v>
      </c>
      <c r="L5650">
        <v>991.9</v>
      </c>
    </row>
    <row r="5651" spans="1:12" x14ac:dyDescent="0.25">
      <c r="A5651" t="str">
        <f t="shared" si="1254"/>
        <v>89301000</v>
      </c>
      <c r="B5651" t="str">
        <f t="shared" si="1249"/>
        <v>10510000</v>
      </c>
      <c r="C5651" t="str">
        <f t="shared" si="1250"/>
        <v>10510001</v>
      </c>
      <c r="D5651" t="str">
        <f t="shared" si="1251"/>
        <v>802</v>
      </c>
      <c r="E5651" t="str">
        <f t="shared" si="1255"/>
        <v>89301171</v>
      </c>
      <c r="F5651" t="str">
        <f>"5504167196"</f>
        <v>5504167196</v>
      </c>
      <c r="G5651" s="1">
        <v>44685</v>
      </c>
      <c r="H5651" t="str">
        <f>"82041"</f>
        <v>82041</v>
      </c>
      <c r="I5651">
        <v>1</v>
      </c>
      <c r="J5651">
        <v>1090</v>
      </c>
      <c r="K5651">
        <v>0</v>
      </c>
      <c r="L5651">
        <v>991.9</v>
      </c>
    </row>
    <row r="5652" spans="1:12" x14ac:dyDescent="0.25">
      <c r="A5652" t="str">
        <f t="shared" si="1254"/>
        <v>89301000</v>
      </c>
      <c r="B5652" t="str">
        <f t="shared" si="1249"/>
        <v>10510000</v>
      </c>
      <c r="C5652" t="str">
        <f t="shared" si="1250"/>
        <v>10510001</v>
      </c>
      <c r="D5652" t="str">
        <f t="shared" si="1251"/>
        <v>802</v>
      </c>
      <c r="E5652" t="str">
        <f t="shared" si="1255"/>
        <v>89301171</v>
      </c>
      <c r="F5652" t="str">
        <f>"8405294491"</f>
        <v>8405294491</v>
      </c>
      <c r="G5652" s="1">
        <v>44685</v>
      </c>
      <c r="H5652" t="str">
        <f>"82041"</f>
        <v>82041</v>
      </c>
      <c r="I5652">
        <v>1</v>
      </c>
      <c r="J5652">
        <v>1090</v>
      </c>
      <c r="K5652">
        <v>0</v>
      </c>
      <c r="L5652">
        <v>991.9</v>
      </c>
    </row>
    <row r="5653" spans="1:12" x14ac:dyDescent="0.25">
      <c r="A5653" t="str">
        <f t="shared" si="1254"/>
        <v>89301000</v>
      </c>
      <c r="B5653" t="str">
        <f t="shared" si="1249"/>
        <v>10510000</v>
      </c>
      <c r="C5653" t="str">
        <f t="shared" si="1250"/>
        <v>10510001</v>
      </c>
      <c r="D5653" t="str">
        <f t="shared" si="1251"/>
        <v>802</v>
      </c>
      <c r="E5653" t="str">
        <f t="shared" si="1255"/>
        <v>89301171</v>
      </c>
      <c r="F5653" t="str">
        <f>"8405294491"</f>
        <v>8405294491</v>
      </c>
      <c r="G5653" s="1">
        <v>44685</v>
      </c>
      <c r="H5653" t="str">
        <f>"82041"</f>
        <v>82041</v>
      </c>
      <c r="I5653">
        <v>1</v>
      </c>
      <c r="J5653">
        <v>1090</v>
      </c>
      <c r="K5653">
        <v>0</v>
      </c>
      <c r="L5653">
        <v>991.9</v>
      </c>
    </row>
    <row r="5654" spans="1:12" x14ac:dyDescent="0.25">
      <c r="A5654" t="str">
        <f t="shared" si="1254"/>
        <v>89301000</v>
      </c>
      <c r="B5654" t="str">
        <f t="shared" si="1249"/>
        <v>10510000</v>
      </c>
      <c r="C5654" t="str">
        <f t="shared" si="1250"/>
        <v>10510001</v>
      </c>
      <c r="D5654" t="str">
        <f t="shared" si="1251"/>
        <v>802</v>
      </c>
      <c r="E5654" t="str">
        <f t="shared" si="1255"/>
        <v>89301171</v>
      </c>
      <c r="F5654" t="str">
        <f>"8405294491"</f>
        <v>8405294491</v>
      </c>
      <c r="G5654" s="1">
        <v>44685</v>
      </c>
      <c r="H5654" t="str">
        <f>"82034"</f>
        <v>82034</v>
      </c>
      <c r="I5654">
        <v>1</v>
      </c>
      <c r="J5654">
        <v>348</v>
      </c>
      <c r="K5654">
        <v>0</v>
      </c>
      <c r="L5654">
        <v>316.68</v>
      </c>
    </row>
    <row r="5655" spans="1:12" x14ac:dyDescent="0.25">
      <c r="A5655" t="str">
        <f t="shared" si="1254"/>
        <v>89301000</v>
      </c>
      <c r="B5655" t="str">
        <f t="shared" si="1249"/>
        <v>10510000</v>
      </c>
      <c r="C5655" t="str">
        <f t="shared" si="1250"/>
        <v>10510001</v>
      </c>
      <c r="D5655" t="str">
        <f t="shared" si="1251"/>
        <v>802</v>
      </c>
      <c r="E5655" t="str">
        <f t="shared" si="1255"/>
        <v>89301171</v>
      </c>
      <c r="F5655" t="str">
        <f>"8607035811"</f>
        <v>8607035811</v>
      </c>
      <c r="G5655" s="1">
        <v>44685</v>
      </c>
      <c r="H5655" t="str">
        <f>"82034"</f>
        <v>82034</v>
      </c>
      <c r="I5655">
        <v>1</v>
      </c>
      <c r="J5655">
        <v>348</v>
      </c>
      <c r="K5655">
        <v>0</v>
      </c>
      <c r="L5655">
        <v>316.68</v>
      </c>
    </row>
    <row r="5656" spans="1:12" x14ac:dyDescent="0.25">
      <c r="A5656" t="str">
        <f t="shared" si="1254"/>
        <v>89301000</v>
      </c>
      <c r="B5656" t="str">
        <f t="shared" si="1249"/>
        <v>10510000</v>
      </c>
      <c r="C5656" t="str">
        <f t="shared" si="1250"/>
        <v>10510001</v>
      </c>
      <c r="D5656" t="str">
        <f t="shared" si="1251"/>
        <v>802</v>
      </c>
      <c r="E5656" t="str">
        <f t="shared" si="1255"/>
        <v>89301171</v>
      </c>
      <c r="F5656" t="str">
        <f>"8607035811"</f>
        <v>8607035811</v>
      </c>
      <c r="G5656" s="1">
        <v>44685</v>
      </c>
      <c r="H5656" t="str">
        <f>"82041"</f>
        <v>82041</v>
      </c>
      <c r="I5656">
        <v>1</v>
      </c>
      <c r="J5656">
        <v>1090</v>
      </c>
      <c r="K5656">
        <v>0</v>
      </c>
      <c r="L5656">
        <v>991.9</v>
      </c>
    </row>
    <row r="5657" spans="1:12" x14ac:dyDescent="0.25">
      <c r="A5657" t="str">
        <f t="shared" si="1254"/>
        <v>89301000</v>
      </c>
      <c r="B5657" t="str">
        <f t="shared" si="1249"/>
        <v>10510000</v>
      </c>
      <c r="C5657" t="str">
        <f t="shared" si="1250"/>
        <v>10510001</v>
      </c>
      <c r="D5657" t="str">
        <f t="shared" si="1251"/>
        <v>802</v>
      </c>
      <c r="E5657" t="str">
        <f t="shared" si="1255"/>
        <v>89301171</v>
      </c>
      <c r="F5657" t="str">
        <f>"8607035811"</f>
        <v>8607035811</v>
      </c>
      <c r="G5657" s="1">
        <v>44685</v>
      </c>
      <c r="H5657" t="str">
        <f>"82041"</f>
        <v>82041</v>
      </c>
      <c r="I5657">
        <v>1</v>
      </c>
      <c r="J5657">
        <v>1090</v>
      </c>
      <c r="K5657">
        <v>0</v>
      </c>
      <c r="L5657">
        <v>991.9</v>
      </c>
    </row>
    <row r="5658" spans="1:12" x14ac:dyDescent="0.25">
      <c r="A5658" t="str">
        <f t="shared" si="1254"/>
        <v>89301000</v>
      </c>
      <c r="B5658" t="str">
        <f t="shared" si="1249"/>
        <v>10510000</v>
      </c>
      <c r="C5658" t="str">
        <f t="shared" si="1250"/>
        <v>10510001</v>
      </c>
      <c r="D5658" t="str">
        <f t="shared" si="1251"/>
        <v>802</v>
      </c>
      <c r="E5658" t="str">
        <f t="shared" si="1255"/>
        <v>89301171</v>
      </c>
      <c r="F5658" t="str">
        <f>"9457265741"</f>
        <v>9457265741</v>
      </c>
      <c r="G5658" s="1">
        <v>44691</v>
      </c>
      <c r="H5658" t="str">
        <f>"82041"</f>
        <v>82041</v>
      </c>
      <c r="I5658">
        <v>1</v>
      </c>
      <c r="J5658">
        <v>1090</v>
      </c>
      <c r="K5658">
        <v>0</v>
      </c>
      <c r="L5658">
        <v>991.9</v>
      </c>
    </row>
    <row r="5659" spans="1:12" x14ac:dyDescent="0.25">
      <c r="A5659" t="str">
        <f t="shared" si="1254"/>
        <v>89301000</v>
      </c>
      <c r="B5659" t="str">
        <f t="shared" ref="B5659:B5690" si="1256">"10510000"</f>
        <v>10510000</v>
      </c>
      <c r="C5659" t="str">
        <f t="shared" ref="C5659:C5690" si="1257">"10510001"</f>
        <v>10510001</v>
      </c>
      <c r="D5659" t="str">
        <f t="shared" ref="D5659:D5690" si="1258">"802"</f>
        <v>802</v>
      </c>
      <c r="E5659" t="str">
        <f t="shared" si="1255"/>
        <v>89301171</v>
      </c>
      <c r="F5659" t="str">
        <f>"9457265741"</f>
        <v>9457265741</v>
      </c>
      <c r="G5659" s="1">
        <v>44691</v>
      </c>
      <c r="H5659" t="str">
        <f>"82041"</f>
        <v>82041</v>
      </c>
      <c r="I5659">
        <v>1</v>
      </c>
      <c r="J5659">
        <v>1090</v>
      </c>
      <c r="K5659">
        <v>0</v>
      </c>
      <c r="L5659">
        <v>991.9</v>
      </c>
    </row>
    <row r="5660" spans="1:12" x14ac:dyDescent="0.25">
      <c r="A5660" t="str">
        <f t="shared" si="1254"/>
        <v>89301000</v>
      </c>
      <c r="B5660" t="str">
        <f t="shared" si="1256"/>
        <v>10510000</v>
      </c>
      <c r="C5660" t="str">
        <f t="shared" si="1257"/>
        <v>10510001</v>
      </c>
      <c r="D5660" t="str">
        <f t="shared" si="1258"/>
        <v>802</v>
      </c>
      <c r="E5660" t="str">
        <f t="shared" si="1255"/>
        <v>89301171</v>
      </c>
      <c r="F5660" t="str">
        <f>"9457265741"</f>
        <v>9457265741</v>
      </c>
      <c r="G5660" s="1">
        <v>44691</v>
      </c>
      <c r="H5660" t="str">
        <f>"82034"</f>
        <v>82034</v>
      </c>
      <c r="I5660">
        <v>1</v>
      </c>
      <c r="J5660">
        <v>348</v>
      </c>
      <c r="K5660">
        <v>0</v>
      </c>
      <c r="L5660">
        <v>316.68</v>
      </c>
    </row>
    <row r="5661" spans="1:12" x14ac:dyDescent="0.25">
      <c r="A5661" t="str">
        <f t="shared" si="1254"/>
        <v>89301000</v>
      </c>
      <c r="B5661" t="str">
        <f t="shared" si="1256"/>
        <v>10510000</v>
      </c>
      <c r="C5661" t="str">
        <f t="shared" si="1257"/>
        <v>10510001</v>
      </c>
      <c r="D5661" t="str">
        <f t="shared" si="1258"/>
        <v>802</v>
      </c>
      <c r="E5661" t="str">
        <f t="shared" si="1255"/>
        <v>89301171</v>
      </c>
      <c r="F5661" t="str">
        <f>"7456205339"</f>
        <v>7456205339</v>
      </c>
      <c r="G5661" s="1">
        <v>44691</v>
      </c>
      <c r="H5661" t="str">
        <f>"82034"</f>
        <v>82034</v>
      </c>
      <c r="I5661">
        <v>1</v>
      </c>
      <c r="J5661">
        <v>348</v>
      </c>
      <c r="K5661">
        <v>0</v>
      </c>
      <c r="L5661">
        <v>316.68</v>
      </c>
    </row>
    <row r="5662" spans="1:12" x14ac:dyDescent="0.25">
      <c r="A5662" t="str">
        <f t="shared" si="1254"/>
        <v>89301000</v>
      </c>
      <c r="B5662" t="str">
        <f t="shared" si="1256"/>
        <v>10510000</v>
      </c>
      <c r="C5662" t="str">
        <f t="shared" si="1257"/>
        <v>10510001</v>
      </c>
      <c r="D5662" t="str">
        <f t="shared" si="1258"/>
        <v>802</v>
      </c>
      <c r="E5662" t="str">
        <f t="shared" si="1255"/>
        <v>89301171</v>
      </c>
      <c r="F5662" t="str">
        <f>"7456205339"</f>
        <v>7456205339</v>
      </c>
      <c r="G5662" s="1">
        <v>44691</v>
      </c>
      <c r="H5662" t="str">
        <f>"82041"</f>
        <v>82041</v>
      </c>
      <c r="I5662">
        <v>1</v>
      </c>
      <c r="J5662">
        <v>1090</v>
      </c>
      <c r="K5662">
        <v>0</v>
      </c>
      <c r="L5662">
        <v>991.9</v>
      </c>
    </row>
    <row r="5663" spans="1:12" x14ac:dyDescent="0.25">
      <c r="A5663" t="str">
        <f t="shared" si="1254"/>
        <v>89301000</v>
      </c>
      <c r="B5663" t="str">
        <f t="shared" si="1256"/>
        <v>10510000</v>
      </c>
      <c r="C5663" t="str">
        <f t="shared" si="1257"/>
        <v>10510001</v>
      </c>
      <c r="D5663" t="str">
        <f t="shared" si="1258"/>
        <v>802</v>
      </c>
      <c r="E5663" t="str">
        <f t="shared" si="1255"/>
        <v>89301171</v>
      </c>
      <c r="F5663" t="str">
        <f>"7456205339"</f>
        <v>7456205339</v>
      </c>
      <c r="G5663" s="1">
        <v>44691</v>
      </c>
      <c r="H5663" t="str">
        <f>"82041"</f>
        <v>82041</v>
      </c>
      <c r="I5663">
        <v>1</v>
      </c>
      <c r="J5663">
        <v>1090</v>
      </c>
      <c r="K5663">
        <v>0</v>
      </c>
      <c r="L5663">
        <v>991.9</v>
      </c>
    </row>
    <row r="5664" spans="1:12" x14ac:dyDescent="0.25">
      <c r="A5664" t="str">
        <f t="shared" si="1254"/>
        <v>89301000</v>
      </c>
      <c r="B5664" t="str">
        <f t="shared" si="1256"/>
        <v>10510000</v>
      </c>
      <c r="C5664" t="str">
        <f t="shared" si="1257"/>
        <v>10510001</v>
      </c>
      <c r="D5664" t="str">
        <f t="shared" si="1258"/>
        <v>802</v>
      </c>
      <c r="E5664" t="str">
        <f t="shared" si="1255"/>
        <v>89301171</v>
      </c>
      <c r="F5664" t="str">
        <f>"5808150656"</f>
        <v>5808150656</v>
      </c>
      <c r="G5664" s="1">
        <v>44691</v>
      </c>
      <c r="H5664" t="str">
        <f>"82041"</f>
        <v>82041</v>
      </c>
      <c r="I5664">
        <v>1</v>
      </c>
      <c r="J5664">
        <v>1090</v>
      </c>
      <c r="K5664">
        <v>0</v>
      </c>
      <c r="L5664">
        <v>991.9</v>
      </c>
    </row>
    <row r="5665" spans="1:12" x14ac:dyDescent="0.25">
      <c r="A5665" t="str">
        <f t="shared" si="1254"/>
        <v>89301000</v>
      </c>
      <c r="B5665" t="str">
        <f t="shared" si="1256"/>
        <v>10510000</v>
      </c>
      <c r="C5665" t="str">
        <f t="shared" si="1257"/>
        <v>10510001</v>
      </c>
      <c r="D5665" t="str">
        <f t="shared" si="1258"/>
        <v>802</v>
      </c>
      <c r="E5665" t="str">
        <f t="shared" si="1255"/>
        <v>89301171</v>
      </c>
      <c r="F5665" t="str">
        <f>"5808150656"</f>
        <v>5808150656</v>
      </c>
      <c r="G5665" s="1">
        <v>44691</v>
      </c>
      <c r="H5665" t="str">
        <f>"82041"</f>
        <v>82041</v>
      </c>
      <c r="I5665">
        <v>1</v>
      </c>
      <c r="J5665">
        <v>1090</v>
      </c>
      <c r="K5665">
        <v>0</v>
      </c>
      <c r="L5665">
        <v>991.9</v>
      </c>
    </row>
    <row r="5666" spans="1:12" x14ac:dyDescent="0.25">
      <c r="A5666" t="str">
        <f t="shared" si="1254"/>
        <v>89301000</v>
      </c>
      <c r="B5666" t="str">
        <f t="shared" si="1256"/>
        <v>10510000</v>
      </c>
      <c r="C5666" t="str">
        <f t="shared" si="1257"/>
        <v>10510001</v>
      </c>
      <c r="D5666" t="str">
        <f t="shared" si="1258"/>
        <v>802</v>
      </c>
      <c r="E5666" t="str">
        <f t="shared" si="1255"/>
        <v>89301171</v>
      </c>
      <c r="F5666" t="str">
        <f>"5808150656"</f>
        <v>5808150656</v>
      </c>
      <c r="G5666" s="1">
        <v>44691</v>
      </c>
      <c r="H5666" t="str">
        <f>"82034"</f>
        <v>82034</v>
      </c>
      <c r="I5666">
        <v>1</v>
      </c>
      <c r="J5666">
        <v>348</v>
      </c>
      <c r="K5666">
        <v>0</v>
      </c>
      <c r="L5666">
        <v>316.68</v>
      </c>
    </row>
    <row r="5667" spans="1:12" x14ac:dyDescent="0.25">
      <c r="A5667" t="str">
        <f t="shared" si="1254"/>
        <v>89301000</v>
      </c>
      <c r="B5667" t="str">
        <f t="shared" si="1256"/>
        <v>10510000</v>
      </c>
      <c r="C5667" t="str">
        <f t="shared" si="1257"/>
        <v>10510001</v>
      </c>
      <c r="D5667" t="str">
        <f t="shared" si="1258"/>
        <v>802</v>
      </c>
      <c r="E5667" t="str">
        <f t="shared" si="1255"/>
        <v>89301171</v>
      </c>
      <c r="F5667" t="str">
        <f>"9505216149"</f>
        <v>9505216149</v>
      </c>
      <c r="G5667" s="1">
        <v>44691</v>
      </c>
      <c r="H5667" t="str">
        <f>"82034"</f>
        <v>82034</v>
      </c>
      <c r="I5667">
        <v>1</v>
      </c>
      <c r="J5667">
        <v>348</v>
      </c>
      <c r="K5667">
        <v>0</v>
      </c>
      <c r="L5667">
        <v>316.68</v>
      </c>
    </row>
    <row r="5668" spans="1:12" x14ac:dyDescent="0.25">
      <c r="A5668" t="str">
        <f t="shared" si="1254"/>
        <v>89301000</v>
      </c>
      <c r="B5668" t="str">
        <f t="shared" si="1256"/>
        <v>10510000</v>
      </c>
      <c r="C5668" t="str">
        <f t="shared" si="1257"/>
        <v>10510001</v>
      </c>
      <c r="D5668" t="str">
        <f t="shared" si="1258"/>
        <v>802</v>
      </c>
      <c r="E5668" t="str">
        <f t="shared" si="1255"/>
        <v>89301171</v>
      </c>
      <c r="F5668" t="str">
        <f>"9505216149"</f>
        <v>9505216149</v>
      </c>
      <c r="G5668" s="1">
        <v>44691</v>
      </c>
      <c r="H5668" t="str">
        <f>"82041"</f>
        <v>82041</v>
      </c>
      <c r="I5668">
        <v>1</v>
      </c>
      <c r="J5668">
        <v>1090</v>
      </c>
      <c r="K5668">
        <v>0</v>
      </c>
      <c r="L5668">
        <v>991.9</v>
      </c>
    </row>
    <row r="5669" spans="1:12" x14ac:dyDescent="0.25">
      <c r="A5669" t="str">
        <f t="shared" si="1254"/>
        <v>89301000</v>
      </c>
      <c r="B5669" t="str">
        <f t="shared" si="1256"/>
        <v>10510000</v>
      </c>
      <c r="C5669" t="str">
        <f t="shared" si="1257"/>
        <v>10510001</v>
      </c>
      <c r="D5669" t="str">
        <f t="shared" si="1258"/>
        <v>802</v>
      </c>
      <c r="E5669" t="str">
        <f t="shared" si="1255"/>
        <v>89301171</v>
      </c>
      <c r="F5669" t="str">
        <f>"9505216149"</f>
        <v>9505216149</v>
      </c>
      <c r="G5669" s="1">
        <v>44691</v>
      </c>
      <c r="H5669" t="str">
        <f>"82041"</f>
        <v>82041</v>
      </c>
      <c r="I5669">
        <v>1</v>
      </c>
      <c r="J5669">
        <v>1090</v>
      </c>
      <c r="K5669">
        <v>0</v>
      </c>
      <c r="L5669">
        <v>991.9</v>
      </c>
    </row>
    <row r="5670" spans="1:12" x14ac:dyDescent="0.25">
      <c r="A5670" t="str">
        <f t="shared" si="1254"/>
        <v>89301000</v>
      </c>
      <c r="B5670" t="str">
        <f t="shared" si="1256"/>
        <v>10510000</v>
      </c>
      <c r="C5670" t="str">
        <f t="shared" si="1257"/>
        <v>10510001</v>
      </c>
      <c r="D5670" t="str">
        <f t="shared" si="1258"/>
        <v>802</v>
      </c>
      <c r="E5670" t="str">
        <f t="shared" si="1255"/>
        <v>89301171</v>
      </c>
      <c r="F5670" t="str">
        <f>"9804245704"</f>
        <v>9804245704</v>
      </c>
      <c r="G5670" s="1">
        <v>44691</v>
      </c>
      <c r="H5670" t="str">
        <f>"82034"</f>
        <v>82034</v>
      </c>
      <c r="I5670">
        <v>1</v>
      </c>
      <c r="J5670">
        <v>348</v>
      </c>
      <c r="K5670">
        <v>0</v>
      </c>
      <c r="L5670">
        <v>316.68</v>
      </c>
    </row>
    <row r="5671" spans="1:12" x14ac:dyDescent="0.25">
      <c r="A5671" t="str">
        <f t="shared" si="1254"/>
        <v>89301000</v>
      </c>
      <c r="B5671" t="str">
        <f t="shared" si="1256"/>
        <v>10510000</v>
      </c>
      <c r="C5671" t="str">
        <f t="shared" si="1257"/>
        <v>10510001</v>
      </c>
      <c r="D5671" t="str">
        <f t="shared" si="1258"/>
        <v>802</v>
      </c>
      <c r="E5671" t="str">
        <f t="shared" si="1255"/>
        <v>89301171</v>
      </c>
      <c r="F5671" t="str">
        <f>"9804245704"</f>
        <v>9804245704</v>
      </c>
      <c r="G5671" s="1">
        <v>44691</v>
      </c>
      <c r="H5671" t="str">
        <f>"82041"</f>
        <v>82041</v>
      </c>
      <c r="I5671">
        <v>1</v>
      </c>
      <c r="J5671">
        <v>1090</v>
      </c>
      <c r="K5671">
        <v>0</v>
      </c>
      <c r="L5671">
        <v>991.9</v>
      </c>
    </row>
    <row r="5672" spans="1:12" x14ac:dyDescent="0.25">
      <c r="A5672" t="str">
        <f t="shared" si="1254"/>
        <v>89301000</v>
      </c>
      <c r="B5672" t="str">
        <f t="shared" si="1256"/>
        <v>10510000</v>
      </c>
      <c r="C5672" t="str">
        <f t="shared" si="1257"/>
        <v>10510001</v>
      </c>
      <c r="D5672" t="str">
        <f t="shared" si="1258"/>
        <v>802</v>
      </c>
      <c r="E5672" t="str">
        <f t="shared" si="1255"/>
        <v>89301171</v>
      </c>
      <c r="F5672" t="str">
        <f>"9804245704"</f>
        <v>9804245704</v>
      </c>
      <c r="G5672" s="1">
        <v>44691</v>
      </c>
      <c r="H5672" t="str">
        <f>"82041"</f>
        <v>82041</v>
      </c>
      <c r="I5672">
        <v>1</v>
      </c>
      <c r="J5672">
        <v>1090</v>
      </c>
      <c r="K5672">
        <v>0</v>
      </c>
      <c r="L5672">
        <v>991.9</v>
      </c>
    </row>
    <row r="5673" spans="1:12" x14ac:dyDescent="0.25">
      <c r="A5673" t="str">
        <f t="shared" si="1254"/>
        <v>89301000</v>
      </c>
      <c r="B5673" t="str">
        <f t="shared" si="1256"/>
        <v>10510000</v>
      </c>
      <c r="C5673" t="str">
        <f t="shared" si="1257"/>
        <v>10510001</v>
      </c>
      <c r="D5673" t="str">
        <f t="shared" si="1258"/>
        <v>802</v>
      </c>
      <c r="E5673" t="str">
        <f t="shared" si="1255"/>
        <v>89301171</v>
      </c>
      <c r="F5673" t="str">
        <f>"8352175337"</f>
        <v>8352175337</v>
      </c>
      <c r="G5673" s="1">
        <v>44691</v>
      </c>
      <c r="H5673" t="str">
        <f>"82034"</f>
        <v>82034</v>
      </c>
      <c r="I5673">
        <v>1</v>
      </c>
      <c r="J5673">
        <v>348</v>
      </c>
      <c r="K5673">
        <v>0</v>
      </c>
      <c r="L5673">
        <v>316.68</v>
      </c>
    </row>
    <row r="5674" spans="1:12" x14ac:dyDescent="0.25">
      <c r="A5674" t="str">
        <f t="shared" si="1254"/>
        <v>89301000</v>
      </c>
      <c r="B5674" t="str">
        <f t="shared" si="1256"/>
        <v>10510000</v>
      </c>
      <c r="C5674" t="str">
        <f t="shared" si="1257"/>
        <v>10510001</v>
      </c>
      <c r="D5674" t="str">
        <f t="shared" si="1258"/>
        <v>802</v>
      </c>
      <c r="E5674" t="str">
        <f t="shared" si="1255"/>
        <v>89301171</v>
      </c>
      <c r="F5674" t="str">
        <f>"8352175337"</f>
        <v>8352175337</v>
      </c>
      <c r="G5674" s="1">
        <v>44691</v>
      </c>
      <c r="H5674" t="str">
        <f>"82041"</f>
        <v>82041</v>
      </c>
      <c r="I5674">
        <v>1</v>
      </c>
      <c r="J5674">
        <v>1090</v>
      </c>
      <c r="K5674">
        <v>0</v>
      </c>
      <c r="L5674">
        <v>991.9</v>
      </c>
    </row>
    <row r="5675" spans="1:12" x14ac:dyDescent="0.25">
      <c r="A5675" t="str">
        <f t="shared" si="1254"/>
        <v>89301000</v>
      </c>
      <c r="B5675" t="str">
        <f t="shared" si="1256"/>
        <v>10510000</v>
      </c>
      <c r="C5675" t="str">
        <f t="shared" si="1257"/>
        <v>10510001</v>
      </c>
      <c r="D5675" t="str">
        <f t="shared" si="1258"/>
        <v>802</v>
      </c>
      <c r="E5675" t="str">
        <f t="shared" si="1255"/>
        <v>89301171</v>
      </c>
      <c r="F5675" t="str">
        <f>"8352175337"</f>
        <v>8352175337</v>
      </c>
      <c r="G5675" s="1">
        <v>44691</v>
      </c>
      <c r="H5675" t="str">
        <f>"82041"</f>
        <v>82041</v>
      </c>
      <c r="I5675">
        <v>1</v>
      </c>
      <c r="J5675">
        <v>1090</v>
      </c>
      <c r="K5675">
        <v>0</v>
      </c>
      <c r="L5675">
        <v>991.9</v>
      </c>
    </row>
    <row r="5676" spans="1:12" x14ac:dyDescent="0.25">
      <c r="A5676" t="str">
        <f t="shared" si="1254"/>
        <v>89301000</v>
      </c>
      <c r="B5676" t="str">
        <f t="shared" si="1256"/>
        <v>10510000</v>
      </c>
      <c r="C5676" t="str">
        <f t="shared" si="1257"/>
        <v>10510001</v>
      </c>
      <c r="D5676" t="str">
        <f t="shared" si="1258"/>
        <v>802</v>
      </c>
      <c r="E5676" t="str">
        <f t="shared" si="1255"/>
        <v>89301171</v>
      </c>
      <c r="F5676" t="str">
        <f>"6155040518"</f>
        <v>6155040518</v>
      </c>
      <c r="G5676" s="1">
        <v>44691</v>
      </c>
      <c r="H5676" t="str">
        <f>"82041"</f>
        <v>82041</v>
      </c>
      <c r="I5676">
        <v>1</v>
      </c>
      <c r="J5676">
        <v>1090</v>
      </c>
      <c r="K5676">
        <v>0</v>
      </c>
      <c r="L5676">
        <v>991.9</v>
      </c>
    </row>
    <row r="5677" spans="1:12" x14ac:dyDescent="0.25">
      <c r="A5677" t="str">
        <f t="shared" si="1254"/>
        <v>89301000</v>
      </c>
      <c r="B5677" t="str">
        <f t="shared" si="1256"/>
        <v>10510000</v>
      </c>
      <c r="C5677" t="str">
        <f t="shared" si="1257"/>
        <v>10510001</v>
      </c>
      <c r="D5677" t="str">
        <f t="shared" si="1258"/>
        <v>802</v>
      </c>
      <c r="E5677" t="str">
        <f t="shared" si="1255"/>
        <v>89301171</v>
      </c>
      <c r="F5677" t="str">
        <f>"6155040518"</f>
        <v>6155040518</v>
      </c>
      <c r="G5677" s="1">
        <v>44691</v>
      </c>
      <c r="H5677" t="str">
        <f>"82041"</f>
        <v>82041</v>
      </c>
      <c r="I5677">
        <v>1</v>
      </c>
      <c r="J5677">
        <v>1090</v>
      </c>
      <c r="K5677">
        <v>0</v>
      </c>
      <c r="L5677">
        <v>991.9</v>
      </c>
    </row>
    <row r="5678" spans="1:12" x14ac:dyDescent="0.25">
      <c r="A5678" t="str">
        <f t="shared" si="1254"/>
        <v>89301000</v>
      </c>
      <c r="B5678" t="str">
        <f t="shared" si="1256"/>
        <v>10510000</v>
      </c>
      <c r="C5678" t="str">
        <f t="shared" si="1257"/>
        <v>10510001</v>
      </c>
      <c r="D5678" t="str">
        <f t="shared" si="1258"/>
        <v>802</v>
      </c>
      <c r="E5678" t="str">
        <f t="shared" ref="E5678:E5708" si="1259">"89301171"</f>
        <v>89301171</v>
      </c>
      <c r="F5678" t="str">
        <f>"6155040518"</f>
        <v>6155040518</v>
      </c>
      <c r="G5678" s="1">
        <v>44691</v>
      </c>
      <c r="H5678" t="str">
        <f>"82034"</f>
        <v>82034</v>
      </c>
      <c r="I5678">
        <v>1</v>
      </c>
      <c r="J5678">
        <v>348</v>
      </c>
      <c r="K5678">
        <v>0</v>
      </c>
      <c r="L5678">
        <v>316.68</v>
      </c>
    </row>
    <row r="5679" spans="1:12" x14ac:dyDescent="0.25">
      <c r="A5679" t="str">
        <f t="shared" si="1254"/>
        <v>89301000</v>
      </c>
      <c r="B5679" t="str">
        <f t="shared" si="1256"/>
        <v>10510000</v>
      </c>
      <c r="C5679" t="str">
        <f t="shared" si="1257"/>
        <v>10510001</v>
      </c>
      <c r="D5679" t="str">
        <f t="shared" si="1258"/>
        <v>802</v>
      </c>
      <c r="E5679" t="str">
        <f t="shared" si="1259"/>
        <v>89301171</v>
      </c>
      <c r="F5679" t="str">
        <f>"6162220988"</f>
        <v>6162220988</v>
      </c>
      <c r="G5679" s="1">
        <v>44691</v>
      </c>
      <c r="H5679" t="str">
        <f>"82034"</f>
        <v>82034</v>
      </c>
      <c r="I5679">
        <v>1</v>
      </c>
      <c r="J5679">
        <v>348</v>
      </c>
      <c r="K5679">
        <v>0</v>
      </c>
      <c r="L5679">
        <v>316.68</v>
      </c>
    </row>
    <row r="5680" spans="1:12" x14ac:dyDescent="0.25">
      <c r="A5680" t="str">
        <f t="shared" si="1254"/>
        <v>89301000</v>
      </c>
      <c r="B5680" t="str">
        <f t="shared" si="1256"/>
        <v>10510000</v>
      </c>
      <c r="C5680" t="str">
        <f t="shared" si="1257"/>
        <v>10510001</v>
      </c>
      <c r="D5680" t="str">
        <f t="shared" si="1258"/>
        <v>802</v>
      </c>
      <c r="E5680" t="str">
        <f t="shared" si="1259"/>
        <v>89301171</v>
      </c>
      <c r="F5680" t="str">
        <f>"6162220988"</f>
        <v>6162220988</v>
      </c>
      <c r="G5680" s="1">
        <v>44691</v>
      </c>
      <c r="H5680" t="str">
        <f>"82041"</f>
        <v>82041</v>
      </c>
      <c r="I5680">
        <v>1</v>
      </c>
      <c r="J5680">
        <v>1090</v>
      </c>
      <c r="K5680">
        <v>0</v>
      </c>
      <c r="L5680">
        <v>991.9</v>
      </c>
    </row>
    <row r="5681" spans="1:12" x14ac:dyDescent="0.25">
      <c r="A5681" t="str">
        <f t="shared" si="1254"/>
        <v>89301000</v>
      </c>
      <c r="B5681" t="str">
        <f t="shared" si="1256"/>
        <v>10510000</v>
      </c>
      <c r="C5681" t="str">
        <f t="shared" si="1257"/>
        <v>10510001</v>
      </c>
      <c r="D5681" t="str">
        <f t="shared" si="1258"/>
        <v>802</v>
      </c>
      <c r="E5681" t="str">
        <f t="shared" si="1259"/>
        <v>89301171</v>
      </c>
      <c r="F5681" t="str">
        <f>"6162220988"</f>
        <v>6162220988</v>
      </c>
      <c r="G5681" s="1">
        <v>44691</v>
      </c>
      <c r="H5681" t="str">
        <f>"82041"</f>
        <v>82041</v>
      </c>
      <c r="I5681">
        <v>1</v>
      </c>
      <c r="J5681">
        <v>1090</v>
      </c>
      <c r="K5681">
        <v>0</v>
      </c>
      <c r="L5681">
        <v>991.9</v>
      </c>
    </row>
    <row r="5682" spans="1:12" x14ac:dyDescent="0.25">
      <c r="A5682" t="str">
        <f t="shared" si="1254"/>
        <v>89301000</v>
      </c>
      <c r="B5682" t="str">
        <f t="shared" si="1256"/>
        <v>10510000</v>
      </c>
      <c r="C5682" t="str">
        <f t="shared" si="1257"/>
        <v>10510001</v>
      </c>
      <c r="D5682" t="str">
        <f t="shared" si="1258"/>
        <v>802</v>
      </c>
      <c r="E5682" t="str">
        <f t="shared" si="1259"/>
        <v>89301171</v>
      </c>
      <c r="F5682" t="str">
        <f>"9252215709"</f>
        <v>9252215709</v>
      </c>
      <c r="G5682" s="1">
        <v>44697</v>
      </c>
      <c r="H5682" t="str">
        <f>"82034"</f>
        <v>82034</v>
      </c>
      <c r="I5682">
        <v>1</v>
      </c>
      <c r="J5682">
        <v>348</v>
      </c>
      <c r="K5682">
        <v>0</v>
      </c>
      <c r="L5682">
        <v>316.68</v>
      </c>
    </row>
    <row r="5683" spans="1:12" x14ac:dyDescent="0.25">
      <c r="A5683" t="str">
        <f t="shared" si="1254"/>
        <v>89301000</v>
      </c>
      <c r="B5683" t="str">
        <f t="shared" si="1256"/>
        <v>10510000</v>
      </c>
      <c r="C5683" t="str">
        <f t="shared" si="1257"/>
        <v>10510001</v>
      </c>
      <c r="D5683" t="str">
        <f t="shared" si="1258"/>
        <v>802</v>
      </c>
      <c r="E5683" t="str">
        <f t="shared" si="1259"/>
        <v>89301171</v>
      </c>
      <c r="F5683" t="str">
        <f>"9252215709"</f>
        <v>9252215709</v>
      </c>
      <c r="G5683" s="1">
        <v>44697</v>
      </c>
      <c r="H5683" t="str">
        <f>"82041"</f>
        <v>82041</v>
      </c>
      <c r="I5683">
        <v>1</v>
      </c>
      <c r="J5683">
        <v>1090</v>
      </c>
      <c r="K5683">
        <v>0</v>
      </c>
      <c r="L5683">
        <v>991.9</v>
      </c>
    </row>
    <row r="5684" spans="1:12" x14ac:dyDescent="0.25">
      <c r="A5684" t="str">
        <f t="shared" si="1254"/>
        <v>89301000</v>
      </c>
      <c r="B5684" t="str">
        <f t="shared" si="1256"/>
        <v>10510000</v>
      </c>
      <c r="C5684" t="str">
        <f t="shared" si="1257"/>
        <v>10510001</v>
      </c>
      <c r="D5684" t="str">
        <f t="shared" si="1258"/>
        <v>802</v>
      </c>
      <c r="E5684" t="str">
        <f t="shared" si="1259"/>
        <v>89301171</v>
      </c>
      <c r="F5684" t="str">
        <f>"9252215709"</f>
        <v>9252215709</v>
      </c>
      <c r="G5684" s="1">
        <v>44697</v>
      </c>
      <c r="H5684" t="str">
        <f>"82041"</f>
        <v>82041</v>
      </c>
      <c r="I5684">
        <v>1</v>
      </c>
      <c r="J5684">
        <v>1090</v>
      </c>
      <c r="K5684">
        <v>0</v>
      </c>
      <c r="L5684">
        <v>991.9</v>
      </c>
    </row>
    <row r="5685" spans="1:12" x14ac:dyDescent="0.25">
      <c r="A5685" t="str">
        <f t="shared" si="1254"/>
        <v>89301000</v>
      </c>
      <c r="B5685" t="str">
        <f t="shared" si="1256"/>
        <v>10510000</v>
      </c>
      <c r="C5685" t="str">
        <f t="shared" si="1257"/>
        <v>10510001</v>
      </c>
      <c r="D5685" t="str">
        <f t="shared" si="1258"/>
        <v>802</v>
      </c>
      <c r="E5685" t="str">
        <f t="shared" si="1259"/>
        <v>89301171</v>
      </c>
      <c r="F5685" t="str">
        <f>"6151250314"</f>
        <v>6151250314</v>
      </c>
      <c r="G5685" s="1">
        <v>44697</v>
      </c>
      <c r="H5685" t="str">
        <f>"82041"</f>
        <v>82041</v>
      </c>
      <c r="I5685">
        <v>1</v>
      </c>
      <c r="J5685">
        <v>1090</v>
      </c>
      <c r="K5685">
        <v>0</v>
      </c>
      <c r="L5685">
        <v>991.9</v>
      </c>
    </row>
    <row r="5686" spans="1:12" x14ac:dyDescent="0.25">
      <c r="A5686" t="str">
        <f t="shared" si="1254"/>
        <v>89301000</v>
      </c>
      <c r="B5686" t="str">
        <f t="shared" si="1256"/>
        <v>10510000</v>
      </c>
      <c r="C5686" t="str">
        <f t="shared" si="1257"/>
        <v>10510001</v>
      </c>
      <c r="D5686" t="str">
        <f t="shared" si="1258"/>
        <v>802</v>
      </c>
      <c r="E5686" t="str">
        <f t="shared" si="1259"/>
        <v>89301171</v>
      </c>
      <c r="F5686" t="str">
        <f>"6151250314"</f>
        <v>6151250314</v>
      </c>
      <c r="G5686" s="1">
        <v>44697</v>
      </c>
      <c r="H5686" t="str">
        <f>"82041"</f>
        <v>82041</v>
      </c>
      <c r="I5686">
        <v>1</v>
      </c>
      <c r="J5686">
        <v>1090</v>
      </c>
      <c r="K5686">
        <v>0</v>
      </c>
      <c r="L5686">
        <v>991.9</v>
      </c>
    </row>
    <row r="5687" spans="1:12" x14ac:dyDescent="0.25">
      <c r="A5687" t="str">
        <f t="shared" si="1254"/>
        <v>89301000</v>
      </c>
      <c r="B5687" t="str">
        <f t="shared" si="1256"/>
        <v>10510000</v>
      </c>
      <c r="C5687" t="str">
        <f t="shared" si="1257"/>
        <v>10510001</v>
      </c>
      <c r="D5687" t="str">
        <f t="shared" si="1258"/>
        <v>802</v>
      </c>
      <c r="E5687" t="str">
        <f t="shared" si="1259"/>
        <v>89301171</v>
      </c>
      <c r="F5687" t="str">
        <f>"6151250314"</f>
        <v>6151250314</v>
      </c>
      <c r="G5687" s="1">
        <v>44697</v>
      </c>
      <c r="H5687" t="str">
        <f>"82034"</f>
        <v>82034</v>
      </c>
      <c r="I5687">
        <v>1</v>
      </c>
      <c r="J5687">
        <v>348</v>
      </c>
      <c r="K5687">
        <v>0</v>
      </c>
      <c r="L5687">
        <v>316.68</v>
      </c>
    </row>
    <row r="5688" spans="1:12" x14ac:dyDescent="0.25">
      <c r="A5688" t="str">
        <f t="shared" si="1254"/>
        <v>89301000</v>
      </c>
      <c r="B5688" t="str">
        <f t="shared" si="1256"/>
        <v>10510000</v>
      </c>
      <c r="C5688" t="str">
        <f t="shared" si="1257"/>
        <v>10510001</v>
      </c>
      <c r="D5688" t="str">
        <f t="shared" si="1258"/>
        <v>802</v>
      </c>
      <c r="E5688" t="str">
        <f t="shared" si="1259"/>
        <v>89301171</v>
      </c>
      <c r="F5688" t="str">
        <f>"9104034852"</f>
        <v>9104034852</v>
      </c>
      <c r="G5688" s="1">
        <v>44697</v>
      </c>
      <c r="H5688" t="str">
        <f>"82034"</f>
        <v>82034</v>
      </c>
      <c r="I5688">
        <v>1</v>
      </c>
      <c r="J5688">
        <v>348</v>
      </c>
      <c r="K5688">
        <v>0</v>
      </c>
      <c r="L5688">
        <v>316.68</v>
      </c>
    </row>
    <row r="5689" spans="1:12" x14ac:dyDescent="0.25">
      <c r="A5689" t="str">
        <f t="shared" si="1254"/>
        <v>89301000</v>
      </c>
      <c r="B5689" t="str">
        <f t="shared" si="1256"/>
        <v>10510000</v>
      </c>
      <c r="C5689" t="str">
        <f t="shared" si="1257"/>
        <v>10510001</v>
      </c>
      <c r="D5689" t="str">
        <f t="shared" si="1258"/>
        <v>802</v>
      </c>
      <c r="E5689" t="str">
        <f t="shared" si="1259"/>
        <v>89301171</v>
      </c>
      <c r="F5689" t="str">
        <f>"9104034852"</f>
        <v>9104034852</v>
      </c>
      <c r="G5689" s="1">
        <v>44697</v>
      </c>
      <c r="H5689" t="str">
        <f>"82041"</f>
        <v>82041</v>
      </c>
      <c r="I5689">
        <v>1</v>
      </c>
      <c r="J5689">
        <v>1090</v>
      </c>
      <c r="K5689">
        <v>0</v>
      </c>
      <c r="L5689">
        <v>991.9</v>
      </c>
    </row>
    <row r="5690" spans="1:12" x14ac:dyDescent="0.25">
      <c r="A5690" t="str">
        <f t="shared" si="1254"/>
        <v>89301000</v>
      </c>
      <c r="B5690" t="str">
        <f t="shared" si="1256"/>
        <v>10510000</v>
      </c>
      <c r="C5690" t="str">
        <f t="shared" si="1257"/>
        <v>10510001</v>
      </c>
      <c r="D5690" t="str">
        <f t="shared" si="1258"/>
        <v>802</v>
      </c>
      <c r="E5690" t="str">
        <f t="shared" si="1259"/>
        <v>89301171</v>
      </c>
      <c r="F5690" t="str">
        <f>"9104034852"</f>
        <v>9104034852</v>
      </c>
      <c r="G5690" s="1">
        <v>44697</v>
      </c>
      <c r="H5690" t="str">
        <f>"82041"</f>
        <v>82041</v>
      </c>
      <c r="I5690">
        <v>1</v>
      </c>
      <c r="J5690">
        <v>1090</v>
      </c>
      <c r="K5690">
        <v>0</v>
      </c>
      <c r="L5690">
        <v>991.9</v>
      </c>
    </row>
    <row r="5691" spans="1:12" x14ac:dyDescent="0.25">
      <c r="A5691" t="str">
        <f t="shared" si="1254"/>
        <v>89301000</v>
      </c>
      <c r="B5691" t="str">
        <f t="shared" ref="B5691:B5708" si="1260">"10510000"</f>
        <v>10510000</v>
      </c>
      <c r="C5691" t="str">
        <f t="shared" ref="C5691:C5708" si="1261">"10510001"</f>
        <v>10510001</v>
      </c>
      <c r="D5691" t="str">
        <f t="shared" ref="D5691:D5708" si="1262">"802"</f>
        <v>802</v>
      </c>
      <c r="E5691" t="str">
        <f t="shared" si="1259"/>
        <v>89301171</v>
      </c>
      <c r="F5691" t="str">
        <f>"8808184726"</f>
        <v>8808184726</v>
      </c>
      <c r="G5691" s="1">
        <v>44697</v>
      </c>
      <c r="H5691" t="str">
        <f>"82041"</f>
        <v>82041</v>
      </c>
      <c r="I5691">
        <v>1</v>
      </c>
      <c r="J5691">
        <v>1090</v>
      </c>
      <c r="K5691">
        <v>0</v>
      </c>
      <c r="L5691">
        <v>991.9</v>
      </c>
    </row>
    <row r="5692" spans="1:12" x14ac:dyDescent="0.25">
      <c r="A5692" t="str">
        <f t="shared" si="1254"/>
        <v>89301000</v>
      </c>
      <c r="B5692" t="str">
        <f t="shared" si="1260"/>
        <v>10510000</v>
      </c>
      <c r="C5692" t="str">
        <f t="shared" si="1261"/>
        <v>10510001</v>
      </c>
      <c r="D5692" t="str">
        <f t="shared" si="1262"/>
        <v>802</v>
      </c>
      <c r="E5692" t="str">
        <f t="shared" si="1259"/>
        <v>89301171</v>
      </c>
      <c r="F5692" t="str">
        <f>"8808184726"</f>
        <v>8808184726</v>
      </c>
      <c r="G5692" s="1">
        <v>44697</v>
      </c>
      <c r="H5692" t="str">
        <f>"82041"</f>
        <v>82041</v>
      </c>
      <c r="I5692">
        <v>1</v>
      </c>
      <c r="J5692">
        <v>1090</v>
      </c>
      <c r="K5692">
        <v>0</v>
      </c>
      <c r="L5692">
        <v>991.9</v>
      </c>
    </row>
    <row r="5693" spans="1:12" x14ac:dyDescent="0.25">
      <c r="A5693" t="str">
        <f t="shared" si="1254"/>
        <v>89301000</v>
      </c>
      <c r="B5693" t="str">
        <f t="shared" si="1260"/>
        <v>10510000</v>
      </c>
      <c r="C5693" t="str">
        <f t="shared" si="1261"/>
        <v>10510001</v>
      </c>
      <c r="D5693" t="str">
        <f t="shared" si="1262"/>
        <v>802</v>
      </c>
      <c r="E5693" t="str">
        <f t="shared" si="1259"/>
        <v>89301171</v>
      </c>
      <c r="F5693" t="str">
        <f>"8808184726"</f>
        <v>8808184726</v>
      </c>
      <c r="G5693" s="1">
        <v>44697</v>
      </c>
      <c r="H5693" t="str">
        <f>"82034"</f>
        <v>82034</v>
      </c>
      <c r="I5693">
        <v>1</v>
      </c>
      <c r="J5693">
        <v>348</v>
      </c>
      <c r="K5693">
        <v>0</v>
      </c>
      <c r="L5693">
        <v>316.68</v>
      </c>
    </row>
    <row r="5694" spans="1:12" x14ac:dyDescent="0.25">
      <c r="A5694" t="str">
        <f t="shared" si="1254"/>
        <v>89301000</v>
      </c>
      <c r="B5694" t="str">
        <f t="shared" si="1260"/>
        <v>10510000</v>
      </c>
      <c r="C5694" t="str">
        <f t="shared" si="1261"/>
        <v>10510001</v>
      </c>
      <c r="D5694" t="str">
        <f t="shared" si="1262"/>
        <v>802</v>
      </c>
      <c r="E5694" t="str">
        <f t="shared" si="1259"/>
        <v>89301171</v>
      </c>
      <c r="F5694" t="str">
        <f>"7853145311"</f>
        <v>7853145311</v>
      </c>
      <c r="G5694" s="1">
        <v>44697</v>
      </c>
      <c r="H5694" t="str">
        <f>"82034"</f>
        <v>82034</v>
      </c>
      <c r="I5694">
        <v>1</v>
      </c>
      <c r="J5694">
        <v>348</v>
      </c>
      <c r="K5694">
        <v>0</v>
      </c>
      <c r="L5694">
        <v>316.68</v>
      </c>
    </row>
    <row r="5695" spans="1:12" x14ac:dyDescent="0.25">
      <c r="A5695" t="str">
        <f t="shared" si="1254"/>
        <v>89301000</v>
      </c>
      <c r="B5695" t="str">
        <f t="shared" si="1260"/>
        <v>10510000</v>
      </c>
      <c r="C5695" t="str">
        <f t="shared" si="1261"/>
        <v>10510001</v>
      </c>
      <c r="D5695" t="str">
        <f t="shared" si="1262"/>
        <v>802</v>
      </c>
      <c r="E5695" t="str">
        <f t="shared" si="1259"/>
        <v>89301171</v>
      </c>
      <c r="F5695" t="str">
        <f>"7853145311"</f>
        <v>7853145311</v>
      </c>
      <c r="G5695" s="1">
        <v>44697</v>
      </c>
      <c r="H5695" t="str">
        <f>"82041"</f>
        <v>82041</v>
      </c>
      <c r="I5695">
        <v>1</v>
      </c>
      <c r="J5695">
        <v>1090</v>
      </c>
      <c r="K5695">
        <v>0</v>
      </c>
      <c r="L5695">
        <v>991.9</v>
      </c>
    </row>
    <row r="5696" spans="1:12" x14ac:dyDescent="0.25">
      <c r="A5696" t="str">
        <f t="shared" si="1254"/>
        <v>89301000</v>
      </c>
      <c r="B5696" t="str">
        <f t="shared" si="1260"/>
        <v>10510000</v>
      </c>
      <c r="C5696" t="str">
        <f t="shared" si="1261"/>
        <v>10510001</v>
      </c>
      <c r="D5696" t="str">
        <f t="shared" si="1262"/>
        <v>802</v>
      </c>
      <c r="E5696" t="str">
        <f t="shared" si="1259"/>
        <v>89301171</v>
      </c>
      <c r="F5696" t="str">
        <f>"7853145311"</f>
        <v>7853145311</v>
      </c>
      <c r="G5696" s="1">
        <v>44697</v>
      </c>
      <c r="H5696" t="str">
        <f>"82041"</f>
        <v>82041</v>
      </c>
      <c r="I5696">
        <v>1</v>
      </c>
      <c r="J5696">
        <v>1090</v>
      </c>
      <c r="K5696">
        <v>0</v>
      </c>
      <c r="L5696">
        <v>991.9</v>
      </c>
    </row>
    <row r="5697" spans="1:12" x14ac:dyDescent="0.25">
      <c r="A5697" t="str">
        <f t="shared" si="1254"/>
        <v>89301000</v>
      </c>
      <c r="B5697" t="str">
        <f t="shared" si="1260"/>
        <v>10510000</v>
      </c>
      <c r="C5697" t="str">
        <f t="shared" si="1261"/>
        <v>10510001</v>
      </c>
      <c r="D5697" t="str">
        <f t="shared" si="1262"/>
        <v>802</v>
      </c>
      <c r="E5697" t="str">
        <f t="shared" si="1259"/>
        <v>89301171</v>
      </c>
      <c r="F5697" t="str">
        <f>"8059055818"</f>
        <v>8059055818</v>
      </c>
      <c r="G5697" s="1">
        <v>44697</v>
      </c>
      <c r="H5697" t="str">
        <f>"82041"</f>
        <v>82041</v>
      </c>
      <c r="I5697">
        <v>1</v>
      </c>
      <c r="J5697">
        <v>1090</v>
      </c>
      <c r="K5697">
        <v>0</v>
      </c>
      <c r="L5697">
        <v>991.9</v>
      </c>
    </row>
    <row r="5698" spans="1:12" x14ac:dyDescent="0.25">
      <c r="A5698" t="str">
        <f t="shared" ref="A5698:A5761" si="1263">"89301000"</f>
        <v>89301000</v>
      </c>
      <c r="B5698" t="str">
        <f t="shared" si="1260"/>
        <v>10510000</v>
      </c>
      <c r="C5698" t="str">
        <f t="shared" si="1261"/>
        <v>10510001</v>
      </c>
      <c r="D5698" t="str">
        <f t="shared" si="1262"/>
        <v>802</v>
      </c>
      <c r="E5698" t="str">
        <f t="shared" si="1259"/>
        <v>89301171</v>
      </c>
      <c r="F5698" t="str">
        <f>"8059055818"</f>
        <v>8059055818</v>
      </c>
      <c r="G5698" s="1">
        <v>44697</v>
      </c>
      <c r="H5698" t="str">
        <f>"82041"</f>
        <v>82041</v>
      </c>
      <c r="I5698">
        <v>1</v>
      </c>
      <c r="J5698">
        <v>1090</v>
      </c>
      <c r="K5698">
        <v>0</v>
      </c>
      <c r="L5698">
        <v>991.9</v>
      </c>
    </row>
    <row r="5699" spans="1:12" x14ac:dyDescent="0.25">
      <c r="A5699" t="str">
        <f t="shared" si="1263"/>
        <v>89301000</v>
      </c>
      <c r="B5699" t="str">
        <f t="shared" si="1260"/>
        <v>10510000</v>
      </c>
      <c r="C5699" t="str">
        <f t="shared" si="1261"/>
        <v>10510001</v>
      </c>
      <c r="D5699" t="str">
        <f t="shared" si="1262"/>
        <v>802</v>
      </c>
      <c r="E5699" t="str">
        <f t="shared" si="1259"/>
        <v>89301171</v>
      </c>
      <c r="F5699" t="str">
        <f>"8059055818"</f>
        <v>8059055818</v>
      </c>
      <c r="G5699" s="1">
        <v>44697</v>
      </c>
      <c r="H5699" t="str">
        <f>"82034"</f>
        <v>82034</v>
      </c>
      <c r="I5699">
        <v>1</v>
      </c>
      <c r="J5699">
        <v>348</v>
      </c>
      <c r="K5699">
        <v>0</v>
      </c>
      <c r="L5699">
        <v>316.68</v>
      </c>
    </row>
    <row r="5700" spans="1:12" x14ac:dyDescent="0.25">
      <c r="A5700" t="str">
        <f t="shared" si="1263"/>
        <v>89301000</v>
      </c>
      <c r="B5700" t="str">
        <f t="shared" si="1260"/>
        <v>10510000</v>
      </c>
      <c r="C5700" t="str">
        <f t="shared" si="1261"/>
        <v>10510001</v>
      </c>
      <c r="D5700" t="str">
        <f t="shared" si="1262"/>
        <v>802</v>
      </c>
      <c r="E5700" t="str">
        <f t="shared" si="1259"/>
        <v>89301171</v>
      </c>
      <c r="F5700" t="str">
        <f>"7408075334"</f>
        <v>7408075334</v>
      </c>
      <c r="G5700" s="1">
        <v>44697</v>
      </c>
      <c r="H5700" t="str">
        <f>"82041"</f>
        <v>82041</v>
      </c>
      <c r="I5700">
        <v>1</v>
      </c>
      <c r="J5700">
        <v>1090</v>
      </c>
      <c r="K5700">
        <v>0</v>
      </c>
      <c r="L5700">
        <v>991.9</v>
      </c>
    </row>
    <row r="5701" spans="1:12" x14ac:dyDescent="0.25">
      <c r="A5701" t="str">
        <f t="shared" si="1263"/>
        <v>89301000</v>
      </c>
      <c r="B5701" t="str">
        <f t="shared" si="1260"/>
        <v>10510000</v>
      </c>
      <c r="C5701" t="str">
        <f t="shared" si="1261"/>
        <v>10510001</v>
      </c>
      <c r="D5701" t="str">
        <f t="shared" si="1262"/>
        <v>802</v>
      </c>
      <c r="E5701" t="str">
        <f t="shared" si="1259"/>
        <v>89301171</v>
      </c>
      <c r="F5701" t="str">
        <f>"7408075334"</f>
        <v>7408075334</v>
      </c>
      <c r="G5701" s="1">
        <v>44697</v>
      </c>
      <c r="H5701" t="str">
        <f>"82041"</f>
        <v>82041</v>
      </c>
      <c r="I5701">
        <v>1</v>
      </c>
      <c r="J5701">
        <v>1090</v>
      </c>
      <c r="K5701">
        <v>0</v>
      </c>
      <c r="L5701">
        <v>991.9</v>
      </c>
    </row>
    <row r="5702" spans="1:12" x14ac:dyDescent="0.25">
      <c r="A5702" t="str">
        <f t="shared" si="1263"/>
        <v>89301000</v>
      </c>
      <c r="B5702" t="str">
        <f t="shared" si="1260"/>
        <v>10510000</v>
      </c>
      <c r="C5702" t="str">
        <f t="shared" si="1261"/>
        <v>10510001</v>
      </c>
      <c r="D5702" t="str">
        <f t="shared" si="1262"/>
        <v>802</v>
      </c>
      <c r="E5702" t="str">
        <f t="shared" si="1259"/>
        <v>89301171</v>
      </c>
      <c r="F5702" t="str">
        <f>"7408075334"</f>
        <v>7408075334</v>
      </c>
      <c r="G5702" s="1">
        <v>44697</v>
      </c>
      <c r="H5702" t="str">
        <f>"82034"</f>
        <v>82034</v>
      </c>
      <c r="I5702">
        <v>1</v>
      </c>
      <c r="J5702">
        <v>348</v>
      </c>
      <c r="K5702">
        <v>0</v>
      </c>
      <c r="L5702">
        <v>316.68</v>
      </c>
    </row>
    <row r="5703" spans="1:12" x14ac:dyDescent="0.25">
      <c r="A5703" t="str">
        <f t="shared" si="1263"/>
        <v>89301000</v>
      </c>
      <c r="B5703" t="str">
        <f t="shared" si="1260"/>
        <v>10510000</v>
      </c>
      <c r="C5703" t="str">
        <f t="shared" si="1261"/>
        <v>10510001</v>
      </c>
      <c r="D5703" t="str">
        <f t="shared" si="1262"/>
        <v>802</v>
      </c>
      <c r="E5703" t="str">
        <f t="shared" si="1259"/>
        <v>89301171</v>
      </c>
      <c r="F5703" t="str">
        <f>"7708295375"</f>
        <v>7708295375</v>
      </c>
      <c r="G5703" s="1">
        <v>44712</v>
      </c>
      <c r="H5703" t="str">
        <f>"82041"</f>
        <v>82041</v>
      </c>
      <c r="I5703">
        <v>1</v>
      </c>
      <c r="J5703">
        <v>1090</v>
      </c>
      <c r="K5703">
        <v>0</v>
      </c>
      <c r="L5703">
        <v>991.9</v>
      </c>
    </row>
    <row r="5704" spans="1:12" x14ac:dyDescent="0.25">
      <c r="A5704" t="str">
        <f t="shared" si="1263"/>
        <v>89301000</v>
      </c>
      <c r="B5704" t="str">
        <f t="shared" si="1260"/>
        <v>10510000</v>
      </c>
      <c r="C5704" t="str">
        <f t="shared" si="1261"/>
        <v>10510001</v>
      </c>
      <c r="D5704" t="str">
        <f t="shared" si="1262"/>
        <v>802</v>
      </c>
      <c r="E5704" t="str">
        <f t="shared" si="1259"/>
        <v>89301171</v>
      </c>
      <c r="F5704" t="str">
        <f>"7708295375"</f>
        <v>7708295375</v>
      </c>
      <c r="G5704" s="1">
        <v>44712</v>
      </c>
      <c r="H5704" t="str">
        <f>"82041"</f>
        <v>82041</v>
      </c>
      <c r="I5704">
        <v>1</v>
      </c>
      <c r="J5704">
        <v>1090</v>
      </c>
      <c r="K5704">
        <v>0</v>
      </c>
      <c r="L5704">
        <v>991.9</v>
      </c>
    </row>
    <row r="5705" spans="1:12" x14ac:dyDescent="0.25">
      <c r="A5705" t="str">
        <f t="shared" si="1263"/>
        <v>89301000</v>
      </c>
      <c r="B5705" t="str">
        <f t="shared" si="1260"/>
        <v>10510000</v>
      </c>
      <c r="C5705" t="str">
        <f t="shared" si="1261"/>
        <v>10510001</v>
      </c>
      <c r="D5705" t="str">
        <f t="shared" si="1262"/>
        <v>802</v>
      </c>
      <c r="E5705" t="str">
        <f t="shared" si="1259"/>
        <v>89301171</v>
      </c>
      <c r="F5705" t="str">
        <f>"7708295375"</f>
        <v>7708295375</v>
      </c>
      <c r="G5705" s="1">
        <v>44712</v>
      </c>
      <c r="H5705" t="str">
        <f>"82034"</f>
        <v>82034</v>
      </c>
      <c r="I5705">
        <v>1</v>
      </c>
      <c r="J5705">
        <v>348</v>
      </c>
      <c r="K5705">
        <v>0</v>
      </c>
      <c r="L5705">
        <v>316.68</v>
      </c>
    </row>
    <row r="5706" spans="1:12" x14ac:dyDescent="0.25">
      <c r="A5706" t="str">
        <f t="shared" si="1263"/>
        <v>89301000</v>
      </c>
      <c r="B5706" t="str">
        <f t="shared" si="1260"/>
        <v>10510000</v>
      </c>
      <c r="C5706" t="str">
        <f t="shared" si="1261"/>
        <v>10510001</v>
      </c>
      <c r="D5706" t="str">
        <f t="shared" si="1262"/>
        <v>802</v>
      </c>
      <c r="E5706" t="str">
        <f t="shared" si="1259"/>
        <v>89301171</v>
      </c>
      <c r="F5706" t="str">
        <f>"0008205747"</f>
        <v>0008205747</v>
      </c>
      <c r="G5706" s="1">
        <v>44712</v>
      </c>
      <c r="H5706" t="str">
        <f>"82034"</f>
        <v>82034</v>
      </c>
      <c r="I5706">
        <v>1</v>
      </c>
      <c r="J5706">
        <v>348</v>
      </c>
      <c r="K5706">
        <v>0</v>
      </c>
      <c r="L5706">
        <v>316.68</v>
      </c>
    </row>
    <row r="5707" spans="1:12" x14ac:dyDescent="0.25">
      <c r="A5707" t="str">
        <f t="shared" si="1263"/>
        <v>89301000</v>
      </c>
      <c r="B5707" t="str">
        <f t="shared" si="1260"/>
        <v>10510000</v>
      </c>
      <c r="C5707" t="str">
        <f t="shared" si="1261"/>
        <v>10510001</v>
      </c>
      <c r="D5707" t="str">
        <f t="shared" si="1262"/>
        <v>802</v>
      </c>
      <c r="E5707" t="str">
        <f t="shared" si="1259"/>
        <v>89301171</v>
      </c>
      <c r="F5707" t="str">
        <f>"0008205747"</f>
        <v>0008205747</v>
      </c>
      <c r="G5707" s="1">
        <v>44712</v>
      </c>
      <c r="H5707" t="str">
        <f>"82041"</f>
        <v>82041</v>
      </c>
      <c r="I5707">
        <v>1</v>
      </c>
      <c r="J5707">
        <v>1090</v>
      </c>
      <c r="K5707">
        <v>0</v>
      </c>
      <c r="L5707">
        <v>991.9</v>
      </c>
    </row>
    <row r="5708" spans="1:12" x14ac:dyDescent="0.25">
      <c r="A5708" t="str">
        <f t="shared" si="1263"/>
        <v>89301000</v>
      </c>
      <c r="B5708" t="str">
        <f t="shared" si="1260"/>
        <v>10510000</v>
      </c>
      <c r="C5708" t="str">
        <f t="shared" si="1261"/>
        <v>10510001</v>
      </c>
      <c r="D5708" t="str">
        <f t="shared" si="1262"/>
        <v>802</v>
      </c>
      <c r="E5708" t="str">
        <f t="shared" si="1259"/>
        <v>89301171</v>
      </c>
      <c r="F5708" t="str">
        <f>"0008205747"</f>
        <v>0008205747</v>
      </c>
      <c r="G5708" s="1">
        <v>44712</v>
      </c>
      <c r="H5708" t="str">
        <f>"82041"</f>
        <v>82041</v>
      </c>
      <c r="I5708">
        <v>1</v>
      </c>
      <c r="J5708">
        <v>1090</v>
      </c>
      <c r="K5708">
        <v>0</v>
      </c>
      <c r="L5708">
        <v>991.9</v>
      </c>
    </row>
    <row r="5709" spans="1:12" x14ac:dyDescent="0.25">
      <c r="A5709" t="str">
        <f t="shared" si="1263"/>
        <v>89301000</v>
      </c>
      <c r="B5709" t="str">
        <f t="shared" ref="B5709:B5714" si="1264">"44564000"</f>
        <v>44564000</v>
      </c>
      <c r="C5709" t="str">
        <f t="shared" ref="C5709:C5714" si="1265">"44564004"</f>
        <v>44564004</v>
      </c>
      <c r="D5709" t="str">
        <f t="shared" ref="D5709:D5714" si="1266">"807"</f>
        <v>807</v>
      </c>
      <c r="E5709" t="str">
        <f t="shared" ref="E5709:E5717" si="1267">"89301212"</f>
        <v>89301212</v>
      </c>
      <c r="F5709" t="str">
        <f>"5559040861"</f>
        <v>5559040861</v>
      </c>
      <c r="G5709" s="1">
        <v>44650</v>
      </c>
      <c r="H5709" t="str">
        <f>"87217"</f>
        <v>87217</v>
      </c>
      <c r="I5709">
        <v>1</v>
      </c>
      <c r="J5709">
        <v>207</v>
      </c>
      <c r="K5709">
        <v>0</v>
      </c>
      <c r="L5709">
        <v>161.46</v>
      </c>
    </row>
    <row r="5710" spans="1:12" x14ac:dyDescent="0.25">
      <c r="A5710" t="str">
        <f t="shared" si="1263"/>
        <v>89301000</v>
      </c>
      <c r="B5710" t="str">
        <f t="shared" si="1264"/>
        <v>44564000</v>
      </c>
      <c r="C5710" t="str">
        <f t="shared" si="1265"/>
        <v>44564004</v>
      </c>
      <c r="D5710" t="str">
        <f t="shared" si="1266"/>
        <v>807</v>
      </c>
      <c r="E5710" t="str">
        <f t="shared" si="1267"/>
        <v>89301212</v>
      </c>
      <c r="F5710" t="str">
        <f>"5559040861"</f>
        <v>5559040861</v>
      </c>
      <c r="G5710" s="1">
        <v>44650</v>
      </c>
      <c r="H5710" t="str">
        <f>"87613"</f>
        <v>87613</v>
      </c>
      <c r="I5710">
        <v>1</v>
      </c>
      <c r="J5710">
        <v>422</v>
      </c>
      <c r="K5710">
        <v>0</v>
      </c>
      <c r="L5710">
        <v>329.16</v>
      </c>
    </row>
    <row r="5711" spans="1:12" x14ac:dyDescent="0.25">
      <c r="A5711" t="str">
        <f t="shared" si="1263"/>
        <v>89301000</v>
      </c>
      <c r="B5711" t="str">
        <f t="shared" si="1264"/>
        <v>44564000</v>
      </c>
      <c r="C5711" t="str">
        <f t="shared" si="1265"/>
        <v>44564004</v>
      </c>
      <c r="D5711" t="str">
        <f t="shared" si="1266"/>
        <v>807</v>
      </c>
      <c r="E5711" t="str">
        <f t="shared" si="1267"/>
        <v>89301212</v>
      </c>
      <c r="F5711" t="str">
        <f>"5559040861"</f>
        <v>5559040861</v>
      </c>
      <c r="G5711" s="1">
        <v>44650</v>
      </c>
      <c r="H5711" t="str">
        <f>"87617"</f>
        <v>87617</v>
      </c>
      <c r="I5711">
        <v>1</v>
      </c>
      <c r="J5711">
        <v>3625</v>
      </c>
      <c r="K5711">
        <v>0</v>
      </c>
      <c r="L5711">
        <v>2827.5</v>
      </c>
    </row>
    <row r="5712" spans="1:12" x14ac:dyDescent="0.25">
      <c r="A5712" t="str">
        <f t="shared" si="1263"/>
        <v>89301000</v>
      </c>
      <c r="B5712" t="str">
        <f t="shared" si="1264"/>
        <v>44564000</v>
      </c>
      <c r="C5712" t="str">
        <f t="shared" si="1265"/>
        <v>44564004</v>
      </c>
      <c r="D5712" t="str">
        <f t="shared" si="1266"/>
        <v>807</v>
      </c>
      <c r="E5712" t="str">
        <f t="shared" si="1267"/>
        <v>89301212</v>
      </c>
      <c r="F5712" t="str">
        <f>"5660280538"</f>
        <v>5660280538</v>
      </c>
      <c r="G5712" s="1">
        <v>44649</v>
      </c>
      <c r="H5712" t="str">
        <f>"87217"</f>
        <v>87217</v>
      </c>
      <c r="I5712">
        <v>1</v>
      </c>
      <c r="J5712">
        <v>207</v>
      </c>
      <c r="K5712">
        <v>0</v>
      </c>
      <c r="L5712">
        <v>161.46</v>
      </c>
    </row>
    <row r="5713" spans="1:12" x14ac:dyDescent="0.25">
      <c r="A5713" t="str">
        <f t="shared" si="1263"/>
        <v>89301000</v>
      </c>
      <c r="B5713" t="str">
        <f t="shared" si="1264"/>
        <v>44564000</v>
      </c>
      <c r="C5713" t="str">
        <f t="shared" si="1265"/>
        <v>44564004</v>
      </c>
      <c r="D5713" t="str">
        <f t="shared" si="1266"/>
        <v>807</v>
      </c>
      <c r="E5713" t="str">
        <f t="shared" si="1267"/>
        <v>89301212</v>
      </c>
      <c r="F5713" t="str">
        <f>"5660280538"</f>
        <v>5660280538</v>
      </c>
      <c r="G5713" s="1">
        <v>44649</v>
      </c>
      <c r="H5713" t="str">
        <f>"87613"</f>
        <v>87613</v>
      </c>
      <c r="I5713">
        <v>1</v>
      </c>
      <c r="J5713">
        <v>422</v>
      </c>
      <c r="K5713">
        <v>0</v>
      </c>
      <c r="L5713">
        <v>329.16</v>
      </c>
    </row>
    <row r="5714" spans="1:12" x14ac:dyDescent="0.25">
      <c r="A5714" t="str">
        <f t="shared" si="1263"/>
        <v>89301000</v>
      </c>
      <c r="B5714" t="str">
        <f t="shared" si="1264"/>
        <v>44564000</v>
      </c>
      <c r="C5714" t="str">
        <f t="shared" si="1265"/>
        <v>44564004</v>
      </c>
      <c r="D5714" t="str">
        <f t="shared" si="1266"/>
        <v>807</v>
      </c>
      <c r="E5714" t="str">
        <f t="shared" si="1267"/>
        <v>89301212</v>
      </c>
      <c r="F5714" t="str">
        <f>"5660280538"</f>
        <v>5660280538</v>
      </c>
      <c r="G5714" s="1">
        <v>44649</v>
      </c>
      <c r="H5714" t="str">
        <f>"87617"</f>
        <v>87617</v>
      </c>
      <c r="I5714">
        <v>1</v>
      </c>
      <c r="J5714">
        <v>3625</v>
      </c>
      <c r="K5714">
        <v>0</v>
      </c>
      <c r="L5714">
        <v>2827.5</v>
      </c>
    </row>
    <row r="5715" spans="1:12" x14ac:dyDescent="0.25">
      <c r="A5715" t="str">
        <f t="shared" si="1263"/>
        <v>89301000</v>
      </c>
      <c r="B5715" t="str">
        <f t="shared" ref="B5715:B5746" si="1268">"78006000"</f>
        <v>78006000</v>
      </c>
      <c r="C5715" t="str">
        <f t="shared" ref="C5715:C5721" si="1269">"78006831"</f>
        <v>78006831</v>
      </c>
      <c r="D5715" t="str">
        <f t="shared" ref="D5715:D5724" si="1270">"809"</f>
        <v>809</v>
      </c>
      <c r="E5715" t="str">
        <f t="shared" si="1267"/>
        <v>89301212</v>
      </c>
      <c r="F5715" t="str">
        <f>"6355121256"</f>
        <v>6355121256</v>
      </c>
      <c r="G5715" s="1">
        <v>44698</v>
      </c>
      <c r="H5715" t="str">
        <f>"89513"</f>
        <v>89513</v>
      </c>
      <c r="I5715">
        <v>1</v>
      </c>
      <c r="J5715">
        <v>371</v>
      </c>
      <c r="K5715">
        <v>0</v>
      </c>
      <c r="L5715">
        <v>519.4</v>
      </c>
    </row>
    <row r="5716" spans="1:12" x14ac:dyDescent="0.25">
      <c r="A5716" t="str">
        <f t="shared" si="1263"/>
        <v>89301000</v>
      </c>
      <c r="B5716" t="str">
        <f t="shared" si="1268"/>
        <v>78006000</v>
      </c>
      <c r="C5716" t="str">
        <f t="shared" si="1269"/>
        <v>78006831</v>
      </c>
      <c r="D5716" t="str">
        <f t="shared" si="1270"/>
        <v>809</v>
      </c>
      <c r="E5716" t="str">
        <f t="shared" si="1267"/>
        <v>89301212</v>
      </c>
      <c r="F5716" t="str">
        <f>"6355121256"</f>
        <v>6355121256</v>
      </c>
      <c r="G5716" s="1">
        <v>44698</v>
      </c>
      <c r="H5716" t="str">
        <f>"89514"</f>
        <v>89514</v>
      </c>
      <c r="I5716">
        <v>1</v>
      </c>
      <c r="J5716">
        <v>371</v>
      </c>
      <c r="K5716">
        <v>0</v>
      </c>
      <c r="L5716">
        <v>519.4</v>
      </c>
    </row>
    <row r="5717" spans="1:12" x14ac:dyDescent="0.25">
      <c r="A5717" t="str">
        <f t="shared" si="1263"/>
        <v>89301000</v>
      </c>
      <c r="B5717" t="str">
        <f t="shared" si="1268"/>
        <v>78006000</v>
      </c>
      <c r="C5717" t="str">
        <f t="shared" si="1269"/>
        <v>78006831</v>
      </c>
      <c r="D5717" t="str">
        <f t="shared" si="1270"/>
        <v>809</v>
      </c>
      <c r="E5717" t="str">
        <f t="shared" si="1267"/>
        <v>89301212</v>
      </c>
      <c r="F5717" t="str">
        <f>"495620001"</f>
        <v>495620001</v>
      </c>
      <c r="G5717" s="1">
        <v>44685</v>
      </c>
      <c r="H5717" t="str">
        <f>"89131"</f>
        <v>89131</v>
      </c>
      <c r="I5717">
        <v>1</v>
      </c>
      <c r="J5717">
        <v>187</v>
      </c>
      <c r="K5717">
        <v>0</v>
      </c>
      <c r="L5717">
        <v>261.8</v>
      </c>
    </row>
    <row r="5718" spans="1:12" x14ac:dyDescent="0.25">
      <c r="A5718" t="str">
        <f t="shared" si="1263"/>
        <v>89301000</v>
      </c>
      <c r="B5718" t="str">
        <f t="shared" si="1268"/>
        <v>78006000</v>
      </c>
      <c r="C5718" t="str">
        <f t="shared" si="1269"/>
        <v>78006831</v>
      </c>
      <c r="D5718" t="str">
        <f t="shared" si="1270"/>
        <v>809</v>
      </c>
      <c r="E5718" t="str">
        <f>"89301042"</f>
        <v>89301042</v>
      </c>
      <c r="F5718" t="str">
        <f>"7211115351"</f>
        <v>7211115351</v>
      </c>
      <c r="G5718" s="1">
        <v>44686</v>
      </c>
      <c r="H5718" t="str">
        <f>"89131"</f>
        <v>89131</v>
      </c>
      <c r="I5718">
        <v>1</v>
      </c>
      <c r="J5718">
        <v>187</v>
      </c>
      <c r="K5718">
        <v>0</v>
      </c>
      <c r="L5718">
        <v>261.8</v>
      </c>
    </row>
    <row r="5719" spans="1:12" x14ac:dyDescent="0.25">
      <c r="A5719" t="str">
        <f t="shared" si="1263"/>
        <v>89301000</v>
      </c>
      <c r="B5719" t="str">
        <f t="shared" si="1268"/>
        <v>78006000</v>
      </c>
      <c r="C5719" t="str">
        <f t="shared" si="1269"/>
        <v>78006831</v>
      </c>
      <c r="D5719" t="str">
        <f t="shared" si="1270"/>
        <v>809</v>
      </c>
      <c r="E5719" t="str">
        <f>"89301037"</f>
        <v>89301037</v>
      </c>
      <c r="F5719" t="str">
        <f>"6654270810"</f>
        <v>6654270810</v>
      </c>
      <c r="G5719" s="1">
        <v>44704</v>
      </c>
      <c r="H5719" t="str">
        <f>"89127"</f>
        <v>89127</v>
      </c>
      <c r="I5719">
        <v>2</v>
      </c>
      <c r="J5719">
        <v>476</v>
      </c>
      <c r="K5719">
        <v>0</v>
      </c>
      <c r="L5719">
        <v>666.4</v>
      </c>
    </row>
    <row r="5720" spans="1:12" x14ac:dyDescent="0.25">
      <c r="A5720" t="str">
        <f t="shared" si="1263"/>
        <v>89301000</v>
      </c>
      <c r="B5720" t="str">
        <f t="shared" si="1268"/>
        <v>78006000</v>
      </c>
      <c r="C5720" t="str">
        <f t="shared" si="1269"/>
        <v>78006831</v>
      </c>
      <c r="D5720" t="str">
        <f t="shared" si="1270"/>
        <v>809</v>
      </c>
      <c r="E5720" t="str">
        <f>"89301042"</f>
        <v>89301042</v>
      </c>
      <c r="F5720" t="str">
        <f>"7211115351"</f>
        <v>7211115351</v>
      </c>
      <c r="G5720" s="1">
        <v>44686</v>
      </c>
      <c r="H5720" t="str">
        <f>"89513"</f>
        <v>89513</v>
      </c>
      <c r="I5720">
        <v>1</v>
      </c>
      <c r="J5720">
        <v>371</v>
      </c>
      <c r="K5720">
        <v>0</v>
      </c>
      <c r="L5720">
        <v>519.4</v>
      </c>
    </row>
    <row r="5721" spans="1:12" x14ac:dyDescent="0.25">
      <c r="A5721" t="str">
        <f t="shared" si="1263"/>
        <v>89301000</v>
      </c>
      <c r="B5721" t="str">
        <f t="shared" si="1268"/>
        <v>78006000</v>
      </c>
      <c r="C5721" t="str">
        <f t="shared" si="1269"/>
        <v>78006831</v>
      </c>
      <c r="D5721" t="str">
        <f t="shared" si="1270"/>
        <v>809</v>
      </c>
      <c r="E5721" t="str">
        <f>"89301042"</f>
        <v>89301042</v>
      </c>
      <c r="F5721" t="str">
        <f>"7211115351"</f>
        <v>7211115351</v>
      </c>
      <c r="G5721" s="1">
        <v>44686</v>
      </c>
      <c r="H5721" t="str">
        <f>"89514"</f>
        <v>89514</v>
      </c>
      <c r="I5721">
        <v>1</v>
      </c>
      <c r="J5721">
        <v>371</v>
      </c>
      <c r="K5721">
        <v>0</v>
      </c>
      <c r="L5721">
        <v>519.4</v>
      </c>
    </row>
    <row r="5722" spans="1:12" x14ac:dyDescent="0.25">
      <c r="A5722" t="str">
        <f t="shared" si="1263"/>
        <v>89301000</v>
      </c>
      <c r="B5722" t="str">
        <f t="shared" si="1268"/>
        <v>78006000</v>
      </c>
      <c r="C5722" t="str">
        <f>"78006531"</f>
        <v>78006531</v>
      </c>
      <c r="D5722" t="str">
        <f t="shared" si="1270"/>
        <v>809</v>
      </c>
      <c r="E5722" t="str">
        <f>"89301172"</f>
        <v>89301172</v>
      </c>
      <c r="F5722" t="str">
        <f>"6604291430"</f>
        <v>6604291430</v>
      </c>
      <c r="G5722" s="1">
        <v>44698</v>
      </c>
      <c r="H5722" t="str">
        <f>"89513"</f>
        <v>89513</v>
      </c>
      <c r="I5722">
        <v>1</v>
      </c>
      <c r="J5722">
        <v>371</v>
      </c>
      <c r="K5722">
        <v>0</v>
      </c>
      <c r="L5722">
        <v>519.4</v>
      </c>
    </row>
    <row r="5723" spans="1:12" x14ac:dyDescent="0.25">
      <c r="A5723" t="str">
        <f t="shared" si="1263"/>
        <v>89301000</v>
      </c>
      <c r="B5723" t="str">
        <f t="shared" si="1268"/>
        <v>78006000</v>
      </c>
      <c r="C5723" t="str">
        <f>"78006531"</f>
        <v>78006531</v>
      </c>
      <c r="D5723" t="str">
        <f t="shared" si="1270"/>
        <v>809</v>
      </c>
      <c r="E5723" t="str">
        <f>"89301172"</f>
        <v>89301172</v>
      </c>
      <c r="F5723" t="str">
        <f>"6604291430"</f>
        <v>6604291430</v>
      </c>
      <c r="G5723" s="1">
        <v>44698</v>
      </c>
      <c r="H5723" t="str">
        <f>"89514"</f>
        <v>89514</v>
      </c>
      <c r="I5723">
        <v>1</v>
      </c>
      <c r="J5723">
        <v>371</v>
      </c>
      <c r="K5723">
        <v>0</v>
      </c>
      <c r="L5723">
        <v>519.4</v>
      </c>
    </row>
    <row r="5724" spans="1:12" x14ac:dyDescent="0.25">
      <c r="A5724" t="str">
        <f t="shared" si="1263"/>
        <v>89301000</v>
      </c>
      <c r="B5724" t="str">
        <f t="shared" si="1268"/>
        <v>78006000</v>
      </c>
      <c r="C5724" t="str">
        <f>"78006531"</f>
        <v>78006531</v>
      </c>
      <c r="D5724" t="str">
        <f t="shared" si="1270"/>
        <v>809</v>
      </c>
      <c r="E5724" t="str">
        <f>"89301172"</f>
        <v>89301172</v>
      </c>
      <c r="F5724" t="str">
        <f>"6604291430"</f>
        <v>6604291430</v>
      </c>
      <c r="G5724" s="1">
        <v>44698</v>
      </c>
      <c r="H5724" t="str">
        <f>"89131"</f>
        <v>89131</v>
      </c>
      <c r="I5724">
        <v>1</v>
      </c>
      <c r="J5724">
        <v>187</v>
      </c>
      <c r="K5724">
        <v>0</v>
      </c>
      <c r="L5724">
        <v>261.8</v>
      </c>
    </row>
    <row r="5725" spans="1:12" x14ac:dyDescent="0.25">
      <c r="A5725" t="str">
        <f t="shared" si="1263"/>
        <v>89301000</v>
      </c>
      <c r="B5725" t="str">
        <f t="shared" si="1268"/>
        <v>78006000</v>
      </c>
      <c r="C5725" t="str">
        <f>"78006233"</f>
        <v>78006233</v>
      </c>
      <c r="D5725" t="str">
        <f>"810"</f>
        <v>810</v>
      </c>
      <c r="E5725" t="str">
        <f>"89301062"</f>
        <v>89301062</v>
      </c>
      <c r="F5725" t="str">
        <f>"7758264459"</f>
        <v>7758264459</v>
      </c>
      <c r="G5725" s="1">
        <v>44698</v>
      </c>
      <c r="H5725" t="str">
        <f>"89723"</f>
        <v>89723</v>
      </c>
      <c r="I5725">
        <v>1</v>
      </c>
      <c r="J5725">
        <v>5880</v>
      </c>
      <c r="K5725">
        <v>0</v>
      </c>
      <c r="L5725">
        <v>3528</v>
      </c>
    </row>
    <row r="5726" spans="1:12" x14ac:dyDescent="0.25">
      <c r="A5726" t="str">
        <f t="shared" si="1263"/>
        <v>89301000</v>
      </c>
      <c r="B5726" t="str">
        <f t="shared" si="1268"/>
        <v>78006000</v>
      </c>
      <c r="C5726" t="str">
        <f>"78006233"</f>
        <v>78006233</v>
      </c>
      <c r="D5726" t="str">
        <f>"810"</f>
        <v>810</v>
      </c>
      <c r="E5726" t="str">
        <f>"89301062"</f>
        <v>89301062</v>
      </c>
      <c r="F5726" t="str">
        <f>"7758264459"</f>
        <v>7758264459</v>
      </c>
      <c r="G5726" s="1">
        <v>44698</v>
      </c>
      <c r="H5726" t="str">
        <f>"89713"</f>
        <v>89713</v>
      </c>
      <c r="I5726">
        <v>1</v>
      </c>
      <c r="J5726">
        <v>5362</v>
      </c>
      <c r="K5726">
        <v>0</v>
      </c>
      <c r="L5726">
        <v>3217.2</v>
      </c>
    </row>
    <row r="5727" spans="1:12" x14ac:dyDescent="0.25">
      <c r="A5727" t="str">
        <f t="shared" si="1263"/>
        <v>89301000</v>
      </c>
      <c r="B5727" t="str">
        <f t="shared" si="1268"/>
        <v>78006000</v>
      </c>
      <c r="C5727" t="str">
        <f>"78006233"</f>
        <v>78006233</v>
      </c>
      <c r="D5727" t="str">
        <f>"810"</f>
        <v>810</v>
      </c>
      <c r="E5727" t="str">
        <f>"89301062"</f>
        <v>89301062</v>
      </c>
      <c r="F5727" t="str">
        <f>"7758264459"</f>
        <v>7758264459</v>
      </c>
      <c r="G5727" s="1">
        <v>44698</v>
      </c>
      <c r="H5727" t="str">
        <f>"89713"</f>
        <v>89713</v>
      </c>
      <c r="I5727">
        <v>1</v>
      </c>
      <c r="J5727">
        <v>5362</v>
      </c>
      <c r="K5727">
        <v>0</v>
      </c>
      <c r="L5727">
        <v>3217.2</v>
      </c>
    </row>
    <row r="5728" spans="1:12" x14ac:dyDescent="0.25">
      <c r="A5728" t="str">
        <f t="shared" si="1263"/>
        <v>89301000</v>
      </c>
      <c r="B5728" t="str">
        <f t="shared" si="1268"/>
        <v>78006000</v>
      </c>
      <c r="C5728" t="str">
        <f>"78006233"</f>
        <v>78006233</v>
      </c>
      <c r="D5728" t="str">
        <f>"810"</f>
        <v>810</v>
      </c>
      <c r="E5728" t="str">
        <f>"89301112"</f>
        <v>89301112</v>
      </c>
      <c r="F5728" t="str">
        <f>"0557065267"</f>
        <v>0557065267</v>
      </c>
      <c r="G5728" s="1">
        <v>44708</v>
      </c>
      <c r="H5728" t="str">
        <f>"89713"</f>
        <v>89713</v>
      </c>
      <c r="I5728">
        <v>1</v>
      </c>
      <c r="J5728">
        <v>5362</v>
      </c>
      <c r="K5728">
        <v>0</v>
      </c>
      <c r="L5728">
        <v>3217.2</v>
      </c>
    </row>
    <row r="5729" spans="1:12" x14ac:dyDescent="0.25">
      <c r="A5729" t="str">
        <f t="shared" si="1263"/>
        <v>89301000</v>
      </c>
      <c r="B5729" t="str">
        <f t="shared" si="1268"/>
        <v>78006000</v>
      </c>
      <c r="C5729" t="str">
        <f>"78006233"</f>
        <v>78006233</v>
      </c>
      <c r="D5729" t="str">
        <f>"810"</f>
        <v>810</v>
      </c>
      <c r="E5729" t="str">
        <f>"89301062"</f>
        <v>89301062</v>
      </c>
      <c r="F5729" t="str">
        <f>"6455186397"</f>
        <v>6455186397</v>
      </c>
      <c r="G5729" s="1">
        <v>44711</v>
      </c>
      <c r="H5729" t="str">
        <f>"89713"</f>
        <v>89713</v>
      </c>
      <c r="I5729">
        <v>1</v>
      </c>
      <c r="J5729">
        <v>5362</v>
      </c>
      <c r="K5729">
        <v>0</v>
      </c>
      <c r="L5729">
        <v>3217.2</v>
      </c>
    </row>
    <row r="5730" spans="1:12" x14ac:dyDescent="0.25">
      <c r="A5730" t="str">
        <f t="shared" si="1263"/>
        <v>89301000</v>
      </c>
      <c r="B5730" t="str">
        <f t="shared" si="1268"/>
        <v>78006000</v>
      </c>
      <c r="C5730" t="str">
        <f t="shared" ref="C5730:C5745" si="1271">"78006201"</f>
        <v>78006201</v>
      </c>
      <c r="D5730" t="str">
        <f t="shared" ref="D5730:D5745" si="1272">"801"</f>
        <v>801</v>
      </c>
      <c r="E5730" t="str">
        <f t="shared" ref="E5730:E5750" si="1273">"89301167"</f>
        <v>89301167</v>
      </c>
      <c r="F5730" t="str">
        <f t="shared" ref="F5730:F5750" si="1274">"6459211253"</f>
        <v>6459211253</v>
      </c>
      <c r="G5730" s="1">
        <v>44711</v>
      </c>
      <c r="H5730" t="str">
        <f>"81329"</f>
        <v>81329</v>
      </c>
      <c r="I5730">
        <v>1</v>
      </c>
      <c r="J5730">
        <v>16</v>
      </c>
      <c r="K5730">
        <v>0</v>
      </c>
      <c r="L5730">
        <v>12.48</v>
      </c>
    </row>
    <row r="5731" spans="1:12" x14ac:dyDescent="0.25">
      <c r="A5731" t="str">
        <f t="shared" si="1263"/>
        <v>89301000</v>
      </c>
      <c r="B5731" t="str">
        <f t="shared" si="1268"/>
        <v>78006000</v>
      </c>
      <c r="C5731" t="str">
        <f t="shared" si="1271"/>
        <v>78006201</v>
      </c>
      <c r="D5731" t="str">
        <f t="shared" si="1272"/>
        <v>801</v>
      </c>
      <c r="E5731" t="str">
        <f t="shared" si="1273"/>
        <v>89301167</v>
      </c>
      <c r="F5731" t="str">
        <f t="shared" si="1274"/>
        <v>6459211253</v>
      </c>
      <c r="G5731" s="1">
        <v>44711</v>
      </c>
      <c r="H5731" t="str">
        <f>"81383"</f>
        <v>81383</v>
      </c>
      <c r="I5731">
        <v>1</v>
      </c>
      <c r="J5731">
        <v>23</v>
      </c>
      <c r="K5731">
        <v>0</v>
      </c>
      <c r="L5731">
        <v>17.940000000000001</v>
      </c>
    </row>
    <row r="5732" spans="1:12" x14ac:dyDescent="0.25">
      <c r="A5732" t="str">
        <f t="shared" si="1263"/>
        <v>89301000</v>
      </c>
      <c r="B5732" t="str">
        <f t="shared" si="1268"/>
        <v>78006000</v>
      </c>
      <c r="C5732" t="str">
        <f t="shared" si="1271"/>
        <v>78006201</v>
      </c>
      <c r="D5732" t="str">
        <f t="shared" si="1272"/>
        <v>801</v>
      </c>
      <c r="E5732" t="str">
        <f t="shared" si="1273"/>
        <v>89301167</v>
      </c>
      <c r="F5732" t="str">
        <f t="shared" si="1274"/>
        <v>6459211253</v>
      </c>
      <c r="G5732" s="1">
        <v>44711</v>
      </c>
      <c r="H5732" t="str">
        <f>"81625"</f>
        <v>81625</v>
      </c>
      <c r="I5732">
        <v>1</v>
      </c>
      <c r="J5732">
        <v>20</v>
      </c>
      <c r="K5732">
        <v>0</v>
      </c>
      <c r="L5732">
        <v>15.6</v>
      </c>
    </row>
    <row r="5733" spans="1:12" x14ac:dyDescent="0.25">
      <c r="A5733" t="str">
        <f t="shared" si="1263"/>
        <v>89301000</v>
      </c>
      <c r="B5733" t="str">
        <f t="shared" si="1268"/>
        <v>78006000</v>
      </c>
      <c r="C5733" t="str">
        <f t="shared" si="1271"/>
        <v>78006201</v>
      </c>
      <c r="D5733" t="str">
        <f t="shared" si="1272"/>
        <v>801</v>
      </c>
      <c r="E5733" t="str">
        <f t="shared" si="1273"/>
        <v>89301167</v>
      </c>
      <c r="F5733" t="str">
        <f t="shared" si="1274"/>
        <v>6459211253</v>
      </c>
      <c r="G5733" s="1">
        <v>44711</v>
      </c>
      <c r="H5733" t="str">
        <f>"93189"</f>
        <v>93189</v>
      </c>
      <c r="I5733">
        <v>1</v>
      </c>
      <c r="J5733">
        <v>189</v>
      </c>
      <c r="K5733">
        <v>0</v>
      </c>
      <c r="L5733">
        <v>147.41999999999999</v>
      </c>
    </row>
    <row r="5734" spans="1:12" x14ac:dyDescent="0.25">
      <c r="A5734" t="str">
        <f t="shared" si="1263"/>
        <v>89301000</v>
      </c>
      <c r="B5734" t="str">
        <f t="shared" si="1268"/>
        <v>78006000</v>
      </c>
      <c r="C5734" t="str">
        <f t="shared" si="1271"/>
        <v>78006201</v>
      </c>
      <c r="D5734" t="str">
        <f t="shared" si="1272"/>
        <v>801</v>
      </c>
      <c r="E5734" t="str">
        <f t="shared" si="1273"/>
        <v>89301167</v>
      </c>
      <c r="F5734" t="str">
        <f t="shared" si="1274"/>
        <v>6459211253</v>
      </c>
      <c r="G5734" s="1">
        <v>44711</v>
      </c>
      <c r="H5734" t="str">
        <f>"93195"</f>
        <v>93195</v>
      </c>
      <c r="I5734">
        <v>1</v>
      </c>
      <c r="J5734">
        <v>181</v>
      </c>
      <c r="K5734">
        <v>0</v>
      </c>
      <c r="L5734">
        <v>141.18</v>
      </c>
    </row>
    <row r="5735" spans="1:12" x14ac:dyDescent="0.25">
      <c r="A5735" t="str">
        <f t="shared" si="1263"/>
        <v>89301000</v>
      </c>
      <c r="B5735" t="str">
        <f t="shared" si="1268"/>
        <v>78006000</v>
      </c>
      <c r="C5735" t="str">
        <f t="shared" si="1271"/>
        <v>78006201</v>
      </c>
      <c r="D5735" t="str">
        <f t="shared" si="1272"/>
        <v>801</v>
      </c>
      <c r="E5735" t="str">
        <f t="shared" si="1273"/>
        <v>89301167</v>
      </c>
      <c r="F5735" t="str">
        <f t="shared" si="1274"/>
        <v>6459211253</v>
      </c>
      <c r="G5735" s="1">
        <v>44711</v>
      </c>
      <c r="H5735" t="str">
        <f>"97111"</f>
        <v>97111</v>
      </c>
      <c r="I5735">
        <v>1</v>
      </c>
      <c r="J5735">
        <v>18</v>
      </c>
      <c r="K5735">
        <v>0</v>
      </c>
      <c r="L5735">
        <v>14.04</v>
      </c>
    </row>
    <row r="5736" spans="1:12" x14ac:dyDescent="0.25">
      <c r="A5736" t="str">
        <f t="shared" si="1263"/>
        <v>89301000</v>
      </c>
      <c r="B5736" t="str">
        <f t="shared" si="1268"/>
        <v>78006000</v>
      </c>
      <c r="C5736" t="str">
        <f t="shared" si="1271"/>
        <v>78006201</v>
      </c>
      <c r="D5736" t="str">
        <f t="shared" si="1272"/>
        <v>801</v>
      </c>
      <c r="E5736" t="str">
        <f t="shared" si="1273"/>
        <v>89301167</v>
      </c>
      <c r="F5736" t="str">
        <f t="shared" si="1274"/>
        <v>6459211253</v>
      </c>
      <c r="G5736" s="1">
        <v>44683</v>
      </c>
      <c r="H5736" t="str">
        <f>"81329"</f>
        <v>81329</v>
      </c>
      <c r="I5736">
        <v>1</v>
      </c>
      <c r="J5736">
        <v>16</v>
      </c>
      <c r="K5736">
        <v>0</v>
      </c>
      <c r="L5736">
        <v>12.48</v>
      </c>
    </row>
    <row r="5737" spans="1:12" x14ac:dyDescent="0.25">
      <c r="A5737" t="str">
        <f t="shared" si="1263"/>
        <v>89301000</v>
      </c>
      <c r="B5737" t="str">
        <f t="shared" si="1268"/>
        <v>78006000</v>
      </c>
      <c r="C5737" t="str">
        <f t="shared" si="1271"/>
        <v>78006201</v>
      </c>
      <c r="D5737" t="str">
        <f t="shared" si="1272"/>
        <v>801</v>
      </c>
      <c r="E5737" t="str">
        <f t="shared" si="1273"/>
        <v>89301167</v>
      </c>
      <c r="F5737" t="str">
        <f t="shared" si="1274"/>
        <v>6459211253</v>
      </c>
      <c r="G5737" s="1">
        <v>44683</v>
      </c>
      <c r="H5737" t="str">
        <f>"81383"</f>
        <v>81383</v>
      </c>
      <c r="I5737">
        <v>1</v>
      </c>
      <c r="J5737">
        <v>23</v>
      </c>
      <c r="K5737">
        <v>0</v>
      </c>
      <c r="L5737">
        <v>17.940000000000001</v>
      </c>
    </row>
    <row r="5738" spans="1:12" x14ac:dyDescent="0.25">
      <c r="A5738" t="str">
        <f t="shared" si="1263"/>
        <v>89301000</v>
      </c>
      <c r="B5738" t="str">
        <f t="shared" si="1268"/>
        <v>78006000</v>
      </c>
      <c r="C5738" t="str">
        <f t="shared" si="1271"/>
        <v>78006201</v>
      </c>
      <c r="D5738" t="str">
        <f t="shared" si="1272"/>
        <v>801</v>
      </c>
      <c r="E5738" t="str">
        <f t="shared" si="1273"/>
        <v>89301167</v>
      </c>
      <c r="F5738" t="str">
        <f t="shared" si="1274"/>
        <v>6459211253</v>
      </c>
      <c r="G5738" s="1">
        <v>44683</v>
      </c>
      <c r="H5738" t="str">
        <f>"81495"</f>
        <v>81495</v>
      </c>
      <c r="I5738">
        <v>1</v>
      </c>
      <c r="J5738">
        <v>31</v>
      </c>
      <c r="K5738">
        <v>0</v>
      </c>
      <c r="L5738">
        <v>24.18</v>
      </c>
    </row>
    <row r="5739" spans="1:12" x14ac:dyDescent="0.25">
      <c r="A5739" t="str">
        <f t="shared" si="1263"/>
        <v>89301000</v>
      </c>
      <c r="B5739" t="str">
        <f t="shared" si="1268"/>
        <v>78006000</v>
      </c>
      <c r="C5739" t="str">
        <f t="shared" si="1271"/>
        <v>78006201</v>
      </c>
      <c r="D5739" t="str">
        <f t="shared" si="1272"/>
        <v>801</v>
      </c>
      <c r="E5739" t="str">
        <f t="shared" si="1273"/>
        <v>89301167</v>
      </c>
      <c r="F5739" t="str">
        <f t="shared" si="1274"/>
        <v>6459211253</v>
      </c>
      <c r="G5739" s="1">
        <v>44683</v>
      </c>
      <c r="H5739" t="str">
        <f>"81625"</f>
        <v>81625</v>
      </c>
      <c r="I5739">
        <v>1</v>
      </c>
      <c r="J5739">
        <v>20</v>
      </c>
      <c r="K5739">
        <v>0</v>
      </c>
      <c r="L5739">
        <v>15.6</v>
      </c>
    </row>
    <row r="5740" spans="1:12" x14ac:dyDescent="0.25">
      <c r="A5740" t="str">
        <f t="shared" si="1263"/>
        <v>89301000</v>
      </c>
      <c r="B5740" t="str">
        <f t="shared" si="1268"/>
        <v>78006000</v>
      </c>
      <c r="C5740" t="str">
        <f t="shared" si="1271"/>
        <v>78006201</v>
      </c>
      <c r="D5740" t="str">
        <f t="shared" si="1272"/>
        <v>801</v>
      </c>
      <c r="E5740" t="str">
        <f t="shared" si="1273"/>
        <v>89301167</v>
      </c>
      <c r="F5740" t="str">
        <f t="shared" si="1274"/>
        <v>6459211253</v>
      </c>
      <c r="G5740" s="1">
        <v>44683</v>
      </c>
      <c r="H5740" t="str">
        <f>"93135"</f>
        <v>93135</v>
      </c>
      <c r="I5740">
        <v>1</v>
      </c>
      <c r="J5740">
        <v>300</v>
      </c>
      <c r="K5740">
        <v>0</v>
      </c>
      <c r="L5740">
        <v>234</v>
      </c>
    </row>
    <row r="5741" spans="1:12" x14ac:dyDescent="0.25">
      <c r="A5741" t="str">
        <f t="shared" si="1263"/>
        <v>89301000</v>
      </c>
      <c r="B5741" t="str">
        <f t="shared" si="1268"/>
        <v>78006000</v>
      </c>
      <c r="C5741" t="str">
        <f t="shared" si="1271"/>
        <v>78006201</v>
      </c>
      <c r="D5741" t="str">
        <f t="shared" si="1272"/>
        <v>801</v>
      </c>
      <c r="E5741" t="str">
        <f t="shared" si="1273"/>
        <v>89301167</v>
      </c>
      <c r="F5741" t="str">
        <f t="shared" si="1274"/>
        <v>6459211253</v>
      </c>
      <c r="G5741" s="1">
        <v>44683</v>
      </c>
      <c r="H5741" t="str">
        <f>"97111"</f>
        <v>97111</v>
      </c>
      <c r="I5741">
        <v>1</v>
      </c>
      <c r="J5741">
        <v>18</v>
      </c>
      <c r="K5741">
        <v>0</v>
      </c>
      <c r="L5741">
        <v>14.04</v>
      </c>
    </row>
    <row r="5742" spans="1:12" x14ac:dyDescent="0.25">
      <c r="A5742" t="str">
        <f t="shared" si="1263"/>
        <v>89301000</v>
      </c>
      <c r="B5742" t="str">
        <f t="shared" si="1268"/>
        <v>78006000</v>
      </c>
      <c r="C5742" t="str">
        <f t="shared" si="1271"/>
        <v>78006201</v>
      </c>
      <c r="D5742" t="str">
        <f t="shared" si="1272"/>
        <v>801</v>
      </c>
      <c r="E5742" t="str">
        <f t="shared" si="1273"/>
        <v>89301167</v>
      </c>
      <c r="F5742" t="str">
        <f t="shared" si="1274"/>
        <v>6459211253</v>
      </c>
      <c r="G5742" s="1">
        <v>44697</v>
      </c>
      <c r="H5742" t="str">
        <f>"81329"</f>
        <v>81329</v>
      </c>
      <c r="I5742">
        <v>1</v>
      </c>
      <c r="J5742">
        <v>16</v>
      </c>
      <c r="K5742">
        <v>0</v>
      </c>
      <c r="L5742">
        <v>12.48</v>
      </c>
    </row>
    <row r="5743" spans="1:12" x14ac:dyDescent="0.25">
      <c r="A5743" t="str">
        <f t="shared" si="1263"/>
        <v>89301000</v>
      </c>
      <c r="B5743" t="str">
        <f t="shared" si="1268"/>
        <v>78006000</v>
      </c>
      <c r="C5743" t="str">
        <f t="shared" si="1271"/>
        <v>78006201</v>
      </c>
      <c r="D5743" t="str">
        <f t="shared" si="1272"/>
        <v>801</v>
      </c>
      <c r="E5743" t="str">
        <f t="shared" si="1273"/>
        <v>89301167</v>
      </c>
      <c r="F5743" t="str">
        <f t="shared" si="1274"/>
        <v>6459211253</v>
      </c>
      <c r="G5743" s="1">
        <v>44697</v>
      </c>
      <c r="H5743" t="str">
        <f>"81383"</f>
        <v>81383</v>
      </c>
      <c r="I5743">
        <v>1</v>
      </c>
      <c r="J5743">
        <v>23</v>
      </c>
      <c r="K5743">
        <v>0</v>
      </c>
      <c r="L5743">
        <v>17.940000000000001</v>
      </c>
    </row>
    <row r="5744" spans="1:12" x14ac:dyDescent="0.25">
      <c r="A5744" t="str">
        <f t="shared" si="1263"/>
        <v>89301000</v>
      </c>
      <c r="B5744" t="str">
        <f t="shared" si="1268"/>
        <v>78006000</v>
      </c>
      <c r="C5744" t="str">
        <f t="shared" si="1271"/>
        <v>78006201</v>
      </c>
      <c r="D5744" t="str">
        <f t="shared" si="1272"/>
        <v>801</v>
      </c>
      <c r="E5744" t="str">
        <f t="shared" si="1273"/>
        <v>89301167</v>
      </c>
      <c r="F5744" t="str">
        <f t="shared" si="1274"/>
        <v>6459211253</v>
      </c>
      <c r="G5744" s="1">
        <v>44697</v>
      </c>
      <c r="H5744" t="str">
        <f>"81625"</f>
        <v>81625</v>
      </c>
      <c r="I5744">
        <v>1</v>
      </c>
      <c r="J5744">
        <v>20</v>
      </c>
      <c r="K5744">
        <v>0</v>
      </c>
      <c r="L5744">
        <v>15.6</v>
      </c>
    </row>
    <row r="5745" spans="1:12" x14ac:dyDescent="0.25">
      <c r="A5745" t="str">
        <f t="shared" si="1263"/>
        <v>89301000</v>
      </c>
      <c r="B5745" t="str">
        <f t="shared" si="1268"/>
        <v>78006000</v>
      </c>
      <c r="C5745" t="str">
        <f t="shared" si="1271"/>
        <v>78006201</v>
      </c>
      <c r="D5745" t="str">
        <f t="shared" si="1272"/>
        <v>801</v>
      </c>
      <c r="E5745" t="str">
        <f t="shared" si="1273"/>
        <v>89301167</v>
      </c>
      <c r="F5745" t="str">
        <f t="shared" si="1274"/>
        <v>6459211253</v>
      </c>
      <c r="G5745" s="1">
        <v>44697</v>
      </c>
      <c r="H5745" t="str">
        <f>"97111"</f>
        <v>97111</v>
      </c>
      <c r="I5745">
        <v>1</v>
      </c>
      <c r="J5745">
        <v>18</v>
      </c>
      <c r="K5745">
        <v>0</v>
      </c>
      <c r="L5745">
        <v>14.04</v>
      </c>
    </row>
    <row r="5746" spans="1:12" x14ac:dyDescent="0.25">
      <c r="A5746" t="str">
        <f t="shared" si="1263"/>
        <v>89301000</v>
      </c>
      <c r="B5746" t="str">
        <f t="shared" si="1268"/>
        <v>78006000</v>
      </c>
      <c r="C5746" t="str">
        <f>"78006205"</f>
        <v>78006205</v>
      </c>
      <c r="D5746" t="str">
        <f>"818"</f>
        <v>818</v>
      </c>
      <c r="E5746" t="str">
        <f t="shared" si="1273"/>
        <v>89301167</v>
      </c>
      <c r="F5746" t="str">
        <f t="shared" si="1274"/>
        <v>6459211253</v>
      </c>
      <c r="G5746" s="1">
        <v>44711</v>
      </c>
      <c r="H5746" t="str">
        <f>"96167"</f>
        <v>96167</v>
      </c>
      <c r="I5746">
        <v>1</v>
      </c>
      <c r="J5746">
        <v>67</v>
      </c>
      <c r="K5746">
        <v>0</v>
      </c>
      <c r="L5746">
        <v>60.97</v>
      </c>
    </row>
    <row r="5747" spans="1:12" x14ac:dyDescent="0.25">
      <c r="A5747" t="str">
        <f t="shared" si="1263"/>
        <v>89301000</v>
      </c>
      <c r="B5747" t="str">
        <f t="shared" ref="B5747:B5778" si="1275">"78006000"</f>
        <v>78006000</v>
      </c>
      <c r="C5747" t="str">
        <f>"78006205"</f>
        <v>78006205</v>
      </c>
      <c r="D5747" t="str">
        <f>"818"</f>
        <v>818</v>
      </c>
      <c r="E5747" t="str">
        <f t="shared" si="1273"/>
        <v>89301167</v>
      </c>
      <c r="F5747" t="str">
        <f t="shared" si="1274"/>
        <v>6459211253</v>
      </c>
      <c r="G5747" s="1">
        <v>44683</v>
      </c>
      <c r="H5747" t="str">
        <f>"96167"</f>
        <v>96167</v>
      </c>
      <c r="I5747">
        <v>1</v>
      </c>
      <c r="J5747">
        <v>67</v>
      </c>
      <c r="K5747">
        <v>0</v>
      </c>
      <c r="L5747">
        <v>60.97</v>
      </c>
    </row>
    <row r="5748" spans="1:12" x14ac:dyDescent="0.25">
      <c r="A5748" t="str">
        <f t="shared" si="1263"/>
        <v>89301000</v>
      </c>
      <c r="B5748" t="str">
        <f t="shared" si="1275"/>
        <v>78006000</v>
      </c>
      <c r="C5748" t="str">
        <f>"78006205"</f>
        <v>78006205</v>
      </c>
      <c r="D5748" t="str">
        <f>"818"</f>
        <v>818</v>
      </c>
      <c r="E5748" t="str">
        <f t="shared" si="1273"/>
        <v>89301167</v>
      </c>
      <c r="F5748" t="str">
        <f t="shared" si="1274"/>
        <v>6459211253</v>
      </c>
      <c r="G5748" s="1">
        <v>44683</v>
      </c>
      <c r="H5748" t="str">
        <f>"96315"</f>
        <v>96315</v>
      </c>
      <c r="I5748">
        <v>1</v>
      </c>
      <c r="J5748">
        <v>29</v>
      </c>
      <c r="K5748">
        <v>0</v>
      </c>
      <c r="L5748">
        <v>26.39</v>
      </c>
    </row>
    <row r="5749" spans="1:12" x14ac:dyDescent="0.25">
      <c r="A5749" t="str">
        <f t="shared" si="1263"/>
        <v>89301000</v>
      </c>
      <c r="B5749" t="str">
        <f t="shared" si="1275"/>
        <v>78006000</v>
      </c>
      <c r="C5749" t="str">
        <f>"78006205"</f>
        <v>78006205</v>
      </c>
      <c r="D5749" t="str">
        <f>"818"</f>
        <v>818</v>
      </c>
      <c r="E5749" t="str">
        <f t="shared" si="1273"/>
        <v>89301167</v>
      </c>
      <c r="F5749" t="str">
        <f t="shared" si="1274"/>
        <v>6459211253</v>
      </c>
      <c r="G5749" s="1">
        <v>44683</v>
      </c>
      <c r="H5749" t="str">
        <f>"96711"</f>
        <v>96711</v>
      </c>
      <c r="I5749">
        <v>1</v>
      </c>
      <c r="J5749">
        <v>27</v>
      </c>
      <c r="K5749">
        <v>0</v>
      </c>
      <c r="L5749">
        <v>24.57</v>
      </c>
    </row>
    <row r="5750" spans="1:12" x14ac:dyDescent="0.25">
      <c r="A5750" t="str">
        <f t="shared" si="1263"/>
        <v>89301000</v>
      </c>
      <c r="B5750" t="str">
        <f t="shared" si="1275"/>
        <v>78006000</v>
      </c>
      <c r="C5750" t="str">
        <f>"78006205"</f>
        <v>78006205</v>
      </c>
      <c r="D5750" t="str">
        <f>"818"</f>
        <v>818</v>
      </c>
      <c r="E5750" t="str">
        <f t="shared" si="1273"/>
        <v>89301167</v>
      </c>
      <c r="F5750" t="str">
        <f t="shared" si="1274"/>
        <v>6459211253</v>
      </c>
      <c r="G5750" s="1">
        <v>44697</v>
      </c>
      <c r="H5750" t="str">
        <f>"96167"</f>
        <v>96167</v>
      </c>
      <c r="I5750">
        <v>1</v>
      </c>
      <c r="J5750">
        <v>67</v>
      </c>
      <c r="K5750">
        <v>0</v>
      </c>
      <c r="L5750">
        <v>60.97</v>
      </c>
    </row>
    <row r="5751" spans="1:12" x14ac:dyDescent="0.25">
      <c r="A5751" t="str">
        <f t="shared" si="1263"/>
        <v>89301000</v>
      </c>
      <c r="B5751" t="str">
        <f t="shared" si="1275"/>
        <v>78006000</v>
      </c>
      <c r="C5751" t="str">
        <f t="shared" ref="C5751:C5758" si="1276">"78006231"</f>
        <v>78006231</v>
      </c>
      <c r="D5751" t="str">
        <f t="shared" ref="D5751:D5758" si="1277">"809"</f>
        <v>809</v>
      </c>
      <c r="E5751" t="str">
        <f>"89301212"</f>
        <v>89301212</v>
      </c>
      <c r="F5751" t="str">
        <f>"7962044475"</f>
        <v>7962044475</v>
      </c>
      <c r="G5751" s="1">
        <v>44685</v>
      </c>
      <c r="H5751" t="str">
        <f>"89180"</f>
        <v>89180</v>
      </c>
      <c r="I5751">
        <v>2</v>
      </c>
      <c r="J5751">
        <v>752</v>
      </c>
      <c r="K5751">
        <v>0</v>
      </c>
      <c r="L5751">
        <v>1052.8</v>
      </c>
    </row>
    <row r="5752" spans="1:12" x14ac:dyDescent="0.25">
      <c r="A5752" t="str">
        <f t="shared" si="1263"/>
        <v>89301000</v>
      </c>
      <c r="B5752" t="str">
        <f t="shared" si="1275"/>
        <v>78006000</v>
      </c>
      <c r="C5752" t="str">
        <f t="shared" si="1276"/>
        <v>78006231</v>
      </c>
      <c r="D5752" t="str">
        <f t="shared" si="1277"/>
        <v>809</v>
      </c>
      <c r="E5752" t="str">
        <f>"89301212"</f>
        <v>89301212</v>
      </c>
      <c r="F5752" t="str">
        <f>"6859181219"</f>
        <v>6859181219</v>
      </c>
      <c r="G5752" s="1">
        <v>44699</v>
      </c>
      <c r="H5752" t="str">
        <f>"89180"</f>
        <v>89180</v>
      </c>
      <c r="I5752">
        <v>1</v>
      </c>
      <c r="J5752">
        <v>376</v>
      </c>
      <c r="K5752">
        <v>0</v>
      </c>
      <c r="L5752">
        <v>526.4</v>
      </c>
    </row>
    <row r="5753" spans="1:12" x14ac:dyDescent="0.25">
      <c r="A5753" t="str">
        <f t="shared" si="1263"/>
        <v>89301000</v>
      </c>
      <c r="B5753" t="str">
        <f t="shared" si="1275"/>
        <v>78006000</v>
      </c>
      <c r="C5753" t="str">
        <f t="shared" si="1276"/>
        <v>78006231</v>
      </c>
      <c r="D5753" t="str">
        <f t="shared" si="1277"/>
        <v>809</v>
      </c>
      <c r="E5753" t="str">
        <f>"89301212"</f>
        <v>89301212</v>
      </c>
      <c r="F5753" t="str">
        <f>"7962044475"</f>
        <v>7962044475</v>
      </c>
      <c r="G5753" s="1">
        <v>44685</v>
      </c>
      <c r="H5753" t="str">
        <f>"89513"</f>
        <v>89513</v>
      </c>
      <c r="I5753">
        <v>1</v>
      </c>
      <c r="J5753">
        <v>371</v>
      </c>
      <c r="K5753">
        <v>0</v>
      </c>
      <c r="L5753">
        <v>519.4</v>
      </c>
    </row>
    <row r="5754" spans="1:12" x14ac:dyDescent="0.25">
      <c r="A5754" t="str">
        <f t="shared" si="1263"/>
        <v>89301000</v>
      </c>
      <c r="B5754" t="str">
        <f t="shared" si="1275"/>
        <v>78006000</v>
      </c>
      <c r="C5754" t="str">
        <f t="shared" si="1276"/>
        <v>78006231</v>
      </c>
      <c r="D5754" t="str">
        <f t="shared" si="1277"/>
        <v>809</v>
      </c>
      <c r="E5754" t="str">
        <f>"89301212"</f>
        <v>89301212</v>
      </c>
      <c r="F5754" t="str">
        <f>"7962044475"</f>
        <v>7962044475</v>
      </c>
      <c r="G5754" s="1">
        <v>44685</v>
      </c>
      <c r="H5754" t="str">
        <f>"89514"</f>
        <v>89514</v>
      </c>
      <c r="I5754">
        <v>1</v>
      </c>
      <c r="J5754">
        <v>371</v>
      </c>
      <c r="K5754">
        <v>0</v>
      </c>
      <c r="L5754">
        <v>519.4</v>
      </c>
    </row>
    <row r="5755" spans="1:12" x14ac:dyDescent="0.25">
      <c r="A5755" t="str">
        <f t="shared" si="1263"/>
        <v>89301000</v>
      </c>
      <c r="B5755" t="str">
        <f t="shared" si="1275"/>
        <v>78006000</v>
      </c>
      <c r="C5755" t="str">
        <f t="shared" si="1276"/>
        <v>78006231</v>
      </c>
      <c r="D5755" t="str">
        <f t="shared" si="1277"/>
        <v>809</v>
      </c>
      <c r="E5755" t="str">
        <f>"89301212"</f>
        <v>89301212</v>
      </c>
      <c r="F5755" t="str">
        <f>"6260160346"</f>
        <v>6260160346</v>
      </c>
      <c r="G5755" s="1">
        <v>44687</v>
      </c>
      <c r="H5755" t="str">
        <f>"89131"</f>
        <v>89131</v>
      </c>
      <c r="I5755">
        <v>1</v>
      </c>
      <c r="J5755">
        <v>187</v>
      </c>
      <c r="K5755">
        <v>0</v>
      </c>
      <c r="L5755">
        <v>261.8</v>
      </c>
    </row>
    <row r="5756" spans="1:12" x14ac:dyDescent="0.25">
      <c r="A5756" t="str">
        <f t="shared" si="1263"/>
        <v>89301000</v>
      </c>
      <c r="B5756" t="str">
        <f t="shared" si="1275"/>
        <v>78006000</v>
      </c>
      <c r="C5756" t="str">
        <f t="shared" si="1276"/>
        <v>78006231</v>
      </c>
      <c r="D5756" t="str">
        <f t="shared" si="1277"/>
        <v>809</v>
      </c>
      <c r="E5756" t="str">
        <f>"89301312"</f>
        <v>89301312</v>
      </c>
      <c r="F5756" t="str">
        <f>"6260160346"</f>
        <v>6260160346</v>
      </c>
      <c r="G5756" s="1">
        <v>44687</v>
      </c>
      <c r="H5756" t="str">
        <f>"89513"</f>
        <v>89513</v>
      </c>
      <c r="I5756">
        <v>1</v>
      </c>
      <c r="J5756">
        <v>371</v>
      </c>
      <c r="K5756">
        <v>0</v>
      </c>
      <c r="L5756">
        <v>519.4</v>
      </c>
    </row>
    <row r="5757" spans="1:12" x14ac:dyDescent="0.25">
      <c r="A5757" t="str">
        <f t="shared" si="1263"/>
        <v>89301000</v>
      </c>
      <c r="B5757" t="str">
        <f t="shared" si="1275"/>
        <v>78006000</v>
      </c>
      <c r="C5757" t="str">
        <f t="shared" si="1276"/>
        <v>78006231</v>
      </c>
      <c r="D5757" t="str">
        <f t="shared" si="1277"/>
        <v>809</v>
      </c>
      <c r="E5757" t="str">
        <f>"89301312"</f>
        <v>89301312</v>
      </c>
      <c r="F5757" t="str">
        <f>"6260160346"</f>
        <v>6260160346</v>
      </c>
      <c r="G5757" s="1">
        <v>44687</v>
      </c>
      <c r="H5757" t="str">
        <f>"89514"</f>
        <v>89514</v>
      </c>
      <c r="I5757">
        <v>1</v>
      </c>
      <c r="J5757">
        <v>371</v>
      </c>
      <c r="K5757">
        <v>0</v>
      </c>
      <c r="L5757">
        <v>519.4</v>
      </c>
    </row>
    <row r="5758" spans="1:12" x14ac:dyDescent="0.25">
      <c r="A5758" t="str">
        <f t="shared" si="1263"/>
        <v>89301000</v>
      </c>
      <c r="B5758" t="str">
        <f t="shared" si="1275"/>
        <v>78006000</v>
      </c>
      <c r="C5758" t="str">
        <f t="shared" si="1276"/>
        <v>78006231</v>
      </c>
      <c r="D5758" t="str">
        <f t="shared" si="1277"/>
        <v>809</v>
      </c>
      <c r="E5758" t="str">
        <f>"89301172"</f>
        <v>89301172</v>
      </c>
      <c r="F5758" t="str">
        <f>"5456292006"</f>
        <v>5456292006</v>
      </c>
      <c r="G5758" s="1">
        <v>44705</v>
      </c>
      <c r="H5758" t="str">
        <f>"89517"</f>
        <v>89517</v>
      </c>
      <c r="I5758">
        <v>1</v>
      </c>
      <c r="J5758">
        <v>970</v>
      </c>
      <c r="K5758">
        <v>0</v>
      </c>
      <c r="L5758">
        <v>1358</v>
      </c>
    </row>
    <row r="5759" spans="1:12" x14ac:dyDescent="0.25">
      <c r="A5759" t="str">
        <f t="shared" si="1263"/>
        <v>89301000</v>
      </c>
      <c r="B5759" t="str">
        <f t="shared" si="1275"/>
        <v>78006000</v>
      </c>
      <c r="C5759" t="str">
        <f t="shared" ref="C5759:C5774" si="1278">"78006207"</f>
        <v>78006207</v>
      </c>
      <c r="D5759" t="str">
        <f t="shared" ref="D5759:D5774" si="1279">"813"</f>
        <v>813</v>
      </c>
      <c r="E5759" t="str">
        <f>"89301171"</f>
        <v>89301171</v>
      </c>
      <c r="F5759" t="str">
        <f>"9457265741"</f>
        <v>9457265741</v>
      </c>
      <c r="G5759" s="1">
        <v>44695</v>
      </c>
      <c r="H5759" t="str">
        <f>"91197"</f>
        <v>91197</v>
      </c>
      <c r="I5759">
        <v>6</v>
      </c>
      <c r="J5759">
        <v>6276</v>
      </c>
      <c r="K5759">
        <v>0</v>
      </c>
      <c r="L5759">
        <v>4895.28</v>
      </c>
    </row>
    <row r="5760" spans="1:12" x14ac:dyDescent="0.25">
      <c r="A5760" t="str">
        <f t="shared" si="1263"/>
        <v>89301000</v>
      </c>
      <c r="B5760" t="str">
        <f t="shared" si="1275"/>
        <v>78006000</v>
      </c>
      <c r="C5760" t="str">
        <f t="shared" si="1278"/>
        <v>78006207</v>
      </c>
      <c r="D5760" t="str">
        <f t="shared" si="1279"/>
        <v>813</v>
      </c>
      <c r="E5760" t="str">
        <f>"89301171"</f>
        <v>89301171</v>
      </c>
      <c r="F5760" t="str">
        <f>"6162220988"</f>
        <v>6162220988</v>
      </c>
      <c r="G5760" s="1">
        <v>44705</v>
      </c>
      <c r="H5760" t="str">
        <f>"91197"</f>
        <v>91197</v>
      </c>
      <c r="I5760">
        <v>6</v>
      </c>
      <c r="J5760">
        <v>6276</v>
      </c>
      <c r="K5760">
        <v>0</v>
      </c>
      <c r="L5760">
        <v>4895.28</v>
      </c>
    </row>
    <row r="5761" spans="1:12" x14ac:dyDescent="0.25">
      <c r="A5761" t="str">
        <f t="shared" si="1263"/>
        <v>89301000</v>
      </c>
      <c r="B5761" t="str">
        <f t="shared" si="1275"/>
        <v>78006000</v>
      </c>
      <c r="C5761" t="str">
        <f t="shared" si="1278"/>
        <v>78006207</v>
      </c>
      <c r="D5761" t="str">
        <f t="shared" si="1279"/>
        <v>813</v>
      </c>
      <c r="E5761" t="str">
        <f>"89301171"</f>
        <v>89301171</v>
      </c>
      <c r="F5761" t="str">
        <f>"5504167196"</f>
        <v>5504167196</v>
      </c>
      <c r="G5761" s="1">
        <v>44695</v>
      </c>
      <c r="H5761" t="str">
        <f>"91197"</f>
        <v>91197</v>
      </c>
      <c r="I5761">
        <v>6</v>
      </c>
      <c r="J5761">
        <v>6276</v>
      </c>
      <c r="K5761">
        <v>0</v>
      </c>
      <c r="L5761">
        <v>4895.28</v>
      </c>
    </row>
    <row r="5762" spans="1:12" x14ac:dyDescent="0.25">
      <c r="A5762" t="str">
        <f t="shared" ref="A5762:A5825" si="1280">"89301000"</f>
        <v>89301000</v>
      </c>
      <c r="B5762" t="str">
        <f t="shared" si="1275"/>
        <v>78006000</v>
      </c>
      <c r="C5762" t="str">
        <f t="shared" si="1278"/>
        <v>78006207</v>
      </c>
      <c r="D5762" t="str">
        <f t="shared" si="1279"/>
        <v>813</v>
      </c>
      <c r="E5762" t="str">
        <f>"89301171"</f>
        <v>89301171</v>
      </c>
      <c r="F5762" t="str">
        <f>"9252215709"</f>
        <v>9252215709</v>
      </c>
      <c r="G5762" s="1">
        <v>44712</v>
      </c>
      <c r="H5762" t="str">
        <f>"91197"</f>
        <v>91197</v>
      </c>
      <c r="I5762">
        <v>6</v>
      </c>
      <c r="J5762">
        <v>6276</v>
      </c>
      <c r="K5762">
        <v>0</v>
      </c>
      <c r="L5762">
        <v>4895.28</v>
      </c>
    </row>
    <row r="5763" spans="1:12" x14ac:dyDescent="0.25">
      <c r="A5763" t="str">
        <f t="shared" si="1280"/>
        <v>89301000</v>
      </c>
      <c r="B5763" t="str">
        <f t="shared" si="1275"/>
        <v>78006000</v>
      </c>
      <c r="C5763" t="str">
        <f t="shared" si="1278"/>
        <v>78006207</v>
      </c>
      <c r="D5763" t="str">
        <f t="shared" si="1279"/>
        <v>813</v>
      </c>
      <c r="E5763" t="str">
        <f>"89301167"</f>
        <v>89301167</v>
      </c>
      <c r="F5763" t="str">
        <f>"6555180412"</f>
        <v>6555180412</v>
      </c>
      <c r="G5763" s="1">
        <v>44693</v>
      </c>
      <c r="H5763" t="str">
        <f>"91197"</f>
        <v>91197</v>
      </c>
      <c r="I5763">
        <v>1</v>
      </c>
      <c r="J5763">
        <v>1046</v>
      </c>
      <c r="K5763">
        <v>0</v>
      </c>
      <c r="L5763">
        <v>815.88</v>
      </c>
    </row>
    <row r="5764" spans="1:12" x14ac:dyDescent="0.25">
      <c r="A5764" t="str">
        <f t="shared" si="1280"/>
        <v>89301000</v>
      </c>
      <c r="B5764" t="str">
        <f t="shared" si="1275"/>
        <v>78006000</v>
      </c>
      <c r="C5764" t="str">
        <f t="shared" si="1278"/>
        <v>78006207</v>
      </c>
      <c r="D5764" t="str">
        <f t="shared" si="1279"/>
        <v>813</v>
      </c>
      <c r="E5764" t="str">
        <f>"89301167"</f>
        <v>89301167</v>
      </c>
      <c r="F5764" t="str">
        <f>"6555180412"</f>
        <v>6555180412</v>
      </c>
      <c r="G5764" s="1">
        <v>44693</v>
      </c>
      <c r="H5764" t="str">
        <f>"91329"</f>
        <v>91329</v>
      </c>
      <c r="I5764">
        <v>2</v>
      </c>
      <c r="J5764">
        <v>428</v>
      </c>
      <c r="K5764">
        <v>0</v>
      </c>
      <c r="L5764">
        <v>333.84</v>
      </c>
    </row>
    <row r="5765" spans="1:12" x14ac:dyDescent="0.25">
      <c r="A5765" t="str">
        <f t="shared" si="1280"/>
        <v>89301000</v>
      </c>
      <c r="B5765" t="str">
        <f t="shared" si="1275"/>
        <v>78006000</v>
      </c>
      <c r="C5765" t="str">
        <f t="shared" si="1278"/>
        <v>78006207</v>
      </c>
      <c r="D5765" t="str">
        <f t="shared" si="1279"/>
        <v>813</v>
      </c>
      <c r="E5765" t="str">
        <f t="shared" ref="E5765:E5771" si="1281">"89301171"</f>
        <v>89301171</v>
      </c>
      <c r="F5765" t="str">
        <f>"8352175337"</f>
        <v>8352175337</v>
      </c>
      <c r="G5765" s="1">
        <v>44705</v>
      </c>
      <c r="H5765" t="str">
        <f t="shared" ref="H5765:H5771" si="1282">"91197"</f>
        <v>91197</v>
      </c>
      <c r="I5765">
        <v>6</v>
      </c>
      <c r="J5765">
        <v>6276</v>
      </c>
      <c r="K5765">
        <v>0</v>
      </c>
      <c r="L5765">
        <v>4895.28</v>
      </c>
    </row>
    <row r="5766" spans="1:12" x14ac:dyDescent="0.25">
      <c r="A5766" t="str">
        <f t="shared" si="1280"/>
        <v>89301000</v>
      </c>
      <c r="B5766" t="str">
        <f t="shared" si="1275"/>
        <v>78006000</v>
      </c>
      <c r="C5766" t="str">
        <f t="shared" si="1278"/>
        <v>78006207</v>
      </c>
      <c r="D5766" t="str">
        <f t="shared" si="1279"/>
        <v>813</v>
      </c>
      <c r="E5766" t="str">
        <f t="shared" si="1281"/>
        <v>89301171</v>
      </c>
      <c r="F5766" t="str">
        <f>"6155040518"</f>
        <v>6155040518</v>
      </c>
      <c r="G5766" s="1">
        <v>44705</v>
      </c>
      <c r="H5766" t="str">
        <f t="shared" si="1282"/>
        <v>91197</v>
      </c>
      <c r="I5766">
        <v>6</v>
      </c>
      <c r="J5766">
        <v>6276</v>
      </c>
      <c r="K5766">
        <v>0</v>
      </c>
      <c r="L5766">
        <v>4895.28</v>
      </c>
    </row>
    <row r="5767" spans="1:12" x14ac:dyDescent="0.25">
      <c r="A5767" t="str">
        <f t="shared" si="1280"/>
        <v>89301000</v>
      </c>
      <c r="B5767" t="str">
        <f t="shared" si="1275"/>
        <v>78006000</v>
      </c>
      <c r="C5767" t="str">
        <f t="shared" si="1278"/>
        <v>78006207</v>
      </c>
      <c r="D5767" t="str">
        <f t="shared" si="1279"/>
        <v>813</v>
      </c>
      <c r="E5767" t="str">
        <f t="shared" si="1281"/>
        <v>89301171</v>
      </c>
      <c r="F5767" t="str">
        <f>"9104034852"</f>
        <v>9104034852</v>
      </c>
      <c r="G5767" s="1">
        <v>44705</v>
      </c>
      <c r="H5767" t="str">
        <f t="shared" si="1282"/>
        <v>91197</v>
      </c>
      <c r="I5767">
        <v>6</v>
      </c>
      <c r="J5767">
        <v>6276</v>
      </c>
      <c r="K5767">
        <v>0</v>
      </c>
      <c r="L5767">
        <v>4895.28</v>
      </c>
    </row>
    <row r="5768" spans="1:12" x14ac:dyDescent="0.25">
      <c r="A5768" t="str">
        <f t="shared" si="1280"/>
        <v>89301000</v>
      </c>
      <c r="B5768" t="str">
        <f t="shared" si="1275"/>
        <v>78006000</v>
      </c>
      <c r="C5768" t="str">
        <f t="shared" si="1278"/>
        <v>78006207</v>
      </c>
      <c r="D5768" t="str">
        <f t="shared" si="1279"/>
        <v>813</v>
      </c>
      <c r="E5768" t="str">
        <f t="shared" si="1281"/>
        <v>89301171</v>
      </c>
      <c r="F5768" t="str">
        <f>"8405294491"</f>
        <v>8405294491</v>
      </c>
      <c r="G5768" s="1">
        <v>44695</v>
      </c>
      <c r="H5768" t="str">
        <f t="shared" si="1282"/>
        <v>91197</v>
      </c>
      <c r="I5768">
        <v>6</v>
      </c>
      <c r="J5768">
        <v>6276</v>
      </c>
      <c r="K5768">
        <v>0</v>
      </c>
      <c r="L5768">
        <v>4895.28</v>
      </c>
    </row>
    <row r="5769" spans="1:12" x14ac:dyDescent="0.25">
      <c r="A5769" t="str">
        <f t="shared" si="1280"/>
        <v>89301000</v>
      </c>
      <c r="B5769" t="str">
        <f t="shared" si="1275"/>
        <v>78006000</v>
      </c>
      <c r="C5769" t="str">
        <f t="shared" si="1278"/>
        <v>78006207</v>
      </c>
      <c r="D5769" t="str">
        <f t="shared" si="1279"/>
        <v>813</v>
      </c>
      <c r="E5769" t="str">
        <f t="shared" si="1281"/>
        <v>89301171</v>
      </c>
      <c r="F5769" t="str">
        <f>"8607035811"</f>
        <v>8607035811</v>
      </c>
      <c r="G5769" s="1">
        <v>44695</v>
      </c>
      <c r="H5769" t="str">
        <f t="shared" si="1282"/>
        <v>91197</v>
      </c>
      <c r="I5769">
        <v>6</v>
      </c>
      <c r="J5769">
        <v>6276</v>
      </c>
      <c r="K5769">
        <v>0</v>
      </c>
      <c r="L5769">
        <v>4895.28</v>
      </c>
    </row>
    <row r="5770" spans="1:12" x14ac:dyDescent="0.25">
      <c r="A5770" t="str">
        <f t="shared" si="1280"/>
        <v>89301000</v>
      </c>
      <c r="B5770" t="str">
        <f t="shared" si="1275"/>
        <v>78006000</v>
      </c>
      <c r="C5770" t="str">
        <f t="shared" si="1278"/>
        <v>78006207</v>
      </c>
      <c r="D5770" t="str">
        <f t="shared" si="1279"/>
        <v>813</v>
      </c>
      <c r="E5770" t="str">
        <f t="shared" si="1281"/>
        <v>89301171</v>
      </c>
      <c r="F5770" t="str">
        <f>"9804245704"</f>
        <v>9804245704</v>
      </c>
      <c r="G5770" s="1">
        <v>44705</v>
      </c>
      <c r="H5770" t="str">
        <f t="shared" si="1282"/>
        <v>91197</v>
      </c>
      <c r="I5770">
        <v>6</v>
      </c>
      <c r="J5770">
        <v>6276</v>
      </c>
      <c r="K5770">
        <v>0</v>
      </c>
      <c r="L5770">
        <v>4895.28</v>
      </c>
    </row>
    <row r="5771" spans="1:12" x14ac:dyDescent="0.25">
      <c r="A5771" t="str">
        <f t="shared" si="1280"/>
        <v>89301000</v>
      </c>
      <c r="B5771" t="str">
        <f t="shared" si="1275"/>
        <v>78006000</v>
      </c>
      <c r="C5771" t="str">
        <f t="shared" si="1278"/>
        <v>78006207</v>
      </c>
      <c r="D5771" t="str">
        <f t="shared" si="1279"/>
        <v>813</v>
      </c>
      <c r="E5771" t="str">
        <f t="shared" si="1281"/>
        <v>89301171</v>
      </c>
      <c r="F5771" t="str">
        <f>"8808184726"</f>
        <v>8808184726</v>
      </c>
      <c r="G5771" s="1">
        <v>44705</v>
      </c>
      <c r="H5771" t="str">
        <f t="shared" si="1282"/>
        <v>91197</v>
      </c>
      <c r="I5771">
        <v>6</v>
      </c>
      <c r="J5771">
        <v>6276</v>
      </c>
      <c r="K5771">
        <v>0</v>
      </c>
      <c r="L5771">
        <v>4895.28</v>
      </c>
    </row>
    <row r="5772" spans="1:12" x14ac:dyDescent="0.25">
      <c r="A5772" t="str">
        <f t="shared" si="1280"/>
        <v>89301000</v>
      </c>
      <c r="B5772" t="str">
        <f t="shared" si="1275"/>
        <v>78006000</v>
      </c>
      <c r="C5772" t="str">
        <f t="shared" si="1278"/>
        <v>78006207</v>
      </c>
      <c r="D5772" t="str">
        <f t="shared" si="1279"/>
        <v>813</v>
      </c>
      <c r="E5772" t="str">
        <f>"89301167"</f>
        <v>89301167</v>
      </c>
      <c r="F5772" t="str">
        <f>"6459211253"</f>
        <v>6459211253</v>
      </c>
      <c r="G5772" s="1">
        <v>44711</v>
      </c>
      <c r="H5772" t="str">
        <f>"91153"</f>
        <v>91153</v>
      </c>
      <c r="I5772">
        <v>1</v>
      </c>
      <c r="J5772">
        <v>152</v>
      </c>
      <c r="K5772">
        <v>0</v>
      </c>
      <c r="L5772">
        <v>118.56</v>
      </c>
    </row>
    <row r="5773" spans="1:12" x14ac:dyDescent="0.25">
      <c r="A5773" t="str">
        <f t="shared" si="1280"/>
        <v>89301000</v>
      </c>
      <c r="B5773" t="str">
        <f t="shared" si="1275"/>
        <v>78006000</v>
      </c>
      <c r="C5773" t="str">
        <f t="shared" si="1278"/>
        <v>78006207</v>
      </c>
      <c r="D5773" t="str">
        <f t="shared" si="1279"/>
        <v>813</v>
      </c>
      <c r="E5773" t="str">
        <f>"89301167"</f>
        <v>89301167</v>
      </c>
      <c r="F5773" t="str">
        <f>"6459211253"</f>
        <v>6459211253</v>
      </c>
      <c r="G5773" s="1">
        <v>44683</v>
      </c>
      <c r="H5773" t="str">
        <f>"91153"</f>
        <v>91153</v>
      </c>
      <c r="I5773">
        <v>1</v>
      </c>
      <c r="J5773">
        <v>152</v>
      </c>
      <c r="K5773">
        <v>0</v>
      </c>
      <c r="L5773">
        <v>118.56</v>
      </c>
    </row>
    <row r="5774" spans="1:12" x14ac:dyDescent="0.25">
      <c r="A5774" t="str">
        <f t="shared" si="1280"/>
        <v>89301000</v>
      </c>
      <c r="B5774" t="str">
        <f t="shared" si="1275"/>
        <v>78006000</v>
      </c>
      <c r="C5774" t="str">
        <f t="shared" si="1278"/>
        <v>78006207</v>
      </c>
      <c r="D5774" t="str">
        <f t="shared" si="1279"/>
        <v>813</v>
      </c>
      <c r="E5774" t="str">
        <f>"89301167"</f>
        <v>89301167</v>
      </c>
      <c r="F5774" t="str">
        <f>"6459211253"</f>
        <v>6459211253</v>
      </c>
      <c r="G5774" s="1">
        <v>44697</v>
      </c>
      <c r="H5774" t="str">
        <f>"91153"</f>
        <v>91153</v>
      </c>
      <c r="I5774">
        <v>1</v>
      </c>
      <c r="J5774">
        <v>152</v>
      </c>
      <c r="K5774">
        <v>0</v>
      </c>
      <c r="L5774">
        <v>118.56</v>
      </c>
    </row>
    <row r="5775" spans="1:12" x14ac:dyDescent="0.25">
      <c r="A5775" t="str">
        <f t="shared" si="1280"/>
        <v>89301000</v>
      </c>
      <c r="B5775" t="str">
        <f t="shared" si="1275"/>
        <v>78006000</v>
      </c>
      <c r="C5775" t="str">
        <f t="shared" ref="C5775:C5787" si="1283">"78006201"</f>
        <v>78006201</v>
      </c>
      <c r="D5775" t="str">
        <f t="shared" ref="D5775:D5787" si="1284">"801"</f>
        <v>801</v>
      </c>
      <c r="E5775" t="str">
        <f t="shared" ref="E5775:E5782" si="1285">"89301171"</f>
        <v>89301171</v>
      </c>
      <c r="F5775" t="str">
        <f>"7853145311"</f>
        <v>7853145311</v>
      </c>
      <c r="G5775" s="1">
        <v>44697</v>
      </c>
      <c r="H5775" t="str">
        <f t="shared" ref="H5775:H5782" si="1286">"81703"</f>
        <v>81703</v>
      </c>
      <c r="I5775">
        <v>2</v>
      </c>
      <c r="J5775">
        <v>556</v>
      </c>
      <c r="K5775">
        <v>0</v>
      </c>
      <c r="L5775">
        <v>433.68</v>
      </c>
    </row>
    <row r="5776" spans="1:12" x14ac:dyDescent="0.25">
      <c r="A5776" t="str">
        <f t="shared" si="1280"/>
        <v>89301000</v>
      </c>
      <c r="B5776" t="str">
        <f t="shared" si="1275"/>
        <v>78006000</v>
      </c>
      <c r="C5776" t="str">
        <f t="shared" si="1283"/>
        <v>78006201</v>
      </c>
      <c r="D5776" t="str">
        <f t="shared" si="1284"/>
        <v>801</v>
      </c>
      <c r="E5776" t="str">
        <f t="shared" si="1285"/>
        <v>89301171</v>
      </c>
      <c r="F5776" t="str">
        <f>"7959265303"</f>
        <v>7959265303</v>
      </c>
      <c r="G5776" s="1">
        <v>44711</v>
      </c>
      <c r="H5776" t="str">
        <f t="shared" si="1286"/>
        <v>81703</v>
      </c>
      <c r="I5776">
        <v>2</v>
      </c>
      <c r="J5776">
        <v>556</v>
      </c>
      <c r="K5776">
        <v>0</v>
      </c>
      <c r="L5776">
        <v>433.68</v>
      </c>
    </row>
    <row r="5777" spans="1:12" x14ac:dyDescent="0.25">
      <c r="A5777" t="str">
        <f t="shared" si="1280"/>
        <v>89301000</v>
      </c>
      <c r="B5777" t="str">
        <f t="shared" si="1275"/>
        <v>78006000</v>
      </c>
      <c r="C5777" t="str">
        <f t="shared" si="1283"/>
        <v>78006201</v>
      </c>
      <c r="D5777" t="str">
        <f t="shared" si="1284"/>
        <v>801</v>
      </c>
      <c r="E5777" t="str">
        <f t="shared" si="1285"/>
        <v>89301171</v>
      </c>
      <c r="F5777" t="str">
        <f>"6162220988"</f>
        <v>6162220988</v>
      </c>
      <c r="G5777" s="1">
        <v>44690</v>
      </c>
      <c r="H5777" t="str">
        <f t="shared" si="1286"/>
        <v>81703</v>
      </c>
      <c r="I5777">
        <v>2</v>
      </c>
      <c r="J5777">
        <v>556</v>
      </c>
      <c r="K5777">
        <v>0</v>
      </c>
      <c r="L5777">
        <v>433.68</v>
      </c>
    </row>
    <row r="5778" spans="1:12" x14ac:dyDescent="0.25">
      <c r="A5778" t="str">
        <f t="shared" si="1280"/>
        <v>89301000</v>
      </c>
      <c r="B5778" t="str">
        <f t="shared" si="1275"/>
        <v>78006000</v>
      </c>
      <c r="C5778" t="str">
        <f t="shared" si="1283"/>
        <v>78006201</v>
      </c>
      <c r="D5778" t="str">
        <f t="shared" si="1284"/>
        <v>801</v>
      </c>
      <c r="E5778" t="str">
        <f t="shared" si="1285"/>
        <v>89301171</v>
      </c>
      <c r="F5778" t="str">
        <f>"5561301416"</f>
        <v>5561301416</v>
      </c>
      <c r="G5778" s="1">
        <v>44711</v>
      </c>
      <c r="H5778" t="str">
        <f t="shared" si="1286"/>
        <v>81703</v>
      </c>
      <c r="I5778">
        <v>2</v>
      </c>
      <c r="J5778">
        <v>556</v>
      </c>
      <c r="K5778">
        <v>0</v>
      </c>
      <c r="L5778">
        <v>433.68</v>
      </c>
    </row>
    <row r="5779" spans="1:12" x14ac:dyDescent="0.25">
      <c r="A5779" t="str">
        <f t="shared" si="1280"/>
        <v>89301000</v>
      </c>
      <c r="B5779" t="str">
        <f t="shared" ref="B5779:B5787" si="1287">"78006000"</f>
        <v>78006000</v>
      </c>
      <c r="C5779" t="str">
        <f t="shared" si="1283"/>
        <v>78006201</v>
      </c>
      <c r="D5779" t="str">
        <f t="shared" si="1284"/>
        <v>801</v>
      </c>
      <c r="E5779" t="str">
        <f t="shared" si="1285"/>
        <v>89301171</v>
      </c>
      <c r="F5779" t="str">
        <f>"6155040518"</f>
        <v>6155040518</v>
      </c>
      <c r="G5779" s="1">
        <v>44690</v>
      </c>
      <c r="H5779" t="str">
        <f t="shared" si="1286"/>
        <v>81703</v>
      </c>
      <c r="I5779">
        <v>2</v>
      </c>
      <c r="J5779">
        <v>556</v>
      </c>
      <c r="K5779">
        <v>0</v>
      </c>
      <c r="L5779">
        <v>433.68</v>
      </c>
    </row>
    <row r="5780" spans="1:12" x14ac:dyDescent="0.25">
      <c r="A5780" t="str">
        <f t="shared" si="1280"/>
        <v>89301000</v>
      </c>
      <c r="B5780" t="str">
        <f t="shared" si="1287"/>
        <v>78006000</v>
      </c>
      <c r="C5780" t="str">
        <f t="shared" si="1283"/>
        <v>78006201</v>
      </c>
      <c r="D5780" t="str">
        <f t="shared" si="1284"/>
        <v>801</v>
      </c>
      <c r="E5780" t="str">
        <f t="shared" si="1285"/>
        <v>89301171</v>
      </c>
      <c r="F5780" t="str">
        <f>"9104034852"</f>
        <v>9104034852</v>
      </c>
      <c r="G5780" s="1">
        <v>44690</v>
      </c>
      <c r="H5780" t="str">
        <f t="shared" si="1286"/>
        <v>81703</v>
      </c>
      <c r="I5780">
        <v>2</v>
      </c>
      <c r="J5780">
        <v>556</v>
      </c>
      <c r="K5780">
        <v>0</v>
      </c>
      <c r="L5780">
        <v>433.68</v>
      </c>
    </row>
    <row r="5781" spans="1:12" x14ac:dyDescent="0.25">
      <c r="A5781" t="str">
        <f t="shared" si="1280"/>
        <v>89301000</v>
      </c>
      <c r="B5781" t="str">
        <f t="shared" si="1287"/>
        <v>78006000</v>
      </c>
      <c r="C5781" t="str">
        <f t="shared" si="1283"/>
        <v>78006201</v>
      </c>
      <c r="D5781" t="str">
        <f t="shared" si="1284"/>
        <v>801</v>
      </c>
      <c r="E5781" t="str">
        <f t="shared" si="1285"/>
        <v>89301171</v>
      </c>
      <c r="F5781" t="str">
        <f>"0008205747"</f>
        <v>0008205747</v>
      </c>
      <c r="G5781" s="1">
        <v>44707</v>
      </c>
      <c r="H5781" t="str">
        <f t="shared" si="1286"/>
        <v>81703</v>
      </c>
      <c r="I5781">
        <v>2</v>
      </c>
      <c r="J5781">
        <v>556</v>
      </c>
      <c r="K5781">
        <v>0</v>
      </c>
      <c r="L5781">
        <v>433.68</v>
      </c>
    </row>
    <row r="5782" spans="1:12" x14ac:dyDescent="0.25">
      <c r="A5782" t="str">
        <f t="shared" si="1280"/>
        <v>89301000</v>
      </c>
      <c r="B5782" t="str">
        <f t="shared" si="1287"/>
        <v>78006000</v>
      </c>
      <c r="C5782" t="str">
        <f t="shared" si="1283"/>
        <v>78006201</v>
      </c>
      <c r="D5782" t="str">
        <f t="shared" si="1284"/>
        <v>801</v>
      </c>
      <c r="E5782" t="str">
        <f t="shared" si="1285"/>
        <v>89301171</v>
      </c>
      <c r="F5782" t="str">
        <f>"9804245704"</f>
        <v>9804245704</v>
      </c>
      <c r="G5782" s="1">
        <v>44690</v>
      </c>
      <c r="H5782" t="str">
        <f t="shared" si="1286"/>
        <v>81703</v>
      </c>
      <c r="I5782">
        <v>2</v>
      </c>
      <c r="J5782">
        <v>556</v>
      </c>
      <c r="K5782">
        <v>0</v>
      </c>
      <c r="L5782">
        <v>433.68</v>
      </c>
    </row>
    <row r="5783" spans="1:12" x14ac:dyDescent="0.25">
      <c r="A5783" t="str">
        <f t="shared" si="1280"/>
        <v>89301000</v>
      </c>
      <c r="B5783" t="str">
        <f t="shared" si="1287"/>
        <v>78006000</v>
      </c>
      <c r="C5783" t="str">
        <f t="shared" si="1283"/>
        <v>78006201</v>
      </c>
      <c r="D5783" t="str">
        <f t="shared" si="1284"/>
        <v>801</v>
      </c>
      <c r="E5783" t="str">
        <f>"89301202"</f>
        <v>89301202</v>
      </c>
      <c r="F5783" t="str">
        <f>"6753280787"</f>
        <v>6753280787</v>
      </c>
      <c r="G5783" s="1">
        <v>44690</v>
      </c>
      <c r="H5783" t="str">
        <f>"92169"</f>
        <v>92169</v>
      </c>
      <c r="I5783">
        <v>1</v>
      </c>
      <c r="J5783">
        <v>944</v>
      </c>
      <c r="K5783">
        <v>0</v>
      </c>
      <c r="L5783">
        <v>736.32</v>
      </c>
    </row>
    <row r="5784" spans="1:12" x14ac:dyDescent="0.25">
      <c r="A5784" t="str">
        <f t="shared" si="1280"/>
        <v>89301000</v>
      </c>
      <c r="B5784" t="str">
        <f t="shared" si="1287"/>
        <v>78006000</v>
      </c>
      <c r="C5784" t="str">
        <f t="shared" si="1283"/>
        <v>78006201</v>
      </c>
      <c r="D5784" t="str">
        <f t="shared" si="1284"/>
        <v>801</v>
      </c>
      <c r="E5784" t="str">
        <f>"89301202"</f>
        <v>89301202</v>
      </c>
      <c r="F5784" t="str">
        <f>"6753280787"</f>
        <v>6753280787</v>
      </c>
      <c r="G5784" s="1">
        <v>44690</v>
      </c>
      <c r="H5784" t="str">
        <f>"97111"</f>
        <v>97111</v>
      </c>
      <c r="I5784">
        <v>1</v>
      </c>
      <c r="J5784">
        <v>18</v>
      </c>
      <c r="K5784">
        <v>0</v>
      </c>
      <c r="L5784">
        <v>14.04</v>
      </c>
    </row>
    <row r="5785" spans="1:12" x14ac:dyDescent="0.25">
      <c r="A5785" t="str">
        <f t="shared" si="1280"/>
        <v>89301000</v>
      </c>
      <c r="B5785" t="str">
        <f t="shared" si="1287"/>
        <v>78006000</v>
      </c>
      <c r="C5785" t="str">
        <f t="shared" si="1283"/>
        <v>78006201</v>
      </c>
      <c r="D5785" t="str">
        <f t="shared" si="1284"/>
        <v>801</v>
      </c>
      <c r="E5785" t="str">
        <f>"89301202"</f>
        <v>89301202</v>
      </c>
      <c r="F5785" t="str">
        <f>"8253094476"</f>
        <v>8253094476</v>
      </c>
      <c r="G5785" s="1">
        <v>44697</v>
      </c>
      <c r="H5785" t="str">
        <f>"92169"</f>
        <v>92169</v>
      </c>
      <c r="I5785">
        <v>1</v>
      </c>
      <c r="J5785">
        <v>944</v>
      </c>
      <c r="K5785">
        <v>0</v>
      </c>
      <c r="L5785">
        <v>736.32</v>
      </c>
    </row>
    <row r="5786" spans="1:12" x14ac:dyDescent="0.25">
      <c r="A5786" t="str">
        <f t="shared" si="1280"/>
        <v>89301000</v>
      </c>
      <c r="B5786" t="str">
        <f t="shared" si="1287"/>
        <v>78006000</v>
      </c>
      <c r="C5786" t="str">
        <f t="shared" si="1283"/>
        <v>78006201</v>
      </c>
      <c r="D5786" t="str">
        <f t="shared" si="1284"/>
        <v>801</v>
      </c>
      <c r="E5786" t="str">
        <f>"89301202"</f>
        <v>89301202</v>
      </c>
      <c r="F5786" t="str">
        <f>"8253094476"</f>
        <v>8253094476</v>
      </c>
      <c r="G5786" s="1">
        <v>44697</v>
      </c>
      <c r="H5786" t="str">
        <f>"97111"</f>
        <v>97111</v>
      </c>
      <c r="I5786">
        <v>1</v>
      </c>
      <c r="J5786">
        <v>18</v>
      </c>
      <c r="K5786">
        <v>0</v>
      </c>
      <c r="L5786">
        <v>14.04</v>
      </c>
    </row>
    <row r="5787" spans="1:12" x14ac:dyDescent="0.25">
      <c r="A5787" t="str">
        <f t="shared" si="1280"/>
        <v>89301000</v>
      </c>
      <c r="B5787" t="str">
        <f t="shared" si="1287"/>
        <v>78006000</v>
      </c>
      <c r="C5787" t="str">
        <f t="shared" si="1283"/>
        <v>78006201</v>
      </c>
      <c r="D5787" t="str">
        <f t="shared" si="1284"/>
        <v>801</v>
      </c>
      <c r="E5787" t="str">
        <f>"89301167"</f>
        <v>89301167</v>
      </c>
      <c r="F5787" t="str">
        <f>"6459211253"</f>
        <v>6459211253</v>
      </c>
      <c r="G5787" s="1">
        <v>44697</v>
      </c>
      <c r="H5787" t="str">
        <f>"81249"</f>
        <v>81249</v>
      </c>
      <c r="I5787">
        <v>1</v>
      </c>
      <c r="J5787">
        <v>333</v>
      </c>
      <c r="K5787">
        <v>0</v>
      </c>
      <c r="L5787">
        <v>259.74</v>
      </c>
    </row>
    <row r="5788" spans="1:12" x14ac:dyDescent="0.25">
      <c r="A5788" t="str">
        <f t="shared" si="1280"/>
        <v>89301000</v>
      </c>
      <c r="B5788" t="str">
        <f>"89903000"</f>
        <v>89903000</v>
      </c>
      <c r="C5788" t="str">
        <f>"89903504"</f>
        <v>89903504</v>
      </c>
      <c r="D5788" t="str">
        <f>"810"</f>
        <v>810</v>
      </c>
      <c r="E5788" t="str">
        <f>"89301132"</f>
        <v>89301132</v>
      </c>
      <c r="F5788" t="str">
        <f>"8251254671"</f>
        <v>8251254671</v>
      </c>
      <c r="G5788" s="1">
        <v>44686</v>
      </c>
      <c r="H5788" t="str">
        <f>"89715"</f>
        <v>89715</v>
      </c>
      <c r="I5788">
        <v>1</v>
      </c>
      <c r="J5788">
        <v>5474</v>
      </c>
      <c r="K5788">
        <v>0</v>
      </c>
      <c r="L5788">
        <v>3284.4</v>
      </c>
    </row>
    <row r="5789" spans="1:12" x14ac:dyDescent="0.25">
      <c r="A5789" t="str">
        <f t="shared" si="1280"/>
        <v>89301000</v>
      </c>
      <c r="B5789" t="str">
        <f>"89903000"</f>
        <v>89903000</v>
      </c>
      <c r="C5789" t="str">
        <f>"89903504"</f>
        <v>89903504</v>
      </c>
      <c r="D5789" t="str">
        <f>"810"</f>
        <v>810</v>
      </c>
      <c r="E5789" t="str">
        <f>"89301132"</f>
        <v>89301132</v>
      </c>
      <c r="F5789" t="str">
        <f>"8251254671"</f>
        <v>8251254671</v>
      </c>
      <c r="G5789" s="1">
        <v>44686</v>
      </c>
      <c r="H5789" t="str">
        <f>"89725"</f>
        <v>89725</v>
      </c>
      <c r="I5789">
        <v>1</v>
      </c>
      <c r="J5789">
        <v>2839</v>
      </c>
      <c r="K5789">
        <v>0</v>
      </c>
      <c r="L5789">
        <v>1703.4</v>
      </c>
    </row>
    <row r="5790" spans="1:12" x14ac:dyDescent="0.25">
      <c r="A5790" t="str">
        <f t="shared" si="1280"/>
        <v>89301000</v>
      </c>
      <c r="B5790" t="str">
        <f>"89903000"</f>
        <v>89903000</v>
      </c>
      <c r="C5790" t="str">
        <f>"89903504"</f>
        <v>89903504</v>
      </c>
      <c r="D5790" t="str">
        <f>"810"</f>
        <v>810</v>
      </c>
      <c r="E5790" t="str">
        <f>"89301132"</f>
        <v>89301132</v>
      </c>
      <c r="F5790" t="str">
        <f>"8251254671"</f>
        <v>8251254671</v>
      </c>
      <c r="G5790" s="1">
        <v>44686</v>
      </c>
      <c r="H5790" t="str">
        <f>"0054255"</f>
        <v>0054255</v>
      </c>
      <c r="I5790">
        <v>1</v>
      </c>
      <c r="K5790">
        <v>1686.92</v>
      </c>
      <c r="L5790">
        <v>1686.92</v>
      </c>
    </row>
    <row r="5791" spans="1:12" x14ac:dyDescent="0.25">
      <c r="A5791" t="str">
        <f t="shared" si="1280"/>
        <v>89301000</v>
      </c>
      <c r="B5791" t="str">
        <f>"78934000"</f>
        <v>78934000</v>
      </c>
      <c r="C5791" t="str">
        <f>"78934001"</f>
        <v>78934001</v>
      </c>
      <c r="D5791" t="str">
        <f t="shared" ref="D5791:D5796" si="1288">"809"</f>
        <v>809</v>
      </c>
      <c r="E5791" t="str">
        <f>"89301336"</f>
        <v>89301336</v>
      </c>
      <c r="F5791" t="str">
        <f>"7453114471"</f>
        <v>7453114471</v>
      </c>
      <c r="G5791" s="1">
        <v>44687</v>
      </c>
      <c r="H5791" t="str">
        <f>"89513"</f>
        <v>89513</v>
      </c>
      <c r="I5791">
        <v>1</v>
      </c>
      <c r="J5791">
        <v>371</v>
      </c>
      <c r="K5791">
        <v>0</v>
      </c>
      <c r="L5791">
        <v>519.4</v>
      </c>
    </row>
    <row r="5792" spans="1:12" x14ac:dyDescent="0.25">
      <c r="A5792" t="str">
        <f t="shared" si="1280"/>
        <v>89301000</v>
      </c>
      <c r="B5792" t="str">
        <f>"78934000"</f>
        <v>78934000</v>
      </c>
      <c r="C5792" t="str">
        <f>"78934001"</f>
        <v>78934001</v>
      </c>
      <c r="D5792" t="str">
        <f t="shared" si="1288"/>
        <v>809</v>
      </c>
      <c r="E5792" t="str">
        <f>"89301336"</f>
        <v>89301336</v>
      </c>
      <c r="F5792" t="str">
        <f>"7453114471"</f>
        <v>7453114471</v>
      </c>
      <c r="G5792" s="1">
        <v>44687</v>
      </c>
      <c r="H5792" t="str">
        <f>"89514"</f>
        <v>89514</v>
      </c>
      <c r="I5792">
        <v>1</v>
      </c>
      <c r="J5792">
        <v>371</v>
      </c>
      <c r="K5792">
        <v>0</v>
      </c>
      <c r="L5792">
        <v>519.4</v>
      </c>
    </row>
    <row r="5793" spans="1:12" x14ac:dyDescent="0.25">
      <c r="A5793" t="str">
        <f t="shared" si="1280"/>
        <v>89301000</v>
      </c>
      <c r="B5793" t="str">
        <f>"78934000"</f>
        <v>78934000</v>
      </c>
      <c r="C5793" t="str">
        <f>"78934001"</f>
        <v>78934001</v>
      </c>
      <c r="D5793" t="str">
        <f t="shared" si="1288"/>
        <v>809</v>
      </c>
      <c r="E5793" t="str">
        <f>"89301212"</f>
        <v>89301212</v>
      </c>
      <c r="F5793" t="str">
        <f>"7561145350"</f>
        <v>7561145350</v>
      </c>
      <c r="G5793" s="1">
        <v>44704</v>
      </c>
      <c r="H5793" t="str">
        <f>"89513"</f>
        <v>89513</v>
      </c>
      <c r="I5793">
        <v>1</v>
      </c>
      <c r="J5793">
        <v>371</v>
      </c>
      <c r="K5793">
        <v>0</v>
      </c>
      <c r="L5793">
        <v>519.4</v>
      </c>
    </row>
    <row r="5794" spans="1:12" x14ac:dyDescent="0.25">
      <c r="A5794" t="str">
        <f t="shared" si="1280"/>
        <v>89301000</v>
      </c>
      <c r="B5794" t="str">
        <f>"78934000"</f>
        <v>78934000</v>
      </c>
      <c r="C5794" t="str">
        <f>"78934001"</f>
        <v>78934001</v>
      </c>
      <c r="D5794" t="str">
        <f t="shared" si="1288"/>
        <v>809</v>
      </c>
      <c r="E5794" t="str">
        <f>"89301212"</f>
        <v>89301212</v>
      </c>
      <c r="F5794" t="str">
        <f>"7561145350"</f>
        <v>7561145350</v>
      </c>
      <c r="G5794" s="1">
        <v>44704</v>
      </c>
      <c r="H5794" t="str">
        <f>"89514"</f>
        <v>89514</v>
      </c>
      <c r="I5794">
        <v>1</v>
      </c>
      <c r="J5794">
        <v>371</v>
      </c>
      <c r="K5794">
        <v>0</v>
      </c>
      <c r="L5794">
        <v>519.4</v>
      </c>
    </row>
    <row r="5795" spans="1:12" x14ac:dyDescent="0.25">
      <c r="A5795" t="str">
        <f t="shared" si="1280"/>
        <v>89301000</v>
      </c>
      <c r="B5795" t="str">
        <f>"94101000"</f>
        <v>94101000</v>
      </c>
      <c r="C5795" t="str">
        <f>"94101857"</f>
        <v>94101857</v>
      </c>
      <c r="D5795" t="str">
        <f t="shared" si="1288"/>
        <v>809</v>
      </c>
      <c r="E5795" t="str">
        <f>"89301322"</f>
        <v>89301322</v>
      </c>
      <c r="F5795" t="str">
        <f>"5904061504"</f>
        <v>5904061504</v>
      </c>
      <c r="G5795" s="1">
        <v>44684</v>
      </c>
      <c r="H5795" t="str">
        <f>"09137"</f>
        <v>09137</v>
      </c>
      <c r="I5795">
        <v>1</v>
      </c>
      <c r="J5795">
        <v>231</v>
      </c>
      <c r="K5795">
        <v>0</v>
      </c>
      <c r="L5795">
        <v>323.39999999999998</v>
      </c>
    </row>
    <row r="5796" spans="1:12" x14ac:dyDescent="0.25">
      <c r="A5796" t="str">
        <f t="shared" si="1280"/>
        <v>89301000</v>
      </c>
      <c r="B5796" t="str">
        <f>"75002000"</f>
        <v>75002000</v>
      </c>
      <c r="C5796" t="str">
        <f>"75002418"</f>
        <v>75002418</v>
      </c>
      <c r="D5796" t="str">
        <f t="shared" si="1288"/>
        <v>809</v>
      </c>
      <c r="E5796" t="str">
        <f>"89301062"</f>
        <v>89301062</v>
      </c>
      <c r="F5796" t="str">
        <f>"6558181751"</f>
        <v>6558181751</v>
      </c>
      <c r="G5796" s="1">
        <v>44699</v>
      </c>
      <c r="H5796" t="str">
        <f>"89615"</f>
        <v>89615</v>
      </c>
      <c r="I5796">
        <v>1</v>
      </c>
      <c r="J5796">
        <v>2170</v>
      </c>
      <c r="K5796">
        <v>0</v>
      </c>
      <c r="L5796">
        <v>1302</v>
      </c>
    </row>
    <row r="5797" spans="1:12" x14ac:dyDescent="0.25">
      <c r="A5797" t="str">
        <f t="shared" si="1280"/>
        <v>89301000</v>
      </c>
      <c r="B5797" t="str">
        <f>"75002000"</f>
        <v>75002000</v>
      </c>
      <c r="C5797" t="str">
        <f>"75002526"</f>
        <v>75002526</v>
      </c>
      <c r="D5797" t="str">
        <f>"801"</f>
        <v>801</v>
      </c>
      <c r="E5797" t="str">
        <f>"89301167"</f>
        <v>89301167</v>
      </c>
      <c r="F5797" t="str">
        <f>"5957040397"</f>
        <v>5957040397</v>
      </c>
      <c r="G5797" s="1">
        <v>44699</v>
      </c>
      <c r="H5797" t="str">
        <f>"93221"</f>
        <v>93221</v>
      </c>
      <c r="I5797">
        <v>1</v>
      </c>
      <c r="J5797">
        <v>188</v>
      </c>
      <c r="K5797">
        <v>0</v>
      </c>
      <c r="L5797">
        <v>146.63999999999999</v>
      </c>
    </row>
    <row r="5798" spans="1:12" x14ac:dyDescent="0.25">
      <c r="A5798" t="str">
        <f t="shared" si="1280"/>
        <v>89301000</v>
      </c>
      <c r="B5798" t="str">
        <f>"75002000"</f>
        <v>75002000</v>
      </c>
      <c r="C5798" t="str">
        <f>"75002526"</f>
        <v>75002526</v>
      </c>
      <c r="D5798" t="str">
        <f>"801"</f>
        <v>801</v>
      </c>
      <c r="E5798" t="str">
        <f>"89301167"</f>
        <v>89301167</v>
      </c>
      <c r="F5798" t="str">
        <f>"5957040397"</f>
        <v>5957040397</v>
      </c>
      <c r="G5798" s="1">
        <v>44699</v>
      </c>
      <c r="H5798" t="str">
        <f>"97111"</f>
        <v>97111</v>
      </c>
      <c r="I5798">
        <v>1</v>
      </c>
      <c r="J5798">
        <v>18</v>
      </c>
      <c r="K5798">
        <v>0</v>
      </c>
      <c r="L5798">
        <v>14.04</v>
      </c>
    </row>
    <row r="5799" spans="1:12" x14ac:dyDescent="0.25">
      <c r="A5799" t="str">
        <f t="shared" si="1280"/>
        <v>89301000</v>
      </c>
      <c r="B5799" t="str">
        <f t="shared" ref="B5799:B5809" si="1289">"91009000"</f>
        <v>91009000</v>
      </c>
      <c r="C5799" t="str">
        <f t="shared" ref="C5799:C5804" si="1290">"91009522"</f>
        <v>91009522</v>
      </c>
      <c r="D5799" t="str">
        <f t="shared" ref="D5799:D5804" si="1291">"816"</f>
        <v>816</v>
      </c>
      <c r="E5799" t="str">
        <f t="shared" ref="E5799:E5804" si="1292">"89301282"</f>
        <v>89301282</v>
      </c>
      <c r="F5799" t="str">
        <f>"8008045331"</f>
        <v>8008045331</v>
      </c>
      <c r="G5799" s="1">
        <v>44701</v>
      </c>
      <c r="H5799" t="str">
        <f>"94345"</f>
        <v>94345</v>
      </c>
      <c r="I5799">
        <v>1</v>
      </c>
      <c r="J5799">
        <v>4625</v>
      </c>
      <c r="K5799">
        <v>0</v>
      </c>
      <c r="L5799">
        <v>3931.25</v>
      </c>
    </row>
    <row r="5800" spans="1:12" x14ac:dyDescent="0.25">
      <c r="A5800" t="str">
        <f t="shared" si="1280"/>
        <v>89301000</v>
      </c>
      <c r="B5800" t="str">
        <f t="shared" si="1289"/>
        <v>91009000</v>
      </c>
      <c r="C5800" t="str">
        <f t="shared" si="1290"/>
        <v>91009522</v>
      </c>
      <c r="D5800" t="str">
        <f t="shared" si="1291"/>
        <v>816</v>
      </c>
      <c r="E5800" t="str">
        <f t="shared" si="1292"/>
        <v>89301282</v>
      </c>
      <c r="F5800" t="str">
        <f>"8008045331"</f>
        <v>8008045331</v>
      </c>
      <c r="G5800" s="1">
        <v>44701</v>
      </c>
      <c r="H5800" t="str">
        <f>"94948"</f>
        <v>94948</v>
      </c>
      <c r="I5800">
        <v>1</v>
      </c>
      <c r="J5800">
        <v>0</v>
      </c>
      <c r="K5800">
        <v>0</v>
      </c>
      <c r="L5800">
        <v>0</v>
      </c>
    </row>
    <row r="5801" spans="1:12" x14ac:dyDescent="0.25">
      <c r="A5801" t="str">
        <f t="shared" si="1280"/>
        <v>89301000</v>
      </c>
      <c r="B5801" t="str">
        <f t="shared" si="1289"/>
        <v>91009000</v>
      </c>
      <c r="C5801" t="str">
        <f t="shared" si="1290"/>
        <v>91009522</v>
      </c>
      <c r="D5801" t="str">
        <f t="shared" si="1291"/>
        <v>816</v>
      </c>
      <c r="E5801" t="str">
        <f t="shared" si="1292"/>
        <v>89301282</v>
      </c>
      <c r="F5801" t="str">
        <f>"1109290787"</f>
        <v>1109290787</v>
      </c>
      <c r="G5801" s="1">
        <v>44708</v>
      </c>
      <c r="H5801" t="str">
        <f>"94345"</f>
        <v>94345</v>
      </c>
      <c r="I5801">
        <v>1</v>
      </c>
      <c r="J5801">
        <v>4625</v>
      </c>
      <c r="K5801">
        <v>0</v>
      </c>
      <c r="L5801">
        <v>3931.25</v>
      </c>
    </row>
    <row r="5802" spans="1:12" x14ac:dyDescent="0.25">
      <c r="A5802" t="str">
        <f t="shared" si="1280"/>
        <v>89301000</v>
      </c>
      <c r="B5802" t="str">
        <f t="shared" si="1289"/>
        <v>91009000</v>
      </c>
      <c r="C5802" t="str">
        <f t="shared" si="1290"/>
        <v>91009522</v>
      </c>
      <c r="D5802" t="str">
        <f t="shared" si="1291"/>
        <v>816</v>
      </c>
      <c r="E5802" t="str">
        <f t="shared" si="1292"/>
        <v>89301282</v>
      </c>
      <c r="F5802" t="str">
        <f>"1109290787"</f>
        <v>1109290787</v>
      </c>
      <c r="G5802" s="1">
        <v>44708</v>
      </c>
      <c r="H5802" t="str">
        <f>"94948"</f>
        <v>94948</v>
      </c>
      <c r="I5802">
        <v>1</v>
      </c>
      <c r="J5802">
        <v>0</v>
      </c>
      <c r="K5802">
        <v>0</v>
      </c>
      <c r="L5802">
        <v>0</v>
      </c>
    </row>
    <row r="5803" spans="1:12" x14ac:dyDescent="0.25">
      <c r="A5803" t="str">
        <f t="shared" si="1280"/>
        <v>89301000</v>
      </c>
      <c r="B5803" t="str">
        <f t="shared" si="1289"/>
        <v>91009000</v>
      </c>
      <c r="C5803" t="str">
        <f t="shared" si="1290"/>
        <v>91009522</v>
      </c>
      <c r="D5803" t="str">
        <f t="shared" si="1291"/>
        <v>816</v>
      </c>
      <c r="E5803" t="str">
        <f t="shared" si="1292"/>
        <v>89301282</v>
      </c>
      <c r="F5803" t="str">
        <f>"1406121057"</f>
        <v>1406121057</v>
      </c>
      <c r="G5803" s="1">
        <v>44708</v>
      </c>
      <c r="H5803" t="str">
        <f>"94345"</f>
        <v>94345</v>
      </c>
      <c r="I5803">
        <v>1</v>
      </c>
      <c r="J5803">
        <v>4625</v>
      </c>
      <c r="K5803">
        <v>0</v>
      </c>
      <c r="L5803">
        <v>3931.25</v>
      </c>
    </row>
    <row r="5804" spans="1:12" x14ac:dyDescent="0.25">
      <c r="A5804" t="str">
        <f t="shared" si="1280"/>
        <v>89301000</v>
      </c>
      <c r="B5804" t="str">
        <f t="shared" si="1289"/>
        <v>91009000</v>
      </c>
      <c r="C5804" t="str">
        <f t="shared" si="1290"/>
        <v>91009522</v>
      </c>
      <c r="D5804" t="str">
        <f t="shared" si="1291"/>
        <v>816</v>
      </c>
      <c r="E5804" t="str">
        <f t="shared" si="1292"/>
        <v>89301282</v>
      </c>
      <c r="F5804" t="str">
        <f>"1406121057"</f>
        <v>1406121057</v>
      </c>
      <c r="G5804" s="1">
        <v>44708</v>
      </c>
      <c r="H5804" t="str">
        <f>"94948"</f>
        <v>94948</v>
      </c>
      <c r="I5804">
        <v>1</v>
      </c>
      <c r="J5804">
        <v>0</v>
      </c>
      <c r="K5804">
        <v>0</v>
      </c>
      <c r="L5804">
        <v>0</v>
      </c>
    </row>
    <row r="5805" spans="1:12" x14ac:dyDescent="0.25">
      <c r="A5805" t="str">
        <f t="shared" si="1280"/>
        <v>89301000</v>
      </c>
      <c r="B5805" t="str">
        <f t="shared" si="1289"/>
        <v>91009000</v>
      </c>
      <c r="C5805" t="str">
        <f>"91009581"</f>
        <v>91009581</v>
      </c>
      <c r="D5805" t="str">
        <f>"801"</f>
        <v>801</v>
      </c>
      <c r="E5805" t="str">
        <f>"89301167"</f>
        <v>89301167</v>
      </c>
      <c r="F5805" t="str">
        <f>"530220073"</f>
        <v>530220073</v>
      </c>
      <c r="G5805" s="1">
        <v>44701</v>
      </c>
      <c r="H5805" t="str">
        <f>"81383"</f>
        <v>81383</v>
      </c>
      <c r="I5805">
        <v>1</v>
      </c>
      <c r="J5805">
        <v>23</v>
      </c>
      <c r="K5805">
        <v>0</v>
      </c>
      <c r="L5805">
        <v>17.940000000000001</v>
      </c>
    </row>
    <row r="5806" spans="1:12" x14ac:dyDescent="0.25">
      <c r="A5806" t="str">
        <f t="shared" si="1280"/>
        <v>89301000</v>
      </c>
      <c r="B5806" t="str">
        <f t="shared" si="1289"/>
        <v>91009000</v>
      </c>
      <c r="C5806" t="str">
        <f>"91009581"</f>
        <v>91009581</v>
      </c>
      <c r="D5806" t="str">
        <f>"801"</f>
        <v>801</v>
      </c>
      <c r="E5806" t="str">
        <f>"89301167"</f>
        <v>89301167</v>
      </c>
      <c r="F5806" t="str">
        <f>"530220073"</f>
        <v>530220073</v>
      </c>
      <c r="G5806" s="1">
        <v>44701</v>
      </c>
      <c r="H5806" t="str">
        <f>"97111"</f>
        <v>97111</v>
      </c>
      <c r="I5806">
        <v>1</v>
      </c>
      <c r="J5806">
        <v>18</v>
      </c>
      <c r="K5806">
        <v>0</v>
      </c>
      <c r="L5806">
        <v>14.04</v>
      </c>
    </row>
    <row r="5807" spans="1:12" x14ac:dyDescent="0.25">
      <c r="A5807" t="str">
        <f t="shared" si="1280"/>
        <v>89301000</v>
      </c>
      <c r="B5807" t="str">
        <f t="shared" si="1289"/>
        <v>91009000</v>
      </c>
      <c r="C5807" t="str">
        <f>"91009581"</f>
        <v>91009581</v>
      </c>
      <c r="D5807" t="str">
        <f>"801"</f>
        <v>801</v>
      </c>
      <c r="E5807" t="str">
        <f t="shared" ref="E5807:E5812" si="1293">"89301212"</f>
        <v>89301212</v>
      </c>
      <c r="F5807" t="str">
        <f>"8556125776"</f>
        <v>8556125776</v>
      </c>
      <c r="G5807" s="1">
        <v>44705</v>
      </c>
      <c r="H5807" t="str">
        <f>"97111"</f>
        <v>97111</v>
      </c>
      <c r="I5807">
        <v>1</v>
      </c>
      <c r="J5807">
        <v>18</v>
      </c>
      <c r="K5807">
        <v>0</v>
      </c>
      <c r="L5807">
        <v>14.04</v>
      </c>
    </row>
    <row r="5808" spans="1:12" x14ac:dyDescent="0.25">
      <c r="A5808" t="str">
        <f t="shared" si="1280"/>
        <v>89301000</v>
      </c>
      <c r="B5808" t="str">
        <f t="shared" si="1289"/>
        <v>91009000</v>
      </c>
      <c r="C5808" t="str">
        <f>"91009132"</f>
        <v>91009132</v>
      </c>
      <c r="D5808" t="str">
        <f>"812"</f>
        <v>812</v>
      </c>
      <c r="E5808" t="str">
        <f t="shared" si="1293"/>
        <v>89301212</v>
      </c>
      <c r="F5808" t="str">
        <f>"8556125776"</f>
        <v>8556125776</v>
      </c>
      <c r="G5808" s="1">
        <v>44705</v>
      </c>
      <c r="H5808" t="str">
        <f>"92157"</f>
        <v>92157</v>
      </c>
      <c r="I5808">
        <v>1</v>
      </c>
      <c r="J5808">
        <v>1754</v>
      </c>
      <c r="K5808">
        <v>0</v>
      </c>
      <c r="L5808">
        <v>1368.12</v>
      </c>
    </row>
    <row r="5809" spans="1:12" x14ac:dyDescent="0.25">
      <c r="A5809" t="str">
        <f t="shared" si="1280"/>
        <v>89301000</v>
      </c>
      <c r="B5809" t="str">
        <f t="shared" si="1289"/>
        <v>91009000</v>
      </c>
      <c r="C5809" t="str">
        <f>"91009132"</f>
        <v>91009132</v>
      </c>
      <c r="D5809" t="str">
        <f>"812"</f>
        <v>812</v>
      </c>
      <c r="E5809" t="str">
        <f t="shared" si="1293"/>
        <v>89301212</v>
      </c>
      <c r="F5809" t="str">
        <f>"8556125776"</f>
        <v>8556125776</v>
      </c>
      <c r="G5809" s="1">
        <v>44705</v>
      </c>
      <c r="H5809" t="str">
        <f>"99111"</f>
        <v>99111</v>
      </c>
      <c r="I5809">
        <v>1</v>
      </c>
      <c r="J5809">
        <v>206</v>
      </c>
      <c r="K5809">
        <v>0</v>
      </c>
      <c r="L5809">
        <v>160.68</v>
      </c>
    </row>
    <row r="5810" spans="1:12" x14ac:dyDescent="0.25">
      <c r="A5810" t="str">
        <f t="shared" si="1280"/>
        <v>89301000</v>
      </c>
      <c r="B5810" t="str">
        <f>"90001000"</f>
        <v>90001000</v>
      </c>
      <c r="C5810" t="str">
        <f>"90001525"</f>
        <v>90001525</v>
      </c>
      <c r="D5810" t="str">
        <f t="shared" ref="D5810:D5818" si="1294">"809"</f>
        <v>809</v>
      </c>
      <c r="E5810" t="str">
        <f t="shared" si="1293"/>
        <v>89301212</v>
      </c>
      <c r="F5810" t="str">
        <f>"5407211051"</f>
        <v>5407211051</v>
      </c>
      <c r="G5810" s="1">
        <v>44686</v>
      </c>
      <c r="H5810" t="str">
        <f>"89611"</f>
        <v>89611</v>
      </c>
      <c r="I5810">
        <v>1</v>
      </c>
      <c r="J5810">
        <v>2241</v>
      </c>
      <c r="K5810">
        <v>0</v>
      </c>
      <c r="L5810">
        <v>1344.6</v>
      </c>
    </row>
    <row r="5811" spans="1:12" x14ac:dyDescent="0.25">
      <c r="A5811" t="str">
        <f t="shared" si="1280"/>
        <v>89301000</v>
      </c>
      <c r="B5811" t="str">
        <f>"90001000"</f>
        <v>90001000</v>
      </c>
      <c r="C5811" t="str">
        <f>"90001525"</f>
        <v>90001525</v>
      </c>
      <c r="D5811" t="str">
        <f t="shared" si="1294"/>
        <v>809</v>
      </c>
      <c r="E5811" t="str">
        <f t="shared" si="1293"/>
        <v>89301212</v>
      </c>
      <c r="F5811" t="str">
        <f>"5407211051"</f>
        <v>5407211051</v>
      </c>
      <c r="G5811" s="1">
        <v>44686</v>
      </c>
      <c r="H5811" t="str">
        <f>"89611"</f>
        <v>89611</v>
      </c>
      <c r="I5811">
        <v>1</v>
      </c>
      <c r="J5811">
        <v>2241</v>
      </c>
      <c r="K5811">
        <v>0</v>
      </c>
      <c r="L5811">
        <v>1344.6</v>
      </c>
    </row>
    <row r="5812" spans="1:12" x14ac:dyDescent="0.25">
      <c r="A5812" t="str">
        <f t="shared" si="1280"/>
        <v>89301000</v>
      </c>
      <c r="B5812" t="str">
        <f>"90001000"</f>
        <v>90001000</v>
      </c>
      <c r="C5812" t="str">
        <f>"90001525"</f>
        <v>90001525</v>
      </c>
      <c r="D5812" t="str">
        <f t="shared" si="1294"/>
        <v>809</v>
      </c>
      <c r="E5812" t="str">
        <f t="shared" si="1293"/>
        <v>89301212</v>
      </c>
      <c r="F5812" t="str">
        <f>"5407211051"</f>
        <v>5407211051</v>
      </c>
      <c r="G5812" s="1">
        <v>44686</v>
      </c>
      <c r="H5812" t="str">
        <f>"0137481"</f>
        <v>0137481</v>
      </c>
      <c r="I5812">
        <v>0.2</v>
      </c>
      <c r="K5812">
        <v>879.39</v>
      </c>
      <c r="L5812">
        <v>879.39</v>
      </c>
    </row>
    <row r="5813" spans="1:12" x14ac:dyDescent="0.25">
      <c r="A5813" t="str">
        <f t="shared" si="1280"/>
        <v>89301000</v>
      </c>
      <c r="B5813" t="str">
        <f>"90001000"</f>
        <v>90001000</v>
      </c>
      <c r="C5813" t="str">
        <f>"90001525"</f>
        <v>90001525</v>
      </c>
      <c r="D5813" t="str">
        <f t="shared" si="1294"/>
        <v>809</v>
      </c>
      <c r="E5813" t="str">
        <f>"89301292"</f>
        <v>89301292</v>
      </c>
      <c r="F5813" t="str">
        <f>"2009170273"</f>
        <v>2009170273</v>
      </c>
      <c r="G5813" s="1">
        <v>44698</v>
      </c>
      <c r="H5813" t="str">
        <f>"89111"</f>
        <v>89111</v>
      </c>
      <c r="I5813">
        <v>1</v>
      </c>
      <c r="J5813">
        <v>168</v>
      </c>
      <c r="K5813">
        <v>0</v>
      </c>
      <c r="L5813">
        <v>235.2</v>
      </c>
    </row>
    <row r="5814" spans="1:12" x14ac:dyDescent="0.25">
      <c r="A5814" t="str">
        <f t="shared" si="1280"/>
        <v>89301000</v>
      </c>
      <c r="B5814" t="str">
        <f>"93223000"</f>
        <v>93223000</v>
      </c>
      <c r="C5814" t="str">
        <f>"93223001"</f>
        <v>93223001</v>
      </c>
      <c r="D5814" t="str">
        <f t="shared" si="1294"/>
        <v>809</v>
      </c>
      <c r="E5814" t="str">
        <f>"89301312"</f>
        <v>89301312</v>
      </c>
      <c r="F5814" t="str">
        <f>"5501242384"</f>
        <v>5501242384</v>
      </c>
      <c r="G5814" s="1">
        <v>44692</v>
      </c>
      <c r="H5814" t="str">
        <f>"89125"</f>
        <v>89125</v>
      </c>
      <c r="I5814">
        <v>1</v>
      </c>
      <c r="J5814">
        <v>214</v>
      </c>
      <c r="K5814">
        <v>0</v>
      </c>
      <c r="L5814">
        <v>299.60000000000002</v>
      </c>
    </row>
    <row r="5815" spans="1:12" x14ac:dyDescent="0.25">
      <c r="A5815" t="str">
        <f t="shared" si="1280"/>
        <v>89301000</v>
      </c>
      <c r="B5815" t="str">
        <f>"93223000"</f>
        <v>93223000</v>
      </c>
      <c r="C5815" t="str">
        <f>"93223001"</f>
        <v>93223001</v>
      </c>
      <c r="D5815" t="str">
        <f t="shared" si="1294"/>
        <v>809</v>
      </c>
      <c r="E5815" t="str">
        <f>"89301212"</f>
        <v>89301212</v>
      </c>
      <c r="F5815" t="str">
        <f>"7852065826"</f>
        <v>7852065826</v>
      </c>
      <c r="G5815" s="1">
        <v>44705</v>
      </c>
      <c r="H5815" t="str">
        <f>"89131"</f>
        <v>89131</v>
      </c>
      <c r="I5815">
        <v>1</v>
      </c>
      <c r="J5815">
        <v>187</v>
      </c>
      <c r="K5815">
        <v>0</v>
      </c>
      <c r="L5815">
        <v>261.8</v>
      </c>
    </row>
    <row r="5816" spans="1:12" x14ac:dyDescent="0.25">
      <c r="A5816" t="str">
        <f t="shared" si="1280"/>
        <v>89301000</v>
      </c>
      <c r="B5816" t="str">
        <f>"93223000"</f>
        <v>93223000</v>
      </c>
      <c r="C5816" t="str">
        <f>"93223001"</f>
        <v>93223001</v>
      </c>
      <c r="D5816" t="str">
        <f t="shared" si="1294"/>
        <v>809</v>
      </c>
      <c r="E5816" t="str">
        <f>"89301212"</f>
        <v>89301212</v>
      </c>
      <c r="F5816" t="str">
        <f>"7852065826"</f>
        <v>7852065826</v>
      </c>
      <c r="G5816" s="1">
        <v>44705</v>
      </c>
      <c r="H5816" t="str">
        <f>"89513"</f>
        <v>89513</v>
      </c>
      <c r="I5816">
        <v>1</v>
      </c>
      <c r="J5816">
        <v>371</v>
      </c>
      <c r="K5816">
        <v>0</v>
      </c>
      <c r="L5816">
        <v>519.4</v>
      </c>
    </row>
    <row r="5817" spans="1:12" x14ac:dyDescent="0.25">
      <c r="A5817" t="str">
        <f t="shared" si="1280"/>
        <v>89301000</v>
      </c>
      <c r="B5817" t="str">
        <f>"93223000"</f>
        <v>93223000</v>
      </c>
      <c r="C5817" t="str">
        <f>"93223001"</f>
        <v>93223001</v>
      </c>
      <c r="D5817" t="str">
        <f t="shared" si="1294"/>
        <v>809</v>
      </c>
      <c r="E5817" t="str">
        <f>"89301212"</f>
        <v>89301212</v>
      </c>
      <c r="F5817" t="str">
        <f>"7852065826"</f>
        <v>7852065826</v>
      </c>
      <c r="G5817" s="1">
        <v>44705</v>
      </c>
      <c r="H5817" t="str">
        <f>"89514"</f>
        <v>89514</v>
      </c>
      <c r="I5817">
        <v>1</v>
      </c>
      <c r="J5817">
        <v>371</v>
      </c>
      <c r="K5817">
        <v>0</v>
      </c>
      <c r="L5817">
        <v>519.4</v>
      </c>
    </row>
    <row r="5818" spans="1:12" x14ac:dyDescent="0.25">
      <c r="A5818" t="str">
        <f t="shared" si="1280"/>
        <v>89301000</v>
      </c>
      <c r="B5818" t="str">
        <f>"93223000"</f>
        <v>93223000</v>
      </c>
      <c r="C5818" t="str">
        <f>"93223001"</f>
        <v>93223001</v>
      </c>
      <c r="D5818" t="str">
        <f t="shared" si="1294"/>
        <v>809</v>
      </c>
      <c r="E5818" t="str">
        <f>"89301082"</f>
        <v>89301082</v>
      </c>
      <c r="F5818" t="str">
        <f>"9156216179"</f>
        <v>9156216179</v>
      </c>
      <c r="G5818" s="1">
        <v>44701</v>
      </c>
      <c r="H5818" t="str">
        <f>"89513"</f>
        <v>89513</v>
      </c>
      <c r="I5818">
        <v>1</v>
      </c>
      <c r="J5818">
        <v>371</v>
      </c>
      <c r="K5818">
        <v>0</v>
      </c>
      <c r="L5818">
        <v>519.4</v>
      </c>
    </row>
    <row r="5819" spans="1:12" x14ac:dyDescent="0.25">
      <c r="A5819" t="str">
        <f t="shared" si="1280"/>
        <v>89301000</v>
      </c>
      <c r="B5819" t="str">
        <f t="shared" ref="B5819:B5841" si="1295">"02004000"</f>
        <v>02004000</v>
      </c>
      <c r="C5819" t="str">
        <f t="shared" ref="C5819:C5834" si="1296">"02004556"</f>
        <v>02004556</v>
      </c>
      <c r="D5819" t="str">
        <f t="shared" ref="D5819:D5834" si="1297">"813"</f>
        <v>813</v>
      </c>
      <c r="E5819" t="str">
        <f>"89301028"</f>
        <v>89301028</v>
      </c>
      <c r="F5819" t="str">
        <f>"9012294852"</f>
        <v>9012294852</v>
      </c>
      <c r="G5819" s="1">
        <v>44700</v>
      </c>
      <c r="H5819" t="str">
        <f>"91249"</f>
        <v>91249</v>
      </c>
      <c r="I5819">
        <v>1</v>
      </c>
      <c r="J5819">
        <v>1489</v>
      </c>
      <c r="K5819">
        <v>0</v>
      </c>
      <c r="L5819">
        <v>1161.42</v>
      </c>
    </row>
    <row r="5820" spans="1:12" x14ac:dyDescent="0.25">
      <c r="A5820" t="str">
        <f t="shared" si="1280"/>
        <v>89301000</v>
      </c>
      <c r="B5820" t="str">
        <f t="shared" si="1295"/>
        <v>02004000</v>
      </c>
      <c r="C5820" t="str">
        <f t="shared" si="1296"/>
        <v>02004556</v>
      </c>
      <c r="D5820" t="str">
        <f t="shared" si="1297"/>
        <v>813</v>
      </c>
      <c r="E5820" t="str">
        <f>"89301028"</f>
        <v>89301028</v>
      </c>
      <c r="F5820" t="str">
        <f>"9012294852"</f>
        <v>9012294852</v>
      </c>
      <c r="G5820" s="1">
        <v>44700</v>
      </c>
      <c r="H5820" t="str">
        <f>"91251"</f>
        <v>91251</v>
      </c>
      <c r="I5820">
        <v>1</v>
      </c>
      <c r="J5820">
        <v>1489</v>
      </c>
      <c r="K5820">
        <v>0</v>
      </c>
      <c r="L5820">
        <v>1161.42</v>
      </c>
    </row>
    <row r="5821" spans="1:12" x14ac:dyDescent="0.25">
      <c r="A5821" t="str">
        <f t="shared" si="1280"/>
        <v>89301000</v>
      </c>
      <c r="B5821" t="str">
        <f t="shared" si="1295"/>
        <v>02004000</v>
      </c>
      <c r="C5821" t="str">
        <f t="shared" si="1296"/>
        <v>02004556</v>
      </c>
      <c r="D5821" t="str">
        <f t="shared" si="1297"/>
        <v>813</v>
      </c>
      <c r="E5821" t="str">
        <f>"89301028"</f>
        <v>89301028</v>
      </c>
      <c r="F5821" t="str">
        <f>"6757270927"</f>
        <v>6757270927</v>
      </c>
      <c r="G5821" s="1">
        <v>44698</v>
      </c>
      <c r="H5821" t="str">
        <f>"91249"</f>
        <v>91249</v>
      </c>
      <c r="I5821">
        <v>1</v>
      </c>
      <c r="J5821">
        <v>1489</v>
      </c>
      <c r="K5821">
        <v>0</v>
      </c>
      <c r="L5821">
        <v>1161.42</v>
      </c>
    </row>
    <row r="5822" spans="1:12" x14ac:dyDescent="0.25">
      <c r="A5822" t="str">
        <f t="shared" si="1280"/>
        <v>89301000</v>
      </c>
      <c r="B5822" t="str">
        <f t="shared" si="1295"/>
        <v>02004000</v>
      </c>
      <c r="C5822" t="str">
        <f t="shared" si="1296"/>
        <v>02004556</v>
      </c>
      <c r="D5822" t="str">
        <f t="shared" si="1297"/>
        <v>813</v>
      </c>
      <c r="E5822" t="str">
        <f>"89301028"</f>
        <v>89301028</v>
      </c>
      <c r="F5822" t="str">
        <f>"6757270927"</f>
        <v>6757270927</v>
      </c>
      <c r="G5822" s="1">
        <v>44698</v>
      </c>
      <c r="H5822" t="str">
        <f>"91251"</f>
        <v>91251</v>
      </c>
      <c r="I5822">
        <v>1</v>
      </c>
      <c r="J5822">
        <v>1489</v>
      </c>
      <c r="K5822">
        <v>0</v>
      </c>
      <c r="L5822">
        <v>1161.42</v>
      </c>
    </row>
    <row r="5823" spans="1:12" x14ac:dyDescent="0.25">
      <c r="A5823" t="str">
        <f t="shared" si="1280"/>
        <v>89301000</v>
      </c>
      <c r="B5823" t="str">
        <f t="shared" si="1295"/>
        <v>02004000</v>
      </c>
      <c r="C5823" t="str">
        <f t="shared" si="1296"/>
        <v>02004556</v>
      </c>
      <c r="D5823" t="str">
        <f t="shared" si="1297"/>
        <v>813</v>
      </c>
      <c r="E5823" t="str">
        <f t="shared" ref="E5823:E5828" si="1298">"89301102"</f>
        <v>89301102</v>
      </c>
      <c r="F5823" t="str">
        <f>"0309275703"</f>
        <v>0309275703</v>
      </c>
      <c r="G5823" s="1">
        <v>44698</v>
      </c>
      <c r="H5823" t="str">
        <f>"91249"</f>
        <v>91249</v>
      </c>
      <c r="I5823">
        <v>1</v>
      </c>
      <c r="J5823">
        <v>1489</v>
      </c>
      <c r="K5823">
        <v>0</v>
      </c>
      <c r="L5823">
        <v>1161.42</v>
      </c>
    </row>
    <row r="5824" spans="1:12" x14ac:dyDescent="0.25">
      <c r="A5824" t="str">
        <f t="shared" si="1280"/>
        <v>89301000</v>
      </c>
      <c r="B5824" t="str">
        <f t="shared" si="1295"/>
        <v>02004000</v>
      </c>
      <c r="C5824" t="str">
        <f t="shared" si="1296"/>
        <v>02004556</v>
      </c>
      <c r="D5824" t="str">
        <f t="shared" si="1297"/>
        <v>813</v>
      </c>
      <c r="E5824" t="str">
        <f t="shared" si="1298"/>
        <v>89301102</v>
      </c>
      <c r="F5824" t="str">
        <f>"0309275703"</f>
        <v>0309275703</v>
      </c>
      <c r="G5824" s="1">
        <v>44698</v>
      </c>
      <c r="H5824" t="str">
        <f>"91251"</f>
        <v>91251</v>
      </c>
      <c r="I5824">
        <v>1</v>
      </c>
      <c r="J5824">
        <v>1489</v>
      </c>
      <c r="K5824">
        <v>0</v>
      </c>
      <c r="L5824">
        <v>1161.42</v>
      </c>
    </row>
    <row r="5825" spans="1:12" x14ac:dyDescent="0.25">
      <c r="A5825" t="str">
        <f t="shared" si="1280"/>
        <v>89301000</v>
      </c>
      <c r="B5825" t="str">
        <f t="shared" si="1295"/>
        <v>02004000</v>
      </c>
      <c r="C5825" t="str">
        <f t="shared" si="1296"/>
        <v>02004556</v>
      </c>
      <c r="D5825" t="str">
        <f t="shared" si="1297"/>
        <v>813</v>
      </c>
      <c r="E5825" t="str">
        <f t="shared" si="1298"/>
        <v>89301102</v>
      </c>
      <c r="F5825" t="str">
        <f>"0756083383"</f>
        <v>0756083383</v>
      </c>
      <c r="G5825" s="1">
        <v>44693</v>
      </c>
      <c r="H5825" t="str">
        <f>"91249"</f>
        <v>91249</v>
      </c>
      <c r="I5825">
        <v>1</v>
      </c>
      <c r="J5825">
        <v>1489</v>
      </c>
      <c r="K5825">
        <v>0</v>
      </c>
      <c r="L5825">
        <v>1161.42</v>
      </c>
    </row>
    <row r="5826" spans="1:12" x14ac:dyDescent="0.25">
      <c r="A5826" t="str">
        <f t="shared" ref="A5826:A5889" si="1299">"89301000"</f>
        <v>89301000</v>
      </c>
      <c r="B5826" t="str">
        <f t="shared" si="1295"/>
        <v>02004000</v>
      </c>
      <c r="C5826" t="str">
        <f t="shared" si="1296"/>
        <v>02004556</v>
      </c>
      <c r="D5826" t="str">
        <f t="shared" si="1297"/>
        <v>813</v>
      </c>
      <c r="E5826" t="str">
        <f t="shared" si="1298"/>
        <v>89301102</v>
      </c>
      <c r="F5826" t="str">
        <f>"0756083383"</f>
        <v>0756083383</v>
      </c>
      <c r="G5826" s="1">
        <v>44693</v>
      </c>
      <c r="H5826" t="str">
        <f>"91251"</f>
        <v>91251</v>
      </c>
      <c r="I5826">
        <v>1</v>
      </c>
      <c r="J5826">
        <v>1489</v>
      </c>
      <c r="K5826">
        <v>0</v>
      </c>
      <c r="L5826">
        <v>1161.42</v>
      </c>
    </row>
    <row r="5827" spans="1:12" x14ac:dyDescent="0.25">
      <c r="A5827" t="str">
        <f t="shared" si="1299"/>
        <v>89301000</v>
      </c>
      <c r="B5827" t="str">
        <f t="shared" si="1295"/>
        <v>02004000</v>
      </c>
      <c r="C5827" t="str">
        <f t="shared" si="1296"/>
        <v>02004556</v>
      </c>
      <c r="D5827" t="str">
        <f t="shared" si="1297"/>
        <v>813</v>
      </c>
      <c r="E5827" t="str">
        <f t="shared" si="1298"/>
        <v>89301102</v>
      </c>
      <c r="F5827" t="str">
        <f>"1754070054"</f>
        <v>1754070054</v>
      </c>
      <c r="G5827" s="1">
        <v>44679</v>
      </c>
      <c r="H5827" t="str">
        <f>"91249"</f>
        <v>91249</v>
      </c>
      <c r="I5827">
        <v>1</v>
      </c>
      <c r="J5827">
        <v>1489</v>
      </c>
      <c r="K5827">
        <v>0</v>
      </c>
      <c r="L5827">
        <v>1161.42</v>
      </c>
    </row>
    <row r="5828" spans="1:12" x14ac:dyDescent="0.25">
      <c r="A5828" t="str">
        <f t="shared" si="1299"/>
        <v>89301000</v>
      </c>
      <c r="B5828" t="str">
        <f t="shared" si="1295"/>
        <v>02004000</v>
      </c>
      <c r="C5828" t="str">
        <f t="shared" si="1296"/>
        <v>02004556</v>
      </c>
      <c r="D5828" t="str">
        <f t="shared" si="1297"/>
        <v>813</v>
      </c>
      <c r="E5828" t="str">
        <f t="shared" si="1298"/>
        <v>89301102</v>
      </c>
      <c r="F5828" t="str">
        <f>"1754070054"</f>
        <v>1754070054</v>
      </c>
      <c r="G5828" s="1">
        <v>44679</v>
      </c>
      <c r="H5828" t="str">
        <f>"91251"</f>
        <v>91251</v>
      </c>
      <c r="I5828">
        <v>1</v>
      </c>
      <c r="J5828">
        <v>1489</v>
      </c>
      <c r="K5828">
        <v>0</v>
      </c>
      <c r="L5828">
        <v>1161.42</v>
      </c>
    </row>
    <row r="5829" spans="1:12" x14ac:dyDescent="0.25">
      <c r="A5829" t="str">
        <f t="shared" si="1299"/>
        <v>89301000</v>
      </c>
      <c r="B5829" t="str">
        <f t="shared" si="1295"/>
        <v>02004000</v>
      </c>
      <c r="C5829" t="str">
        <f t="shared" si="1296"/>
        <v>02004556</v>
      </c>
      <c r="D5829" t="str">
        <f t="shared" si="1297"/>
        <v>813</v>
      </c>
      <c r="E5829" t="str">
        <f>"89301028"</f>
        <v>89301028</v>
      </c>
      <c r="F5829" t="str">
        <f>"0208164847"</f>
        <v>0208164847</v>
      </c>
      <c r="G5829" s="1">
        <v>44656</v>
      </c>
      <c r="H5829" t="str">
        <f>"91249"</f>
        <v>91249</v>
      </c>
      <c r="I5829">
        <v>1</v>
      </c>
      <c r="J5829">
        <v>1489</v>
      </c>
      <c r="K5829">
        <v>0</v>
      </c>
      <c r="L5829">
        <v>1161.42</v>
      </c>
    </row>
    <row r="5830" spans="1:12" x14ac:dyDescent="0.25">
      <c r="A5830" t="str">
        <f t="shared" si="1299"/>
        <v>89301000</v>
      </c>
      <c r="B5830" t="str">
        <f t="shared" si="1295"/>
        <v>02004000</v>
      </c>
      <c r="C5830" t="str">
        <f t="shared" si="1296"/>
        <v>02004556</v>
      </c>
      <c r="D5830" t="str">
        <f t="shared" si="1297"/>
        <v>813</v>
      </c>
      <c r="E5830" t="str">
        <f>"89301028"</f>
        <v>89301028</v>
      </c>
      <c r="F5830" t="str">
        <f>"0208164847"</f>
        <v>0208164847</v>
      </c>
      <c r="G5830" s="1">
        <v>44656</v>
      </c>
      <c r="H5830" t="str">
        <f>"91251"</f>
        <v>91251</v>
      </c>
      <c r="I5830">
        <v>1</v>
      </c>
      <c r="J5830">
        <v>1489</v>
      </c>
      <c r="K5830">
        <v>0</v>
      </c>
      <c r="L5830">
        <v>1161.42</v>
      </c>
    </row>
    <row r="5831" spans="1:12" x14ac:dyDescent="0.25">
      <c r="A5831" t="str">
        <f t="shared" si="1299"/>
        <v>89301000</v>
      </c>
      <c r="B5831" t="str">
        <f t="shared" si="1295"/>
        <v>02004000</v>
      </c>
      <c r="C5831" t="str">
        <f t="shared" si="1296"/>
        <v>02004556</v>
      </c>
      <c r="D5831" t="str">
        <f t="shared" si="1297"/>
        <v>813</v>
      </c>
      <c r="E5831" t="str">
        <f>"89301102"</f>
        <v>89301102</v>
      </c>
      <c r="F5831" t="str">
        <f>"0309275703"</f>
        <v>0309275703</v>
      </c>
      <c r="G5831" s="1">
        <v>44670</v>
      </c>
      <c r="H5831" t="str">
        <f>"91249"</f>
        <v>91249</v>
      </c>
      <c r="I5831">
        <v>1</v>
      </c>
      <c r="J5831">
        <v>1489</v>
      </c>
      <c r="K5831">
        <v>0</v>
      </c>
      <c r="L5831">
        <v>1161.42</v>
      </c>
    </row>
    <row r="5832" spans="1:12" x14ac:dyDescent="0.25">
      <c r="A5832" t="str">
        <f t="shared" si="1299"/>
        <v>89301000</v>
      </c>
      <c r="B5832" t="str">
        <f t="shared" si="1295"/>
        <v>02004000</v>
      </c>
      <c r="C5832" t="str">
        <f t="shared" si="1296"/>
        <v>02004556</v>
      </c>
      <c r="D5832" t="str">
        <f t="shared" si="1297"/>
        <v>813</v>
      </c>
      <c r="E5832" t="str">
        <f>"89301102"</f>
        <v>89301102</v>
      </c>
      <c r="F5832" t="str">
        <f>"0309275703"</f>
        <v>0309275703</v>
      </c>
      <c r="G5832" s="1">
        <v>44670</v>
      </c>
      <c r="H5832" t="str">
        <f>"91251"</f>
        <v>91251</v>
      </c>
      <c r="I5832">
        <v>1</v>
      </c>
      <c r="J5832">
        <v>1489</v>
      </c>
      <c r="K5832">
        <v>0</v>
      </c>
      <c r="L5832">
        <v>1161.42</v>
      </c>
    </row>
    <row r="5833" spans="1:12" x14ac:dyDescent="0.25">
      <c r="A5833" t="str">
        <f t="shared" si="1299"/>
        <v>89301000</v>
      </c>
      <c r="B5833" t="str">
        <f t="shared" si="1295"/>
        <v>02004000</v>
      </c>
      <c r="C5833" t="str">
        <f t="shared" si="1296"/>
        <v>02004556</v>
      </c>
      <c r="D5833" t="str">
        <f t="shared" si="1297"/>
        <v>813</v>
      </c>
      <c r="E5833" t="str">
        <f>"89301028"</f>
        <v>89301028</v>
      </c>
      <c r="F5833" t="str">
        <f>"8353145317"</f>
        <v>8353145317</v>
      </c>
      <c r="G5833" s="1">
        <v>44672</v>
      </c>
      <c r="H5833" t="str">
        <f>"91249"</f>
        <v>91249</v>
      </c>
      <c r="I5833">
        <v>1</v>
      </c>
      <c r="J5833">
        <v>1489</v>
      </c>
      <c r="K5833">
        <v>0</v>
      </c>
      <c r="L5833">
        <v>1161.42</v>
      </c>
    </row>
    <row r="5834" spans="1:12" x14ac:dyDescent="0.25">
      <c r="A5834" t="str">
        <f t="shared" si="1299"/>
        <v>89301000</v>
      </c>
      <c r="B5834" t="str">
        <f t="shared" si="1295"/>
        <v>02004000</v>
      </c>
      <c r="C5834" t="str">
        <f t="shared" si="1296"/>
        <v>02004556</v>
      </c>
      <c r="D5834" t="str">
        <f t="shared" si="1297"/>
        <v>813</v>
      </c>
      <c r="E5834" t="str">
        <f>"89301028"</f>
        <v>89301028</v>
      </c>
      <c r="F5834" t="str">
        <f>"8353145317"</f>
        <v>8353145317</v>
      </c>
      <c r="G5834" s="1">
        <v>44672</v>
      </c>
      <c r="H5834" t="str">
        <f>"91251"</f>
        <v>91251</v>
      </c>
      <c r="I5834">
        <v>1</v>
      </c>
      <c r="J5834">
        <v>1489</v>
      </c>
      <c r="K5834">
        <v>0</v>
      </c>
      <c r="L5834">
        <v>1161.42</v>
      </c>
    </row>
    <row r="5835" spans="1:12" x14ac:dyDescent="0.25">
      <c r="A5835" t="str">
        <f t="shared" si="1299"/>
        <v>89301000</v>
      </c>
      <c r="B5835" t="str">
        <f t="shared" si="1295"/>
        <v>02004000</v>
      </c>
      <c r="C5835" t="str">
        <f>"02004153"</f>
        <v>02004153</v>
      </c>
      <c r="D5835" t="str">
        <f t="shared" ref="D5835:D5841" si="1300">"816"</f>
        <v>816</v>
      </c>
      <c r="E5835" t="str">
        <f t="shared" ref="E5835:E5840" si="1301">"89301322"</f>
        <v>89301322</v>
      </c>
      <c r="F5835" t="str">
        <f t="shared" ref="F5835:F5840" si="1302">"8951285717"</f>
        <v>8951285717</v>
      </c>
      <c r="G5835" s="1">
        <v>44642</v>
      </c>
      <c r="H5835" t="str">
        <f>"94221"</f>
        <v>94221</v>
      </c>
      <c r="I5835">
        <v>9</v>
      </c>
      <c r="J5835">
        <v>22077</v>
      </c>
      <c r="K5835">
        <v>0</v>
      </c>
      <c r="L5835">
        <v>18765.45</v>
      </c>
    </row>
    <row r="5836" spans="1:12" x14ac:dyDescent="0.25">
      <c r="A5836" t="str">
        <f t="shared" si="1299"/>
        <v>89301000</v>
      </c>
      <c r="B5836" t="str">
        <f t="shared" si="1295"/>
        <v>02004000</v>
      </c>
      <c r="C5836" t="str">
        <f>"02004153"</f>
        <v>02004153</v>
      </c>
      <c r="D5836" t="str">
        <f t="shared" si="1300"/>
        <v>816</v>
      </c>
      <c r="E5836" t="str">
        <f t="shared" si="1301"/>
        <v>89301322</v>
      </c>
      <c r="F5836" t="str">
        <f t="shared" si="1302"/>
        <v>8951285717</v>
      </c>
      <c r="G5836" s="1">
        <v>44642</v>
      </c>
      <c r="H5836" t="str">
        <f>"94221"</f>
        <v>94221</v>
      </c>
      <c r="I5836">
        <v>1</v>
      </c>
      <c r="J5836">
        <v>2453</v>
      </c>
      <c r="K5836">
        <v>0</v>
      </c>
      <c r="L5836">
        <v>2085.0500000000002</v>
      </c>
    </row>
    <row r="5837" spans="1:12" x14ac:dyDescent="0.25">
      <c r="A5837" t="str">
        <f t="shared" si="1299"/>
        <v>89301000</v>
      </c>
      <c r="B5837" t="str">
        <f t="shared" si="1295"/>
        <v>02004000</v>
      </c>
      <c r="C5837" t="str">
        <f>"02004153"</f>
        <v>02004153</v>
      </c>
      <c r="D5837" t="str">
        <f t="shared" si="1300"/>
        <v>816</v>
      </c>
      <c r="E5837" t="str">
        <f t="shared" si="1301"/>
        <v>89301322</v>
      </c>
      <c r="F5837" t="str">
        <f t="shared" si="1302"/>
        <v>8951285717</v>
      </c>
      <c r="G5837" s="1">
        <v>44642</v>
      </c>
      <c r="H5837" t="str">
        <f>"94225"</f>
        <v>94225</v>
      </c>
      <c r="I5837">
        <v>1</v>
      </c>
      <c r="J5837">
        <v>1187</v>
      </c>
      <c r="K5837">
        <v>0</v>
      </c>
      <c r="L5837">
        <v>1008.95</v>
      </c>
    </row>
    <row r="5838" spans="1:12" x14ac:dyDescent="0.25">
      <c r="A5838" t="str">
        <f t="shared" si="1299"/>
        <v>89301000</v>
      </c>
      <c r="B5838" t="str">
        <f t="shared" si="1295"/>
        <v>02004000</v>
      </c>
      <c r="C5838" t="str">
        <f>"02004545"</f>
        <v>02004545</v>
      </c>
      <c r="D5838" t="str">
        <f t="shared" si="1300"/>
        <v>816</v>
      </c>
      <c r="E5838" t="str">
        <f t="shared" si="1301"/>
        <v>89301322</v>
      </c>
      <c r="F5838" t="str">
        <f t="shared" si="1302"/>
        <v>8951285717</v>
      </c>
      <c r="G5838" s="1">
        <v>44650</v>
      </c>
      <c r="H5838" t="str">
        <f>"94221"</f>
        <v>94221</v>
      </c>
      <c r="I5838">
        <v>9</v>
      </c>
      <c r="J5838">
        <v>22077</v>
      </c>
      <c r="K5838">
        <v>0</v>
      </c>
      <c r="L5838">
        <v>18765.45</v>
      </c>
    </row>
    <row r="5839" spans="1:12" x14ac:dyDescent="0.25">
      <c r="A5839" t="str">
        <f t="shared" si="1299"/>
        <v>89301000</v>
      </c>
      <c r="B5839" t="str">
        <f t="shared" si="1295"/>
        <v>02004000</v>
      </c>
      <c r="C5839" t="str">
        <f>"02004545"</f>
        <v>02004545</v>
      </c>
      <c r="D5839" t="str">
        <f t="shared" si="1300"/>
        <v>816</v>
      </c>
      <c r="E5839" t="str">
        <f t="shared" si="1301"/>
        <v>89301322</v>
      </c>
      <c r="F5839" t="str">
        <f t="shared" si="1302"/>
        <v>8951285717</v>
      </c>
      <c r="G5839" s="1">
        <v>44650</v>
      </c>
      <c r="H5839" t="str">
        <f>"94221"</f>
        <v>94221</v>
      </c>
      <c r="I5839">
        <v>1</v>
      </c>
      <c r="J5839">
        <v>2453</v>
      </c>
      <c r="K5839">
        <v>0</v>
      </c>
      <c r="L5839">
        <v>2085.0500000000002</v>
      </c>
    </row>
    <row r="5840" spans="1:12" x14ac:dyDescent="0.25">
      <c r="A5840" t="str">
        <f t="shared" si="1299"/>
        <v>89301000</v>
      </c>
      <c r="B5840" t="str">
        <f t="shared" si="1295"/>
        <v>02004000</v>
      </c>
      <c r="C5840" t="str">
        <f>"02004545"</f>
        <v>02004545</v>
      </c>
      <c r="D5840" t="str">
        <f t="shared" si="1300"/>
        <v>816</v>
      </c>
      <c r="E5840" t="str">
        <f t="shared" si="1301"/>
        <v>89301322</v>
      </c>
      <c r="F5840" t="str">
        <f t="shared" si="1302"/>
        <v>8951285717</v>
      </c>
      <c r="G5840" s="1">
        <v>44650</v>
      </c>
      <c r="H5840" t="str">
        <f>"94225"</f>
        <v>94225</v>
      </c>
      <c r="I5840">
        <v>1</v>
      </c>
      <c r="J5840">
        <v>1187</v>
      </c>
      <c r="K5840">
        <v>0</v>
      </c>
      <c r="L5840">
        <v>1008.95</v>
      </c>
    </row>
    <row r="5841" spans="1:12" x14ac:dyDescent="0.25">
      <c r="A5841" t="str">
        <f t="shared" si="1299"/>
        <v>89301000</v>
      </c>
      <c r="B5841" t="str">
        <f t="shared" si="1295"/>
        <v>02004000</v>
      </c>
      <c r="C5841" t="str">
        <f>"02004153"</f>
        <v>02004153</v>
      </c>
      <c r="D5841" t="str">
        <f t="shared" si="1300"/>
        <v>816</v>
      </c>
      <c r="E5841" t="str">
        <f>"89301282"</f>
        <v>89301282</v>
      </c>
      <c r="F5841" t="str">
        <f>"8408224264"</f>
        <v>8408224264</v>
      </c>
      <c r="G5841" s="1">
        <v>44613</v>
      </c>
      <c r="H5841" t="str">
        <f>"94221"</f>
        <v>94221</v>
      </c>
      <c r="I5841">
        <v>2</v>
      </c>
      <c r="J5841">
        <v>4906</v>
      </c>
      <c r="K5841">
        <v>0</v>
      </c>
      <c r="L5841">
        <v>4170.1000000000004</v>
      </c>
    </row>
    <row r="5842" spans="1:12" x14ac:dyDescent="0.25">
      <c r="A5842" t="str">
        <f t="shared" si="1299"/>
        <v>89301000</v>
      </c>
      <c r="B5842" t="str">
        <f t="shared" ref="B5842:B5847" si="1303">"06223000"</f>
        <v>06223000</v>
      </c>
      <c r="C5842" t="str">
        <f t="shared" ref="C5842:C5847" si="1304">"06223043"</f>
        <v>06223043</v>
      </c>
      <c r="D5842" t="str">
        <f t="shared" ref="D5842:D5847" si="1305">"801"</f>
        <v>801</v>
      </c>
      <c r="E5842" t="str">
        <f>"89301122"</f>
        <v>89301122</v>
      </c>
      <c r="F5842" t="str">
        <f>"7862275366"</f>
        <v>7862275366</v>
      </c>
      <c r="G5842" s="1">
        <v>44706</v>
      </c>
      <c r="H5842" t="str">
        <f>"92165"</f>
        <v>92165</v>
      </c>
      <c r="I5842">
        <v>1</v>
      </c>
      <c r="J5842">
        <v>2113</v>
      </c>
      <c r="K5842">
        <v>0</v>
      </c>
      <c r="L5842">
        <v>1648.14</v>
      </c>
    </row>
    <row r="5843" spans="1:12" x14ac:dyDescent="0.25">
      <c r="A5843" t="str">
        <f t="shared" si="1299"/>
        <v>89301000</v>
      </c>
      <c r="B5843" t="str">
        <f t="shared" si="1303"/>
        <v>06223000</v>
      </c>
      <c r="C5843" t="str">
        <f t="shared" si="1304"/>
        <v>06223043</v>
      </c>
      <c r="D5843" t="str">
        <f t="shared" si="1305"/>
        <v>801</v>
      </c>
      <c r="E5843" t="str">
        <f>"89301102"</f>
        <v>89301102</v>
      </c>
      <c r="F5843" t="str">
        <f>"1504011487"</f>
        <v>1504011487</v>
      </c>
      <c r="G5843" s="1">
        <v>44698</v>
      </c>
      <c r="H5843" t="str">
        <f>"92165"</f>
        <v>92165</v>
      </c>
      <c r="I5843">
        <v>1</v>
      </c>
      <c r="J5843">
        <v>2113</v>
      </c>
      <c r="K5843">
        <v>0</v>
      </c>
      <c r="L5843">
        <v>1648.14</v>
      </c>
    </row>
    <row r="5844" spans="1:12" x14ac:dyDescent="0.25">
      <c r="A5844" t="str">
        <f t="shared" si="1299"/>
        <v>89301000</v>
      </c>
      <c r="B5844" t="str">
        <f t="shared" si="1303"/>
        <v>06223000</v>
      </c>
      <c r="C5844" t="str">
        <f t="shared" si="1304"/>
        <v>06223043</v>
      </c>
      <c r="D5844" t="str">
        <f t="shared" si="1305"/>
        <v>801</v>
      </c>
      <c r="E5844" t="str">
        <f>"89301122"</f>
        <v>89301122</v>
      </c>
      <c r="F5844" t="str">
        <f>"500925161"</f>
        <v>500925161</v>
      </c>
      <c r="G5844" s="1">
        <v>44712</v>
      </c>
      <c r="H5844" t="str">
        <f>"81485"</f>
        <v>81485</v>
      </c>
      <c r="I5844">
        <v>1</v>
      </c>
      <c r="J5844">
        <v>453</v>
      </c>
      <c r="K5844">
        <v>0</v>
      </c>
      <c r="L5844">
        <v>353.34</v>
      </c>
    </row>
    <row r="5845" spans="1:12" x14ac:dyDescent="0.25">
      <c r="A5845" t="str">
        <f t="shared" si="1299"/>
        <v>89301000</v>
      </c>
      <c r="B5845" t="str">
        <f t="shared" si="1303"/>
        <v>06223000</v>
      </c>
      <c r="C5845" t="str">
        <f t="shared" si="1304"/>
        <v>06223043</v>
      </c>
      <c r="D5845" t="str">
        <f t="shared" si="1305"/>
        <v>801</v>
      </c>
      <c r="E5845" t="str">
        <f>"89301122"</f>
        <v>89301122</v>
      </c>
      <c r="F5845" t="str">
        <f>"7357094184"</f>
        <v>7357094184</v>
      </c>
      <c r="G5845" s="1">
        <v>44712</v>
      </c>
      <c r="H5845" t="str">
        <f>"81485"</f>
        <v>81485</v>
      </c>
      <c r="I5845">
        <v>1</v>
      </c>
      <c r="J5845">
        <v>453</v>
      </c>
      <c r="K5845">
        <v>0</v>
      </c>
      <c r="L5845">
        <v>353.34</v>
      </c>
    </row>
    <row r="5846" spans="1:12" x14ac:dyDescent="0.25">
      <c r="A5846" t="str">
        <f t="shared" si="1299"/>
        <v>89301000</v>
      </c>
      <c r="B5846" t="str">
        <f t="shared" si="1303"/>
        <v>06223000</v>
      </c>
      <c r="C5846" t="str">
        <f t="shared" si="1304"/>
        <v>06223043</v>
      </c>
      <c r="D5846" t="str">
        <f t="shared" si="1305"/>
        <v>801</v>
      </c>
      <c r="E5846" t="str">
        <f>"89301122"</f>
        <v>89301122</v>
      </c>
      <c r="F5846" t="str">
        <f>"9451044427"</f>
        <v>9451044427</v>
      </c>
      <c r="G5846" s="1">
        <v>44692</v>
      </c>
      <c r="H5846" t="str">
        <f>"92165"</f>
        <v>92165</v>
      </c>
      <c r="I5846">
        <v>1</v>
      </c>
      <c r="J5846">
        <v>2113</v>
      </c>
      <c r="K5846">
        <v>0</v>
      </c>
      <c r="L5846">
        <v>1648.14</v>
      </c>
    </row>
    <row r="5847" spans="1:12" x14ac:dyDescent="0.25">
      <c r="A5847" t="str">
        <f t="shared" si="1299"/>
        <v>89301000</v>
      </c>
      <c r="B5847" t="str">
        <f t="shared" si="1303"/>
        <v>06223000</v>
      </c>
      <c r="C5847" t="str">
        <f t="shared" si="1304"/>
        <v>06223043</v>
      </c>
      <c r="D5847" t="str">
        <f t="shared" si="1305"/>
        <v>801</v>
      </c>
      <c r="E5847" t="str">
        <f>"89301122"</f>
        <v>89301122</v>
      </c>
      <c r="F5847" t="str">
        <f>"5807251560"</f>
        <v>5807251560</v>
      </c>
      <c r="G5847" s="1">
        <v>44691</v>
      </c>
      <c r="H5847" t="str">
        <f>"81485"</f>
        <v>81485</v>
      </c>
      <c r="I5847">
        <v>1</v>
      </c>
      <c r="J5847">
        <v>453</v>
      </c>
      <c r="K5847">
        <v>0</v>
      </c>
      <c r="L5847">
        <v>353.34</v>
      </c>
    </row>
    <row r="5848" spans="1:12" x14ac:dyDescent="0.25">
      <c r="A5848" t="str">
        <f t="shared" si="1299"/>
        <v>89301000</v>
      </c>
      <c r="B5848" t="str">
        <f>"04002000"</f>
        <v>04002000</v>
      </c>
      <c r="C5848" t="str">
        <f>"04002134"</f>
        <v>04002134</v>
      </c>
      <c r="D5848" t="str">
        <f>"809"</f>
        <v>809</v>
      </c>
      <c r="E5848" t="str">
        <f>"89301012"</f>
        <v>89301012</v>
      </c>
      <c r="F5848" t="str">
        <f>"7910215335"</f>
        <v>7910215335</v>
      </c>
      <c r="G5848" s="1">
        <v>44690</v>
      </c>
      <c r="H5848" t="str">
        <f>"89611"</f>
        <v>89611</v>
      </c>
      <c r="I5848">
        <v>2</v>
      </c>
      <c r="J5848">
        <v>4482</v>
      </c>
      <c r="K5848">
        <v>0</v>
      </c>
      <c r="L5848">
        <v>2689.2</v>
      </c>
    </row>
    <row r="5849" spans="1:12" x14ac:dyDescent="0.25">
      <c r="A5849" t="str">
        <f t="shared" si="1299"/>
        <v>89301000</v>
      </c>
      <c r="B5849" t="str">
        <f>"04002000"</f>
        <v>04002000</v>
      </c>
      <c r="C5849" t="str">
        <f>"04002134"</f>
        <v>04002134</v>
      </c>
      <c r="D5849" t="str">
        <f>"809"</f>
        <v>809</v>
      </c>
      <c r="E5849" t="str">
        <f>"89301012"</f>
        <v>89301012</v>
      </c>
      <c r="F5849" t="str">
        <f>"7910215335"</f>
        <v>7910215335</v>
      </c>
      <c r="G5849" s="1">
        <v>44690</v>
      </c>
      <c r="H5849" t="str">
        <f>"0022077"</f>
        <v>0022077</v>
      </c>
      <c r="I5849">
        <v>0.5</v>
      </c>
      <c r="K5849">
        <v>1004.83</v>
      </c>
      <c r="L5849">
        <v>1004.83</v>
      </c>
    </row>
    <row r="5850" spans="1:12" x14ac:dyDescent="0.25">
      <c r="A5850" t="str">
        <f t="shared" si="1299"/>
        <v>89301000</v>
      </c>
      <c r="B5850" t="str">
        <f t="shared" ref="B5850:B5866" si="1306">"05002000"</f>
        <v>05002000</v>
      </c>
      <c r="C5850" t="str">
        <f t="shared" ref="C5850:C5860" si="1307">"05002174"</f>
        <v>05002174</v>
      </c>
      <c r="D5850" t="str">
        <f t="shared" ref="D5850:D5860" si="1308">"802"</f>
        <v>802</v>
      </c>
      <c r="E5850" t="str">
        <f t="shared" ref="E5850:E5858" si="1309">"89301172"</f>
        <v>89301172</v>
      </c>
      <c r="F5850" t="str">
        <f>"5962221155"</f>
        <v>5962221155</v>
      </c>
      <c r="G5850" s="1">
        <v>44659</v>
      </c>
      <c r="H5850" t="str">
        <f t="shared" ref="H5850:H5858" si="1310">"85115"</f>
        <v>85115</v>
      </c>
      <c r="I5850">
        <v>1</v>
      </c>
      <c r="J5850">
        <v>2423</v>
      </c>
      <c r="K5850">
        <v>0</v>
      </c>
      <c r="L5850">
        <v>2204.9299999999998</v>
      </c>
    </row>
    <row r="5851" spans="1:12" x14ac:dyDescent="0.25">
      <c r="A5851" t="str">
        <f t="shared" si="1299"/>
        <v>89301000</v>
      </c>
      <c r="B5851" t="str">
        <f t="shared" si="1306"/>
        <v>05002000</v>
      </c>
      <c r="C5851" t="str">
        <f t="shared" si="1307"/>
        <v>05002174</v>
      </c>
      <c r="D5851" t="str">
        <f t="shared" si="1308"/>
        <v>802</v>
      </c>
      <c r="E5851" t="str">
        <f t="shared" si="1309"/>
        <v>89301172</v>
      </c>
      <c r="F5851" t="str">
        <f>"6452037207"</f>
        <v>6452037207</v>
      </c>
      <c r="G5851" s="1">
        <v>44659</v>
      </c>
      <c r="H5851" t="str">
        <f t="shared" si="1310"/>
        <v>85115</v>
      </c>
      <c r="I5851">
        <v>1</v>
      </c>
      <c r="J5851">
        <v>2423</v>
      </c>
      <c r="K5851">
        <v>0</v>
      </c>
      <c r="L5851">
        <v>2204.9299999999998</v>
      </c>
    </row>
    <row r="5852" spans="1:12" x14ac:dyDescent="0.25">
      <c r="A5852" t="str">
        <f t="shared" si="1299"/>
        <v>89301000</v>
      </c>
      <c r="B5852" t="str">
        <f t="shared" si="1306"/>
        <v>05002000</v>
      </c>
      <c r="C5852" t="str">
        <f t="shared" si="1307"/>
        <v>05002174</v>
      </c>
      <c r="D5852" t="str">
        <f t="shared" si="1308"/>
        <v>802</v>
      </c>
      <c r="E5852" t="str">
        <f t="shared" si="1309"/>
        <v>89301172</v>
      </c>
      <c r="F5852" t="str">
        <f>"7258085780"</f>
        <v>7258085780</v>
      </c>
      <c r="G5852" s="1">
        <v>44659</v>
      </c>
      <c r="H5852" t="str">
        <f t="shared" si="1310"/>
        <v>85115</v>
      </c>
      <c r="I5852">
        <v>1</v>
      </c>
      <c r="J5852">
        <v>2423</v>
      </c>
      <c r="K5852">
        <v>0</v>
      </c>
      <c r="L5852">
        <v>2204.9299999999998</v>
      </c>
    </row>
    <row r="5853" spans="1:12" x14ac:dyDescent="0.25">
      <c r="A5853" t="str">
        <f t="shared" si="1299"/>
        <v>89301000</v>
      </c>
      <c r="B5853" t="str">
        <f t="shared" si="1306"/>
        <v>05002000</v>
      </c>
      <c r="C5853" t="str">
        <f t="shared" si="1307"/>
        <v>05002174</v>
      </c>
      <c r="D5853" t="str">
        <f t="shared" si="1308"/>
        <v>802</v>
      </c>
      <c r="E5853" t="str">
        <f t="shared" si="1309"/>
        <v>89301172</v>
      </c>
      <c r="F5853" t="str">
        <f>"7658234496"</f>
        <v>7658234496</v>
      </c>
      <c r="G5853" s="1">
        <v>44659</v>
      </c>
      <c r="H5853" t="str">
        <f t="shared" si="1310"/>
        <v>85115</v>
      </c>
      <c r="I5853">
        <v>1</v>
      </c>
      <c r="J5853">
        <v>2423</v>
      </c>
      <c r="K5853">
        <v>0</v>
      </c>
      <c r="L5853">
        <v>2204.9299999999998</v>
      </c>
    </row>
    <row r="5854" spans="1:12" x14ac:dyDescent="0.25">
      <c r="A5854" t="str">
        <f t="shared" si="1299"/>
        <v>89301000</v>
      </c>
      <c r="B5854" t="str">
        <f t="shared" si="1306"/>
        <v>05002000</v>
      </c>
      <c r="C5854" t="str">
        <f t="shared" si="1307"/>
        <v>05002174</v>
      </c>
      <c r="D5854" t="str">
        <f t="shared" si="1308"/>
        <v>802</v>
      </c>
      <c r="E5854" t="str">
        <f t="shared" si="1309"/>
        <v>89301172</v>
      </c>
      <c r="F5854" t="str">
        <f>"7752034455"</f>
        <v>7752034455</v>
      </c>
      <c r="G5854" s="1">
        <v>44659</v>
      </c>
      <c r="H5854" t="str">
        <f t="shared" si="1310"/>
        <v>85115</v>
      </c>
      <c r="I5854">
        <v>1</v>
      </c>
      <c r="J5854">
        <v>2423</v>
      </c>
      <c r="K5854">
        <v>0</v>
      </c>
      <c r="L5854">
        <v>2204.9299999999998</v>
      </c>
    </row>
    <row r="5855" spans="1:12" x14ac:dyDescent="0.25">
      <c r="A5855" t="str">
        <f t="shared" si="1299"/>
        <v>89301000</v>
      </c>
      <c r="B5855" t="str">
        <f t="shared" si="1306"/>
        <v>05002000</v>
      </c>
      <c r="C5855" t="str">
        <f t="shared" si="1307"/>
        <v>05002174</v>
      </c>
      <c r="D5855" t="str">
        <f t="shared" si="1308"/>
        <v>802</v>
      </c>
      <c r="E5855" t="str">
        <f t="shared" si="1309"/>
        <v>89301172</v>
      </c>
      <c r="F5855" t="str">
        <f>"7907125369"</f>
        <v>7907125369</v>
      </c>
      <c r="G5855" s="1">
        <v>44659</v>
      </c>
      <c r="H5855" t="str">
        <f t="shared" si="1310"/>
        <v>85115</v>
      </c>
      <c r="I5855">
        <v>1</v>
      </c>
      <c r="J5855">
        <v>2423</v>
      </c>
      <c r="K5855">
        <v>0</v>
      </c>
      <c r="L5855">
        <v>2204.9299999999998</v>
      </c>
    </row>
    <row r="5856" spans="1:12" x14ac:dyDescent="0.25">
      <c r="A5856" t="str">
        <f t="shared" si="1299"/>
        <v>89301000</v>
      </c>
      <c r="B5856" t="str">
        <f t="shared" si="1306"/>
        <v>05002000</v>
      </c>
      <c r="C5856" t="str">
        <f t="shared" si="1307"/>
        <v>05002174</v>
      </c>
      <c r="D5856" t="str">
        <f t="shared" si="1308"/>
        <v>802</v>
      </c>
      <c r="E5856" t="str">
        <f t="shared" si="1309"/>
        <v>89301172</v>
      </c>
      <c r="F5856" t="str">
        <f>"8460264461"</f>
        <v>8460264461</v>
      </c>
      <c r="G5856" s="1">
        <v>44673</v>
      </c>
      <c r="H5856" t="str">
        <f t="shared" si="1310"/>
        <v>85115</v>
      </c>
      <c r="I5856">
        <v>1</v>
      </c>
      <c r="J5856">
        <v>2423</v>
      </c>
      <c r="K5856">
        <v>0</v>
      </c>
      <c r="L5856">
        <v>2204.9299999999998</v>
      </c>
    </row>
    <row r="5857" spans="1:12" x14ac:dyDescent="0.25">
      <c r="A5857" t="str">
        <f t="shared" si="1299"/>
        <v>89301000</v>
      </c>
      <c r="B5857" t="str">
        <f t="shared" si="1306"/>
        <v>05002000</v>
      </c>
      <c r="C5857" t="str">
        <f t="shared" si="1307"/>
        <v>05002174</v>
      </c>
      <c r="D5857" t="str">
        <f t="shared" si="1308"/>
        <v>802</v>
      </c>
      <c r="E5857" t="str">
        <f t="shared" si="1309"/>
        <v>89301172</v>
      </c>
      <c r="F5857" t="str">
        <f>"8761116155"</f>
        <v>8761116155</v>
      </c>
      <c r="G5857" s="1">
        <v>44659</v>
      </c>
      <c r="H5857" t="str">
        <f t="shared" si="1310"/>
        <v>85115</v>
      </c>
      <c r="I5857">
        <v>1</v>
      </c>
      <c r="J5857">
        <v>2423</v>
      </c>
      <c r="K5857">
        <v>0</v>
      </c>
      <c r="L5857">
        <v>2204.9299999999998</v>
      </c>
    </row>
    <row r="5858" spans="1:12" x14ac:dyDescent="0.25">
      <c r="A5858" t="str">
        <f t="shared" si="1299"/>
        <v>89301000</v>
      </c>
      <c r="B5858" t="str">
        <f t="shared" si="1306"/>
        <v>05002000</v>
      </c>
      <c r="C5858" t="str">
        <f t="shared" si="1307"/>
        <v>05002174</v>
      </c>
      <c r="D5858" t="str">
        <f t="shared" si="1308"/>
        <v>802</v>
      </c>
      <c r="E5858" t="str">
        <f t="shared" si="1309"/>
        <v>89301172</v>
      </c>
      <c r="F5858" t="str">
        <f>"9161305703"</f>
        <v>9161305703</v>
      </c>
      <c r="G5858" s="1">
        <v>44659</v>
      </c>
      <c r="H5858" t="str">
        <f t="shared" si="1310"/>
        <v>85115</v>
      </c>
      <c r="I5858">
        <v>1</v>
      </c>
      <c r="J5858">
        <v>2423</v>
      </c>
      <c r="K5858">
        <v>0</v>
      </c>
      <c r="L5858">
        <v>2204.9299999999998</v>
      </c>
    </row>
    <row r="5859" spans="1:12" x14ac:dyDescent="0.25">
      <c r="A5859" t="str">
        <f t="shared" si="1299"/>
        <v>89301000</v>
      </c>
      <c r="B5859" t="str">
        <f t="shared" si="1306"/>
        <v>05002000</v>
      </c>
      <c r="C5859" t="str">
        <f t="shared" si="1307"/>
        <v>05002174</v>
      </c>
      <c r="D5859" t="str">
        <f t="shared" si="1308"/>
        <v>802</v>
      </c>
      <c r="E5859" t="str">
        <f>"89301103"</f>
        <v>89301103</v>
      </c>
      <c r="F5859" t="str">
        <f>"0554193233"</f>
        <v>0554193233</v>
      </c>
      <c r="G5859" s="1">
        <v>44687</v>
      </c>
      <c r="H5859" t="str">
        <f>"82036"</f>
        <v>82036</v>
      </c>
      <c r="I5859">
        <v>3</v>
      </c>
      <c r="J5859">
        <v>4533</v>
      </c>
      <c r="K5859">
        <v>0</v>
      </c>
      <c r="L5859">
        <v>4125.03</v>
      </c>
    </row>
    <row r="5860" spans="1:12" x14ac:dyDescent="0.25">
      <c r="A5860" t="str">
        <f t="shared" si="1299"/>
        <v>89301000</v>
      </c>
      <c r="B5860" t="str">
        <f t="shared" si="1306"/>
        <v>05002000</v>
      </c>
      <c r="C5860" t="str">
        <f t="shared" si="1307"/>
        <v>05002174</v>
      </c>
      <c r="D5860" t="str">
        <f t="shared" si="1308"/>
        <v>802</v>
      </c>
      <c r="E5860" t="str">
        <f>"89301103"</f>
        <v>89301103</v>
      </c>
      <c r="F5860" t="str">
        <f>"0554193233"</f>
        <v>0554193233</v>
      </c>
      <c r="G5860" s="1">
        <v>44687</v>
      </c>
      <c r="H5860" t="str">
        <f>"82040"</f>
        <v>82040</v>
      </c>
      <c r="I5860">
        <v>1</v>
      </c>
      <c r="J5860">
        <v>927</v>
      </c>
      <c r="K5860">
        <v>0</v>
      </c>
      <c r="L5860">
        <v>843.57</v>
      </c>
    </row>
    <row r="5861" spans="1:12" x14ac:dyDescent="0.25">
      <c r="A5861" t="str">
        <f t="shared" si="1299"/>
        <v>89301000</v>
      </c>
      <c r="B5861" t="str">
        <f t="shared" si="1306"/>
        <v>05002000</v>
      </c>
      <c r="C5861" t="str">
        <f>"05002397"</f>
        <v>05002397</v>
      </c>
      <c r="D5861" t="str">
        <f>"818"</f>
        <v>818</v>
      </c>
      <c r="E5861" t="str">
        <f>"89301105"</f>
        <v>89301105</v>
      </c>
      <c r="F5861" t="str">
        <f>"1560012212"</f>
        <v>1560012212</v>
      </c>
      <c r="G5861" s="1">
        <v>44692</v>
      </c>
      <c r="H5861" t="str">
        <f>"94225"</f>
        <v>94225</v>
      </c>
      <c r="I5861">
        <v>1</v>
      </c>
      <c r="J5861">
        <v>1187</v>
      </c>
      <c r="K5861">
        <v>0</v>
      </c>
      <c r="L5861">
        <v>1080.17</v>
      </c>
    </row>
    <row r="5862" spans="1:12" x14ac:dyDescent="0.25">
      <c r="A5862" t="str">
        <f t="shared" si="1299"/>
        <v>89301000</v>
      </c>
      <c r="B5862" t="str">
        <f t="shared" si="1306"/>
        <v>05002000</v>
      </c>
      <c r="C5862" t="str">
        <f>"05002397"</f>
        <v>05002397</v>
      </c>
      <c r="D5862" t="str">
        <f>"818"</f>
        <v>818</v>
      </c>
      <c r="E5862" t="str">
        <f>"89301105"</f>
        <v>89301105</v>
      </c>
      <c r="F5862" t="str">
        <f>"1560012212"</f>
        <v>1560012212</v>
      </c>
      <c r="G5862" s="1">
        <v>44692</v>
      </c>
      <c r="H5862" t="str">
        <f>"94337"</f>
        <v>94337</v>
      </c>
      <c r="I5862">
        <v>6</v>
      </c>
      <c r="J5862">
        <v>53760</v>
      </c>
      <c r="K5862">
        <v>0</v>
      </c>
      <c r="L5862">
        <v>48921.599999999999</v>
      </c>
    </row>
    <row r="5863" spans="1:12" x14ac:dyDescent="0.25">
      <c r="A5863" t="str">
        <f t="shared" si="1299"/>
        <v>89301000</v>
      </c>
      <c r="B5863" t="str">
        <f t="shared" si="1306"/>
        <v>05002000</v>
      </c>
      <c r="C5863" t="str">
        <f>"05002397"</f>
        <v>05002397</v>
      </c>
      <c r="D5863" t="str">
        <f>"818"</f>
        <v>818</v>
      </c>
      <c r="E5863" t="str">
        <f>"89301105"</f>
        <v>89301105</v>
      </c>
      <c r="F5863" t="str">
        <f>"1560012212"</f>
        <v>1560012212</v>
      </c>
      <c r="G5863" s="1">
        <v>44694</v>
      </c>
      <c r="H5863" t="str">
        <f>"94229"</f>
        <v>94229</v>
      </c>
      <c r="I5863">
        <v>4</v>
      </c>
      <c r="J5863">
        <v>2472</v>
      </c>
      <c r="K5863">
        <v>0</v>
      </c>
      <c r="L5863">
        <v>2249.52</v>
      </c>
    </row>
    <row r="5864" spans="1:12" x14ac:dyDescent="0.25">
      <c r="A5864" t="str">
        <f t="shared" si="1299"/>
        <v>89301000</v>
      </c>
      <c r="B5864" t="str">
        <f t="shared" si="1306"/>
        <v>05002000</v>
      </c>
      <c r="C5864" t="str">
        <f>"05002397"</f>
        <v>05002397</v>
      </c>
      <c r="D5864" t="str">
        <f>"818"</f>
        <v>818</v>
      </c>
      <c r="E5864" t="str">
        <f>"89301105"</f>
        <v>89301105</v>
      </c>
      <c r="F5864" t="str">
        <f>"1560012212"</f>
        <v>1560012212</v>
      </c>
      <c r="G5864" s="1">
        <v>44694</v>
      </c>
      <c r="H5864" t="str">
        <f>"94337"</f>
        <v>94337</v>
      </c>
      <c r="I5864">
        <v>9</v>
      </c>
      <c r="J5864">
        <v>80640</v>
      </c>
      <c r="K5864">
        <v>0</v>
      </c>
      <c r="L5864">
        <v>73382.399999999994</v>
      </c>
    </row>
    <row r="5865" spans="1:12" x14ac:dyDescent="0.25">
      <c r="A5865" t="str">
        <f t="shared" si="1299"/>
        <v>89301000</v>
      </c>
      <c r="B5865" t="str">
        <f t="shared" si="1306"/>
        <v>05002000</v>
      </c>
      <c r="C5865" t="str">
        <f>"05002397"</f>
        <v>05002397</v>
      </c>
      <c r="D5865" t="str">
        <f>"818"</f>
        <v>818</v>
      </c>
      <c r="E5865" t="str">
        <f>"89301105"</f>
        <v>89301105</v>
      </c>
      <c r="F5865" t="str">
        <f>"1560012212"</f>
        <v>1560012212</v>
      </c>
      <c r="G5865" s="1">
        <v>44694</v>
      </c>
      <c r="H5865" t="str">
        <f>"94337"</f>
        <v>94337</v>
      </c>
      <c r="I5865">
        <v>4</v>
      </c>
      <c r="J5865">
        <v>35840</v>
      </c>
      <c r="K5865">
        <v>0</v>
      </c>
      <c r="L5865">
        <v>32614.400000000001</v>
      </c>
    </row>
    <row r="5866" spans="1:12" x14ac:dyDescent="0.25">
      <c r="A5866" t="str">
        <f t="shared" si="1299"/>
        <v>89301000</v>
      </c>
      <c r="B5866" t="str">
        <f t="shared" si="1306"/>
        <v>05002000</v>
      </c>
      <c r="C5866" t="str">
        <f>"05002141"</f>
        <v>05002141</v>
      </c>
      <c r="D5866" t="str">
        <f>"816"</f>
        <v>816</v>
      </c>
      <c r="E5866" t="str">
        <f>"89301282"</f>
        <v>89301282</v>
      </c>
      <c r="F5866" t="str">
        <f>"5555312048"</f>
        <v>5555312048</v>
      </c>
      <c r="G5866" s="1">
        <v>44701</v>
      </c>
      <c r="H5866" t="str">
        <f>"94221"</f>
        <v>94221</v>
      </c>
      <c r="I5866">
        <v>4</v>
      </c>
      <c r="J5866">
        <v>9812</v>
      </c>
      <c r="K5866">
        <v>0</v>
      </c>
      <c r="L5866">
        <v>8340.2000000000007</v>
      </c>
    </row>
    <row r="5867" spans="1:12" x14ac:dyDescent="0.25">
      <c r="A5867" t="str">
        <f t="shared" si="1299"/>
        <v>89301000</v>
      </c>
      <c r="B5867" t="str">
        <f t="shared" ref="B5867:B5898" si="1311">"78915000"</f>
        <v>78915000</v>
      </c>
      <c r="C5867" t="str">
        <f t="shared" ref="C5867:C5898" si="1312">"78915001"</f>
        <v>78915001</v>
      </c>
      <c r="D5867" t="str">
        <f t="shared" ref="D5867:D5898" si="1313">"809"</f>
        <v>809</v>
      </c>
      <c r="E5867" t="str">
        <f>"89301212"</f>
        <v>89301212</v>
      </c>
      <c r="F5867" t="str">
        <f>"465305401"</f>
        <v>465305401</v>
      </c>
      <c r="G5867" s="1">
        <v>44713</v>
      </c>
      <c r="H5867" t="str">
        <f>"89715"</f>
        <v>89715</v>
      </c>
      <c r="I5867">
        <v>1</v>
      </c>
      <c r="J5867">
        <v>5474</v>
      </c>
      <c r="K5867">
        <v>0</v>
      </c>
      <c r="L5867">
        <v>3284.4</v>
      </c>
    </row>
    <row r="5868" spans="1:12" x14ac:dyDescent="0.25">
      <c r="A5868" t="str">
        <f t="shared" si="1299"/>
        <v>89301000</v>
      </c>
      <c r="B5868" t="str">
        <f t="shared" si="1311"/>
        <v>78915000</v>
      </c>
      <c r="C5868" t="str">
        <f t="shared" si="1312"/>
        <v>78915001</v>
      </c>
      <c r="D5868" t="str">
        <f t="shared" si="1313"/>
        <v>809</v>
      </c>
      <c r="E5868" t="str">
        <f>"89301212"</f>
        <v>89301212</v>
      </c>
      <c r="F5868" t="str">
        <f>"465305401"</f>
        <v>465305401</v>
      </c>
      <c r="G5868" s="1">
        <v>44713</v>
      </c>
      <c r="H5868" t="str">
        <f>"89725"</f>
        <v>89725</v>
      </c>
      <c r="I5868">
        <v>1</v>
      </c>
      <c r="J5868">
        <v>2839</v>
      </c>
      <c r="K5868">
        <v>0</v>
      </c>
      <c r="L5868">
        <v>1703.4</v>
      </c>
    </row>
    <row r="5869" spans="1:12" x14ac:dyDescent="0.25">
      <c r="A5869" t="str">
        <f t="shared" si="1299"/>
        <v>89301000</v>
      </c>
      <c r="B5869" t="str">
        <f t="shared" si="1311"/>
        <v>78915000</v>
      </c>
      <c r="C5869" t="str">
        <f t="shared" si="1312"/>
        <v>78915001</v>
      </c>
      <c r="D5869" t="str">
        <f t="shared" si="1313"/>
        <v>809</v>
      </c>
      <c r="E5869" t="str">
        <f>"89301212"</f>
        <v>89301212</v>
      </c>
      <c r="F5869" t="str">
        <f>"465305401"</f>
        <v>465305401</v>
      </c>
      <c r="G5869" s="1">
        <v>44713</v>
      </c>
      <c r="H5869" t="str">
        <f>"0207733"</f>
        <v>0207733</v>
      </c>
      <c r="I5869">
        <v>1.3</v>
      </c>
      <c r="K5869">
        <v>3367.69</v>
      </c>
      <c r="L5869">
        <v>3367.69</v>
      </c>
    </row>
    <row r="5870" spans="1:12" x14ac:dyDescent="0.25">
      <c r="A5870" t="str">
        <f t="shared" si="1299"/>
        <v>89301000</v>
      </c>
      <c r="B5870" t="str">
        <f t="shared" si="1311"/>
        <v>78915000</v>
      </c>
      <c r="C5870" t="str">
        <f t="shared" si="1312"/>
        <v>78915001</v>
      </c>
      <c r="D5870" t="str">
        <f t="shared" si="1313"/>
        <v>809</v>
      </c>
      <c r="E5870" t="str">
        <f>"89301045"</f>
        <v>89301045</v>
      </c>
      <c r="F5870" t="str">
        <f>"465612184"</f>
        <v>465612184</v>
      </c>
      <c r="G5870" s="1">
        <v>44720</v>
      </c>
      <c r="H5870" t="str">
        <f>"89715"</f>
        <v>89715</v>
      </c>
      <c r="I5870">
        <v>1</v>
      </c>
      <c r="J5870">
        <v>5474</v>
      </c>
      <c r="K5870">
        <v>0</v>
      </c>
      <c r="L5870">
        <v>3284.4</v>
      </c>
    </row>
    <row r="5871" spans="1:12" x14ac:dyDescent="0.25">
      <c r="A5871" t="str">
        <f t="shared" si="1299"/>
        <v>89301000</v>
      </c>
      <c r="B5871" t="str">
        <f t="shared" si="1311"/>
        <v>78915000</v>
      </c>
      <c r="C5871" t="str">
        <f t="shared" si="1312"/>
        <v>78915001</v>
      </c>
      <c r="D5871" t="str">
        <f t="shared" si="1313"/>
        <v>809</v>
      </c>
      <c r="E5871" t="str">
        <f>"89301045"</f>
        <v>89301045</v>
      </c>
      <c r="F5871" t="str">
        <f>"465612184"</f>
        <v>465612184</v>
      </c>
      <c r="G5871" s="1">
        <v>44720</v>
      </c>
      <c r="H5871" t="str">
        <f>"89725"</f>
        <v>89725</v>
      </c>
      <c r="I5871">
        <v>1</v>
      </c>
      <c r="J5871">
        <v>2839</v>
      </c>
      <c r="K5871">
        <v>0</v>
      </c>
      <c r="L5871">
        <v>1703.4</v>
      </c>
    </row>
    <row r="5872" spans="1:12" x14ac:dyDescent="0.25">
      <c r="A5872" t="str">
        <f t="shared" si="1299"/>
        <v>89301000</v>
      </c>
      <c r="B5872" t="str">
        <f t="shared" si="1311"/>
        <v>78915000</v>
      </c>
      <c r="C5872" t="str">
        <f t="shared" si="1312"/>
        <v>78915001</v>
      </c>
      <c r="D5872" t="str">
        <f t="shared" si="1313"/>
        <v>809</v>
      </c>
      <c r="E5872" t="str">
        <f>"89301045"</f>
        <v>89301045</v>
      </c>
      <c r="F5872" t="str">
        <f>"465612184"</f>
        <v>465612184</v>
      </c>
      <c r="G5872" s="1">
        <v>44720</v>
      </c>
      <c r="H5872" t="str">
        <f>"0207733"</f>
        <v>0207733</v>
      </c>
      <c r="I5872">
        <v>1</v>
      </c>
      <c r="K5872">
        <v>2590.5300000000002</v>
      </c>
      <c r="L5872">
        <v>2590.5300000000002</v>
      </c>
    </row>
    <row r="5873" spans="1:12" x14ac:dyDescent="0.25">
      <c r="A5873" t="str">
        <f t="shared" si="1299"/>
        <v>89301000</v>
      </c>
      <c r="B5873" t="str">
        <f t="shared" si="1311"/>
        <v>78915000</v>
      </c>
      <c r="C5873" t="str">
        <f t="shared" si="1312"/>
        <v>78915001</v>
      </c>
      <c r="D5873" t="str">
        <f t="shared" si="1313"/>
        <v>809</v>
      </c>
      <c r="E5873" t="str">
        <f>"89301062"</f>
        <v>89301062</v>
      </c>
      <c r="F5873" t="str">
        <f>"466014155"</f>
        <v>466014155</v>
      </c>
      <c r="G5873" s="1">
        <v>44720</v>
      </c>
      <c r="H5873" t="str">
        <f>"89713"</f>
        <v>89713</v>
      </c>
      <c r="I5873">
        <v>1</v>
      </c>
      <c r="J5873">
        <v>5362</v>
      </c>
      <c r="K5873">
        <v>0</v>
      </c>
      <c r="L5873">
        <v>3217.2</v>
      </c>
    </row>
    <row r="5874" spans="1:12" x14ac:dyDescent="0.25">
      <c r="A5874" t="str">
        <f t="shared" si="1299"/>
        <v>89301000</v>
      </c>
      <c r="B5874" t="str">
        <f t="shared" si="1311"/>
        <v>78915000</v>
      </c>
      <c r="C5874" t="str">
        <f t="shared" si="1312"/>
        <v>78915001</v>
      </c>
      <c r="D5874" t="str">
        <f t="shared" si="1313"/>
        <v>809</v>
      </c>
      <c r="E5874" t="str">
        <f>"89301062"</f>
        <v>89301062</v>
      </c>
      <c r="F5874" t="str">
        <f>"466014155"</f>
        <v>466014155</v>
      </c>
      <c r="G5874" s="1">
        <v>44720</v>
      </c>
      <c r="H5874" t="str">
        <f>"89725"</f>
        <v>89725</v>
      </c>
      <c r="I5874">
        <v>1</v>
      </c>
      <c r="J5874">
        <v>2839</v>
      </c>
      <c r="K5874">
        <v>0</v>
      </c>
      <c r="L5874">
        <v>1703.4</v>
      </c>
    </row>
    <row r="5875" spans="1:12" x14ac:dyDescent="0.25">
      <c r="A5875" t="str">
        <f t="shared" si="1299"/>
        <v>89301000</v>
      </c>
      <c r="B5875" t="str">
        <f t="shared" si="1311"/>
        <v>78915000</v>
      </c>
      <c r="C5875" t="str">
        <f t="shared" si="1312"/>
        <v>78915001</v>
      </c>
      <c r="D5875" t="str">
        <f t="shared" si="1313"/>
        <v>809</v>
      </c>
      <c r="E5875" t="str">
        <f>"89301062"</f>
        <v>89301062</v>
      </c>
      <c r="F5875" t="str">
        <f>"500718153"</f>
        <v>500718153</v>
      </c>
      <c r="G5875" s="1">
        <v>44741</v>
      </c>
      <c r="H5875" t="str">
        <f>"89713"</f>
        <v>89713</v>
      </c>
      <c r="I5875">
        <v>1</v>
      </c>
      <c r="J5875">
        <v>5362</v>
      </c>
      <c r="K5875">
        <v>0</v>
      </c>
      <c r="L5875">
        <v>3217.2</v>
      </c>
    </row>
    <row r="5876" spans="1:12" x14ac:dyDescent="0.25">
      <c r="A5876" t="str">
        <f t="shared" si="1299"/>
        <v>89301000</v>
      </c>
      <c r="B5876" t="str">
        <f t="shared" si="1311"/>
        <v>78915000</v>
      </c>
      <c r="C5876" t="str">
        <f t="shared" si="1312"/>
        <v>78915001</v>
      </c>
      <c r="D5876" t="str">
        <f t="shared" si="1313"/>
        <v>809</v>
      </c>
      <c r="E5876" t="str">
        <f>"89301062"</f>
        <v>89301062</v>
      </c>
      <c r="F5876" t="str">
        <f>"500718153"</f>
        <v>500718153</v>
      </c>
      <c r="G5876" s="1">
        <v>44741</v>
      </c>
      <c r="H5876" t="str">
        <f>"89725"</f>
        <v>89725</v>
      </c>
      <c r="I5876">
        <v>1</v>
      </c>
      <c r="J5876">
        <v>2839</v>
      </c>
      <c r="K5876">
        <v>0</v>
      </c>
      <c r="L5876">
        <v>1703.4</v>
      </c>
    </row>
    <row r="5877" spans="1:12" x14ac:dyDescent="0.25">
      <c r="A5877" t="str">
        <f t="shared" si="1299"/>
        <v>89301000</v>
      </c>
      <c r="B5877" t="str">
        <f t="shared" si="1311"/>
        <v>78915000</v>
      </c>
      <c r="C5877" t="str">
        <f t="shared" si="1312"/>
        <v>78915001</v>
      </c>
      <c r="D5877" t="str">
        <f t="shared" si="1313"/>
        <v>809</v>
      </c>
      <c r="E5877" t="str">
        <f>"89301606"</f>
        <v>89301606</v>
      </c>
      <c r="F5877" t="str">
        <f>"5753200244"</f>
        <v>5753200244</v>
      </c>
      <c r="G5877" s="1">
        <v>44736</v>
      </c>
      <c r="H5877" t="str">
        <f>"89713"</f>
        <v>89713</v>
      </c>
      <c r="I5877">
        <v>1</v>
      </c>
      <c r="J5877">
        <v>5362</v>
      </c>
      <c r="K5877">
        <v>0</v>
      </c>
      <c r="L5877">
        <v>3217.2</v>
      </c>
    </row>
    <row r="5878" spans="1:12" x14ac:dyDescent="0.25">
      <c r="A5878" t="str">
        <f t="shared" si="1299"/>
        <v>89301000</v>
      </c>
      <c r="B5878" t="str">
        <f t="shared" si="1311"/>
        <v>78915000</v>
      </c>
      <c r="C5878" t="str">
        <f t="shared" si="1312"/>
        <v>78915001</v>
      </c>
      <c r="D5878" t="str">
        <f t="shared" si="1313"/>
        <v>809</v>
      </c>
      <c r="E5878" t="str">
        <f>"89301606"</f>
        <v>89301606</v>
      </c>
      <c r="F5878" t="str">
        <f>"5753200244"</f>
        <v>5753200244</v>
      </c>
      <c r="G5878" s="1">
        <v>44736</v>
      </c>
      <c r="H5878" t="str">
        <f>"89725"</f>
        <v>89725</v>
      </c>
      <c r="I5878">
        <v>1</v>
      </c>
      <c r="J5878">
        <v>2839</v>
      </c>
      <c r="K5878">
        <v>0</v>
      </c>
      <c r="L5878">
        <v>1703.4</v>
      </c>
    </row>
    <row r="5879" spans="1:12" x14ac:dyDescent="0.25">
      <c r="A5879" t="str">
        <f t="shared" si="1299"/>
        <v>89301000</v>
      </c>
      <c r="B5879" t="str">
        <f t="shared" si="1311"/>
        <v>78915000</v>
      </c>
      <c r="C5879" t="str">
        <f t="shared" si="1312"/>
        <v>78915001</v>
      </c>
      <c r="D5879" t="str">
        <f t="shared" si="1313"/>
        <v>809</v>
      </c>
      <c r="E5879" t="str">
        <f>"89301606"</f>
        <v>89301606</v>
      </c>
      <c r="F5879" t="str">
        <f>"5909061961"</f>
        <v>5909061961</v>
      </c>
      <c r="G5879" s="1">
        <v>44742</v>
      </c>
      <c r="H5879" t="str">
        <f>"89713"</f>
        <v>89713</v>
      </c>
      <c r="I5879">
        <v>1</v>
      </c>
      <c r="J5879">
        <v>5362</v>
      </c>
      <c r="K5879">
        <v>0</v>
      </c>
      <c r="L5879">
        <v>3217.2</v>
      </c>
    </row>
    <row r="5880" spans="1:12" x14ac:dyDescent="0.25">
      <c r="A5880" t="str">
        <f t="shared" si="1299"/>
        <v>89301000</v>
      </c>
      <c r="B5880" t="str">
        <f t="shared" si="1311"/>
        <v>78915000</v>
      </c>
      <c r="C5880" t="str">
        <f t="shared" si="1312"/>
        <v>78915001</v>
      </c>
      <c r="D5880" t="str">
        <f t="shared" si="1313"/>
        <v>809</v>
      </c>
      <c r="E5880" t="str">
        <f>"89301606"</f>
        <v>89301606</v>
      </c>
      <c r="F5880" t="str">
        <f>"5909061961"</f>
        <v>5909061961</v>
      </c>
      <c r="G5880" s="1">
        <v>44742</v>
      </c>
      <c r="H5880" t="str">
        <f>"89725"</f>
        <v>89725</v>
      </c>
      <c r="I5880">
        <v>1</v>
      </c>
      <c r="J5880">
        <v>2839</v>
      </c>
      <c r="K5880">
        <v>0</v>
      </c>
      <c r="L5880">
        <v>1703.4</v>
      </c>
    </row>
    <row r="5881" spans="1:12" x14ac:dyDescent="0.25">
      <c r="A5881" t="str">
        <f t="shared" si="1299"/>
        <v>89301000</v>
      </c>
      <c r="B5881" t="str">
        <f t="shared" si="1311"/>
        <v>78915000</v>
      </c>
      <c r="C5881" t="str">
        <f t="shared" si="1312"/>
        <v>78915001</v>
      </c>
      <c r="D5881" t="str">
        <f t="shared" si="1313"/>
        <v>809</v>
      </c>
      <c r="E5881" t="str">
        <f>"89301112"</f>
        <v>89301112</v>
      </c>
      <c r="F5881" t="str">
        <f>"6158210344"</f>
        <v>6158210344</v>
      </c>
      <c r="G5881" s="1">
        <v>44735</v>
      </c>
      <c r="H5881" t="str">
        <f>"09567"</f>
        <v>09567</v>
      </c>
      <c r="I5881">
        <v>1</v>
      </c>
      <c r="J5881">
        <v>0</v>
      </c>
      <c r="K5881">
        <v>0</v>
      </c>
      <c r="L5881">
        <v>0</v>
      </c>
    </row>
    <row r="5882" spans="1:12" x14ac:dyDescent="0.25">
      <c r="A5882" t="str">
        <f t="shared" si="1299"/>
        <v>89301000</v>
      </c>
      <c r="B5882" t="str">
        <f t="shared" si="1311"/>
        <v>78915000</v>
      </c>
      <c r="C5882" t="str">
        <f t="shared" si="1312"/>
        <v>78915001</v>
      </c>
      <c r="D5882" t="str">
        <f t="shared" si="1313"/>
        <v>809</v>
      </c>
      <c r="E5882" t="str">
        <f>"89301112"</f>
        <v>89301112</v>
      </c>
      <c r="F5882" t="str">
        <f>"6158210344"</f>
        <v>6158210344</v>
      </c>
      <c r="G5882" s="1">
        <v>44735</v>
      </c>
      <c r="H5882" t="str">
        <f>"89713"</f>
        <v>89713</v>
      </c>
      <c r="I5882">
        <v>1</v>
      </c>
      <c r="J5882">
        <v>5362</v>
      </c>
      <c r="K5882">
        <v>0</v>
      </c>
      <c r="L5882">
        <v>3217.2</v>
      </c>
    </row>
    <row r="5883" spans="1:12" x14ac:dyDescent="0.25">
      <c r="A5883" t="str">
        <f t="shared" si="1299"/>
        <v>89301000</v>
      </c>
      <c r="B5883" t="str">
        <f t="shared" si="1311"/>
        <v>78915000</v>
      </c>
      <c r="C5883" t="str">
        <f t="shared" si="1312"/>
        <v>78915001</v>
      </c>
      <c r="D5883" t="str">
        <f t="shared" si="1313"/>
        <v>809</v>
      </c>
      <c r="E5883" t="str">
        <f>"89301112"</f>
        <v>89301112</v>
      </c>
      <c r="F5883" t="str">
        <f>"6205271039"</f>
        <v>6205271039</v>
      </c>
      <c r="G5883" s="1">
        <v>44728</v>
      </c>
      <c r="H5883" t="str">
        <f>"09569"</f>
        <v>09569</v>
      </c>
      <c r="I5883">
        <v>1</v>
      </c>
      <c r="J5883">
        <v>0</v>
      </c>
      <c r="K5883">
        <v>0</v>
      </c>
      <c r="L5883">
        <v>0</v>
      </c>
    </row>
    <row r="5884" spans="1:12" x14ac:dyDescent="0.25">
      <c r="A5884" t="str">
        <f t="shared" si="1299"/>
        <v>89301000</v>
      </c>
      <c r="B5884" t="str">
        <f t="shared" si="1311"/>
        <v>78915000</v>
      </c>
      <c r="C5884" t="str">
        <f t="shared" si="1312"/>
        <v>78915001</v>
      </c>
      <c r="D5884" t="str">
        <f t="shared" si="1313"/>
        <v>809</v>
      </c>
      <c r="E5884" t="str">
        <f>"89301112"</f>
        <v>89301112</v>
      </c>
      <c r="F5884" t="str">
        <f>"6205271039"</f>
        <v>6205271039</v>
      </c>
      <c r="G5884" s="1">
        <v>44728</v>
      </c>
      <c r="H5884" t="str">
        <f>"89713"</f>
        <v>89713</v>
      </c>
      <c r="I5884">
        <v>1</v>
      </c>
      <c r="J5884">
        <v>5362</v>
      </c>
      <c r="K5884">
        <v>0</v>
      </c>
      <c r="L5884">
        <v>3217.2</v>
      </c>
    </row>
    <row r="5885" spans="1:12" x14ac:dyDescent="0.25">
      <c r="A5885" t="str">
        <f t="shared" si="1299"/>
        <v>89301000</v>
      </c>
      <c r="B5885" t="str">
        <f t="shared" si="1311"/>
        <v>78915000</v>
      </c>
      <c r="C5885" t="str">
        <f t="shared" si="1312"/>
        <v>78915001</v>
      </c>
      <c r="D5885" t="str">
        <f t="shared" si="1313"/>
        <v>809</v>
      </c>
      <c r="E5885" t="str">
        <f>"89301062"</f>
        <v>89301062</v>
      </c>
      <c r="F5885" t="str">
        <f>"6312090367"</f>
        <v>6312090367</v>
      </c>
      <c r="G5885" s="1">
        <v>44721</v>
      </c>
      <c r="H5885" t="str">
        <f>"89713"</f>
        <v>89713</v>
      </c>
      <c r="I5885">
        <v>1</v>
      </c>
      <c r="J5885">
        <v>5362</v>
      </c>
      <c r="K5885">
        <v>0</v>
      </c>
      <c r="L5885">
        <v>3217.2</v>
      </c>
    </row>
    <row r="5886" spans="1:12" x14ac:dyDescent="0.25">
      <c r="A5886" t="str">
        <f t="shared" si="1299"/>
        <v>89301000</v>
      </c>
      <c r="B5886" t="str">
        <f t="shared" si="1311"/>
        <v>78915000</v>
      </c>
      <c r="C5886" t="str">
        <f t="shared" si="1312"/>
        <v>78915001</v>
      </c>
      <c r="D5886" t="str">
        <f t="shared" si="1313"/>
        <v>809</v>
      </c>
      <c r="E5886" t="str">
        <f>"89301062"</f>
        <v>89301062</v>
      </c>
      <c r="F5886" t="str">
        <f>"6312090367"</f>
        <v>6312090367</v>
      </c>
      <c r="G5886" s="1">
        <v>44721</v>
      </c>
      <c r="H5886" t="str">
        <f>"89725"</f>
        <v>89725</v>
      </c>
      <c r="I5886">
        <v>1</v>
      </c>
      <c r="J5886">
        <v>2839</v>
      </c>
      <c r="K5886">
        <v>0</v>
      </c>
      <c r="L5886">
        <v>1703.4</v>
      </c>
    </row>
    <row r="5887" spans="1:12" x14ac:dyDescent="0.25">
      <c r="A5887" t="str">
        <f t="shared" si="1299"/>
        <v>89301000</v>
      </c>
      <c r="B5887" t="str">
        <f t="shared" si="1311"/>
        <v>78915000</v>
      </c>
      <c r="C5887" t="str">
        <f t="shared" si="1312"/>
        <v>78915001</v>
      </c>
      <c r="D5887" t="str">
        <f t="shared" si="1313"/>
        <v>809</v>
      </c>
      <c r="E5887" t="str">
        <f>"89301212"</f>
        <v>89301212</v>
      </c>
      <c r="F5887" t="str">
        <f>"6354031101"</f>
        <v>6354031101</v>
      </c>
      <c r="G5887" s="1">
        <v>44723</v>
      </c>
      <c r="H5887" t="str">
        <f>"89715"</f>
        <v>89715</v>
      </c>
      <c r="I5887">
        <v>1</v>
      </c>
      <c r="J5887">
        <v>5474</v>
      </c>
      <c r="K5887">
        <v>0</v>
      </c>
      <c r="L5887">
        <v>3284.4</v>
      </c>
    </row>
    <row r="5888" spans="1:12" x14ac:dyDescent="0.25">
      <c r="A5888" t="str">
        <f t="shared" si="1299"/>
        <v>89301000</v>
      </c>
      <c r="B5888" t="str">
        <f t="shared" si="1311"/>
        <v>78915000</v>
      </c>
      <c r="C5888" t="str">
        <f t="shared" si="1312"/>
        <v>78915001</v>
      </c>
      <c r="D5888" t="str">
        <f t="shared" si="1313"/>
        <v>809</v>
      </c>
      <c r="E5888" t="str">
        <f>"89301212"</f>
        <v>89301212</v>
      </c>
      <c r="F5888" t="str">
        <f>"6354031101"</f>
        <v>6354031101</v>
      </c>
      <c r="G5888" s="1">
        <v>44723</v>
      </c>
      <c r="H5888" t="str">
        <f>"89725"</f>
        <v>89725</v>
      </c>
      <c r="I5888">
        <v>1</v>
      </c>
      <c r="J5888">
        <v>2839</v>
      </c>
      <c r="K5888">
        <v>0</v>
      </c>
      <c r="L5888">
        <v>1703.4</v>
      </c>
    </row>
    <row r="5889" spans="1:12" x14ac:dyDescent="0.25">
      <c r="A5889" t="str">
        <f t="shared" si="1299"/>
        <v>89301000</v>
      </c>
      <c r="B5889" t="str">
        <f t="shared" si="1311"/>
        <v>78915000</v>
      </c>
      <c r="C5889" t="str">
        <f t="shared" si="1312"/>
        <v>78915001</v>
      </c>
      <c r="D5889" t="str">
        <f t="shared" si="1313"/>
        <v>809</v>
      </c>
      <c r="E5889" t="str">
        <f>"89301212"</f>
        <v>89301212</v>
      </c>
      <c r="F5889" t="str">
        <f>"6354031101"</f>
        <v>6354031101</v>
      </c>
      <c r="G5889" s="1">
        <v>44723</v>
      </c>
      <c r="H5889" t="str">
        <f>"0207733"</f>
        <v>0207733</v>
      </c>
      <c r="I5889">
        <v>1</v>
      </c>
      <c r="K5889">
        <v>2590.5300000000002</v>
      </c>
      <c r="L5889">
        <v>2590.5300000000002</v>
      </c>
    </row>
    <row r="5890" spans="1:12" x14ac:dyDescent="0.25">
      <c r="A5890" t="str">
        <f t="shared" ref="A5890:A5953" si="1314">"89301000"</f>
        <v>89301000</v>
      </c>
      <c r="B5890" t="str">
        <f t="shared" si="1311"/>
        <v>78915000</v>
      </c>
      <c r="C5890" t="str">
        <f t="shared" si="1312"/>
        <v>78915001</v>
      </c>
      <c r="D5890" t="str">
        <f t="shared" si="1313"/>
        <v>809</v>
      </c>
      <c r="E5890" t="str">
        <f>"89301045"</f>
        <v>89301045</v>
      </c>
      <c r="F5890" t="str">
        <f>"7252125683"</f>
        <v>7252125683</v>
      </c>
      <c r="G5890" s="1">
        <v>44734</v>
      </c>
      <c r="H5890" t="str">
        <f>"89715"</f>
        <v>89715</v>
      </c>
      <c r="I5890">
        <v>1</v>
      </c>
      <c r="J5890">
        <v>5474</v>
      </c>
      <c r="K5890">
        <v>0</v>
      </c>
      <c r="L5890">
        <v>3284.4</v>
      </c>
    </row>
    <row r="5891" spans="1:12" x14ac:dyDescent="0.25">
      <c r="A5891" t="str">
        <f t="shared" si="1314"/>
        <v>89301000</v>
      </c>
      <c r="B5891" t="str">
        <f t="shared" si="1311"/>
        <v>78915000</v>
      </c>
      <c r="C5891" t="str">
        <f t="shared" si="1312"/>
        <v>78915001</v>
      </c>
      <c r="D5891" t="str">
        <f t="shared" si="1313"/>
        <v>809</v>
      </c>
      <c r="E5891" t="str">
        <f>"89301045"</f>
        <v>89301045</v>
      </c>
      <c r="F5891" t="str">
        <f>"7252125683"</f>
        <v>7252125683</v>
      </c>
      <c r="G5891" s="1">
        <v>44734</v>
      </c>
      <c r="H5891" t="str">
        <f>"89725"</f>
        <v>89725</v>
      </c>
      <c r="I5891">
        <v>1</v>
      </c>
      <c r="J5891">
        <v>2839</v>
      </c>
      <c r="K5891">
        <v>0</v>
      </c>
      <c r="L5891">
        <v>1703.4</v>
      </c>
    </row>
    <row r="5892" spans="1:12" x14ac:dyDescent="0.25">
      <c r="A5892" t="str">
        <f t="shared" si="1314"/>
        <v>89301000</v>
      </c>
      <c r="B5892" t="str">
        <f t="shared" si="1311"/>
        <v>78915000</v>
      </c>
      <c r="C5892" t="str">
        <f t="shared" si="1312"/>
        <v>78915001</v>
      </c>
      <c r="D5892" t="str">
        <f t="shared" si="1313"/>
        <v>809</v>
      </c>
      <c r="E5892" t="str">
        <f>"89301045"</f>
        <v>89301045</v>
      </c>
      <c r="F5892" t="str">
        <f>"7252125683"</f>
        <v>7252125683</v>
      </c>
      <c r="G5892" s="1">
        <v>44734</v>
      </c>
      <c r="H5892" t="str">
        <f>"0207733"</f>
        <v>0207733</v>
      </c>
      <c r="I5892">
        <v>1</v>
      </c>
      <c r="K5892">
        <v>2590.5300000000002</v>
      </c>
      <c r="L5892">
        <v>2590.5300000000002</v>
      </c>
    </row>
    <row r="5893" spans="1:12" x14ac:dyDescent="0.25">
      <c r="A5893" t="str">
        <f t="shared" si="1314"/>
        <v>89301000</v>
      </c>
      <c r="B5893" t="str">
        <f t="shared" si="1311"/>
        <v>78915000</v>
      </c>
      <c r="C5893" t="str">
        <f t="shared" si="1312"/>
        <v>78915001</v>
      </c>
      <c r="D5893" t="str">
        <f t="shared" si="1313"/>
        <v>809</v>
      </c>
      <c r="E5893" t="str">
        <f>"89301062"</f>
        <v>89301062</v>
      </c>
      <c r="F5893" t="str">
        <f>"7252215773"</f>
        <v>7252215773</v>
      </c>
      <c r="G5893" s="1">
        <v>44728</v>
      </c>
      <c r="H5893" t="str">
        <f>"89713"</f>
        <v>89713</v>
      </c>
      <c r="I5893">
        <v>1</v>
      </c>
      <c r="J5893">
        <v>5362</v>
      </c>
      <c r="K5893">
        <v>0</v>
      </c>
      <c r="L5893">
        <v>3217.2</v>
      </c>
    </row>
    <row r="5894" spans="1:12" x14ac:dyDescent="0.25">
      <c r="A5894" t="str">
        <f t="shared" si="1314"/>
        <v>89301000</v>
      </c>
      <c r="B5894" t="str">
        <f t="shared" si="1311"/>
        <v>78915000</v>
      </c>
      <c r="C5894" t="str">
        <f t="shared" si="1312"/>
        <v>78915001</v>
      </c>
      <c r="D5894" t="str">
        <f t="shared" si="1313"/>
        <v>809</v>
      </c>
      <c r="E5894" t="str">
        <f>"89301062"</f>
        <v>89301062</v>
      </c>
      <c r="F5894" t="str">
        <f>"7252215773"</f>
        <v>7252215773</v>
      </c>
      <c r="G5894" s="1">
        <v>44728</v>
      </c>
      <c r="H5894" t="str">
        <f>"89725"</f>
        <v>89725</v>
      </c>
      <c r="I5894">
        <v>1</v>
      </c>
      <c r="J5894">
        <v>2839</v>
      </c>
      <c r="K5894">
        <v>0</v>
      </c>
      <c r="L5894">
        <v>1703.4</v>
      </c>
    </row>
    <row r="5895" spans="1:12" x14ac:dyDescent="0.25">
      <c r="A5895" t="str">
        <f t="shared" si="1314"/>
        <v>89301000</v>
      </c>
      <c r="B5895" t="str">
        <f t="shared" si="1311"/>
        <v>78915000</v>
      </c>
      <c r="C5895" t="str">
        <f t="shared" si="1312"/>
        <v>78915001</v>
      </c>
      <c r="D5895" t="str">
        <f t="shared" si="1313"/>
        <v>809</v>
      </c>
      <c r="E5895" t="str">
        <f>"89301062"</f>
        <v>89301062</v>
      </c>
      <c r="F5895" t="str">
        <f>"7559193873"</f>
        <v>7559193873</v>
      </c>
      <c r="G5895" s="1">
        <v>44733</v>
      </c>
      <c r="H5895" t="str">
        <f>"89713"</f>
        <v>89713</v>
      </c>
      <c r="I5895">
        <v>1</v>
      </c>
      <c r="J5895">
        <v>5362</v>
      </c>
      <c r="K5895">
        <v>0</v>
      </c>
      <c r="L5895">
        <v>3217.2</v>
      </c>
    </row>
    <row r="5896" spans="1:12" x14ac:dyDescent="0.25">
      <c r="A5896" t="str">
        <f t="shared" si="1314"/>
        <v>89301000</v>
      </c>
      <c r="B5896" t="str">
        <f t="shared" si="1311"/>
        <v>78915000</v>
      </c>
      <c r="C5896" t="str">
        <f t="shared" si="1312"/>
        <v>78915001</v>
      </c>
      <c r="D5896" t="str">
        <f t="shared" si="1313"/>
        <v>809</v>
      </c>
      <c r="E5896" t="str">
        <f>"89301062"</f>
        <v>89301062</v>
      </c>
      <c r="F5896" t="str">
        <f>"7559193873"</f>
        <v>7559193873</v>
      </c>
      <c r="G5896" s="1">
        <v>44733</v>
      </c>
      <c r="H5896" t="str">
        <f>"89725"</f>
        <v>89725</v>
      </c>
      <c r="I5896">
        <v>1</v>
      </c>
      <c r="J5896">
        <v>2839</v>
      </c>
      <c r="K5896">
        <v>0</v>
      </c>
      <c r="L5896">
        <v>1703.4</v>
      </c>
    </row>
    <row r="5897" spans="1:12" x14ac:dyDescent="0.25">
      <c r="A5897" t="str">
        <f t="shared" si="1314"/>
        <v>89301000</v>
      </c>
      <c r="B5897" t="str">
        <f t="shared" si="1311"/>
        <v>78915000</v>
      </c>
      <c r="C5897" t="str">
        <f t="shared" si="1312"/>
        <v>78915001</v>
      </c>
      <c r="D5897" t="str">
        <f t="shared" si="1313"/>
        <v>809</v>
      </c>
      <c r="E5897" t="str">
        <f>"89301172"</f>
        <v>89301172</v>
      </c>
      <c r="F5897" t="str">
        <f>"7560025693"</f>
        <v>7560025693</v>
      </c>
      <c r="G5897" s="1">
        <v>44740</v>
      </c>
      <c r="H5897" t="str">
        <f>"89713"</f>
        <v>89713</v>
      </c>
      <c r="I5897">
        <v>1</v>
      </c>
      <c r="J5897">
        <v>5362</v>
      </c>
      <c r="K5897">
        <v>0</v>
      </c>
      <c r="L5897">
        <v>3217.2</v>
      </c>
    </row>
    <row r="5898" spans="1:12" x14ac:dyDescent="0.25">
      <c r="A5898" t="str">
        <f t="shared" si="1314"/>
        <v>89301000</v>
      </c>
      <c r="B5898" t="str">
        <f t="shared" si="1311"/>
        <v>78915000</v>
      </c>
      <c r="C5898" t="str">
        <f t="shared" si="1312"/>
        <v>78915001</v>
      </c>
      <c r="D5898" t="str">
        <f t="shared" si="1313"/>
        <v>809</v>
      </c>
      <c r="E5898" t="str">
        <f>"89301172"</f>
        <v>89301172</v>
      </c>
      <c r="F5898" t="str">
        <f>"7560025693"</f>
        <v>7560025693</v>
      </c>
      <c r="G5898" s="1">
        <v>44740</v>
      </c>
      <c r="H5898" t="str">
        <f>"89725"</f>
        <v>89725</v>
      </c>
      <c r="I5898">
        <v>1</v>
      </c>
      <c r="J5898">
        <v>2839</v>
      </c>
      <c r="K5898">
        <v>0</v>
      </c>
      <c r="L5898">
        <v>1703.4</v>
      </c>
    </row>
    <row r="5899" spans="1:12" x14ac:dyDescent="0.25">
      <c r="A5899" t="str">
        <f t="shared" si="1314"/>
        <v>89301000</v>
      </c>
      <c r="B5899" t="str">
        <f t="shared" ref="B5899:B5925" si="1315">"78915000"</f>
        <v>78915000</v>
      </c>
      <c r="C5899" t="str">
        <f t="shared" ref="C5899:C5925" si="1316">"78915001"</f>
        <v>78915001</v>
      </c>
      <c r="D5899" t="str">
        <f t="shared" ref="D5899:D5930" si="1317">"809"</f>
        <v>809</v>
      </c>
      <c r="E5899" t="str">
        <f>"89301606"</f>
        <v>89301606</v>
      </c>
      <c r="F5899" t="str">
        <f>"7657135101"</f>
        <v>7657135101</v>
      </c>
      <c r="G5899" s="1">
        <v>44733</v>
      </c>
      <c r="H5899" t="str">
        <f>"89713"</f>
        <v>89713</v>
      </c>
      <c r="I5899">
        <v>1</v>
      </c>
      <c r="J5899">
        <v>5362</v>
      </c>
      <c r="K5899">
        <v>0</v>
      </c>
      <c r="L5899">
        <v>3217.2</v>
      </c>
    </row>
    <row r="5900" spans="1:12" x14ac:dyDescent="0.25">
      <c r="A5900" t="str">
        <f t="shared" si="1314"/>
        <v>89301000</v>
      </c>
      <c r="B5900" t="str">
        <f t="shared" si="1315"/>
        <v>78915000</v>
      </c>
      <c r="C5900" t="str">
        <f t="shared" si="1316"/>
        <v>78915001</v>
      </c>
      <c r="D5900" t="str">
        <f t="shared" si="1317"/>
        <v>809</v>
      </c>
      <c r="E5900" t="str">
        <f>"89301606"</f>
        <v>89301606</v>
      </c>
      <c r="F5900" t="str">
        <f>"7657135101"</f>
        <v>7657135101</v>
      </c>
      <c r="G5900" s="1">
        <v>44733</v>
      </c>
      <c r="H5900" t="str">
        <f>"89723"</f>
        <v>89723</v>
      </c>
      <c r="I5900">
        <v>1</v>
      </c>
      <c r="J5900">
        <v>5880</v>
      </c>
      <c r="K5900">
        <v>0</v>
      </c>
      <c r="L5900">
        <v>3528</v>
      </c>
    </row>
    <row r="5901" spans="1:12" x14ac:dyDescent="0.25">
      <c r="A5901" t="str">
        <f t="shared" si="1314"/>
        <v>89301000</v>
      </c>
      <c r="B5901" t="str">
        <f t="shared" si="1315"/>
        <v>78915000</v>
      </c>
      <c r="C5901" t="str">
        <f t="shared" si="1316"/>
        <v>78915001</v>
      </c>
      <c r="D5901" t="str">
        <f t="shared" si="1317"/>
        <v>809</v>
      </c>
      <c r="E5901" t="str">
        <f>"89301606"</f>
        <v>89301606</v>
      </c>
      <c r="F5901" t="str">
        <f>"7657135101"</f>
        <v>7657135101</v>
      </c>
      <c r="G5901" s="1">
        <v>44733</v>
      </c>
      <c r="H5901" t="str">
        <f>"89725"</f>
        <v>89725</v>
      </c>
      <c r="I5901">
        <v>1</v>
      </c>
      <c r="J5901">
        <v>2839</v>
      </c>
      <c r="K5901">
        <v>0</v>
      </c>
      <c r="L5901">
        <v>1703.4</v>
      </c>
    </row>
    <row r="5902" spans="1:12" x14ac:dyDescent="0.25">
      <c r="A5902" t="str">
        <f t="shared" si="1314"/>
        <v>89301000</v>
      </c>
      <c r="B5902" t="str">
        <f t="shared" si="1315"/>
        <v>78915000</v>
      </c>
      <c r="C5902" t="str">
        <f t="shared" si="1316"/>
        <v>78915001</v>
      </c>
      <c r="D5902" t="str">
        <f t="shared" si="1317"/>
        <v>809</v>
      </c>
      <c r="E5902" t="str">
        <f>"89301606"</f>
        <v>89301606</v>
      </c>
      <c r="F5902" t="str">
        <f>"7708295375"</f>
        <v>7708295375</v>
      </c>
      <c r="G5902" s="1">
        <v>44719</v>
      </c>
      <c r="H5902" t="str">
        <f>"89713"</f>
        <v>89713</v>
      </c>
      <c r="I5902">
        <v>1</v>
      </c>
      <c r="J5902">
        <v>5362</v>
      </c>
      <c r="K5902">
        <v>0</v>
      </c>
      <c r="L5902">
        <v>3217.2</v>
      </c>
    </row>
    <row r="5903" spans="1:12" x14ac:dyDescent="0.25">
      <c r="A5903" t="str">
        <f t="shared" si="1314"/>
        <v>89301000</v>
      </c>
      <c r="B5903" t="str">
        <f t="shared" si="1315"/>
        <v>78915000</v>
      </c>
      <c r="C5903" t="str">
        <f t="shared" si="1316"/>
        <v>78915001</v>
      </c>
      <c r="D5903" t="str">
        <f t="shared" si="1317"/>
        <v>809</v>
      </c>
      <c r="E5903" t="str">
        <f>"89301606"</f>
        <v>89301606</v>
      </c>
      <c r="F5903" t="str">
        <f>"7708295375"</f>
        <v>7708295375</v>
      </c>
      <c r="G5903" s="1">
        <v>44719</v>
      </c>
      <c r="H5903" t="str">
        <f>"89725"</f>
        <v>89725</v>
      </c>
      <c r="I5903">
        <v>1</v>
      </c>
      <c r="J5903">
        <v>2839</v>
      </c>
      <c r="K5903">
        <v>0</v>
      </c>
      <c r="L5903">
        <v>1703.4</v>
      </c>
    </row>
    <row r="5904" spans="1:12" x14ac:dyDescent="0.25">
      <c r="A5904" t="str">
        <f t="shared" si="1314"/>
        <v>89301000</v>
      </c>
      <c r="B5904" t="str">
        <f t="shared" si="1315"/>
        <v>78915000</v>
      </c>
      <c r="C5904" t="str">
        <f t="shared" si="1316"/>
        <v>78915001</v>
      </c>
      <c r="D5904" t="str">
        <f t="shared" si="1317"/>
        <v>809</v>
      </c>
      <c r="E5904" t="str">
        <f>"89301112"</f>
        <v>89301112</v>
      </c>
      <c r="F5904" t="str">
        <f>"7957035394"</f>
        <v>7957035394</v>
      </c>
      <c r="G5904" s="1">
        <v>44728</v>
      </c>
      <c r="H5904" t="str">
        <f>"09567"</f>
        <v>09567</v>
      </c>
      <c r="I5904">
        <v>1</v>
      </c>
      <c r="J5904">
        <v>0</v>
      </c>
      <c r="K5904">
        <v>0</v>
      </c>
      <c r="L5904">
        <v>0</v>
      </c>
    </row>
    <row r="5905" spans="1:12" x14ac:dyDescent="0.25">
      <c r="A5905" t="str">
        <f t="shared" si="1314"/>
        <v>89301000</v>
      </c>
      <c r="B5905" t="str">
        <f t="shared" si="1315"/>
        <v>78915000</v>
      </c>
      <c r="C5905" t="str">
        <f t="shared" si="1316"/>
        <v>78915001</v>
      </c>
      <c r="D5905" t="str">
        <f t="shared" si="1317"/>
        <v>809</v>
      </c>
      <c r="E5905" t="str">
        <f>"89301112"</f>
        <v>89301112</v>
      </c>
      <c r="F5905" t="str">
        <f>"7957035394"</f>
        <v>7957035394</v>
      </c>
      <c r="G5905" s="1">
        <v>44728</v>
      </c>
      <c r="H5905" t="str">
        <f>"89713"</f>
        <v>89713</v>
      </c>
      <c r="I5905">
        <v>1</v>
      </c>
      <c r="J5905">
        <v>5362</v>
      </c>
      <c r="K5905">
        <v>0</v>
      </c>
      <c r="L5905">
        <v>3217.2</v>
      </c>
    </row>
    <row r="5906" spans="1:12" x14ac:dyDescent="0.25">
      <c r="A5906" t="str">
        <f t="shared" si="1314"/>
        <v>89301000</v>
      </c>
      <c r="B5906" t="str">
        <f t="shared" si="1315"/>
        <v>78915000</v>
      </c>
      <c r="C5906" t="str">
        <f t="shared" si="1316"/>
        <v>78915001</v>
      </c>
      <c r="D5906" t="str">
        <f t="shared" si="1317"/>
        <v>809</v>
      </c>
      <c r="E5906" t="str">
        <f>"89301172"</f>
        <v>89301172</v>
      </c>
      <c r="F5906" t="str">
        <f>"8112185356"</f>
        <v>8112185356</v>
      </c>
      <c r="G5906" s="1">
        <v>44722</v>
      </c>
      <c r="H5906" t="str">
        <f>"89713"</f>
        <v>89713</v>
      </c>
      <c r="I5906">
        <v>1</v>
      </c>
      <c r="J5906">
        <v>5362</v>
      </c>
      <c r="K5906">
        <v>0</v>
      </c>
      <c r="L5906">
        <v>3217.2</v>
      </c>
    </row>
    <row r="5907" spans="1:12" x14ac:dyDescent="0.25">
      <c r="A5907" t="str">
        <f t="shared" si="1314"/>
        <v>89301000</v>
      </c>
      <c r="B5907" t="str">
        <f t="shared" si="1315"/>
        <v>78915000</v>
      </c>
      <c r="C5907" t="str">
        <f t="shared" si="1316"/>
        <v>78915001</v>
      </c>
      <c r="D5907" t="str">
        <f t="shared" si="1317"/>
        <v>809</v>
      </c>
      <c r="E5907" t="str">
        <f>"89301172"</f>
        <v>89301172</v>
      </c>
      <c r="F5907" t="str">
        <f>"8112185356"</f>
        <v>8112185356</v>
      </c>
      <c r="G5907" s="1">
        <v>44722</v>
      </c>
      <c r="H5907" t="str">
        <f>"89725"</f>
        <v>89725</v>
      </c>
      <c r="I5907">
        <v>1</v>
      </c>
      <c r="J5907">
        <v>2839</v>
      </c>
      <c r="K5907">
        <v>0</v>
      </c>
      <c r="L5907">
        <v>1703.4</v>
      </c>
    </row>
    <row r="5908" spans="1:12" x14ac:dyDescent="0.25">
      <c r="A5908" t="str">
        <f t="shared" si="1314"/>
        <v>89301000</v>
      </c>
      <c r="B5908" t="str">
        <f t="shared" si="1315"/>
        <v>78915000</v>
      </c>
      <c r="C5908" t="str">
        <f t="shared" si="1316"/>
        <v>78915001</v>
      </c>
      <c r="D5908" t="str">
        <f t="shared" si="1317"/>
        <v>809</v>
      </c>
      <c r="E5908" t="str">
        <f>"89301112"</f>
        <v>89301112</v>
      </c>
      <c r="F5908" t="str">
        <f>"8305035376"</f>
        <v>8305035376</v>
      </c>
      <c r="G5908" s="1">
        <v>44720</v>
      </c>
      <c r="H5908" t="str">
        <f>"09567"</f>
        <v>09567</v>
      </c>
      <c r="I5908">
        <v>1</v>
      </c>
      <c r="J5908">
        <v>0</v>
      </c>
      <c r="K5908">
        <v>0</v>
      </c>
      <c r="L5908">
        <v>0</v>
      </c>
    </row>
    <row r="5909" spans="1:12" x14ac:dyDescent="0.25">
      <c r="A5909" t="str">
        <f t="shared" si="1314"/>
        <v>89301000</v>
      </c>
      <c r="B5909" t="str">
        <f t="shared" si="1315"/>
        <v>78915000</v>
      </c>
      <c r="C5909" t="str">
        <f t="shared" si="1316"/>
        <v>78915001</v>
      </c>
      <c r="D5909" t="str">
        <f t="shared" si="1317"/>
        <v>809</v>
      </c>
      <c r="E5909" t="str">
        <f>"89301112"</f>
        <v>89301112</v>
      </c>
      <c r="F5909" t="str">
        <f>"8305035376"</f>
        <v>8305035376</v>
      </c>
      <c r="G5909" s="1">
        <v>44720</v>
      </c>
      <c r="H5909" t="str">
        <f>"89713"</f>
        <v>89713</v>
      </c>
      <c r="I5909">
        <v>1</v>
      </c>
      <c r="J5909">
        <v>5362</v>
      </c>
      <c r="K5909">
        <v>0</v>
      </c>
      <c r="L5909">
        <v>3217.2</v>
      </c>
    </row>
    <row r="5910" spans="1:12" x14ac:dyDescent="0.25">
      <c r="A5910" t="str">
        <f t="shared" si="1314"/>
        <v>89301000</v>
      </c>
      <c r="B5910" t="str">
        <f t="shared" si="1315"/>
        <v>78915000</v>
      </c>
      <c r="C5910" t="str">
        <f t="shared" si="1316"/>
        <v>78915001</v>
      </c>
      <c r="D5910" t="str">
        <f t="shared" si="1317"/>
        <v>809</v>
      </c>
      <c r="E5910" t="str">
        <f>"89301292"</f>
        <v>89301292</v>
      </c>
      <c r="F5910" t="str">
        <f>"8451195357"</f>
        <v>8451195357</v>
      </c>
      <c r="G5910" s="1">
        <v>44713</v>
      </c>
      <c r="H5910" t="str">
        <f>"89715"</f>
        <v>89715</v>
      </c>
      <c r="I5910">
        <v>1</v>
      </c>
      <c r="J5910">
        <v>5474</v>
      </c>
      <c r="K5910">
        <v>0</v>
      </c>
      <c r="L5910">
        <v>3284.4</v>
      </c>
    </row>
    <row r="5911" spans="1:12" x14ac:dyDescent="0.25">
      <c r="A5911" t="str">
        <f t="shared" si="1314"/>
        <v>89301000</v>
      </c>
      <c r="B5911" t="str">
        <f t="shared" si="1315"/>
        <v>78915000</v>
      </c>
      <c r="C5911" t="str">
        <f t="shared" si="1316"/>
        <v>78915001</v>
      </c>
      <c r="D5911" t="str">
        <f t="shared" si="1317"/>
        <v>809</v>
      </c>
      <c r="E5911" t="str">
        <f>"89301292"</f>
        <v>89301292</v>
      </c>
      <c r="F5911" t="str">
        <f>"8451195357"</f>
        <v>8451195357</v>
      </c>
      <c r="G5911" s="1">
        <v>44713</v>
      </c>
      <c r="H5911" t="str">
        <f>"89725"</f>
        <v>89725</v>
      </c>
      <c r="I5911">
        <v>1</v>
      </c>
      <c r="J5911">
        <v>2839</v>
      </c>
      <c r="K5911">
        <v>0</v>
      </c>
      <c r="L5911">
        <v>1703.4</v>
      </c>
    </row>
    <row r="5912" spans="1:12" x14ac:dyDescent="0.25">
      <c r="A5912" t="str">
        <f t="shared" si="1314"/>
        <v>89301000</v>
      </c>
      <c r="B5912" t="str">
        <f t="shared" si="1315"/>
        <v>78915000</v>
      </c>
      <c r="C5912" t="str">
        <f t="shared" si="1316"/>
        <v>78915001</v>
      </c>
      <c r="D5912" t="str">
        <f t="shared" si="1317"/>
        <v>809</v>
      </c>
      <c r="E5912" t="str">
        <f>"89301292"</f>
        <v>89301292</v>
      </c>
      <c r="F5912" t="str">
        <f>"8451195357"</f>
        <v>8451195357</v>
      </c>
      <c r="G5912" s="1">
        <v>44713</v>
      </c>
      <c r="H5912" t="str">
        <f>"0207733"</f>
        <v>0207733</v>
      </c>
      <c r="I5912">
        <v>1</v>
      </c>
      <c r="K5912">
        <v>2590.5300000000002</v>
      </c>
      <c r="L5912">
        <v>2590.5300000000002</v>
      </c>
    </row>
    <row r="5913" spans="1:12" x14ac:dyDescent="0.25">
      <c r="A5913" t="str">
        <f t="shared" si="1314"/>
        <v>89301000</v>
      </c>
      <c r="B5913" t="str">
        <f t="shared" si="1315"/>
        <v>78915000</v>
      </c>
      <c r="C5913" t="str">
        <f t="shared" si="1316"/>
        <v>78915001</v>
      </c>
      <c r="D5913" t="str">
        <f t="shared" si="1317"/>
        <v>809</v>
      </c>
      <c r="E5913" t="str">
        <f>"89301172"</f>
        <v>89301172</v>
      </c>
      <c r="F5913" t="str">
        <f>"8761294091"</f>
        <v>8761294091</v>
      </c>
      <c r="G5913" s="1">
        <v>44728</v>
      </c>
      <c r="H5913" t="str">
        <f>"89713"</f>
        <v>89713</v>
      </c>
      <c r="I5913">
        <v>2</v>
      </c>
      <c r="J5913">
        <v>10724</v>
      </c>
      <c r="K5913">
        <v>0</v>
      </c>
      <c r="L5913">
        <v>6434.4</v>
      </c>
    </row>
    <row r="5914" spans="1:12" x14ac:dyDescent="0.25">
      <c r="A5914" t="str">
        <f t="shared" si="1314"/>
        <v>89301000</v>
      </c>
      <c r="B5914" t="str">
        <f t="shared" si="1315"/>
        <v>78915000</v>
      </c>
      <c r="C5914" t="str">
        <f t="shared" si="1316"/>
        <v>78915001</v>
      </c>
      <c r="D5914" t="str">
        <f t="shared" si="1317"/>
        <v>809</v>
      </c>
      <c r="E5914" t="str">
        <f>"89301112"</f>
        <v>89301112</v>
      </c>
      <c r="F5914" t="str">
        <f>"8910115940"</f>
        <v>8910115940</v>
      </c>
      <c r="G5914" s="1">
        <v>44735</v>
      </c>
      <c r="H5914" t="str">
        <f>"09567"</f>
        <v>09567</v>
      </c>
      <c r="I5914">
        <v>1</v>
      </c>
      <c r="J5914">
        <v>0</v>
      </c>
      <c r="K5914">
        <v>0</v>
      </c>
      <c r="L5914">
        <v>0</v>
      </c>
    </row>
    <row r="5915" spans="1:12" x14ac:dyDescent="0.25">
      <c r="A5915" t="str">
        <f t="shared" si="1314"/>
        <v>89301000</v>
      </c>
      <c r="B5915" t="str">
        <f t="shared" si="1315"/>
        <v>78915000</v>
      </c>
      <c r="C5915" t="str">
        <f t="shared" si="1316"/>
        <v>78915001</v>
      </c>
      <c r="D5915" t="str">
        <f t="shared" si="1317"/>
        <v>809</v>
      </c>
      <c r="E5915" t="str">
        <f>"89301112"</f>
        <v>89301112</v>
      </c>
      <c r="F5915" t="str">
        <f>"8910115940"</f>
        <v>8910115940</v>
      </c>
      <c r="G5915" s="1">
        <v>44735</v>
      </c>
      <c r="H5915" t="str">
        <f>"89713"</f>
        <v>89713</v>
      </c>
      <c r="I5915">
        <v>1</v>
      </c>
      <c r="J5915">
        <v>5362</v>
      </c>
      <c r="K5915">
        <v>0</v>
      </c>
      <c r="L5915">
        <v>3217.2</v>
      </c>
    </row>
    <row r="5916" spans="1:12" x14ac:dyDescent="0.25">
      <c r="A5916" t="str">
        <f t="shared" si="1314"/>
        <v>89301000</v>
      </c>
      <c r="B5916" t="str">
        <f t="shared" si="1315"/>
        <v>78915000</v>
      </c>
      <c r="C5916" t="str">
        <f t="shared" si="1316"/>
        <v>78915001</v>
      </c>
      <c r="D5916" t="str">
        <f t="shared" si="1317"/>
        <v>809</v>
      </c>
      <c r="E5916" t="str">
        <f>"89301112"</f>
        <v>89301112</v>
      </c>
      <c r="F5916" t="str">
        <f>"9002155789"</f>
        <v>9002155789</v>
      </c>
      <c r="G5916" s="1">
        <v>44736</v>
      </c>
      <c r="H5916" t="str">
        <f>"09567"</f>
        <v>09567</v>
      </c>
      <c r="I5916">
        <v>1</v>
      </c>
      <c r="J5916">
        <v>0</v>
      </c>
      <c r="K5916">
        <v>0</v>
      </c>
      <c r="L5916">
        <v>0</v>
      </c>
    </row>
    <row r="5917" spans="1:12" x14ac:dyDescent="0.25">
      <c r="A5917" t="str">
        <f t="shared" si="1314"/>
        <v>89301000</v>
      </c>
      <c r="B5917" t="str">
        <f t="shared" si="1315"/>
        <v>78915000</v>
      </c>
      <c r="C5917" t="str">
        <f t="shared" si="1316"/>
        <v>78915001</v>
      </c>
      <c r="D5917" t="str">
        <f t="shared" si="1317"/>
        <v>809</v>
      </c>
      <c r="E5917" t="str">
        <f>"89301112"</f>
        <v>89301112</v>
      </c>
      <c r="F5917" t="str">
        <f>"9002155789"</f>
        <v>9002155789</v>
      </c>
      <c r="G5917" s="1">
        <v>44736</v>
      </c>
      <c r="H5917" t="str">
        <f>"89713"</f>
        <v>89713</v>
      </c>
      <c r="I5917">
        <v>1</v>
      </c>
      <c r="J5917">
        <v>5362</v>
      </c>
      <c r="K5917">
        <v>0</v>
      </c>
      <c r="L5917">
        <v>3217.2</v>
      </c>
    </row>
    <row r="5918" spans="1:12" x14ac:dyDescent="0.25">
      <c r="A5918" t="str">
        <f t="shared" si="1314"/>
        <v>89301000</v>
      </c>
      <c r="B5918" t="str">
        <f t="shared" si="1315"/>
        <v>78915000</v>
      </c>
      <c r="C5918" t="str">
        <f t="shared" si="1316"/>
        <v>78915001</v>
      </c>
      <c r="D5918" t="str">
        <f t="shared" si="1317"/>
        <v>809</v>
      </c>
      <c r="E5918" t="str">
        <f>"89301172"</f>
        <v>89301172</v>
      </c>
      <c r="F5918" t="str">
        <f>"9151144849"</f>
        <v>9151144849</v>
      </c>
      <c r="G5918" s="1">
        <v>44742</v>
      </c>
      <c r="H5918" t="str">
        <f>"89713"</f>
        <v>89713</v>
      </c>
      <c r="I5918">
        <v>2</v>
      </c>
      <c r="J5918">
        <v>10724</v>
      </c>
      <c r="K5918">
        <v>0</v>
      </c>
      <c r="L5918">
        <v>6434.4</v>
      </c>
    </row>
    <row r="5919" spans="1:12" x14ac:dyDescent="0.25">
      <c r="A5919" t="str">
        <f t="shared" si="1314"/>
        <v>89301000</v>
      </c>
      <c r="B5919" t="str">
        <f t="shared" si="1315"/>
        <v>78915000</v>
      </c>
      <c r="C5919" t="str">
        <f t="shared" si="1316"/>
        <v>78915001</v>
      </c>
      <c r="D5919" t="str">
        <f t="shared" si="1317"/>
        <v>809</v>
      </c>
      <c r="E5919" t="str">
        <f>"89301312"</f>
        <v>89301312</v>
      </c>
      <c r="F5919" t="str">
        <f>"9402165751"</f>
        <v>9402165751</v>
      </c>
      <c r="G5919" s="1">
        <v>44736</v>
      </c>
      <c r="H5919" t="str">
        <f>"09569"</f>
        <v>09569</v>
      </c>
      <c r="I5919">
        <v>1</v>
      </c>
      <c r="J5919">
        <v>0</v>
      </c>
      <c r="K5919">
        <v>0</v>
      </c>
      <c r="L5919">
        <v>0</v>
      </c>
    </row>
    <row r="5920" spans="1:12" x14ac:dyDescent="0.25">
      <c r="A5920" t="str">
        <f t="shared" si="1314"/>
        <v>89301000</v>
      </c>
      <c r="B5920" t="str">
        <f t="shared" si="1315"/>
        <v>78915000</v>
      </c>
      <c r="C5920" t="str">
        <f t="shared" si="1316"/>
        <v>78915001</v>
      </c>
      <c r="D5920" t="str">
        <f t="shared" si="1317"/>
        <v>809</v>
      </c>
      <c r="E5920" t="str">
        <f>"89301312"</f>
        <v>89301312</v>
      </c>
      <c r="F5920" t="str">
        <f>"9402165751"</f>
        <v>9402165751</v>
      </c>
      <c r="G5920" s="1">
        <v>44736</v>
      </c>
      <c r="H5920" t="str">
        <f>"89713"</f>
        <v>89713</v>
      </c>
      <c r="I5920">
        <v>1</v>
      </c>
      <c r="J5920">
        <v>5362</v>
      </c>
      <c r="K5920">
        <v>0</v>
      </c>
      <c r="L5920">
        <v>3217.2</v>
      </c>
    </row>
    <row r="5921" spans="1:12" x14ac:dyDescent="0.25">
      <c r="A5921" t="str">
        <f t="shared" si="1314"/>
        <v>89301000</v>
      </c>
      <c r="B5921" t="str">
        <f t="shared" si="1315"/>
        <v>78915000</v>
      </c>
      <c r="C5921" t="str">
        <f t="shared" si="1316"/>
        <v>78915001</v>
      </c>
      <c r="D5921" t="str">
        <f t="shared" si="1317"/>
        <v>809</v>
      </c>
      <c r="E5921" t="str">
        <f>"89301112"</f>
        <v>89301112</v>
      </c>
      <c r="F5921" t="str">
        <f>"9602126149"</f>
        <v>9602126149</v>
      </c>
      <c r="G5921" s="1">
        <v>44740</v>
      </c>
      <c r="H5921" t="str">
        <f>"09569"</f>
        <v>09569</v>
      </c>
      <c r="I5921">
        <v>1</v>
      </c>
      <c r="J5921">
        <v>0</v>
      </c>
      <c r="K5921">
        <v>0</v>
      </c>
      <c r="L5921">
        <v>0</v>
      </c>
    </row>
    <row r="5922" spans="1:12" x14ac:dyDescent="0.25">
      <c r="A5922" t="str">
        <f t="shared" si="1314"/>
        <v>89301000</v>
      </c>
      <c r="B5922" t="str">
        <f t="shared" si="1315"/>
        <v>78915000</v>
      </c>
      <c r="C5922" t="str">
        <f t="shared" si="1316"/>
        <v>78915001</v>
      </c>
      <c r="D5922" t="str">
        <f t="shared" si="1317"/>
        <v>809</v>
      </c>
      <c r="E5922" t="str">
        <f>"89301112"</f>
        <v>89301112</v>
      </c>
      <c r="F5922" t="str">
        <f>"9602126149"</f>
        <v>9602126149</v>
      </c>
      <c r="G5922" s="1">
        <v>44740</v>
      </c>
      <c r="H5922" t="str">
        <f>"89713"</f>
        <v>89713</v>
      </c>
      <c r="I5922">
        <v>1</v>
      </c>
      <c r="J5922">
        <v>5362</v>
      </c>
      <c r="K5922">
        <v>0</v>
      </c>
      <c r="L5922">
        <v>3217.2</v>
      </c>
    </row>
    <row r="5923" spans="1:12" x14ac:dyDescent="0.25">
      <c r="A5923" t="str">
        <f t="shared" si="1314"/>
        <v>89301000</v>
      </c>
      <c r="B5923" t="str">
        <f t="shared" si="1315"/>
        <v>78915000</v>
      </c>
      <c r="C5923" t="str">
        <f t="shared" si="1316"/>
        <v>78915001</v>
      </c>
      <c r="D5923" t="str">
        <f t="shared" si="1317"/>
        <v>809</v>
      </c>
      <c r="E5923" t="str">
        <f>"89301172"</f>
        <v>89301172</v>
      </c>
      <c r="F5923" t="str">
        <f>"6956224462"</f>
        <v>6956224462</v>
      </c>
      <c r="G5923" s="1">
        <v>44706</v>
      </c>
      <c r="H5923" t="str">
        <f>"89713"</f>
        <v>89713</v>
      </c>
      <c r="I5923">
        <v>2</v>
      </c>
      <c r="J5923">
        <v>10724</v>
      </c>
      <c r="K5923">
        <v>0</v>
      </c>
      <c r="L5923">
        <v>6434.4</v>
      </c>
    </row>
    <row r="5924" spans="1:12" x14ac:dyDescent="0.25">
      <c r="A5924" t="str">
        <f t="shared" si="1314"/>
        <v>89301000</v>
      </c>
      <c r="B5924" t="str">
        <f t="shared" si="1315"/>
        <v>78915000</v>
      </c>
      <c r="C5924" t="str">
        <f t="shared" si="1316"/>
        <v>78915001</v>
      </c>
      <c r="D5924" t="str">
        <f t="shared" si="1317"/>
        <v>809</v>
      </c>
      <c r="E5924" t="str">
        <f>"89301172"</f>
        <v>89301172</v>
      </c>
      <c r="F5924" t="str">
        <f>"6956224462"</f>
        <v>6956224462</v>
      </c>
      <c r="G5924" s="1">
        <v>44706</v>
      </c>
      <c r="H5924" t="str">
        <f>"89723"</f>
        <v>89723</v>
      </c>
      <c r="I5924">
        <v>1</v>
      </c>
      <c r="J5924">
        <v>5880</v>
      </c>
      <c r="K5924">
        <v>0</v>
      </c>
      <c r="L5924">
        <v>3528</v>
      </c>
    </row>
    <row r="5925" spans="1:12" x14ac:dyDescent="0.25">
      <c r="A5925" t="str">
        <f t="shared" si="1314"/>
        <v>89301000</v>
      </c>
      <c r="B5925" t="str">
        <f t="shared" si="1315"/>
        <v>78915000</v>
      </c>
      <c r="C5925" t="str">
        <f t="shared" si="1316"/>
        <v>78915001</v>
      </c>
      <c r="D5925" t="str">
        <f t="shared" si="1317"/>
        <v>809</v>
      </c>
      <c r="E5925" t="str">
        <f>"89301172"</f>
        <v>89301172</v>
      </c>
      <c r="F5925" t="str">
        <f>"6956224462"</f>
        <v>6956224462</v>
      </c>
      <c r="G5925" s="1">
        <v>44706</v>
      </c>
      <c r="H5925" t="str">
        <f>"89725"</f>
        <v>89725</v>
      </c>
      <c r="I5925">
        <v>1</v>
      </c>
      <c r="J5925">
        <v>2839</v>
      </c>
      <c r="K5925">
        <v>0</v>
      </c>
      <c r="L5925">
        <v>1703.4</v>
      </c>
    </row>
    <row r="5926" spans="1:12" x14ac:dyDescent="0.25">
      <c r="A5926" t="str">
        <f t="shared" si="1314"/>
        <v>89301000</v>
      </c>
      <c r="B5926" t="str">
        <f>"93482000"</f>
        <v>93482000</v>
      </c>
      <c r="C5926" t="str">
        <f>"93482001"</f>
        <v>93482001</v>
      </c>
      <c r="D5926" t="str">
        <f t="shared" si="1317"/>
        <v>809</v>
      </c>
      <c r="E5926" t="str">
        <f>"89301212"</f>
        <v>89301212</v>
      </c>
      <c r="F5926" t="str">
        <f>"485215413"</f>
        <v>485215413</v>
      </c>
      <c r="G5926" s="1">
        <v>44736</v>
      </c>
      <c r="H5926" t="str">
        <f>"89131"</f>
        <v>89131</v>
      </c>
      <c r="I5926">
        <v>1</v>
      </c>
      <c r="J5926">
        <v>187</v>
      </c>
      <c r="K5926">
        <v>0</v>
      </c>
      <c r="L5926">
        <v>261.8</v>
      </c>
    </row>
    <row r="5927" spans="1:12" x14ac:dyDescent="0.25">
      <c r="A5927" t="str">
        <f t="shared" si="1314"/>
        <v>89301000</v>
      </c>
      <c r="B5927" t="str">
        <f t="shared" ref="B5927:B5958" si="1318">"78051000"</f>
        <v>78051000</v>
      </c>
      <c r="C5927" t="str">
        <f t="shared" ref="C5927:C5967" si="1319">"78051004"</f>
        <v>78051004</v>
      </c>
      <c r="D5927" t="str">
        <f t="shared" si="1317"/>
        <v>809</v>
      </c>
      <c r="E5927" t="str">
        <f>"89301212"</f>
        <v>89301212</v>
      </c>
      <c r="F5927" t="str">
        <f>"6757211307"</f>
        <v>6757211307</v>
      </c>
      <c r="G5927" s="1">
        <v>44713</v>
      </c>
      <c r="H5927" t="str">
        <f>"89312"</f>
        <v>89312</v>
      </c>
      <c r="I5927">
        <v>3</v>
      </c>
      <c r="J5927">
        <v>906</v>
      </c>
      <c r="K5927">
        <v>0</v>
      </c>
      <c r="L5927">
        <v>951.3</v>
      </c>
    </row>
    <row r="5928" spans="1:12" x14ac:dyDescent="0.25">
      <c r="A5928" t="str">
        <f t="shared" si="1314"/>
        <v>89301000</v>
      </c>
      <c r="B5928" t="str">
        <f t="shared" si="1318"/>
        <v>78051000</v>
      </c>
      <c r="C5928" t="str">
        <f t="shared" si="1319"/>
        <v>78051004</v>
      </c>
      <c r="D5928" t="str">
        <f t="shared" si="1317"/>
        <v>809</v>
      </c>
      <c r="E5928" t="str">
        <f t="shared" ref="E5928:E5959" si="1320">"89301062"</f>
        <v>89301062</v>
      </c>
      <c r="F5928" t="str">
        <f>"6309090029"</f>
        <v>6309090029</v>
      </c>
      <c r="G5928" s="1">
        <v>44727</v>
      </c>
      <c r="H5928" t="str">
        <f>"89311"</f>
        <v>89311</v>
      </c>
      <c r="I5928">
        <v>1</v>
      </c>
      <c r="J5928">
        <v>936</v>
      </c>
      <c r="K5928">
        <v>0</v>
      </c>
      <c r="L5928">
        <v>1310.4000000000001</v>
      </c>
    </row>
    <row r="5929" spans="1:12" x14ac:dyDescent="0.25">
      <c r="A5929" t="str">
        <f t="shared" si="1314"/>
        <v>89301000</v>
      </c>
      <c r="B5929" t="str">
        <f t="shared" si="1318"/>
        <v>78051000</v>
      </c>
      <c r="C5929" t="str">
        <f t="shared" si="1319"/>
        <v>78051004</v>
      </c>
      <c r="D5929" t="str">
        <f t="shared" si="1317"/>
        <v>809</v>
      </c>
      <c r="E5929" t="str">
        <f t="shared" si="1320"/>
        <v>89301062</v>
      </c>
      <c r="F5929" t="str">
        <f>"6309090029"</f>
        <v>6309090029</v>
      </c>
      <c r="G5929" s="1">
        <v>44727</v>
      </c>
      <c r="H5929" t="str">
        <f>"0090044"</f>
        <v>0090044</v>
      </c>
      <c r="I5929">
        <v>1</v>
      </c>
      <c r="K5929">
        <v>16.8</v>
      </c>
      <c r="L5929">
        <v>16.8</v>
      </c>
    </row>
    <row r="5930" spans="1:12" x14ac:dyDescent="0.25">
      <c r="A5930" t="str">
        <f t="shared" si="1314"/>
        <v>89301000</v>
      </c>
      <c r="B5930" t="str">
        <f t="shared" si="1318"/>
        <v>78051000</v>
      </c>
      <c r="C5930" t="str">
        <f t="shared" si="1319"/>
        <v>78051004</v>
      </c>
      <c r="D5930" t="str">
        <f t="shared" si="1317"/>
        <v>809</v>
      </c>
      <c r="E5930" t="str">
        <f t="shared" si="1320"/>
        <v>89301062</v>
      </c>
      <c r="F5930" t="str">
        <f>"6309090029"</f>
        <v>6309090029</v>
      </c>
      <c r="G5930" s="1">
        <v>44727</v>
      </c>
      <c r="H5930" t="str">
        <f>"0225891"</f>
        <v>0225891</v>
      </c>
      <c r="I5930">
        <v>0.2</v>
      </c>
      <c r="K5930">
        <v>73.540000000000006</v>
      </c>
      <c r="L5930">
        <v>73.540000000000006</v>
      </c>
    </row>
    <row r="5931" spans="1:12" x14ac:dyDescent="0.25">
      <c r="A5931" t="str">
        <f t="shared" si="1314"/>
        <v>89301000</v>
      </c>
      <c r="B5931" t="str">
        <f t="shared" si="1318"/>
        <v>78051000</v>
      </c>
      <c r="C5931" t="str">
        <f t="shared" si="1319"/>
        <v>78051004</v>
      </c>
      <c r="D5931" t="str">
        <f t="shared" ref="D5931:D5967" si="1321">"809"</f>
        <v>809</v>
      </c>
      <c r="E5931" t="str">
        <f t="shared" si="1320"/>
        <v>89301062</v>
      </c>
      <c r="F5931" t="str">
        <f>"6309090029"</f>
        <v>6309090029</v>
      </c>
      <c r="G5931" s="1">
        <v>44727</v>
      </c>
      <c r="H5931" t="str">
        <f>"0096251"</f>
        <v>0096251</v>
      </c>
      <c r="I5931">
        <v>0.17</v>
      </c>
      <c r="K5931">
        <v>198.83</v>
      </c>
      <c r="L5931">
        <v>198.83</v>
      </c>
    </row>
    <row r="5932" spans="1:12" x14ac:dyDescent="0.25">
      <c r="A5932" t="str">
        <f t="shared" si="1314"/>
        <v>89301000</v>
      </c>
      <c r="B5932" t="str">
        <f t="shared" si="1318"/>
        <v>78051000</v>
      </c>
      <c r="C5932" t="str">
        <f t="shared" si="1319"/>
        <v>78051004</v>
      </c>
      <c r="D5932" t="str">
        <f t="shared" si="1321"/>
        <v>809</v>
      </c>
      <c r="E5932" t="str">
        <f t="shared" si="1320"/>
        <v>89301062</v>
      </c>
      <c r="F5932" t="str">
        <f>"6309090029"</f>
        <v>6309090029</v>
      </c>
      <c r="G5932" s="1">
        <v>44727</v>
      </c>
      <c r="H5932" t="str">
        <f>"0098943"</f>
        <v>0098943</v>
      </c>
      <c r="I5932">
        <v>1</v>
      </c>
      <c r="K5932">
        <v>293.81</v>
      </c>
      <c r="L5932">
        <v>293.81</v>
      </c>
    </row>
    <row r="5933" spans="1:12" x14ac:dyDescent="0.25">
      <c r="A5933" t="str">
        <f t="shared" si="1314"/>
        <v>89301000</v>
      </c>
      <c r="B5933" t="str">
        <f t="shared" si="1318"/>
        <v>78051000</v>
      </c>
      <c r="C5933" t="str">
        <f t="shared" si="1319"/>
        <v>78051004</v>
      </c>
      <c r="D5933" t="str">
        <f t="shared" si="1321"/>
        <v>809</v>
      </c>
      <c r="E5933" t="str">
        <f t="shared" si="1320"/>
        <v>89301062</v>
      </c>
      <c r="F5933" t="str">
        <f>"7207075678"</f>
        <v>7207075678</v>
      </c>
      <c r="G5933" s="1">
        <v>44727</v>
      </c>
      <c r="H5933" t="str">
        <f>"89311"</f>
        <v>89311</v>
      </c>
      <c r="I5933">
        <v>1</v>
      </c>
      <c r="J5933">
        <v>936</v>
      </c>
      <c r="K5933">
        <v>0</v>
      </c>
      <c r="L5933">
        <v>1310.4000000000001</v>
      </c>
    </row>
    <row r="5934" spans="1:12" x14ac:dyDescent="0.25">
      <c r="A5934" t="str">
        <f t="shared" si="1314"/>
        <v>89301000</v>
      </c>
      <c r="B5934" t="str">
        <f t="shared" si="1318"/>
        <v>78051000</v>
      </c>
      <c r="C5934" t="str">
        <f t="shared" si="1319"/>
        <v>78051004</v>
      </c>
      <c r="D5934" t="str">
        <f t="shared" si="1321"/>
        <v>809</v>
      </c>
      <c r="E5934" t="str">
        <f t="shared" si="1320"/>
        <v>89301062</v>
      </c>
      <c r="F5934" t="str">
        <f>"7207075678"</f>
        <v>7207075678</v>
      </c>
      <c r="G5934" s="1">
        <v>44727</v>
      </c>
      <c r="H5934" t="str">
        <f>"0090044"</f>
        <v>0090044</v>
      </c>
      <c r="I5934">
        <v>1</v>
      </c>
      <c r="K5934">
        <v>16.8</v>
      </c>
      <c r="L5934">
        <v>16.8</v>
      </c>
    </row>
    <row r="5935" spans="1:12" x14ac:dyDescent="0.25">
      <c r="A5935" t="str">
        <f t="shared" si="1314"/>
        <v>89301000</v>
      </c>
      <c r="B5935" t="str">
        <f t="shared" si="1318"/>
        <v>78051000</v>
      </c>
      <c r="C5935" t="str">
        <f t="shared" si="1319"/>
        <v>78051004</v>
      </c>
      <c r="D5935" t="str">
        <f t="shared" si="1321"/>
        <v>809</v>
      </c>
      <c r="E5935" t="str">
        <f t="shared" si="1320"/>
        <v>89301062</v>
      </c>
      <c r="F5935" t="str">
        <f>"7207075678"</f>
        <v>7207075678</v>
      </c>
      <c r="G5935" s="1">
        <v>44727</v>
      </c>
      <c r="H5935" t="str">
        <f>"0225891"</f>
        <v>0225891</v>
      </c>
      <c r="I5935">
        <v>0.2</v>
      </c>
      <c r="K5935">
        <v>73.540000000000006</v>
      </c>
      <c r="L5935">
        <v>73.540000000000006</v>
      </c>
    </row>
    <row r="5936" spans="1:12" x14ac:dyDescent="0.25">
      <c r="A5936" t="str">
        <f t="shared" si="1314"/>
        <v>89301000</v>
      </c>
      <c r="B5936" t="str">
        <f t="shared" si="1318"/>
        <v>78051000</v>
      </c>
      <c r="C5936" t="str">
        <f t="shared" si="1319"/>
        <v>78051004</v>
      </c>
      <c r="D5936" t="str">
        <f t="shared" si="1321"/>
        <v>809</v>
      </c>
      <c r="E5936" t="str">
        <f t="shared" si="1320"/>
        <v>89301062</v>
      </c>
      <c r="F5936" t="str">
        <f>"7207075678"</f>
        <v>7207075678</v>
      </c>
      <c r="G5936" s="1">
        <v>44727</v>
      </c>
      <c r="H5936" t="str">
        <f>"0096251"</f>
        <v>0096251</v>
      </c>
      <c r="I5936">
        <v>0.17</v>
      </c>
      <c r="K5936">
        <v>198.83</v>
      </c>
      <c r="L5936">
        <v>198.83</v>
      </c>
    </row>
    <row r="5937" spans="1:12" x14ac:dyDescent="0.25">
      <c r="A5937" t="str">
        <f t="shared" si="1314"/>
        <v>89301000</v>
      </c>
      <c r="B5937" t="str">
        <f t="shared" si="1318"/>
        <v>78051000</v>
      </c>
      <c r="C5937" t="str">
        <f t="shared" si="1319"/>
        <v>78051004</v>
      </c>
      <c r="D5937" t="str">
        <f t="shared" si="1321"/>
        <v>809</v>
      </c>
      <c r="E5937" t="str">
        <f t="shared" si="1320"/>
        <v>89301062</v>
      </c>
      <c r="F5937" t="str">
        <f>"7207075678"</f>
        <v>7207075678</v>
      </c>
      <c r="G5937" s="1">
        <v>44727</v>
      </c>
      <c r="H5937" t="str">
        <f>"0098943"</f>
        <v>0098943</v>
      </c>
      <c r="I5937">
        <v>1</v>
      </c>
      <c r="K5937">
        <v>293.81</v>
      </c>
      <c r="L5937">
        <v>293.81</v>
      </c>
    </row>
    <row r="5938" spans="1:12" x14ac:dyDescent="0.25">
      <c r="A5938" t="str">
        <f t="shared" si="1314"/>
        <v>89301000</v>
      </c>
      <c r="B5938" t="str">
        <f t="shared" si="1318"/>
        <v>78051000</v>
      </c>
      <c r="C5938" t="str">
        <f t="shared" si="1319"/>
        <v>78051004</v>
      </c>
      <c r="D5938" t="str">
        <f t="shared" si="1321"/>
        <v>809</v>
      </c>
      <c r="E5938" t="str">
        <f t="shared" si="1320"/>
        <v>89301062</v>
      </c>
      <c r="F5938" t="str">
        <f>"7262124463"</f>
        <v>7262124463</v>
      </c>
      <c r="G5938" s="1">
        <v>44727</v>
      </c>
      <c r="H5938" t="str">
        <f>"89311"</f>
        <v>89311</v>
      </c>
      <c r="I5938">
        <v>1</v>
      </c>
      <c r="J5938">
        <v>936</v>
      </c>
      <c r="K5938">
        <v>0</v>
      </c>
      <c r="L5938">
        <v>1310.4000000000001</v>
      </c>
    </row>
    <row r="5939" spans="1:12" x14ac:dyDescent="0.25">
      <c r="A5939" t="str">
        <f t="shared" si="1314"/>
        <v>89301000</v>
      </c>
      <c r="B5939" t="str">
        <f t="shared" si="1318"/>
        <v>78051000</v>
      </c>
      <c r="C5939" t="str">
        <f t="shared" si="1319"/>
        <v>78051004</v>
      </c>
      <c r="D5939" t="str">
        <f t="shared" si="1321"/>
        <v>809</v>
      </c>
      <c r="E5939" t="str">
        <f t="shared" si="1320"/>
        <v>89301062</v>
      </c>
      <c r="F5939" t="str">
        <f>"7262124463"</f>
        <v>7262124463</v>
      </c>
      <c r="G5939" s="1">
        <v>44727</v>
      </c>
      <c r="H5939" t="str">
        <f>"0090044"</f>
        <v>0090044</v>
      </c>
      <c r="I5939">
        <v>1</v>
      </c>
      <c r="K5939">
        <v>16.8</v>
      </c>
      <c r="L5939">
        <v>16.8</v>
      </c>
    </row>
    <row r="5940" spans="1:12" x14ac:dyDescent="0.25">
      <c r="A5940" t="str">
        <f t="shared" si="1314"/>
        <v>89301000</v>
      </c>
      <c r="B5940" t="str">
        <f t="shared" si="1318"/>
        <v>78051000</v>
      </c>
      <c r="C5940" t="str">
        <f t="shared" si="1319"/>
        <v>78051004</v>
      </c>
      <c r="D5940" t="str">
        <f t="shared" si="1321"/>
        <v>809</v>
      </c>
      <c r="E5940" t="str">
        <f t="shared" si="1320"/>
        <v>89301062</v>
      </c>
      <c r="F5940" t="str">
        <f>"7262124463"</f>
        <v>7262124463</v>
      </c>
      <c r="G5940" s="1">
        <v>44727</v>
      </c>
      <c r="H5940" t="str">
        <f>"0225891"</f>
        <v>0225891</v>
      </c>
      <c r="I5940">
        <v>0.2</v>
      </c>
      <c r="K5940">
        <v>73.540000000000006</v>
      </c>
      <c r="L5940">
        <v>73.540000000000006</v>
      </c>
    </row>
    <row r="5941" spans="1:12" x14ac:dyDescent="0.25">
      <c r="A5941" t="str">
        <f t="shared" si="1314"/>
        <v>89301000</v>
      </c>
      <c r="B5941" t="str">
        <f t="shared" si="1318"/>
        <v>78051000</v>
      </c>
      <c r="C5941" t="str">
        <f t="shared" si="1319"/>
        <v>78051004</v>
      </c>
      <c r="D5941" t="str">
        <f t="shared" si="1321"/>
        <v>809</v>
      </c>
      <c r="E5941" t="str">
        <f t="shared" si="1320"/>
        <v>89301062</v>
      </c>
      <c r="F5941" t="str">
        <f>"7262124463"</f>
        <v>7262124463</v>
      </c>
      <c r="G5941" s="1">
        <v>44727</v>
      </c>
      <c r="H5941" t="str">
        <f>"0096251"</f>
        <v>0096251</v>
      </c>
      <c r="I5941">
        <v>0.17</v>
      </c>
      <c r="K5941">
        <v>198.83</v>
      </c>
      <c r="L5941">
        <v>198.83</v>
      </c>
    </row>
    <row r="5942" spans="1:12" x14ac:dyDescent="0.25">
      <c r="A5942" t="str">
        <f t="shared" si="1314"/>
        <v>89301000</v>
      </c>
      <c r="B5942" t="str">
        <f t="shared" si="1318"/>
        <v>78051000</v>
      </c>
      <c r="C5942" t="str">
        <f t="shared" si="1319"/>
        <v>78051004</v>
      </c>
      <c r="D5942" t="str">
        <f t="shared" si="1321"/>
        <v>809</v>
      </c>
      <c r="E5942" t="str">
        <f t="shared" si="1320"/>
        <v>89301062</v>
      </c>
      <c r="F5942" t="str">
        <f>"7262124463"</f>
        <v>7262124463</v>
      </c>
      <c r="G5942" s="1">
        <v>44727</v>
      </c>
      <c r="H5942" t="str">
        <f>"0098943"</f>
        <v>0098943</v>
      </c>
      <c r="I5942">
        <v>1</v>
      </c>
      <c r="K5942">
        <v>293.81</v>
      </c>
      <c r="L5942">
        <v>293.81</v>
      </c>
    </row>
    <row r="5943" spans="1:12" x14ac:dyDescent="0.25">
      <c r="A5943" t="str">
        <f t="shared" si="1314"/>
        <v>89301000</v>
      </c>
      <c r="B5943" t="str">
        <f t="shared" si="1318"/>
        <v>78051000</v>
      </c>
      <c r="C5943" t="str">
        <f t="shared" si="1319"/>
        <v>78051004</v>
      </c>
      <c r="D5943" t="str">
        <f t="shared" si="1321"/>
        <v>809</v>
      </c>
      <c r="E5943" t="str">
        <f t="shared" si="1320"/>
        <v>89301062</v>
      </c>
      <c r="F5943" t="str">
        <f>"7657235311"</f>
        <v>7657235311</v>
      </c>
      <c r="G5943" s="1">
        <v>44733</v>
      </c>
      <c r="H5943" t="str">
        <f>"89311"</f>
        <v>89311</v>
      </c>
      <c r="I5943">
        <v>1</v>
      </c>
      <c r="J5943">
        <v>936</v>
      </c>
      <c r="K5943">
        <v>0</v>
      </c>
      <c r="L5943">
        <v>1310.4000000000001</v>
      </c>
    </row>
    <row r="5944" spans="1:12" x14ac:dyDescent="0.25">
      <c r="A5944" t="str">
        <f t="shared" si="1314"/>
        <v>89301000</v>
      </c>
      <c r="B5944" t="str">
        <f t="shared" si="1318"/>
        <v>78051000</v>
      </c>
      <c r="C5944" t="str">
        <f t="shared" si="1319"/>
        <v>78051004</v>
      </c>
      <c r="D5944" t="str">
        <f t="shared" si="1321"/>
        <v>809</v>
      </c>
      <c r="E5944" t="str">
        <f t="shared" si="1320"/>
        <v>89301062</v>
      </c>
      <c r="F5944" t="str">
        <f>"7657235311"</f>
        <v>7657235311</v>
      </c>
      <c r="G5944" s="1">
        <v>44733</v>
      </c>
      <c r="H5944" t="str">
        <f>"0090044"</f>
        <v>0090044</v>
      </c>
      <c r="I5944">
        <v>1</v>
      </c>
      <c r="K5944">
        <v>16.8</v>
      </c>
      <c r="L5944">
        <v>16.8</v>
      </c>
    </row>
    <row r="5945" spans="1:12" x14ac:dyDescent="0.25">
      <c r="A5945" t="str">
        <f t="shared" si="1314"/>
        <v>89301000</v>
      </c>
      <c r="B5945" t="str">
        <f t="shared" si="1318"/>
        <v>78051000</v>
      </c>
      <c r="C5945" t="str">
        <f t="shared" si="1319"/>
        <v>78051004</v>
      </c>
      <c r="D5945" t="str">
        <f t="shared" si="1321"/>
        <v>809</v>
      </c>
      <c r="E5945" t="str">
        <f t="shared" si="1320"/>
        <v>89301062</v>
      </c>
      <c r="F5945" t="str">
        <f>"7657235311"</f>
        <v>7657235311</v>
      </c>
      <c r="G5945" s="1">
        <v>44733</v>
      </c>
      <c r="H5945" t="str">
        <f>"0225891"</f>
        <v>0225891</v>
      </c>
      <c r="I5945">
        <v>0.2</v>
      </c>
      <c r="K5945">
        <v>73.540000000000006</v>
      </c>
      <c r="L5945">
        <v>73.540000000000006</v>
      </c>
    </row>
    <row r="5946" spans="1:12" x14ac:dyDescent="0.25">
      <c r="A5946" t="str">
        <f t="shared" si="1314"/>
        <v>89301000</v>
      </c>
      <c r="B5946" t="str">
        <f t="shared" si="1318"/>
        <v>78051000</v>
      </c>
      <c r="C5946" t="str">
        <f t="shared" si="1319"/>
        <v>78051004</v>
      </c>
      <c r="D5946" t="str">
        <f t="shared" si="1321"/>
        <v>809</v>
      </c>
      <c r="E5946" t="str">
        <f t="shared" si="1320"/>
        <v>89301062</v>
      </c>
      <c r="F5946" t="str">
        <f>"7657235311"</f>
        <v>7657235311</v>
      </c>
      <c r="G5946" s="1">
        <v>44733</v>
      </c>
      <c r="H5946" t="str">
        <f>"0096251"</f>
        <v>0096251</v>
      </c>
      <c r="I5946">
        <v>0.17</v>
      </c>
      <c r="K5946">
        <v>198.83</v>
      </c>
      <c r="L5946">
        <v>198.83</v>
      </c>
    </row>
    <row r="5947" spans="1:12" x14ac:dyDescent="0.25">
      <c r="A5947" t="str">
        <f t="shared" si="1314"/>
        <v>89301000</v>
      </c>
      <c r="B5947" t="str">
        <f t="shared" si="1318"/>
        <v>78051000</v>
      </c>
      <c r="C5947" t="str">
        <f t="shared" si="1319"/>
        <v>78051004</v>
      </c>
      <c r="D5947" t="str">
        <f t="shared" si="1321"/>
        <v>809</v>
      </c>
      <c r="E5947" t="str">
        <f t="shared" si="1320"/>
        <v>89301062</v>
      </c>
      <c r="F5947" t="str">
        <f>"7657235311"</f>
        <v>7657235311</v>
      </c>
      <c r="G5947" s="1">
        <v>44733</v>
      </c>
      <c r="H5947" t="str">
        <f>"0098943"</f>
        <v>0098943</v>
      </c>
      <c r="I5947">
        <v>1</v>
      </c>
      <c r="K5947">
        <v>293.81</v>
      </c>
      <c r="L5947">
        <v>293.81</v>
      </c>
    </row>
    <row r="5948" spans="1:12" x14ac:dyDescent="0.25">
      <c r="A5948" t="str">
        <f t="shared" si="1314"/>
        <v>89301000</v>
      </c>
      <c r="B5948" t="str">
        <f t="shared" si="1318"/>
        <v>78051000</v>
      </c>
      <c r="C5948" t="str">
        <f t="shared" si="1319"/>
        <v>78051004</v>
      </c>
      <c r="D5948" t="str">
        <f t="shared" si="1321"/>
        <v>809</v>
      </c>
      <c r="E5948" t="str">
        <f t="shared" si="1320"/>
        <v>89301062</v>
      </c>
      <c r="F5948" t="str">
        <f>"6811090968"</f>
        <v>6811090968</v>
      </c>
      <c r="G5948" s="1">
        <v>44733</v>
      </c>
      <c r="H5948" t="str">
        <f>"89311"</f>
        <v>89311</v>
      </c>
      <c r="I5948">
        <v>1</v>
      </c>
      <c r="J5948">
        <v>936</v>
      </c>
      <c r="K5948">
        <v>0</v>
      </c>
      <c r="L5948">
        <v>1310.4000000000001</v>
      </c>
    </row>
    <row r="5949" spans="1:12" x14ac:dyDescent="0.25">
      <c r="A5949" t="str">
        <f t="shared" si="1314"/>
        <v>89301000</v>
      </c>
      <c r="B5949" t="str">
        <f t="shared" si="1318"/>
        <v>78051000</v>
      </c>
      <c r="C5949" t="str">
        <f t="shared" si="1319"/>
        <v>78051004</v>
      </c>
      <c r="D5949" t="str">
        <f t="shared" si="1321"/>
        <v>809</v>
      </c>
      <c r="E5949" t="str">
        <f t="shared" si="1320"/>
        <v>89301062</v>
      </c>
      <c r="F5949" t="str">
        <f>"6811090968"</f>
        <v>6811090968</v>
      </c>
      <c r="G5949" s="1">
        <v>44733</v>
      </c>
      <c r="H5949" t="str">
        <f>"0090044"</f>
        <v>0090044</v>
      </c>
      <c r="I5949">
        <v>1</v>
      </c>
      <c r="K5949">
        <v>16.8</v>
      </c>
      <c r="L5949">
        <v>16.8</v>
      </c>
    </row>
    <row r="5950" spans="1:12" x14ac:dyDescent="0.25">
      <c r="A5950" t="str">
        <f t="shared" si="1314"/>
        <v>89301000</v>
      </c>
      <c r="B5950" t="str">
        <f t="shared" si="1318"/>
        <v>78051000</v>
      </c>
      <c r="C5950" t="str">
        <f t="shared" si="1319"/>
        <v>78051004</v>
      </c>
      <c r="D5950" t="str">
        <f t="shared" si="1321"/>
        <v>809</v>
      </c>
      <c r="E5950" t="str">
        <f t="shared" si="1320"/>
        <v>89301062</v>
      </c>
      <c r="F5950" t="str">
        <f>"6811090968"</f>
        <v>6811090968</v>
      </c>
      <c r="G5950" s="1">
        <v>44733</v>
      </c>
      <c r="H5950" t="str">
        <f>"0225891"</f>
        <v>0225891</v>
      </c>
      <c r="I5950">
        <v>0.2</v>
      </c>
      <c r="K5950">
        <v>73.540000000000006</v>
      </c>
      <c r="L5950">
        <v>73.540000000000006</v>
      </c>
    </row>
    <row r="5951" spans="1:12" x14ac:dyDescent="0.25">
      <c r="A5951" t="str">
        <f t="shared" si="1314"/>
        <v>89301000</v>
      </c>
      <c r="B5951" t="str">
        <f t="shared" si="1318"/>
        <v>78051000</v>
      </c>
      <c r="C5951" t="str">
        <f t="shared" si="1319"/>
        <v>78051004</v>
      </c>
      <c r="D5951" t="str">
        <f t="shared" si="1321"/>
        <v>809</v>
      </c>
      <c r="E5951" t="str">
        <f t="shared" si="1320"/>
        <v>89301062</v>
      </c>
      <c r="F5951" t="str">
        <f>"6811090968"</f>
        <v>6811090968</v>
      </c>
      <c r="G5951" s="1">
        <v>44733</v>
      </c>
      <c r="H5951" t="str">
        <f>"0096251"</f>
        <v>0096251</v>
      </c>
      <c r="I5951">
        <v>0.17</v>
      </c>
      <c r="K5951">
        <v>198.83</v>
      </c>
      <c r="L5951">
        <v>198.83</v>
      </c>
    </row>
    <row r="5952" spans="1:12" x14ac:dyDescent="0.25">
      <c r="A5952" t="str">
        <f t="shared" si="1314"/>
        <v>89301000</v>
      </c>
      <c r="B5952" t="str">
        <f t="shared" si="1318"/>
        <v>78051000</v>
      </c>
      <c r="C5952" t="str">
        <f t="shared" si="1319"/>
        <v>78051004</v>
      </c>
      <c r="D5952" t="str">
        <f t="shared" si="1321"/>
        <v>809</v>
      </c>
      <c r="E5952" t="str">
        <f t="shared" si="1320"/>
        <v>89301062</v>
      </c>
      <c r="F5952" t="str">
        <f>"6811090968"</f>
        <v>6811090968</v>
      </c>
      <c r="G5952" s="1">
        <v>44733</v>
      </c>
      <c r="H5952" t="str">
        <f>"0098943"</f>
        <v>0098943</v>
      </c>
      <c r="I5952">
        <v>1</v>
      </c>
      <c r="K5952">
        <v>293.81</v>
      </c>
      <c r="L5952">
        <v>293.81</v>
      </c>
    </row>
    <row r="5953" spans="1:12" x14ac:dyDescent="0.25">
      <c r="A5953" t="str">
        <f t="shared" si="1314"/>
        <v>89301000</v>
      </c>
      <c r="B5953" t="str">
        <f t="shared" si="1318"/>
        <v>78051000</v>
      </c>
      <c r="C5953" t="str">
        <f t="shared" si="1319"/>
        <v>78051004</v>
      </c>
      <c r="D5953" t="str">
        <f t="shared" si="1321"/>
        <v>809</v>
      </c>
      <c r="E5953" t="str">
        <f t="shared" si="1320"/>
        <v>89301062</v>
      </c>
      <c r="F5953" t="str">
        <f>"7612054461"</f>
        <v>7612054461</v>
      </c>
      <c r="G5953" s="1">
        <v>44733</v>
      </c>
      <c r="H5953" t="str">
        <f>"89311"</f>
        <v>89311</v>
      </c>
      <c r="I5953">
        <v>1</v>
      </c>
      <c r="J5953">
        <v>936</v>
      </c>
      <c r="K5953">
        <v>0</v>
      </c>
      <c r="L5953">
        <v>1310.4000000000001</v>
      </c>
    </row>
    <row r="5954" spans="1:12" x14ac:dyDescent="0.25">
      <c r="A5954" t="str">
        <f t="shared" ref="A5954:A6017" si="1322">"89301000"</f>
        <v>89301000</v>
      </c>
      <c r="B5954" t="str">
        <f t="shared" si="1318"/>
        <v>78051000</v>
      </c>
      <c r="C5954" t="str">
        <f t="shared" si="1319"/>
        <v>78051004</v>
      </c>
      <c r="D5954" t="str">
        <f t="shared" si="1321"/>
        <v>809</v>
      </c>
      <c r="E5954" t="str">
        <f t="shared" si="1320"/>
        <v>89301062</v>
      </c>
      <c r="F5954" t="str">
        <f>"7612054461"</f>
        <v>7612054461</v>
      </c>
      <c r="G5954" s="1">
        <v>44733</v>
      </c>
      <c r="H5954" t="str">
        <f>"0090044"</f>
        <v>0090044</v>
      </c>
      <c r="I5954">
        <v>1</v>
      </c>
      <c r="K5954">
        <v>16.8</v>
      </c>
      <c r="L5954">
        <v>16.8</v>
      </c>
    </row>
    <row r="5955" spans="1:12" x14ac:dyDescent="0.25">
      <c r="A5955" t="str">
        <f t="shared" si="1322"/>
        <v>89301000</v>
      </c>
      <c r="B5955" t="str">
        <f t="shared" si="1318"/>
        <v>78051000</v>
      </c>
      <c r="C5955" t="str">
        <f t="shared" si="1319"/>
        <v>78051004</v>
      </c>
      <c r="D5955" t="str">
        <f t="shared" si="1321"/>
        <v>809</v>
      </c>
      <c r="E5955" t="str">
        <f t="shared" si="1320"/>
        <v>89301062</v>
      </c>
      <c r="F5955" t="str">
        <f>"7612054461"</f>
        <v>7612054461</v>
      </c>
      <c r="G5955" s="1">
        <v>44733</v>
      </c>
      <c r="H5955" t="str">
        <f>"0225891"</f>
        <v>0225891</v>
      </c>
      <c r="I5955">
        <v>0.2</v>
      </c>
      <c r="K5955">
        <v>73.540000000000006</v>
      </c>
      <c r="L5955">
        <v>73.540000000000006</v>
      </c>
    </row>
    <row r="5956" spans="1:12" x14ac:dyDescent="0.25">
      <c r="A5956" t="str">
        <f t="shared" si="1322"/>
        <v>89301000</v>
      </c>
      <c r="B5956" t="str">
        <f t="shared" si="1318"/>
        <v>78051000</v>
      </c>
      <c r="C5956" t="str">
        <f t="shared" si="1319"/>
        <v>78051004</v>
      </c>
      <c r="D5956" t="str">
        <f t="shared" si="1321"/>
        <v>809</v>
      </c>
      <c r="E5956" t="str">
        <f t="shared" si="1320"/>
        <v>89301062</v>
      </c>
      <c r="F5956" t="str">
        <f>"7612054461"</f>
        <v>7612054461</v>
      </c>
      <c r="G5956" s="1">
        <v>44733</v>
      </c>
      <c r="H5956" t="str">
        <f>"0096251"</f>
        <v>0096251</v>
      </c>
      <c r="I5956">
        <v>0.17</v>
      </c>
      <c r="K5956">
        <v>198.83</v>
      </c>
      <c r="L5956">
        <v>198.83</v>
      </c>
    </row>
    <row r="5957" spans="1:12" x14ac:dyDescent="0.25">
      <c r="A5957" t="str">
        <f t="shared" si="1322"/>
        <v>89301000</v>
      </c>
      <c r="B5957" t="str">
        <f t="shared" si="1318"/>
        <v>78051000</v>
      </c>
      <c r="C5957" t="str">
        <f t="shared" si="1319"/>
        <v>78051004</v>
      </c>
      <c r="D5957" t="str">
        <f t="shared" si="1321"/>
        <v>809</v>
      </c>
      <c r="E5957" t="str">
        <f t="shared" si="1320"/>
        <v>89301062</v>
      </c>
      <c r="F5957" t="str">
        <f>"7612054461"</f>
        <v>7612054461</v>
      </c>
      <c r="G5957" s="1">
        <v>44733</v>
      </c>
      <c r="H5957" t="str">
        <f>"0098943"</f>
        <v>0098943</v>
      </c>
      <c r="I5957">
        <v>1</v>
      </c>
      <c r="K5957">
        <v>293.81</v>
      </c>
      <c r="L5957">
        <v>293.81</v>
      </c>
    </row>
    <row r="5958" spans="1:12" x14ac:dyDescent="0.25">
      <c r="A5958" t="str">
        <f t="shared" si="1322"/>
        <v>89301000</v>
      </c>
      <c r="B5958" t="str">
        <f t="shared" si="1318"/>
        <v>78051000</v>
      </c>
      <c r="C5958" t="str">
        <f t="shared" si="1319"/>
        <v>78051004</v>
      </c>
      <c r="D5958" t="str">
        <f t="shared" si="1321"/>
        <v>809</v>
      </c>
      <c r="E5958" t="str">
        <f t="shared" si="1320"/>
        <v>89301062</v>
      </c>
      <c r="F5958" t="str">
        <f>"6160270666"</f>
        <v>6160270666</v>
      </c>
      <c r="G5958" s="1">
        <v>44733</v>
      </c>
      <c r="H5958" t="str">
        <f>"89311"</f>
        <v>89311</v>
      </c>
      <c r="I5958">
        <v>1</v>
      </c>
      <c r="J5958">
        <v>936</v>
      </c>
      <c r="K5958">
        <v>0</v>
      </c>
      <c r="L5958">
        <v>1310.4000000000001</v>
      </c>
    </row>
    <row r="5959" spans="1:12" x14ac:dyDescent="0.25">
      <c r="A5959" t="str">
        <f t="shared" si="1322"/>
        <v>89301000</v>
      </c>
      <c r="B5959" t="str">
        <f t="shared" ref="B5959:B5976" si="1323">"78051000"</f>
        <v>78051000</v>
      </c>
      <c r="C5959" t="str">
        <f t="shared" si="1319"/>
        <v>78051004</v>
      </c>
      <c r="D5959" t="str">
        <f t="shared" si="1321"/>
        <v>809</v>
      </c>
      <c r="E5959" t="str">
        <f t="shared" si="1320"/>
        <v>89301062</v>
      </c>
      <c r="F5959" t="str">
        <f>"6160270666"</f>
        <v>6160270666</v>
      </c>
      <c r="G5959" s="1">
        <v>44733</v>
      </c>
      <c r="H5959" t="str">
        <f>"0090044"</f>
        <v>0090044</v>
      </c>
      <c r="I5959">
        <v>1</v>
      </c>
      <c r="K5959">
        <v>16.8</v>
      </c>
      <c r="L5959">
        <v>16.8</v>
      </c>
    </row>
    <row r="5960" spans="1:12" x14ac:dyDescent="0.25">
      <c r="A5960" t="str">
        <f t="shared" si="1322"/>
        <v>89301000</v>
      </c>
      <c r="B5960" t="str">
        <f t="shared" si="1323"/>
        <v>78051000</v>
      </c>
      <c r="C5960" t="str">
        <f t="shared" si="1319"/>
        <v>78051004</v>
      </c>
      <c r="D5960" t="str">
        <f t="shared" si="1321"/>
        <v>809</v>
      </c>
      <c r="E5960" t="str">
        <f t="shared" ref="E5960:E5976" si="1324">"89301062"</f>
        <v>89301062</v>
      </c>
      <c r="F5960" t="str">
        <f>"6160270666"</f>
        <v>6160270666</v>
      </c>
      <c r="G5960" s="1">
        <v>44733</v>
      </c>
      <c r="H5960" t="str">
        <f>"0225891"</f>
        <v>0225891</v>
      </c>
      <c r="I5960">
        <v>0.2</v>
      </c>
      <c r="K5960">
        <v>73.540000000000006</v>
      </c>
      <c r="L5960">
        <v>73.540000000000006</v>
      </c>
    </row>
    <row r="5961" spans="1:12" x14ac:dyDescent="0.25">
      <c r="A5961" t="str">
        <f t="shared" si="1322"/>
        <v>89301000</v>
      </c>
      <c r="B5961" t="str">
        <f t="shared" si="1323"/>
        <v>78051000</v>
      </c>
      <c r="C5961" t="str">
        <f t="shared" si="1319"/>
        <v>78051004</v>
      </c>
      <c r="D5961" t="str">
        <f t="shared" si="1321"/>
        <v>809</v>
      </c>
      <c r="E5961" t="str">
        <f t="shared" si="1324"/>
        <v>89301062</v>
      </c>
      <c r="F5961" t="str">
        <f>"6160270666"</f>
        <v>6160270666</v>
      </c>
      <c r="G5961" s="1">
        <v>44733</v>
      </c>
      <c r="H5961" t="str">
        <f>"0096251"</f>
        <v>0096251</v>
      </c>
      <c r="I5961">
        <v>0.17</v>
      </c>
      <c r="K5961">
        <v>198.83</v>
      </c>
      <c r="L5961">
        <v>198.83</v>
      </c>
    </row>
    <row r="5962" spans="1:12" x14ac:dyDescent="0.25">
      <c r="A5962" t="str">
        <f t="shared" si="1322"/>
        <v>89301000</v>
      </c>
      <c r="B5962" t="str">
        <f t="shared" si="1323"/>
        <v>78051000</v>
      </c>
      <c r="C5962" t="str">
        <f t="shared" si="1319"/>
        <v>78051004</v>
      </c>
      <c r="D5962" t="str">
        <f t="shared" si="1321"/>
        <v>809</v>
      </c>
      <c r="E5962" t="str">
        <f t="shared" si="1324"/>
        <v>89301062</v>
      </c>
      <c r="F5962" t="str">
        <f>"6160270666"</f>
        <v>6160270666</v>
      </c>
      <c r="G5962" s="1">
        <v>44733</v>
      </c>
      <c r="H5962" t="str">
        <f>"0098943"</f>
        <v>0098943</v>
      </c>
      <c r="I5962">
        <v>1</v>
      </c>
      <c r="K5962">
        <v>293.81</v>
      </c>
      <c r="L5962">
        <v>293.81</v>
      </c>
    </row>
    <row r="5963" spans="1:12" x14ac:dyDescent="0.25">
      <c r="A5963" t="str">
        <f t="shared" si="1322"/>
        <v>89301000</v>
      </c>
      <c r="B5963" t="str">
        <f t="shared" si="1323"/>
        <v>78051000</v>
      </c>
      <c r="C5963" t="str">
        <f t="shared" si="1319"/>
        <v>78051004</v>
      </c>
      <c r="D5963" t="str">
        <f t="shared" si="1321"/>
        <v>809</v>
      </c>
      <c r="E5963" t="str">
        <f t="shared" si="1324"/>
        <v>89301062</v>
      </c>
      <c r="F5963" t="str">
        <f>"7805215319"</f>
        <v>7805215319</v>
      </c>
      <c r="G5963" s="1">
        <v>44733</v>
      </c>
      <c r="H5963" t="str">
        <f>"89311"</f>
        <v>89311</v>
      </c>
      <c r="I5963">
        <v>1</v>
      </c>
      <c r="J5963">
        <v>936</v>
      </c>
      <c r="K5963">
        <v>0</v>
      </c>
      <c r="L5963">
        <v>1310.4000000000001</v>
      </c>
    </row>
    <row r="5964" spans="1:12" x14ac:dyDescent="0.25">
      <c r="A5964" t="str">
        <f t="shared" si="1322"/>
        <v>89301000</v>
      </c>
      <c r="B5964" t="str">
        <f t="shared" si="1323"/>
        <v>78051000</v>
      </c>
      <c r="C5964" t="str">
        <f t="shared" si="1319"/>
        <v>78051004</v>
      </c>
      <c r="D5964" t="str">
        <f t="shared" si="1321"/>
        <v>809</v>
      </c>
      <c r="E5964" t="str">
        <f t="shared" si="1324"/>
        <v>89301062</v>
      </c>
      <c r="F5964" t="str">
        <f>"7805215319"</f>
        <v>7805215319</v>
      </c>
      <c r="G5964" s="1">
        <v>44733</v>
      </c>
      <c r="H5964" t="str">
        <f>"0090044"</f>
        <v>0090044</v>
      </c>
      <c r="I5964">
        <v>1</v>
      </c>
      <c r="K5964">
        <v>16.8</v>
      </c>
      <c r="L5964">
        <v>16.8</v>
      </c>
    </row>
    <row r="5965" spans="1:12" x14ac:dyDescent="0.25">
      <c r="A5965" t="str">
        <f t="shared" si="1322"/>
        <v>89301000</v>
      </c>
      <c r="B5965" t="str">
        <f t="shared" si="1323"/>
        <v>78051000</v>
      </c>
      <c r="C5965" t="str">
        <f t="shared" si="1319"/>
        <v>78051004</v>
      </c>
      <c r="D5965" t="str">
        <f t="shared" si="1321"/>
        <v>809</v>
      </c>
      <c r="E5965" t="str">
        <f t="shared" si="1324"/>
        <v>89301062</v>
      </c>
      <c r="F5965" t="str">
        <f>"7805215319"</f>
        <v>7805215319</v>
      </c>
      <c r="G5965" s="1">
        <v>44733</v>
      </c>
      <c r="H5965" t="str">
        <f>"0225891"</f>
        <v>0225891</v>
      </c>
      <c r="I5965">
        <v>0.2</v>
      </c>
      <c r="K5965">
        <v>73.540000000000006</v>
      </c>
      <c r="L5965">
        <v>73.540000000000006</v>
      </c>
    </row>
    <row r="5966" spans="1:12" x14ac:dyDescent="0.25">
      <c r="A5966" t="str">
        <f t="shared" si="1322"/>
        <v>89301000</v>
      </c>
      <c r="B5966" t="str">
        <f t="shared" si="1323"/>
        <v>78051000</v>
      </c>
      <c r="C5966" t="str">
        <f t="shared" si="1319"/>
        <v>78051004</v>
      </c>
      <c r="D5966" t="str">
        <f t="shared" si="1321"/>
        <v>809</v>
      </c>
      <c r="E5966" t="str">
        <f t="shared" si="1324"/>
        <v>89301062</v>
      </c>
      <c r="F5966" t="str">
        <f>"7805215319"</f>
        <v>7805215319</v>
      </c>
      <c r="G5966" s="1">
        <v>44733</v>
      </c>
      <c r="H5966" t="str">
        <f>"0096251"</f>
        <v>0096251</v>
      </c>
      <c r="I5966">
        <v>0.17</v>
      </c>
      <c r="K5966">
        <v>198.83</v>
      </c>
      <c r="L5966">
        <v>198.83</v>
      </c>
    </row>
    <row r="5967" spans="1:12" x14ac:dyDescent="0.25">
      <c r="A5967" t="str">
        <f t="shared" si="1322"/>
        <v>89301000</v>
      </c>
      <c r="B5967" t="str">
        <f t="shared" si="1323"/>
        <v>78051000</v>
      </c>
      <c r="C5967" t="str">
        <f t="shared" si="1319"/>
        <v>78051004</v>
      </c>
      <c r="D5967" t="str">
        <f t="shared" si="1321"/>
        <v>809</v>
      </c>
      <c r="E5967" t="str">
        <f t="shared" si="1324"/>
        <v>89301062</v>
      </c>
      <c r="F5967" t="str">
        <f>"7805215319"</f>
        <v>7805215319</v>
      </c>
      <c r="G5967" s="1">
        <v>44733</v>
      </c>
      <c r="H5967" t="str">
        <f>"0098943"</f>
        <v>0098943</v>
      </c>
      <c r="I5967">
        <v>1</v>
      </c>
      <c r="K5967">
        <v>293.81</v>
      </c>
      <c r="L5967">
        <v>293.81</v>
      </c>
    </row>
    <row r="5968" spans="1:12" x14ac:dyDescent="0.25">
      <c r="A5968" t="str">
        <f t="shared" si="1322"/>
        <v>89301000</v>
      </c>
      <c r="B5968" t="str">
        <f t="shared" si="1323"/>
        <v>78051000</v>
      </c>
      <c r="C5968" t="str">
        <f t="shared" ref="C5968:C5976" si="1325">"78051017"</f>
        <v>78051017</v>
      </c>
      <c r="D5968" t="str">
        <f t="shared" ref="D5968:D5976" si="1326">"810"</f>
        <v>810</v>
      </c>
      <c r="E5968" t="str">
        <f t="shared" si="1324"/>
        <v>89301062</v>
      </c>
      <c r="F5968" t="str">
        <f>"6309090029"</f>
        <v>6309090029</v>
      </c>
      <c r="G5968" s="1">
        <v>44727</v>
      </c>
      <c r="H5968" t="str">
        <f t="shared" ref="H5968:H5976" si="1327">"89615"</f>
        <v>89615</v>
      </c>
      <c r="I5968">
        <v>1</v>
      </c>
      <c r="J5968">
        <v>2170</v>
      </c>
      <c r="K5968">
        <v>0</v>
      </c>
      <c r="L5968">
        <v>1302</v>
      </c>
    </row>
    <row r="5969" spans="1:12" x14ac:dyDescent="0.25">
      <c r="A5969" t="str">
        <f t="shared" si="1322"/>
        <v>89301000</v>
      </c>
      <c r="B5969" t="str">
        <f t="shared" si="1323"/>
        <v>78051000</v>
      </c>
      <c r="C5969" t="str">
        <f t="shared" si="1325"/>
        <v>78051017</v>
      </c>
      <c r="D5969" t="str">
        <f t="shared" si="1326"/>
        <v>810</v>
      </c>
      <c r="E5969" t="str">
        <f t="shared" si="1324"/>
        <v>89301062</v>
      </c>
      <c r="F5969" t="str">
        <f>"7207075678"</f>
        <v>7207075678</v>
      </c>
      <c r="G5969" s="1">
        <v>44727</v>
      </c>
      <c r="H5969" t="str">
        <f t="shared" si="1327"/>
        <v>89615</v>
      </c>
      <c r="I5969">
        <v>1</v>
      </c>
      <c r="J5969">
        <v>2170</v>
      </c>
      <c r="K5969">
        <v>0</v>
      </c>
      <c r="L5969">
        <v>1302</v>
      </c>
    </row>
    <row r="5970" spans="1:12" x14ac:dyDescent="0.25">
      <c r="A5970" t="str">
        <f t="shared" si="1322"/>
        <v>89301000</v>
      </c>
      <c r="B5970" t="str">
        <f t="shared" si="1323"/>
        <v>78051000</v>
      </c>
      <c r="C5970" t="str">
        <f t="shared" si="1325"/>
        <v>78051017</v>
      </c>
      <c r="D5970" t="str">
        <f t="shared" si="1326"/>
        <v>810</v>
      </c>
      <c r="E5970" t="str">
        <f t="shared" si="1324"/>
        <v>89301062</v>
      </c>
      <c r="F5970" t="str">
        <f>"7262124463"</f>
        <v>7262124463</v>
      </c>
      <c r="G5970" s="1">
        <v>44727</v>
      </c>
      <c r="H5970" t="str">
        <f t="shared" si="1327"/>
        <v>89615</v>
      </c>
      <c r="I5970">
        <v>1</v>
      </c>
      <c r="J5970">
        <v>2170</v>
      </c>
      <c r="K5970">
        <v>0</v>
      </c>
      <c r="L5970">
        <v>1302</v>
      </c>
    </row>
    <row r="5971" spans="1:12" x14ac:dyDescent="0.25">
      <c r="A5971" t="str">
        <f t="shared" si="1322"/>
        <v>89301000</v>
      </c>
      <c r="B5971" t="str">
        <f t="shared" si="1323"/>
        <v>78051000</v>
      </c>
      <c r="C5971" t="str">
        <f t="shared" si="1325"/>
        <v>78051017</v>
      </c>
      <c r="D5971" t="str">
        <f t="shared" si="1326"/>
        <v>810</v>
      </c>
      <c r="E5971" t="str">
        <f t="shared" si="1324"/>
        <v>89301062</v>
      </c>
      <c r="F5971" t="str">
        <f>"500718153"</f>
        <v>500718153</v>
      </c>
      <c r="G5971" s="1">
        <v>44732</v>
      </c>
      <c r="H5971" t="str">
        <f t="shared" si="1327"/>
        <v>89615</v>
      </c>
      <c r="I5971">
        <v>1</v>
      </c>
      <c r="J5971">
        <v>2170</v>
      </c>
      <c r="K5971">
        <v>0</v>
      </c>
      <c r="L5971">
        <v>1302</v>
      </c>
    </row>
    <row r="5972" spans="1:12" x14ac:dyDescent="0.25">
      <c r="A5972" t="str">
        <f t="shared" si="1322"/>
        <v>89301000</v>
      </c>
      <c r="B5972" t="str">
        <f t="shared" si="1323"/>
        <v>78051000</v>
      </c>
      <c r="C5972" t="str">
        <f t="shared" si="1325"/>
        <v>78051017</v>
      </c>
      <c r="D5972" t="str">
        <f t="shared" si="1326"/>
        <v>810</v>
      </c>
      <c r="E5972" t="str">
        <f t="shared" si="1324"/>
        <v>89301062</v>
      </c>
      <c r="F5972" t="str">
        <f>"7657235311"</f>
        <v>7657235311</v>
      </c>
      <c r="G5972" s="1">
        <v>44733</v>
      </c>
      <c r="H5972" t="str">
        <f t="shared" si="1327"/>
        <v>89615</v>
      </c>
      <c r="I5972">
        <v>1</v>
      </c>
      <c r="J5972">
        <v>2170</v>
      </c>
      <c r="K5972">
        <v>0</v>
      </c>
      <c r="L5972">
        <v>1302</v>
      </c>
    </row>
    <row r="5973" spans="1:12" x14ac:dyDescent="0.25">
      <c r="A5973" t="str">
        <f t="shared" si="1322"/>
        <v>89301000</v>
      </c>
      <c r="B5973" t="str">
        <f t="shared" si="1323"/>
        <v>78051000</v>
      </c>
      <c r="C5973" t="str">
        <f t="shared" si="1325"/>
        <v>78051017</v>
      </c>
      <c r="D5973" t="str">
        <f t="shared" si="1326"/>
        <v>810</v>
      </c>
      <c r="E5973" t="str">
        <f t="shared" si="1324"/>
        <v>89301062</v>
      </c>
      <c r="F5973" t="str">
        <f>"6811090968"</f>
        <v>6811090968</v>
      </c>
      <c r="G5973" s="1">
        <v>44733</v>
      </c>
      <c r="H5973" t="str">
        <f t="shared" si="1327"/>
        <v>89615</v>
      </c>
      <c r="I5973">
        <v>1</v>
      </c>
      <c r="J5973">
        <v>2170</v>
      </c>
      <c r="K5973">
        <v>0</v>
      </c>
      <c r="L5973">
        <v>1302</v>
      </c>
    </row>
    <row r="5974" spans="1:12" x14ac:dyDescent="0.25">
      <c r="A5974" t="str">
        <f t="shared" si="1322"/>
        <v>89301000</v>
      </c>
      <c r="B5974" t="str">
        <f t="shared" si="1323"/>
        <v>78051000</v>
      </c>
      <c r="C5974" t="str">
        <f t="shared" si="1325"/>
        <v>78051017</v>
      </c>
      <c r="D5974" t="str">
        <f t="shared" si="1326"/>
        <v>810</v>
      </c>
      <c r="E5974" t="str">
        <f t="shared" si="1324"/>
        <v>89301062</v>
      </c>
      <c r="F5974" t="str">
        <f>"7612054461"</f>
        <v>7612054461</v>
      </c>
      <c r="G5974" s="1">
        <v>44733</v>
      </c>
      <c r="H5974" t="str">
        <f t="shared" si="1327"/>
        <v>89615</v>
      </c>
      <c r="I5974">
        <v>1</v>
      </c>
      <c r="J5974">
        <v>2170</v>
      </c>
      <c r="K5974">
        <v>0</v>
      </c>
      <c r="L5974">
        <v>1302</v>
      </c>
    </row>
    <row r="5975" spans="1:12" x14ac:dyDescent="0.25">
      <c r="A5975" t="str">
        <f t="shared" si="1322"/>
        <v>89301000</v>
      </c>
      <c r="B5975" t="str">
        <f t="shared" si="1323"/>
        <v>78051000</v>
      </c>
      <c r="C5975" t="str">
        <f t="shared" si="1325"/>
        <v>78051017</v>
      </c>
      <c r="D5975" t="str">
        <f t="shared" si="1326"/>
        <v>810</v>
      </c>
      <c r="E5975" t="str">
        <f t="shared" si="1324"/>
        <v>89301062</v>
      </c>
      <c r="F5975" t="str">
        <f>"6160270666"</f>
        <v>6160270666</v>
      </c>
      <c r="G5975" s="1">
        <v>44733</v>
      </c>
      <c r="H5975" t="str">
        <f t="shared" si="1327"/>
        <v>89615</v>
      </c>
      <c r="I5975">
        <v>1</v>
      </c>
      <c r="J5975">
        <v>2170</v>
      </c>
      <c r="K5975">
        <v>0</v>
      </c>
      <c r="L5975">
        <v>1302</v>
      </c>
    </row>
    <row r="5976" spans="1:12" x14ac:dyDescent="0.25">
      <c r="A5976" t="str">
        <f t="shared" si="1322"/>
        <v>89301000</v>
      </c>
      <c r="B5976" t="str">
        <f t="shared" si="1323"/>
        <v>78051000</v>
      </c>
      <c r="C5976" t="str">
        <f t="shared" si="1325"/>
        <v>78051017</v>
      </c>
      <c r="D5976" t="str">
        <f t="shared" si="1326"/>
        <v>810</v>
      </c>
      <c r="E5976" t="str">
        <f t="shared" si="1324"/>
        <v>89301062</v>
      </c>
      <c r="F5976" t="str">
        <f>"7805215319"</f>
        <v>7805215319</v>
      </c>
      <c r="G5976" s="1">
        <v>44733</v>
      </c>
      <c r="H5976" t="str">
        <f t="shared" si="1327"/>
        <v>89615</v>
      </c>
      <c r="I5976">
        <v>1</v>
      </c>
      <c r="J5976">
        <v>2170</v>
      </c>
      <c r="K5976">
        <v>0</v>
      </c>
      <c r="L5976">
        <v>1302</v>
      </c>
    </row>
    <row r="5977" spans="1:12" x14ac:dyDescent="0.25">
      <c r="A5977" t="str">
        <f t="shared" si="1322"/>
        <v>89301000</v>
      </c>
      <c r="B5977" t="str">
        <f t="shared" ref="B5977:B5983" si="1328">"91866000"</f>
        <v>91866000</v>
      </c>
      <c r="C5977" t="str">
        <f t="shared" ref="C5977:C5982" si="1329">"91866313"</f>
        <v>91866313</v>
      </c>
      <c r="D5977" t="str">
        <f t="shared" ref="D5977:D5982" si="1330">"802"</f>
        <v>802</v>
      </c>
      <c r="E5977" t="str">
        <f t="shared" ref="E5977:E5982" si="1331">"89301101"</f>
        <v>89301101</v>
      </c>
      <c r="F5977" t="str">
        <f t="shared" ref="F5977:F5982" si="1332">"0903213245"</f>
        <v>0903213245</v>
      </c>
      <c r="G5977" s="1">
        <v>44726</v>
      </c>
      <c r="H5977" t="str">
        <f t="shared" ref="H5977:H5982" si="1333">"82121"</f>
        <v>82121</v>
      </c>
      <c r="I5977">
        <v>1</v>
      </c>
      <c r="J5977">
        <v>800</v>
      </c>
      <c r="K5977">
        <v>0</v>
      </c>
      <c r="L5977">
        <v>728</v>
      </c>
    </row>
    <row r="5978" spans="1:12" x14ac:dyDescent="0.25">
      <c r="A5978" t="str">
        <f t="shared" si="1322"/>
        <v>89301000</v>
      </c>
      <c r="B5978" t="str">
        <f t="shared" si="1328"/>
        <v>91866000</v>
      </c>
      <c r="C5978" t="str">
        <f t="shared" si="1329"/>
        <v>91866313</v>
      </c>
      <c r="D5978" t="str">
        <f t="shared" si="1330"/>
        <v>802</v>
      </c>
      <c r="E5978" t="str">
        <f t="shared" si="1331"/>
        <v>89301101</v>
      </c>
      <c r="F5978" t="str">
        <f t="shared" si="1332"/>
        <v>0903213245</v>
      </c>
      <c r="G5978" s="1">
        <v>44726</v>
      </c>
      <c r="H5978" t="str">
        <f t="shared" si="1333"/>
        <v>82121</v>
      </c>
      <c r="I5978">
        <v>1</v>
      </c>
      <c r="J5978">
        <v>800</v>
      </c>
      <c r="K5978">
        <v>0</v>
      </c>
      <c r="L5978">
        <v>728</v>
      </c>
    </row>
    <row r="5979" spans="1:12" x14ac:dyDescent="0.25">
      <c r="A5979" t="str">
        <f t="shared" si="1322"/>
        <v>89301000</v>
      </c>
      <c r="B5979" t="str">
        <f t="shared" si="1328"/>
        <v>91866000</v>
      </c>
      <c r="C5979" t="str">
        <f t="shared" si="1329"/>
        <v>91866313</v>
      </c>
      <c r="D5979" t="str">
        <f t="shared" si="1330"/>
        <v>802</v>
      </c>
      <c r="E5979" t="str">
        <f t="shared" si="1331"/>
        <v>89301101</v>
      </c>
      <c r="F5979" t="str">
        <f t="shared" si="1332"/>
        <v>0903213245</v>
      </c>
      <c r="G5979" s="1">
        <v>44726</v>
      </c>
      <c r="H5979" t="str">
        <f t="shared" si="1333"/>
        <v>82121</v>
      </c>
      <c r="I5979">
        <v>1</v>
      </c>
      <c r="J5979">
        <v>800</v>
      </c>
      <c r="K5979">
        <v>0</v>
      </c>
      <c r="L5979">
        <v>728</v>
      </c>
    </row>
    <row r="5980" spans="1:12" x14ac:dyDescent="0.25">
      <c r="A5980" t="str">
        <f t="shared" si="1322"/>
        <v>89301000</v>
      </c>
      <c r="B5980" t="str">
        <f t="shared" si="1328"/>
        <v>91866000</v>
      </c>
      <c r="C5980" t="str">
        <f t="shared" si="1329"/>
        <v>91866313</v>
      </c>
      <c r="D5980" t="str">
        <f t="shared" si="1330"/>
        <v>802</v>
      </c>
      <c r="E5980" t="str">
        <f t="shared" si="1331"/>
        <v>89301101</v>
      </c>
      <c r="F5980" t="str">
        <f t="shared" si="1332"/>
        <v>0903213245</v>
      </c>
      <c r="G5980" s="1">
        <v>44726</v>
      </c>
      <c r="H5980" t="str">
        <f t="shared" si="1333"/>
        <v>82121</v>
      </c>
      <c r="I5980">
        <v>1</v>
      </c>
      <c r="J5980">
        <v>800</v>
      </c>
      <c r="K5980">
        <v>0</v>
      </c>
      <c r="L5980">
        <v>728</v>
      </c>
    </row>
    <row r="5981" spans="1:12" x14ac:dyDescent="0.25">
      <c r="A5981" t="str">
        <f t="shared" si="1322"/>
        <v>89301000</v>
      </c>
      <c r="B5981" t="str">
        <f t="shared" si="1328"/>
        <v>91866000</v>
      </c>
      <c r="C5981" t="str">
        <f t="shared" si="1329"/>
        <v>91866313</v>
      </c>
      <c r="D5981" t="str">
        <f t="shared" si="1330"/>
        <v>802</v>
      </c>
      <c r="E5981" t="str">
        <f t="shared" si="1331"/>
        <v>89301101</v>
      </c>
      <c r="F5981" t="str">
        <f t="shared" si="1332"/>
        <v>0903213245</v>
      </c>
      <c r="G5981" s="1">
        <v>44726</v>
      </c>
      <c r="H5981" t="str">
        <f t="shared" si="1333"/>
        <v>82121</v>
      </c>
      <c r="I5981">
        <v>1</v>
      </c>
      <c r="J5981">
        <v>800</v>
      </c>
      <c r="K5981">
        <v>0</v>
      </c>
      <c r="L5981">
        <v>728</v>
      </c>
    </row>
    <row r="5982" spans="1:12" x14ac:dyDescent="0.25">
      <c r="A5982" t="str">
        <f t="shared" si="1322"/>
        <v>89301000</v>
      </c>
      <c r="B5982" t="str">
        <f t="shared" si="1328"/>
        <v>91866000</v>
      </c>
      <c r="C5982" t="str">
        <f t="shared" si="1329"/>
        <v>91866313</v>
      </c>
      <c r="D5982" t="str">
        <f t="shared" si="1330"/>
        <v>802</v>
      </c>
      <c r="E5982" t="str">
        <f t="shared" si="1331"/>
        <v>89301101</v>
      </c>
      <c r="F5982" t="str">
        <f t="shared" si="1332"/>
        <v>0903213245</v>
      </c>
      <c r="G5982" s="1">
        <v>44726</v>
      </c>
      <c r="H5982" t="str">
        <f t="shared" si="1333"/>
        <v>82121</v>
      </c>
      <c r="I5982">
        <v>1</v>
      </c>
      <c r="J5982">
        <v>800</v>
      </c>
      <c r="K5982">
        <v>0</v>
      </c>
      <c r="L5982">
        <v>728</v>
      </c>
    </row>
    <row r="5983" spans="1:12" x14ac:dyDescent="0.25">
      <c r="A5983" t="str">
        <f t="shared" si="1322"/>
        <v>89301000</v>
      </c>
      <c r="B5983" t="str">
        <f t="shared" si="1328"/>
        <v>91866000</v>
      </c>
      <c r="C5983" t="str">
        <f>"91866321"</f>
        <v>91866321</v>
      </c>
      <c r="D5983" t="str">
        <f>"813"</f>
        <v>813</v>
      </c>
      <c r="E5983" t="str">
        <f>"89301107"</f>
        <v>89301107</v>
      </c>
      <c r="F5983" t="str">
        <f>"1706230020"</f>
        <v>1706230020</v>
      </c>
      <c r="G5983" s="1">
        <v>44739</v>
      </c>
      <c r="H5983" t="str">
        <f>"91135"</f>
        <v>91135</v>
      </c>
      <c r="I5983">
        <v>1</v>
      </c>
      <c r="J5983">
        <v>266</v>
      </c>
      <c r="K5983">
        <v>0</v>
      </c>
      <c r="L5983">
        <v>207.48</v>
      </c>
    </row>
    <row r="5984" spans="1:12" x14ac:dyDescent="0.25">
      <c r="A5984" t="str">
        <f t="shared" si="1322"/>
        <v>89301000</v>
      </c>
      <c r="B5984" t="str">
        <f>"92327000"</f>
        <v>92327000</v>
      </c>
      <c r="C5984" t="str">
        <f>"92327000"</f>
        <v>92327000</v>
      </c>
      <c r="D5984" t="str">
        <f t="shared" ref="D5984:D6015" si="1334">"809"</f>
        <v>809</v>
      </c>
      <c r="E5984" t="str">
        <f>"89301172"</f>
        <v>89301172</v>
      </c>
      <c r="F5984" t="str">
        <f>"8951296068"</f>
        <v>8951296068</v>
      </c>
      <c r="G5984" s="1">
        <v>44722</v>
      </c>
      <c r="H5984" t="str">
        <f>"89513"</f>
        <v>89513</v>
      </c>
      <c r="I5984">
        <v>1</v>
      </c>
      <c r="J5984">
        <v>371</v>
      </c>
      <c r="K5984">
        <v>0</v>
      </c>
      <c r="L5984">
        <v>519.4</v>
      </c>
    </row>
    <row r="5985" spans="1:12" x14ac:dyDescent="0.25">
      <c r="A5985" t="str">
        <f t="shared" si="1322"/>
        <v>89301000</v>
      </c>
      <c r="B5985" t="str">
        <f>"92327000"</f>
        <v>92327000</v>
      </c>
      <c r="C5985" t="str">
        <f>"92327000"</f>
        <v>92327000</v>
      </c>
      <c r="D5985" t="str">
        <f t="shared" si="1334"/>
        <v>809</v>
      </c>
      <c r="E5985" t="str">
        <f>"89301172"</f>
        <v>89301172</v>
      </c>
      <c r="F5985" t="str">
        <f>"8951296068"</f>
        <v>8951296068</v>
      </c>
      <c r="G5985" s="1">
        <v>44722</v>
      </c>
      <c r="H5985" t="str">
        <f>"89514"</f>
        <v>89514</v>
      </c>
      <c r="I5985">
        <v>1</v>
      </c>
      <c r="J5985">
        <v>371</v>
      </c>
      <c r="K5985">
        <v>0</v>
      </c>
      <c r="L5985">
        <v>519.4</v>
      </c>
    </row>
    <row r="5986" spans="1:12" x14ac:dyDescent="0.25">
      <c r="A5986" t="str">
        <f t="shared" si="1322"/>
        <v>89301000</v>
      </c>
      <c r="B5986" t="str">
        <f t="shared" ref="B5986:C6005" si="1335">"89063000"</f>
        <v>89063000</v>
      </c>
      <c r="C5986" t="str">
        <f t="shared" si="1335"/>
        <v>89063000</v>
      </c>
      <c r="D5986" t="str">
        <f t="shared" si="1334"/>
        <v>809</v>
      </c>
      <c r="E5986" t="str">
        <f t="shared" ref="E5986:E5993" si="1336">"89301037"</f>
        <v>89301037</v>
      </c>
      <c r="F5986" t="str">
        <f>"5455021506"</f>
        <v>5455021506</v>
      </c>
      <c r="G5986" s="1">
        <v>44713</v>
      </c>
      <c r="H5986" t="str">
        <f t="shared" ref="H5986:H6017" si="1337">"89312"</f>
        <v>89312</v>
      </c>
      <c r="I5986">
        <v>3</v>
      </c>
      <c r="J5986">
        <v>906</v>
      </c>
      <c r="K5986">
        <v>0</v>
      </c>
      <c r="L5986">
        <v>951.3</v>
      </c>
    </row>
    <row r="5987" spans="1:12" x14ac:dyDescent="0.25">
      <c r="A5987" t="str">
        <f t="shared" si="1322"/>
        <v>89301000</v>
      </c>
      <c r="B5987" t="str">
        <f t="shared" si="1335"/>
        <v>89063000</v>
      </c>
      <c r="C5987" t="str">
        <f t="shared" si="1335"/>
        <v>89063000</v>
      </c>
      <c r="D5987" t="str">
        <f t="shared" si="1334"/>
        <v>809</v>
      </c>
      <c r="E5987" t="str">
        <f t="shared" si="1336"/>
        <v>89301037</v>
      </c>
      <c r="F5987" t="str">
        <f>"5454232311"</f>
        <v>5454232311</v>
      </c>
      <c r="G5987" s="1">
        <v>44720</v>
      </c>
      <c r="H5987" t="str">
        <f t="shared" si="1337"/>
        <v>89312</v>
      </c>
      <c r="I5987">
        <v>3</v>
      </c>
      <c r="J5987">
        <v>906</v>
      </c>
      <c r="K5987">
        <v>0</v>
      </c>
      <c r="L5987">
        <v>951.3</v>
      </c>
    </row>
    <row r="5988" spans="1:12" x14ac:dyDescent="0.25">
      <c r="A5988" t="str">
        <f t="shared" si="1322"/>
        <v>89301000</v>
      </c>
      <c r="B5988" t="str">
        <f t="shared" si="1335"/>
        <v>89063000</v>
      </c>
      <c r="C5988" t="str">
        <f t="shared" si="1335"/>
        <v>89063000</v>
      </c>
      <c r="D5988" t="str">
        <f t="shared" si="1334"/>
        <v>809</v>
      </c>
      <c r="E5988" t="str">
        <f t="shared" si="1336"/>
        <v>89301037</v>
      </c>
      <c r="F5988" t="str">
        <f>"466002402"</f>
        <v>466002402</v>
      </c>
      <c r="G5988" s="1">
        <v>44714</v>
      </c>
      <c r="H5988" t="str">
        <f t="shared" si="1337"/>
        <v>89312</v>
      </c>
      <c r="I5988">
        <v>3</v>
      </c>
      <c r="J5988">
        <v>906</v>
      </c>
      <c r="K5988">
        <v>0</v>
      </c>
      <c r="L5988">
        <v>951.3</v>
      </c>
    </row>
    <row r="5989" spans="1:12" x14ac:dyDescent="0.25">
      <c r="A5989" t="str">
        <f t="shared" si="1322"/>
        <v>89301000</v>
      </c>
      <c r="B5989" t="str">
        <f t="shared" si="1335"/>
        <v>89063000</v>
      </c>
      <c r="C5989" t="str">
        <f t="shared" si="1335"/>
        <v>89063000</v>
      </c>
      <c r="D5989" t="str">
        <f t="shared" si="1334"/>
        <v>809</v>
      </c>
      <c r="E5989" t="str">
        <f t="shared" si="1336"/>
        <v>89301037</v>
      </c>
      <c r="F5989" t="str">
        <f>"505402120"</f>
        <v>505402120</v>
      </c>
      <c r="G5989" s="1">
        <v>44714</v>
      </c>
      <c r="H5989" t="str">
        <f t="shared" si="1337"/>
        <v>89312</v>
      </c>
      <c r="I5989">
        <v>3</v>
      </c>
      <c r="J5989">
        <v>906</v>
      </c>
      <c r="K5989">
        <v>0</v>
      </c>
      <c r="L5989">
        <v>951.3</v>
      </c>
    </row>
    <row r="5990" spans="1:12" x14ac:dyDescent="0.25">
      <c r="A5990" t="str">
        <f t="shared" si="1322"/>
        <v>89301000</v>
      </c>
      <c r="B5990" t="str">
        <f t="shared" si="1335"/>
        <v>89063000</v>
      </c>
      <c r="C5990" t="str">
        <f t="shared" si="1335"/>
        <v>89063000</v>
      </c>
      <c r="D5990" t="str">
        <f t="shared" si="1334"/>
        <v>809</v>
      </c>
      <c r="E5990" t="str">
        <f t="shared" si="1336"/>
        <v>89301037</v>
      </c>
      <c r="F5990" t="str">
        <f>"495922163"</f>
        <v>495922163</v>
      </c>
      <c r="G5990" s="1">
        <v>44714</v>
      </c>
      <c r="H5990" t="str">
        <f t="shared" si="1337"/>
        <v>89312</v>
      </c>
      <c r="I5990">
        <v>3</v>
      </c>
      <c r="J5990">
        <v>906</v>
      </c>
      <c r="K5990">
        <v>0</v>
      </c>
      <c r="L5990">
        <v>951.3</v>
      </c>
    </row>
    <row r="5991" spans="1:12" x14ac:dyDescent="0.25">
      <c r="A5991" t="str">
        <f t="shared" si="1322"/>
        <v>89301000</v>
      </c>
      <c r="B5991" t="str">
        <f t="shared" si="1335"/>
        <v>89063000</v>
      </c>
      <c r="C5991" t="str">
        <f t="shared" si="1335"/>
        <v>89063000</v>
      </c>
      <c r="D5991" t="str">
        <f t="shared" si="1334"/>
        <v>809</v>
      </c>
      <c r="E5991" t="str">
        <f t="shared" si="1336"/>
        <v>89301037</v>
      </c>
      <c r="F5991" t="str">
        <f>"445208168"</f>
        <v>445208168</v>
      </c>
      <c r="G5991" s="1">
        <v>44715</v>
      </c>
      <c r="H5991" t="str">
        <f t="shared" si="1337"/>
        <v>89312</v>
      </c>
      <c r="I5991">
        <v>3</v>
      </c>
      <c r="J5991">
        <v>906</v>
      </c>
      <c r="K5991">
        <v>0</v>
      </c>
      <c r="L5991">
        <v>951.3</v>
      </c>
    </row>
    <row r="5992" spans="1:12" x14ac:dyDescent="0.25">
      <c r="A5992" t="str">
        <f t="shared" si="1322"/>
        <v>89301000</v>
      </c>
      <c r="B5992" t="str">
        <f t="shared" si="1335"/>
        <v>89063000</v>
      </c>
      <c r="C5992" t="str">
        <f t="shared" si="1335"/>
        <v>89063000</v>
      </c>
      <c r="D5992" t="str">
        <f t="shared" si="1334"/>
        <v>809</v>
      </c>
      <c r="E5992" t="str">
        <f t="shared" si="1336"/>
        <v>89301037</v>
      </c>
      <c r="F5992" t="str">
        <f>"515309124"</f>
        <v>515309124</v>
      </c>
      <c r="G5992" s="1">
        <v>44718</v>
      </c>
      <c r="H5992" t="str">
        <f t="shared" si="1337"/>
        <v>89312</v>
      </c>
      <c r="I5992">
        <v>3</v>
      </c>
      <c r="J5992">
        <v>906</v>
      </c>
      <c r="K5992">
        <v>0</v>
      </c>
      <c r="L5992">
        <v>951.3</v>
      </c>
    </row>
    <row r="5993" spans="1:12" x14ac:dyDescent="0.25">
      <c r="A5993" t="str">
        <f t="shared" si="1322"/>
        <v>89301000</v>
      </c>
      <c r="B5993" t="str">
        <f t="shared" si="1335"/>
        <v>89063000</v>
      </c>
      <c r="C5993" t="str">
        <f t="shared" si="1335"/>
        <v>89063000</v>
      </c>
      <c r="D5993" t="str">
        <f t="shared" si="1334"/>
        <v>809</v>
      </c>
      <c r="E5993" t="str">
        <f t="shared" si="1336"/>
        <v>89301037</v>
      </c>
      <c r="F5993" t="str">
        <f>"475306456"</f>
        <v>475306456</v>
      </c>
      <c r="G5993" s="1">
        <v>44718</v>
      </c>
      <c r="H5993" t="str">
        <f t="shared" si="1337"/>
        <v>89312</v>
      </c>
      <c r="I5993">
        <v>3</v>
      </c>
      <c r="J5993">
        <v>906</v>
      </c>
      <c r="K5993">
        <v>0</v>
      </c>
      <c r="L5993">
        <v>951.3</v>
      </c>
    </row>
    <row r="5994" spans="1:12" x14ac:dyDescent="0.25">
      <c r="A5994" t="str">
        <f t="shared" si="1322"/>
        <v>89301000</v>
      </c>
      <c r="B5994" t="str">
        <f t="shared" si="1335"/>
        <v>89063000</v>
      </c>
      <c r="C5994" t="str">
        <f t="shared" si="1335"/>
        <v>89063000</v>
      </c>
      <c r="D5994" t="str">
        <f t="shared" si="1334"/>
        <v>809</v>
      </c>
      <c r="E5994" t="str">
        <f>"89301212"</f>
        <v>89301212</v>
      </c>
      <c r="F5994" t="str">
        <f>"6562230862"</f>
        <v>6562230862</v>
      </c>
      <c r="G5994" s="1">
        <v>44718</v>
      </c>
      <c r="H5994" t="str">
        <f t="shared" si="1337"/>
        <v>89312</v>
      </c>
      <c r="I5994">
        <v>3</v>
      </c>
      <c r="J5994">
        <v>906</v>
      </c>
      <c r="K5994">
        <v>0</v>
      </c>
      <c r="L5994">
        <v>951.3</v>
      </c>
    </row>
    <row r="5995" spans="1:12" x14ac:dyDescent="0.25">
      <c r="A5995" t="str">
        <f t="shared" si="1322"/>
        <v>89301000</v>
      </c>
      <c r="B5995" t="str">
        <f t="shared" si="1335"/>
        <v>89063000</v>
      </c>
      <c r="C5995" t="str">
        <f t="shared" si="1335"/>
        <v>89063000</v>
      </c>
      <c r="D5995" t="str">
        <f t="shared" si="1334"/>
        <v>809</v>
      </c>
      <c r="E5995" t="str">
        <f>"89301039"</f>
        <v>89301039</v>
      </c>
      <c r="F5995" t="str">
        <f>"7854255761"</f>
        <v>7854255761</v>
      </c>
      <c r="G5995" s="1">
        <v>44718</v>
      </c>
      <c r="H5995" t="str">
        <f t="shared" si="1337"/>
        <v>89312</v>
      </c>
      <c r="I5995">
        <v>3</v>
      </c>
      <c r="J5995">
        <v>906</v>
      </c>
      <c r="K5995">
        <v>0</v>
      </c>
      <c r="L5995">
        <v>951.3</v>
      </c>
    </row>
    <row r="5996" spans="1:12" x14ac:dyDescent="0.25">
      <c r="A5996" t="str">
        <f t="shared" si="1322"/>
        <v>89301000</v>
      </c>
      <c r="B5996" t="str">
        <f t="shared" si="1335"/>
        <v>89063000</v>
      </c>
      <c r="C5996" t="str">
        <f t="shared" si="1335"/>
        <v>89063000</v>
      </c>
      <c r="D5996" t="str">
        <f t="shared" si="1334"/>
        <v>809</v>
      </c>
      <c r="E5996" t="str">
        <f>"89301702"</f>
        <v>89301702</v>
      </c>
      <c r="F5996" t="str">
        <f>"0860296140"</f>
        <v>0860296140</v>
      </c>
      <c r="G5996" s="1">
        <v>44718</v>
      </c>
      <c r="H5996" t="str">
        <f t="shared" si="1337"/>
        <v>89312</v>
      </c>
      <c r="I5996">
        <v>1</v>
      </c>
      <c r="J5996">
        <v>302</v>
      </c>
      <c r="K5996">
        <v>0</v>
      </c>
      <c r="L5996">
        <v>317.10000000000002</v>
      </c>
    </row>
    <row r="5997" spans="1:12" x14ac:dyDescent="0.25">
      <c r="A5997" t="str">
        <f t="shared" si="1322"/>
        <v>89301000</v>
      </c>
      <c r="B5997" t="str">
        <f t="shared" si="1335"/>
        <v>89063000</v>
      </c>
      <c r="C5997" t="str">
        <f t="shared" si="1335"/>
        <v>89063000</v>
      </c>
      <c r="D5997" t="str">
        <f t="shared" si="1334"/>
        <v>809</v>
      </c>
      <c r="E5997" t="str">
        <f>"89301212"</f>
        <v>89301212</v>
      </c>
      <c r="F5997" t="str">
        <f>"6453251915"</f>
        <v>6453251915</v>
      </c>
      <c r="G5997" s="1">
        <v>44719</v>
      </c>
      <c r="H5997" t="str">
        <f t="shared" si="1337"/>
        <v>89312</v>
      </c>
      <c r="I5997">
        <v>3</v>
      </c>
      <c r="J5997">
        <v>906</v>
      </c>
      <c r="K5997">
        <v>0</v>
      </c>
      <c r="L5997">
        <v>951.3</v>
      </c>
    </row>
    <row r="5998" spans="1:12" x14ac:dyDescent="0.25">
      <c r="A5998" t="str">
        <f t="shared" si="1322"/>
        <v>89301000</v>
      </c>
      <c r="B5998" t="str">
        <f t="shared" si="1335"/>
        <v>89063000</v>
      </c>
      <c r="C5998" t="str">
        <f t="shared" si="1335"/>
        <v>89063000</v>
      </c>
      <c r="D5998" t="str">
        <f t="shared" si="1334"/>
        <v>809</v>
      </c>
      <c r="E5998" t="str">
        <f>"89301037"</f>
        <v>89301037</v>
      </c>
      <c r="F5998" t="str">
        <f>"516016224"</f>
        <v>516016224</v>
      </c>
      <c r="G5998" s="1">
        <v>44719</v>
      </c>
      <c r="H5998" t="str">
        <f t="shared" si="1337"/>
        <v>89312</v>
      </c>
      <c r="I5998">
        <v>3</v>
      </c>
      <c r="J5998">
        <v>906</v>
      </c>
      <c r="K5998">
        <v>0</v>
      </c>
      <c r="L5998">
        <v>951.3</v>
      </c>
    </row>
    <row r="5999" spans="1:12" x14ac:dyDescent="0.25">
      <c r="A5999" t="str">
        <f t="shared" si="1322"/>
        <v>89301000</v>
      </c>
      <c r="B5999" t="str">
        <f t="shared" si="1335"/>
        <v>89063000</v>
      </c>
      <c r="C5999" t="str">
        <f t="shared" si="1335"/>
        <v>89063000</v>
      </c>
      <c r="D5999" t="str">
        <f t="shared" si="1334"/>
        <v>809</v>
      </c>
      <c r="E5999" t="str">
        <f>"89301037"</f>
        <v>89301037</v>
      </c>
      <c r="F5999" t="str">
        <f>"6362020643"</f>
        <v>6362020643</v>
      </c>
      <c r="G5999" s="1">
        <v>44720</v>
      </c>
      <c r="H5999" t="str">
        <f t="shared" si="1337"/>
        <v>89312</v>
      </c>
      <c r="I5999">
        <v>3</v>
      </c>
      <c r="J5999">
        <v>906</v>
      </c>
      <c r="K5999">
        <v>0</v>
      </c>
      <c r="L5999">
        <v>951.3</v>
      </c>
    </row>
    <row r="6000" spans="1:12" x14ac:dyDescent="0.25">
      <c r="A6000" t="str">
        <f t="shared" si="1322"/>
        <v>89301000</v>
      </c>
      <c r="B6000" t="str">
        <f t="shared" si="1335"/>
        <v>89063000</v>
      </c>
      <c r="C6000" t="str">
        <f t="shared" si="1335"/>
        <v>89063000</v>
      </c>
      <c r="D6000" t="str">
        <f t="shared" si="1334"/>
        <v>809</v>
      </c>
      <c r="E6000" t="str">
        <f>"89301039"</f>
        <v>89301039</v>
      </c>
      <c r="F6000" t="str">
        <f>"6862180358"</f>
        <v>6862180358</v>
      </c>
      <c r="G6000" s="1">
        <v>44720</v>
      </c>
      <c r="H6000" t="str">
        <f t="shared" si="1337"/>
        <v>89312</v>
      </c>
      <c r="I6000">
        <v>3</v>
      </c>
      <c r="J6000">
        <v>906</v>
      </c>
      <c r="K6000">
        <v>0</v>
      </c>
      <c r="L6000">
        <v>951.3</v>
      </c>
    </row>
    <row r="6001" spans="1:12" x14ac:dyDescent="0.25">
      <c r="A6001" t="str">
        <f t="shared" si="1322"/>
        <v>89301000</v>
      </c>
      <c r="B6001" t="str">
        <f t="shared" si="1335"/>
        <v>89063000</v>
      </c>
      <c r="C6001" t="str">
        <f t="shared" si="1335"/>
        <v>89063000</v>
      </c>
      <c r="D6001" t="str">
        <f t="shared" si="1334"/>
        <v>809</v>
      </c>
      <c r="E6001" t="str">
        <f>"89301036"</f>
        <v>89301036</v>
      </c>
      <c r="F6001" t="str">
        <f>"6306222373"</f>
        <v>6306222373</v>
      </c>
      <c r="G6001" s="1">
        <v>44720</v>
      </c>
      <c r="H6001" t="str">
        <f t="shared" si="1337"/>
        <v>89312</v>
      </c>
      <c r="I6001">
        <v>3</v>
      </c>
      <c r="J6001">
        <v>906</v>
      </c>
      <c r="K6001">
        <v>0</v>
      </c>
      <c r="L6001">
        <v>951.3</v>
      </c>
    </row>
    <row r="6002" spans="1:12" x14ac:dyDescent="0.25">
      <c r="A6002" t="str">
        <f t="shared" si="1322"/>
        <v>89301000</v>
      </c>
      <c r="B6002" t="str">
        <f t="shared" si="1335"/>
        <v>89063000</v>
      </c>
      <c r="C6002" t="str">
        <f t="shared" si="1335"/>
        <v>89063000</v>
      </c>
      <c r="D6002" t="str">
        <f t="shared" si="1334"/>
        <v>809</v>
      </c>
      <c r="E6002" t="str">
        <f>"89301037"</f>
        <v>89301037</v>
      </c>
      <c r="F6002" t="str">
        <f>"520930200"</f>
        <v>520930200</v>
      </c>
      <c r="G6002" s="1">
        <v>44721</v>
      </c>
      <c r="H6002" t="str">
        <f t="shared" si="1337"/>
        <v>89312</v>
      </c>
      <c r="I6002">
        <v>3</v>
      </c>
      <c r="J6002">
        <v>906</v>
      </c>
      <c r="K6002">
        <v>0</v>
      </c>
      <c r="L6002">
        <v>951.3</v>
      </c>
    </row>
    <row r="6003" spans="1:12" x14ac:dyDescent="0.25">
      <c r="A6003" t="str">
        <f t="shared" si="1322"/>
        <v>89301000</v>
      </c>
      <c r="B6003" t="str">
        <f t="shared" si="1335"/>
        <v>89063000</v>
      </c>
      <c r="C6003" t="str">
        <f t="shared" si="1335"/>
        <v>89063000</v>
      </c>
      <c r="D6003" t="str">
        <f t="shared" si="1334"/>
        <v>809</v>
      </c>
      <c r="E6003" t="str">
        <f>"89301039"</f>
        <v>89301039</v>
      </c>
      <c r="F6003" t="str">
        <f>"7004025380"</f>
        <v>7004025380</v>
      </c>
      <c r="G6003" s="1">
        <v>44722</v>
      </c>
      <c r="H6003" t="str">
        <f t="shared" si="1337"/>
        <v>89312</v>
      </c>
      <c r="I6003">
        <v>3</v>
      </c>
      <c r="J6003">
        <v>906</v>
      </c>
      <c r="K6003">
        <v>0</v>
      </c>
      <c r="L6003">
        <v>951.3</v>
      </c>
    </row>
    <row r="6004" spans="1:12" x14ac:dyDescent="0.25">
      <c r="A6004" t="str">
        <f t="shared" si="1322"/>
        <v>89301000</v>
      </c>
      <c r="B6004" t="str">
        <f t="shared" si="1335"/>
        <v>89063000</v>
      </c>
      <c r="C6004" t="str">
        <f t="shared" si="1335"/>
        <v>89063000</v>
      </c>
      <c r="D6004" t="str">
        <f t="shared" si="1334"/>
        <v>809</v>
      </c>
      <c r="E6004" t="str">
        <f>"89301037"</f>
        <v>89301037</v>
      </c>
      <c r="F6004" t="str">
        <f>"5757221525"</f>
        <v>5757221525</v>
      </c>
      <c r="G6004" s="1">
        <v>44722</v>
      </c>
      <c r="H6004" t="str">
        <f t="shared" si="1337"/>
        <v>89312</v>
      </c>
      <c r="I6004">
        <v>3</v>
      </c>
      <c r="J6004">
        <v>906</v>
      </c>
      <c r="K6004">
        <v>0</v>
      </c>
      <c r="L6004">
        <v>951.3</v>
      </c>
    </row>
    <row r="6005" spans="1:12" x14ac:dyDescent="0.25">
      <c r="A6005" t="str">
        <f t="shared" si="1322"/>
        <v>89301000</v>
      </c>
      <c r="B6005" t="str">
        <f t="shared" si="1335"/>
        <v>89063000</v>
      </c>
      <c r="C6005" t="str">
        <f t="shared" si="1335"/>
        <v>89063000</v>
      </c>
      <c r="D6005" t="str">
        <f t="shared" si="1334"/>
        <v>809</v>
      </c>
      <c r="E6005" t="str">
        <f>"89301162"</f>
        <v>89301162</v>
      </c>
      <c r="F6005" t="str">
        <f>"501027141"</f>
        <v>501027141</v>
      </c>
      <c r="G6005" s="1">
        <v>44725</v>
      </c>
      <c r="H6005" t="str">
        <f t="shared" si="1337"/>
        <v>89312</v>
      </c>
      <c r="I6005">
        <v>3</v>
      </c>
      <c r="J6005">
        <v>906</v>
      </c>
      <c r="K6005">
        <v>0</v>
      </c>
      <c r="L6005">
        <v>951.3</v>
      </c>
    </row>
    <row r="6006" spans="1:12" x14ac:dyDescent="0.25">
      <c r="A6006" t="str">
        <f t="shared" si="1322"/>
        <v>89301000</v>
      </c>
      <c r="B6006" t="str">
        <f t="shared" ref="B6006:C6025" si="1338">"89063000"</f>
        <v>89063000</v>
      </c>
      <c r="C6006" t="str">
        <f t="shared" si="1338"/>
        <v>89063000</v>
      </c>
      <c r="D6006" t="str">
        <f t="shared" si="1334"/>
        <v>809</v>
      </c>
      <c r="E6006" t="str">
        <f>"89301037"</f>
        <v>89301037</v>
      </c>
      <c r="F6006" t="str">
        <f>"515901045"</f>
        <v>515901045</v>
      </c>
      <c r="G6006" s="1">
        <v>44725</v>
      </c>
      <c r="H6006" t="str">
        <f t="shared" si="1337"/>
        <v>89312</v>
      </c>
      <c r="I6006">
        <v>3</v>
      </c>
      <c r="J6006">
        <v>906</v>
      </c>
      <c r="K6006">
        <v>0</v>
      </c>
      <c r="L6006">
        <v>951.3</v>
      </c>
    </row>
    <row r="6007" spans="1:12" x14ac:dyDescent="0.25">
      <c r="A6007" t="str">
        <f t="shared" si="1322"/>
        <v>89301000</v>
      </c>
      <c r="B6007" t="str">
        <f t="shared" si="1338"/>
        <v>89063000</v>
      </c>
      <c r="C6007" t="str">
        <f t="shared" si="1338"/>
        <v>89063000</v>
      </c>
      <c r="D6007" t="str">
        <f t="shared" si="1334"/>
        <v>809</v>
      </c>
      <c r="E6007" t="str">
        <f>"89301212"</f>
        <v>89301212</v>
      </c>
      <c r="F6007" t="str">
        <f>"7351235331"</f>
        <v>7351235331</v>
      </c>
      <c r="G6007" s="1">
        <v>44726</v>
      </c>
      <c r="H6007" t="str">
        <f t="shared" si="1337"/>
        <v>89312</v>
      </c>
      <c r="I6007">
        <v>3</v>
      </c>
      <c r="J6007">
        <v>906</v>
      </c>
      <c r="K6007">
        <v>0</v>
      </c>
      <c r="L6007">
        <v>951.3</v>
      </c>
    </row>
    <row r="6008" spans="1:12" x14ac:dyDescent="0.25">
      <c r="A6008" t="str">
        <f t="shared" si="1322"/>
        <v>89301000</v>
      </c>
      <c r="B6008" t="str">
        <f t="shared" si="1338"/>
        <v>89063000</v>
      </c>
      <c r="C6008" t="str">
        <f t="shared" si="1338"/>
        <v>89063000</v>
      </c>
      <c r="D6008" t="str">
        <f t="shared" si="1334"/>
        <v>809</v>
      </c>
      <c r="E6008" t="str">
        <f>"89301112"</f>
        <v>89301112</v>
      </c>
      <c r="F6008" t="str">
        <f>"496216074"</f>
        <v>496216074</v>
      </c>
      <c r="G6008" s="1">
        <v>44726</v>
      </c>
      <c r="H6008" t="str">
        <f t="shared" si="1337"/>
        <v>89312</v>
      </c>
      <c r="I6008">
        <v>3</v>
      </c>
      <c r="J6008">
        <v>906</v>
      </c>
      <c r="K6008">
        <v>0</v>
      </c>
      <c r="L6008">
        <v>951.3</v>
      </c>
    </row>
    <row r="6009" spans="1:12" x14ac:dyDescent="0.25">
      <c r="A6009" t="str">
        <f t="shared" si="1322"/>
        <v>89301000</v>
      </c>
      <c r="B6009" t="str">
        <f t="shared" si="1338"/>
        <v>89063000</v>
      </c>
      <c r="C6009" t="str">
        <f t="shared" si="1338"/>
        <v>89063000</v>
      </c>
      <c r="D6009" t="str">
        <f t="shared" si="1334"/>
        <v>809</v>
      </c>
      <c r="E6009" t="str">
        <f>"89301162"</f>
        <v>89301162</v>
      </c>
      <c r="F6009" t="str">
        <f>"6658231327"</f>
        <v>6658231327</v>
      </c>
      <c r="G6009" s="1">
        <v>44726</v>
      </c>
      <c r="H6009" t="str">
        <f t="shared" si="1337"/>
        <v>89312</v>
      </c>
      <c r="I6009">
        <v>3</v>
      </c>
      <c r="J6009">
        <v>906</v>
      </c>
      <c r="K6009">
        <v>0</v>
      </c>
      <c r="L6009">
        <v>951.3</v>
      </c>
    </row>
    <row r="6010" spans="1:12" x14ac:dyDescent="0.25">
      <c r="A6010" t="str">
        <f t="shared" si="1322"/>
        <v>89301000</v>
      </c>
      <c r="B6010" t="str">
        <f t="shared" si="1338"/>
        <v>89063000</v>
      </c>
      <c r="C6010" t="str">
        <f t="shared" si="1338"/>
        <v>89063000</v>
      </c>
      <c r="D6010" t="str">
        <f t="shared" si="1334"/>
        <v>809</v>
      </c>
      <c r="E6010" t="str">
        <f>"89301702"</f>
        <v>89301702</v>
      </c>
      <c r="F6010" t="str">
        <f>"0956156168"</f>
        <v>0956156168</v>
      </c>
      <c r="G6010" s="1">
        <v>44726</v>
      </c>
      <c r="H6010" t="str">
        <f t="shared" si="1337"/>
        <v>89312</v>
      </c>
      <c r="I6010">
        <v>1</v>
      </c>
      <c r="J6010">
        <v>302</v>
      </c>
      <c r="K6010">
        <v>0</v>
      </c>
      <c r="L6010">
        <v>317.10000000000002</v>
      </c>
    </row>
    <row r="6011" spans="1:12" x14ac:dyDescent="0.25">
      <c r="A6011" t="str">
        <f t="shared" si="1322"/>
        <v>89301000</v>
      </c>
      <c r="B6011" t="str">
        <f t="shared" si="1338"/>
        <v>89063000</v>
      </c>
      <c r="C6011" t="str">
        <f t="shared" si="1338"/>
        <v>89063000</v>
      </c>
      <c r="D6011" t="str">
        <f t="shared" si="1334"/>
        <v>809</v>
      </c>
      <c r="E6011" t="str">
        <f>"89301167"</f>
        <v>89301167</v>
      </c>
      <c r="F6011" t="str">
        <f>"515725021"</f>
        <v>515725021</v>
      </c>
      <c r="G6011" s="1">
        <v>44726</v>
      </c>
      <c r="H6011" t="str">
        <f t="shared" si="1337"/>
        <v>89312</v>
      </c>
      <c r="I6011">
        <v>3</v>
      </c>
      <c r="J6011">
        <v>906</v>
      </c>
      <c r="K6011">
        <v>0</v>
      </c>
      <c r="L6011">
        <v>951.3</v>
      </c>
    </row>
    <row r="6012" spans="1:12" x14ac:dyDescent="0.25">
      <c r="A6012" t="str">
        <f t="shared" si="1322"/>
        <v>89301000</v>
      </c>
      <c r="B6012" t="str">
        <f t="shared" si="1338"/>
        <v>89063000</v>
      </c>
      <c r="C6012" t="str">
        <f t="shared" si="1338"/>
        <v>89063000</v>
      </c>
      <c r="D6012" t="str">
        <f t="shared" si="1334"/>
        <v>809</v>
      </c>
      <c r="E6012" t="str">
        <f>"89301037"</f>
        <v>89301037</v>
      </c>
      <c r="F6012" t="str">
        <f>"5852216007"</f>
        <v>5852216007</v>
      </c>
      <c r="G6012" s="1">
        <v>44727</v>
      </c>
      <c r="H6012" t="str">
        <f t="shared" si="1337"/>
        <v>89312</v>
      </c>
      <c r="I6012">
        <v>3</v>
      </c>
      <c r="J6012">
        <v>906</v>
      </c>
      <c r="K6012">
        <v>0</v>
      </c>
      <c r="L6012">
        <v>951.3</v>
      </c>
    </row>
    <row r="6013" spans="1:12" x14ac:dyDescent="0.25">
      <c r="A6013" t="str">
        <f t="shared" si="1322"/>
        <v>89301000</v>
      </c>
      <c r="B6013" t="str">
        <f t="shared" si="1338"/>
        <v>89063000</v>
      </c>
      <c r="C6013" t="str">
        <f t="shared" si="1338"/>
        <v>89063000</v>
      </c>
      <c r="D6013" t="str">
        <f t="shared" si="1334"/>
        <v>809</v>
      </c>
      <c r="E6013" t="str">
        <f>"89301037"</f>
        <v>89301037</v>
      </c>
      <c r="F6013" t="str">
        <f>"460911408"</f>
        <v>460911408</v>
      </c>
      <c r="G6013" s="1">
        <v>44727</v>
      </c>
      <c r="H6013" t="str">
        <f t="shared" si="1337"/>
        <v>89312</v>
      </c>
      <c r="I6013">
        <v>3</v>
      </c>
      <c r="J6013">
        <v>906</v>
      </c>
      <c r="K6013">
        <v>0</v>
      </c>
      <c r="L6013">
        <v>951.3</v>
      </c>
    </row>
    <row r="6014" spans="1:12" x14ac:dyDescent="0.25">
      <c r="A6014" t="str">
        <f t="shared" si="1322"/>
        <v>89301000</v>
      </c>
      <c r="B6014" t="str">
        <f t="shared" si="1338"/>
        <v>89063000</v>
      </c>
      <c r="C6014" t="str">
        <f t="shared" si="1338"/>
        <v>89063000</v>
      </c>
      <c r="D6014" t="str">
        <f t="shared" si="1334"/>
        <v>809</v>
      </c>
      <c r="E6014" t="str">
        <f>"89301037"</f>
        <v>89301037</v>
      </c>
      <c r="F6014" t="str">
        <f>"5510151460"</f>
        <v>5510151460</v>
      </c>
      <c r="G6014" s="1">
        <v>44727</v>
      </c>
      <c r="H6014" t="str">
        <f t="shared" si="1337"/>
        <v>89312</v>
      </c>
      <c r="I6014">
        <v>3</v>
      </c>
      <c r="J6014">
        <v>906</v>
      </c>
      <c r="K6014">
        <v>0</v>
      </c>
      <c r="L6014">
        <v>951.3</v>
      </c>
    </row>
    <row r="6015" spans="1:12" x14ac:dyDescent="0.25">
      <c r="A6015" t="str">
        <f t="shared" si="1322"/>
        <v>89301000</v>
      </c>
      <c r="B6015" t="str">
        <f t="shared" si="1338"/>
        <v>89063000</v>
      </c>
      <c r="C6015" t="str">
        <f t="shared" si="1338"/>
        <v>89063000</v>
      </c>
      <c r="D6015" t="str">
        <f t="shared" si="1334"/>
        <v>809</v>
      </c>
      <c r="E6015" t="str">
        <f>"89301082"</f>
        <v>89301082</v>
      </c>
      <c r="F6015" t="str">
        <f>"8755255795"</f>
        <v>8755255795</v>
      </c>
      <c r="G6015" s="1">
        <v>44727</v>
      </c>
      <c r="H6015" t="str">
        <f t="shared" si="1337"/>
        <v>89312</v>
      </c>
      <c r="I6015">
        <v>3</v>
      </c>
      <c r="J6015">
        <v>906</v>
      </c>
      <c r="K6015">
        <v>0</v>
      </c>
      <c r="L6015">
        <v>951.3</v>
      </c>
    </row>
    <row r="6016" spans="1:12" x14ac:dyDescent="0.25">
      <c r="A6016" t="str">
        <f t="shared" si="1322"/>
        <v>89301000</v>
      </c>
      <c r="B6016" t="str">
        <f t="shared" si="1338"/>
        <v>89063000</v>
      </c>
      <c r="C6016" t="str">
        <f t="shared" si="1338"/>
        <v>89063000</v>
      </c>
      <c r="D6016" t="str">
        <f t="shared" ref="D6016:D6047" si="1339">"809"</f>
        <v>809</v>
      </c>
      <c r="E6016" t="str">
        <f>"89301036"</f>
        <v>89301036</v>
      </c>
      <c r="F6016" t="str">
        <f>"436006425"</f>
        <v>436006425</v>
      </c>
      <c r="G6016" s="1">
        <v>44727</v>
      </c>
      <c r="H6016" t="str">
        <f t="shared" si="1337"/>
        <v>89312</v>
      </c>
      <c r="I6016">
        <v>3</v>
      </c>
      <c r="J6016">
        <v>906</v>
      </c>
      <c r="K6016">
        <v>0</v>
      </c>
      <c r="L6016">
        <v>951.3</v>
      </c>
    </row>
    <row r="6017" spans="1:12" x14ac:dyDescent="0.25">
      <c r="A6017" t="str">
        <f t="shared" si="1322"/>
        <v>89301000</v>
      </c>
      <c r="B6017" t="str">
        <f t="shared" si="1338"/>
        <v>89063000</v>
      </c>
      <c r="C6017" t="str">
        <f t="shared" si="1338"/>
        <v>89063000</v>
      </c>
      <c r="D6017" t="str">
        <f t="shared" si="1339"/>
        <v>809</v>
      </c>
      <c r="E6017" t="str">
        <f>"89301037"</f>
        <v>89301037</v>
      </c>
      <c r="F6017" t="str">
        <f>"5955031236"</f>
        <v>5955031236</v>
      </c>
      <c r="G6017" s="1">
        <v>44728</v>
      </c>
      <c r="H6017" t="str">
        <f t="shared" si="1337"/>
        <v>89312</v>
      </c>
      <c r="I6017">
        <v>3</v>
      </c>
      <c r="J6017">
        <v>906</v>
      </c>
      <c r="K6017">
        <v>0</v>
      </c>
      <c r="L6017">
        <v>951.3</v>
      </c>
    </row>
    <row r="6018" spans="1:12" x14ac:dyDescent="0.25">
      <c r="A6018" t="str">
        <f t="shared" ref="A6018:A6081" si="1340">"89301000"</f>
        <v>89301000</v>
      </c>
      <c r="B6018" t="str">
        <f t="shared" si="1338"/>
        <v>89063000</v>
      </c>
      <c r="C6018" t="str">
        <f t="shared" si="1338"/>
        <v>89063000</v>
      </c>
      <c r="D6018" t="str">
        <f t="shared" si="1339"/>
        <v>809</v>
      </c>
      <c r="E6018" t="str">
        <f>"89301037"</f>
        <v>89301037</v>
      </c>
      <c r="F6018" t="str">
        <f>"6258090597"</f>
        <v>6258090597</v>
      </c>
      <c r="G6018" s="1">
        <v>44728</v>
      </c>
      <c r="H6018" t="str">
        <f t="shared" ref="H6018:H6054" si="1341">"89312"</f>
        <v>89312</v>
      </c>
      <c r="I6018">
        <v>3</v>
      </c>
      <c r="J6018">
        <v>906</v>
      </c>
      <c r="K6018">
        <v>0</v>
      </c>
      <c r="L6018">
        <v>951.3</v>
      </c>
    </row>
    <row r="6019" spans="1:12" x14ac:dyDescent="0.25">
      <c r="A6019" t="str">
        <f t="shared" si="1340"/>
        <v>89301000</v>
      </c>
      <c r="B6019" t="str">
        <f t="shared" si="1338"/>
        <v>89063000</v>
      </c>
      <c r="C6019" t="str">
        <f t="shared" si="1338"/>
        <v>89063000</v>
      </c>
      <c r="D6019" t="str">
        <f t="shared" si="1339"/>
        <v>809</v>
      </c>
      <c r="E6019" t="str">
        <f>"89301212"</f>
        <v>89301212</v>
      </c>
      <c r="F6019" t="str">
        <f>"445506443"</f>
        <v>445506443</v>
      </c>
      <c r="G6019" s="1">
        <v>44728</v>
      </c>
      <c r="H6019" t="str">
        <f t="shared" si="1341"/>
        <v>89312</v>
      </c>
      <c r="I6019">
        <v>3</v>
      </c>
      <c r="J6019">
        <v>906</v>
      </c>
      <c r="K6019">
        <v>0</v>
      </c>
      <c r="L6019">
        <v>951.3</v>
      </c>
    </row>
    <row r="6020" spans="1:12" x14ac:dyDescent="0.25">
      <c r="A6020" t="str">
        <f t="shared" si="1340"/>
        <v>89301000</v>
      </c>
      <c r="B6020" t="str">
        <f t="shared" si="1338"/>
        <v>89063000</v>
      </c>
      <c r="C6020" t="str">
        <f t="shared" si="1338"/>
        <v>89063000</v>
      </c>
      <c r="D6020" t="str">
        <f t="shared" si="1339"/>
        <v>809</v>
      </c>
      <c r="E6020" t="str">
        <f>"89301212"</f>
        <v>89301212</v>
      </c>
      <c r="F6020" t="str">
        <f>"495518284"</f>
        <v>495518284</v>
      </c>
      <c r="G6020" s="1">
        <v>44728</v>
      </c>
      <c r="H6020" t="str">
        <f t="shared" si="1341"/>
        <v>89312</v>
      </c>
      <c r="I6020">
        <v>3</v>
      </c>
      <c r="J6020">
        <v>906</v>
      </c>
      <c r="K6020">
        <v>0</v>
      </c>
      <c r="L6020">
        <v>951.3</v>
      </c>
    </row>
    <row r="6021" spans="1:12" x14ac:dyDescent="0.25">
      <c r="A6021" t="str">
        <f t="shared" si="1340"/>
        <v>89301000</v>
      </c>
      <c r="B6021" t="str">
        <f t="shared" si="1338"/>
        <v>89063000</v>
      </c>
      <c r="C6021" t="str">
        <f t="shared" si="1338"/>
        <v>89063000</v>
      </c>
      <c r="D6021" t="str">
        <f t="shared" si="1339"/>
        <v>809</v>
      </c>
      <c r="E6021" t="str">
        <f>"89301037"</f>
        <v>89301037</v>
      </c>
      <c r="F6021" t="str">
        <f>"535521385"</f>
        <v>535521385</v>
      </c>
      <c r="G6021" s="1">
        <v>44728</v>
      </c>
      <c r="H6021" t="str">
        <f t="shared" si="1341"/>
        <v>89312</v>
      </c>
      <c r="I6021">
        <v>3</v>
      </c>
      <c r="J6021">
        <v>906</v>
      </c>
      <c r="K6021">
        <v>0</v>
      </c>
      <c r="L6021">
        <v>951.3</v>
      </c>
    </row>
    <row r="6022" spans="1:12" x14ac:dyDescent="0.25">
      <c r="A6022" t="str">
        <f t="shared" si="1340"/>
        <v>89301000</v>
      </c>
      <c r="B6022" t="str">
        <f t="shared" si="1338"/>
        <v>89063000</v>
      </c>
      <c r="C6022" t="str">
        <f t="shared" si="1338"/>
        <v>89063000</v>
      </c>
      <c r="D6022" t="str">
        <f t="shared" si="1339"/>
        <v>809</v>
      </c>
      <c r="E6022" t="str">
        <f>"89301037"</f>
        <v>89301037</v>
      </c>
      <c r="F6022" t="str">
        <f>"416112466"</f>
        <v>416112466</v>
      </c>
      <c r="G6022" s="1">
        <v>44729</v>
      </c>
      <c r="H6022" t="str">
        <f t="shared" si="1341"/>
        <v>89312</v>
      </c>
      <c r="I6022">
        <v>3</v>
      </c>
      <c r="J6022">
        <v>906</v>
      </c>
      <c r="K6022">
        <v>0</v>
      </c>
      <c r="L6022">
        <v>951.3</v>
      </c>
    </row>
    <row r="6023" spans="1:12" x14ac:dyDescent="0.25">
      <c r="A6023" t="str">
        <f t="shared" si="1340"/>
        <v>89301000</v>
      </c>
      <c r="B6023" t="str">
        <f t="shared" si="1338"/>
        <v>89063000</v>
      </c>
      <c r="C6023" t="str">
        <f t="shared" si="1338"/>
        <v>89063000</v>
      </c>
      <c r="D6023" t="str">
        <f t="shared" si="1339"/>
        <v>809</v>
      </c>
      <c r="E6023" t="str">
        <f>"89301037"</f>
        <v>89301037</v>
      </c>
      <c r="F6023" t="str">
        <f>"6352160067"</f>
        <v>6352160067</v>
      </c>
      <c r="G6023" s="1">
        <v>44729</v>
      </c>
      <c r="H6023" t="str">
        <f t="shared" si="1341"/>
        <v>89312</v>
      </c>
      <c r="I6023">
        <v>3</v>
      </c>
      <c r="J6023">
        <v>906</v>
      </c>
      <c r="K6023">
        <v>0</v>
      </c>
      <c r="L6023">
        <v>951.3</v>
      </c>
    </row>
    <row r="6024" spans="1:12" x14ac:dyDescent="0.25">
      <c r="A6024" t="str">
        <f t="shared" si="1340"/>
        <v>89301000</v>
      </c>
      <c r="B6024" t="str">
        <f t="shared" si="1338"/>
        <v>89063000</v>
      </c>
      <c r="C6024" t="str">
        <f t="shared" si="1338"/>
        <v>89063000</v>
      </c>
      <c r="D6024" t="str">
        <f t="shared" si="1339"/>
        <v>809</v>
      </c>
      <c r="E6024" t="str">
        <f>"89301037"</f>
        <v>89301037</v>
      </c>
      <c r="F6024" t="str">
        <f>"515105047"</f>
        <v>515105047</v>
      </c>
      <c r="G6024" s="1">
        <v>44733</v>
      </c>
      <c r="H6024" t="str">
        <f t="shared" si="1341"/>
        <v>89312</v>
      </c>
      <c r="I6024">
        <v>3</v>
      </c>
      <c r="J6024">
        <v>906</v>
      </c>
      <c r="K6024">
        <v>0</v>
      </c>
      <c r="L6024">
        <v>951.3</v>
      </c>
    </row>
    <row r="6025" spans="1:12" x14ac:dyDescent="0.25">
      <c r="A6025" t="str">
        <f t="shared" si="1340"/>
        <v>89301000</v>
      </c>
      <c r="B6025" t="str">
        <f t="shared" si="1338"/>
        <v>89063000</v>
      </c>
      <c r="C6025" t="str">
        <f t="shared" si="1338"/>
        <v>89063000</v>
      </c>
      <c r="D6025" t="str">
        <f t="shared" si="1339"/>
        <v>809</v>
      </c>
      <c r="E6025" t="str">
        <f>"89301037"</f>
        <v>89301037</v>
      </c>
      <c r="F6025" t="str">
        <f>"7056215320"</f>
        <v>7056215320</v>
      </c>
      <c r="G6025" s="1">
        <v>44729</v>
      </c>
      <c r="H6025" t="str">
        <f t="shared" si="1341"/>
        <v>89312</v>
      </c>
      <c r="I6025">
        <v>3</v>
      </c>
      <c r="J6025">
        <v>906</v>
      </c>
      <c r="K6025">
        <v>0</v>
      </c>
      <c r="L6025">
        <v>951.3</v>
      </c>
    </row>
    <row r="6026" spans="1:12" x14ac:dyDescent="0.25">
      <c r="A6026" t="str">
        <f t="shared" si="1340"/>
        <v>89301000</v>
      </c>
      <c r="B6026" t="str">
        <f t="shared" ref="B6026:C6045" si="1342">"89063000"</f>
        <v>89063000</v>
      </c>
      <c r="C6026" t="str">
        <f t="shared" si="1342"/>
        <v>89063000</v>
      </c>
      <c r="D6026" t="str">
        <f t="shared" si="1339"/>
        <v>809</v>
      </c>
      <c r="E6026" t="str">
        <f>"89301039"</f>
        <v>89301039</v>
      </c>
      <c r="F6026" t="str">
        <f>"6601241438"</f>
        <v>6601241438</v>
      </c>
      <c r="G6026" s="1">
        <v>44729</v>
      </c>
      <c r="H6026" t="str">
        <f t="shared" si="1341"/>
        <v>89312</v>
      </c>
      <c r="I6026">
        <v>3</v>
      </c>
      <c r="J6026">
        <v>906</v>
      </c>
      <c r="K6026">
        <v>0</v>
      </c>
      <c r="L6026">
        <v>951.3</v>
      </c>
    </row>
    <row r="6027" spans="1:12" x14ac:dyDescent="0.25">
      <c r="A6027" t="str">
        <f t="shared" si="1340"/>
        <v>89301000</v>
      </c>
      <c r="B6027" t="str">
        <f t="shared" si="1342"/>
        <v>89063000</v>
      </c>
      <c r="C6027" t="str">
        <f t="shared" si="1342"/>
        <v>89063000</v>
      </c>
      <c r="D6027" t="str">
        <f t="shared" si="1339"/>
        <v>809</v>
      </c>
      <c r="E6027" t="str">
        <f>"89301036"</f>
        <v>89301036</v>
      </c>
      <c r="F6027" t="str">
        <f>"5552241574"</f>
        <v>5552241574</v>
      </c>
      <c r="G6027" s="1">
        <v>44729</v>
      </c>
      <c r="H6027" t="str">
        <f t="shared" si="1341"/>
        <v>89312</v>
      </c>
      <c r="I6027">
        <v>3</v>
      </c>
      <c r="J6027">
        <v>906</v>
      </c>
      <c r="K6027">
        <v>0</v>
      </c>
      <c r="L6027">
        <v>951.3</v>
      </c>
    </row>
    <row r="6028" spans="1:12" x14ac:dyDescent="0.25">
      <c r="A6028" t="str">
        <f t="shared" si="1340"/>
        <v>89301000</v>
      </c>
      <c r="B6028" t="str">
        <f t="shared" si="1342"/>
        <v>89063000</v>
      </c>
      <c r="C6028" t="str">
        <f t="shared" si="1342"/>
        <v>89063000</v>
      </c>
      <c r="D6028" t="str">
        <f t="shared" si="1339"/>
        <v>809</v>
      </c>
      <c r="E6028" t="str">
        <f>"89301037"</f>
        <v>89301037</v>
      </c>
      <c r="F6028" t="str">
        <f>"6808011914"</f>
        <v>6808011914</v>
      </c>
      <c r="G6028" s="1">
        <v>44732</v>
      </c>
      <c r="H6028" t="str">
        <f t="shared" si="1341"/>
        <v>89312</v>
      </c>
      <c r="I6028">
        <v>3</v>
      </c>
      <c r="J6028">
        <v>906</v>
      </c>
      <c r="K6028">
        <v>0</v>
      </c>
      <c r="L6028">
        <v>951.3</v>
      </c>
    </row>
    <row r="6029" spans="1:12" x14ac:dyDescent="0.25">
      <c r="A6029" t="str">
        <f t="shared" si="1340"/>
        <v>89301000</v>
      </c>
      <c r="B6029" t="str">
        <f t="shared" si="1342"/>
        <v>89063000</v>
      </c>
      <c r="C6029" t="str">
        <f t="shared" si="1342"/>
        <v>89063000</v>
      </c>
      <c r="D6029" t="str">
        <f t="shared" si="1339"/>
        <v>809</v>
      </c>
      <c r="E6029" t="str">
        <f>"89301212"</f>
        <v>89301212</v>
      </c>
      <c r="F6029" t="str">
        <f>"475406404"</f>
        <v>475406404</v>
      </c>
      <c r="G6029" s="1">
        <v>44732</v>
      </c>
      <c r="H6029" t="str">
        <f t="shared" si="1341"/>
        <v>89312</v>
      </c>
      <c r="I6029">
        <v>3</v>
      </c>
      <c r="J6029">
        <v>906</v>
      </c>
      <c r="K6029">
        <v>0</v>
      </c>
      <c r="L6029">
        <v>951.3</v>
      </c>
    </row>
    <row r="6030" spans="1:12" x14ac:dyDescent="0.25">
      <c r="A6030" t="str">
        <f t="shared" si="1340"/>
        <v>89301000</v>
      </c>
      <c r="B6030" t="str">
        <f t="shared" si="1342"/>
        <v>89063000</v>
      </c>
      <c r="C6030" t="str">
        <f t="shared" si="1342"/>
        <v>89063000</v>
      </c>
      <c r="D6030" t="str">
        <f t="shared" si="1339"/>
        <v>809</v>
      </c>
      <c r="E6030" t="str">
        <f>"89301037"</f>
        <v>89301037</v>
      </c>
      <c r="F6030" t="str">
        <f>"535502274"</f>
        <v>535502274</v>
      </c>
      <c r="G6030" s="1">
        <v>44733</v>
      </c>
      <c r="H6030" t="str">
        <f t="shared" si="1341"/>
        <v>89312</v>
      </c>
      <c r="I6030">
        <v>3</v>
      </c>
      <c r="J6030">
        <v>906</v>
      </c>
      <c r="K6030">
        <v>0</v>
      </c>
      <c r="L6030">
        <v>951.3</v>
      </c>
    </row>
    <row r="6031" spans="1:12" x14ac:dyDescent="0.25">
      <c r="A6031" t="str">
        <f t="shared" si="1340"/>
        <v>89301000</v>
      </c>
      <c r="B6031" t="str">
        <f t="shared" si="1342"/>
        <v>89063000</v>
      </c>
      <c r="C6031" t="str">
        <f t="shared" si="1342"/>
        <v>89063000</v>
      </c>
      <c r="D6031" t="str">
        <f t="shared" si="1339"/>
        <v>809</v>
      </c>
      <c r="E6031" t="str">
        <f>"89301037"</f>
        <v>89301037</v>
      </c>
      <c r="F6031" t="str">
        <f>"7059025347"</f>
        <v>7059025347</v>
      </c>
      <c r="G6031" s="1">
        <v>44733</v>
      </c>
      <c r="H6031" t="str">
        <f t="shared" si="1341"/>
        <v>89312</v>
      </c>
      <c r="I6031">
        <v>3</v>
      </c>
      <c r="J6031">
        <v>906</v>
      </c>
      <c r="K6031">
        <v>0</v>
      </c>
      <c r="L6031">
        <v>951.3</v>
      </c>
    </row>
    <row r="6032" spans="1:12" x14ac:dyDescent="0.25">
      <c r="A6032" t="str">
        <f t="shared" si="1340"/>
        <v>89301000</v>
      </c>
      <c r="B6032" t="str">
        <f t="shared" si="1342"/>
        <v>89063000</v>
      </c>
      <c r="C6032" t="str">
        <f t="shared" si="1342"/>
        <v>89063000</v>
      </c>
      <c r="D6032" t="str">
        <f t="shared" si="1339"/>
        <v>809</v>
      </c>
      <c r="E6032" t="str">
        <f>"89301036"</f>
        <v>89301036</v>
      </c>
      <c r="F6032" t="str">
        <f>"6560176403"</f>
        <v>6560176403</v>
      </c>
      <c r="G6032" s="1">
        <v>44733</v>
      </c>
      <c r="H6032" t="str">
        <f t="shared" si="1341"/>
        <v>89312</v>
      </c>
      <c r="I6032">
        <v>3</v>
      </c>
      <c r="J6032">
        <v>906</v>
      </c>
      <c r="K6032">
        <v>0</v>
      </c>
      <c r="L6032">
        <v>951.3</v>
      </c>
    </row>
    <row r="6033" spans="1:12" x14ac:dyDescent="0.25">
      <c r="A6033" t="str">
        <f t="shared" si="1340"/>
        <v>89301000</v>
      </c>
      <c r="B6033" t="str">
        <f t="shared" si="1342"/>
        <v>89063000</v>
      </c>
      <c r="C6033" t="str">
        <f t="shared" si="1342"/>
        <v>89063000</v>
      </c>
      <c r="D6033" t="str">
        <f t="shared" si="1339"/>
        <v>809</v>
      </c>
      <c r="E6033" t="str">
        <f>"89301037"</f>
        <v>89301037</v>
      </c>
      <c r="F6033" t="str">
        <f>"496025171"</f>
        <v>496025171</v>
      </c>
      <c r="G6033" s="1">
        <v>44733</v>
      </c>
      <c r="H6033" t="str">
        <f t="shared" si="1341"/>
        <v>89312</v>
      </c>
      <c r="I6033">
        <v>3</v>
      </c>
      <c r="J6033">
        <v>906</v>
      </c>
      <c r="K6033">
        <v>0</v>
      </c>
      <c r="L6033">
        <v>951.3</v>
      </c>
    </row>
    <row r="6034" spans="1:12" x14ac:dyDescent="0.25">
      <c r="A6034" t="str">
        <f t="shared" si="1340"/>
        <v>89301000</v>
      </c>
      <c r="B6034" t="str">
        <f t="shared" si="1342"/>
        <v>89063000</v>
      </c>
      <c r="C6034" t="str">
        <f t="shared" si="1342"/>
        <v>89063000</v>
      </c>
      <c r="D6034" t="str">
        <f t="shared" si="1339"/>
        <v>809</v>
      </c>
      <c r="E6034" t="str">
        <f>"89301037"</f>
        <v>89301037</v>
      </c>
      <c r="F6034" t="str">
        <f>"6057010388"</f>
        <v>6057010388</v>
      </c>
      <c r="G6034" s="1">
        <v>44734</v>
      </c>
      <c r="H6034" t="str">
        <f t="shared" si="1341"/>
        <v>89312</v>
      </c>
      <c r="I6034">
        <v>3</v>
      </c>
      <c r="J6034">
        <v>906</v>
      </c>
      <c r="K6034">
        <v>0</v>
      </c>
      <c r="L6034">
        <v>951.3</v>
      </c>
    </row>
    <row r="6035" spans="1:12" x14ac:dyDescent="0.25">
      <c r="A6035" t="str">
        <f t="shared" si="1340"/>
        <v>89301000</v>
      </c>
      <c r="B6035" t="str">
        <f t="shared" si="1342"/>
        <v>89063000</v>
      </c>
      <c r="C6035" t="str">
        <f t="shared" si="1342"/>
        <v>89063000</v>
      </c>
      <c r="D6035" t="str">
        <f t="shared" si="1339"/>
        <v>809</v>
      </c>
      <c r="E6035" t="str">
        <f>"89301037"</f>
        <v>89301037</v>
      </c>
      <c r="F6035" t="str">
        <f>"8357215383"</f>
        <v>8357215383</v>
      </c>
      <c r="G6035" s="1">
        <v>44739</v>
      </c>
      <c r="H6035" t="str">
        <f t="shared" si="1341"/>
        <v>89312</v>
      </c>
      <c r="I6035">
        <v>3</v>
      </c>
      <c r="J6035">
        <v>906</v>
      </c>
      <c r="K6035">
        <v>0</v>
      </c>
      <c r="L6035">
        <v>951.3</v>
      </c>
    </row>
    <row r="6036" spans="1:12" x14ac:dyDescent="0.25">
      <c r="A6036" t="str">
        <f t="shared" si="1340"/>
        <v>89301000</v>
      </c>
      <c r="B6036" t="str">
        <f t="shared" si="1342"/>
        <v>89063000</v>
      </c>
      <c r="C6036" t="str">
        <f t="shared" si="1342"/>
        <v>89063000</v>
      </c>
      <c r="D6036" t="str">
        <f t="shared" si="1339"/>
        <v>809</v>
      </c>
      <c r="E6036" t="str">
        <f>"89301037"</f>
        <v>89301037</v>
      </c>
      <c r="F6036" t="str">
        <f>"9856025740"</f>
        <v>9856025740</v>
      </c>
      <c r="G6036" s="1">
        <v>44734</v>
      </c>
      <c r="H6036" t="str">
        <f t="shared" si="1341"/>
        <v>89312</v>
      </c>
      <c r="I6036">
        <v>3</v>
      </c>
      <c r="J6036">
        <v>906</v>
      </c>
      <c r="K6036">
        <v>0</v>
      </c>
      <c r="L6036">
        <v>951.3</v>
      </c>
    </row>
    <row r="6037" spans="1:12" x14ac:dyDescent="0.25">
      <c r="A6037" t="str">
        <f t="shared" si="1340"/>
        <v>89301000</v>
      </c>
      <c r="B6037" t="str">
        <f t="shared" si="1342"/>
        <v>89063000</v>
      </c>
      <c r="C6037" t="str">
        <f t="shared" si="1342"/>
        <v>89063000</v>
      </c>
      <c r="D6037" t="str">
        <f t="shared" si="1339"/>
        <v>809</v>
      </c>
      <c r="E6037" t="str">
        <f>"89301322"</f>
        <v>89301322</v>
      </c>
      <c r="F6037" t="str">
        <f>"5453240254"</f>
        <v>5453240254</v>
      </c>
      <c r="G6037" s="1">
        <v>44735</v>
      </c>
      <c r="H6037" t="str">
        <f t="shared" si="1341"/>
        <v>89312</v>
      </c>
      <c r="I6037">
        <v>3</v>
      </c>
      <c r="J6037">
        <v>906</v>
      </c>
      <c r="K6037">
        <v>0</v>
      </c>
      <c r="L6037">
        <v>951.3</v>
      </c>
    </row>
    <row r="6038" spans="1:12" x14ac:dyDescent="0.25">
      <c r="A6038" t="str">
        <f t="shared" si="1340"/>
        <v>89301000</v>
      </c>
      <c r="B6038" t="str">
        <f t="shared" si="1342"/>
        <v>89063000</v>
      </c>
      <c r="C6038" t="str">
        <f t="shared" si="1342"/>
        <v>89063000</v>
      </c>
      <c r="D6038" t="str">
        <f t="shared" si="1339"/>
        <v>809</v>
      </c>
      <c r="E6038" t="str">
        <f>"89301037"</f>
        <v>89301037</v>
      </c>
      <c r="F6038" t="str">
        <f>"8257295695"</f>
        <v>8257295695</v>
      </c>
      <c r="G6038" s="1">
        <v>44736</v>
      </c>
      <c r="H6038" t="str">
        <f t="shared" si="1341"/>
        <v>89312</v>
      </c>
      <c r="I6038">
        <v>3</v>
      </c>
      <c r="J6038">
        <v>906</v>
      </c>
      <c r="K6038">
        <v>0</v>
      </c>
      <c r="L6038">
        <v>951.3</v>
      </c>
    </row>
    <row r="6039" spans="1:12" x14ac:dyDescent="0.25">
      <c r="A6039" t="str">
        <f t="shared" si="1340"/>
        <v>89301000</v>
      </c>
      <c r="B6039" t="str">
        <f t="shared" si="1342"/>
        <v>89063000</v>
      </c>
      <c r="C6039" t="str">
        <f t="shared" si="1342"/>
        <v>89063000</v>
      </c>
      <c r="D6039" t="str">
        <f t="shared" si="1339"/>
        <v>809</v>
      </c>
      <c r="E6039" t="str">
        <f>"89301037"</f>
        <v>89301037</v>
      </c>
      <c r="F6039" t="str">
        <f>"535621082"</f>
        <v>535621082</v>
      </c>
      <c r="G6039" s="1">
        <v>44736</v>
      </c>
      <c r="H6039" t="str">
        <f t="shared" si="1341"/>
        <v>89312</v>
      </c>
      <c r="I6039">
        <v>3</v>
      </c>
      <c r="J6039">
        <v>906</v>
      </c>
      <c r="K6039">
        <v>0</v>
      </c>
      <c r="L6039">
        <v>951.3</v>
      </c>
    </row>
    <row r="6040" spans="1:12" x14ac:dyDescent="0.25">
      <c r="A6040" t="str">
        <f t="shared" si="1340"/>
        <v>89301000</v>
      </c>
      <c r="B6040" t="str">
        <f t="shared" si="1342"/>
        <v>89063000</v>
      </c>
      <c r="C6040" t="str">
        <f t="shared" si="1342"/>
        <v>89063000</v>
      </c>
      <c r="D6040" t="str">
        <f t="shared" si="1339"/>
        <v>809</v>
      </c>
      <c r="E6040" t="str">
        <f>"89301212"</f>
        <v>89301212</v>
      </c>
      <c r="F6040" t="str">
        <f>"6452210721"</f>
        <v>6452210721</v>
      </c>
      <c r="G6040" s="1">
        <v>44736</v>
      </c>
      <c r="H6040" t="str">
        <f t="shared" si="1341"/>
        <v>89312</v>
      </c>
      <c r="I6040">
        <v>3</v>
      </c>
      <c r="J6040">
        <v>906</v>
      </c>
      <c r="K6040">
        <v>0</v>
      </c>
      <c r="L6040">
        <v>951.3</v>
      </c>
    </row>
    <row r="6041" spans="1:12" x14ac:dyDescent="0.25">
      <c r="A6041" t="str">
        <f t="shared" si="1340"/>
        <v>89301000</v>
      </c>
      <c r="B6041" t="str">
        <f t="shared" si="1342"/>
        <v>89063000</v>
      </c>
      <c r="C6041" t="str">
        <f t="shared" si="1342"/>
        <v>89063000</v>
      </c>
      <c r="D6041" t="str">
        <f t="shared" si="1339"/>
        <v>809</v>
      </c>
      <c r="E6041" t="str">
        <f t="shared" ref="E6041:E6046" si="1343">"89301037"</f>
        <v>89301037</v>
      </c>
      <c r="F6041" t="str">
        <f>"476212452"</f>
        <v>476212452</v>
      </c>
      <c r="G6041" s="1">
        <v>44739</v>
      </c>
      <c r="H6041" t="str">
        <f t="shared" si="1341"/>
        <v>89312</v>
      </c>
      <c r="I6041">
        <v>3</v>
      </c>
      <c r="J6041">
        <v>906</v>
      </c>
      <c r="K6041">
        <v>0</v>
      </c>
      <c r="L6041">
        <v>951.3</v>
      </c>
    </row>
    <row r="6042" spans="1:12" x14ac:dyDescent="0.25">
      <c r="A6042" t="str">
        <f t="shared" si="1340"/>
        <v>89301000</v>
      </c>
      <c r="B6042" t="str">
        <f t="shared" si="1342"/>
        <v>89063000</v>
      </c>
      <c r="C6042" t="str">
        <f t="shared" si="1342"/>
        <v>89063000</v>
      </c>
      <c r="D6042" t="str">
        <f t="shared" si="1339"/>
        <v>809</v>
      </c>
      <c r="E6042" t="str">
        <f t="shared" si="1343"/>
        <v>89301037</v>
      </c>
      <c r="F6042" t="str">
        <f>"416116083"</f>
        <v>416116083</v>
      </c>
      <c r="G6042" s="1">
        <v>44739</v>
      </c>
      <c r="H6042" t="str">
        <f t="shared" si="1341"/>
        <v>89312</v>
      </c>
      <c r="I6042">
        <v>3</v>
      </c>
      <c r="J6042">
        <v>906</v>
      </c>
      <c r="K6042">
        <v>0</v>
      </c>
      <c r="L6042">
        <v>951.3</v>
      </c>
    </row>
    <row r="6043" spans="1:12" x14ac:dyDescent="0.25">
      <c r="A6043" t="str">
        <f t="shared" si="1340"/>
        <v>89301000</v>
      </c>
      <c r="B6043" t="str">
        <f t="shared" si="1342"/>
        <v>89063000</v>
      </c>
      <c r="C6043" t="str">
        <f t="shared" si="1342"/>
        <v>89063000</v>
      </c>
      <c r="D6043" t="str">
        <f t="shared" si="1339"/>
        <v>809</v>
      </c>
      <c r="E6043" t="str">
        <f t="shared" si="1343"/>
        <v>89301037</v>
      </c>
      <c r="F6043" t="str">
        <f>"536122215"</f>
        <v>536122215</v>
      </c>
      <c r="G6043" s="1">
        <v>44739</v>
      </c>
      <c r="H6043" t="str">
        <f t="shared" si="1341"/>
        <v>89312</v>
      </c>
      <c r="I6043">
        <v>3</v>
      </c>
      <c r="J6043">
        <v>906</v>
      </c>
      <c r="K6043">
        <v>0</v>
      </c>
      <c r="L6043">
        <v>951.3</v>
      </c>
    </row>
    <row r="6044" spans="1:12" x14ac:dyDescent="0.25">
      <c r="A6044" t="str">
        <f t="shared" si="1340"/>
        <v>89301000</v>
      </c>
      <c r="B6044" t="str">
        <f t="shared" si="1342"/>
        <v>89063000</v>
      </c>
      <c r="C6044" t="str">
        <f t="shared" si="1342"/>
        <v>89063000</v>
      </c>
      <c r="D6044" t="str">
        <f t="shared" si="1339"/>
        <v>809</v>
      </c>
      <c r="E6044" t="str">
        <f t="shared" si="1343"/>
        <v>89301037</v>
      </c>
      <c r="F6044" t="str">
        <f>"7759015781"</f>
        <v>7759015781</v>
      </c>
      <c r="G6044" s="1">
        <v>44740</v>
      </c>
      <c r="H6044" t="str">
        <f t="shared" si="1341"/>
        <v>89312</v>
      </c>
      <c r="I6044">
        <v>3</v>
      </c>
      <c r="J6044">
        <v>906</v>
      </c>
      <c r="K6044">
        <v>0</v>
      </c>
      <c r="L6044">
        <v>951.3</v>
      </c>
    </row>
    <row r="6045" spans="1:12" x14ac:dyDescent="0.25">
      <c r="A6045" t="str">
        <f t="shared" si="1340"/>
        <v>89301000</v>
      </c>
      <c r="B6045" t="str">
        <f t="shared" si="1342"/>
        <v>89063000</v>
      </c>
      <c r="C6045" t="str">
        <f t="shared" si="1342"/>
        <v>89063000</v>
      </c>
      <c r="D6045" t="str">
        <f t="shared" si="1339"/>
        <v>809</v>
      </c>
      <c r="E6045" t="str">
        <f t="shared" si="1343"/>
        <v>89301037</v>
      </c>
      <c r="F6045" t="str">
        <f>"7454105329"</f>
        <v>7454105329</v>
      </c>
      <c r="G6045" s="1">
        <v>44740</v>
      </c>
      <c r="H6045" t="str">
        <f t="shared" si="1341"/>
        <v>89312</v>
      </c>
      <c r="I6045">
        <v>3</v>
      </c>
      <c r="J6045">
        <v>906</v>
      </c>
      <c r="K6045">
        <v>0</v>
      </c>
      <c r="L6045">
        <v>951.3</v>
      </c>
    </row>
    <row r="6046" spans="1:12" x14ac:dyDescent="0.25">
      <c r="A6046" t="str">
        <f t="shared" si="1340"/>
        <v>89301000</v>
      </c>
      <c r="B6046" t="str">
        <f t="shared" ref="B6046:C6054" si="1344">"89063000"</f>
        <v>89063000</v>
      </c>
      <c r="C6046" t="str">
        <f t="shared" si="1344"/>
        <v>89063000</v>
      </c>
      <c r="D6046" t="str">
        <f t="shared" si="1339"/>
        <v>809</v>
      </c>
      <c r="E6046" t="str">
        <f t="shared" si="1343"/>
        <v>89301037</v>
      </c>
      <c r="F6046" t="str">
        <f>"6660301945"</f>
        <v>6660301945</v>
      </c>
      <c r="G6046" s="1">
        <v>44740</v>
      </c>
      <c r="H6046" t="str">
        <f t="shared" si="1341"/>
        <v>89312</v>
      </c>
      <c r="I6046">
        <v>3</v>
      </c>
      <c r="J6046">
        <v>906</v>
      </c>
      <c r="K6046">
        <v>0</v>
      </c>
      <c r="L6046">
        <v>951.3</v>
      </c>
    </row>
    <row r="6047" spans="1:12" x14ac:dyDescent="0.25">
      <c r="A6047" t="str">
        <f t="shared" si="1340"/>
        <v>89301000</v>
      </c>
      <c r="B6047" t="str">
        <f t="shared" si="1344"/>
        <v>89063000</v>
      </c>
      <c r="C6047" t="str">
        <f t="shared" si="1344"/>
        <v>89063000</v>
      </c>
      <c r="D6047" t="str">
        <f t="shared" si="1339"/>
        <v>809</v>
      </c>
      <c r="E6047" t="str">
        <f>"89301082"</f>
        <v>89301082</v>
      </c>
      <c r="F6047" t="str">
        <f>"7556044474"</f>
        <v>7556044474</v>
      </c>
      <c r="G6047" s="1">
        <v>44740</v>
      </c>
      <c r="H6047" t="str">
        <f t="shared" si="1341"/>
        <v>89312</v>
      </c>
      <c r="I6047">
        <v>3</v>
      </c>
      <c r="J6047">
        <v>906</v>
      </c>
      <c r="K6047">
        <v>0</v>
      </c>
      <c r="L6047">
        <v>951.3</v>
      </c>
    </row>
    <row r="6048" spans="1:12" x14ac:dyDescent="0.25">
      <c r="A6048" t="str">
        <f t="shared" si="1340"/>
        <v>89301000</v>
      </c>
      <c r="B6048" t="str">
        <f t="shared" si="1344"/>
        <v>89063000</v>
      </c>
      <c r="C6048" t="str">
        <f t="shared" si="1344"/>
        <v>89063000</v>
      </c>
      <c r="D6048" t="str">
        <f t="shared" ref="D6048:D6054" si="1345">"809"</f>
        <v>809</v>
      </c>
      <c r="E6048" t="str">
        <f>"89301037"</f>
        <v>89301037</v>
      </c>
      <c r="F6048" t="str">
        <f>"6754141878"</f>
        <v>6754141878</v>
      </c>
      <c r="G6048" s="1">
        <v>44740</v>
      </c>
      <c r="H6048" t="str">
        <f t="shared" si="1341"/>
        <v>89312</v>
      </c>
      <c r="I6048">
        <v>3</v>
      </c>
      <c r="J6048">
        <v>906</v>
      </c>
      <c r="K6048">
        <v>0</v>
      </c>
      <c r="L6048">
        <v>951.3</v>
      </c>
    </row>
    <row r="6049" spans="1:12" x14ac:dyDescent="0.25">
      <c r="A6049" t="str">
        <f t="shared" si="1340"/>
        <v>89301000</v>
      </c>
      <c r="B6049" t="str">
        <f t="shared" si="1344"/>
        <v>89063000</v>
      </c>
      <c r="C6049" t="str">
        <f t="shared" si="1344"/>
        <v>89063000</v>
      </c>
      <c r="D6049" t="str">
        <f t="shared" si="1345"/>
        <v>809</v>
      </c>
      <c r="E6049" t="str">
        <f>"89301037"</f>
        <v>89301037</v>
      </c>
      <c r="F6049" t="str">
        <f>"7962125677"</f>
        <v>7962125677</v>
      </c>
      <c r="G6049" s="1">
        <v>44740</v>
      </c>
      <c r="H6049" t="str">
        <f t="shared" si="1341"/>
        <v>89312</v>
      </c>
      <c r="I6049">
        <v>3</v>
      </c>
      <c r="J6049">
        <v>906</v>
      </c>
      <c r="K6049">
        <v>0</v>
      </c>
      <c r="L6049">
        <v>951.3</v>
      </c>
    </row>
    <row r="6050" spans="1:12" x14ac:dyDescent="0.25">
      <c r="A6050" t="str">
        <f t="shared" si="1340"/>
        <v>89301000</v>
      </c>
      <c r="B6050" t="str">
        <f t="shared" si="1344"/>
        <v>89063000</v>
      </c>
      <c r="C6050" t="str">
        <f t="shared" si="1344"/>
        <v>89063000</v>
      </c>
      <c r="D6050" t="str">
        <f t="shared" si="1345"/>
        <v>809</v>
      </c>
      <c r="E6050" t="str">
        <f>"89301037"</f>
        <v>89301037</v>
      </c>
      <c r="F6050" t="str">
        <f>"5559240698"</f>
        <v>5559240698</v>
      </c>
      <c r="G6050" s="1">
        <v>44742</v>
      </c>
      <c r="H6050" t="str">
        <f t="shared" si="1341"/>
        <v>89312</v>
      </c>
      <c r="I6050">
        <v>3</v>
      </c>
      <c r="J6050">
        <v>906</v>
      </c>
      <c r="K6050">
        <v>0</v>
      </c>
      <c r="L6050">
        <v>951.3</v>
      </c>
    </row>
    <row r="6051" spans="1:12" x14ac:dyDescent="0.25">
      <c r="A6051" t="str">
        <f t="shared" si="1340"/>
        <v>89301000</v>
      </c>
      <c r="B6051" t="str">
        <f t="shared" si="1344"/>
        <v>89063000</v>
      </c>
      <c r="C6051" t="str">
        <f t="shared" si="1344"/>
        <v>89063000</v>
      </c>
      <c r="D6051" t="str">
        <f t="shared" si="1345"/>
        <v>809</v>
      </c>
      <c r="E6051" t="str">
        <f>"89301032"</f>
        <v>89301032</v>
      </c>
      <c r="F6051" t="str">
        <f>"8451204465"</f>
        <v>8451204465</v>
      </c>
      <c r="G6051" s="1">
        <v>44741</v>
      </c>
      <c r="H6051" t="str">
        <f t="shared" si="1341"/>
        <v>89312</v>
      </c>
      <c r="I6051">
        <v>3</v>
      </c>
      <c r="J6051">
        <v>906</v>
      </c>
      <c r="K6051">
        <v>0</v>
      </c>
      <c r="L6051">
        <v>951.3</v>
      </c>
    </row>
    <row r="6052" spans="1:12" x14ac:dyDescent="0.25">
      <c r="A6052" t="str">
        <f t="shared" si="1340"/>
        <v>89301000</v>
      </c>
      <c r="B6052" t="str">
        <f t="shared" si="1344"/>
        <v>89063000</v>
      </c>
      <c r="C6052" t="str">
        <f t="shared" si="1344"/>
        <v>89063000</v>
      </c>
      <c r="D6052" t="str">
        <f t="shared" si="1345"/>
        <v>809</v>
      </c>
      <c r="E6052" t="str">
        <f>"89301032"</f>
        <v>89301032</v>
      </c>
      <c r="F6052" t="str">
        <f>"8952145752"</f>
        <v>8952145752</v>
      </c>
      <c r="G6052" s="1">
        <v>44741</v>
      </c>
      <c r="H6052" t="str">
        <f t="shared" si="1341"/>
        <v>89312</v>
      </c>
      <c r="I6052">
        <v>3</v>
      </c>
      <c r="J6052">
        <v>906</v>
      </c>
      <c r="K6052">
        <v>0</v>
      </c>
      <c r="L6052">
        <v>951.3</v>
      </c>
    </row>
    <row r="6053" spans="1:12" x14ac:dyDescent="0.25">
      <c r="A6053" t="str">
        <f t="shared" si="1340"/>
        <v>89301000</v>
      </c>
      <c r="B6053" t="str">
        <f t="shared" si="1344"/>
        <v>89063000</v>
      </c>
      <c r="C6053" t="str">
        <f t="shared" si="1344"/>
        <v>89063000</v>
      </c>
      <c r="D6053" t="str">
        <f t="shared" si="1345"/>
        <v>809</v>
      </c>
      <c r="E6053" t="str">
        <f>"89301037"</f>
        <v>89301037</v>
      </c>
      <c r="F6053" t="str">
        <f>"6059010540"</f>
        <v>6059010540</v>
      </c>
      <c r="G6053" s="1">
        <v>44741</v>
      </c>
      <c r="H6053" t="str">
        <f t="shared" si="1341"/>
        <v>89312</v>
      </c>
      <c r="I6053">
        <v>3</v>
      </c>
      <c r="J6053">
        <v>906</v>
      </c>
      <c r="K6053">
        <v>0</v>
      </c>
      <c r="L6053">
        <v>951.3</v>
      </c>
    </row>
    <row r="6054" spans="1:12" x14ac:dyDescent="0.25">
      <c r="A6054" t="str">
        <f t="shared" si="1340"/>
        <v>89301000</v>
      </c>
      <c r="B6054" t="str">
        <f t="shared" si="1344"/>
        <v>89063000</v>
      </c>
      <c r="C6054" t="str">
        <f t="shared" si="1344"/>
        <v>89063000</v>
      </c>
      <c r="D6054" t="str">
        <f t="shared" si="1345"/>
        <v>809</v>
      </c>
      <c r="E6054" t="str">
        <f>"89301037"</f>
        <v>89301037</v>
      </c>
      <c r="F6054" t="str">
        <f>"6152241106"</f>
        <v>6152241106</v>
      </c>
      <c r="G6054" s="1">
        <v>44742</v>
      </c>
      <c r="H6054" t="str">
        <f t="shared" si="1341"/>
        <v>89312</v>
      </c>
      <c r="I6054">
        <v>3</v>
      </c>
      <c r="J6054">
        <v>906</v>
      </c>
      <c r="K6054">
        <v>0</v>
      </c>
      <c r="L6054">
        <v>951.3</v>
      </c>
    </row>
    <row r="6055" spans="1:12" x14ac:dyDescent="0.25">
      <c r="A6055" t="str">
        <f t="shared" si="1340"/>
        <v>89301000</v>
      </c>
      <c r="B6055" t="str">
        <f>"91997900"</f>
        <v>91997900</v>
      </c>
      <c r="C6055" t="str">
        <f>"91997901"</f>
        <v>91997901</v>
      </c>
      <c r="D6055" t="str">
        <f>"801"</f>
        <v>801</v>
      </c>
      <c r="E6055" t="str">
        <f>"89301102"</f>
        <v>89301102</v>
      </c>
      <c r="F6055" t="str">
        <f>"2157022043"</f>
        <v>2157022043</v>
      </c>
      <c r="G6055" s="1">
        <v>44741</v>
      </c>
      <c r="H6055" t="str">
        <f>"81631"</f>
        <v>81631</v>
      </c>
      <c r="I6055">
        <v>1</v>
      </c>
      <c r="J6055">
        <v>294</v>
      </c>
      <c r="K6055">
        <v>0</v>
      </c>
      <c r="L6055">
        <v>229.32</v>
      </c>
    </row>
    <row r="6056" spans="1:12" x14ac:dyDescent="0.25">
      <c r="A6056" t="str">
        <f t="shared" si="1340"/>
        <v>89301000</v>
      </c>
      <c r="B6056" t="str">
        <f>"91997900"</f>
        <v>91997900</v>
      </c>
      <c r="C6056" t="str">
        <f>"91997901"</f>
        <v>91997901</v>
      </c>
      <c r="D6056" t="str">
        <f>"801"</f>
        <v>801</v>
      </c>
      <c r="E6056" t="str">
        <f>"89301102"</f>
        <v>89301102</v>
      </c>
      <c r="F6056" t="str">
        <f>"2157022043"</f>
        <v>2157022043</v>
      </c>
      <c r="G6056" s="1">
        <v>44741</v>
      </c>
      <c r="H6056" t="str">
        <f>"92157"</f>
        <v>92157</v>
      </c>
      <c r="I6056">
        <v>1</v>
      </c>
      <c r="J6056">
        <v>1754</v>
      </c>
      <c r="K6056">
        <v>0</v>
      </c>
      <c r="L6056">
        <v>1368.12</v>
      </c>
    </row>
    <row r="6057" spans="1:12" x14ac:dyDescent="0.25">
      <c r="A6057" t="str">
        <f t="shared" si="1340"/>
        <v>89301000</v>
      </c>
      <c r="B6057" t="str">
        <f>"91997900"</f>
        <v>91997900</v>
      </c>
      <c r="C6057" t="str">
        <f>"91997901"</f>
        <v>91997901</v>
      </c>
      <c r="D6057" t="str">
        <f>"801"</f>
        <v>801</v>
      </c>
      <c r="E6057" t="str">
        <f>"89301102"</f>
        <v>89301102</v>
      </c>
      <c r="F6057" t="str">
        <f>"2157022043"</f>
        <v>2157022043</v>
      </c>
      <c r="G6057" s="1">
        <v>44740</v>
      </c>
      <c r="H6057" t="str">
        <f>"97111"</f>
        <v>97111</v>
      </c>
      <c r="I6057">
        <v>1</v>
      </c>
      <c r="J6057">
        <v>18</v>
      </c>
      <c r="K6057">
        <v>0</v>
      </c>
      <c r="L6057">
        <v>14.04</v>
      </c>
    </row>
    <row r="6058" spans="1:12" x14ac:dyDescent="0.25">
      <c r="A6058" t="str">
        <f t="shared" si="1340"/>
        <v>89301000</v>
      </c>
      <c r="B6058" t="str">
        <f>"06515000"</f>
        <v>06515000</v>
      </c>
      <c r="C6058" t="str">
        <f>"06515005"</f>
        <v>06515005</v>
      </c>
      <c r="D6058" t="str">
        <f>"802"</f>
        <v>802</v>
      </c>
      <c r="E6058" t="str">
        <f>"89301102"</f>
        <v>89301102</v>
      </c>
      <c r="F6058" t="str">
        <f>"1510110030"</f>
        <v>1510110030</v>
      </c>
      <c r="G6058" s="1">
        <v>44714</v>
      </c>
      <c r="H6058" t="str">
        <f>"82079"</f>
        <v>82079</v>
      </c>
      <c r="I6058">
        <v>2</v>
      </c>
      <c r="J6058">
        <v>664</v>
      </c>
      <c r="K6058">
        <v>0</v>
      </c>
      <c r="L6058">
        <v>604.24</v>
      </c>
    </row>
    <row r="6059" spans="1:12" x14ac:dyDescent="0.25">
      <c r="A6059" t="str">
        <f t="shared" si="1340"/>
        <v>89301000</v>
      </c>
      <c r="B6059" t="str">
        <f>"02384000"</f>
        <v>02384000</v>
      </c>
      <c r="C6059" t="str">
        <f>"02384007"</f>
        <v>02384007</v>
      </c>
      <c r="D6059" t="str">
        <f>"809"</f>
        <v>809</v>
      </c>
      <c r="E6059" t="str">
        <f>"89301731"</f>
        <v>89301731</v>
      </c>
      <c r="F6059" t="str">
        <f>"455915443"</f>
        <v>455915443</v>
      </c>
      <c r="G6059" s="1">
        <v>44727</v>
      </c>
      <c r="H6059" t="str">
        <f>"89312"</f>
        <v>89312</v>
      </c>
      <c r="I6059">
        <v>1</v>
      </c>
      <c r="J6059">
        <v>302</v>
      </c>
      <c r="K6059">
        <v>0</v>
      </c>
      <c r="L6059">
        <v>317.10000000000002</v>
      </c>
    </row>
    <row r="6060" spans="1:12" x14ac:dyDescent="0.25">
      <c r="A6060" t="str">
        <f t="shared" si="1340"/>
        <v>89301000</v>
      </c>
      <c r="B6060" t="str">
        <f>"02384000"</f>
        <v>02384000</v>
      </c>
      <c r="C6060" t="str">
        <f>"02384007"</f>
        <v>02384007</v>
      </c>
      <c r="D6060" t="str">
        <f>"809"</f>
        <v>809</v>
      </c>
      <c r="E6060" t="str">
        <f>"89301731"</f>
        <v>89301731</v>
      </c>
      <c r="F6060" t="str">
        <f>"455915443"</f>
        <v>455915443</v>
      </c>
      <c r="G6060" s="1">
        <v>44727</v>
      </c>
      <c r="H6060" t="str">
        <f>"89312"</f>
        <v>89312</v>
      </c>
      <c r="I6060">
        <v>2</v>
      </c>
      <c r="J6060">
        <v>604</v>
      </c>
      <c r="K6060">
        <v>0</v>
      </c>
      <c r="L6060">
        <v>634.20000000000005</v>
      </c>
    </row>
    <row r="6061" spans="1:12" x14ac:dyDescent="0.25">
      <c r="A6061" t="str">
        <f t="shared" si="1340"/>
        <v>89301000</v>
      </c>
      <c r="B6061" t="str">
        <f>"89148000"</f>
        <v>89148000</v>
      </c>
      <c r="C6061" t="str">
        <f>"89148212"</f>
        <v>89148212</v>
      </c>
      <c r="D6061" t="str">
        <f>"801"</f>
        <v>801</v>
      </c>
      <c r="E6061" t="str">
        <f>"89301082"</f>
        <v>89301082</v>
      </c>
      <c r="F6061" t="str">
        <f>"8853195791"</f>
        <v>8853195791</v>
      </c>
      <c r="G6061" s="1">
        <v>44734</v>
      </c>
      <c r="H6061" t="str">
        <f>"93159"</f>
        <v>93159</v>
      </c>
      <c r="I6061">
        <v>1</v>
      </c>
      <c r="J6061">
        <v>195</v>
      </c>
      <c r="K6061">
        <v>0</v>
      </c>
      <c r="L6061">
        <v>152.1</v>
      </c>
    </row>
    <row r="6062" spans="1:12" x14ac:dyDescent="0.25">
      <c r="A6062" t="str">
        <f t="shared" si="1340"/>
        <v>89301000</v>
      </c>
      <c r="B6062" t="str">
        <f t="shared" ref="B6062:B6099" si="1346">"72077000"</f>
        <v>72077000</v>
      </c>
      <c r="C6062" t="str">
        <f t="shared" ref="C6062:C6099" si="1347">"72077001"</f>
        <v>72077001</v>
      </c>
      <c r="D6062" t="str">
        <f t="shared" ref="D6062:D6099" si="1348">"813"</f>
        <v>813</v>
      </c>
      <c r="E6062" t="str">
        <f t="shared" ref="E6062:E6077" si="1349">"89301152"</f>
        <v>89301152</v>
      </c>
      <c r="F6062" t="str">
        <f>"7959055302"</f>
        <v>7959055302</v>
      </c>
      <c r="G6062" s="1">
        <v>44728</v>
      </c>
      <c r="H6062" t="str">
        <f>"91465"</f>
        <v>91465</v>
      </c>
      <c r="I6062">
        <v>1</v>
      </c>
      <c r="J6062">
        <v>1404</v>
      </c>
      <c r="K6062">
        <v>0</v>
      </c>
      <c r="L6062">
        <v>1095.1199999999999</v>
      </c>
    </row>
    <row r="6063" spans="1:12" x14ac:dyDescent="0.25">
      <c r="A6063" t="str">
        <f t="shared" si="1340"/>
        <v>89301000</v>
      </c>
      <c r="B6063" t="str">
        <f t="shared" si="1346"/>
        <v>72077000</v>
      </c>
      <c r="C6063" t="str">
        <f t="shared" si="1347"/>
        <v>72077001</v>
      </c>
      <c r="D6063" t="str">
        <f t="shared" si="1348"/>
        <v>813</v>
      </c>
      <c r="E6063" t="str">
        <f t="shared" si="1349"/>
        <v>89301152</v>
      </c>
      <c r="F6063" t="str">
        <f>"7959055302"</f>
        <v>7959055302</v>
      </c>
      <c r="G6063" s="1">
        <v>44728</v>
      </c>
      <c r="H6063" t="str">
        <f>"91197"</f>
        <v>91197</v>
      </c>
      <c r="I6063">
        <v>1</v>
      </c>
      <c r="J6063">
        <v>1046</v>
      </c>
      <c r="K6063">
        <v>0</v>
      </c>
      <c r="L6063">
        <v>815.88</v>
      </c>
    </row>
    <row r="6064" spans="1:12" x14ac:dyDescent="0.25">
      <c r="A6064" t="str">
        <f t="shared" si="1340"/>
        <v>89301000</v>
      </c>
      <c r="B6064" t="str">
        <f t="shared" si="1346"/>
        <v>72077000</v>
      </c>
      <c r="C6064" t="str">
        <f t="shared" si="1347"/>
        <v>72077001</v>
      </c>
      <c r="D6064" t="str">
        <f t="shared" si="1348"/>
        <v>813</v>
      </c>
      <c r="E6064" t="str">
        <f t="shared" si="1349"/>
        <v>89301152</v>
      </c>
      <c r="F6064" t="str">
        <f t="shared" ref="F6064:F6069" si="1350">"8803284919"</f>
        <v>8803284919</v>
      </c>
      <c r="G6064" s="1">
        <v>44714</v>
      </c>
      <c r="H6064" t="str">
        <f t="shared" ref="H6064:H6069" si="1351">"91219"</f>
        <v>91219</v>
      </c>
      <c r="I6064">
        <v>1</v>
      </c>
      <c r="J6064">
        <v>342</v>
      </c>
      <c r="K6064">
        <v>0</v>
      </c>
      <c r="L6064">
        <v>266.76</v>
      </c>
    </row>
    <row r="6065" spans="1:12" x14ac:dyDescent="0.25">
      <c r="A6065" t="str">
        <f t="shared" si="1340"/>
        <v>89301000</v>
      </c>
      <c r="B6065" t="str">
        <f t="shared" si="1346"/>
        <v>72077000</v>
      </c>
      <c r="C6065" t="str">
        <f t="shared" si="1347"/>
        <v>72077001</v>
      </c>
      <c r="D6065" t="str">
        <f t="shared" si="1348"/>
        <v>813</v>
      </c>
      <c r="E6065" t="str">
        <f t="shared" si="1349"/>
        <v>89301152</v>
      </c>
      <c r="F6065" t="str">
        <f t="shared" si="1350"/>
        <v>8803284919</v>
      </c>
      <c r="G6065" s="1">
        <v>44714</v>
      </c>
      <c r="H6065" t="str">
        <f t="shared" si="1351"/>
        <v>91219</v>
      </c>
      <c r="I6065">
        <v>1</v>
      </c>
      <c r="J6065">
        <v>342</v>
      </c>
      <c r="K6065">
        <v>0</v>
      </c>
      <c r="L6065">
        <v>266.76</v>
      </c>
    </row>
    <row r="6066" spans="1:12" x14ac:dyDescent="0.25">
      <c r="A6066" t="str">
        <f t="shared" si="1340"/>
        <v>89301000</v>
      </c>
      <c r="B6066" t="str">
        <f t="shared" si="1346"/>
        <v>72077000</v>
      </c>
      <c r="C6066" t="str">
        <f t="shared" si="1347"/>
        <v>72077001</v>
      </c>
      <c r="D6066" t="str">
        <f t="shared" si="1348"/>
        <v>813</v>
      </c>
      <c r="E6066" t="str">
        <f t="shared" si="1349"/>
        <v>89301152</v>
      </c>
      <c r="F6066" t="str">
        <f t="shared" si="1350"/>
        <v>8803284919</v>
      </c>
      <c r="G6066" s="1">
        <v>44714</v>
      </c>
      <c r="H6066" t="str">
        <f t="shared" si="1351"/>
        <v>91219</v>
      </c>
      <c r="I6066">
        <v>1</v>
      </c>
      <c r="J6066">
        <v>342</v>
      </c>
      <c r="K6066">
        <v>0</v>
      </c>
      <c r="L6066">
        <v>266.76</v>
      </c>
    </row>
    <row r="6067" spans="1:12" x14ac:dyDescent="0.25">
      <c r="A6067" t="str">
        <f t="shared" si="1340"/>
        <v>89301000</v>
      </c>
      <c r="B6067" t="str">
        <f t="shared" si="1346"/>
        <v>72077000</v>
      </c>
      <c r="C6067" t="str">
        <f t="shared" si="1347"/>
        <v>72077001</v>
      </c>
      <c r="D6067" t="str">
        <f t="shared" si="1348"/>
        <v>813</v>
      </c>
      <c r="E6067" t="str">
        <f t="shared" si="1349"/>
        <v>89301152</v>
      </c>
      <c r="F6067" t="str">
        <f t="shared" si="1350"/>
        <v>8803284919</v>
      </c>
      <c r="G6067" s="1">
        <v>44714</v>
      </c>
      <c r="H6067" t="str">
        <f t="shared" si="1351"/>
        <v>91219</v>
      </c>
      <c r="I6067">
        <v>1</v>
      </c>
      <c r="J6067">
        <v>342</v>
      </c>
      <c r="K6067">
        <v>0</v>
      </c>
      <c r="L6067">
        <v>266.76</v>
      </c>
    </row>
    <row r="6068" spans="1:12" x14ac:dyDescent="0.25">
      <c r="A6068" t="str">
        <f t="shared" si="1340"/>
        <v>89301000</v>
      </c>
      <c r="B6068" t="str">
        <f t="shared" si="1346"/>
        <v>72077000</v>
      </c>
      <c r="C6068" t="str">
        <f t="shared" si="1347"/>
        <v>72077001</v>
      </c>
      <c r="D6068" t="str">
        <f t="shared" si="1348"/>
        <v>813</v>
      </c>
      <c r="E6068" t="str">
        <f t="shared" si="1349"/>
        <v>89301152</v>
      </c>
      <c r="F6068" t="str">
        <f t="shared" si="1350"/>
        <v>8803284919</v>
      </c>
      <c r="G6068" s="1">
        <v>44714</v>
      </c>
      <c r="H6068" t="str">
        <f t="shared" si="1351"/>
        <v>91219</v>
      </c>
      <c r="I6068">
        <v>1</v>
      </c>
      <c r="J6068">
        <v>342</v>
      </c>
      <c r="K6068">
        <v>0</v>
      </c>
      <c r="L6068">
        <v>266.76</v>
      </c>
    </row>
    <row r="6069" spans="1:12" x14ac:dyDescent="0.25">
      <c r="A6069" t="str">
        <f t="shared" si="1340"/>
        <v>89301000</v>
      </c>
      <c r="B6069" t="str">
        <f t="shared" si="1346"/>
        <v>72077000</v>
      </c>
      <c r="C6069" t="str">
        <f t="shared" si="1347"/>
        <v>72077001</v>
      </c>
      <c r="D6069" t="str">
        <f t="shared" si="1348"/>
        <v>813</v>
      </c>
      <c r="E6069" t="str">
        <f t="shared" si="1349"/>
        <v>89301152</v>
      </c>
      <c r="F6069" t="str">
        <f t="shared" si="1350"/>
        <v>8803284919</v>
      </c>
      <c r="G6069" s="1">
        <v>44714</v>
      </c>
      <c r="H6069" t="str">
        <f t="shared" si="1351"/>
        <v>91219</v>
      </c>
      <c r="I6069">
        <v>1</v>
      </c>
      <c r="J6069">
        <v>342</v>
      </c>
      <c r="K6069">
        <v>0</v>
      </c>
      <c r="L6069">
        <v>266.76</v>
      </c>
    </row>
    <row r="6070" spans="1:12" x14ac:dyDescent="0.25">
      <c r="A6070" t="str">
        <f t="shared" si="1340"/>
        <v>89301000</v>
      </c>
      <c r="B6070" t="str">
        <f t="shared" si="1346"/>
        <v>72077000</v>
      </c>
      <c r="C6070" t="str">
        <f t="shared" si="1347"/>
        <v>72077001</v>
      </c>
      <c r="D6070" t="str">
        <f t="shared" si="1348"/>
        <v>813</v>
      </c>
      <c r="E6070" t="str">
        <f t="shared" si="1349"/>
        <v>89301152</v>
      </c>
      <c r="F6070" t="str">
        <f>"0562173238"</f>
        <v>0562173238</v>
      </c>
      <c r="G6070" s="1">
        <v>44713</v>
      </c>
      <c r="H6070" t="str">
        <f>"91197"</f>
        <v>91197</v>
      </c>
      <c r="I6070">
        <v>1</v>
      </c>
      <c r="J6070">
        <v>1046</v>
      </c>
      <c r="K6070">
        <v>0</v>
      </c>
      <c r="L6070">
        <v>815.88</v>
      </c>
    </row>
    <row r="6071" spans="1:12" x14ac:dyDescent="0.25">
      <c r="A6071" t="str">
        <f t="shared" si="1340"/>
        <v>89301000</v>
      </c>
      <c r="B6071" t="str">
        <f t="shared" si="1346"/>
        <v>72077000</v>
      </c>
      <c r="C6071" t="str">
        <f t="shared" si="1347"/>
        <v>72077001</v>
      </c>
      <c r="D6071" t="str">
        <f t="shared" si="1348"/>
        <v>813</v>
      </c>
      <c r="E6071" t="str">
        <f t="shared" si="1349"/>
        <v>89301152</v>
      </c>
      <c r="F6071" t="str">
        <f>"0562173238"</f>
        <v>0562173238</v>
      </c>
      <c r="G6071" s="1">
        <v>44714</v>
      </c>
      <c r="H6071" t="str">
        <f>"91465"</f>
        <v>91465</v>
      </c>
      <c r="I6071">
        <v>1</v>
      </c>
      <c r="J6071">
        <v>1404</v>
      </c>
      <c r="K6071">
        <v>0</v>
      </c>
      <c r="L6071">
        <v>1095.1199999999999</v>
      </c>
    </row>
    <row r="6072" spans="1:12" x14ac:dyDescent="0.25">
      <c r="A6072" t="str">
        <f t="shared" si="1340"/>
        <v>89301000</v>
      </c>
      <c r="B6072" t="str">
        <f t="shared" si="1346"/>
        <v>72077000</v>
      </c>
      <c r="C6072" t="str">
        <f t="shared" si="1347"/>
        <v>72077001</v>
      </c>
      <c r="D6072" t="str">
        <f t="shared" si="1348"/>
        <v>813</v>
      </c>
      <c r="E6072" t="str">
        <f t="shared" si="1349"/>
        <v>89301152</v>
      </c>
      <c r="F6072" t="str">
        <f>"9957255715"</f>
        <v>9957255715</v>
      </c>
      <c r="G6072" s="1">
        <v>44713</v>
      </c>
      <c r="H6072" t="str">
        <f>"91197"</f>
        <v>91197</v>
      </c>
      <c r="I6072">
        <v>1</v>
      </c>
      <c r="J6072">
        <v>1046</v>
      </c>
      <c r="K6072">
        <v>0</v>
      </c>
      <c r="L6072">
        <v>815.88</v>
      </c>
    </row>
    <row r="6073" spans="1:12" x14ac:dyDescent="0.25">
      <c r="A6073" t="str">
        <f t="shared" si="1340"/>
        <v>89301000</v>
      </c>
      <c r="B6073" t="str">
        <f t="shared" si="1346"/>
        <v>72077000</v>
      </c>
      <c r="C6073" t="str">
        <f t="shared" si="1347"/>
        <v>72077001</v>
      </c>
      <c r="D6073" t="str">
        <f t="shared" si="1348"/>
        <v>813</v>
      </c>
      <c r="E6073" t="str">
        <f t="shared" si="1349"/>
        <v>89301152</v>
      </c>
      <c r="F6073" t="str">
        <f>"9957255715"</f>
        <v>9957255715</v>
      </c>
      <c r="G6073" s="1">
        <v>44714</v>
      </c>
      <c r="H6073" t="str">
        <f>"91465"</f>
        <v>91465</v>
      </c>
      <c r="I6073">
        <v>1</v>
      </c>
      <c r="J6073">
        <v>1404</v>
      </c>
      <c r="K6073">
        <v>0</v>
      </c>
      <c r="L6073">
        <v>1095.1199999999999</v>
      </c>
    </row>
    <row r="6074" spans="1:12" x14ac:dyDescent="0.25">
      <c r="A6074" t="str">
        <f t="shared" si="1340"/>
        <v>89301000</v>
      </c>
      <c r="B6074" t="str">
        <f t="shared" si="1346"/>
        <v>72077000</v>
      </c>
      <c r="C6074" t="str">
        <f t="shared" si="1347"/>
        <v>72077001</v>
      </c>
      <c r="D6074" t="str">
        <f t="shared" si="1348"/>
        <v>813</v>
      </c>
      <c r="E6074" t="str">
        <f t="shared" si="1349"/>
        <v>89301152</v>
      </c>
      <c r="F6074" t="str">
        <f>"0057046154"</f>
        <v>0057046154</v>
      </c>
      <c r="G6074" s="1">
        <v>44715</v>
      </c>
      <c r="H6074" t="str">
        <f>"91197"</f>
        <v>91197</v>
      </c>
      <c r="I6074">
        <v>1</v>
      </c>
      <c r="J6074">
        <v>1046</v>
      </c>
      <c r="K6074">
        <v>0</v>
      </c>
      <c r="L6074">
        <v>815.88</v>
      </c>
    </row>
    <row r="6075" spans="1:12" x14ac:dyDescent="0.25">
      <c r="A6075" t="str">
        <f t="shared" si="1340"/>
        <v>89301000</v>
      </c>
      <c r="B6075" t="str">
        <f t="shared" si="1346"/>
        <v>72077000</v>
      </c>
      <c r="C6075" t="str">
        <f t="shared" si="1347"/>
        <v>72077001</v>
      </c>
      <c r="D6075" t="str">
        <f t="shared" si="1348"/>
        <v>813</v>
      </c>
      <c r="E6075" t="str">
        <f t="shared" si="1349"/>
        <v>89301152</v>
      </c>
      <c r="F6075" t="str">
        <f>"0057046154"</f>
        <v>0057046154</v>
      </c>
      <c r="G6075" s="1">
        <v>44726</v>
      </c>
      <c r="H6075" t="str">
        <f>"91465"</f>
        <v>91465</v>
      </c>
      <c r="I6075">
        <v>1</v>
      </c>
      <c r="J6075">
        <v>1404</v>
      </c>
      <c r="K6075">
        <v>0</v>
      </c>
      <c r="L6075">
        <v>1095.1199999999999</v>
      </c>
    </row>
    <row r="6076" spans="1:12" x14ac:dyDescent="0.25">
      <c r="A6076" t="str">
        <f t="shared" si="1340"/>
        <v>89301000</v>
      </c>
      <c r="B6076" t="str">
        <f t="shared" si="1346"/>
        <v>72077000</v>
      </c>
      <c r="C6076" t="str">
        <f t="shared" si="1347"/>
        <v>72077001</v>
      </c>
      <c r="D6076" t="str">
        <f t="shared" si="1348"/>
        <v>813</v>
      </c>
      <c r="E6076" t="str">
        <f t="shared" si="1349"/>
        <v>89301152</v>
      </c>
      <c r="F6076" t="str">
        <f>"6357186275"</f>
        <v>6357186275</v>
      </c>
      <c r="G6076" s="1">
        <v>44715</v>
      </c>
      <c r="H6076" t="str">
        <f>"91197"</f>
        <v>91197</v>
      </c>
      <c r="I6076">
        <v>1</v>
      </c>
      <c r="J6076">
        <v>1046</v>
      </c>
      <c r="K6076">
        <v>0</v>
      </c>
      <c r="L6076">
        <v>815.88</v>
      </c>
    </row>
    <row r="6077" spans="1:12" x14ac:dyDescent="0.25">
      <c r="A6077" t="str">
        <f t="shared" si="1340"/>
        <v>89301000</v>
      </c>
      <c r="B6077" t="str">
        <f t="shared" si="1346"/>
        <v>72077000</v>
      </c>
      <c r="C6077" t="str">
        <f t="shared" si="1347"/>
        <v>72077001</v>
      </c>
      <c r="D6077" t="str">
        <f t="shared" si="1348"/>
        <v>813</v>
      </c>
      <c r="E6077" t="str">
        <f t="shared" si="1349"/>
        <v>89301152</v>
      </c>
      <c r="F6077" t="str">
        <f>"6357186275"</f>
        <v>6357186275</v>
      </c>
      <c r="G6077" s="1">
        <v>44726</v>
      </c>
      <c r="H6077" t="str">
        <f>"91465"</f>
        <v>91465</v>
      </c>
      <c r="I6077">
        <v>1</v>
      </c>
      <c r="J6077">
        <v>1404</v>
      </c>
      <c r="K6077">
        <v>0</v>
      </c>
      <c r="L6077">
        <v>1095.1199999999999</v>
      </c>
    </row>
    <row r="6078" spans="1:12" x14ac:dyDescent="0.25">
      <c r="A6078" t="str">
        <f t="shared" si="1340"/>
        <v>89301000</v>
      </c>
      <c r="B6078" t="str">
        <f t="shared" si="1346"/>
        <v>72077000</v>
      </c>
      <c r="C6078" t="str">
        <f t="shared" si="1347"/>
        <v>72077001</v>
      </c>
      <c r="D6078" t="str">
        <f t="shared" si="1348"/>
        <v>813</v>
      </c>
      <c r="E6078" t="str">
        <f>"89301107"</f>
        <v>89301107</v>
      </c>
      <c r="F6078" t="str">
        <f>"1807170277"</f>
        <v>1807170277</v>
      </c>
      <c r="G6078" s="1">
        <v>44722</v>
      </c>
      <c r="H6078" t="str">
        <f>"91197"</f>
        <v>91197</v>
      </c>
      <c r="I6078">
        <v>1</v>
      </c>
      <c r="J6078">
        <v>1046</v>
      </c>
      <c r="K6078">
        <v>0</v>
      </c>
      <c r="L6078">
        <v>815.88</v>
      </c>
    </row>
    <row r="6079" spans="1:12" x14ac:dyDescent="0.25">
      <c r="A6079" t="str">
        <f t="shared" si="1340"/>
        <v>89301000</v>
      </c>
      <c r="B6079" t="str">
        <f t="shared" si="1346"/>
        <v>72077000</v>
      </c>
      <c r="C6079" t="str">
        <f t="shared" si="1347"/>
        <v>72077001</v>
      </c>
      <c r="D6079" t="str">
        <f t="shared" si="1348"/>
        <v>813</v>
      </c>
      <c r="E6079" t="str">
        <f>"89301102"</f>
        <v>89301102</v>
      </c>
      <c r="F6079" t="str">
        <f>"2204250169"</f>
        <v>2204250169</v>
      </c>
      <c r="G6079" s="1">
        <v>44721</v>
      </c>
      <c r="H6079" t="str">
        <f>"82113"</f>
        <v>82113</v>
      </c>
      <c r="I6079">
        <v>1</v>
      </c>
      <c r="J6079">
        <v>362</v>
      </c>
      <c r="K6079">
        <v>0</v>
      </c>
      <c r="L6079">
        <v>282.36</v>
      </c>
    </row>
    <row r="6080" spans="1:12" x14ac:dyDescent="0.25">
      <c r="A6080" t="str">
        <f t="shared" si="1340"/>
        <v>89301000</v>
      </c>
      <c r="B6080" t="str">
        <f t="shared" si="1346"/>
        <v>72077000</v>
      </c>
      <c r="C6080" t="str">
        <f t="shared" si="1347"/>
        <v>72077001</v>
      </c>
      <c r="D6080" t="str">
        <f t="shared" si="1348"/>
        <v>813</v>
      </c>
      <c r="E6080" t="str">
        <f>"89301102"</f>
        <v>89301102</v>
      </c>
      <c r="F6080" t="str">
        <f>"2204250169"</f>
        <v>2204250169</v>
      </c>
      <c r="G6080" s="1">
        <v>44721</v>
      </c>
      <c r="H6080" t="str">
        <f>"82113"</f>
        <v>82113</v>
      </c>
      <c r="I6080">
        <v>1</v>
      </c>
      <c r="J6080">
        <v>362</v>
      </c>
      <c r="K6080">
        <v>0</v>
      </c>
      <c r="L6080">
        <v>282.36</v>
      </c>
    </row>
    <row r="6081" spans="1:12" x14ac:dyDescent="0.25">
      <c r="A6081" t="str">
        <f t="shared" si="1340"/>
        <v>89301000</v>
      </c>
      <c r="B6081" t="str">
        <f t="shared" si="1346"/>
        <v>72077000</v>
      </c>
      <c r="C6081" t="str">
        <f t="shared" si="1347"/>
        <v>72077001</v>
      </c>
      <c r="D6081" t="str">
        <f t="shared" si="1348"/>
        <v>813</v>
      </c>
      <c r="E6081" t="str">
        <f t="shared" ref="E6081:E6099" si="1352">"89301152"</f>
        <v>89301152</v>
      </c>
      <c r="F6081" t="str">
        <f>"5601141920"</f>
        <v>5601141920</v>
      </c>
      <c r="G6081" s="1">
        <v>44722</v>
      </c>
      <c r="H6081" t="str">
        <f>"91197"</f>
        <v>91197</v>
      </c>
      <c r="I6081">
        <v>1</v>
      </c>
      <c r="J6081">
        <v>1046</v>
      </c>
      <c r="K6081">
        <v>0</v>
      </c>
      <c r="L6081">
        <v>815.88</v>
      </c>
    </row>
    <row r="6082" spans="1:12" x14ac:dyDescent="0.25">
      <c r="A6082" t="str">
        <f t="shared" ref="A6082:A6145" si="1353">"89301000"</f>
        <v>89301000</v>
      </c>
      <c r="B6082" t="str">
        <f t="shared" si="1346"/>
        <v>72077000</v>
      </c>
      <c r="C6082" t="str">
        <f t="shared" si="1347"/>
        <v>72077001</v>
      </c>
      <c r="D6082" t="str">
        <f t="shared" si="1348"/>
        <v>813</v>
      </c>
      <c r="E6082" t="str">
        <f t="shared" si="1352"/>
        <v>89301152</v>
      </c>
      <c r="F6082" t="str">
        <f>"5601141920"</f>
        <v>5601141920</v>
      </c>
      <c r="G6082" s="1">
        <v>44727</v>
      </c>
      <c r="H6082" t="str">
        <f>"91465"</f>
        <v>91465</v>
      </c>
      <c r="I6082">
        <v>1</v>
      </c>
      <c r="J6082">
        <v>1404</v>
      </c>
      <c r="K6082">
        <v>0</v>
      </c>
      <c r="L6082">
        <v>1095.1199999999999</v>
      </c>
    </row>
    <row r="6083" spans="1:12" x14ac:dyDescent="0.25">
      <c r="A6083" t="str">
        <f t="shared" si="1353"/>
        <v>89301000</v>
      </c>
      <c r="B6083" t="str">
        <f t="shared" si="1346"/>
        <v>72077000</v>
      </c>
      <c r="C6083" t="str">
        <f t="shared" si="1347"/>
        <v>72077001</v>
      </c>
      <c r="D6083" t="str">
        <f t="shared" si="1348"/>
        <v>813</v>
      </c>
      <c r="E6083" t="str">
        <f t="shared" si="1352"/>
        <v>89301152</v>
      </c>
      <c r="F6083" t="str">
        <f>"6552071790"</f>
        <v>6552071790</v>
      </c>
      <c r="G6083" s="1">
        <v>44728</v>
      </c>
      <c r="H6083" t="str">
        <f>"91465"</f>
        <v>91465</v>
      </c>
      <c r="I6083">
        <v>1</v>
      </c>
      <c r="J6083">
        <v>1404</v>
      </c>
      <c r="K6083">
        <v>0</v>
      </c>
      <c r="L6083">
        <v>1095.1199999999999</v>
      </c>
    </row>
    <row r="6084" spans="1:12" x14ac:dyDescent="0.25">
      <c r="A6084" t="str">
        <f t="shared" si="1353"/>
        <v>89301000</v>
      </c>
      <c r="B6084" t="str">
        <f t="shared" si="1346"/>
        <v>72077000</v>
      </c>
      <c r="C6084" t="str">
        <f t="shared" si="1347"/>
        <v>72077001</v>
      </c>
      <c r="D6084" t="str">
        <f t="shared" si="1348"/>
        <v>813</v>
      </c>
      <c r="E6084" t="str">
        <f t="shared" si="1352"/>
        <v>89301152</v>
      </c>
      <c r="F6084" t="str">
        <f>"6552071790"</f>
        <v>6552071790</v>
      </c>
      <c r="G6084" s="1">
        <v>44728</v>
      </c>
      <c r="H6084" t="str">
        <f>"91197"</f>
        <v>91197</v>
      </c>
      <c r="I6084">
        <v>1</v>
      </c>
      <c r="J6084">
        <v>1046</v>
      </c>
      <c r="K6084">
        <v>0</v>
      </c>
      <c r="L6084">
        <v>815.88</v>
      </c>
    </row>
    <row r="6085" spans="1:12" x14ac:dyDescent="0.25">
      <c r="A6085" t="str">
        <f t="shared" si="1353"/>
        <v>89301000</v>
      </c>
      <c r="B6085" t="str">
        <f t="shared" si="1346"/>
        <v>72077000</v>
      </c>
      <c r="C6085" t="str">
        <f t="shared" si="1347"/>
        <v>72077001</v>
      </c>
      <c r="D6085" t="str">
        <f t="shared" si="1348"/>
        <v>813</v>
      </c>
      <c r="E6085" t="str">
        <f t="shared" si="1352"/>
        <v>89301152</v>
      </c>
      <c r="F6085" t="str">
        <f>"8562045767"</f>
        <v>8562045767</v>
      </c>
      <c r="G6085" s="1">
        <v>44732</v>
      </c>
      <c r="H6085" t="str">
        <f>"91197"</f>
        <v>91197</v>
      </c>
      <c r="I6085">
        <v>1</v>
      </c>
      <c r="J6085">
        <v>1046</v>
      </c>
      <c r="K6085">
        <v>0</v>
      </c>
      <c r="L6085">
        <v>815.88</v>
      </c>
    </row>
    <row r="6086" spans="1:12" x14ac:dyDescent="0.25">
      <c r="A6086" t="str">
        <f t="shared" si="1353"/>
        <v>89301000</v>
      </c>
      <c r="B6086" t="str">
        <f t="shared" si="1346"/>
        <v>72077000</v>
      </c>
      <c r="C6086" t="str">
        <f t="shared" si="1347"/>
        <v>72077001</v>
      </c>
      <c r="D6086" t="str">
        <f t="shared" si="1348"/>
        <v>813</v>
      </c>
      <c r="E6086" t="str">
        <f t="shared" si="1352"/>
        <v>89301152</v>
      </c>
      <c r="F6086" t="str">
        <f>"8562045767"</f>
        <v>8562045767</v>
      </c>
      <c r="G6086" s="1">
        <v>44733</v>
      </c>
      <c r="H6086" t="str">
        <f>"91465"</f>
        <v>91465</v>
      </c>
      <c r="I6086">
        <v>1</v>
      </c>
      <c r="J6086">
        <v>1404</v>
      </c>
      <c r="K6086">
        <v>0</v>
      </c>
      <c r="L6086">
        <v>1095.1199999999999</v>
      </c>
    </row>
    <row r="6087" spans="1:12" x14ac:dyDescent="0.25">
      <c r="A6087" t="str">
        <f t="shared" si="1353"/>
        <v>89301000</v>
      </c>
      <c r="B6087" t="str">
        <f t="shared" si="1346"/>
        <v>72077000</v>
      </c>
      <c r="C6087" t="str">
        <f t="shared" si="1347"/>
        <v>72077001</v>
      </c>
      <c r="D6087" t="str">
        <f t="shared" si="1348"/>
        <v>813</v>
      </c>
      <c r="E6087" t="str">
        <f t="shared" si="1352"/>
        <v>89301152</v>
      </c>
      <c r="F6087" t="str">
        <f>"7753305318"</f>
        <v>7753305318</v>
      </c>
      <c r="G6087" s="1">
        <v>44734</v>
      </c>
      <c r="H6087" t="str">
        <f>"91197"</f>
        <v>91197</v>
      </c>
      <c r="I6087">
        <v>1</v>
      </c>
      <c r="J6087">
        <v>1046</v>
      </c>
      <c r="K6087">
        <v>0</v>
      </c>
      <c r="L6087">
        <v>815.88</v>
      </c>
    </row>
    <row r="6088" spans="1:12" x14ac:dyDescent="0.25">
      <c r="A6088" t="str">
        <f t="shared" si="1353"/>
        <v>89301000</v>
      </c>
      <c r="B6088" t="str">
        <f t="shared" si="1346"/>
        <v>72077000</v>
      </c>
      <c r="C6088" t="str">
        <f t="shared" si="1347"/>
        <v>72077001</v>
      </c>
      <c r="D6088" t="str">
        <f t="shared" si="1348"/>
        <v>813</v>
      </c>
      <c r="E6088" t="str">
        <f t="shared" si="1352"/>
        <v>89301152</v>
      </c>
      <c r="F6088" t="str">
        <f>"7753305318"</f>
        <v>7753305318</v>
      </c>
      <c r="G6088" s="1">
        <v>44736</v>
      </c>
      <c r="H6088" t="str">
        <f>"91465"</f>
        <v>91465</v>
      </c>
      <c r="I6088">
        <v>1</v>
      </c>
      <c r="J6088">
        <v>1404</v>
      </c>
      <c r="K6088">
        <v>0</v>
      </c>
      <c r="L6088">
        <v>1095.1199999999999</v>
      </c>
    </row>
    <row r="6089" spans="1:12" x14ac:dyDescent="0.25">
      <c r="A6089" t="str">
        <f t="shared" si="1353"/>
        <v>89301000</v>
      </c>
      <c r="B6089" t="str">
        <f t="shared" si="1346"/>
        <v>72077000</v>
      </c>
      <c r="C6089" t="str">
        <f t="shared" si="1347"/>
        <v>72077001</v>
      </c>
      <c r="D6089" t="str">
        <f t="shared" si="1348"/>
        <v>813</v>
      </c>
      <c r="E6089" t="str">
        <f t="shared" si="1352"/>
        <v>89301152</v>
      </c>
      <c r="F6089" t="str">
        <f>"7557145552"</f>
        <v>7557145552</v>
      </c>
      <c r="G6089" s="1">
        <v>44734</v>
      </c>
      <c r="H6089" t="str">
        <f>"91197"</f>
        <v>91197</v>
      </c>
      <c r="I6089">
        <v>1</v>
      </c>
      <c r="J6089">
        <v>1046</v>
      </c>
      <c r="K6089">
        <v>0</v>
      </c>
      <c r="L6089">
        <v>815.88</v>
      </c>
    </row>
    <row r="6090" spans="1:12" x14ac:dyDescent="0.25">
      <c r="A6090" t="str">
        <f t="shared" si="1353"/>
        <v>89301000</v>
      </c>
      <c r="B6090" t="str">
        <f t="shared" si="1346"/>
        <v>72077000</v>
      </c>
      <c r="C6090" t="str">
        <f t="shared" si="1347"/>
        <v>72077001</v>
      </c>
      <c r="D6090" t="str">
        <f t="shared" si="1348"/>
        <v>813</v>
      </c>
      <c r="E6090" t="str">
        <f t="shared" si="1352"/>
        <v>89301152</v>
      </c>
      <c r="F6090" t="str">
        <f>"7557145552"</f>
        <v>7557145552</v>
      </c>
      <c r="G6090" s="1">
        <v>44736</v>
      </c>
      <c r="H6090" t="str">
        <f>"91465"</f>
        <v>91465</v>
      </c>
      <c r="I6090">
        <v>1</v>
      </c>
      <c r="J6090">
        <v>1404</v>
      </c>
      <c r="K6090">
        <v>0</v>
      </c>
      <c r="L6090">
        <v>1095.1199999999999</v>
      </c>
    </row>
    <row r="6091" spans="1:12" x14ac:dyDescent="0.25">
      <c r="A6091" t="str">
        <f t="shared" si="1353"/>
        <v>89301000</v>
      </c>
      <c r="B6091" t="str">
        <f t="shared" si="1346"/>
        <v>72077000</v>
      </c>
      <c r="C6091" t="str">
        <f t="shared" si="1347"/>
        <v>72077001</v>
      </c>
      <c r="D6091" t="str">
        <f t="shared" si="1348"/>
        <v>813</v>
      </c>
      <c r="E6091" t="str">
        <f t="shared" si="1352"/>
        <v>89301152</v>
      </c>
      <c r="F6091" t="str">
        <f>"7856164492"</f>
        <v>7856164492</v>
      </c>
      <c r="G6091" s="1">
        <v>44734</v>
      </c>
      <c r="H6091" t="str">
        <f>"91197"</f>
        <v>91197</v>
      </c>
      <c r="I6091">
        <v>1</v>
      </c>
      <c r="J6091">
        <v>1046</v>
      </c>
      <c r="K6091">
        <v>0</v>
      </c>
      <c r="L6091">
        <v>815.88</v>
      </c>
    </row>
    <row r="6092" spans="1:12" x14ac:dyDescent="0.25">
      <c r="A6092" t="str">
        <f t="shared" si="1353"/>
        <v>89301000</v>
      </c>
      <c r="B6092" t="str">
        <f t="shared" si="1346"/>
        <v>72077000</v>
      </c>
      <c r="C6092" t="str">
        <f t="shared" si="1347"/>
        <v>72077001</v>
      </c>
      <c r="D6092" t="str">
        <f t="shared" si="1348"/>
        <v>813</v>
      </c>
      <c r="E6092" t="str">
        <f t="shared" si="1352"/>
        <v>89301152</v>
      </c>
      <c r="F6092" t="str">
        <f>"7856164492"</f>
        <v>7856164492</v>
      </c>
      <c r="G6092" s="1">
        <v>44740</v>
      </c>
      <c r="H6092" t="str">
        <f>"91465"</f>
        <v>91465</v>
      </c>
      <c r="I6092">
        <v>1</v>
      </c>
      <c r="J6092">
        <v>1404</v>
      </c>
      <c r="K6092">
        <v>0</v>
      </c>
      <c r="L6092">
        <v>1095.1199999999999</v>
      </c>
    </row>
    <row r="6093" spans="1:12" x14ac:dyDescent="0.25">
      <c r="A6093" t="str">
        <f t="shared" si="1353"/>
        <v>89301000</v>
      </c>
      <c r="B6093" t="str">
        <f t="shared" si="1346"/>
        <v>72077000</v>
      </c>
      <c r="C6093" t="str">
        <f t="shared" si="1347"/>
        <v>72077001</v>
      </c>
      <c r="D6093" t="str">
        <f t="shared" si="1348"/>
        <v>813</v>
      </c>
      <c r="E6093" t="str">
        <f t="shared" si="1352"/>
        <v>89301152</v>
      </c>
      <c r="F6093" t="str">
        <f>"8057044457"</f>
        <v>8057044457</v>
      </c>
      <c r="G6093" s="1">
        <v>44739</v>
      </c>
      <c r="H6093" t="str">
        <f>"91197"</f>
        <v>91197</v>
      </c>
      <c r="I6093">
        <v>1</v>
      </c>
      <c r="J6093">
        <v>1046</v>
      </c>
      <c r="K6093">
        <v>0</v>
      </c>
      <c r="L6093">
        <v>815.88</v>
      </c>
    </row>
    <row r="6094" spans="1:12" x14ac:dyDescent="0.25">
      <c r="A6094" t="str">
        <f t="shared" si="1353"/>
        <v>89301000</v>
      </c>
      <c r="B6094" t="str">
        <f t="shared" si="1346"/>
        <v>72077000</v>
      </c>
      <c r="C6094" t="str">
        <f t="shared" si="1347"/>
        <v>72077001</v>
      </c>
      <c r="D6094" t="str">
        <f t="shared" si="1348"/>
        <v>813</v>
      </c>
      <c r="E6094" t="str">
        <f t="shared" si="1352"/>
        <v>89301152</v>
      </c>
      <c r="F6094" t="str">
        <f>"8057044457"</f>
        <v>8057044457</v>
      </c>
      <c r="G6094" s="1">
        <v>44740</v>
      </c>
      <c r="H6094" t="str">
        <f>"91465"</f>
        <v>91465</v>
      </c>
      <c r="I6094">
        <v>1</v>
      </c>
      <c r="J6094">
        <v>1404</v>
      </c>
      <c r="K6094">
        <v>0</v>
      </c>
      <c r="L6094">
        <v>1095.1199999999999</v>
      </c>
    </row>
    <row r="6095" spans="1:12" x14ac:dyDescent="0.25">
      <c r="A6095" t="str">
        <f t="shared" si="1353"/>
        <v>89301000</v>
      </c>
      <c r="B6095" t="str">
        <f t="shared" si="1346"/>
        <v>72077000</v>
      </c>
      <c r="C6095" t="str">
        <f t="shared" si="1347"/>
        <v>72077001</v>
      </c>
      <c r="D6095" t="str">
        <f t="shared" si="1348"/>
        <v>813</v>
      </c>
      <c r="E6095" t="str">
        <f t="shared" si="1352"/>
        <v>89301152</v>
      </c>
      <c r="F6095" t="str">
        <f>"475629408"</f>
        <v>475629408</v>
      </c>
      <c r="G6095" s="1">
        <v>44742</v>
      </c>
      <c r="H6095" t="str">
        <f>"91465"</f>
        <v>91465</v>
      </c>
      <c r="I6095">
        <v>1</v>
      </c>
      <c r="J6095">
        <v>1404</v>
      </c>
      <c r="K6095">
        <v>0</v>
      </c>
      <c r="L6095">
        <v>1095.1199999999999</v>
      </c>
    </row>
    <row r="6096" spans="1:12" x14ac:dyDescent="0.25">
      <c r="A6096" t="str">
        <f t="shared" si="1353"/>
        <v>89301000</v>
      </c>
      <c r="B6096" t="str">
        <f t="shared" si="1346"/>
        <v>72077000</v>
      </c>
      <c r="C6096" t="str">
        <f t="shared" si="1347"/>
        <v>72077001</v>
      </c>
      <c r="D6096" t="str">
        <f t="shared" si="1348"/>
        <v>813</v>
      </c>
      <c r="E6096" t="str">
        <f t="shared" si="1352"/>
        <v>89301152</v>
      </c>
      <c r="F6096" t="str">
        <f>"475629408"</f>
        <v>475629408</v>
      </c>
      <c r="G6096" s="1">
        <v>44742</v>
      </c>
      <c r="H6096" t="str">
        <f>"91197"</f>
        <v>91197</v>
      </c>
      <c r="I6096">
        <v>1</v>
      </c>
      <c r="J6096">
        <v>1046</v>
      </c>
      <c r="K6096">
        <v>0</v>
      </c>
      <c r="L6096">
        <v>815.88</v>
      </c>
    </row>
    <row r="6097" spans="1:12" x14ac:dyDescent="0.25">
      <c r="A6097" t="str">
        <f t="shared" si="1353"/>
        <v>89301000</v>
      </c>
      <c r="B6097" t="str">
        <f t="shared" si="1346"/>
        <v>72077000</v>
      </c>
      <c r="C6097" t="str">
        <f t="shared" si="1347"/>
        <v>72077001</v>
      </c>
      <c r="D6097" t="str">
        <f t="shared" si="1348"/>
        <v>813</v>
      </c>
      <c r="E6097" t="str">
        <f t="shared" si="1352"/>
        <v>89301152</v>
      </c>
      <c r="F6097" t="str">
        <f>"9060035765"</f>
        <v>9060035765</v>
      </c>
      <c r="G6097" s="1">
        <v>44742</v>
      </c>
      <c r="H6097" t="str">
        <f>"91465"</f>
        <v>91465</v>
      </c>
      <c r="I6097">
        <v>1</v>
      </c>
      <c r="J6097">
        <v>1404</v>
      </c>
      <c r="K6097">
        <v>0</v>
      </c>
      <c r="L6097">
        <v>1095.1199999999999</v>
      </c>
    </row>
    <row r="6098" spans="1:12" x14ac:dyDescent="0.25">
      <c r="A6098" t="str">
        <f t="shared" si="1353"/>
        <v>89301000</v>
      </c>
      <c r="B6098" t="str">
        <f t="shared" si="1346"/>
        <v>72077000</v>
      </c>
      <c r="C6098" t="str">
        <f t="shared" si="1347"/>
        <v>72077001</v>
      </c>
      <c r="D6098" t="str">
        <f t="shared" si="1348"/>
        <v>813</v>
      </c>
      <c r="E6098" t="str">
        <f t="shared" si="1352"/>
        <v>89301152</v>
      </c>
      <c r="F6098" t="str">
        <f>"9060035765"</f>
        <v>9060035765</v>
      </c>
      <c r="G6098" s="1">
        <v>44742</v>
      </c>
      <c r="H6098" t="str">
        <f>"91197"</f>
        <v>91197</v>
      </c>
      <c r="I6098">
        <v>1</v>
      </c>
      <c r="J6098">
        <v>1046</v>
      </c>
      <c r="K6098">
        <v>0</v>
      </c>
      <c r="L6098">
        <v>815.88</v>
      </c>
    </row>
    <row r="6099" spans="1:12" x14ac:dyDescent="0.25">
      <c r="A6099" t="str">
        <f t="shared" si="1353"/>
        <v>89301000</v>
      </c>
      <c r="B6099" t="str">
        <f t="shared" si="1346"/>
        <v>72077000</v>
      </c>
      <c r="C6099" t="str">
        <f t="shared" si="1347"/>
        <v>72077001</v>
      </c>
      <c r="D6099" t="str">
        <f t="shared" si="1348"/>
        <v>813</v>
      </c>
      <c r="E6099" t="str">
        <f t="shared" si="1352"/>
        <v>89301152</v>
      </c>
      <c r="F6099" t="str">
        <f>"7157235360"</f>
        <v>7157235360</v>
      </c>
      <c r="G6099" s="1">
        <v>44594</v>
      </c>
      <c r="H6099" t="str">
        <f>"91465"</f>
        <v>91465</v>
      </c>
      <c r="I6099">
        <v>1</v>
      </c>
      <c r="J6099">
        <v>1404</v>
      </c>
      <c r="K6099">
        <v>0</v>
      </c>
      <c r="L6099">
        <v>1095.1199999999999</v>
      </c>
    </row>
    <row r="6100" spans="1:12" x14ac:dyDescent="0.25">
      <c r="A6100" t="str">
        <f t="shared" si="1353"/>
        <v>89301000</v>
      </c>
      <c r="B6100" t="str">
        <f>"85200000"</f>
        <v>85200000</v>
      </c>
      <c r="C6100" t="str">
        <f>"85200500"</f>
        <v>85200500</v>
      </c>
      <c r="D6100" t="str">
        <f>"809"</f>
        <v>809</v>
      </c>
      <c r="E6100" t="str">
        <f>"89301212"</f>
        <v>89301212</v>
      </c>
      <c r="F6100" t="str">
        <f>"5958251090"</f>
        <v>5958251090</v>
      </c>
      <c r="G6100" s="1">
        <v>44733</v>
      </c>
      <c r="H6100" t="str">
        <f>"89513"</f>
        <v>89513</v>
      </c>
      <c r="I6100">
        <v>1</v>
      </c>
      <c r="J6100">
        <v>371</v>
      </c>
      <c r="K6100">
        <v>0</v>
      </c>
      <c r="L6100">
        <v>519.4</v>
      </c>
    </row>
    <row r="6101" spans="1:12" x14ac:dyDescent="0.25">
      <c r="A6101" t="str">
        <f t="shared" si="1353"/>
        <v>89301000</v>
      </c>
      <c r="B6101" t="str">
        <f>"85200000"</f>
        <v>85200000</v>
      </c>
      <c r="C6101" t="str">
        <f>"85200500"</f>
        <v>85200500</v>
      </c>
      <c r="D6101" t="str">
        <f>"809"</f>
        <v>809</v>
      </c>
      <c r="E6101" t="str">
        <f>"89301212"</f>
        <v>89301212</v>
      </c>
      <c r="F6101" t="str">
        <f>"5958251090"</f>
        <v>5958251090</v>
      </c>
      <c r="G6101" s="1">
        <v>44733</v>
      </c>
      <c r="H6101" t="str">
        <f>"89514"</f>
        <v>89514</v>
      </c>
      <c r="I6101">
        <v>1</v>
      </c>
      <c r="J6101">
        <v>371</v>
      </c>
      <c r="K6101">
        <v>0</v>
      </c>
      <c r="L6101">
        <v>519.4</v>
      </c>
    </row>
    <row r="6102" spans="1:12" x14ac:dyDescent="0.25">
      <c r="A6102" t="str">
        <f t="shared" si="1353"/>
        <v>89301000</v>
      </c>
      <c r="B6102" t="str">
        <f>"87259000"</f>
        <v>87259000</v>
      </c>
      <c r="C6102" t="str">
        <f>"87259001"</f>
        <v>87259001</v>
      </c>
      <c r="D6102" t="str">
        <f>"810"</f>
        <v>810</v>
      </c>
      <c r="E6102" t="str">
        <f>"89301112"</f>
        <v>89301112</v>
      </c>
      <c r="F6102" t="str">
        <f>"7910155418"</f>
        <v>7910155418</v>
      </c>
      <c r="G6102" s="1">
        <v>44740</v>
      </c>
      <c r="H6102" t="str">
        <f>"89713"</f>
        <v>89713</v>
      </c>
      <c r="I6102">
        <v>1</v>
      </c>
      <c r="J6102">
        <v>5362</v>
      </c>
      <c r="K6102">
        <v>0</v>
      </c>
      <c r="L6102">
        <v>3217.2</v>
      </c>
    </row>
    <row r="6103" spans="1:12" x14ac:dyDescent="0.25">
      <c r="A6103" t="str">
        <f t="shared" si="1353"/>
        <v>89301000</v>
      </c>
      <c r="B6103" t="str">
        <f>"87259000"</f>
        <v>87259000</v>
      </c>
      <c r="C6103" t="str">
        <f>"87259001"</f>
        <v>87259001</v>
      </c>
      <c r="D6103" t="str">
        <f>"810"</f>
        <v>810</v>
      </c>
      <c r="E6103" t="str">
        <f>"89301112"</f>
        <v>89301112</v>
      </c>
      <c r="F6103" t="str">
        <f>"7910155418"</f>
        <v>7910155418</v>
      </c>
      <c r="G6103" s="1">
        <v>44740</v>
      </c>
      <c r="H6103" t="str">
        <f>"89725"</f>
        <v>89725</v>
      </c>
      <c r="I6103">
        <v>1</v>
      </c>
      <c r="J6103">
        <v>2839</v>
      </c>
      <c r="K6103">
        <v>0</v>
      </c>
      <c r="L6103">
        <v>1703.4</v>
      </c>
    </row>
    <row r="6104" spans="1:12" x14ac:dyDescent="0.25">
      <c r="A6104" t="str">
        <f t="shared" si="1353"/>
        <v>89301000</v>
      </c>
      <c r="B6104" t="str">
        <f>"87259000"</f>
        <v>87259000</v>
      </c>
      <c r="C6104" t="str">
        <f>"87259001"</f>
        <v>87259001</v>
      </c>
      <c r="D6104" t="str">
        <f>"810"</f>
        <v>810</v>
      </c>
      <c r="E6104" t="str">
        <f>"89301112"</f>
        <v>89301112</v>
      </c>
      <c r="F6104" t="str">
        <f>"7910155418"</f>
        <v>7910155418</v>
      </c>
      <c r="G6104" s="1">
        <v>44741</v>
      </c>
      <c r="H6104" t="str">
        <f>"89713"</f>
        <v>89713</v>
      </c>
      <c r="I6104">
        <v>1</v>
      </c>
      <c r="J6104">
        <v>5362</v>
      </c>
      <c r="K6104">
        <v>0</v>
      </c>
      <c r="L6104">
        <v>3217.2</v>
      </c>
    </row>
    <row r="6105" spans="1:12" x14ac:dyDescent="0.25">
      <c r="A6105" t="str">
        <f t="shared" si="1353"/>
        <v>89301000</v>
      </c>
      <c r="B6105" t="str">
        <f>"87259000"</f>
        <v>87259000</v>
      </c>
      <c r="C6105" t="str">
        <f>"87259001"</f>
        <v>87259001</v>
      </c>
      <c r="D6105" t="str">
        <f>"810"</f>
        <v>810</v>
      </c>
      <c r="E6105" t="str">
        <f>"89301112"</f>
        <v>89301112</v>
      </c>
      <c r="F6105" t="str">
        <f>"7910155418"</f>
        <v>7910155418</v>
      </c>
      <c r="G6105" s="1">
        <v>44741</v>
      </c>
      <c r="H6105" t="str">
        <f>"89725"</f>
        <v>89725</v>
      </c>
      <c r="I6105">
        <v>1</v>
      </c>
      <c r="J6105">
        <v>2839</v>
      </c>
      <c r="K6105">
        <v>0</v>
      </c>
      <c r="L6105">
        <v>1703.4</v>
      </c>
    </row>
    <row r="6106" spans="1:12" x14ac:dyDescent="0.25">
      <c r="A6106" t="str">
        <f t="shared" si="1353"/>
        <v>89301000</v>
      </c>
      <c r="B6106" t="str">
        <f>"89511000"</f>
        <v>89511000</v>
      </c>
      <c r="C6106" t="str">
        <f>"89511001"</f>
        <v>89511001</v>
      </c>
      <c r="D6106" t="str">
        <f>"809"</f>
        <v>809</v>
      </c>
      <c r="E6106" t="str">
        <f>"89301212"</f>
        <v>89301212</v>
      </c>
      <c r="F6106" t="str">
        <f>"7360265242"</f>
        <v>7360265242</v>
      </c>
      <c r="G6106" s="1">
        <v>44728</v>
      </c>
      <c r="H6106" t="str">
        <f>"89131"</f>
        <v>89131</v>
      </c>
      <c r="I6106">
        <v>1</v>
      </c>
      <c r="J6106">
        <v>187</v>
      </c>
      <c r="K6106">
        <v>0</v>
      </c>
      <c r="L6106">
        <v>261.8</v>
      </c>
    </row>
    <row r="6107" spans="1:12" x14ac:dyDescent="0.25">
      <c r="A6107" t="str">
        <f t="shared" si="1353"/>
        <v>89301000</v>
      </c>
      <c r="B6107" t="str">
        <f>"89511000"</f>
        <v>89511000</v>
      </c>
      <c r="C6107" t="str">
        <f>"89511001"</f>
        <v>89511001</v>
      </c>
      <c r="D6107" t="str">
        <f>"809"</f>
        <v>809</v>
      </c>
      <c r="E6107" t="str">
        <f>"89301037"</f>
        <v>89301037</v>
      </c>
      <c r="F6107" t="str">
        <f>"7861124403"</f>
        <v>7861124403</v>
      </c>
      <c r="G6107" s="1">
        <v>44700</v>
      </c>
      <c r="H6107" t="str">
        <f>"89121"</f>
        <v>89121</v>
      </c>
      <c r="I6107">
        <v>2</v>
      </c>
      <c r="J6107">
        <v>352</v>
      </c>
      <c r="K6107">
        <v>0</v>
      </c>
      <c r="L6107">
        <v>492.8</v>
      </c>
    </row>
    <row r="6108" spans="1:12" x14ac:dyDescent="0.25">
      <c r="A6108" t="str">
        <f t="shared" si="1353"/>
        <v>89301000</v>
      </c>
      <c r="B6108" t="str">
        <f>"89511000"</f>
        <v>89511000</v>
      </c>
      <c r="C6108" t="str">
        <f>"89511001"</f>
        <v>89511001</v>
      </c>
      <c r="D6108" t="str">
        <f>"809"</f>
        <v>809</v>
      </c>
      <c r="E6108" t="str">
        <f>"89301037"</f>
        <v>89301037</v>
      </c>
      <c r="F6108" t="str">
        <f>"7861124403"</f>
        <v>7861124403</v>
      </c>
      <c r="G6108" s="1">
        <v>44700</v>
      </c>
      <c r="H6108" t="str">
        <f>"89123"</f>
        <v>89123</v>
      </c>
      <c r="I6108">
        <v>2</v>
      </c>
      <c r="J6108">
        <v>278</v>
      </c>
      <c r="K6108">
        <v>0</v>
      </c>
      <c r="L6108">
        <v>389.2</v>
      </c>
    </row>
    <row r="6109" spans="1:12" x14ac:dyDescent="0.25">
      <c r="A6109" t="str">
        <f t="shared" si="1353"/>
        <v>89301000</v>
      </c>
      <c r="B6109" t="str">
        <f>"89511000"</f>
        <v>89511000</v>
      </c>
      <c r="C6109" t="str">
        <f>"89511001"</f>
        <v>89511001</v>
      </c>
      <c r="D6109" t="str">
        <f>"809"</f>
        <v>809</v>
      </c>
      <c r="E6109" t="str">
        <f>"89301037"</f>
        <v>89301037</v>
      </c>
      <c r="F6109" t="str">
        <f>"7861124403"</f>
        <v>7861124403</v>
      </c>
      <c r="G6109" s="1">
        <v>44700</v>
      </c>
      <c r="H6109" t="str">
        <f>"89127"</f>
        <v>89127</v>
      </c>
      <c r="I6109">
        <v>2</v>
      </c>
      <c r="J6109">
        <v>476</v>
      </c>
      <c r="K6109">
        <v>0</v>
      </c>
      <c r="L6109">
        <v>666.4</v>
      </c>
    </row>
    <row r="6110" spans="1:12" x14ac:dyDescent="0.25">
      <c r="A6110" t="str">
        <f t="shared" si="1353"/>
        <v>89301000</v>
      </c>
      <c r="B6110" t="str">
        <f>"89511000"</f>
        <v>89511000</v>
      </c>
      <c r="C6110" t="str">
        <f>"89511001"</f>
        <v>89511001</v>
      </c>
      <c r="D6110" t="str">
        <f>"809"</f>
        <v>809</v>
      </c>
      <c r="E6110" t="str">
        <f>"89301037"</f>
        <v>89301037</v>
      </c>
      <c r="F6110" t="str">
        <f>"7861124403"</f>
        <v>7861124403</v>
      </c>
      <c r="G6110" s="1">
        <v>44700</v>
      </c>
      <c r="H6110" t="str">
        <f>"89119"</f>
        <v>89119</v>
      </c>
      <c r="I6110">
        <v>1</v>
      </c>
      <c r="J6110">
        <v>200</v>
      </c>
      <c r="K6110">
        <v>0</v>
      </c>
      <c r="L6110">
        <v>280</v>
      </c>
    </row>
    <row r="6111" spans="1:12" x14ac:dyDescent="0.25">
      <c r="A6111" t="str">
        <f t="shared" si="1353"/>
        <v>89301000</v>
      </c>
      <c r="B6111" t="str">
        <f t="shared" ref="B6111:B6126" si="1354">"88805000"</f>
        <v>88805000</v>
      </c>
      <c r="C6111" t="str">
        <f>"88805014"</f>
        <v>88805014</v>
      </c>
      <c r="D6111" t="str">
        <f>"816"</f>
        <v>816</v>
      </c>
      <c r="E6111" t="str">
        <f>"89301282"</f>
        <v>89301282</v>
      </c>
      <c r="F6111" t="str">
        <f>"1212281686"</f>
        <v>1212281686</v>
      </c>
      <c r="G6111" s="1">
        <v>44663</v>
      </c>
      <c r="H6111" t="str">
        <f>"94983"</f>
        <v>94983</v>
      </c>
      <c r="I6111">
        <v>1</v>
      </c>
      <c r="J6111">
        <v>0</v>
      </c>
      <c r="K6111">
        <v>39600</v>
      </c>
      <c r="L6111">
        <v>39600</v>
      </c>
    </row>
    <row r="6112" spans="1:12" x14ac:dyDescent="0.25">
      <c r="A6112" t="str">
        <f t="shared" si="1353"/>
        <v>89301000</v>
      </c>
      <c r="B6112" t="str">
        <f t="shared" si="1354"/>
        <v>88805000</v>
      </c>
      <c r="C6112" t="str">
        <f>"88805014"</f>
        <v>88805014</v>
      </c>
      <c r="D6112" t="str">
        <f>"816"</f>
        <v>816</v>
      </c>
      <c r="E6112" t="str">
        <f>"89301282"</f>
        <v>89301282</v>
      </c>
      <c r="F6112" t="str">
        <f>"1212281686"</f>
        <v>1212281686</v>
      </c>
      <c r="G6112" s="1">
        <v>44663</v>
      </c>
      <c r="H6112" t="str">
        <f>"94996"</f>
        <v>94996</v>
      </c>
      <c r="I6112">
        <v>1</v>
      </c>
      <c r="J6112">
        <v>0</v>
      </c>
      <c r="K6112">
        <v>0</v>
      </c>
      <c r="L6112">
        <v>0</v>
      </c>
    </row>
    <row r="6113" spans="1:12" x14ac:dyDescent="0.25">
      <c r="A6113" t="str">
        <f t="shared" si="1353"/>
        <v>89301000</v>
      </c>
      <c r="B6113" t="str">
        <f t="shared" si="1354"/>
        <v>88805000</v>
      </c>
      <c r="C6113" t="str">
        <f>"88805001"</f>
        <v>88805001</v>
      </c>
      <c r="D6113" t="str">
        <f>"801"</f>
        <v>801</v>
      </c>
      <c r="E6113" t="str">
        <f>"89301047"</f>
        <v>89301047</v>
      </c>
      <c r="F6113" t="str">
        <f>"1956150097"</f>
        <v>1956150097</v>
      </c>
      <c r="G6113" s="1">
        <v>44740</v>
      </c>
      <c r="H6113" t="str">
        <f>"81631"</f>
        <v>81631</v>
      </c>
      <c r="I6113">
        <v>1</v>
      </c>
      <c r="J6113">
        <v>294</v>
      </c>
      <c r="K6113">
        <v>0</v>
      </c>
      <c r="L6113">
        <v>229.32</v>
      </c>
    </row>
    <row r="6114" spans="1:12" x14ac:dyDescent="0.25">
      <c r="A6114" t="str">
        <f t="shared" si="1353"/>
        <v>89301000</v>
      </c>
      <c r="B6114" t="str">
        <f t="shared" si="1354"/>
        <v>88805000</v>
      </c>
      <c r="C6114" t="str">
        <f>"88805001"</f>
        <v>88805001</v>
      </c>
      <c r="D6114" t="str">
        <f>"801"</f>
        <v>801</v>
      </c>
      <c r="E6114" t="str">
        <f>"89301047"</f>
        <v>89301047</v>
      </c>
      <c r="F6114" t="str">
        <f>"1956150097"</f>
        <v>1956150097</v>
      </c>
      <c r="G6114" s="1">
        <v>44740</v>
      </c>
      <c r="H6114" t="str">
        <f>"92143"</f>
        <v>92143</v>
      </c>
      <c r="I6114">
        <v>1</v>
      </c>
      <c r="J6114">
        <v>1748</v>
      </c>
      <c r="K6114">
        <v>0</v>
      </c>
      <c r="L6114">
        <v>1363.44</v>
      </c>
    </row>
    <row r="6115" spans="1:12" x14ac:dyDescent="0.25">
      <c r="A6115" t="str">
        <f t="shared" si="1353"/>
        <v>89301000</v>
      </c>
      <c r="B6115" t="str">
        <f t="shared" si="1354"/>
        <v>88805000</v>
      </c>
      <c r="C6115" t="str">
        <f>"88805001"</f>
        <v>88805001</v>
      </c>
      <c r="D6115" t="str">
        <f>"801"</f>
        <v>801</v>
      </c>
      <c r="E6115" t="str">
        <f>"89301202"</f>
        <v>89301202</v>
      </c>
      <c r="F6115" t="str">
        <f>"6759220809"</f>
        <v>6759220809</v>
      </c>
      <c r="G6115" s="1">
        <v>44715</v>
      </c>
      <c r="H6115" t="str">
        <f>"81643"</f>
        <v>81643</v>
      </c>
      <c r="I6115">
        <v>1</v>
      </c>
      <c r="J6115">
        <v>104</v>
      </c>
      <c r="K6115">
        <v>0</v>
      </c>
      <c r="L6115">
        <v>81.12</v>
      </c>
    </row>
    <row r="6116" spans="1:12" x14ac:dyDescent="0.25">
      <c r="A6116" t="str">
        <f t="shared" si="1353"/>
        <v>89301000</v>
      </c>
      <c r="B6116" t="str">
        <f t="shared" si="1354"/>
        <v>88805000</v>
      </c>
      <c r="C6116" t="str">
        <f>"88805001"</f>
        <v>88805001</v>
      </c>
      <c r="D6116" t="str">
        <f>"801"</f>
        <v>801</v>
      </c>
      <c r="E6116" t="str">
        <f>"89301202"</f>
        <v>89301202</v>
      </c>
      <c r="F6116" t="str">
        <f>"6759220809"</f>
        <v>6759220809</v>
      </c>
      <c r="G6116" s="1">
        <v>44715</v>
      </c>
      <c r="H6116" t="str">
        <f>"97111"</f>
        <v>97111</v>
      </c>
      <c r="I6116">
        <v>1</v>
      </c>
      <c r="J6116">
        <v>18</v>
      </c>
      <c r="K6116">
        <v>0</v>
      </c>
      <c r="L6116">
        <v>14.04</v>
      </c>
    </row>
    <row r="6117" spans="1:12" x14ac:dyDescent="0.25">
      <c r="A6117" t="str">
        <f t="shared" si="1353"/>
        <v>89301000</v>
      </c>
      <c r="B6117" t="str">
        <f t="shared" si="1354"/>
        <v>88805000</v>
      </c>
      <c r="C6117" t="str">
        <f t="shared" ref="C6117:C6126" si="1355">"88805014"</f>
        <v>88805014</v>
      </c>
      <c r="D6117" t="str">
        <f t="shared" ref="D6117:D6148" si="1356">"816"</f>
        <v>816</v>
      </c>
      <c r="E6117" t="str">
        <f t="shared" ref="E6117:E6128" si="1357">"89301282"</f>
        <v>89301282</v>
      </c>
      <c r="F6117" t="str">
        <f>"0309196195"</f>
        <v>0309196195</v>
      </c>
      <c r="G6117" s="1">
        <v>44721</v>
      </c>
      <c r="H6117" t="str">
        <f>"94331"</f>
        <v>94331</v>
      </c>
      <c r="I6117">
        <v>3</v>
      </c>
      <c r="J6117">
        <v>23334</v>
      </c>
      <c r="K6117">
        <v>0</v>
      </c>
      <c r="L6117">
        <v>19833.900000000001</v>
      </c>
    </row>
    <row r="6118" spans="1:12" x14ac:dyDescent="0.25">
      <c r="A6118" t="str">
        <f t="shared" si="1353"/>
        <v>89301000</v>
      </c>
      <c r="B6118" t="str">
        <f t="shared" si="1354"/>
        <v>88805000</v>
      </c>
      <c r="C6118" t="str">
        <f t="shared" si="1355"/>
        <v>88805014</v>
      </c>
      <c r="D6118" t="str">
        <f t="shared" si="1356"/>
        <v>816</v>
      </c>
      <c r="E6118" t="str">
        <f t="shared" si="1357"/>
        <v>89301282</v>
      </c>
      <c r="F6118" t="str">
        <f>"0309196195"</f>
        <v>0309196195</v>
      </c>
      <c r="G6118" s="1">
        <v>44721</v>
      </c>
      <c r="H6118" t="str">
        <f>"94948"</f>
        <v>94948</v>
      </c>
      <c r="I6118">
        <v>1</v>
      </c>
      <c r="J6118">
        <v>0</v>
      </c>
      <c r="K6118">
        <v>0</v>
      </c>
      <c r="L6118">
        <v>0</v>
      </c>
    </row>
    <row r="6119" spans="1:12" x14ac:dyDescent="0.25">
      <c r="A6119" t="str">
        <f t="shared" si="1353"/>
        <v>89301000</v>
      </c>
      <c r="B6119" t="str">
        <f t="shared" si="1354"/>
        <v>88805000</v>
      </c>
      <c r="C6119" t="str">
        <f t="shared" si="1355"/>
        <v>88805014</v>
      </c>
      <c r="D6119" t="str">
        <f t="shared" si="1356"/>
        <v>816</v>
      </c>
      <c r="E6119" t="str">
        <f t="shared" si="1357"/>
        <v>89301282</v>
      </c>
      <c r="F6119" t="str">
        <f>"7754305801"</f>
        <v>7754305801</v>
      </c>
      <c r="G6119" s="1">
        <v>44735</v>
      </c>
      <c r="H6119" t="str">
        <f>"94345"</f>
        <v>94345</v>
      </c>
      <c r="I6119">
        <v>1</v>
      </c>
      <c r="J6119">
        <v>4625</v>
      </c>
      <c r="K6119">
        <v>0</v>
      </c>
      <c r="L6119">
        <v>3931.25</v>
      </c>
    </row>
    <row r="6120" spans="1:12" x14ac:dyDescent="0.25">
      <c r="A6120" t="str">
        <f t="shared" si="1353"/>
        <v>89301000</v>
      </c>
      <c r="B6120" t="str">
        <f t="shared" si="1354"/>
        <v>88805000</v>
      </c>
      <c r="C6120" t="str">
        <f t="shared" si="1355"/>
        <v>88805014</v>
      </c>
      <c r="D6120" t="str">
        <f t="shared" si="1356"/>
        <v>816</v>
      </c>
      <c r="E6120" t="str">
        <f t="shared" si="1357"/>
        <v>89301282</v>
      </c>
      <c r="F6120" t="str">
        <f>"7754305801"</f>
        <v>7754305801</v>
      </c>
      <c r="G6120" s="1">
        <v>44735</v>
      </c>
      <c r="H6120" t="str">
        <f>"94948"</f>
        <v>94948</v>
      </c>
      <c r="I6120">
        <v>1</v>
      </c>
      <c r="J6120">
        <v>0</v>
      </c>
      <c r="K6120">
        <v>0</v>
      </c>
      <c r="L6120">
        <v>0</v>
      </c>
    </row>
    <row r="6121" spans="1:12" x14ac:dyDescent="0.25">
      <c r="A6121" t="str">
        <f t="shared" si="1353"/>
        <v>89301000</v>
      </c>
      <c r="B6121" t="str">
        <f t="shared" si="1354"/>
        <v>88805000</v>
      </c>
      <c r="C6121" t="str">
        <f t="shared" si="1355"/>
        <v>88805014</v>
      </c>
      <c r="D6121" t="str">
        <f t="shared" si="1356"/>
        <v>816</v>
      </c>
      <c r="E6121" t="str">
        <f t="shared" si="1357"/>
        <v>89301282</v>
      </c>
      <c r="F6121" t="str">
        <f>"2060160608"</f>
        <v>2060160608</v>
      </c>
      <c r="G6121" s="1">
        <v>44727</v>
      </c>
      <c r="H6121" t="str">
        <f>"94982"</f>
        <v>94982</v>
      </c>
      <c r="I6121">
        <v>1</v>
      </c>
      <c r="J6121">
        <v>0</v>
      </c>
      <c r="K6121">
        <v>27500</v>
      </c>
      <c r="L6121">
        <v>27500</v>
      </c>
    </row>
    <row r="6122" spans="1:12" x14ac:dyDescent="0.25">
      <c r="A6122" t="str">
        <f t="shared" si="1353"/>
        <v>89301000</v>
      </c>
      <c r="B6122" t="str">
        <f t="shared" si="1354"/>
        <v>88805000</v>
      </c>
      <c r="C6122" t="str">
        <f t="shared" si="1355"/>
        <v>88805014</v>
      </c>
      <c r="D6122" t="str">
        <f t="shared" si="1356"/>
        <v>816</v>
      </c>
      <c r="E6122" t="str">
        <f t="shared" si="1357"/>
        <v>89301282</v>
      </c>
      <c r="F6122" t="str">
        <f>"2060160608"</f>
        <v>2060160608</v>
      </c>
      <c r="G6122" s="1">
        <v>44727</v>
      </c>
      <c r="H6122" t="str">
        <f>"94996"</f>
        <v>94996</v>
      </c>
      <c r="I6122">
        <v>1</v>
      </c>
      <c r="J6122">
        <v>0</v>
      </c>
      <c r="K6122">
        <v>0</v>
      </c>
      <c r="L6122">
        <v>0</v>
      </c>
    </row>
    <row r="6123" spans="1:12" x14ac:dyDescent="0.25">
      <c r="A6123" t="str">
        <f t="shared" si="1353"/>
        <v>89301000</v>
      </c>
      <c r="B6123" t="str">
        <f t="shared" si="1354"/>
        <v>88805000</v>
      </c>
      <c r="C6123" t="str">
        <f t="shared" si="1355"/>
        <v>88805014</v>
      </c>
      <c r="D6123" t="str">
        <f t="shared" si="1356"/>
        <v>816</v>
      </c>
      <c r="E6123" t="str">
        <f t="shared" si="1357"/>
        <v>89301282</v>
      </c>
      <c r="F6123" t="str">
        <f>"7559264273"</f>
        <v>7559264273</v>
      </c>
      <c r="G6123" s="1">
        <v>44741</v>
      </c>
      <c r="H6123" t="str">
        <f>"94982"</f>
        <v>94982</v>
      </c>
      <c r="I6123">
        <v>1</v>
      </c>
      <c r="J6123">
        <v>0</v>
      </c>
      <c r="K6123">
        <v>27500</v>
      </c>
      <c r="L6123">
        <v>27500</v>
      </c>
    </row>
    <row r="6124" spans="1:12" x14ac:dyDescent="0.25">
      <c r="A6124" t="str">
        <f t="shared" si="1353"/>
        <v>89301000</v>
      </c>
      <c r="B6124" t="str">
        <f t="shared" si="1354"/>
        <v>88805000</v>
      </c>
      <c r="C6124" t="str">
        <f t="shared" si="1355"/>
        <v>88805014</v>
      </c>
      <c r="D6124" t="str">
        <f t="shared" si="1356"/>
        <v>816</v>
      </c>
      <c r="E6124" t="str">
        <f t="shared" si="1357"/>
        <v>89301282</v>
      </c>
      <c r="F6124" t="str">
        <f>"7559264273"</f>
        <v>7559264273</v>
      </c>
      <c r="G6124" s="1">
        <v>44741</v>
      </c>
      <c r="H6124" t="str">
        <f>"94996"</f>
        <v>94996</v>
      </c>
      <c r="I6124">
        <v>1</v>
      </c>
      <c r="J6124">
        <v>0</v>
      </c>
      <c r="K6124">
        <v>0</v>
      </c>
      <c r="L6124">
        <v>0</v>
      </c>
    </row>
    <row r="6125" spans="1:12" x14ac:dyDescent="0.25">
      <c r="A6125" t="str">
        <f t="shared" si="1353"/>
        <v>89301000</v>
      </c>
      <c r="B6125" t="str">
        <f t="shared" si="1354"/>
        <v>88805000</v>
      </c>
      <c r="C6125" t="str">
        <f t="shared" si="1355"/>
        <v>88805014</v>
      </c>
      <c r="D6125" t="str">
        <f t="shared" si="1356"/>
        <v>816</v>
      </c>
      <c r="E6125" t="str">
        <f t="shared" si="1357"/>
        <v>89301282</v>
      </c>
      <c r="F6125" t="str">
        <f>"6259240295"</f>
        <v>6259240295</v>
      </c>
      <c r="G6125" s="1">
        <v>44719</v>
      </c>
      <c r="H6125" t="str">
        <f>"94983"</f>
        <v>94983</v>
      </c>
      <c r="I6125">
        <v>1</v>
      </c>
      <c r="J6125">
        <v>0</v>
      </c>
      <c r="K6125">
        <v>39600</v>
      </c>
      <c r="L6125">
        <v>39600</v>
      </c>
    </row>
    <row r="6126" spans="1:12" x14ac:dyDescent="0.25">
      <c r="A6126" t="str">
        <f t="shared" si="1353"/>
        <v>89301000</v>
      </c>
      <c r="B6126" t="str">
        <f t="shared" si="1354"/>
        <v>88805000</v>
      </c>
      <c r="C6126" t="str">
        <f t="shared" si="1355"/>
        <v>88805014</v>
      </c>
      <c r="D6126" t="str">
        <f t="shared" si="1356"/>
        <v>816</v>
      </c>
      <c r="E6126" t="str">
        <f t="shared" si="1357"/>
        <v>89301282</v>
      </c>
      <c r="F6126" t="str">
        <f>"6259240295"</f>
        <v>6259240295</v>
      </c>
      <c r="G6126" s="1">
        <v>44719</v>
      </c>
      <c r="H6126" t="str">
        <f>"94996"</f>
        <v>94996</v>
      </c>
      <c r="I6126">
        <v>1</v>
      </c>
      <c r="J6126">
        <v>0</v>
      </c>
      <c r="K6126">
        <v>0</v>
      </c>
      <c r="L6126">
        <v>0</v>
      </c>
    </row>
    <row r="6127" spans="1:12" x14ac:dyDescent="0.25">
      <c r="A6127" t="str">
        <f t="shared" si="1353"/>
        <v>89301000</v>
      </c>
      <c r="B6127" t="str">
        <f t="shared" ref="B6127:B6158" si="1358">"72100000"</f>
        <v>72100000</v>
      </c>
      <c r="C6127" t="str">
        <f t="shared" ref="C6127:C6158" si="1359">"72100632"</f>
        <v>72100632</v>
      </c>
      <c r="D6127" t="str">
        <f t="shared" si="1356"/>
        <v>816</v>
      </c>
      <c r="E6127" t="str">
        <f t="shared" si="1357"/>
        <v>89301282</v>
      </c>
      <c r="F6127" t="str">
        <f>"6252210624"</f>
        <v>6252210624</v>
      </c>
      <c r="G6127" s="1">
        <v>44684</v>
      </c>
      <c r="H6127" t="str">
        <f>"94983"</f>
        <v>94983</v>
      </c>
      <c r="I6127">
        <v>1</v>
      </c>
      <c r="J6127">
        <v>0</v>
      </c>
      <c r="K6127">
        <v>39600</v>
      </c>
      <c r="L6127">
        <v>39600</v>
      </c>
    </row>
    <row r="6128" spans="1:12" x14ac:dyDescent="0.25">
      <c r="A6128" t="str">
        <f t="shared" si="1353"/>
        <v>89301000</v>
      </c>
      <c r="B6128" t="str">
        <f t="shared" si="1358"/>
        <v>72100000</v>
      </c>
      <c r="C6128" t="str">
        <f t="shared" si="1359"/>
        <v>72100632</v>
      </c>
      <c r="D6128" t="str">
        <f t="shared" si="1356"/>
        <v>816</v>
      </c>
      <c r="E6128" t="str">
        <f t="shared" si="1357"/>
        <v>89301282</v>
      </c>
      <c r="F6128" t="str">
        <f>"6252210624"</f>
        <v>6252210624</v>
      </c>
      <c r="G6128" s="1">
        <v>44684</v>
      </c>
      <c r="H6128" t="str">
        <f>"94996"</f>
        <v>94996</v>
      </c>
      <c r="I6128">
        <v>1</v>
      </c>
      <c r="J6128">
        <v>0</v>
      </c>
      <c r="K6128">
        <v>0</v>
      </c>
      <c r="L6128">
        <v>0</v>
      </c>
    </row>
    <row r="6129" spans="1:12" x14ac:dyDescent="0.25">
      <c r="A6129" t="str">
        <f t="shared" si="1353"/>
        <v>89301000</v>
      </c>
      <c r="B6129" t="str">
        <f t="shared" si="1358"/>
        <v>72100000</v>
      </c>
      <c r="C6129" t="str">
        <f t="shared" si="1359"/>
        <v>72100632</v>
      </c>
      <c r="D6129" t="str">
        <f t="shared" si="1356"/>
        <v>816</v>
      </c>
      <c r="E6129" t="str">
        <f t="shared" ref="E6129:E6160" si="1360">"89301091"</f>
        <v>89301091</v>
      </c>
      <c r="F6129" t="str">
        <f>"2204250059"</f>
        <v>2204250059</v>
      </c>
      <c r="G6129" s="1">
        <v>44683</v>
      </c>
      <c r="H6129" t="str">
        <f t="shared" ref="H6129:H6160" si="1361">"94297"</f>
        <v>94297</v>
      </c>
      <c r="I6129">
        <v>1</v>
      </c>
      <c r="J6129">
        <v>298</v>
      </c>
      <c r="K6129">
        <v>0</v>
      </c>
      <c r="L6129">
        <v>366.54</v>
      </c>
    </row>
    <row r="6130" spans="1:12" x14ac:dyDescent="0.25">
      <c r="A6130" t="str">
        <f t="shared" si="1353"/>
        <v>89301000</v>
      </c>
      <c r="B6130" t="str">
        <f t="shared" si="1358"/>
        <v>72100000</v>
      </c>
      <c r="C6130" t="str">
        <f t="shared" si="1359"/>
        <v>72100632</v>
      </c>
      <c r="D6130" t="str">
        <f t="shared" si="1356"/>
        <v>816</v>
      </c>
      <c r="E6130" t="str">
        <f t="shared" si="1360"/>
        <v>89301091</v>
      </c>
      <c r="F6130" t="str">
        <f>"2254250581"</f>
        <v>2254250581</v>
      </c>
      <c r="G6130" s="1">
        <v>44683</v>
      </c>
      <c r="H6130" t="str">
        <f t="shared" si="1361"/>
        <v>94297</v>
      </c>
      <c r="I6130">
        <v>1</v>
      </c>
      <c r="J6130">
        <v>298</v>
      </c>
      <c r="K6130">
        <v>0</v>
      </c>
      <c r="L6130">
        <v>366.54</v>
      </c>
    </row>
    <row r="6131" spans="1:12" x14ac:dyDescent="0.25">
      <c r="A6131" t="str">
        <f t="shared" si="1353"/>
        <v>89301000</v>
      </c>
      <c r="B6131" t="str">
        <f t="shared" si="1358"/>
        <v>72100000</v>
      </c>
      <c r="C6131" t="str">
        <f t="shared" si="1359"/>
        <v>72100632</v>
      </c>
      <c r="D6131" t="str">
        <f t="shared" si="1356"/>
        <v>816</v>
      </c>
      <c r="E6131" t="str">
        <f t="shared" si="1360"/>
        <v>89301091</v>
      </c>
      <c r="F6131" t="str">
        <f>"2204250532"</f>
        <v>2204250532</v>
      </c>
      <c r="G6131" s="1">
        <v>44683</v>
      </c>
      <c r="H6131" t="str">
        <f t="shared" si="1361"/>
        <v>94297</v>
      </c>
      <c r="I6131">
        <v>1</v>
      </c>
      <c r="J6131">
        <v>298</v>
      </c>
      <c r="K6131">
        <v>0</v>
      </c>
      <c r="L6131">
        <v>366.54</v>
      </c>
    </row>
    <row r="6132" spans="1:12" x14ac:dyDescent="0.25">
      <c r="A6132" t="str">
        <f t="shared" si="1353"/>
        <v>89301000</v>
      </c>
      <c r="B6132" t="str">
        <f t="shared" si="1358"/>
        <v>72100000</v>
      </c>
      <c r="C6132" t="str">
        <f t="shared" si="1359"/>
        <v>72100632</v>
      </c>
      <c r="D6132" t="str">
        <f t="shared" si="1356"/>
        <v>816</v>
      </c>
      <c r="E6132" t="str">
        <f t="shared" si="1360"/>
        <v>89301091</v>
      </c>
      <c r="F6132" t="str">
        <f>"2254100354"</f>
        <v>2254100354</v>
      </c>
      <c r="G6132" s="1">
        <v>44683</v>
      </c>
      <c r="H6132" t="str">
        <f t="shared" si="1361"/>
        <v>94297</v>
      </c>
      <c r="I6132">
        <v>1</v>
      </c>
      <c r="J6132">
        <v>298</v>
      </c>
      <c r="K6132">
        <v>0</v>
      </c>
      <c r="L6132">
        <v>366.54</v>
      </c>
    </row>
    <row r="6133" spans="1:12" x14ac:dyDescent="0.25">
      <c r="A6133" t="str">
        <f t="shared" si="1353"/>
        <v>89301000</v>
      </c>
      <c r="B6133" t="str">
        <f t="shared" si="1358"/>
        <v>72100000</v>
      </c>
      <c r="C6133" t="str">
        <f t="shared" si="1359"/>
        <v>72100632</v>
      </c>
      <c r="D6133" t="str">
        <f t="shared" si="1356"/>
        <v>816</v>
      </c>
      <c r="E6133" t="str">
        <f t="shared" si="1360"/>
        <v>89301091</v>
      </c>
      <c r="F6133" t="str">
        <f>"2204260113"</f>
        <v>2204260113</v>
      </c>
      <c r="G6133" s="1">
        <v>44684</v>
      </c>
      <c r="H6133" t="str">
        <f t="shared" si="1361"/>
        <v>94297</v>
      </c>
      <c r="I6133">
        <v>1</v>
      </c>
      <c r="J6133">
        <v>298</v>
      </c>
      <c r="K6133">
        <v>0</v>
      </c>
      <c r="L6133">
        <v>366.54</v>
      </c>
    </row>
    <row r="6134" spans="1:12" x14ac:dyDescent="0.25">
      <c r="A6134" t="str">
        <f t="shared" si="1353"/>
        <v>89301000</v>
      </c>
      <c r="B6134" t="str">
        <f t="shared" si="1358"/>
        <v>72100000</v>
      </c>
      <c r="C6134" t="str">
        <f t="shared" si="1359"/>
        <v>72100632</v>
      </c>
      <c r="D6134" t="str">
        <f t="shared" si="1356"/>
        <v>816</v>
      </c>
      <c r="E6134" t="str">
        <f t="shared" si="1360"/>
        <v>89301091</v>
      </c>
      <c r="F6134" t="str">
        <f>"8559096205"</f>
        <v>8559096205</v>
      </c>
      <c r="G6134" s="1">
        <v>44685</v>
      </c>
      <c r="H6134" t="str">
        <f t="shared" si="1361"/>
        <v>94297</v>
      </c>
      <c r="I6134">
        <v>1</v>
      </c>
      <c r="J6134">
        <v>298</v>
      </c>
      <c r="K6134">
        <v>0</v>
      </c>
      <c r="L6134">
        <v>366.54</v>
      </c>
    </row>
    <row r="6135" spans="1:12" x14ac:dyDescent="0.25">
      <c r="A6135" t="str">
        <f t="shared" si="1353"/>
        <v>89301000</v>
      </c>
      <c r="B6135" t="str">
        <f t="shared" si="1358"/>
        <v>72100000</v>
      </c>
      <c r="C6135" t="str">
        <f t="shared" si="1359"/>
        <v>72100632</v>
      </c>
      <c r="D6135" t="str">
        <f t="shared" si="1356"/>
        <v>816</v>
      </c>
      <c r="E6135" t="str">
        <f t="shared" si="1360"/>
        <v>89301091</v>
      </c>
      <c r="F6135" t="str">
        <f>"2204270266"</f>
        <v>2204270266</v>
      </c>
      <c r="G6135" s="1">
        <v>44685</v>
      </c>
      <c r="H6135" t="str">
        <f t="shared" si="1361"/>
        <v>94297</v>
      </c>
      <c r="I6135">
        <v>1</v>
      </c>
      <c r="J6135">
        <v>298</v>
      </c>
      <c r="K6135">
        <v>0</v>
      </c>
      <c r="L6135">
        <v>366.54</v>
      </c>
    </row>
    <row r="6136" spans="1:12" x14ac:dyDescent="0.25">
      <c r="A6136" t="str">
        <f t="shared" si="1353"/>
        <v>89301000</v>
      </c>
      <c r="B6136" t="str">
        <f t="shared" si="1358"/>
        <v>72100000</v>
      </c>
      <c r="C6136" t="str">
        <f t="shared" si="1359"/>
        <v>72100632</v>
      </c>
      <c r="D6136" t="str">
        <f t="shared" si="1356"/>
        <v>816</v>
      </c>
      <c r="E6136" t="str">
        <f t="shared" si="1360"/>
        <v>89301091</v>
      </c>
      <c r="F6136" t="str">
        <f>"2204270101"</f>
        <v>2204270101</v>
      </c>
      <c r="G6136" s="1">
        <v>44685</v>
      </c>
      <c r="H6136" t="str">
        <f t="shared" si="1361"/>
        <v>94297</v>
      </c>
      <c r="I6136">
        <v>1</v>
      </c>
      <c r="J6136">
        <v>298</v>
      </c>
      <c r="K6136">
        <v>0</v>
      </c>
      <c r="L6136">
        <v>366.54</v>
      </c>
    </row>
    <row r="6137" spans="1:12" x14ac:dyDescent="0.25">
      <c r="A6137" t="str">
        <f t="shared" si="1353"/>
        <v>89301000</v>
      </c>
      <c r="B6137" t="str">
        <f t="shared" si="1358"/>
        <v>72100000</v>
      </c>
      <c r="C6137" t="str">
        <f t="shared" si="1359"/>
        <v>72100632</v>
      </c>
      <c r="D6137" t="str">
        <f t="shared" si="1356"/>
        <v>816</v>
      </c>
      <c r="E6137" t="str">
        <f t="shared" si="1360"/>
        <v>89301091</v>
      </c>
      <c r="F6137" t="str">
        <f>"2204270673"</f>
        <v>2204270673</v>
      </c>
      <c r="G6137" s="1">
        <v>44685</v>
      </c>
      <c r="H6137" t="str">
        <f t="shared" si="1361"/>
        <v>94297</v>
      </c>
      <c r="I6137">
        <v>1</v>
      </c>
      <c r="J6137">
        <v>298</v>
      </c>
      <c r="K6137">
        <v>0</v>
      </c>
      <c r="L6137">
        <v>366.54</v>
      </c>
    </row>
    <row r="6138" spans="1:12" x14ac:dyDescent="0.25">
      <c r="A6138" t="str">
        <f t="shared" si="1353"/>
        <v>89301000</v>
      </c>
      <c r="B6138" t="str">
        <f t="shared" si="1358"/>
        <v>72100000</v>
      </c>
      <c r="C6138" t="str">
        <f t="shared" si="1359"/>
        <v>72100632</v>
      </c>
      <c r="D6138" t="str">
        <f t="shared" si="1356"/>
        <v>816</v>
      </c>
      <c r="E6138" t="str">
        <f t="shared" si="1360"/>
        <v>89301091</v>
      </c>
      <c r="F6138" t="str">
        <f>"2204270717"</f>
        <v>2204270717</v>
      </c>
      <c r="G6138" s="1">
        <v>44685</v>
      </c>
      <c r="H6138" t="str">
        <f t="shared" si="1361"/>
        <v>94297</v>
      </c>
      <c r="I6138">
        <v>1</v>
      </c>
      <c r="J6138">
        <v>298</v>
      </c>
      <c r="K6138">
        <v>0</v>
      </c>
      <c r="L6138">
        <v>366.54</v>
      </c>
    </row>
    <row r="6139" spans="1:12" x14ac:dyDescent="0.25">
      <c r="A6139" t="str">
        <f t="shared" si="1353"/>
        <v>89301000</v>
      </c>
      <c r="B6139" t="str">
        <f t="shared" si="1358"/>
        <v>72100000</v>
      </c>
      <c r="C6139" t="str">
        <f t="shared" si="1359"/>
        <v>72100632</v>
      </c>
      <c r="D6139" t="str">
        <f t="shared" si="1356"/>
        <v>816</v>
      </c>
      <c r="E6139" t="str">
        <f t="shared" si="1360"/>
        <v>89301091</v>
      </c>
      <c r="F6139" t="str">
        <f>"2204270750"</f>
        <v>2204270750</v>
      </c>
      <c r="G6139" s="1">
        <v>44685</v>
      </c>
      <c r="H6139" t="str">
        <f t="shared" si="1361"/>
        <v>94297</v>
      </c>
      <c r="I6139">
        <v>1</v>
      </c>
      <c r="J6139">
        <v>298</v>
      </c>
      <c r="K6139">
        <v>0</v>
      </c>
      <c r="L6139">
        <v>366.54</v>
      </c>
    </row>
    <row r="6140" spans="1:12" x14ac:dyDescent="0.25">
      <c r="A6140" t="str">
        <f t="shared" si="1353"/>
        <v>89301000</v>
      </c>
      <c r="B6140" t="str">
        <f t="shared" si="1358"/>
        <v>72100000</v>
      </c>
      <c r="C6140" t="str">
        <f t="shared" si="1359"/>
        <v>72100632</v>
      </c>
      <c r="D6140" t="str">
        <f t="shared" si="1356"/>
        <v>816</v>
      </c>
      <c r="E6140" t="str">
        <f t="shared" si="1360"/>
        <v>89301091</v>
      </c>
      <c r="F6140" t="str">
        <f>"2204270772"</f>
        <v>2204270772</v>
      </c>
      <c r="G6140" s="1">
        <v>44685</v>
      </c>
      <c r="H6140" t="str">
        <f t="shared" si="1361"/>
        <v>94297</v>
      </c>
      <c r="I6140">
        <v>1</v>
      </c>
      <c r="J6140">
        <v>298</v>
      </c>
      <c r="K6140">
        <v>0</v>
      </c>
      <c r="L6140">
        <v>366.54</v>
      </c>
    </row>
    <row r="6141" spans="1:12" x14ac:dyDescent="0.25">
      <c r="A6141" t="str">
        <f t="shared" si="1353"/>
        <v>89301000</v>
      </c>
      <c r="B6141" t="str">
        <f t="shared" si="1358"/>
        <v>72100000</v>
      </c>
      <c r="C6141" t="str">
        <f t="shared" si="1359"/>
        <v>72100632</v>
      </c>
      <c r="D6141" t="str">
        <f t="shared" si="1356"/>
        <v>816</v>
      </c>
      <c r="E6141" t="str">
        <f t="shared" si="1360"/>
        <v>89301091</v>
      </c>
      <c r="F6141" t="str">
        <f>"2204280111"</f>
        <v>2204280111</v>
      </c>
      <c r="G6141" s="1">
        <v>44685</v>
      </c>
      <c r="H6141" t="str">
        <f t="shared" si="1361"/>
        <v>94297</v>
      </c>
      <c r="I6141">
        <v>1</v>
      </c>
      <c r="J6141">
        <v>298</v>
      </c>
      <c r="K6141">
        <v>0</v>
      </c>
      <c r="L6141">
        <v>366.54</v>
      </c>
    </row>
    <row r="6142" spans="1:12" x14ac:dyDescent="0.25">
      <c r="A6142" t="str">
        <f t="shared" si="1353"/>
        <v>89301000</v>
      </c>
      <c r="B6142" t="str">
        <f t="shared" si="1358"/>
        <v>72100000</v>
      </c>
      <c r="C6142" t="str">
        <f t="shared" si="1359"/>
        <v>72100632</v>
      </c>
      <c r="D6142" t="str">
        <f t="shared" si="1356"/>
        <v>816</v>
      </c>
      <c r="E6142" t="str">
        <f t="shared" si="1360"/>
        <v>89301091</v>
      </c>
      <c r="F6142" t="str">
        <f>"2204280595"</f>
        <v>2204280595</v>
      </c>
      <c r="G6142" s="1">
        <v>44685</v>
      </c>
      <c r="H6142" t="str">
        <f t="shared" si="1361"/>
        <v>94297</v>
      </c>
      <c r="I6142">
        <v>1</v>
      </c>
      <c r="J6142">
        <v>298</v>
      </c>
      <c r="K6142">
        <v>0</v>
      </c>
      <c r="L6142">
        <v>366.54</v>
      </c>
    </row>
    <row r="6143" spans="1:12" x14ac:dyDescent="0.25">
      <c r="A6143" t="str">
        <f t="shared" si="1353"/>
        <v>89301000</v>
      </c>
      <c r="B6143" t="str">
        <f t="shared" si="1358"/>
        <v>72100000</v>
      </c>
      <c r="C6143" t="str">
        <f t="shared" si="1359"/>
        <v>72100632</v>
      </c>
      <c r="D6143" t="str">
        <f t="shared" si="1356"/>
        <v>816</v>
      </c>
      <c r="E6143" t="str">
        <f t="shared" si="1360"/>
        <v>89301091</v>
      </c>
      <c r="F6143" t="str">
        <f>"2204280617"</f>
        <v>2204280617</v>
      </c>
      <c r="G6143" s="1">
        <v>44685</v>
      </c>
      <c r="H6143" t="str">
        <f t="shared" si="1361"/>
        <v>94297</v>
      </c>
      <c r="I6143">
        <v>1</v>
      </c>
      <c r="J6143">
        <v>298</v>
      </c>
      <c r="K6143">
        <v>0</v>
      </c>
      <c r="L6143">
        <v>366.54</v>
      </c>
    </row>
    <row r="6144" spans="1:12" x14ac:dyDescent="0.25">
      <c r="A6144" t="str">
        <f t="shared" si="1353"/>
        <v>89301000</v>
      </c>
      <c r="B6144" t="str">
        <f t="shared" si="1358"/>
        <v>72100000</v>
      </c>
      <c r="C6144" t="str">
        <f t="shared" si="1359"/>
        <v>72100632</v>
      </c>
      <c r="D6144" t="str">
        <f t="shared" si="1356"/>
        <v>816</v>
      </c>
      <c r="E6144" t="str">
        <f t="shared" si="1360"/>
        <v>89301091</v>
      </c>
      <c r="F6144" t="str">
        <f>"2204280628"</f>
        <v>2204280628</v>
      </c>
      <c r="G6144" s="1">
        <v>44685</v>
      </c>
      <c r="H6144" t="str">
        <f t="shared" si="1361"/>
        <v>94297</v>
      </c>
      <c r="I6144">
        <v>1</v>
      </c>
      <c r="J6144">
        <v>298</v>
      </c>
      <c r="K6144">
        <v>0</v>
      </c>
      <c r="L6144">
        <v>366.54</v>
      </c>
    </row>
    <row r="6145" spans="1:12" x14ac:dyDescent="0.25">
      <c r="A6145" t="str">
        <f t="shared" si="1353"/>
        <v>89301000</v>
      </c>
      <c r="B6145" t="str">
        <f t="shared" si="1358"/>
        <v>72100000</v>
      </c>
      <c r="C6145" t="str">
        <f t="shared" si="1359"/>
        <v>72100632</v>
      </c>
      <c r="D6145" t="str">
        <f t="shared" si="1356"/>
        <v>816</v>
      </c>
      <c r="E6145" t="str">
        <f t="shared" si="1360"/>
        <v>89301091</v>
      </c>
      <c r="F6145" t="str">
        <f>"8262175372"</f>
        <v>8262175372</v>
      </c>
      <c r="G6145" s="1">
        <v>44685</v>
      </c>
      <c r="H6145" t="str">
        <f t="shared" si="1361"/>
        <v>94297</v>
      </c>
      <c r="I6145">
        <v>1</v>
      </c>
      <c r="J6145">
        <v>298</v>
      </c>
      <c r="K6145">
        <v>0</v>
      </c>
      <c r="L6145">
        <v>366.54</v>
      </c>
    </row>
    <row r="6146" spans="1:12" x14ac:dyDescent="0.25">
      <c r="A6146" t="str">
        <f t="shared" ref="A6146:A6209" si="1362">"89301000"</f>
        <v>89301000</v>
      </c>
      <c r="B6146" t="str">
        <f t="shared" si="1358"/>
        <v>72100000</v>
      </c>
      <c r="C6146" t="str">
        <f t="shared" si="1359"/>
        <v>72100632</v>
      </c>
      <c r="D6146" t="str">
        <f t="shared" si="1356"/>
        <v>816</v>
      </c>
      <c r="E6146" t="str">
        <f t="shared" si="1360"/>
        <v>89301091</v>
      </c>
      <c r="F6146" t="str">
        <f>"9252045748"</f>
        <v>9252045748</v>
      </c>
      <c r="G6146" s="1">
        <v>44685</v>
      </c>
      <c r="H6146" t="str">
        <f t="shared" si="1361"/>
        <v>94297</v>
      </c>
      <c r="I6146">
        <v>1</v>
      </c>
      <c r="J6146">
        <v>298</v>
      </c>
      <c r="K6146">
        <v>0</v>
      </c>
      <c r="L6146">
        <v>366.54</v>
      </c>
    </row>
    <row r="6147" spans="1:12" x14ac:dyDescent="0.25">
      <c r="A6147" t="str">
        <f t="shared" si="1362"/>
        <v>89301000</v>
      </c>
      <c r="B6147" t="str">
        <f t="shared" si="1358"/>
        <v>72100000</v>
      </c>
      <c r="C6147" t="str">
        <f t="shared" si="1359"/>
        <v>72100632</v>
      </c>
      <c r="D6147" t="str">
        <f t="shared" si="1356"/>
        <v>816</v>
      </c>
      <c r="E6147" t="str">
        <f t="shared" si="1360"/>
        <v>89301091</v>
      </c>
      <c r="F6147" t="str">
        <f>"8753275784"</f>
        <v>8753275784</v>
      </c>
      <c r="G6147" s="1">
        <v>44685</v>
      </c>
      <c r="H6147" t="str">
        <f t="shared" si="1361"/>
        <v>94297</v>
      </c>
      <c r="I6147">
        <v>1</v>
      </c>
      <c r="J6147">
        <v>298</v>
      </c>
      <c r="K6147">
        <v>0</v>
      </c>
      <c r="L6147">
        <v>366.54</v>
      </c>
    </row>
    <row r="6148" spans="1:12" x14ac:dyDescent="0.25">
      <c r="A6148" t="str">
        <f t="shared" si="1362"/>
        <v>89301000</v>
      </c>
      <c r="B6148" t="str">
        <f t="shared" si="1358"/>
        <v>72100000</v>
      </c>
      <c r="C6148" t="str">
        <f t="shared" si="1359"/>
        <v>72100632</v>
      </c>
      <c r="D6148" t="str">
        <f t="shared" si="1356"/>
        <v>816</v>
      </c>
      <c r="E6148" t="str">
        <f t="shared" si="1360"/>
        <v>89301091</v>
      </c>
      <c r="F6148" t="str">
        <f>"2254300444"</f>
        <v>2254300444</v>
      </c>
      <c r="G6148" s="1">
        <v>44686</v>
      </c>
      <c r="H6148" t="str">
        <f t="shared" si="1361"/>
        <v>94297</v>
      </c>
      <c r="I6148">
        <v>1</v>
      </c>
      <c r="J6148">
        <v>298</v>
      </c>
      <c r="K6148">
        <v>0</v>
      </c>
      <c r="L6148">
        <v>366.54</v>
      </c>
    </row>
    <row r="6149" spans="1:12" x14ac:dyDescent="0.25">
      <c r="A6149" t="str">
        <f t="shared" si="1362"/>
        <v>89301000</v>
      </c>
      <c r="B6149" t="str">
        <f t="shared" si="1358"/>
        <v>72100000</v>
      </c>
      <c r="C6149" t="str">
        <f t="shared" si="1359"/>
        <v>72100632</v>
      </c>
      <c r="D6149" t="str">
        <f t="shared" ref="D6149:D6180" si="1363">"816"</f>
        <v>816</v>
      </c>
      <c r="E6149" t="str">
        <f t="shared" si="1360"/>
        <v>89301091</v>
      </c>
      <c r="F6149" t="str">
        <f>"2254300455"</f>
        <v>2254300455</v>
      </c>
      <c r="G6149" s="1">
        <v>44686</v>
      </c>
      <c r="H6149" t="str">
        <f t="shared" si="1361"/>
        <v>94297</v>
      </c>
      <c r="I6149">
        <v>1</v>
      </c>
      <c r="J6149">
        <v>298</v>
      </c>
      <c r="K6149">
        <v>0</v>
      </c>
      <c r="L6149">
        <v>366.54</v>
      </c>
    </row>
    <row r="6150" spans="1:12" x14ac:dyDescent="0.25">
      <c r="A6150" t="str">
        <f t="shared" si="1362"/>
        <v>89301000</v>
      </c>
      <c r="B6150" t="str">
        <f t="shared" si="1358"/>
        <v>72100000</v>
      </c>
      <c r="C6150" t="str">
        <f t="shared" si="1359"/>
        <v>72100632</v>
      </c>
      <c r="D6150" t="str">
        <f t="shared" si="1363"/>
        <v>816</v>
      </c>
      <c r="E6150" t="str">
        <f t="shared" si="1360"/>
        <v>89301091</v>
      </c>
      <c r="F6150" t="str">
        <f>"2205010368"</f>
        <v>2205010368</v>
      </c>
      <c r="G6150" s="1">
        <v>44687</v>
      </c>
      <c r="H6150" t="str">
        <f t="shared" si="1361"/>
        <v>94297</v>
      </c>
      <c r="I6150">
        <v>1</v>
      </c>
      <c r="J6150">
        <v>298</v>
      </c>
      <c r="K6150">
        <v>0</v>
      </c>
      <c r="L6150">
        <v>366.54</v>
      </c>
    </row>
    <row r="6151" spans="1:12" x14ac:dyDescent="0.25">
      <c r="A6151" t="str">
        <f t="shared" si="1362"/>
        <v>89301000</v>
      </c>
      <c r="B6151" t="str">
        <f t="shared" si="1358"/>
        <v>72100000</v>
      </c>
      <c r="C6151" t="str">
        <f t="shared" si="1359"/>
        <v>72100632</v>
      </c>
      <c r="D6151" t="str">
        <f t="shared" si="1363"/>
        <v>816</v>
      </c>
      <c r="E6151" t="str">
        <f t="shared" si="1360"/>
        <v>89301091</v>
      </c>
      <c r="F6151" t="str">
        <f>"2255010362"</f>
        <v>2255010362</v>
      </c>
      <c r="G6151" s="1">
        <v>44687</v>
      </c>
      <c r="H6151" t="str">
        <f t="shared" si="1361"/>
        <v>94297</v>
      </c>
      <c r="I6151">
        <v>1</v>
      </c>
      <c r="J6151">
        <v>298</v>
      </c>
      <c r="K6151">
        <v>0</v>
      </c>
      <c r="L6151">
        <v>366.54</v>
      </c>
    </row>
    <row r="6152" spans="1:12" x14ac:dyDescent="0.25">
      <c r="A6152" t="str">
        <f t="shared" si="1362"/>
        <v>89301000</v>
      </c>
      <c r="B6152" t="str">
        <f t="shared" si="1358"/>
        <v>72100000</v>
      </c>
      <c r="C6152" t="str">
        <f t="shared" si="1359"/>
        <v>72100632</v>
      </c>
      <c r="D6152" t="str">
        <f t="shared" si="1363"/>
        <v>816</v>
      </c>
      <c r="E6152" t="str">
        <f t="shared" si="1360"/>
        <v>89301091</v>
      </c>
      <c r="F6152" t="str">
        <f>"2255020064"</f>
        <v>2255020064</v>
      </c>
      <c r="G6152" s="1">
        <v>44690</v>
      </c>
      <c r="H6152" t="str">
        <f t="shared" si="1361"/>
        <v>94297</v>
      </c>
      <c r="I6152">
        <v>1</v>
      </c>
      <c r="J6152">
        <v>298</v>
      </c>
      <c r="K6152">
        <v>0</v>
      </c>
      <c r="L6152">
        <v>366.54</v>
      </c>
    </row>
    <row r="6153" spans="1:12" x14ac:dyDescent="0.25">
      <c r="A6153" t="str">
        <f t="shared" si="1362"/>
        <v>89301000</v>
      </c>
      <c r="B6153" t="str">
        <f t="shared" si="1358"/>
        <v>72100000</v>
      </c>
      <c r="C6153" t="str">
        <f t="shared" si="1359"/>
        <v>72100632</v>
      </c>
      <c r="D6153" t="str">
        <f t="shared" si="1363"/>
        <v>816</v>
      </c>
      <c r="E6153" t="str">
        <f t="shared" si="1360"/>
        <v>89301091</v>
      </c>
      <c r="F6153" t="str">
        <f>"2255020449"</f>
        <v>2255020449</v>
      </c>
      <c r="G6153" s="1">
        <v>44690</v>
      </c>
      <c r="H6153" t="str">
        <f t="shared" si="1361"/>
        <v>94297</v>
      </c>
      <c r="I6153">
        <v>1</v>
      </c>
      <c r="J6153">
        <v>298</v>
      </c>
      <c r="K6153">
        <v>0</v>
      </c>
      <c r="L6153">
        <v>366.54</v>
      </c>
    </row>
    <row r="6154" spans="1:12" x14ac:dyDescent="0.25">
      <c r="A6154" t="str">
        <f t="shared" si="1362"/>
        <v>89301000</v>
      </c>
      <c r="B6154" t="str">
        <f t="shared" si="1358"/>
        <v>72100000</v>
      </c>
      <c r="C6154" t="str">
        <f t="shared" si="1359"/>
        <v>72100632</v>
      </c>
      <c r="D6154" t="str">
        <f t="shared" si="1363"/>
        <v>816</v>
      </c>
      <c r="E6154" t="str">
        <f t="shared" si="1360"/>
        <v>89301091</v>
      </c>
      <c r="F6154" t="str">
        <f>"2205020719"</f>
        <v>2205020719</v>
      </c>
      <c r="G6154" s="1">
        <v>44690</v>
      </c>
      <c r="H6154" t="str">
        <f t="shared" si="1361"/>
        <v>94297</v>
      </c>
      <c r="I6154">
        <v>1</v>
      </c>
      <c r="J6154">
        <v>298</v>
      </c>
      <c r="K6154">
        <v>0</v>
      </c>
      <c r="L6154">
        <v>366.54</v>
      </c>
    </row>
    <row r="6155" spans="1:12" x14ac:dyDescent="0.25">
      <c r="A6155" t="str">
        <f t="shared" si="1362"/>
        <v>89301000</v>
      </c>
      <c r="B6155" t="str">
        <f t="shared" si="1358"/>
        <v>72100000</v>
      </c>
      <c r="C6155" t="str">
        <f t="shared" si="1359"/>
        <v>72100632</v>
      </c>
      <c r="D6155" t="str">
        <f t="shared" si="1363"/>
        <v>816</v>
      </c>
      <c r="E6155" t="str">
        <f t="shared" si="1360"/>
        <v>89301091</v>
      </c>
      <c r="F6155" t="str">
        <f>"9451284865"</f>
        <v>9451284865</v>
      </c>
      <c r="G6155" s="1">
        <v>44691</v>
      </c>
      <c r="H6155" t="str">
        <f t="shared" si="1361"/>
        <v>94297</v>
      </c>
      <c r="I6155">
        <v>1</v>
      </c>
      <c r="J6155">
        <v>298</v>
      </c>
      <c r="K6155">
        <v>0</v>
      </c>
      <c r="L6155">
        <v>366.54</v>
      </c>
    </row>
    <row r="6156" spans="1:12" x14ac:dyDescent="0.25">
      <c r="A6156" t="str">
        <f t="shared" si="1362"/>
        <v>89301000</v>
      </c>
      <c r="B6156" t="str">
        <f t="shared" si="1358"/>
        <v>72100000</v>
      </c>
      <c r="C6156" t="str">
        <f t="shared" si="1359"/>
        <v>72100632</v>
      </c>
      <c r="D6156" t="str">
        <f t="shared" si="1363"/>
        <v>816</v>
      </c>
      <c r="E6156" t="str">
        <f t="shared" si="1360"/>
        <v>89301091</v>
      </c>
      <c r="F6156" t="str">
        <f>"2255030635"</f>
        <v>2255030635</v>
      </c>
      <c r="G6156" s="1">
        <v>44691</v>
      </c>
      <c r="H6156" t="str">
        <f t="shared" si="1361"/>
        <v>94297</v>
      </c>
      <c r="I6156">
        <v>1</v>
      </c>
      <c r="J6156">
        <v>298</v>
      </c>
      <c r="K6156">
        <v>0</v>
      </c>
      <c r="L6156">
        <v>366.54</v>
      </c>
    </row>
    <row r="6157" spans="1:12" x14ac:dyDescent="0.25">
      <c r="A6157" t="str">
        <f t="shared" si="1362"/>
        <v>89301000</v>
      </c>
      <c r="B6157" t="str">
        <f t="shared" si="1358"/>
        <v>72100000</v>
      </c>
      <c r="C6157" t="str">
        <f t="shared" si="1359"/>
        <v>72100632</v>
      </c>
      <c r="D6157" t="str">
        <f t="shared" si="1363"/>
        <v>816</v>
      </c>
      <c r="E6157" t="str">
        <f t="shared" si="1360"/>
        <v>89301091</v>
      </c>
      <c r="F6157" t="str">
        <f>"2255040469"</f>
        <v>2255040469</v>
      </c>
      <c r="G6157" s="1">
        <v>44692</v>
      </c>
      <c r="H6157" t="str">
        <f t="shared" si="1361"/>
        <v>94297</v>
      </c>
      <c r="I6157">
        <v>1</v>
      </c>
      <c r="J6157">
        <v>298</v>
      </c>
      <c r="K6157">
        <v>0</v>
      </c>
      <c r="L6157">
        <v>366.54</v>
      </c>
    </row>
    <row r="6158" spans="1:12" x14ac:dyDescent="0.25">
      <c r="A6158" t="str">
        <f t="shared" si="1362"/>
        <v>89301000</v>
      </c>
      <c r="B6158" t="str">
        <f t="shared" si="1358"/>
        <v>72100000</v>
      </c>
      <c r="C6158" t="str">
        <f t="shared" si="1359"/>
        <v>72100632</v>
      </c>
      <c r="D6158" t="str">
        <f t="shared" si="1363"/>
        <v>816</v>
      </c>
      <c r="E6158" t="str">
        <f t="shared" si="1360"/>
        <v>89301091</v>
      </c>
      <c r="F6158" t="str">
        <f>"2255040491"</f>
        <v>2255040491</v>
      </c>
      <c r="G6158" s="1">
        <v>44692</v>
      </c>
      <c r="H6158" t="str">
        <f t="shared" si="1361"/>
        <v>94297</v>
      </c>
      <c r="I6158">
        <v>1</v>
      </c>
      <c r="J6158">
        <v>298</v>
      </c>
      <c r="K6158">
        <v>0</v>
      </c>
      <c r="L6158">
        <v>366.54</v>
      </c>
    </row>
    <row r="6159" spans="1:12" x14ac:dyDescent="0.25">
      <c r="A6159" t="str">
        <f t="shared" si="1362"/>
        <v>89301000</v>
      </c>
      <c r="B6159" t="str">
        <f t="shared" ref="B6159:B6190" si="1364">"72100000"</f>
        <v>72100000</v>
      </c>
      <c r="C6159" t="str">
        <f t="shared" ref="C6159:C6190" si="1365">"72100632"</f>
        <v>72100632</v>
      </c>
      <c r="D6159" t="str">
        <f t="shared" si="1363"/>
        <v>816</v>
      </c>
      <c r="E6159" t="str">
        <f t="shared" si="1360"/>
        <v>89301091</v>
      </c>
      <c r="F6159" t="str">
        <f>"2205040541"</f>
        <v>2205040541</v>
      </c>
      <c r="G6159" s="1">
        <v>44692</v>
      </c>
      <c r="H6159" t="str">
        <f t="shared" si="1361"/>
        <v>94297</v>
      </c>
      <c r="I6159">
        <v>1</v>
      </c>
      <c r="J6159">
        <v>298</v>
      </c>
      <c r="K6159">
        <v>0</v>
      </c>
      <c r="L6159">
        <v>366.54</v>
      </c>
    </row>
    <row r="6160" spans="1:12" x14ac:dyDescent="0.25">
      <c r="A6160" t="str">
        <f t="shared" si="1362"/>
        <v>89301000</v>
      </c>
      <c r="B6160" t="str">
        <f t="shared" si="1364"/>
        <v>72100000</v>
      </c>
      <c r="C6160" t="str">
        <f t="shared" si="1365"/>
        <v>72100632</v>
      </c>
      <c r="D6160" t="str">
        <f t="shared" si="1363"/>
        <v>816</v>
      </c>
      <c r="E6160" t="str">
        <f t="shared" si="1360"/>
        <v>89301091</v>
      </c>
      <c r="F6160" t="str">
        <f>"2255040535"</f>
        <v>2255040535</v>
      </c>
      <c r="G6160" s="1">
        <v>44692</v>
      </c>
      <c r="H6160" t="str">
        <f t="shared" si="1361"/>
        <v>94297</v>
      </c>
      <c r="I6160">
        <v>1</v>
      </c>
      <c r="J6160">
        <v>298</v>
      </c>
      <c r="K6160">
        <v>0</v>
      </c>
      <c r="L6160">
        <v>366.54</v>
      </c>
    </row>
    <row r="6161" spans="1:12" x14ac:dyDescent="0.25">
      <c r="A6161" t="str">
        <f t="shared" si="1362"/>
        <v>89301000</v>
      </c>
      <c r="B6161" t="str">
        <f t="shared" si="1364"/>
        <v>72100000</v>
      </c>
      <c r="C6161" t="str">
        <f t="shared" si="1365"/>
        <v>72100632</v>
      </c>
      <c r="D6161" t="str">
        <f t="shared" si="1363"/>
        <v>816</v>
      </c>
      <c r="E6161" t="str">
        <f t="shared" ref="E6161:E6192" si="1366">"89301091"</f>
        <v>89301091</v>
      </c>
      <c r="F6161" t="str">
        <f>"2205040563"</f>
        <v>2205040563</v>
      </c>
      <c r="G6161" s="1">
        <v>44692</v>
      </c>
      <c r="H6161" t="str">
        <f t="shared" ref="H6161:H6192" si="1367">"94297"</f>
        <v>94297</v>
      </c>
      <c r="I6161">
        <v>1</v>
      </c>
      <c r="J6161">
        <v>298</v>
      </c>
      <c r="K6161">
        <v>0</v>
      </c>
      <c r="L6161">
        <v>366.54</v>
      </c>
    </row>
    <row r="6162" spans="1:12" x14ac:dyDescent="0.25">
      <c r="A6162" t="str">
        <f t="shared" si="1362"/>
        <v>89301000</v>
      </c>
      <c r="B6162" t="str">
        <f t="shared" si="1364"/>
        <v>72100000</v>
      </c>
      <c r="C6162" t="str">
        <f t="shared" si="1365"/>
        <v>72100632</v>
      </c>
      <c r="D6162" t="str">
        <f t="shared" si="1363"/>
        <v>816</v>
      </c>
      <c r="E6162" t="str">
        <f t="shared" si="1366"/>
        <v>89301091</v>
      </c>
      <c r="F6162" t="str">
        <f>"2205050133"</f>
        <v>2205050133</v>
      </c>
      <c r="G6162" s="1">
        <v>44692</v>
      </c>
      <c r="H6162" t="str">
        <f t="shared" si="1367"/>
        <v>94297</v>
      </c>
      <c r="I6162">
        <v>1</v>
      </c>
      <c r="J6162">
        <v>298</v>
      </c>
      <c r="K6162">
        <v>0</v>
      </c>
      <c r="L6162">
        <v>366.54</v>
      </c>
    </row>
    <row r="6163" spans="1:12" x14ac:dyDescent="0.25">
      <c r="A6163" t="str">
        <f t="shared" si="1362"/>
        <v>89301000</v>
      </c>
      <c r="B6163" t="str">
        <f t="shared" si="1364"/>
        <v>72100000</v>
      </c>
      <c r="C6163" t="str">
        <f t="shared" si="1365"/>
        <v>72100632</v>
      </c>
      <c r="D6163" t="str">
        <f t="shared" si="1363"/>
        <v>816</v>
      </c>
      <c r="E6163" t="str">
        <f t="shared" si="1366"/>
        <v>89301091</v>
      </c>
      <c r="F6163" t="str">
        <f>"9157194123"</f>
        <v>9157194123</v>
      </c>
      <c r="G6163" s="1">
        <v>44692</v>
      </c>
      <c r="H6163" t="str">
        <f t="shared" si="1367"/>
        <v>94297</v>
      </c>
      <c r="I6163">
        <v>1</v>
      </c>
      <c r="J6163">
        <v>298</v>
      </c>
      <c r="K6163">
        <v>0</v>
      </c>
      <c r="L6163">
        <v>366.54</v>
      </c>
    </row>
    <row r="6164" spans="1:12" x14ac:dyDescent="0.25">
      <c r="A6164" t="str">
        <f t="shared" si="1362"/>
        <v>89301000</v>
      </c>
      <c r="B6164" t="str">
        <f t="shared" si="1364"/>
        <v>72100000</v>
      </c>
      <c r="C6164" t="str">
        <f t="shared" si="1365"/>
        <v>72100632</v>
      </c>
      <c r="D6164" t="str">
        <f t="shared" si="1363"/>
        <v>816</v>
      </c>
      <c r="E6164" t="str">
        <f t="shared" si="1366"/>
        <v>89301091</v>
      </c>
      <c r="F6164" t="str">
        <f>"0052285706"</f>
        <v>0052285706</v>
      </c>
      <c r="G6164" s="1">
        <v>44692</v>
      </c>
      <c r="H6164" t="str">
        <f t="shared" si="1367"/>
        <v>94297</v>
      </c>
      <c r="I6164">
        <v>1</v>
      </c>
      <c r="J6164">
        <v>298</v>
      </c>
      <c r="K6164">
        <v>0</v>
      </c>
      <c r="L6164">
        <v>366.54</v>
      </c>
    </row>
    <row r="6165" spans="1:12" x14ac:dyDescent="0.25">
      <c r="A6165" t="str">
        <f t="shared" si="1362"/>
        <v>89301000</v>
      </c>
      <c r="B6165" t="str">
        <f t="shared" si="1364"/>
        <v>72100000</v>
      </c>
      <c r="C6165" t="str">
        <f t="shared" si="1365"/>
        <v>72100632</v>
      </c>
      <c r="D6165" t="str">
        <f t="shared" si="1363"/>
        <v>816</v>
      </c>
      <c r="E6165" t="str">
        <f t="shared" si="1366"/>
        <v>89301091</v>
      </c>
      <c r="F6165" t="str">
        <f>"9962285718"</f>
        <v>9962285718</v>
      </c>
      <c r="G6165" s="1">
        <v>44692</v>
      </c>
      <c r="H6165" t="str">
        <f t="shared" si="1367"/>
        <v>94297</v>
      </c>
      <c r="I6165">
        <v>1</v>
      </c>
      <c r="J6165">
        <v>298</v>
      </c>
      <c r="K6165">
        <v>0</v>
      </c>
      <c r="L6165">
        <v>366.54</v>
      </c>
    </row>
    <row r="6166" spans="1:12" x14ac:dyDescent="0.25">
      <c r="A6166" t="str">
        <f t="shared" si="1362"/>
        <v>89301000</v>
      </c>
      <c r="B6166" t="str">
        <f t="shared" si="1364"/>
        <v>72100000</v>
      </c>
      <c r="C6166" t="str">
        <f t="shared" si="1365"/>
        <v>72100632</v>
      </c>
      <c r="D6166" t="str">
        <f t="shared" si="1363"/>
        <v>816</v>
      </c>
      <c r="E6166" t="str">
        <f t="shared" si="1366"/>
        <v>89301091</v>
      </c>
      <c r="F6166" t="str">
        <f>"8752036238"</f>
        <v>8752036238</v>
      </c>
      <c r="G6166" s="1">
        <v>44692</v>
      </c>
      <c r="H6166" t="str">
        <f t="shared" si="1367"/>
        <v>94297</v>
      </c>
      <c r="I6166">
        <v>1</v>
      </c>
      <c r="J6166">
        <v>298</v>
      </c>
      <c r="K6166">
        <v>0</v>
      </c>
      <c r="L6166">
        <v>366.54</v>
      </c>
    </row>
    <row r="6167" spans="1:12" x14ac:dyDescent="0.25">
      <c r="A6167" t="str">
        <f t="shared" si="1362"/>
        <v>89301000</v>
      </c>
      <c r="B6167" t="str">
        <f t="shared" si="1364"/>
        <v>72100000</v>
      </c>
      <c r="C6167" t="str">
        <f t="shared" si="1365"/>
        <v>72100632</v>
      </c>
      <c r="D6167" t="str">
        <f t="shared" si="1363"/>
        <v>816</v>
      </c>
      <c r="E6167" t="str">
        <f t="shared" si="1366"/>
        <v>89301091</v>
      </c>
      <c r="F6167" t="str">
        <f>"2255070345"</f>
        <v>2255070345</v>
      </c>
      <c r="G6167" s="1">
        <v>44693</v>
      </c>
      <c r="H6167" t="str">
        <f t="shared" si="1367"/>
        <v>94297</v>
      </c>
      <c r="I6167">
        <v>1</v>
      </c>
      <c r="J6167">
        <v>298</v>
      </c>
      <c r="K6167">
        <v>0</v>
      </c>
      <c r="L6167">
        <v>366.54</v>
      </c>
    </row>
    <row r="6168" spans="1:12" x14ac:dyDescent="0.25">
      <c r="A6168" t="str">
        <f t="shared" si="1362"/>
        <v>89301000</v>
      </c>
      <c r="B6168" t="str">
        <f t="shared" si="1364"/>
        <v>72100000</v>
      </c>
      <c r="C6168" t="str">
        <f t="shared" si="1365"/>
        <v>72100632</v>
      </c>
      <c r="D6168" t="str">
        <f t="shared" si="1363"/>
        <v>816</v>
      </c>
      <c r="E6168" t="str">
        <f t="shared" si="1366"/>
        <v>89301091</v>
      </c>
      <c r="F6168" t="str">
        <f>"9856175714"</f>
        <v>9856175714</v>
      </c>
      <c r="G6168" s="1">
        <v>44694</v>
      </c>
      <c r="H6168" t="str">
        <f t="shared" si="1367"/>
        <v>94297</v>
      </c>
      <c r="I6168">
        <v>1</v>
      </c>
      <c r="J6168">
        <v>298</v>
      </c>
      <c r="K6168">
        <v>0</v>
      </c>
      <c r="L6168">
        <v>366.54</v>
      </c>
    </row>
    <row r="6169" spans="1:12" x14ac:dyDescent="0.25">
      <c r="A6169" t="str">
        <f t="shared" si="1362"/>
        <v>89301000</v>
      </c>
      <c r="B6169" t="str">
        <f t="shared" si="1364"/>
        <v>72100000</v>
      </c>
      <c r="C6169" t="str">
        <f t="shared" si="1365"/>
        <v>72100632</v>
      </c>
      <c r="D6169" t="str">
        <f t="shared" si="1363"/>
        <v>816</v>
      </c>
      <c r="E6169" t="str">
        <f t="shared" si="1366"/>
        <v>89301091</v>
      </c>
      <c r="F6169" t="str">
        <f>"2255080311"</f>
        <v>2255080311</v>
      </c>
      <c r="G6169" s="1">
        <v>44694</v>
      </c>
      <c r="H6169" t="str">
        <f t="shared" si="1367"/>
        <v>94297</v>
      </c>
      <c r="I6169">
        <v>1</v>
      </c>
      <c r="J6169">
        <v>298</v>
      </c>
      <c r="K6169">
        <v>0</v>
      </c>
      <c r="L6169">
        <v>366.54</v>
      </c>
    </row>
    <row r="6170" spans="1:12" x14ac:dyDescent="0.25">
      <c r="A6170" t="str">
        <f t="shared" si="1362"/>
        <v>89301000</v>
      </c>
      <c r="B6170" t="str">
        <f t="shared" si="1364"/>
        <v>72100000</v>
      </c>
      <c r="C6170" t="str">
        <f t="shared" si="1365"/>
        <v>72100632</v>
      </c>
      <c r="D6170" t="str">
        <f t="shared" si="1363"/>
        <v>816</v>
      </c>
      <c r="E6170" t="str">
        <f t="shared" si="1366"/>
        <v>89301091</v>
      </c>
      <c r="F6170" t="str">
        <f>"2205080339"</f>
        <v>2205080339</v>
      </c>
      <c r="G6170" s="1">
        <v>44694</v>
      </c>
      <c r="H6170" t="str">
        <f t="shared" si="1367"/>
        <v>94297</v>
      </c>
      <c r="I6170">
        <v>1</v>
      </c>
      <c r="J6170">
        <v>298</v>
      </c>
      <c r="K6170">
        <v>0</v>
      </c>
      <c r="L6170">
        <v>366.54</v>
      </c>
    </row>
    <row r="6171" spans="1:12" x14ac:dyDescent="0.25">
      <c r="A6171" t="str">
        <f t="shared" si="1362"/>
        <v>89301000</v>
      </c>
      <c r="B6171" t="str">
        <f t="shared" si="1364"/>
        <v>72100000</v>
      </c>
      <c r="C6171" t="str">
        <f t="shared" si="1365"/>
        <v>72100632</v>
      </c>
      <c r="D6171" t="str">
        <f t="shared" si="1363"/>
        <v>816</v>
      </c>
      <c r="E6171" t="str">
        <f t="shared" si="1366"/>
        <v>89301091</v>
      </c>
      <c r="F6171" t="str">
        <f>"2255090706"</f>
        <v>2255090706</v>
      </c>
      <c r="G6171" s="1">
        <v>44697</v>
      </c>
      <c r="H6171" t="str">
        <f t="shared" si="1367"/>
        <v>94297</v>
      </c>
      <c r="I6171">
        <v>1</v>
      </c>
      <c r="J6171">
        <v>298</v>
      </c>
      <c r="K6171">
        <v>0</v>
      </c>
      <c r="L6171">
        <v>366.54</v>
      </c>
    </row>
    <row r="6172" spans="1:12" x14ac:dyDescent="0.25">
      <c r="A6172" t="str">
        <f t="shared" si="1362"/>
        <v>89301000</v>
      </c>
      <c r="B6172" t="str">
        <f t="shared" si="1364"/>
        <v>72100000</v>
      </c>
      <c r="C6172" t="str">
        <f t="shared" si="1365"/>
        <v>72100632</v>
      </c>
      <c r="D6172" t="str">
        <f t="shared" si="1363"/>
        <v>816</v>
      </c>
      <c r="E6172" t="str">
        <f t="shared" si="1366"/>
        <v>89301091</v>
      </c>
      <c r="F6172" t="str">
        <f>"2205090646"</f>
        <v>2205090646</v>
      </c>
      <c r="G6172" s="1">
        <v>44697</v>
      </c>
      <c r="H6172" t="str">
        <f t="shared" si="1367"/>
        <v>94297</v>
      </c>
      <c r="I6172">
        <v>1</v>
      </c>
      <c r="J6172">
        <v>298</v>
      </c>
      <c r="K6172">
        <v>0</v>
      </c>
      <c r="L6172">
        <v>366.54</v>
      </c>
    </row>
    <row r="6173" spans="1:12" x14ac:dyDescent="0.25">
      <c r="A6173" t="str">
        <f t="shared" si="1362"/>
        <v>89301000</v>
      </c>
      <c r="B6173" t="str">
        <f t="shared" si="1364"/>
        <v>72100000</v>
      </c>
      <c r="C6173" t="str">
        <f t="shared" si="1365"/>
        <v>72100632</v>
      </c>
      <c r="D6173" t="str">
        <f t="shared" si="1363"/>
        <v>816</v>
      </c>
      <c r="E6173" t="str">
        <f t="shared" si="1366"/>
        <v>89301091</v>
      </c>
      <c r="F6173" t="str">
        <f>"8754125765"</f>
        <v>8754125765</v>
      </c>
      <c r="G6173" s="1">
        <v>44698</v>
      </c>
      <c r="H6173" t="str">
        <f t="shared" si="1367"/>
        <v>94297</v>
      </c>
      <c r="I6173">
        <v>1</v>
      </c>
      <c r="J6173">
        <v>298</v>
      </c>
      <c r="K6173">
        <v>0</v>
      </c>
      <c r="L6173">
        <v>366.54</v>
      </c>
    </row>
    <row r="6174" spans="1:12" x14ac:dyDescent="0.25">
      <c r="A6174" t="str">
        <f t="shared" si="1362"/>
        <v>89301000</v>
      </c>
      <c r="B6174" t="str">
        <f t="shared" si="1364"/>
        <v>72100000</v>
      </c>
      <c r="C6174" t="str">
        <f t="shared" si="1365"/>
        <v>72100632</v>
      </c>
      <c r="D6174" t="str">
        <f t="shared" si="1363"/>
        <v>816</v>
      </c>
      <c r="E6174" t="str">
        <f t="shared" si="1366"/>
        <v>89301091</v>
      </c>
      <c r="F6174" t="str">
        <f>"8255273488"</f>
        <v>8255273488</v>
      </c>
      <c r="G6174" s="1">
        <v>44699</v>
      </c>
      <c r="H6174" t="str">
        <f t="shared" si="1367"/>
        <v>94297</v>
      </c>
      <c r="I6174">
        <v>1</v>
      </c>
      <c r="J6174">
        <v>298</v>
      </c>
      <c r="K6174">
        <v>0</v>
      </c>
      <c r="L6174">
        <v>366.54</v>
      </c>
    </row>
    <row r="6175" spans="1:12" x14ac:dyDescent="0.25">
      <c r="A6175" t="str">
        <f t="shared" si="1362"/>
        <v>89301000</v>
      </c>
      <c r="B6175" t="str">
        <f t="shared" si="1364"/>
        <v>72100000</v>
      </c>
      <c r="C6175" t="str">
        <f t="shared" si="1365"/>
        <v>72100632</v>
      </c>
      <c r="D6175" t="str">
        <f t="shared" si="1363"/>
        <v>816</v>
      </c>
      <c r="E6175" t="str">
        <f t="shared" si="1366"/>
        <v>89301091</v>
      </c>
      <c r="F6175" t="str">
        <f>"2255120065"</f>
        <v>2255120065</v>
      </c>
      <c r="G6175" s="1">
        <v>44699</v>
      </c>
      <c r="H6175" t="str">
        <f t="shared" si="1367"/>
        <v>94297</v>
      </c>
      <c r="I6175">
        <v>1</v>
      </c>
      <c r="J6175">
        <v>298</v>
      </c>
      <c r="K6175">
        <v>0</v>
      </c>
      <c r="L6175">
        <v>366.54</v>
      </c>
    </row>
    <row r="6176" spans="1:12" x14ac:dyDescent="0.25">
      <c r="A6176" t="str">
        <f t="shared" si="1362"/>
        <v>89301000</v>
      </c>
      <c r="B6176" t="str">
        <f t="shared" si="1364"/>
        <v>72100000</v>
      </c>
      <c r="C6176" t="str">
        <f t="shared" si="1365"/>
        <v>72100632</v>
      </c>
      <c r="D6176" t="str">
        <f t="shared" si="1363"/>
        <v>816</v>
      </c>
      <c r="E6176" t="str">
        <f t="shared" si="1366"/>
        <v>89301091</v>
      </c>
      <c r="F6176" t="str">
        <f>"2255130086"</f>
        <v>2255130086</v>
      </c>
      <c r="G6176" s="1">
        <v>44699</v>
      </c>
      <c r="H6176" t="str">
        <f t="shared" si="1367"/>
        <v>94297</v>
      </c>
      <c r="I6176">
        <v>1</v>
      </c>
      <c r="J6176">
        <v>298</v>
      </c>
      <c r="K6176">
        <v>0</v>
      </c>
      <c r="L6176">
        <v>366.54</v>
      </c>
    </row>
    <row r="6177" spans="1:12" x14ac:dyDescent="0.25">
      <c r="A6177" t="str">
        <f t="shared" si="1362"/>
        <v>89301000</v>
      </c>
      <c r="B6177" t="str">
        <f t="shared" si="1364"/>
        <v>72100000</v>
      </c>
      <c r="C6177" t="str">
        <f t="shared" si="1365"/>
        <v>72100632</v>
      </c>
      <c r="D6177" t="str">
        <f t="shared" si="1363"/>
        <v>816</v>
      </c>
      <c r="E6177" t="str">
        <f t="shared" si="1366"/>
        <v>89301091</v>
      </c>
      <c r="F6177" t="str">
        <f>"9357215703"</f>
        <v>9357215703</v>
      </c>
      <c r="G6177" s="1">
        <v>44699</v>
      </c>
      <c r="H6177" t="str">
        <f t="shared" si="1367"/>
        <v>94297</v>
      </c>
      <c r="I6177">
        <v>1</v>
      </c>
      <c r="J6177">
        <v>298</v>
      </c>
      <c r="K6177">
        <v>0</v>
      </c>
      <c r="L6177">
        <v>366.54</v>
      </c>
    </row>
    <row r="6178" spans="1:12" x14ac:dyDescent="0.25">
      <c r="A6178" t="str">
        <f t="shared" si="1362"/>
        <v>89301000</v>
      </c>
      <c r="B6178" t="str">
        <f t="shared" si="1364"/>
        <v>72100000</v>
      </c>
      <c r="C6178" t="str">
        <f t="shared" si="1365"/>
        <v>72100632</v>
      </c>
      <c r="D6178" t="str">
        <f t="shared" si="1363"/>
        <v>816</v>
      </c>
      <c r="E6178" t="str">
        <f t="shared" si="1366"/>
        <v>89301091</v>
      </c>
      <c r="F6178" t="str">
        <f>"8554275774"</f>
        <v>8554275774</v>
      </c>
      <c r="G6178" s="1">
        <v>44699</v>
      </c>
      <c r="H6178" t="str">
        <f t="shared" si="1367"/>
        <v>94297</v>
      </c>
      <c r="I6178">
        <v>1</v>
      </c>
      <c r="J6178">
        <v>298</v>
      </c>
      <c r="K6178">
        <v>0</v>
      </c>
      <c r="L6178">
        <v>366.54</v>
      </c>
    </row>
    <row r="6179" spans="1:12" x14ac:dyDescent="0.25">
      <c r="A6179" t="str">
        <f t="shared" si="1362"/>
        <v>89301000</v>
      </c>
      <c r="B6179" t="str">
        <f t="shared" si="1364"/>
        <v>72100000</v>
      </c>
      <c r="C6179" t="str">
        <f t="shared" si="1365"/>
        <v>72100632</v>
      </c>
      <c r="D6179" t="str">
        <f t="shared" si="1363"/>
        <v>816</v>
      </c>
      <c r="E6179" t="str">
        <f t="shared" si="1366"/>
        <v>89301091</v>
      </c>
      <c r="F6179" t="str">
        <f>"9351035738"</f>
        <v>9351035738</v>
      </c>
      <c r="G6179" s="1">
        <v>44699</v>
      </c>
      <c r="H6179" t="str">
        <f t="shared" si="1367"/>
        <v>94297</v>
      </c>
      <c r="I6179">
        <v>1</v>
      </c>
      <c r="J6179">
        <v>298</v>
      </c>
      <c r="K6179">
        <v>0</v>
      </c>
      <c r="L6179">
        <v>366.54</v>
      </c>
    </row>
    <row r="6180" spans="1:12" x14ac:dyDescent="0.25">
      <c r="A6180" t="str">
        <f t="shared" si="1362"/>
        <v>89301000</v>
      </c>
      <c r="B6180" t="str">
        <f t="shared" si="1364"/>
        <v>72100000</v>
      </c>
      <c r="C6180" t="str">
        <f t="shared" si="1365"/>
        <v>72100632</v>
      </c>
      <c r="D6180" t="str">
        <f t="shared" si="1363"/>
        <v>816</v>
      </c>
      <c r="E6180" t="str">
        <f t="shared" si="1366"/>
        <v>89301091</v>
      </c>
      <c r="F6180" t="str">
        <f>"9852185827"</f>
        <v>9852185827</v>
      </c>
      <c r="G6180" s="1">
        <v>44699</v>
      </c>
      <c r="H6180" t="str">
        <f t="shared" si="1367"/>
        <v>94297</v>
      </c>
      <c r="I6180">
        <v>1</v>
      </c>
      <c r="J6180">
        <v>298</v>
      </c>
      <c r="K6180">
        <v>0</v>
      </c>
      <c r="L6180">
        <v>366.54</v>
      </c>
    </row>
    <row r="6181" spans="1:12" x14ac:dyDescent="0.25">
      <c r="A6181" t="str">
        <f t="shared" si="1362"/>
        <v>89301000</v>
      </c>
      <c r="B6181" t="str">
        <f t="shared" si="1364"/>
        <v>72100000</v>
      </c>
      <c r="C6181" t="str">
        <f t="shared" si="1365"/>
        <v>72100632</v>
      </c>
      <c r="D6181" t="str">
        <f t="shared" ref="D6181:D6212" si="1368">"816"</f>
        <v>816</v>
      </c>
      <c r="E6181" t="str">
        <f t="shared" si="1366"/>
        <v>89301091</v>
      </c>
      <c r="F6181" t="str">
        <f>"2255140327"</f>
        <v>2255140327</v>
      </c>
      <c r="G6181" s="1">
        <v>44700</v>
      </c>
      <c r="H6181" t="str">
        <f t="shared" si="1367"/>
        <v>94297</v>
      </c>
      <c r="I6181">
        <v>1</v>
      </c>
      <c r="J6181">
        <v>298</v>
      </c>
      <c r="K6181">
        <v>0</v>
      </c>
      <c r="L6181">
        <v>366.54</v>
      </c>
    </row>
    <row r="6182" spans="1:12" x14ac:dyDescent="0.25">
      <c r="A6182" t="str">
        <f t="shared" si="1362"/>
        <v>89301000</v>
      </c>
      <c r="B6182" t="str">
        <f t="shared" si="1364"/>
        <v>72100000</v>
      </c>
      <c r="C6182" t="str">
        <f t="shared" si="1365"/>
        <v>72100632</v>
      </c>
      <c r="D6182" t="str">
        <f t="shared" si="1368"/>
        <v>816</v>
      </c>
      <c r="E6182" t="str">
        <f t="shared" si="1366"/>
        <v>89301091</v>
      </c>
      <c r="F6182" t="str">
        <f>"9656215811"</f>
        <v>9656215811</v>
      </c>
      <c r="G6182" s="1">
        <v>44701</v>
      </c>
      <c r="H6182" t="str">
        <f t="shared" si="1367"/>
        <v>94297</v>
      </c>
      <c r="I6182">
        <v>1</v>
      </c>
      <c r="J6182">
        <v>298</v>
      </c>
      <c r="K6182">
        <v>0</v>
      </c>
      <c r="L6182">
        <v>366.54</v>
      </c>
    </row>
    <row r="6183" spans="1:12" x14ac:dyDescent="0.25">
      <c r="A6183" t="str">
        <f t="shared" si="1362"/>
        <v>89301000</v>
      </c>
      <c r="B6183" t="str">
        <f t="shared" si="1364"/>
        <v>72100000</v>
      </c>
      <c r="C6183" t="str">
        <f t="shared" si="1365"/>
        <v>72100632</v>
      </c>
      <c r="D6183" t="str">
        <f t="shared" si="1368"/>
        <v>816</v>
      </c>
      <c r="E6183" t="str">
        <f t="shared" si="1366"/>
        <v>89301091</v>
      </c>
      <c r="F6183" t="str">
        <f>"2205150299"</f>
        <v>2205150299</v>
      </c>
      <c r="G6183" s="1">
        <v>44701</v>
      </c>
      <c r="H6183" t="str">
        <f t="shared" si="1367"/>
        <v>94297</v>
      </c>
      <c r="I6183">
        <v>1</v>
      </c>
      <c r="J6183">
        <v>298</v>
      </c>
      <c r="K6183">
        <v>0</v>
      </c>
      <c r="L6183">
        <v>366.54</v>
      </c>
    </row>
    <row r="6184" spans="1:12" x14ac:dyDescent="0.25">
      <c r="A6184" t="str">
        <f t="shared" si="1362"/>
        <v>89301000</v>
      </c>
      <c r="B6184" t="str">
        <f t="shared" si="1364"/>
        <v>72100000</v>
      </c>
      <c r="C6184" t="str">
        <f t="shared" si="1365"/>
        <v>72100632</v>
      </c>
      <c r="D6184" t="str">
        <f t="shared" si="1368"/>
        <v>816</v>
      </c>
      <c r="E6184" t="str">
        <f t="shared" si="1366"/>
        <v>89301091</v>
      </c>
      <c r="F6184" t="str">
        <f>"2255160083"</f>
        <v>2255160083</v>
      </c>
      <c r="G6184" s="1">
        <v>44704</v>
      </c>
      <c r="H6184" t="str">
        <f t="shared" si="1367"/>
        <v>94297</v>
      </c>
      <c r="I6184">
        <v>1</v>
      </c>
      <c r="J6184">
        <v>298</v>
      </c>
      <c r="K6184">
        <v>0</v>
      </c>
      <c r="L6184">
        <v>366.54</v>
      </c>
    </row>
    <row r="6185" spans="1:12" x14ac:dyDescent="0.25">
      <c r="A6185" t="str">
        <f t="shared" si="1362"/>
        <v>89301000</v>
      </c>
      <c r="B6185" t="str">
        <f t="shared" si="1364"/>
        <v>72100000</v>
      </c>
      <c r="C6185" t="str">
        <f t="shared" si="1365"/>
        <v>72100632</v>
      </c>
      <c r="D6185" t="str">
        <f t="shared" si="1368"/>
        <v>816</v>
      </c>
      <c r="E6185" t="str">
        <f t="shared" si="1366"/>
        <v>89301091</v>
      </c>
      <c r="F6185" t="str">
        <f>"2255160809"</f>
        <v>2255160809</v>
      </c>
      <c r="G6185" s="1">
        <v>44704</v>
      </c>
      <c r="H6185" t="str">
        <f t="shared" si="1367"/>
        <v>94297</v>
      </c>
      <c r="I6185">
        <v>1</v>
      </c>
      <c r="J6185">
        <v>298</v>
      </c>
      <c r="K6185">
        <v>0</v>
      </c>
      <c r="L6185">
        <v>366.54</v>
      </c>
    </row>
    <row r="6186" spans="1:12" x14ac:dyDescent="0.25">
      <c r="A6186" t="str">
        <f t="shared" si="1362"/>
        <v>89301000</v>
      </c>
      <c r="B6186" t="str">
        <f t="shared" si="1364"/>
        <v>72100000</v>
      </c>
      <c r="C6186" t="str">
        <f t="shared" si="1365"/>
        <v>72100632</v>
      </c>
      <c r="D6186" t="str">
        <f t="shared" si="1368"/>
        <v>816</v>
      </c>
      <c r="E6186" t="str">
        <f t="shared" si="1366"/>
        <v>89301091</v>
      </c>
      <c r="F6186" t="str">
        <f>"2205160573"</f>
        <v>2205160573</v>
      </c>
      <c r="G6186" s="1">
        <v>44704</v>
      </c>
      <c r="H6186" t="str">
        <f t="shared" si="1367"/>
        <v>94297</v>
      </c>
      <c r="I6186">
        <v>1</v>
      </c>
      <c r="J6186">
        <v>298</v>
      </c>
      <c r="K6186">
        <v>0</v>
      </c>
      <c r="L6186">
        <v>366.54</v>
      </c>
    </row>
    <row r="6187" spans="1:12" x14ac:dyDescent="0.25">
      <c r="A6187" t="str">
        <f t="shared" si="1362"/>
        <v>89301000</v>
      </c>
      <c r="B6187" t="str">
        <f t="shared" si="1364"/>
        <v>72100000</v>
      </c>
      <c r="C6187" t="str">
        <f t="shared" si="1365"/>
        <v>72100632</v>
      </c>
      <c r="D6187" t="str">
        <f t="shared" si="1368"/>
        <v>816</v>
      </c>
      <c r="E6187" t="str">
        <f t="shared" si="1366"/>
        <v>89301091</v>
      </c>
      <c r="F6187" t="str">
        <f>"2255160820"</f>
        <v>2255160820</v>
      </c>
      <c r="G6187" s="1">
        <v>44704</v>
      </c>
      <c r="H6187" t="str">
        <f t="shared" si="1367"/>
        <v>94297</v>
      </c>
      <c r="I6187">
        <v>1</v>
      </c>
      <c r="J6187">
        <v>298</v>
      </c>
      <c r="K6187">
        <v>0</v>
      </c>
      <c r="L6187">
        <v>366.54</v>
      </c>
    </row>
    <row r="6188" spans="1:12" x14ac:dyDescent="0.25">
      <c r="A6188" t="str">
        <f t="shared" si="1362"/>
        <v>89301000</v>
      </c>
      <c r="B6188" t="str">
        <f t="shared" si="1364"/>
        <v>72100000</v>
      </c>
      <c r="C6188" t="str">
        <f t="shared" si="1365"/>
        <v>72100632</v>
      </c>
      <c r="D6188" t="str">
        <f t="shared" si="1368"/>
        <v>816</v>
      </c>
      <c r="E6188" t="str">
        <f t="shared" si="1366"/>
        <v>89301091</v>
      </c>
      <c r="F6188" t="str">
        <f>"2255160842"</f>
        <v>2255160842</v>
      </c>
      <c r="G6188" s="1">
        <v>44705</v>
      </c>
      <c r="H6188" t="str">
        <f t="shared" si="1367"/>
        <v>94297</v>
      </c>
      <c r="I6188">
        <v>1</v>
      </c>
      <c r="J6188">
        <v>298</v>
      </c>
      <c r="K6188">
        <v>0</v>
      </c>
      <c r="L6188">
        <v>366.54</v>
      </c>
    </row>
    <row r="6189" spans="1:12" x14ac:dyDescent="0.25">
      <c r="A6189" t="str">
        <f t="shared" si="1362"/>
        <v>89301000</v>
      </c>
      <c r="B6189" t="str">
        <f t="shared" si="1364"/>
        <v>72100000</v>
      </c>
      <c r="C6189" t="str">
        <f t="shared" si="1365"/>
        <v>72100632</v>
      </c>
      <c r="D6189" t="str">
        <f t="shared" si="1368"/>
        <v>816</v>
      </c>
      <c r="E6189" t="str">
        <f t="shared" si="1366"/>
        <v>89301091</v>
      </c>
      <c r="F6189" t="str">
        <f>"2205160617"</f>
        <v>2205160617</v>
      </c>
      <c r="G6189" s="1">
        <v>44705</v>
      </c>
      <c r="H6189" t="str">
        <f t="shared" si="1367"/>
        <v>94297</v>
      </c>
      <c r="I6189">
        <v>1</v>
      </c>
      <c r="J6189">
        <v>298</v>
      </c>
      <c r="K6189">
        <v>0</v>
      </c>
      <c r="L6189">
        <v>366.54</v>
      </c>
    </row>
    <row r="6190" spans="1:12" x14ac:dyDescent="0.25">
      <c r="A6190" t="str">
        <f t="shared" si="1362"/>
        <v>89301000</v>
      </c>
      <c r="B6190" t="str">
        <f t="shared" si="1364"/>
        <v>72100000</v>
      </c>
      <c r="C6190" t="str">
        <f t="shared" si="1365"/>
        <v>72100632</v>
      </c>
      <c r="D6190" t="str">
        <f t="shared" si="1368"/>
        <v>816</v>
      </c>
      <c r="E6190" t="str">
        <f t="shared" si="1366"/>
        <v>89301091</v>
      </c>
      <c r="F6190" t="str">
        <f>"2205160639"</f>
        <v>2205160639</v>
      </c>
      <c r="G6190" s="1">
        <v>44705</v>
      </c>
      <c r="H6190" t="str">
        <f t="shared" si="1367"/>
        <v>94297</v>
      </c>
      <c r="I6190">
        <v>1</v>
      </c>
      <c r="J6190">
        <v>298</v>
      </c>
      <c r="K6190">
        <v>0</v>
      </c>
      <c r="L6190">
        <v>366.54</v>
      </c>
    </row>
    <row r="6191" spans="1:12" x14ac:dyDescent="0.25">
      <c r="A6191" t="str">
        <f t="shared" si="1362"/>
        <v>89301000</v>
      </c>
      <c r="B6191" t="str">
        <f t="shared" ref="B6191:B6222" si="1369">"72100000"</f>
        <v>72100000</v>
      </c>
      <c r="C6191" t="str">
        <f t="shared" ref="C6191:C6222" si="1370">"72100632"</f>
        <v>72100632</v>
      </c>
      <c r="D6191" t="str">
        <f t="shared" si="1368"/>
        <v>816</v>
      </c>
      <c r="E6191" t="str">
        <f t="shared" si="1366"/>
        <v>89301091</v>
      </c>
      <c r="F6191" t="str">
        <f>"2255160886"</f>
        <v>2255160886</v>
      </c>
      <c r="G6191" s="1">
        <v>44705</v>
      </c>
      <c r="H6191" t="str">
        <f t="shared" si="1367"/>
        <v>94297</v>
      </c>
      <c r="I6191">
        <v>1</v>
      </c>
      <c r="J6191">
        <v>298</v>
      </c>
      <c r="K6191">
        <v>0</v>
      </c>
      <c r="L6191">
        <v>366.54</v>
      </c>
    </row>
    <row r="6192" spans="1:12" x14ac:dyDescent="0.25">
      <c r="A6192" t="str">
        <f t="shared" si="1362"/>
        <v>89301000</v>
      </c>
      <c r="B6192" t="str">
        <f t="shared" si="1369"/>
        <v>72100000</v>
      </c>
      <c r="C6192" t="str">
        <f t="shared" si="1370"/>
        <v>72100632</v>
      </c>
      <c r="D6192" t="str">
        <f t="shared" si="1368"/>
        <v>816</v>
      </c>
      <c r="E6192" t="str">
        <f t="shared" si="1366"/>
        <v>89301091</v>
      </c>
      <c r="F6192" t="str">
        <f>"2255170698"</f>
        <v>2255170698</v>
      </c>
      <c r="G6192" s="1">
        <v>44705</v>
      </c>
      <c r="H6192" t="str">
        <f t="shared" si="1367"/>
        <v>94297</v>
      </c>
      <c r="I6192">
        <v>1</v>
      </c>
      <c r="J6192">
        <v>298</v>
      </c>
      <c r="K6192">
        <v>0</v>
      </c>
      <c r="L6192">
        <v>366.54</v>
      </c>
    </row>
    <row r="6193" spans="1:12" x14ac:dyDescent="0.25">
      <c r="A6193" t="str">
        <f t="shared" si="1362"/>
        <v>89301000</v>
      </c>
      <c r="B6193" t="str">
        <f t="shared" si="1369"/>
        <v>72100000</v>
      </c>
      <c r="C6193" t="str">
        <f t="shared" si="1370"/>
        <v>72100632</v>
      </c>
      <c r="D6193" t="str">
        <f t="shared" si="1368"/>
        <v>816</v>
      </c>
      <c r="E6193" t="str">
        <f t="shared" ref="E6193:E6208" si="1371">"89301091"</f>
        <v>89301091</v>
      </c>
      <c r="F6193" t="str">
        <f>"0462253231"</f>
        <v>0462253231</v>
      </c>
      <c r="G6193" s="1">
        <v>44707</v>
      </c>
      <c r="H6193" t="str">
        <f t="shared" ref="H6193:H6208" si="1372">"94297"</f>
        <v>94297</v>
      </c>
      <c r="I6193">
        <v>1</v>
      </c>
      <c r="J6193">
        <v>298</v>
      </c>
      <c r="K6193">
        <v>0</v>
      </c>
      <c r="L6193">
        <v>366.54</v>
      </c>
    </row>
    <row r="6194" spans="1:12" x14ac:dyDescent="0.25">
      <c r="A6194" t="str">
        <f t="shared" si="1362"/>
        <v>89301000</v>
      </c>
      <c r="B6194" t="str">
        <f t="shared" si="1369"/>
        <v>72100000</v>
      </c>
      <c r="C6194" t="str">
        <f t="shared" si="1370"/>
        <v>72100632</v>
      </c>
      <c r="D6194" t="str">
        <f t="shared" si="1368"/>
        <v>816</v>
      </c>
      <c r="E6194" t="str">
        <f t="shared" si="1371"/>
        <v>89301091</v>
      </c>
      <c r="F6194" t="str">
        <f>"2255190740"</f>
        <v>2255190740</v>
      </c>
      <c r="G6194" s="1">
        <v>44707</v>
      </c>
      <c r="H6194" t="str">
        <f t="shared" si="1372"/>
        <v>94297</v>
      </c>
      <c r="I6194">
        <v>1</v>
      </c>
      <c r="J6194">
        <v>298</v>
      </c>
      <c r="K6194">
        <v>0</v>
      </c>
      <c r="L6194">
        <v>366.54</v>
      </c>
    </row>
    <row r="6195" spans="1:12" x14ac:dyDescent="0.25">
      <c r="A6195" t="str">
        <f t="shared" si="1362"/>
        <v>89301000</v>
      </c>
      <c r="B6195" t="str">
        <f t="shared" si="1369"/>
        <v>72100000</v>
      </c>
      <c r="C6195" t="str">
        <f t="shared" si="1370"/>
        <v>72100632</v>
      </c>
      <c r="D6195" t="str">
        <f t="shared" si="1368"/>
        <v>816</v>
      </c>
      <c r="E6195" t="str">
        <f t="shared" si="1371"/>
        <v>89301091</v>
      </c>
      <c r="F6195" t="str">
        <f>"2255190784"</f>
        <v>2255190784</v>
      </c>
      <c r="G6195" s="1">
        <v>44707</v>
      </c>
      <c r="H6195" t="str">
        <f t="shared" si="1372"/>
        <v>94297</v>
      </c>
      <c r="I6195">
        <v>1</v>
      </c>
      <c r="J6195">
        <v>298</v>
      </c>
      <c r="K6195">
        <v>0</v>
      </c>
      <c r="L6195">
        <v>366.54</v>
      </c>
    </row>
    <row r="6196" spans="1:12" x14ac:dyDescent="0.25">
      <c r="A6196" t="str">
        <f t="shared" si="1362"/>
        <v>89301000</v>
      </c>
      <c r="B6196" t="str">
        <f t="shared" si="1369"/>
        <v>72100000</v>
      </c>
      <c r="C6196" t="str">
        <f t="shared" si="1370"/>
        <v>72100632</v>
      </c>
      <c r="D6196" t="str">
        <f t="shared" si="1368"/>
        <v>816</v>
      </c>
      <c r="E6196" t="str">
        <f t="shared" si="1371"/>
        <v>89301091</v>
      </c>
      <c r="F6196" t="str">
        <f>"9156035713"</f>
        <v>9156035713</v>
      </c>
      <c r="G6196" s="1">
        <v>44707</v>
      </c>
      <c r="H6196" t="str">
        <f t="shared" si="1372"/>
        <v>94297</v>
      </c>
      <c r="I6196">
        <v>1</v>
      </c>
      <c r="J6196">
        <v>298</v>
      </c>
      <c r="K6196">
        <v>0</v>
      </c>
      <c r="L6196">
        <v>366.54</v>
      </c>
    </row>
    <row r="6197" spans="1:12" x14ac:dyDescent="0.25">
      <c r="A6197" t="str">
        <f t="shared" si="1362"/>
        <v>89301000</v>
      </c>
      <c r="B6197" t="str">
        <f t="shared" si="1369"/>
        <v>72100000</v>
      </c>
      <c r="C6197" t="str">
        <f t="shared" si="1370"/>
        <v>72100632</v>
      </c>
      <c r="D6197" t="str">
        <f t="shared" si="1368"/>
        <v>816</v>
      </c>
      <c r="E6197" t="str">
        <f t="shared" si="1371"/>
        <v>89301091</v>
      </c>
      <c r="F6197" t="str">
        <f>"9754305715"</f>
        <v>9754305715</v>
      </c>
      <c r="G6197" s="1">
        <v>44707</v>
      </c>
      <c r="H6197" t="str">
        <f t="shared" si="1372"/>
        <v>94297</v>
      </c>
      <c r="I6197">
        <v>1</v>
      </c>
      <c r="J6197">
        <v>298</v>
      </c>
      <c r="K6197">
        <v>0</v>
      </c>
      <c r="L6197">
        <v>366.54</v>
      </c>
    </row>
    <row r="6198" spans="1:12" x14ac:dyDescent="0.25">
      <c r="A6198" t="str">
        <f t="shared" si="1362"/>
        <v>89301000</v>
      </c>
      <c r="B6198" t="str">
        <f t="shared" si="1369"/>
        <v>72100000</v>
      </c>
      <c r="C6198" t="str">
        <f t="shared" si="1370"/>
        <v>72100632</v>
      </c>
      <c r="D6198" t="str">
        <f t="shared" si="1368"/>
        <v>816</v>
      </c>
      <c r="E6198" t="str">
        <f t="shared" si="1371"/>
        <v>89301091</v>
      </c>
      <c r="F6198" t="str">
        <f>"8857074908"</f>
        <v>8857074908</v>
      </c>
      <c r="G6198" s="1">
        <v>44707</v>
      </c>
      <c r="H6198" t="str">
        <f t="shared" si="1372"/>
        <v>94297</v>
      </c>
      <c r="I6198">
        <v>1</v>
      </c>
      <c r="J6198">
        <v>298</v>
      </c>
      <c r="K6198">
        <v>0</v>
      </c>
      <c r="L6198">
        <v>366.54</v>
      </c>
    </row>
    <row r="6199" spans="1:12" x14ac:dyDescent="0.25">
      <c r="A6199" t="str">
        <f t="shared" si="1362"/>
        <v>89301000</v>
      </c>
      <c r="B6199" t="str">
        <f t="shared" si="1369"/>
        <v>72100000</v>
      </c>
      <c r="C6199" t="str">
        <f t="shared" si="1370"/>
        <v>72100632</v>
      </c>
      <c r="D6199" t="str">
        <f t="shared" si="1368"/>
        <v>816</v>
      </c>
      <c r="E6199" t="str">
        <f t="shared" si="1371"/>
        <v>89301091</v>
      </c>
      <c r="F6199" t="str">
        <f>"9254204850"</f>
        <v>9254204850</v>
      </c>
      <c r="G6199" s="1">
        <v>44707</v>
      </c>
      <c r="H6199" t="str">
        <f t="shared" si="1372"/>
        <v>94297</v>
      </c>
      <c r="I6199">
        <v>1</v>
      </c>
      <c r="J6199">
        <v>298</v>
      </c>
      <c r="K6199">
        <v>0</v>
      </c>
      <c r="L6199">
        <v>366.54</v>
      </c>
    </row>
    <row r="6200" spans="1:12" x14ac:dyDescent="0.25">
      <c r="A6200" t="str">
        <f t="shared" si="1362"/>
        <v>89301000</v>
      </c>
      <c r="B6200" t="str">
        <f t="shared" si="1369"/>
        <v>72100000</v>
      </c>
      <c r="C6200" t="str">
        <f t="shared" si="1370"/>
        <v>72100632</v>
      </c>
      <c r="D6200" t="str">
        <f t="shared" si="1368"/>
        <v>816</v>
      </c>
      <c r="E6200" t="str">
        <f t="shared" si="1371"/>
        <v>89301091</v>
      </c>
      <c r="F6200" t="str">
        <f>"8660206137"</f>
        <v>8660206137</v>
      </c>
      <c r="G6200" s="1">
        <v>44707</v>
      </c>
      <c r="H6200" t="str">
        <f t="shared" si="1372"/>
        <v>94297</v>
      </c>
      <c r="I6200">
        <v>1</v>
      </c>
      <c r="J6200">
        <v>298</v>
      </c>
      <c r="K6200">
        <v>0</v>
      </c>
      <c r="L6200">
        <v>366.54</v>
      </c>
    </row>
    <row r="6201" spans="1:12" x14ac:dyDescent="0.25">
      <c r="A6201" t="str">
        <f t="shared" si="1362"/>
        <v>89301000</v>
      </c>
      <c r="B6201" t="str">
        <f t="shared" si="1369"/>
        <v>72100000</v>
      </c>
      <c r="C6201" t="str">
        <f t="shared" si="1370"/>
        <v>72100632</v>
      </c>
      <c r="D6201" t="str">
        <f t="shared" si="1368"/>
        <v>816</v>
      </c>
      <c r="E6201" t="str">
        <f t="shared" si="1371"/>
        <v>89301091</v>
      </c>
      <c r="F6201" t="str">
        <f>"2205210392"</f>
        <v>2205210392</v>
      </c>
      <c r="G6201" s="1">
        <v>44707</v>
      </c>
      <c r="H6201" t="str">
        <f t="shared" si="1372"/>
        <v>94297</v>
      </c>
      <c r="I6201">
        <v>1</v>
      </c>
      <c r="J6201">
        <v>298</v>
      </c>
      <c r="K6201">
        <v>0</v>
      </c>
      <c r="L6201">
        <v>366.54</v>
      </c>
    </row>
    <row r="6202" spans="1:12" x14ac:dyDescent="0.25">
      <c r="A6202" t="str">
        <f t="shared" si="1362"/>
        <v>89301000</v>
      </c>
      <c r="B6202" t="str">
        <f t="shared" si="1369"/>
        <v>72100000</v>
      </c>
      <c r="C6202" t="str">
        <f t="shared" si="1370"/>
        <v>72100632</v>
      </c>
      <c r="D6202" t="str">
        <f t="shared" si="1368"/>
        <v>816</v>
      </c>
      <c r="E6202" t="str">
        <f t="shared" si="1371"/>
        <v>89301091</v>
      </c>
      <c r="F6202" t="str">
        <f>"2205210403"</f>
        <v>2205210403</v>
      </c>
      <c r="G6202" s="1">
        <v>44707</v>
      </c>
      <c r="H6202" t="str">
        <f t="shared" si="1372"/>
        <v>94297</v>
      </c>
      <c r="I6202">
        <v>1</v>
      </c>
      <c r="J6202">
        <v>298</v>
      </c>
      <c r="K6202">
        <v>0</v>
      </c>
      <c r="L6202">
        <v>366.54</v>
      </c>
    </row>
    <row r="6203" spans="1:12" x14ac:dyDescent="0.25">
      <c r="A6203" t="str">
        <f t="shared" si="1362"/>
        <v>89301000</v>
      </c>
      <c r="B6203" t="str">
        <f t="shared" si="1369"/>
        <v>72100000</v>
      </c>
      <c r="C6203" t="str">
        <f t="shared" si="1370"/>
        <v>72100632</v>
      </c>
      <c r="D6203" t="str">
        <f t="shared" si="1368"/>
        <v>816</v>
      </c>
      <c r="E6203" t="str">
        <f t="shared" si="1371"/>
        <v>89301091</v>
      </c>
      <c r="F6203" t="str">
        <f>"2255210320"</f>
        <v>2255210320</v>
      </c>
      <c r="G6203" s="1">
        <v>44707</v>
      </c>
      <c r="H6203" t="str">
        <f t="shared" si="1372"/>
        <v>94297</v>
      </c>
      <c r="I6203">
        <v>1</v>
      </c>
      <c r="J6203">
        <v>298</v>
      </c>
      <c r="K6203">
        <v>0</v>
      </c>
      <c r="L6203">
        <v>366.54</v>
      </c>
    </row>
    <row r="6204" spans="1:12" x14ac:dyDescent="0.25">
      <c r="A6204" t="str">
        <f t="shared" si="1362"/>
        <v>89301000</v>
      </c>
      <c r="B6204" t="str">
        <f t="shared" si="1369"/>
        <v>72100000</v>
      </c>
      <c r="C6204" t="str">
        <f t="shared" si="1370"/>
        <v>72100632</v>
      </c>
      <c r="D6204" t="str">
        <f t="shared" si="1368"/>
        <v>816</v>
      </c>
      <c r="E6204" t="str">
        <f t="shared" si="1371"/>
        <v>89301091</v>
      </c>
      <c r="F6204" t="str">
        <f>"8352185303"</f>
        <v>8352185303</v>
      </c>
      <c r="G6204" s="1">
        <v>44708</v>
      </c>
      <c r="H6204" t="str">
        <f t="shared" si="1372"/>
        <v>94297</v>
      </c>
      <c r="I6204">
        <v>1</v>
      </c>
      <c r="J6204">
        <v>298</v>
      </c>
      <c r="K6204">
        <v>0</v>
      </c>
      <c r="L6204">
        <v>366.54</v>
      </c>
    </row>
    <row r="6205" spans="1:12" x14ac:dyDescent="0.25">
      <c r="A6205" t="str">
        <f t="shared" si="1362"/>
        <v>89301000</v>
      </c>
      <c r="B6205" t="str">
        <f t="shared" si="1369"/>
        <v>72100000</v>
      </c>
      <c r="C6205" t="str">
        <f t="shared" si="1370"/>
        <v>72100632</v>
      </c>
      <c r="D6205" t="str">
        <f t="shared" si="1368"/>
        <v>816</v>
      </c>
      <c r="E6205" t="str">
        <f t="shared" si="1371"/>
        <v>89301091</v>
      </c>
      <c r="F6205" t="str">
        <f>"2205220336"</f>
        <v>2205220336</v>
      </c>
      <c r="G6205" s="1">
        <v>44708</v>
      </c>
      <c r="H6205" t="str">
        <f t="shared" si="1372"/>
        <v>94297</v>
      </c>
      <c r="I6205">
        <v>1</v>
      </c>
      <c r="J6205">
        <v>298</v>
      </c>
      <c r="K6205">
        <v>0</v>
      </c>
      <c r="L6205">
        <v>366.54</v>
      </c>
    </row>
    <row r="6206" spans="1:12" x14ac:dyDescent="0.25">
      <c r="A6206" t="str">
        <f t="shared" si="1362"/>
        <v>89301000</v>
      </c>
      <c r="B6206" t="str">
        <f t="shared" si="1369"/>
        <v>72100000</v>
      </c>
      <c r="C6206" t="str">
        <f t="shared" si="1370"/>
        <v>72100632</v>
      </c>
      <c r="D6206" t="str">
        <f t="shared" si="1368"/>
        <v>816</v>
      </c>
      <c r="E6206" t="str">
        <f t="shared" si="1371"/>
        <v>89301091</v>
      </c>
      <c r="F6206" t="str">
        <f>"2205230060"</f>
        <v>2205230060</v>
      </c>
      <c r="G6206" s="1">
        <v>44708</v>
      </c>
      <c r="H6206" t="str">
        <f t="shared" si="1372"/>
        <v>94297</v>
      </c>
      <c r="I6206">
        <v>1</v>
      </c>
      <c r="J6206">
        <v>298</v>
      </c>
      <c r="K6206">
        <v>0</v>
      </c>
      <c r="L6206">
        <v>366.54</v>
      </c>
    </row>
    <row r="6207" spans="1:12" x14ac:dyDescent="0.25">
      <c r="A6207" t="str">
        <f t="shared" si="1362"/>
        <v>89301000</v>
      </c>
      <c r="B6207" t="str">
        <f t="shared" si="1369"/>
        <v>72100000</v>
      </c>
      <c r="C6207" t="str">
        <f t="shared" si="1370"/>
        <v>72100632</v>
      </c>
      <c r="D6207" t="str">
        <f t="shared" si="1368"/>
        <v>816</v>
      </c>
      <c r="E6207" t="str">
        <f t="shared" si="1371"/>
        <v>89301091</v>
      </c>
      <c r="F6207" t="str">
        <f>"2255220242"</f>
        <v>2255220242</v>
      </c>
      <c r="G6207" s="1">
        <v>44711</v>
      </c>
      <c r="H6207" t="str">
        <f t="shared" si="1372"/>
        <v>94297</v>
      </c>
      <c r="I6207">
        <v>1</v>
      </c>
      <c r="J6207">
        <v>298</v>
      </c>
      <c r="K6207">
        <v>0</v>
      </c>
      <c r="L6207">
        <v>366.54</v>
      </c>
    </row>
    <row r="6208" spans="1:12" x14ac:dyDescent="0.25">
      <c r="A6208" t="str">
        <f t="shared" si="1362"/>
        <v>89301000</v>
      </c>
      <c r="B6208" t="str">
        <f t="shared" si="1369"/>
        <v>72100000</v>
      </c>
      <c r="C6208" t="str">
        <f t="shared" si="1370"/>
        <v>72100632</v>
      </c>
      <c r="D6208" t="str">
        <f t="shared" si="1368"/>
        <v>816</v>
      </c>
      <c r="E6208" t="str">
        <f t="shared" si="1371"/>
        <v>89301091</v>
      </c>
      <c r="F6208" t="str">
        <f>"2255230648"</f>
        <v>2255230648</v>
      </c>
      <c r="G6208" s="1">
        <v>44711</v>
      </c>
      <c r="H6208" t="str">
        <f t="shared" si="1372"/>
        <v>94297</v>
      </c>
      <c r="I6208">
        <v>1</v>
      </c>
      <c r="J6208">
        <v>298</v>
      </c>
      <c r="K6208">
        <v>0</v>
      </c>
      <c r="L6208">
        <v>366.54</v>
      </c>
    </row>
    <row r="6209" spans="1:12" x14ac:dyDescent="0.25">
      <c r="A6209" t="str">
        <f t="shared" si="1362"/>
        <v>89301000</v>
      </c>
      <c r="B6209" t="str">
        <f t="shared" si="1369"/>
        <v>72100000</v>
      </c>
      <c r="C6209" t="str">
        <f t="shared" si="1370"/>
        <v>72100632</v>
      </c>
      <c r="D6209" t="str">
        <f t="shared" si="1368"/>
        <v>816</v>
      </c>
      <c r="E6209" t="str">
        <f t="shared" ref="E6209:E6215" si="1373">"89301282"</f>
        <v>89301282</v>
      </c>
      <c r="F6209" t="str">
        <f>"9004206145"</f>
        <v>9004206145</v>
      </c>
      <c r="G6209" s="1">
        <v>44656</v>
      </c>
      <c r="H6209" t="str">
        <f>"94983"</f>
        <v>94983</v>
      </c>
      <c r="I6209">
        <v>1</v>
      </c>
      <c r="J6209">
        <v>0</v>
      </c>
      <c r="K6209">
        <v>39600</v>
      </c>
      <c r="L6209">
        <v>39600</v>
      </c>
    </row>
    <row r="6210" spans="1:12" x14ac:dyDescent="0.25">
      <c r="A6210" t="str">
        <f t="shared" ref="A6210:A6273" si="1374">"89301000"</f>
        <v>89301000</v>
      </c>
      <c r="B6210" t="str">
        <f t="shared" si="1369"/>
        <v>72100000</v>
      </c>
      <c r="C6210" t="str">
        <f t="shared" si="1370"/>
        <v>72100632</v>
      </c>
      <c r="D6210" t="str">
        <f t="shared" si="1368"/>
        <v>816</v>
      </c>
      <c r="E6210" t="str">
        <f t="shared" si="1373"/>
        <v>89301282</v>
      </c>
      <c r="F6210" t="str">
        <f>"9004206145"</f>
        <v>9004206145</v>
      </c>
      <c r="G6210" s="1">
        <v>44656</v>
      </c>
      <c r="H6210" t="str">
        <f>"94996"</f>
        <v>94996</v>
      </c>
      <c r="I6210">
        <v>1</v>
      </c>
      <c r="J6210">
        <v>0</v>
      </c>
      <c r="K6210">
        <v>0</v>
      </c>
      <c r="L6210">
        <v>0</v>
      </c>
    </row>
    <row r="6211" spans="1:12" x14ac:dyDescent="0.25">
      <c r="A6211" t="str">
        <f t="shared" si="1374"/>
        <v>89301000</v>
      </c>
      <c r="B6211" t="str">
        <f t="shared" si="1369"/>
        <v>72100000</v>
      </c>
      <c r="C6211" t="str">
        <f t="shared" si="1370"/>
        <v>72100632</v>
      </c>
      <c r="D6211" t="str">
        <f t="shared" si="1368"/>
        <v>816</v>
      </c>
      <c r="E6211" t="str">
        <f t="shared" si="1373"/>
        <v>89301282</v>
      </c>
      <c r="F6211" t="str">
        <f>"2253060942"</f>
        <v>2253060942</v>
      </c>
      <c r="G6211" s="1">
        <v>44672</v>
      </c>
      <c r="H6211" t="str">
        <f>"94964"</f>
        <v>94964</v>
      </c>
      <c r="I6211">
        <v>1</v>
      </c>
      <c r="J6211">
        <v>0</v>
      </c>
      <c r="K6211">
        <v>1952</v>
      </c>
      <c r="L6211">
        <v>1952</v>
      </c>
    </row>
    <row r="6212" spans="1:12" x14ac:dyDescent="0.25">
      <c r="A6212" t="str">
        <f t="shared" si="1374"/>
        <v>89301000</v>
      </c>
      <c r="B6212" t="str">
        <f t="shared" si="1369"/>
        <v>72100000</v>
      </c>
      <c r="C6212" t="str">
        <f t="shared" si="1370"/>
        <v>72100632</v>
      </c>
      <c r="D6212" t="str">
        <f t="shared" si="1368"/>
        <v>816</v>
      </c>
      <c r="E6212" t="str">
        <f t="shared" si="1373"/>
        <v>89301282</v>
      </c>
      <c r="F6212" t="str">
        <f>"2253060942"</f>
        <v>2253060942</v>
      </c>
      <c r="G6212" s="1">
        <v>44679</v>
      </c>
      <c r="H6212" t="str">
        <f>"94221"</f>
        <v>94221</v>
      </c>
      <c r="I6212">
        <v>9</v>
      </c>
      <c r="J6212">
        <v>22077</v>
      </c>
      <c r="K6212">
        <v>0</v>
      </c>
      <c r="L6212">
        <v>18765.45</v>
      </c>
    </row>
    <row r="6213" spans="1:12" x14ac:dyDescent="0.25">
      <c r="A6213" t="str">
        <f t="shared" si="1374"/>
        <v>89301000</v>
      </c>
      <c r="B6213" t="str">
        <f t="shared" si="1369"/>
        <v>72100000</v>
      </c>
      <c r="C6213" t="str">
        <f t="shared" si="1370"/>
        <v>72100632</v>
      </c>
      <c r="D6213" t="str">
        <f t="shared" ref="D6213:D6244" si="1375">"816"</f>
        <v>816</v>
      </c>
      <c r="E6213" t="str">
        <f t="shared" si="1373"/>
        <v>89301282</v>
      </c>
      <c r="F6213" t="str">
        <f>"2253060942"</f>
        <v>2253060942</v>
      </c>
      <c r="G6213" s="1">
        <v>44679</v>
      </c>
      <c r="H6213" t="str">
        <f>"94221"</f>
        <v>94221</v>
      </c>
      <c r="I6213">
        <v>2</v>
      </c>
      <c r="J6213">
        <v>4906</v>
      </c>
      <c r="K6213">
        <v>0</v>
      </c>
      <c r="L6213">
        <v>4170.1000000000004</v>
      </c>
    </row>
    <row r="6214" spans="1:12" x14ac:dyDescent="0.25">
      <c r="A6214" t="str">
        <f t="shared" si="1374"/>
        <v>89301000</v>
      </c>
      <c r="B6214" t="str">
        <f t="shared" si="1369"/>
        <v>72100000</v>
      </c>
      <c r="C6214" t="str">
        <f t="shared" si="1370"/>
        <v>72100632</v>
      </c>
      <c r="D6214" t="str">
        <f t="shared" si="1375"/>
        <v>816</v>
      </c>
      <c r="E6214" t="str">
        <f t="shared" si="1373"/>
        <v>89301282</v>
      </c>
      <c r="F6214" t="str">
        <f>"9603296252"</f>
        <v>9603296252</v>
      </c>
      <c r="G6214" s="1">
        <v>44679</v>
      </c>
      <c r="H6214" t="str">
        <f>"94983"</f>
        <v>94983</v>
      </c>
      <c r="I6214">
        <v>1</v>
      </c>
      <c r="J6214">
        <v>0</v>
      </c>
      <c r="K6214">
        <v>39600</v>
      </c>
      <c r="L6214">
        <v>39600</v>
      </c>
    </row>
    <row r="6215" spans="1:12" x14ac:dyDescent="0.25">
      <c r="A6215" t="str">
        <f t="shared" si="1374"/>
        <v>89301000</v>
      </c>
      <c r="B6215" t="str">
        <f t="shared" si="1369"/>
        <v>72100000</v>
      </c>
      <c r="C6215" t="str">
        <f t="shared" si="1370"/>
        <v>72100632</v>
      </c>
      <c r="D6215" t="str">
        <f t="shared" si="1375"/>
        <v>816</v>
      </c>
      <c r="E6215" t="str">
        <f t="shared" si="1373"/>
        <v>89301282</v>
      </c>
      <c r="F6215" t="str">
        <f>"9603296252"</f>
        <v>9603296252</v>
      </c>
      <c r="G6215" s="1">
        <v>44679</v>
      </c>
      <c r="H6215" t="str">
        <f>"94996"</f>
        <v>94996</v>
      </c>
      <c r="I6215">
        <v>1</v>
      </c>
      <c r="J6215">
        <v>0</v>
      </c>
      <c r="K6215">
        <v>0</v>
      </c>
      <c r="L6215">
        <v>0</v>
      </c>
    </row>
    <row r="6216" spans="1:12" x14ac:dyDescent="0.25">
      <c r="A6216" t="str">
        <f t="shared" si="1374"/>
        <v>89301000</v>
      </c>
      <c r="B6216" t="str">
        <f t="shared" si="1369"/>
        <v>72100000</v>
      </c>
      <c r="C6216" t="str">
        <f t="shared" si="1370"/>
        <v>72100632</v>
      </c>
      <c r="D6216" t="str">
        <f t="shared" si="1375"/>
        <v>816</v>
      </c>
      <c r="E6216" t="str">
        <f t="shared" ref="E6216:E6247" si="1376">"89301091"</f>
        <v>89301091</v>
      </c>
      <c r="F6216" t="str">
        <f>"2203260389"</f>
        <v>2203260389</v>
      </c>
      <c r="G6216" s="1">
        <v>44652</v>
      </c>
      <c r="H6216" t="str">
        <f t="shared" ref="H6216:H6247" si="1377">"94297"</f>
        <v>94297</v>
      </c>
      <c r="I6216">
        <v>1</v>
      </c>
      <c r="J6216">
        <v>298</v>
      </c>
      <c r="K6216">
        <v>0</v>
      </c>
      <c r="L6216">
        <v>366.54</v>
      </c>
    </row>
    <row r="6217" spans="1:12" x14ac:dyDescent="0.25">
      <c r="A6217" t="str">
        <f t="shared" si="1374"/>
        <v>89301000</v>
      </c>
      <c r="B6217" t="str">
        <f t="shared" si="1369"/>
        <v>72100000</v>
      </c>
      <c r="C6217" t="str">
        <f t="shared" si="1370"/>
        <v>72100632</v>
      </c>
      <c r="D6217" t="str">
        <f t="shared" si="1375"/>
        <v>816</v>
      </c>
      <c r="E6217" t="str">
        <f t="shared" si="1376"/>
        <v>89301091</v>
      </c>
      <c r="F6217" t="str">
        <f>"2203260400"</f>
        <v>2203260400</v>
      </c>
      <c r="G6217" s="1">
        <v>44652</v>
      </c>
      <c r="H6217" t="str">
        <f t="shared" si="1377"/>
        <v>94297</v>
      </c>
      <c r="I6217">
        <v>1</v>
      </c>
      <c r="J6217">
        <v>298</v>
      </c>
      <c r="K6217">
        <v>0</v>
      </c>
      <c r="L6217">
        <v>366.54</v>
      </c>
    </row>
    <row r="6218" spans="1:12" x14ac:dyDescent="0.25">
      <c r="A6218" t="str">
        <f t="shared" si="1374"/>
        <v>89301000</v>
      </c>
      <c r="B6218" t="str">
        <f t="shared" si="1369"/>
        <v>72100000</v>
      </c>
      <c r="C6218" t="str">
        <f t="shared" si="1370"/>
        <v>72100632</v>
      </c>
      <c r="D6218" t="str">
        <f t="shared" si="1375"/>
        <v>816</v>
      </c>
      <c r="E6218" t="str">
        <f t="shared" si="1376"/>
        <v>89301091</v>
      </c>
      <c r="F6218" t="str">
        <f>"2253260350"</f>
        <v>2253260350</v>
      </c>
      <c r="G6218" s="1">
        <v>44652</v>
      </c>
      <c r="H6218" t="str">
        <f t="shared" si="1377"/>
        <v>94297</v>
      </c>
      <c r="I6218">
        <v>1</v>
      </c>
      <c r="J6218">
        <v>298</v>
      </c>
      <c r="K6218">
        <v>0</v>
      </c>
      <c r="L6218">
        <v>366.54</v>
      </c>
    </row>
    <row r="6219" spans="1:12" x14ac:dyDescent="0.25">
      <c r="A6219" t="str">
        <f t="shared" si="1374"/>
        <v>89301000</v>
      </c>
      <c r="B6219" t="str">
        <f t="shared" si="1369"/>
        <v>72100000</v>
      </c>
      <c r="C6219" t="str">
        <f t="shared" si="1370"/>
        <v>72100632</v>
      </c>
      <c r="D6219" t="str">
        <f t="shared" si="1375"/>
        <v>816</v>
      </c>
      <c r="E6219" t="str">
        <f t="shared" si="1376"/>
        <v>89301091</v>
      </c>
      <c r="F6219" t="str">
        <f>"2253270338"</f>
        <v>2253270338</v>
      </c>
      <c r="G6219" s="1">
        <v>44652</v>
      </c>
      <c r="H6219" t="str">
        <f t="shared" si="1377"/>
        <v>94297</v>
      </c>
      <c r="I6219">
        <v>1</v>
      </c>
      <c r="J6219">
        <v>298</v>
      </c>
      <c r="K6219">
        <v>0</v>
      </c>
      <c r="L6219">
        <v>366.54</v>
      </c>
    </row>
    <row r="6220" spans="1:12" x14ac:dyDescent="0.25">
      <c r="A6220" t="str">
        <f t="shared" si="1374"/>
        <v>89301000</v>
      </c>
      <c r="B6220" t="str">
        <f t="shared" si="1369"/>
        <v>72100000</v>
      </c>
      <c r="C6220" t="str">
        <f t="shared" si="1370"/>
        <v>72100632</v>
      </c>
      <c r="D6220" t="str">
        <f t="shared" si="1375"/>
        <v>816</v>
      </c>
      <c r="E6220" t="str">
        <f t="shared" si="1376"/>
        <v>89301091</v>
      </c>
      <c r="F6220" t="str">
        <f>"2203270289"</f>
        <v>2203270289</v>
      </c>
      <c r="G6220" s="1">
        <v>44655</v>
      </c>
      <c r="H6220" t="str">
        <f t="shared" si="1377"/>
        <v>94297</v>
      </c>
      <c r="I6220">
        <v>1</v>
      </c>
      <c r="J6220">
        <v>298</v>
      </c>
      <c r="K6220">
        <v>0</v>
      </c>
      <c r="L6220">
        <v>366.54</v>
      </c>
    </row>
    <row r="6221" spans="1:12" x14ac:dyDescent="0.25">
      <c r="A6221" t="str">
        <f t="shared" si="1374"/>
        <v>89301000</v>
      </c>
      <c r="B6221" t="str">
        <f t="shared" si="1369"/>
        <v>72100000</v>
      </c>
      <c r="C6221" t="str">
        <f t="shared" si="1370"/>
        <v>72100632</v>
      </c>
      <c r="D6221" t="str">
        <f t="shared" si="1375"/>
        <v>816</v>
      </c>
      <c r="E6221" t="str">
        <f t="shared" si="1376"/>
        <v>89301091</v>
      </c>
      <c r="F6221" t="str">
        <f>"7761125790"</f>
        <v>7761125790</v>
      </c>
      <c r="G6221" s="1">
        <v>44655</v>
      </c>
      <c r="H6221" t="str">
        <f t="shared" si="1377"/>
        <v>94297</v>
      </c>
      <c r="I6221">
        <v>1</v>
      </c>
      <c r="J6221">
        <v>298</v>
      </c>
      <c r="K6221">
        <v>0</v>
      </c>
      <c r="L6221">
        <v>366.54</v>
      </c>
    </row>
    <row r="6222" spans="1:12" x14ac:dyDescent="0.25">
      <c r="A6222" t="str">
        <f t="shared" si="1374"/>
        <v>89301000</v>
      </c>
      <c r="B6222" t="str">
        <f t="shared" si="1369"/>
        <v>72100000</v>
      </c>
      <c r="C6222" t="str">
        <f t="shared" si="1370"/>
        <v>72100632</v>
      </c>
      <c r="D6222" t="str">
        <f t="shared" si="1375"/>
        <v>816</v>
      </c>
      <c r="E6222" t="str">
        <f t="shared" si="1376"/>
        <v>89301091</v>
      </c>
      <c r="F6222" t="str">
        <f>"2253290039"</f>
        <v>2253290039</v>
      </c>
      <c r="G6222" s="1">
        <v>44655</v>
      </c>
      <c r="H6222" t="str">
        <f t="shared" si="1377"/>
        <v>94297</v>
      </c>
      <c r="I6222">
        <v>1</v>
      </c>
      <c r="J6222">
        <v>298</v>
      </c>
      <c r="K6222">
        <v>0</v>
      </c>
      <c r="L6222">
        <v>366.54</v>
      </c>
    </row>
    <row r="6223" spans="1:12" x14ac:dyDescent="0.25">
      <c r="A6223" t="str">
        <f t="shared" si="1374"/>
        <v>89301000</v>
      </c>
      <c r="B6223" t="str">
        <f t="shared" ref="B6223:B6254" si="1378">"72100000"</f>
        <v>72100000</v>
      </c>
      <c r="C6223" t="str">
        <f t="shared" ref="C6223:C6254" si="1379">"72100632"</f>
        <v>72100632</v>
      </c>
      <c r="D6223" t="str">
        <f t="shared" si="1375"/>
        <v>816</v>
      </c>
      <c r="E6223" t="str">
        <f t="shared" si="1376"/>
        <v>89301091</v>
      </c>
      <c r="F6223" t="str">
        <f>"2253290050"</f>
        <v>2253290050</v>
      </c>
      <c r="G6223" s="1">
        <v>44655</v>
      </c>
      <c r="H6223" t="str">
        <f t="shared" si="1377"/>
        <v>94297</v>
      </c>
      <c r="I6223">
        <v>1</v>
      </c>
      <c r="J6223">
        <v>298</v>
      </c>
      <c r="K6223">
        <v>0</v>
      </c>
      <c r="L6223">
        <v>366.54</v>
      </c>
    </row>
    <row r="6224" spans="1:12" x14ac:dyDescent="0.25">
      <c r="A6224" t="str">
        <f t="shared" si="1374"/>
        <v>89301000</v>
      </c>
      <c r="B6224" t="str">
        <f t="shared" si="1378"/>
        <v>72100000</v>
      </c>
      <c r="C6224" t="str">
        <f t="shared" si="1379"/>
        <v>72100632</v>
      </c>
      <c r="D6224" t="str">
        <f t="shared" si="1375"/>
        <v>816</v>
      </c>
      <c r="E6224" t="str">
        <f t="shared" si="1376"/>
        <v>89301091</v>
      </c>
      <c r="F6224" t="str">
        <f>"2253290468"</f>
        <v>2253290468</v>
      </c>
      <c r="G6224" s="1">
        <v>44656</v>
      </c>
      <c r="H6224" t="str">
        <f t="shared" si="1377"/>
        <v>94297</v>
      </c>
      <c r="I6224">
        <v>1</v>
      </c>
      <c r="J6224">
        <v>298</v>
      </c>
      <c r="K6224">
        <v>0</v>
      </c>
      <c r="L6224">
        <v>366.54</v>
      </c>
    </row>
    <row r="6225" spans="1:12" x14ac:dyDescent="0.25">
      <c r="A6225" t="str">
        <f t="shared" si="1374"/>
        <v>89301000</v>
      </c>
      <c r="B6225" t="str">
        <f t="shared" si="1378"/>
        <v>72100000</v>
      </c>
      <c r="C6225" t="str">
        <f t="shared" si="1379"/>
        <v>72100632</v>
      </c>
      <c r="D6225" t="str">
        <f t="shared" si="1375"/>
        <v>816</v>
      </c>
      <c r="E6225" t="str">
        <f t="shared" si="1376"/>
        <v>89301091</v>
      </c>
      <c r="F6225" t="str">
        <f>"2253300038"</f>
        <v>2253300038</v>
      </c>
      <c r="G6225" s="1">
        <v>44656</v>
      </c>
      <c r="H6225" t="str">
        <f t="shared" si="1377"/>
        <v>94297</v>
      </c>
      <c r="I6225">
        <v>1</v>
      </c>
      <c r="J6225">
        <v>298</v>
      </c>
      <c r="K6225">
        <v>0</v>
      </c>
      <c r="L6225">
        <v>366.54</v>
      </c>
    </row>
    <row r="6226" spans="1:12" x14ac:dyDescent="0.25">
      <c r="A6226" t="str">
        <f t="shared" si="1374"/>
        <v>89301000</v>
      </c>
      <c r="B6226" t="str">
        <f t="shared" si="1378"/>
        <v>72100000</v>
      </c>
      <c r="C6226" t="str">
        <f t="shared" si="1379"/>
        <v>72100632</v>
      </c>
      <c r="D6226" t="str">
        <f t="shared" si="1375"/>
        <v>816</v>
      </c>
      <c r="E6226" t="str">
        <f t="shared" si="1376"/>
        <v>89301091</v>
      </c>
      <c r="F6226" t="str">
        <f>"8861236219"</f>
        <v>8861236219</v>
      </c>
      <c r="G6226" s="1">
        <v>44657</v>
      </c>
      <c r="H6226" t="str">
        <f t="shared" si="1377"/>
        <v>94297</v>
      </c>
      <c r="I6226">
        <v>1</v>
      </c>
      <c r="J6226">
        <v>298</v>
      </c>
      <c r="K6226">
        <v>0</v>
      </c>
      <c r="L6226">
        <v>366.54</v>
      </c>
    </row>
    <row r="6227" spans="1:12" x14ac:dyDescent="0.25">
      <c r="A6227" t="str">
        <f t="shared" si="1374"/>
        <v>89301000</v>
      </c>
      <c r="B6227" t="str">
        <f t="shared" si="1378"/>
        <v>72100000</v>
      </c>
      <c r="C6227" t="str">
        <f t="shared" si="1379"/>
        <v>72100632</v>
      </c>
      <c r="D6227" t="str">
        <f t="shared" si="1375"/>
        <v>816</v>
      </c>
      <c r="E6227" t="str">
        <f t="shared" si="1376"/>
        <v>89301091</v>
      </c>
      <c r="F6227" t="str">
        <f>"2253300423"</f>
        <v>2253300423</v>
      </c>
      <c r="G6227" s="1">
        <v>44657</v>
      </c>
      <c r="H6227" t="str">
        <f t="shared" si="1377"/>
        <v>94297</v>
      </c>
      <c r="I6227">
        <v>1</v>
      </c>
      <c r="J6227">
        <v>298</v>
      </c>
      <c r="K6227">
        <v>0</v>
      </c>
      <c r="L6227">
        <v>366.54</v>
      </c>
    </row>
    <row r="6228" spans="1:12" x14ac:dyDescent="0.25">
      <c r="A6228" t="str">
        <f t="shared" si="1374"/>
        <v>89301000</v>
      </c>
      <c r="B6228" t="str">
        <f t="shared" si="1378"/>
        <v>72100000</v>
      </c>
      <c r="C6228" t="str">
        <f t="shared" si="1379"/>
        <v>72100632</v>
      </c>
      <c r="D6228" t="str">
        <f t="shared" si="1375"/>
        <v>816</v>
      </c>
      <c r="E6228" t="str">
        <f t="shared" si="1376"/>
        <v>89301091</v>
      </c>
      <c r="F6228" t="str">
        <f>"2253300445"</f>
        <v>2253300445</v>
      </c>
      <c r="G6228" s="1">
        <v>44657</v>
      </c>
      <c r="H6228" t="str">
        <f t="shared" si="1377"/>
        <v>94297</v>
      </c>
      <c r="I6228">
        <v>1</v>
      </c>
      <c r="J6228">
        <v>298</v>
      </c>
      <c r="K6228">
        <v>0</v>
      </c>
      <c r="L6228">
        <v>366.54</v>
      </c>
    </row>
    <row r="6229" spans="1:12" x14ac:dyDescent="0.25">
      <c r="A6229" t="str">
        <f t="shared" si="1374"/>
        <v>89301000</v>
      </c>
      <c r="B6229" t="str">
        <f t="shared" si="1378"/>
        <v>72100000</v>
      </c>
      <c r="C6229" t="str">
        <f t="shared" si="1379"/>
        <v>72100632</v>
      </c>
      <c r="D6229" t="str">
        <f t="shared" si="1375"/>
        <v>816</v>
      </c>
      <c r="E6229" t="str">
        <f t="shared" si="1376"/>
        <v>89301091</v>
      </c>
      <c r="F6229" t="str">
        <f>"2253310609"</f>
        <v>2253310609</v>
      </c>
      <c r="G6229" s="1">
        <v>44657</v>
      </c>
      <c r="H6229" t="str">
        <f t="shared" si="1377"/>
        <v>94297</v>
      </c>
      <c r="I6229">
        <v>1</v>
      </c>
      <c r="J6229">
        <v>298</v>
      </c>
      <c r="K6229">
        <v>0</v>
      </c>
      <c r="L6229">
        <v>366.54</v>
      </c>
    </row>
    <row r="6230" spans="1:12" x14ac:dyDescent="0.25">
      <c r="A6230" t="str">
        <f t="shared" si="1374"/>
        <v>89301000</v>
      </c>
      <c r="B6230" t="str">
        <f t="shared" si="1378"/>
        <v>72100000</v>
      </c>
      <c r="C6230" t="str">
        <f t="shared" si="1379"/>
        <v>72100632</v>
      </c>
      <c r="D6230" t="str">
        <f t="shared" si="1375"/>
        <v>816</v>
      </c>
      <c r="E6230" t="str">
        <f t="shared" si="1376"/>
        <v>89301091</v>
      </c>
      <c r="F6230" t="str">
        <f>"2203310703"</f>
        <v>2203310703</v>
      </c>
      <c r="G6230" s="1">
        <v>44657</v>
      </c>
      <c r="H6230" t="str">
        <f t="shared" si="1377"/>
        <v>94297</v>
      </c>
      <c r="I6230">
        <v>1</v>
      </c>
      <c r="J6230">
        <v>298</v>
      </c>
      <c r="K6230">
        <v>0</v>
      </c>
      <c r="L6230">
        <v>366.54</v>
      </c>
    </row>
    <row r="6231" spans="1:12" x14ac:dyDescent="0.25">
      <c r="A6231" t="str">
        <f t="shared" si="1374"/>
        <v>89301000</v>
      </c>
      <c r="B6231" t="str">
        <f t="shared" si="1378"/>
        <v>72100000</v>
      </c>
      <c r="C6231" t="str">
        <f t="shared" si="1379"/>
        <v>72100632</v>
      </c>
      <c r="D6231" t="str">
        <f t="shared" si="1375"/>
        <v>816</v>
      </c>
      <c r="E6231" t="str">
        <f t="shared" si="1376"/>
        <v>89301091</v>
      </c>
      <c r="F6231" t="str">
        <f>"9253215103"</f>
        <v>9253215103</v>
      </c>
      <c r="G6231" s="1">
        <v>44657</v>
      </c>
      <c r="H6231" t="str">
        <f t="shared" si="1377"/>
        <v>94297</v>
      </c>
      <c r="I6231">
        <v>1</v>
      </c>
      <c r="J6231">
        <v>298</v>
      </c>
      <c r="K6231">
        <v>0</v>
      </c>
      <c r="L6231">
        <v>366.54</v>
      </c>
    </row>
    <row r="6232" spans="1:12" x14ac:dyDescent="0.25">
      <c r="A6232" t="str">
        <f t="shared" si="1374"/>
        <v>89301000</v>
      </c>
      <c r="B6232" t="str">
        <f t="shared" si="1378"/>
        <v>72100000</v>
      </c>
      <c r="C6232" t="str">
        <f t="shared" si="1379"/>
        <v>72100632</v>
      </c>
      <c r="D6232" t="str">
        <f t="shared" si="1375"/>
        <v>816</v>
      </c>
      <c r="E6232" t="str">
        <f t="shared" si="1376"/>
        <v>89301091</v>
      </c>
      <c r="F6232" t="str">
        <f>"8259185341"</f>
        <v>8259185341</v>
      </c>
      <c r="G6232" s="1">
        <v>44657</v>
      </c>
      <c r="H6232" t="str">
        <f t="shared" si="1377"/>
        <v>94297</v>
      </c>
      <c r="I6232">
        <v>1</v>
      </c>
      <c r="J6232">
        <v>298</v>
      </c>
      <c r="K6232">
        <v>0</v>
      </c>
      <c r="L6232">
        <v>366.54</v>
      </c>
    </row>
    <row r="6233" spans="1:12" x14ac:dyDescent="0.25">
      <c r="A6233" t="str">
        <f t="shared" si="1374"/>
        <v>89301000</v>
      </c>
      <c r="B6233" t="str">
        <f t="shared" si="1378"/>
        <v>72100000</v>
      </c>
      <c r="C6233" t="str">
        <f t="shared" si="1379"/>
        <v>72100632</v>
      </c>
      <c r="D6233" t="str">
        <f t="shared" si="1375"/>
        <v>816</v>
      </c>
      <c r="E6233" t="str">
        <f t="shared" si="1376"/>
        <v>89301091</v>
      </c>
      <c r="F6233" t="str">
        <f>"7961225712"</f>
        <v>7961225712</v>
      </c>
      <c r="G6233" s="1">
        <v>44657</v>
      </c>
      <c r="H6233" t="str">
        <f t="shared" si="1377"/>
        <v>94297</v>
      </c>
      <c r="I6233">
        <v>1</v>
      </c>
      <c r="J6233">
        <v>298</v>
      </c>
      <c r="K6233">
        <v>0</v>
      </c>
      <c r="L6233">
        <v>366.54</v>
      </c>
    </row>
    <row r="6234" spans="1:12" x14ac:dyDescent="0.25">
      <c r="A6234" t="str">
        <f t="shared" si="1374"/>
        <v>89301000</v>
      </c>
      <c r="B6234" t="str">
        <f t="shared" si="1378"/>
        <v>72100000</v>
      </c>
      <c r="C6234" t="str">
        <f t="shared" si="1379"/>
        <v>72100632</v>
      </c>
      <c r="D6234" t="str">
        <f t="shared" si="1375"/>
        <v>816</v>
      </c>
      <c r="E6234" t="str">
        <f t="shared" si="1376"/>
        <v>89301091</v>
      </c>
      <c r="F6234" t="str">
        <f>"7961225712"</f>
        <v>7961225712</v>
      </c>
      <c r="G6234" s="1">
        <v>44657</v>
      </c>
      <c r="H6234" t="str">
        <f t="shared" si="1377"/>
        <v>94297</v>
      </c>
      <c r="I6234">
        <v>1</v>
      </c>
      <c r="J6234">
        <v>298</v>
      </c>
      <c r="K6234">
        <v>0</v>
      </c>
      <c r="L6234">
        <v>366.54</v>
      </c>
    </row>
    <row r="6235" spans="1:12" x14ac:dyDescent="0.25">
      <c r="A6235" t="str">
        <f t="shared" si="1374"/>
        <v>89301000</v>
      </c>
      <c r="B6235" t="str">
        <f t="shared" si="1378"/>
        <v>72100000</v>
      </c>
      <c r="C6235" t="str">
        <f t="shared" si="1379"/>
        <v>72100632</v>
      </c>
      <c r="D6235" t="str">
        <f t="shared" si="1375"/>
        <v>816</v>
      </c>
      <c r="E6235" t="str">
        <f t="shared" si="1376"/>
        <v>89301091</v>
      </c>
      <c r="F6235" t="str">
        <f>"8355134491"</f>
        <v>8355134491</v>
      </c>
      <c r="G6235" s="1">
        <v>44658</v>
      </c>
      <c r="H6235" t="str">
        <f t="shared" si="1377"/>
        <v>94297</v>
      </c>
      <c r="I6235">
        <v>1</v>
      </c>
      <c r="J6235">
        <v>298</v>
      </c>
      <c r="K6235">
        <v>0</v>
      </c>
      <c r="L6235">
        <v>366.54</v>
      </c>
    </row>
    <row r="6236" spans="1:12" x14ac:dyDescent="0.25">
      <c r="A6236" t="str">
        <f t="shared" si="1374"/>
        <v>89301000</v>
      </c>
      <c r="B6236" t="str">
        <f t="shared" si="1378"/>
        <v>72100000</v>
      </c>
      <c r="C6236" t="str">
        <f t="shared" si="1379"/>
        <v>72100632</v>
      </c>
      <c r="D6236" t="str">
        <f t="shared" si="1375"/>
        <v>816</v>
      </c>
      <c r="E6236" t="str">
        <f t="shared" si="1376"/>
        <v>89301091</v>
      </c>
      <c r="F6236" t="str">
        <f>"2254020263"</f>
        <v>2254020263</v>
      </c>
      <c r="G6236" s="1">
        <v>44658</v>
      </c>
      <c r="H6236" t="str">
        <f t="shared" si="1377"/>
        <v>94297</v>
      </c>
      <c r="I6236">
        <v>1</v>
      </c>
      <c r="J6236">
        <v>298</v>
      </c>
      <c r="K6236">
        <v>0</v>
      </c>
      <c r="L6236">
        <v>366.54</v>
      </c>
    </row>
    <row r="6237" spans="1:12" x14ac:dyDescent="0.25">
      <c r="A6237" t="str">
        <f t="shared" si="1374"/>
        <v>89301000</v>
      </c>
      <c r="B6237" t="str">
        <f t="shared" si="1378"/>
        <v>72100000</v>
      </c>
      <c r="C6237" t="str">
        <f t="shared" si="1379"/>
        <v>72100632</v>
      </c>
      <c r="D6237" t="str">
        <f t="shared" si="1375"/>
        <v>816</v>
      </c>
      <c r="E6237" t="str">
        <f t="shared" si="1376"/>
        <v>89301091</v>
      </c>
      <c r="F6237" t="str">
        <f>"2254020285"</f>
        <v>2254020285</v>
      </c>
      <c r="G6237" s="1">
        <v>44658</v>
      </c>
      <c r="H6237" t="str">
        <f t="shared" si="1377"/>
        <v>94297</v>
      </c>
      <c r="I6237">
        <v>1</v>
      </c>
      <c r="J6237">
        <v>298</v>
      </c>
      <c r="K6237">
        <v>0</v>
      </c>
      <c r="L6237">
        <v>366.54</v>
      </c>
    </row>
    <row r="6238" spans="1:12" x14ac:dyDescent="0.25">
      <c r="A6238" t="str">
        <f t="shared" si="1374"/>
        <v>89301000</v>
      </c>
      <c r="B6238" t="str">
        <f t="shared" si="1378"/>
        <v>72100000</v>
      </c>
      <c r="C6238" t="str">
        <f t="shared" si="1379"/>
        <v>72100632</v>
      </c>
      <c r="D6238" t="str">
        <f t="shared" si="1375"/>
        <v>816</v>
      </c>
      <c r="E6238" t="str">
        <f t="shared" si="1376"/>
        <v>89301091</v>
      </c>
      <c r="F6238" t="str">
        <f>"2112270424"</f>
        <v>2112270424</v>
      </c>
      <c r="G6238" s="1">
        <v>44659</v>
      </c>
      <c r="H6238" t="str">
        <f t="shared" si="1377"/>
        <v>94297</v>
      </c>
      <c r="I6238">
        <v>1</v>
      </c>
      <c r="J6238">
        <v>298</v>
      </c>
      <c r="K6238">
        <v>0</v>
      </c>
      <c r="L6238">
        <v>366.54</v>
      </c>
    </row>
    <row r="6239" spans="1:12" x14ac:dyDescent="0.25">
      <c r="A6239" t="str">
        <f t="shared" si="1374"/>
        <v>89301000</v>
      </c>
      <c r="B6239" t="str">
        <f t="shared" si="1378"/>
        <v>72100000</v>
      </c>
      <c r="C6239" t="str">
        <f t="shared" si="1379"/>
        <v>72100632</v>
      </c>
      <c r="D6239" t="str">
        <f t="shared" si="1375"/>
        <v>816</v>
      </c>
      <c r="E6239" t="str">
        <f t="shared" si="1376"/>
        <v>89301091</v>
      </c>
      <c r="F6239" t="str">
        <f>"2254030240"</f>
        <v>2254030240</v>
      </c>
      <c r="G6239" s="1">
        <v>44659</v>
      </c>
      <c r="H6239" t="str">
        <f t="shared" si="1377"/>
        <v>94297</v>
      </c>
      <c r="I6239">
        <v>1</v>
      </c>
      <c r="J6239">
        <v>298</v>
      </c>
      <c r="K6239">
        <v>0</v>
      </c>
      <c r="L6239">
        <v>366.54</v>
      </c>
    </row>
    <row r="6240" spans="1:12" x14ac:dyDescent="0.25">
      <c r="A6240" t="str">
        <f t="shared" si="1374"/>
        <v>89301000</v>
      </c>
      <c r="B6240" t="str">
        <f t="shared" si="1378"/>
        <v>72100000</v>
      </c>
      <c r="C6240" t="str">
        <f t="shared" si="1379"/>
        <v>72100632</v>
      </c>
      <c r="D6240" t="str">
        <f t="shared" si="1375"/>
        <v>816</v>
      </c>
      <c r="E6240" t="str">
        <f t="shared" si="1376"/>
        <v>89301091</v>
      </c>
      <c r="F6240" t="str">
        <f>"2254040382"</f>
        <v>2254040382</v>
      </c>
      <c r="G6240" s="1">
        <v>44662</v>
      </c>
      <c r="H6240" t="str">
        <f t="shared" si="1377"/>
        <v>94297</v>
      </c>
      <c r="I6240">
        <v>1</v>
      </c>
      <c r="J6240">
        <v>298</v>
      </c>
      <c r="K6240">
        <v>0</v>
      </c>
      <c r="L6240">
        <v>366.54</v>
      </c>
    </row>
    <row r="6241" spans="1:12" x14ac:dyDescent="0.25">
      <c r="A6241" t="str">
        <f t="shared" si="1374"/>
        <v>89301000</v>
      </c>
      <c r="B6241" t="str">
        <f t="shared" si="1378"/>
        <v>72100000</v>
      </c>
      <c r="C6241" t="str">
        <f t="shared" si="1379"/>
        <v>72100632</v>
      </c>
      <c r="D6241" t="str">
        <f t="shared" si="1375"/>
        <v>816</v>
      </c>
      <c r="E6241" t="str">
        <f t="shared" si="1376"/>
        <v>89301091</v>
      </c>
      <c r="F6241" t="str">
        <f>"2254040503"</f>
        <v>2254040503</v>
      </c>
      <c r="G6241" s="1">
        <v>44663</v>
      </c>
      <c r="H6241" t="str">
        <f t="shared" si="1377"/>
        <v>94297</v>
      </c>
      <c r="I6241">
        <v>1</v>
      </c>
      <c r="J6241">
        <v>298</v>
      </c>
      <c r="K6241">
        <v>0</v>
      </c>
      <c r="L6241">
        <v>366.54</v>
      </c>
    </row>
    <row r="6242" spans="1:12" x14ac:dyDescent="0.25">
      <c r="A6242" t="str">
        <f t="shared" si="1374"/>
        <v>89301000</v>
      </c>
      <c r="B6242" t="str">
        <f t="shared" si="1378"/>
        <v>72100000</v>
      </c>
      <c r="C6242" t="str">
        <f t="shared" si="1379"/>
        <v>72100632</v>
      </c>
      <c r="D6242" t="str">
        <f t="shared" si="1375"/>
        <v>816</v>
      </c>
      <c r="E6242" t="str">
        <f t="shared" si="1376"/>
        <v>89301091</v>
      </c>
      <c r="F6242" t="str">
        <f>"2204050431"</f>
        <v>2204050431</v>
      </c>
      <c r="G6242" s="1">
        <v>44663</v>
      </c>
      <c r="H6242" t="str">
        <f t="shared" si="1377"/>
        <v>94297</v>
      </c>
      <c r="I6242">
        <v>1</v>
      </c>
      <c r="J6242">
        <v>298</v>
      </c>
      <c r="K6242">
        <v>0</v>
      </c>
      <c r="L6242">
        <v>366.54</v>
      </c>
    </row>
    <row r="6243" spans="1:12" x14ac:dyDescent="0.25">
      <c r="A6243" t="str">
        <f t="shared" si="1374"/>
        <v>89301000</v>
      </c>
      <c r="B6243" t="str">
        <f t="shared" si="1378"/>
        <v>72100000</v>
      </c>
      <c r="C6243" t="str">
        <f t="shared" si="1379"/>
        <v>72100632</v>
      </c>
      <c r="D6243" t="str">
        <f t="shared" si="1375"/>
        <v>816</v>
      </c>
      <c r="E6243" t="str">
        <f t="shared" si="1376"/>
        <v>89301091</v>
      </c>
      <c r="F6243" t="str">
        <f>"9262076230"</f>
        <v>9262076230</v>
      </c>
      <c r="G6243" s="1">
        <v>44663</v>
      </c>
      <c r="H6243" t="str">
        <f t="shared" si="1377"/>
        <v>94297</v>
      </c>
      <c r="I6243">
        <v>1</v>
      </c>
      <c r="J6243">
        <v>298</v>
      </c>
      <c r="K6243">
        <v>0</v>
      </c>
      <c r="L6243">
        <v>366.54</v>
      </c>
    </row>
    <row r="6244" spans="1:12" x14ac:dyDescent="0.25">
      <c r="A6244" t="str">
        <f t="shared" si="1374"/>
        <v>89301000</v>
      </c>
      <c r="B6244" t="str">
        <f t="shared" si="1378"/>
        <v>72100000</v>
      </c>
      <c r="C6244" t="str">
        <f t="shared" si="1379"/>
        <v>72100632</v>
      </c>
      <c r="D6244" t="str">
        <f t="shared" si="1375"/>
        <v>816</v>
      </c>
      <c r="E6244" t="str">
        <f t="shared" si="1376"/>
        <v>89301091</v>
      </c>
      <c r="F6244" t="str">
        <f>"2254050370"</f>
        <v>2254050370</v>
      </c>
      <c r="G6244" s="1">
        <v>44663</v>
      </c>
      <c r="H6244" t="str">
        <f t="shared" si="1377"/>
        <v>94297</v>
      </c>
      <c r="I6244">
        <v>1</v>
      </c>
      <c r="J6244">
        <v>298</v>
      </c>
      <c r="K6244">
        <v>0</v>
      </c>
      <c r="L6244">
        <v>366.54</v>
      </c>
    </row>
    <row r="6245" spans="1:12" x14ac:dyDescent="0.25">
      <c r="A6245" t="str">
        <f t="shared" si="1374"/>
        <v>89301000</v>
      </c>
      <c r="B6245" t="str">
        <f t="shared" si="1378"/>
        <v>72100000</v>
      </c>
      <c r="C6245" t="str">
        <f t="shared" si="1379"/>
        <v>72100632</v>
      </c>
      <c r="D6245" t="str">
        <f t="shared" ref="D6245:D6280" si="1380">"816"</f>
        <v>816</v>
      </c>
      <c r="E6245" t="str">
        <f t="shared" si="1376"/>
        <v>89301091</v>
      </c>
      <c r="F6245" t="str">
        <f>"2254060083"</f>
        <v>2254060083</v>
      </c>
      <c r="G6245" s="1">
        <v>44663</v>
      </c>
      <c r="H6245" t="str">
        <f t="shared" si="1377"/>
        <v>94297</v>
      </c>
      <c r="I6245">
        <v>1</v>
      </c>
      <c r="J6245">
        <v>298</v>
      </c>
      <c r="K6245">
        <v>0</v>
      </c>
      <c r="L6245">
        <v>366.54</v>
      </c>
    </row>
    <row r="6246" spans="1:12" x14ac:dyDescent="0.25">
      <c r="A6246" t="str">
        <f t="shared" si="1374"/>
        <v>89301000</v>
      </c>
      <c r="B6246" t="str">
        <f t="shared" si="1378"/>
        <v>72100000</v>
      </c>
      <c r="C6246" t="str">
        <f t="shared" si="1379"/>
        <v>72100632</v>
      </c>
      <c r="D6246" t="str">
        <f t="shared" si="1380"/>
        <v>816</v>
      </c>
      <c r="E6246" t="str">
        <f t="shared" si="1376"/>
        <v>89301091</v>
      </c>
      <c r="F6246" t="str">
        <f>"2254060776"</f>
        <v>2254060776</v>
      </c>
      <c r="G6246" s="1">
        <v>44664</v>
      </c>
      <c r="H6246" t="str">
        <f t="shared" si="1377"/>
        <v>94297</v>
      </c>
      <c r="I6246">
        <v>1</v>
      </c>
      <c r="J6246">
        <v>298</v>
      </c>
      <c r="K6246">
        <v>0</v>
      </c>
      <c r="L6246">
        <v>366.54</v>
      </c>
    </row>
    <row r="6247" spans="1:12" x14ac:dyDescent="0.25">
      <c r="A6247" t="str">
        <f t="shared" si="1374"/>
        <v>89301000</v>
      </c>
      <c r="B6247" t="str">
        <f t="shared" si="1378"/>
        <v>72100000</v>
      </c>
      <c r="C6247" t="str">
        <f t="shared" si="1379"/>
        <v>72100632</v>
      </c>
      <c r="D6247" t="str">
        <f t="shared" si="1380"/>
        <v>816</v>
      </c>
      <c r="E6247" t="str">
        <f t="shared" si="1376"/>
        <v>89301091</v>
      </c>
      <c r="F6247" t="str">
        <f>"2204070132"</f>
        <v>2204070132</v>
      </c>
      <c r="G6247" s="1">
        <v>44664</v>
      </c>
      <c r="H6247" t="str">
        <f t="shared" si="1377"/>
        <v>94297</v>
      </c>
      <c r="I6247">
        <v>1</v>
      </c>
      <c r="J6247">
        <v>298</v>
      </c>
      <c r="K6247">
        <v>0</v>
      </c>
      <c r="L6247">
        <v>366.54</v>
      </c>
    </row>
    <row r="6248" spans="1:12" x14ac:dyDescent="0.25">
      <c r="A6248" t="str">
        <f t="shared" si="1374"/>
        <v>89301000</v>
      </c>
      <c r="B6248" t="str">
        <f t="shared" si="1378"/>
        <v>72100000</v>
      </c>
      <c r="C6248" t="str">
        <f t="shared" si="1379"/>
        <v>72100632</v>
      </c>
      <c r="D6248" t="str">
        <f t="shared" si="1380"/>
        <v>816</v>
      </c>
      <c r="E6248" t="str">
        <f t="shared" ref="E6248:E6280" si="1381">"89301091"</f>
        <v>89301091</v>
      </c>
      <c r="F6248" t="str">
        <f>"2204070638"</f>
        <v>2204070638</v>
      </c>
      <c r="G6248" s="1">
        <v>44664</v>
      </c>
      <c r="H6248" t="str">
        <f t="shared" ref="H6248:H6280" si="1382">"94297"</f>
        <v>94297</v>
      </c>
      <c r="I6248">
        <v>1</v>
      </c>
      <c r="J6248">
        <v>298</v>
      </c>
      <c r="K6248">
        <v>0</v>
      </c>
      <c r="L6248">
        <v>366.54</v>
      </c>
    </row>
    <row r="6249" spans="1:12" x14ac:dyDescent="0.25">
      <c r="A6249" t="str">
        <f t="shared" si="1374"/>
        <v>89301000</v>
      </c>
      <c r="B6249" t="str">
        <f t="shared" si="1378"/>
        <v>72100000</v>
      </c>
      <c r="C6249" t="str">
        <f t="shared" si="1379"/>
        <v>72100632</v>
      </c>
      <c r="D6249" t="str">
        <f t="shared" si="1380"/>
        <v>816</v>
      </c>
      <c r="E6249" t="str">
        <f t="shared" si="1381"/>
        <v>89301091</v>
      </c>
      <c r="F6249" t="str">
        <f>"2204070649"</f>
        <v>2204070649</v>
      </c>
      <c r="G6249" s="1">
        <v>44664</v>
      </c>
      <c r="H6249" t="str">
        <f t="shared" si="1382"/>
        <v>94297</v>
      </c>
      <c r="I6249">
        <v>1</v>
      </c>
      <c r="J6249">
        <v>298</v>
      </c>
      <c r="K6249">
        <v>0</v>
      </c>
      <c r="L6249">
        <v>366.54</v>
      </c>
    </row>
    <row r="6250" spans="1:12" x14ac:dyDescent="0.25">
      <c r="A6250" t="str">
        <f t="shared" si="1374"/>
        <v>89301000</v>
      </c>
      <c r="B6250" t="str">
        <f t="shared" si="1378"/>
        <v>72100000</v>
      </c>
      <c r="C6250" t="str">
        <f t="shared" si="1379"/>
        <v>72100632</v>
      </c>
      <c r="D6250" t="str">
        <f t="shared" si="1380"/>
        <v>816</v>
      </c>
      <c r="E6250" t="str">
        <f t="shared" si="1381"/>
        <v>89301091</v>
      </c>
      <c r="F6250" t="str">
        <f>"2204070682"</f>
        <v>2204070682</v>
      </c>
      <c r="G6250" s="1">
        <v>44664</v>
      </c>
      <c r="H6250" t="str">
        <f t="shared" si="1382"/>
        <v>94297</v>
      </c>
      <c r="I6250">
        <v>1</v>
      </c>
      <c r="J6250">
        <v>298</v>
      </c>
      <c r="K6250">
        <v>0</v>
      </c>
      <c r="L6250">
        <v>366.54</v>
      </c>
    </row>
    <row r="6251" spans="1:12" x14ac:dyDescent="0.25">
      <c r="A6251" t="str">
        <f t="shared" si="1374"/>
        <v>89301000</v>
      </c>
      <c r="B6251" t="str">
        <f t="shared" si="1378"/>
        <v>72100000</v>
      </c>
      <c r="C6251" t="str">
        <f t="shared" si="1379"/>
        <v>72100632</v>
      </c>
      <c r="D6251" t="str">
        <f t="shared" si="1380"/>
        <v>816</v>
      </c>
      <c r="E6251" t="str">
        <f t="shared" si="1381"/>
        <v>89301091</v>
      </c>
      <c r="F6251" t="str">
        <f>"2254070797"</f>
        <v>2254070797</v>
      </c>
      <c r="G6251" s="1">
        <v>44664</v>
      </c>
      <c r="H6251" t="str">
        <f t="shared" si="1382"/>
        <v>94297</v>
      </c>
      <c r="I6251">
        <v>1</v>
      </c>
      <c r="J6251">
        <v>298</v>
      </c>
      <c r="K6251">
        <v>0</v>
      </c>
      <c r="L6251">
        <v>366.54</v>
      </c>
    </row>
    <row r="6252" spans="1:12" x14ac:dyDescent="0.25">
      <c r="A6252" t="str">
        <f t="shared" si="1374"/>
        <v>89301000</v>
      </c>
      <c r="B6252" t="str">
        <f t="shared" si="1378"/>
        <v>72100000</v>
      </c>
      <c r="C6252" t="str">
        <f t="shared" si="1379"/>
        <v>72100632</v>
      </c>
      <c r="D6252" t="str">
        <f t="shared" si="1380"/>
        <v>816</v>
      </c>
      <c r="E6252" t="str">
        <f t="shared" si="1381"/>
        <v>89301091</v>
      </c>
      <c r="F6252" t="str">
        <f>"9551255945"</f>
        <v>9551255945</v>
      </c>
      <c r="G6252" s="1">
        <v>44664</v>
      </c>
      <c r="H6252" t="str">
        <f t="shared" si="1382"/>
        <v>94297</v>
      </c>
      <c r="I6252">
        <v>1</v>
      </c>
      <c r="J6252">
        <v>298</v>
      </c>
      <c r="K6252">
        <v>0</v>
      </c>
      <c r="L6252">
        <v>366.54</v>
      </c>
    </row>
    <row r="6253" spans="1:12" x14ac:dyDescent="0.25">
      <c r="A6253" t="str">
        <f t="shared" si="1374"/>
        <v>89301000</v>
      </c>
      <c r="B6253" t="str">
        <f t="shared" si="1378"/>
        <v>72100000</v>
      </c>
      <c r="C6253" t="str">
        <f t="shared" si="1379"/>
        <v>72100632</v>
      </c>
      <c r="D6253" t="str">
        <f t="shared" si="1380"/>
        <v>816</v>
      </c>
      <c r="E6253" t="str">
        <f t="shared" si="1381"/>
        <v>89301091</v>
      </c>
      <c r="F6253" t="str">
        <f>"2204100272"</f>
        <v>2204100272</v>
      </c>
      <c r="G6253" s="1">
        <v>44670</v>
      </c>
      <c r="H6253" t="str">
        <f t="shared" si="1382"/>
        <v>94297</v>
      </c>
      <c r="I6253">
        <v>1</v>
      </c>
      <c r="J6253">
        <v>298</v>
      </c>
      <c r="K6253">
        <v>0</v>
      </c>
      <c r="L6253">
        <v>366.54</v>
      </c>
    </row>
    <row r="6254" spans="1:12" x14ac:dyDescent="0.25">
      <c r="A6254" t="str">
        <f t="shared" si="1374"/>
        <v>89301000</v>
      </c>
      <c r="B6254" t="str">
        <f t="shared" si="1378"/>
        <v>72100000</v>
      </c>
      <c r="C6254" t="str">
        <f t="shared" si="1379"/>
        <v>72100632</v>
      </c>
      <c r="D6254" t="str">
        <f t="shared" si="1380"/>
        <v>816</v>
      </c>
      <c r="E6254" t="str">
        <f t="shared" si="1381"/>
        <v>89301091</v>
      </c>
      <c r="F6254" t="str">
        <f>"2254110595"</f>
        <v>2254110595</v>
      </c>
      <c r="G6254" s="1">
        <v>44671</v>
      </c>
      <c r="H6254" t="str">
        <f t="shared" si="1382"/>
        <v>94297</v>
      </c>
      <c r="I6254">
        <v>1</v>
      </c>
      <c r="J6254">
        <v>298</v>
      </c>
      <c r="K6254">
        <v>0</v>
      </c>
      <c r="L6254">
        <v>366.54</v>
      </c>
    </row>
    <row r="6255" spans="1:12" x14ac:dyDescent="0.25">
      <c r="A6255" t="str">
        <f t="shared" si="1374"/>
        <v>89301000</v>
      </c>
      <c r="B6255" t="str">
        <f t="shared" ref="B6255:B6280" si="1383">"72100000"</f>
        <v>72100000</v>
      </c>
      <c r="C6255" t="str">
        <f t="shared" ref="C6255:C6280" si="1384">"72100632"</f>
        <v>72100632</v>
      </c>
      <c r="D6255" t="str">
        <f t="shared" si="1380"/>
        <v>816</v>
      </c>
      <c r="E6255" t="str">
        <f t="shared" si="1381"/>
        <v>89301091</v>
      </c>
      <c r="F6255" t="str">
        <f>"2254120550"</f>
        <v>2254120550</v>
      </c>
      <c r="G6255" s="1">
        <v>44672</v>
      </c>
      <c r="H6255" t="str">
        <f t="shared" si="1382"/>
        <v>94297</v>
      </c>
      <c r="I6255">
        <v>1</v>
      </c>
      <c r="J6255">
        <v>298</v>
      </c>
      <c r="K6255">
        <v>0</v>
      </c>
      <c r="L6255">
        <v>366.54</v>
      </c>
    </row>
    <row r="6256" spans="1:12" x14ac:dyDescent="0.25">
      <c r="A6256" t="str">
        <f t="shared" si="1374"/>
        <v>89301000</v>
      </c>
      <c r="B6256" t="str">
        <f t="shared" si="1383"/>
        <v>72100000</v>
      </c>
      <c r="C6256" t="str">
        <f t="shared" si="1384"/>
        <v>72100632</v>
      </c>
      <c r="D6256" t="str">
        <f t="shared" si="1380"/>
        <v>816</v>
      </c>
      <c r="E6256" t="str">
        <f t="shared" si="1381"/>
        <v>89301091</v>
      </c>
      <c r="F6256" t="str">
        <f>"2204130071"</f>
        <v>2204130071</v>
      </c>
      <c r="G6256" s="1">
        <v>44672</v>
      </c>
      <c r="H6256" t="str">
        <f t="shared" si="1382"/>
        <v>94297</v>
      </c>
      <c r="I6256">
        <v>1</v>
      </c>
      <c r="J6256">
        <v>298</v>
      </c>
      <c r="K6256">
        <v>0</v>
      </c>
      <c r="L6256">
        <v>366.54</v>
      </c>
    </row>
    <row r="6257" spans="1:12" x14ac:dyDescent="0.25">
      <c r="A6257" t="str">
        <f t="shared" si="1374"/>
        <v>89301000</v>
      </c>
      <c r="B6257" t="str">
        <f t="shared" si="1383"/>
        <v>72100000</v>
      </c>
      <c r="C6257" t="str">
        <f t="shared" si="1384"/>
        <v>72100632</v>
      </c>
      <c r="D6257" t="str">
        <f t="shared" si="1380"/>
        <v>816</v>
      </c>
      <c r="E6257" t="str">
        <f t="shared" si="1381"/>
        <v>89301091</v>
      </c>
      <c r="F6257" t="str">
        <f>"2204130720"</f>
        <v>2204130720</v>
      </c>
      <c r="G6257" s="1">
        <v>44672</v>
      </c>
      <c r="H6257" t="str">
        <f t="shared" si="1382"/>
        <v>94297</v>
      </c>
      <c r="I6257">
        <v>1</v>
      </c>
      <c r="J6257">
        <v>298</v>
      </c>
      <c r="K6257">
        <v>0</v>
      </c>
      <c r="L6257">
        <v>366.54</v>
      </c>
    </row>
    <row r="6258" spans="1:12" x14ac:dyDescent="0.25">
      <c r="A6258" t="str">
        <f t="shared" si="1374"/>
        <v>89301000</v>
      </c>
      <c r="B6258" t="str">
        <f t="shared" si="1383"/>
        <v>72100000</v>
      </c>
      <c r="C6258" t="str">
        <f t="shared" si="1384"/>
        <v>72100632</v>
      </c>
      <c r="D6258" t="str">
        <f t="shared" si="1380"/>
        <v>816</v>
      </c>
      <c r="E6258" t="str">
        <f t="shared" si="1381"/>
        <v>89301091</v>
      </c>
      <c r="F6258" t="str">
        <f>"9152225643"</f>
        <v>9152225643</v>
      </c>
      <c r="G6258" s="1">
        <v>44672</v>
      </c>
      <c r="H6258" t="str">
        <f t="shared" si="1382"/>
        <v>94297</v>
      </c>
      <c r="I6258">
        <v>1</v>
      </c>
      <c r="J6258">
        <v>298</v>
      </c>
      <c r="K6258">
        <v>0</v>
      </c>
      <c r="L6258">
        <v>366.54</v>
      </c>
    </row>
    <row r="6259" spans="1:12" x14ac:dyDescent="0.25">
      <c r="A6259" t="str">
        <f t="shared" si="1374"/>
        <v>89301000</v>
      </c>
      <c r="B6259" t="str">
        <f t="shared" si="1383"/>
        <v>72100000</v>
      </c>
      <c r="C6259" t="str">
        <f t="shared" si="1384"/>
        <v>72100632</v>
      </c>
      <c r="D6259" t="str">
        <f t="shared" si="1380"/>
        <v>816</v>
      </c>
      <c r="E6259" t="str">
        <f t="shared" si="1381"/>
        <v>89301091</v>
      </c>
      <c r="F6259" t="str">
        <f>"9159055763"</f>
        <v>9159055763</v>
      </c>
      <c r="G6259" s="1">
        <v>44672</v>
      </c>
      <c r="H6259" t="str">
        <f t="shared" si="1382"/>
        <v>94297</v>
      </c>
      <c r="I6259">
        <v>1</v>
      </c>
      <c r="J6259">
        <v>298</v>
      </c>
      <c r="K6259">
        <v>0</v>
      </c>
      <c r="L6259">
        <v>366.54</v>
      </c>
    </row>
    <row r="6260" spans="1:12" x14ac:dyDescent="0.25">
      <c r="A6260" t="str">
        <f t="shared" si="1374"/>
        <v>89301000</v>
      </c>
      <c r="B6260" t="str">
        <f t="shared" si="1383"/>
        <v>72100000</v>
      </c>
      <c r="C6260" t="str">
        <f t="shared" si="1384"/>
        <v>72100632</v>
      </c>
      <c r="D6260" t="str">
        <f t="shared" si="1380"/>
        <v>816</v>
      </c>
      <c r="E6260" t="str">
        <f t="shared" si="1381"/>
        <v>89301091</v>
      </c>
      <c r="F6260" t="str">
        <f>"9058106156"</f>
        <v>9058106156</v>
      </c>
      <c r="G6260" s="1">
        <v>44672</v>
      </c>
      <c r="H6260" t="str">
        <f t="shared" si="1382"/>
        <v>94297</v>
      </c>
      <c r="I6260">
        <v>1</v>
      </c>
      <c r="J6260">
        <v>298</v>
      </c>
      <c r="K6260">
        <v>0</v>
      </c>
      <c r="L6260">
        <v>366.54</v>
      </c>
    </row>
    <row r="6261" spans="1:12" x14ac:dyDescent="0.25">
      <c r="A6261" t="str">
        <f t="shared" si="1374"/>
        <v>89301000</v>
      </c>
      <c r="B6261" t="str">
        <f t="shared" si="1383"/>
        <v>72100000</v>
      </c>
      <c r="C6261" t="str">
        <f t="shared" si="1384"/>
        <v>72100632</v>
      </c>
      <c r="D6261" t="str">
        <f t="shared" si="1380"/>
        <v>816</v>
      </c>
      <c r="E6261" t="str">
        <f t="shared" si="1381"/>
        <v>89301091</v>
      </c>
      <c r="F6261" t="str">
        <f>"7860245459"</f>
        <v>7860245459</v>
      </c>
      <c r="G6261" s="1">
        <v>44672</v>
      </c>
      <c r="H6261" t="str">
        <f t="shared" si="1382"/>
        <v>94297</v>
      </c>
      <c r="I6261">
        <v>1</v>
      </c>
      <c r="J6261">
        <v>298</v>
      </c>
      <c r="K6261">
        <v>0</v>
      </c>
      <c r="L6261">
        <v>366.54</v>
      </c>
    </row>
    <row r="6262" spans="1:12" x14ac:dyDescent="0.25">
      <c r="A6262" t="str">
        <f t="shared" si="1374"/>
        <v>89301000</v>
      </c>
      <c r="B6262" t="str">
        <f t="shared" si="1383"/>
        <v>72100000</v>
      </c>
      <c r="C6262" t="str">
        <f t="shared" si="1384"/>
        <v>72100632</v>
      </c>
      <c r="D6262" t="str">
        <f t="shared" si="1380"/>
        <v>816</v>
      </c>
      <c r="E6262" t="str">
        <f t="shared" si="1381"/>
        <v>89301091</v>
      </c>
      <c r="F6262" t="str">
        <f>"8855025839"</f>
        <v>8855025839</v>
      </c>
      <c r="G6262" s="1">
        <v>44672</v>
      </c>
      <c r="H6262" t="str">
        <f t="shared" si="1382"/>
        <v>94297</v>
      </c>
      <c r="I6262">
        <v>1</v>
      </c>
      <c r="J6262">
        <v>298</v>
      </c>
      <c r="K6262">
        <v>0</v>
      </c>
      <c r="L6262">
        <v>366.54</v>
      </c>
    </row>
    <row r="6263" spans="1:12" x14ac:dyDescent="0.25">
      <c r="A6263" t="str">
        <f t="shared" si="1374"/>
        <v>89301000</v>
      </c>
      <c r="B6263" t="str">
        <f t="shared" si="1383"/>
        <v>72100000</v>
      </c>
      <c r="C6263" t="str">
        <f t="shared" si="1384"/>
        <v>72100632</v>
      </c>
      <c r="D6263" t="str">
        <f t="shared" si="1380"/>
        <v>816</v>
      </c>
      <c r="E6263" t="str">
        <f t="shared" si="1381"/>
        <v>89301091</v>
      </c>
      <c r="F6263" t="str">
        <f>"8759194928"</f>
        <v>8759194928</v>
      </c>
      <c r="G6263" s="1">
        <v>44672</v>
      </c>
      <c r="H6263" t="str">
        <f t="shared" si="1382"/>
        <v>94297</v>
      </c>
      <c r="I6263">
        <v>1</v>
      </c>
      <c r="J6263">
        <v>298</v>
      </c>
      <c r="K6263">
        <v>0</v>
      </c>
      <c r="L6263">
        <v>366.54</v>
      </c>
    </row>
    <row r="6264" spans="1:12" x14ac:dyDescent="0.25">
      <c r="A6264" t="str">
        <f t="shared" si="1374"/>
        <v>89301000</v>
      </c>
      <c r="B6264" t="str">
        <f t="shared" si="1383"/>
        <v>72100000</v>
      </c>
      <c r="C6264" t="str">
        <f t="shared" si="1384"/>
        <v>72100632</v>
      </c>
      <c r="D6264" t="str">
        <f t="shared" si="1380"/>
        <v>816</v>
      </c>
      <c r="E6264" t="str">
        <f t="shared" si="1381"/>
        <v>89301091</v>
      </c>
      <c r="F6264" t="str">
        <f>"2204120556"</f>
        <v>2204120556</v>
      </c>
      <c r="G6264" s="1">
        <v>44673</v>
      </c>
      <c r="H6264" t="str">
        <f t="shared" si="1382"/>
        <v>94297</v>
      </c>
      <c r="I6264">
        <v>1</v>
      </c>
      <c r="J6264">
        <v>298</v>
      </c>
      <c r="K6264">
        <v>0</v>
      </c>
      <c r="L6264">
        <v>366.54</v>
      </c>
    </row>
    <row r="6265" spans="1:12" x14ac:dyDescent="0.25">
      <c r="A6265" t="str">
        <f t="shared" si="1374"/>
        <v>89301000</v>
      </c>
      <c r="B6265" t="str">
        <f t="shared" si="1383"/>
        <v>72100000</v>
      </c>
      <c r="C6265" t="str">
        <f t="shared" si="1384"/>
        <v>72100632</v>
      </c>
      <c r="D6265" t="str">
        <f t="shared" si="1380"/>
        <v>816</v>
      </c>
      <c r="E6265" t="str">
        <f t="shared" si="1381"/>
        <v>89301091</v>
      </c>
      <c r="F6265" t="str">
        <f>"9654225526"</f>
        <v>9654225526</v>
      </c>
      <c r="G6265" s="1">
        <v>44676</v>
      </c>
      <c r="H6265" t="str">
        <f t="shared" si="1382"/>
        <v>94297</v>
      </c>
      <c r="I6265">
        <v>1</v>
      </c>
      <c r="J6265">
        <v>298</v>
      </c>
      <c r="K6265">
        <v>0</v>
      </c>
      <c r="L6265">
        <v>366.54</v>
      </c>
    </row>
    <row r="6266" spans="1:12" x14ac:dyDescent="0.25">
      <c r="A6266" t="str">
        <f t="shared" si="1374"/>
        <v>89301000</v>
      </c>
      <c r="B6266" t="str">
        <f t="shared" si="1383"/>
        <v>72100000</v>
      </c>
      <c r="C6266" t="str">
        <f t="shared" si="1384"/>
        <v>72100632</v>
      </c>
      <c r="D6266" t="str">
        <f t="shared" si="1380"/>
        <v>816</v>
      </c>
      <c r="E6266" t="str">
        <f t="shared" si="1381"/>
        <v>89301091</v>
      </c>
      <c r="F6266" t="str">
        <f>"2204190428"</f>
        <v>2204190428</v>
      </c>
      <c r="G6266" s="1">
        <v>44677</v>
      </c>
      <c r="H6266" t="str">
        <f t="shared" si="1382"/>
        <v>94297</v>
      </c>
      <c r="I6266">
        <v>1</v>
      </c>
      <c r="J6266">
        <v>298</v>
      </c>
      <c r="K6266">
        <v>0</v>
      </c>
      <c r="L6266">
        <v>366.54</v>
      </c>
    </row>
    <row r="6267" spans="1:12" x14ac:dyDescent="0.25">
      <c r="A6267" t="str">
        <f t="shared" si="1374"/>
        <v>89301000</v>
      </c>
      <c r="B6267" t="str">
        <f t="shared" si="1383"/>
        <v>72100000</v>
      </c>
      <c r="C6267" t="str">
        <f t="shared" si="1384"/>
        <v>72100632</v>
      </c>
      <c r="D6267" t="str">
        <f t="shared" si="1380"/>
        <v>816</v>
      </c>
      <c r="E6267" t="str">
        <f t="shared" si="1381"/>
        <v>89301091</v>
      </c>
      <c r="F6267" t="str">
        <f>"9160055311"</f>
        <v>9160055311</v>
      </c>
      <c r="G6267" s="1">
        <v>44678</v>
      </c>
      <c r="H6267" t="str">
        <f t="shared" si="1382"/>
        <v>94297</v>
      </c>
      <c r="I6267">
        <v>1</v>
      </c>
      <c r="J6267">
        <v>298</v>
      </c>
      <c r="K6267">
        <v>0</v>
      </c>
      <c r="L6267">
        <v>366.54</v>
      </c>
    </row>
    <row r="6268" spans="1:12" x14ac:dyDescent="0.25">
      <c r="A6268" t="str">
        <f t="shared" si="1374"/>
        <v>89301000</v>
      </c>
      <c r="B6268" t="str">
        <f t="shared" si="1383"/>
        <v>72100000</v>
      </c>
      <c r="C6268" t="str">
        <f t="shared" si="1384"/>
        <v>72100632</v>
      </c>
      <c r="D6268" t="str">
        <f t="shared" si="1380"/>
        <v>816</v>
      </c>
      <c r="E6268" t="str">
        <f t="shared" si="1381"/>
        <v>89301091</v>
      </c>
      <c r="F6268" t="str">
        <f>"2204200801"</f>
        <v>2204200801</v>
      </c>
      <c r="G6268" s="1">
        <v>44678</v>
      </c>
      <c r="H6268" t="str">
        <f t="shared" si="1382"/>
        <v>94297</v>
      </c>
      <c r="I6268">
        <v>1</v>
      </c>
      <c r="J6268">
        <v>298</v>
      </c>
      <c r="K6268">
        <v>0</v>
      </c>
      <c r="L6268">
        <v>366.54</v>
      </c>
    </row>
    <row r="6269" spans="1:12" x14ac:dyDescent="0.25">
      <c r="A6269" t="str">
        <f t="shared" si="1374"/>
        <v>89301000</v>
      </c>
      <c r="B6269" t="str">
        <f t="shared" si="1383"/>
        <v>72100000</v>
      </c>
      <c r="C6269" t="str">
        <f t="shared" si="1384"/>
        <v>72100632</v>
      </c>
      <c r="D6269" t="str">
        <f t="shared" si="1380"/>
        <v>816</v>
      </c>
      <c r="E6269" t="str">
        <f t="shared" si="1381"/>
        <v>89301091</v>
      </c>
      <c r="F6269" t="str">
        <f>"2254200751"</f>
        <v>2254200751</v>
      </c>
      <c r="G6269" s="1">
        <v>44678</v>
      </c>
      <c r="H6269" t="str">
        <f t="shared" si="1382"/>
        <v>94297</v>
      </c>
      <c r="I6269">
        <v>1</v>
      </c>
      <c r="J6269">
        <v>298</v>
      </c>
      <c r="K6269">
        <v>0</v>
      </c>
      <c r="L6269">
        <v>366.54</v>
      </c>
    </row>
    <row r="6270" spans="1:12" x14ac:dyDescent="0.25">
      <c r="A6270" t="str">
        <f t="shared" si="1374"/>
        <v>89301000</v>
      </c>
      <c r="B6270" t="str">
        <f t="shared" si="1383"/>
        <v>72100000</v>
      </c>
      <c r="C6270" t="str">
        <f t="shared" si="1384"/>
        <v>72100632</v>
      </c>
      <c r="D6270" t="str">
        <f t="shared" si="1380"/>
        <v>816</v>
      </c>
      <c r="E6270" t="str">
        <f t="shared" si="1381"/>
        <v>89301091</v>
      </c>
      <c r="F6270" t="str">
        <f>"9253146155"</f>
        <v>9253146155</v>
      </c>
      <c r="G6270" s="1">
        <v>44678</v>
      </c>
      <c r="H6270" t="str">
        <f t="shared" si="1382"/>
        <v>94297</v>
      </c>
      <c r="I6270">
        <v>1</v>
      </c>
      <c r="J6270">
        <v>298</v>
      </c>
      <c r="K6270">
        <v>0</v>
      </c>
      <c r="L6270">
        <v>366.54</v>
      </c>
    </row>
    <row r="6271" spans="1:12" x14ac:dyDescent="0.25">
      <c r="A6271" t="str">
        <f t="shared" si="1374"/>
        <v>89301000</v>
      </c>
      <c r="B6271" t="str">
        <f t="shared" si="1383"/>
        <v>72100000</v>
      </c>
      <c r="C6271" t="str">
        <f t="shared" si="1384"/>
        <v>72100632</v>
      </c>
      <c r="D6271" t="str">
        <f t="shared" si="1380"/>
        <v>816</v>
      </c>
      <c r="E6271" t="str">
        <f t="shared" si="1381"/>
        <v>89301091</v>
      </c>
      <c r="F6271" t="str">
        <f>"2254210442"</f>
        <v>2254210442</v>
      </c>
      <c r="G6271" s="1">
        <v>44678</v>
      </c>
      <c r="H6271" t="str">
        <f t="shared" si="1382"/>
        <v>94297</v>
      </c>
      <c r="I6271">
        <v>1</v>
      </c>
      <c r="J6271">
        <v>298</v>
      </c>
      <c r="K6271">
        <v>0</v>
      </c>
      <c r="L6271">
        <v>366.54</v>
      </c>
    </row>
    <row r="6272" spans="1:12" x14ac:dyDescent="0.25">
      <c r="A6272" t="str">
        <f t="shared" si="1374"/>
        <v>89301000</v>
      </c>
      <c r="B6272" t="str">
        <f t="shared" si="1383"/>
        <v>72100000</v>
      </c>
      <c r="C6272" t="str">
        <f t="shared" si="1384"/>
        <v>72100632</v>
      </c>
      <c r="D6272" t="str">
        <f t="shared" si="1380"/>
        <v>816</v>
      </c>
      <c r="E6272" t="str">
        <f t="shared" si="1381"/>
        <v>89301091</v>
      </c>
      <c r="F6272" t="str">
        <f>"2254210475"</f>
        <v>2254210475</v>
      </c>
      <c r="G6272" s="1">
        <v>44678</v>
      </c>
      <c r="H6272" t="str">
        <f t="shared" si="1382"/>
        <v>94297</v>
      </c>
      <c r="I6272">
        <v>1</v>
      </c>
      <c r="J6272">
        <v>298</v>
      </c>
      <c r="K6272">
        <v>0</v>
      </c>
      <c r="L6272">
        <v>366.54</v>
      </c>
    </row>
    <row r="6273" spans="1:12" x14ac:dyDescent="0.25">
      <c r="A6273" t="str">
        <f t="shared" si="1374"/>
        <v>89301000</v>
      </c>
      <c r="B6273" t="str">
        <f t="shared" si="1383"/>
        <v>72100000</v>
      </c>
      <c r="C6273" t="str">
        <f t="shared" si="1384"/>
        <v>72100632</v>
      </c>
      <c r="D6273" t="str">
        <f t="shared" si="1380"/>
        <v>816</v>
      </c>
      <c r="E6273" t="str">
        <f t="shared" si="1381"/>
        <v>89301091</v>
      </c>
      <c r="F6273" t="str">
        <f>"9451065745"</f>
        <v>9451065745</v>
      </c>
      <c r="G6273" s="1">
        <v>44678</v>
      </c>
      <c r="H6273" t="str">
        <f t="shared" si="1382"/>
        <v>94297</v>
      </c>
      <c r="I6273">
        <v>1</v>
      </c>
      <c r="J6273">
        <v>298</v>
      </c>
      <c r="K6273">
        <v>0</v>
      </c>
      <c r="L6273">
        <v>366.54</v>
      </c>
    </row>
    <row r="6274" spans="1:12" x14ac:dyDescent="0.25">
      <c r="A6274" t="str">
        <f t="shared" ref="A6274:A6337" si="1385">"89301000"</f>
        <v>89301000</v>
      </c>
      <c r="B6274" t="str">
        <f t="shared" si="1383"/>
        <v>72100000</v>
      </c>
      <c r="C6274" t="str">
        <f t="shared" si="1384"/>
        <v>72100632</v>
      </c>
      <c r="D6274" t="str">
        <f t="shared" si="1380"/>
        <v>816</v>
      </c>
      <c r="E6274" t="str">
        <f t="shared" si="1381"/>
        <v>89301091</v>
      </c>
      <c r="F6274" t="str">
        <f>"9362285735"</f>
        <v>9362285735</v>
      </c>
      <c r="G6274" s="1">
        <v>44678</v>
      </c>
      <c r="H6274" t="str">
        <f t="shared" si="1382"/>
        <v>94297</v>
      </c>
      <c r="I6274">
        <v>1</v>
      </c>
      <c r="J6274">
        <v>298</v>
      </c>
      <c r="K6274">
        <v>0</v>
      </c>
      <c r="L6274">
        <v>366.54</v>
      </c>
    </row>
    <row r="6275" spans="1:12" x14ac:dyDescent="0.25">
      <c r="A6275" t="str">
        <f t="shared" si="1385"/>
        <v>89301000</v>
      </c>
      <c r="B6275" t="str">
        <f t="shared" si="1383"/>
        <v>72100000</v>
      </c>
      <c r="C6275" t="str">
        <f t="shared" si="1384"/>
        <v>72100632</v>
      </c>
      <c r="D6275" t="str">
        <f t="shared" si="1380"/>
        <v>816</v>
      </c>
      <c r="E6275" t="str">
        <f t="shared" si="1381"/>
        <v>89301091</v>
      </c>
      <c r="F6275" t="str">
        <f>"2204210734"</f>
        <v>2204210734</v>
      </c>
      <c r="G6275" s="1">
        <v>44679</v>
      </c>
      <c r="H6275" t="str">
        <f t="shared" si="1382"/>
        <v>94297</v>
      </c>
      <c r="I6275">
        <v>1</v>
      </c>
      <c r="J6275">
        <v>298</v>
      </c>
      <c r="K6275">
        <v>0</v>
      </c>
      <c r="L6275">
        <v>366.54</v>
      </c>
    </row>
    <row r="6276" spans="1:12" x14ac:dyDescent="0.25">
      <c r="A6276" t="str">
        <f t="shared" si="1385"/>
        <v>89301000</v>
      </c>
      <c r="B6276" t="str">
        <f t="shared" si="1383"/>
        <v>72100000</v>
      </c>
      <c r="C6276" t="str">
        <f t="shared" si="1384"/>
        <v>72100632</v>
      </c>
      <c r="D6276" t="str">
        <f t="shared" si="1380"/>
        <v>816</v>
      </c>
      <c r="E6276" t="str">
        <f t="shared" si="1381"/>
        <v>89301091</v>
      </c>
      <c r="F6276" t="str">
        <f>"9356116066"</f>
        <v>9356116066</v>
      </c>
      <c r="G6276" s="1">
        <v>44679</v>
      </c>
      <c r="H6276" t="str">
        <f t="shared" si="1382"/>
        <v>94297</v>
      </c>
      <c r="I6276">
        <v>1</v>
      </c>
      <c r="J6276">
        <v>298</v>
      </c>
      <c r="K6276">
        <v>0</v>
      </c>
      <c r="L6276">
        <v>366.54</v>
      </c>
    </row>
    <row r="6277" spans="1:12" x14ac:dyDescent="0.25">
      <c r="A6277" t="str">
        <f t="shared" si="1385"/>
        <v>89301000</v>
      </c>
      <c r="B6277" t="str">
        <f t="shared" si="1383"/>
        <v>72100000</v>
      </c>
      <c r="C6277" t="str">
        <f t="shared" si="1384"/>
        <v>72100632</v>
      </c>
      <c r="D6277" t="str">
        <f t="shared" si="1380"/>
        <v>816</v>
      </c>
      <c r="E6277" t="str">
        <f t="shared" si="1381"/>
        <v>89301091</v>
      </c>
      <c r="F6277" t="str">
        <f>"2254230286"</f>
        <v>2254230286</v>
      </c>
      <c r="G6277" s="1">
        <v>44679</v>
      </c>
      <c r="H6277" t="str">
        <f t="shared" si="1382"/>
        <v>94297</v>
      </c>
      <c r="I6277">
        <v>1</v>
      </c>
      <c r="J6277">
        <v>298</v>
      </c>
      <c r="K6277">
        <v>0</v>
      </c>
      <c r="L6277">
        <v>366.54</v>
      </c>
    </row>
    <row r="6278" spans="1:12" x14ac:dyDescent="0.25">
      <c r="A6278" t="str">
        <f t="shared" si="1385"/>
        <v>89301000</v>
      </c>
      <c r="B6278" t="str">
        <f t="shared" si="1383"/>
        <v>72100000</v>
      </c>
      <c r="C6278" t="str">
        <f t="shared" si="1384"/>
        <v>72100632</v>
      </c>
      <c r="D6278" t="str">
        <f t="shared" si="1380"/>
        <v>816</v>
      </c>
      <c r="E6278" t="str">
        <f t="shared" si="1381"/>
        <v>89301091</v>
      </c>
      <c r="F6278" t="str">
        <f>"2254240340"</f>
        <v>2254240340</v>
      </c>
      <c r="G6278" s="1">
        <v>44680</v>
      </c>
      <c r="H6278" t="str">
        <f t="shared" si="1382"/>
        <v>94297</v>
      </c>
      <c r="I6278">
        <v>1</v>
      </c>
      <c r="J6278">
        <v>298</v>
      </c>
      <c r="K6278">
        <v>0</v>
      </c>
      <c r="L6278">
        <v>366.54</v>
      </c>
    </row>
    <row r="6279" spans="1:12" x14ac:dyDescent="0.25">
      <c r="A6279" t="str">
        <f t="shared" si="1385"/>
        <v>89301000</v>
      </c>
      <c r="B6279" t="str">
        <f t="shared" si="1383"/>
        <v>72100000</v>
      </c>
      <c r="C6279" t="str">
        <f t="shared" si="1384"/>
        <v>72100632</v>
      </c>
      <c r="D6279" t="str">
        <f t="shared" si="1380"/>
        <v>816</v>
      </c>
      <c r="E6279" t="str">
        <f t="shared" si="1381"/>
        <v>89301091</v>
      </c>
      <c r="F6279" t="str">
        <f>"2204240346"</f>
        <v>2204240346</v>
      </c>
      <c r="G6279" s="1">
        <v>44680</v>
      </c>
      <c r="H6279" t="str">
        <f t="shared" si="1382"/>
        <v>94297</v>
      </c>
      <c r="I6279">
        <v>1</v>
      </c>
      <c r="J6279">
        <v>298</v>
      </c>
      <c r="K6279">
        <v>0</v>
      </c>
      <c r="L6279">
        <v>366.54</v>
      </c>
    </row>
    <row r="6280" spans="1:12" x14ac:dyDescent="0.25">
      <c r="A6280" t="str">
        <f t="shared" si="1385"/>
        <v>89301000</v>
      </c>
      <c r="B6280" t="str">
        <f t="shared" si="1383"/>
        <v>72100000</v>
      </c>
      <c r="C6280" t="str">
        <f t="shared" si="1384"/>
        <v>72100632</v>
      </c>
      <c r="D6280" t="str">
        <f t="shared" si="1380"/>
        <v>816</v>
      </c>
      <c r="E6280" t="str">
        <f t="shared" si="1381"/>
        <v>89301091</v>
      </c>
      <c r="F6280" t="str">
        <f>"2204240368"</f>
        <v>2204240368</v>
      </c>
      <c r="G6280" s="1">
        <v>44680</v>
      </c>
      <c r="H6280" t="str">
        <f t="shared" si="1382"/>
        <v>94297</v>
      </c>
      <c r="I6280">
        <v>1</v>
      </c>
      <c r="J6280">
        <v>298</v>
      </c>
      <c r="K6280">
        <v>0</v>
      </c>
      <c r="L6280">
        <v>366.54</v>
      </c>
    </row>
    <row r="6281" spans="1:12" x14ac:dyDescent="0.25">
      <c r="A6281" t="str">
        <f t="shared" si="1385"/>
        <v>89301000</v>
      </c>
      <c r="B6281" t="str">
        <f>"44564000"</f>
        <v>44564000</v>
      </c>
      <c r="C6281" t="str">
        <f>"44564004"</f>
        <v>44564004</v>
      </c>
      <c r="D6281" t="str">
        <f>"807"</f>
        <v>807</v>
      </c>
      <c r="E6281" t="str">
        <f>"89301212"</f>
        <v>89301212</v>
      </c>
      <c r="F6281" t="str">
        <f>"505728251"</f>
        <v>505728251</v>
      </c>
      <c r="G6281" s="1">
        <v>44714</v>
      </c>
      <c r="H6281" t="str">
        <f>"87217"</f>
        <v>87217</v>
      </c>
      <c r="I6281">
        <v>1</v>
      </c>
      <c r="J6281">
        <v>207</v>
      </c>
      <c r="K6281">
        <v>0</v>
      </c>
      <c r="L6281">
        <v>161.46</v>
      </c>
    </row>
    <row r="6282" spans="1:12" x14ac:dyDescent="0.25">
      <c r="A6282" t="str">
        <f t="shared" si="1385"/>
        <v>89301000</v>
      </c>
      <c r="B6282" t="str">
        <f>"44564000"</f>
        <v>44564000</v>
      </c>
      <c r="C6282" t="str">
        <f>"44564004"</f>
        <v>44564004</v>
      </c>
      <c r="D6282" t="str">
        <f>"807"</f>
        <v>807</v>
      </c>
      <c r="E6282" t="str">
        <f>"89301212"</f>
        <v>89301212</v>
      </c>
      <c r="F6282" t="str">
        <f>"505728251"</f>
        <v>505728251</v>
      </c>
      <c r="G6282" s="1">
        <v>44714</v>
      </c>
      <c r="H6282" t="str">
        <f>"87613"</f>
        <v>87613</v>
      </c>
      <c r="I6282">
        <v>1</v>
      </c>
      <c r="J6282">
        <v>422</v>
      </c>
      <c r="K6282">
        <v>0</v>
      </c>
      <c r="L6282">
        <v>329.16</v>
      </c>
    </row>
    <row r="6283" spans="1:12" x14ac:dyDescent="0.25">
      <c r="A6283" t="str">
        <f t="shared" si="1385"/>
        <v>89301000</v>
      </c>
      <c r="B6283" t="str">
        <f>"44564000"</f>
        <v>44564000</v>
      </c>
      <c r="C6283" t="str">
        <f>"44564004"</f>
        <v>44564004</v>
      </c>
      <c r="D6283" t="str">
        <f>"807"</f>
        <v>807</v>
      </c>
      <c r="E6283" t="str">
        <f>"89301212"</f>
        <v>89301212</v>
      </c>
      <c r="F6283" t="str">
        <f>"505728251"</f>
        <v>505728251</v>
      </c>
      <c r="G6283" s="1">
        <v>44714</v>
      </c>
      <c r="H6283" t="str">
        <f>"87617"</f>
        <v>87617</v>
      </c>
      <c r="I6283">
        <v>1</v>
      </c>
      <c r="J6283">
        <v>3625</v>
      </c>
      <c r="K6283">
        <v>0</v>
      </c>
      <c r="L6283">
        <v>2827.5</v>
      </c>
    </row>
    <row r="6284" spans="1:12" x14ac:dyDescent="0.25">
      <c r="A6284" t="str">
        <f t="shared" si="1385"/>
        <v>89301000</v>
      </c>
      <c r="B6284" t="str">
        <f t="shared" ref="B6284:C6302" si="1386">"91970116"</f>
        <v>91970116</v>
      </c>
      <c r="C6284" t="str">
        <f t="shared" si="1386"/>
        <v>91970116</v>
      </c>
      <c r="D6284" t="str">
        <f t="shared" ref="D6284:D6302" si="1387">"801"</f>
        <v>801</v>
      </c>
      <c r="E6284" t="str">
        <f t="shared" ref="E6284:E6307" si="1388">"89301167"</f>
        <v>89301167</v>
      </c>
      <c r="F6284" t="str">
        <f t="shared" ref="F6284:F6307" si="1389">"530220073"</f>
        <v>530220073</v>
      </c>
      <c r="G6284" s="1">
        <v>44729</v>
      </c>
      <c r="H6284" t="str">
        <f>"97111"</f>
        <v>97111</v>
      </c>
      <c r="I6284">
        <v>1</v>
      </c>
      <c r="J6284">
        <v>18</v>
      </c>
      <c r="K6284">
        <v>0</v>
      </c>
      <c r="L6284">
        <v>14.04</v>
      </c>
    </row>
    <row r="6285" spans="1:12" x14ac:dyDescent="0.25">
      <c r="A6285" t="str">
        <f t="shared" si="1385"/>
        <v>89301000</v>
      </c>
      <c r="B6285" t="str">
        <f t="shared" si="1386"/>
        <v>91970116</v>
      </c>
      <c r="C6285" t="str">
        <f t="shared" si="1386"/>
        <v>91970116</v>
      </c>
      <c r="D6285" t="str">
        <f t="shared" si="1387"/>
        <v>801</v>
      </c>
      <c r="E6285" t="str">
        <f t="shared" si="1388"/>
        <v>89301167</v>
      </c>
      <c r="F6285" t="str">
        <f t="shared" si="1389"/>
        <v>530220073</v>
      </c>
      <c r="G6285" s="1">
        <v>44729</v>
      </c>
      <c r="H6285" t="str">
        <f>"81621"</f>
        <v>81621</v>
      </c>
      <c r="I6285">
        <v>1</v>
      </c>
      <c r="J6285">
        <v>19</v>
      </c>
      <c r="K6285">
        <v>0</v>
      </c>
      <c r="L6285">
        <v>14.82</v>
      </c>
    </row>
    <row r="6286" spans="1:12" x14ac:dyDescent="0.25">
      <c r="A6286" t="str">
        <f t="shared" si="1385"/>
        <v>89301000</v>
      </c>
      <c r="B6286" t="str">
        <f t="shared" si="1386"/>
        <v>91970116</v>
      </c>
      <c r="C6286" t="str">
        <f t="shared" si="1386"/>
        <v>91970116</v>
      </c>
      <c r="D6286" t="str">
        <f t="shared" si="1387"/>
        <v>801</v>
      </c>
      <c r="E6286" t="str">
        <f t="shared" si="1388"/>
        <v>89301167</v>
      </c>
      <c r="F6286" t="str">
        <f t="shared" si="1389"/>
        <v>530220073</v>
      </c>
      <c r="G6286" s="1">
        <v>44729</v>
      </c>
      <c r="H6286" t="str">
        <f>"81499"</f>
        <v>81499</v>
      </c>
      <c r="I6286">
        <v>1</v>
      </c>
      <c r="J6286">
        <v>18</v>
      </c>
      <c r="K6286">
        <v>0</v>
      </c>
      <c r="L6286">
        <v>14.04</v>
      </c>
    </row>
    <row r="6287" spans="1:12" x14ac:dyDescent="0.25">
      <c r="A6287" t="str">
        <f t="shared" si="1385"/>
        <v>89301000</v>
      </c>
      <c r="B6287" t="str">
        <f t="shared" si="1386"/>
        <v>91970116</v>
      </c>
      <c r="C6287" t="str">
        <f t="shared" si="1386"/>
        <v>91970116</v>
      </c>
      <c r="D6287" t="str">
        <f t="shared" si="1387"/>
        <v>801</v>
      </c>
      <c r="E6287" t="str">
        <f t="shared" si="1388"/>
        <v>89301167</v>
      </c>
      <c r="F6287" t="str">
        <f t="shared" si="1389"/>
        <v>530220073</v>
      </c>
      <c r="G6287" s="1">
        <v>44729</v>
      </c>
      <c r="H6287" t="str">
        <f>"81523"</f>
        <v>81523</v>
      </c>
      <c r="I6287">
        <v>1</v>
      </c>
      <c r="J6287">
        <v>23</v>
      </c>
      <c r="K6287">
        <v>0</v>
      </c>
      <c r="L6287">
        <v>17.940000000000001</v>
      </c>
    </row>
    <row r="6288" spans="1:12" x14ac:dyDescent="0.25">
      <c r="A6288" t="str">
        <f t="shared" si="1385"/>
        <v>89301000</v>
      </c>
      <c r="B6288" t="str">
        <f t="shared" si="1386"/>
        <v>91970116</v>
      </c>
      <c r="C6288" t="str">
        <f t="shared" si="1386"/>
        <v>91970116</v>
      </c>
      <c r="D6288" t="str">
        <f t="shared" si="1387"/>
        <v>801</v>
      </c>
      <c r="E6288" t="str">
        <f t="shared" si="1388"/>
        <v>89301167</v>
      </c>
      <c r="F6288" t="str">
        <f t="shared" si="1389"/>
        <v>530220073</v>
      </c>
      <c r="G6288" s="1">
        <v>44729</v>
      </c>
      <c r="H6288" t="str">
        <f>"81329"</f>
        <v>81329</v>
      </c>
      <c r="I6288">
        <v>1</v>
      </c>
      <c r="J6288">
        <v>16</v>
      </c>
      <c r="K6288">
        <v>0</v>
      </c>
      <c r="L6288">
        <v>12.48</v>
      </c>
    </row>
    <row r="6289" spans="1:12" x14ac:dyDescent="0.25">
      <c r="A6289" t="str">
        <f t="shared" si="1385"/>
        <v>89301000</v>
      </c>
      <c r="B6289" t="str">
        <f t="shared" si="1386"/>
        <v>91970116</v>
      </c>
      <c r="C6289" t="str">
        <f t="shared" si="1386"/>
        <v>91970116</v>
      </c>
      <c r="D6289" t="str">
        <f t="shared" si="1387"/>
        <v>801</v>
      </c>
      <c r="E6289" t="str">
        <f t="shared" si="1388"/>
        <v>89301167</v>
      </c>
      <c r="F6289" t="str">
        <f t="shared" si="1389"/>
        <v>530220073</v>
      </c>
      <c r="G6289" s="1">
        <v>44729</v>
      </c>
      <c r="H6289" t="str">
        <f>"81361"</f>
        <v>81361</v>
      </c>
      <c r="I6289">
        <v>1</v>
      </c>
      <c r="J6289">
        <v>17</v>
      </c>
      <c r="K6289">
        <v>0</v>
      </c>
      <c r="L6289">
        <v>13.26</v>
      </c>
    </row>
    <row r="6290" spans="1:12" x14ac:dyDescent="0.25">
      <c r="A6290" t="str">
        <f t="shared" si="1385"/>
        <v>89301000</v>
      </c>
      <c r="B6290" t="str">
        <f t="shared" si="1386"/>
        <v>91970116</v>
      </c>
      <c r="C6290" t="str">
        <f t="shared" si="1386"/>
        <v>91970116</v>
      </c>
      <c r="D6290" t="str">
        <f t="shared" si="1387"/>
        <v>801</v>
      </c>
      <c r="E6290" t="str">
        <f t="shared" si="1388"/>
        <v>89301167</v>
      </c>
      <c r="F6290" t="str">
        <f t="shared" si="1389"/>
        <v>530220073</v>
      </c>
      <c r="G6290" s="1">
        <v>44729</v>
      </c>
      <c r="H6290" t="str">
        <f>"81337"</f>
        <v>81337</v>
      </c>
      <c r="I6290">
        <v>1</v>
      </c>
      <c r="J6290">
        <v>19</v>
      </c>
      <c r="K6290">
        <v>0</v>
      </c>
      <c r="L6290">
        <v>14.82</v>
      </c>
    </row>
    <row r="6291" spans="1:12" x14ac:dyDescent="0.25">
      <c r="A6291" t="str">
        <f t="shared" si="1385"/>
        <v>89301000</v>
      </c>
      <c r="B6291" t="str">
        <f t="shared" si="1386"/>
        <v>91970116</v>
      </c>
      <c r="C6291" t="str">
        <f t="shared" si="1386"/>
        <v>91970116</v>
      </c>
      <c r="D6291" t="str">
        <f t="shared" si="1387"/>
        <v>801</v>
      </c>
      <c r="E6291" t="str">
        <f t="shared" si="1388"/>
        <v>89301167</v>
      </c>
      <c r="F6291" t="str">
        <f t="shared" si="1389"/>
        <v>530220073</v>
      </c>
      <c r="G6291" s="1">
        <v>44729</v>
      </c>
      <c r="H6291" t="str">
        <f>"81357"</f>
        <v>81357</v>
      </c>
      <c r="I6291">
        <v>1</v>
      </c>
      <c r="J6291">
        <v>19</v>
      </c>
      <c r="K6291">
        <v>0</v>
      </c>
      <c r="L6291">
        <v>14.82</v>
      </c>
    </row>
    <row r="6292" spans="1:12" x14ac:dyDescent="0.25">
      <c r="A6292" t="str">
        <f t="shared" si="1385"/>
        <v>89301000</v>
      </c>
      <c r="B6292" t="str">
        <f t="shared" si="1386"/>
        <v>91970116</v>
      </c>
      <c r="C6292" t="str">
        <f t="shared" si="1386"/>
        <v>91970116</v>
      </c>
      <c r="D6292" t="str">
        <f t="shared" si="1387"/>
        <v>801</v>
      </c>
      <c r="E6292" t="str">
        <f t="shared" si="1388"/>
        <v>89301167</v>
      </c>
      <c r="F6292" t="str">
        <f t="shared" si="1389"/>
        <v>530220073</v>
      </c>
      <c r="G6292" s="1">
        <v>44729</v>
      </c>
      <c r="H6292" t="str">
        <f>"81421"</f>
        <v>81421</v>
      </c>
      <c r="I6292">
        <v>1</v>
      </c>
      <c r="J6292">
        <v>19</v>
      </c>
      <c r="K6292">
        <v>0</v>
      </c>
      <c r="L6292">
        <v>14.82</v>
      </c>
    </row>
    <row r="6293" spans="1:12" x14ac:dyDescent="0.25">
      <c r="A6293" t="str">
        <f t="shared" si="1385"/>
        <v>89301000</v>
      </c>
      <c r="B6293" t="str">
        <f t="shared" si="1386"/>
        <v>91970116</v>
      </c>
      <c r="C6293" t="str">
        <f t="shared" si="1386"/>
        <v>91970116</v>
      </c>
      <c r="D6293" t="str">
        <f t="shared" si="1387"/>
        <v>801</v>
      </c>
      <c r="E6293" t="str">
        <f t="shared" si="1388"/>
        <v>89301167</v>
      </c>
      <c r="F6293" t="str">
        <f t="shared" si="1389"/>
        <v>530220073</v>
      </c>
      <c r="G6293" s="1">
        <v>44729</v>
      </c>
      <c r="H6293" t="str">
        <f>"81435"</f>
        <v>81435</v>
      </c>
      <c r="I6293">
        <v>1</v>
      </c>
      <c r="J6293">
        <v>22</v>
      </c>
      <c r="K6293">
        <v>0</v>
      </c>
      <c r="L6293">
        <v>17.16</v>
      </c>
    </row>
    <row r="6294" spans="1:12" x14ac:dyDescent="0.25">
      <c r="A6294" t="str">
        <f t="shared" si="1385"/>
        <v>89301000</v>
      </c>
      <c r="B6294" t="str">
        <f t="shared" si="1386"/>
        <v>91970116</v>
      </c>
      <c r="C6294" t="str">
        <f t="shared" si="1386"/>
        <v>91970116</v>
      </c>
      <c r="D6294" t="str">
        <f t="shared" si="1387"/>
        <v>801</v>
      </c>
      <c r="E6294" t="str">
        <f t="shared" si="1388"/>
        <v>89301167</v>
      </c>
      <c r="F6294" t="str">
        <f t="shared" si="1389"/>
        <v>530220073</v>
      </c>
      <c r="G6294" s="1">
        <v>44729</v>
      </c>
      <c r="H6294" t="str">
        <f>"81439"</f>
        <v>81439</v>
      </c>
      <c r="I6294">
        <v>1</v>
      </c>
      <c r="J6294">
        <v>16</v>
      </c>
      <c r="K6294">
        <v>0</v>
      </c>
      <c r="L6294">
        <v>12.48</v>
      </c>
    </row>
    <row r="6295" spans="1:12" x14ac:dyDescent="0.25">
      <c r="A6295" t="str">
        <f t="shared" si="1385"/>
        <v>89301000</v>
      </c>
      <c r="B6295" t="str">
        <f t="shared" si="1386"/>
        <v>91970116</v>
      </c>
      <c r="C6295" t="str">
        <f t="shared" si="1386"/>
        <v>91970116</v>
      </c>
      <c r="D6295" t="str">
        <f t="shared" si="1387"/>
        <v>801</v>
      </c>
      <c r="E6295" t="str">
        <f t="shared" si="1388"/>
        <v>89301167</v>
      </c>
      <c r="F6295" t="str">
        <f t="shared" si="1389"/>
        <v>530220073</v>
      </c>
      <c r="G6295" s="1">
        <v>44729</v>
      </c>
      <c r="H6295" t="str">
        <f>"81471"</f>
        <v>81471</v>
      </c>
      <c r="I6295">
        <v>1</v>
      </c>
      <c r="J6295">
        <v>24</v>
      </c>
      <c r="K6295">
        <v>0</v>
      </c>
      <c r="L6295">
        <v>18.72</v>
      </c>
    </row>
    <row r="6296" spans="1:12" x14ac:dyDescent="0.25">
      <c r="A6296" t="str">
        <f t="shared" si="1385"/>
        <v>89301000</v>
      </c>
      <c r="B6296" t="str">
        <f t="shared" si="1386"/>
        <v>91970116</v>
      </c>
      <c r="C6296" t="str">
        <f t="shared" si="1386"/>
        <v>91970116</v>
      </c>
      <c r="D6296" t="str">
        <f t="shared" si="1387"/>
        <v>801</v>
      </c>
      <c r="E6296" t="str">
        <f t="shared" si="1388"/>
        <v>89301167</v>
      </c>
      <c r="F6296" t="str">
        <f t="shared" si="1389"/>
        <v>530220073</v>
      </c>
      <c r="G6296" s="1">
        <v>44729</v>
      </c>
      <c r="H6296" t="str">
        <f>"81611"</f>
        <v>81611</v>
      </c>
      <c r="I6296">
        <v>1</v>
      </c>
      <c r="J6296">
        <v>29</v>
      </c>
      <c r="K6296">
        <v>0</v>
      </c>
      <c r="L6296">
        <v>22.62</v>
      </c>
    </row>
    <row r="6297" spans="1:12" x14ac:dyDescent="0.25">
      <c r="A6297" t="str">
        <f t="shared" si="1385"/>
        <v>89301000</v>
      </c>
      <c r="B6297" t="str">
        <f t="shared" si="1386"/>
        <v>91970116</v>
      </c>
      <c r="C6297" t="str">
        <f t="shared" si="1386"/>
        <v>91970116</v>
      </c>
      <c r="D6297" t="str">
        <f t="shared" si="1387"/>
        <v>801</v>
      </c>
      <c r="E6297" t="str">
        <f t="shared" si="1388"/>
        <v>89301167</v>
      </c>
      <c r="F6297" t="str">
        <f t="shared" si="1389"/>
        <v>530220073</v>
      </c>
      <c r="G6297" s="1">
        <v>44729</v>
      </c>
      <c r="H6297" t="str">
        <f>"91153"</f>
        <v>91153</v>
      </c>
      <c r="I6297">
        <v>1</v>
      </c>
      <c r="J6297">
        <v>152</v>
      </c>
      <c r="K6297">
        <v>0</v>
      </c>
      <c r="L6297">
        <v>118.56</v>
      </c>
    </row>
    <row r="6298" spans="1:12" x14ac:dyDescent="0.25">
      <c r="A6298" t="str">
        <f t="shared" si="1385"/>
        <v>89301000</v>
      </c>
      <c r="B6298" t="str">
        <f t="shared" si="1386"/>
        <v>91970116</v>
      </c>
      <c r="C6298" t="str">
        <f t="shared" si="1386"/>
        <v>91970116</v>
      </c>
      <c r="D6298" t="str">
        <f t="shared" si="1387"/>
        <v>801</v>
      </c>
      <c r="E6298" t="str">
        <f t="shared" si="1388"/>
        <v>89301167</v>
      </c>
      <c r="F6298" t="str">
        <f t="shared" si="1389"/>
        <v>530220073</v>
      </c>
      <c r="G6298" s="1">
        <v>44729</v>
      </c>
      <c r="H6298" t="str">
        <f>"81511"</f>
        <v>81511</v>
      </c>
      <c r="I6298">
        <v>1</v>
      </c>
      <c r="J6298">
        <v>9</v>
      </c>
      <c r="K6298">
        <v>0</v>
      </c>
      <c r="L6298">
        <v>7.02</v>
      </c>
    </row>
    <row r="6299" spans="1:12" x14ac:dyDescent="0.25">
      <c r="A6299" t="str">
        <f t="shared" si="1385"/>
        <v>89301000</v>
      </c>
      <c r="B6299" t="str">
        <f t="shared" si="1386"/>
        <v>91970116</v>
      </c>
      <c r="C6299" t="str">
        <f t="shared" si="1386"/>
        <v>91970116</v>
      </c>
      <c r="D6299" t="str">
        <f t="shared" si="1387"/>
        <v>801</v>
      </c>
      <c r="E6299" t="str">
        <f t="shared" si="1388"/>
        <v>89301167</v>
      </c>
      <c r="F6299" t="str">
        <f t="shared" si="1389"/>
        <v>530220073</v>
      </c>
      <c r="G6299" s="1">
        <v>44729</v>
      </c>
      <c r="H6299" t="str">
        <f>"81593"</f>
        <v>81593</v>
      </c>
      <c r="I6299">
        <v>1</v>
      </c>
      <c r="J6299">
        <v>22</v>
      </c>
      <c r="K6299">
        <v>0</v>
      </c>
      <c r="L6299">
        <v>17.16</v>
      </c>
    </row>
    <row r="6300" spans="1:12" x14ac:dyDescent="0.25">
      <c r="A6300" t="str">
        <f t="shared" si="1385"/>
        <v>89301000</v>
      </c>
      <c r="B6300" t="str">
        <f t="shared" si="1386"/>
        <v>91970116</v>
      </c>
      <c r="C6300" t="str">
        <f t="shared" si="1386"/>
        <v>91970116</v>
      </c>
      <c r="D6300" t="str">
        <f t="shared" si="1387"/>
        <v>801</v>
      </c>
      <c r="E6300" t="str">
        <f t="shared" si="1388"/>
        <v>89301167</v>
      </c>
      <c r="F6300" t="str">
        <f t="shared" si="1389"/>
        <v>530220073</v>
      </c>
      <c r="G6300" s="1">
        <v>44729</v>
      </c>
      <c r="H6300" t="str">
        <f>"81393"</f>
        <v>81393</v>
      </c>
      <c r="I6300">
        <v>1</v>
      </c>
      <c r="J6300">
        <v>24</v>
      </c>
      <c r="K6300">
        <v>0</v>
      </c>
      <c r="L6300">
        <v>18.72</v>
      </c>
    </row>
    <row r="6301" spans="1:12" x14ac:dyDescent="0.25">
      <c r="A6301" t="str">
        <f t="shared" si="1385"/>
        <v>89301000</v>
      </c>
      <c r="B6301" t="str">
        <f t="shared" si="1386"/>
        <v>91970116</v>
      </c>
      <c r="C6301" t="str">
        <f t="shared" si="1386"/>
        <v>91970116</v>
      </c>
      <c r="D6301" t="str">
        <f t="shared" si="1387"/>
        <v>801</v>
      </c>
      <c r="E6301" t="str">
        <f t="shared" si="1388"/>
        <v>89301167</v>
      </c>
      <c r="F6301" t="str">
        <f t="shared" si="1389"/>
        <v>530220073</v>
      </c>
      <c r="G6301" s="1">
        <v>44729</v>
      </c>
      <c r="H6301" t="str">
        <f>"81469"</f>
        <v>81469</v>
      </c>
      <c r="I6301">
        <v>1</v>
      </c>
      <c r="J6301">
        <v>16</v>
      </c>
      <c r="K6301">
        <v>0</v>
      </c>
      <c r="L6301">
        <v>12.48</v>
      </c>
    </row>
    <row r="6302" spans="1:12" x14ac:dyDescent="0.25">
      <c r="A6302" t="str">
        <f t="shared" si="1385"/>
        <v>89301000</v>
      </c>
      <c r="B6302" t="str">
        <f t="shared" si="1386"/>
        <v>91970116</v>
      </c>
      <c r="C6302" t="str">
        <f t="shared" si="1386"/>
        <v>91970116</v>
      </c>
      <c r="D6302" t="str">
        <f t="shared" si="1387"/>
        <v>801</v>
      </c>
      <c r="E6302" t="str">
        <f t="shared" si="1388"/>
        <v>89301167</v>
      </c>
      <c r="F6302" t="str">
        <f t="shared" si="1389"/>
        <v>530220073</v>
      </c>
      <c r="G6302" s="1">
        <v>44729</v>
      </c>
      <c r="H6302" t="str">
        <f>"81249"</f>
        <v>81249</v>
      </c>
      <c r="I6302">
        <v>1</v>
      </c>
      <c r="J6302">
        <v>333</v>
      </c>
      <c r="K6302">
        <v>0</v>
      </c>
      <c r="L6302">
        <v>259.74</v>
      </c>
    </row>
    <row r="6303" spans="1:12" x14ac:dyDescent="0.25">
      <c r="A6303" t="str">
        <f t="shared" si="1385"/>
        <v>89301000</v>
      </c>
      <c r="B6303" t="str">
        <f>"91970116"</f>
        <v>91970116</v>
      </c>
      <c r="C6303" t="str">
        <f>"91970115"</f>
        <v>91970115</v>
      </c>
      <c r="D6303" t="str">
        <f>"818"</f>
        <v>818</v>
      </c>
      <c r="E6303" t="str">
        <f t="shared" si="1388"/>
        <v>89301167</v>
      </c>
      <c r="F6303" t="str">
        <f t="shared" si="1389"/>
        <v>530220073</v>
      </c>
      <c r="G6303" s="1">
        <v>44729</v>
      </c>
      <c r="H6303" t="str">
        <f>"09119"</f>
        <v>09119</v>
      </c>
      <c r="I6303">
        <v>1</v>
      </c>
      <c r="J6303">
        <v>42</v>
      </c>
      <c r="K6303">
        <v>0</v>
      </c>
      <c r="L6303">
        <v>38.22</v>
      </c>
    </row>
    <row r="6304" spans="1:12" x14ac:dyDescent="0.25">
      <c r="A6304" t="str">
        <f t="shared" si="1385"/>
        <v>89301000</v>
      </c>
      <c r="B6304" t="str">
        <f>"91970116"</f>
        <v>91970116</v>
      </c>
      <c r="C6304" t="str">
        <f>"91970115"</f>
        <v>91970115</v>
      </c>
      <c r="D6304" t="str">
        <f>"818"</f>
        <v>818</v>
      </c>
      <c r="E6304" t="str">
        <f t="shared" si="1388"/>
        <v>89301167</v>
      </c>
      <c r="F6304" t="str">
        <f t="shared" si="1389"/>
        <v>530220073</v>
      </c>
      <c r="G6304" s="1">
        <v>44729</v>
      </c>
      <c r="H6304" t="str">
        <f>"96163"</f>
        <v>96163</v>
      </c>
      <c r="I6304">
        <v>1</v>
      </c>
      <c r="J6304">
        <v>27</v>
      </c>
      <c r="K6304">
        <v>0</v>
      </c>
      <c r="L6304">
        <v>24.57</v>
      </c>
    </row>
    <row r="6305" spans="1:12" x14ac:dyDescent="0.25">
      <c r="A6305" t="str">
        <f t="shared" si="1385"/>
        <v>89301000</v>
      </c>
      <c r="B6305" t="str">
        <f>"91970116"</f>
        <v>91970116</v>
      </c>
      <c r="C6305" t="str">
        <f>"91970115"</f>
        <v>91970115</v>
      </c>
      <c r="D6305" t="str">
        <f>"818"</f>
        <v>818</v>
      </c>
      <c r="E6305" t="str">
        <f t="shared" si="1388"/>
        <v>89301167</v>
      </c>
      <c r="F6305" t="str">
        <f t="shared" si="1389"/>
        <v>530220073</v>
      </c>
      <c r="G6305" s="1">
        <v>44729</v>
      </c>
      <c r="H6305" t="str">
        <f>"96315"</f>
        <v>96315</v>
      </c>
      <c r="I6305">
        <v>1</v>
      </c>
      <c r="J6305">
        <v>29</v>
      </c>
      <c r="K6305">
        <v>0</v>
      </c>
      <c r="L6305">
        <v>26.39</v>
      </c>
    </row>
    <row r="6306" spans="1:12" x14ac:dyDescent="0.25">
      <c r="A6306" t="str">
        <f t="shared" si="1385"/>
        <v>89301000</v>
      </c>
      <c r="B6306" t="str">
        <f>"91970116"</f>
        <v>91970116</v>
      </c>
      <c r="C6306" t="str">
        <f>"91970115"</f>
        <v>91970115</v>
      </c>
      <c r="D6306" t="str">
        <f>"818"</f>
        <v>818</v>
      </c>
      <c r="E6306" t="str">
        <f t="shared" si="1388"/>
        <v>89301167</v>
      </c>
      <c r="F6306" t="str">
        <f t="shared" si="1389"/>
        <v>530220073</v>
      </c>
      <c r="G6306" s="1">
        <v>44729</v>
      </c>
      <c r="H6306" t="str">
        <f>"96711"</f>
        <v>96711</v>
      </c>
      <c r="I6306">
        <v>1</v>
      </c>
      <c r="J6306">
        <v>27</v>
      </c>
      <c r="K6306">
        <v>0</v>
      </c>
      <c r="L6306">
        <v>24.57</v>
      </c>
    </row>
    <row r="6307" spans="1:12" x14ac:dyDescent="0.25">
      <c r="A6307" t="str">
        <f t="shared" si="1385"/>
        <v>89301000</v>
      </c>
      <c r="B6307" t="str">
        <f>"91970116"</f>
        <v>91970116</v>
      </c>
      <c r="C6307" t="str">
        <f>"91970115"</f>
        <v>91970115</v>
      </c>
      <c r="D6307" t="str">
        <f>"818"</f>
        <v>818</v>
      </c>
      <c r="E6307" t="str">
        <f t="shared" si="1388"/>
        <v>89301167</v>
      </c>
      <c r="F6307" t="str">
        <f t="shared" si="1389"/>
        <v>530220073</v>
      </c>
      <c r="G6307" s="1">
        <v>44729</v>
      </c>
      <c r="H6307" t="str">
        <f>"96713"</f>
        <v>96713</v>
      </c>
      <c r="I6307">
        <v>1</v>
      </c>
      <c r="J6307">
        <v>14</v>
      </c>
      <c r="K6307">
        <v>0</v>
      </c>
      <c r="L6307">
        <v>12.74</v>
      </c>
    </row>
    <row r="6308" spans="1:12" x14ac:dyDescent="0.25">
      <c r="A6308" t="str">
        <f t="shared" si="1385"/>
        <v>89301000</v>
      </c>
      <c r="B6308" t="str">
        <f>"82083000"</f>
        <v>82083000</v>
      </c>
      <c r="C6308" t="str">
        <f>"82083102"</f>
        <v>82083102</v>
      </c>
      <c r="D6308" t="str">
        <f>"801"</f>
        <v>801</v>
      </c>
      <c r="E6308" t="str">
        <f>"89301082"</f>
        <v>89301082</v>
      </c>
      <c r="F6308" t="str">
        <f>"9559084491"</f>
        <v>9559084491</v>
      </c>
      <c r="G6308" s="1">
        <v>44732</v>
      </c>
      <c r="H6308" t="str">
        <f>"09119"</f>
        <v>09119</v>
      </c>
      <c r="I6308">
        <v>1</v>
      </c>
      <c r="J6308">
        <v>42</v>
      </c>
      <c r="K6308">
        <v>0</v>
      </c>
      <c r="L6308">
        <v>32.76</v>
      </c>
    </row>
    <row r="6309" spans="1:12" x14ac:dyDescent="0.25">
      <c r="A6309" t="str">
        <f t="shared" si="1385"/>
        <v>89301000</v>
      </c>
      <c r="B6309" t="str">
        <f>"82083000"</f>
        <v>82083000</v>
      </c>
      <c r="C6309" t="str">
        <f>"82083102"</f>
        <v>82083102</v>
      </c>
      <c r="D6309" t="str">
        <f>"801"</f>
        <v>801</v>
      </c>
      <c r="E6309" t="str">
        <f>"89301082"</f>
        <v>89301082</v>
      </c>
      <c r="F6309" t="str">
        <f>"9559084491"</f>
        <v>9559084491</v>
      </c>
      <c r="G6309" s="1">
        <v>44732</v>
      </c>
      <c r="H6309" t="str">
        <f>"93155"</f>
        <v>93155</v>
      </c>
      <c r="I6309">
        <v>1</v>
      </c>
      <c r="J6309">
        <v>202</v>
      </c>
      <c r="K6309">
        <v>0</v>
      </c>
      <c r="L6309">
        <v>157.56</v>
      </c>
    </row>
    <row r="6310" spans="1:12" x14ac:dyDescent="0.25">
      <c r="A6310" t="str">
        <f t="shared" si="1385"/>
        <v>89301000</v>
      </c>
      <c r="B6310" t="str">
        <f>"82083000"</f>
        <v>82083000</v>
      </c>
      <c r="C6310" t="str">
        <f>"82083102"</f>
        <v>82083102</v>
      </c>
      <c r="D6310" t="str">
        <f>"801"</f>
        <v>801</v>
      </c>
      <c r="E6310" t="str">
        <f>"89301082"</f>
        <v>89301082</v>
      </c>
      <c r="F6310" t="str">
        <f>"9559084491"</f>
        <v>9559084491</v>
      </c>
      <c r="G6310" s="1">
        <v>44732</v>
      </c>
      <c r="H6310" t="str">
        <f>"97111"</f>
        <v>97111</v>
      </c>
      <c r="I6310">
        <v>1</v>
      </c>
      <c r="J6310">
        <v>18</v>
      </c>
      <c r="K6310">
        <v>0</v>
      </c>
      <c r="L6310">
        <v>14.04</v>
      </c>
    </row>
    <row r="6311" spans="1:12" x14ac:dyDescent="0.25">
      <c r="A6311" t="str">
        <f t="shared" si="1385"/>
        <v>89301000</v>
      </c>
      <c r="B6311" t="str">
        <f t="shared" ref="B6311:C6318" si="1390">"89345401"</f>
        <v>89345401</v>
      </c>
      <c r="C6311" t="str">
        <f t="shared" si="1390"/>
        <v>89345401</v>
      </c>
      <c r="D6311" t="str">
        <f t="shared" ref="D6311:D6342" si="1391">"809"</f>
        <v>809</v>
      </c>
      <c r="E6311" t="str">
        <f>"89301032"</f>
        <v>89301032</v>
      </c>
      <c r="F6311" t="str">
        <f>"7956054920"</f>
        <v>7956054920</v>
      </c>
      <c r="G6311" s="1">
        <v>44720</v>
      </c>
      <c r="H6311" t="str">
        <f>"89513"</f>
        <v>89513</v>
      </c>
      <c r="I6311">
        <v>1</v>
      </c>
      <c r="J6311">
        <v>371</v>
      </c>
      <c r="K6311">
        <v>0</v>
      </c>
      <c r="L6311">
        <v>519.4</v>
      </c>
    </row>
    <row r="6312" spans="1:12" x14ac:dyDescent="0.25">
      <c r="A6312" t="str">
        <f t="shared" si="1385"/>
        <v>89301000</v>
      </c>
      <c r="B6312" t="str">
        <f t="shared" si="1390"/>
        <v>89345401</v>
      </c>
      <c r="C6312" t="str">
        <f t="shared" si="1390"/>
        <v>89345401</v>
      </c>
      <c r="D6312" t="str">
        <f t="shared" si="1391"/>
        <v>809</v>
      </c>
      <c r="E6312" t="str">
        <f>"89301032"</f>
        <v>89301032</v>
      </c>
      <c r="F6312" t="str">
        <f>"7956054920"</f>
        <v>7956054920</v>
      </c>
      <c r="G6312" s="1">
        <v>44720</v>
      </c>
      <c r="H6312" t="str">
        <f>"89514"</f>
        <v>89514</v>
      </c>
      <c r="I6312">
        <v>1</v>
      </c>
      <c r="J6312">
        <v>371</v>
      </c>
      <c r="K6312">
        <v>0</v>
      </c>
      <c r="L6312">
        <v>519.4</v>
      </c>
    </row>
    <row r="6313" spans="1:12" x14ac:dyDescent="0.25">
      <c r="A6313" t="str">
        <f t="shared" si="1385"/>
        <v>89301000</v>
      </c>
      <c r="B6313" t="str">
        <f t="shared" si="1390"/>
        <v>89345401</v>
      </c>
      <c r="C6313" t="str">
        <f t="shared" si="1390"/>
        <v>89345401</v>
      </c>
      <c r="D6313" t="str">
        <f t="shared" si="1391"/>
        <v>809</v>
      </c>
      <c r="E6313" t="str">
        <f>"89301212"</f>
        <v>89301212</v>
      </c>
      <c r="F6313" t="str">
        <f>"5759071978"</f>
        <v>5759071978</v>
      </c>
      <c r="G6313" s="1">
        <v>44718</v>
      </c>
      <c r="H6313" t="str">
        <f>"89513"</f>
        <v>89513</v>
      </c>
      <c r="I6313">
        <v>1</v>
      </c>
      <c r="J6313">
        <v>371</v>
      </c>
      <c r="K6313">
        <v>0</v>
      </c>
      <c r="L6313">
        <v>519.4</v>
      </c>
    </row>
    <row r="6314" spans="1:12" x14ac:dyDescent="0.25">
      <c r="A6314" t="str">
        <f t="shared" si="1385"/>
        <v>89301000</v>
      </c>
      <c r="B6314" t="str">
        <f t="shared" si="1390"/>
        <v>89345401</v>
      </c>
      <c r="C6314" t="str">
        <f t="shared" si="1390"/>
        <v>89345401</v>
      </c>
      <c r="D6314" t="str">
        <f t="shared" si="1391"/>
        <v>809</v>
      </c>
      <c r="E6314" t="str">
        <f>"89301212"</f>
        <v>89301212</v>
      </c>
      <c r="F6314" t="str">
        <f>"5759071978"</f>
        <v>5759071978</v>
      </c>
      <c r="G6314" s="1">
        <v>44718</v>
      </c>
      <c r="H6314" t="str">
        <f>"89514"</f>
        <v>89514</v>
      </c>
      <c r="I6314">
        <v>1</v>
      </c>
      <c r="J6314">
        <v>371</v>
      </c>
      <c r="K6314">
        <v>0</v>
      </c>
      <c r="L6314">
        <v>519.4</v>
      </c>
    </row>
    <row r="6315" spans="1:12" x14ac:dyDescent="0.25">
      <c r="A6315" t="str">
        <f t="shared" si="1385"/>
        <v>89301000</v>
      </c>
      <c r="B6315" t="str">
        <f t="shared" si="1390"/>
        <v>89345401</v>
      </c>
      <c r="C6315" t="str">
        <f t="shared" si="1390"/>
        <v>89345401</v>
      </c>
      <c r="D6315" t="str">
        <f t="shared" si="1391"/>
        <v>809</v>
      </c>
      <c r="E6315" t="str">
        <f>"89301212"</f>
        <v>89301212</v>
      </c>
      <c r="F6315" t="str">
        <f>"445928463"</f>
        <v>445928463</v>
      </c>
      <c r="G6315" s="1">
        <v>44739</v>
      </c>
      <c r="H6315" t="str">
        <f>"89513"</f>
        <v>89513</v>
      </c>
      <c r="I6315">
        <v>1</v>
      </c>
      <c r="J6315">
        <v>371</v>
      </c>
      <c r="K6315">
        <v>0</v>
      </c>
      <c r="L6315">
        <v>519.4</v>
      </c>
    </row>
    <row r="6316" spans="1:12" x14ac:dyDescent="0.25">
      <c r="A6316" t="str">
        <f t="shared" si="1385"/>
        <v>89301000</v>
      </c>
      <c r="B6316" t="str">
        <f t="shared" si="1390"/>
        <v>89345401</v>
      </c>
      <c r="C6316" t="str">
        <f t="shared" si="1390"/>
        <v>89345401</v>
      </c>
      <c r="D6316" t="str">
        <f t="shared" si="1391"/>
        <v>809</v>
      </c>
      <c r="E6316" t="str">
        <f>"89301212"</f>
        <v>89301212</v>
      </c>
      <c r="F6316" t="str">
        <f>"445928463"</f>
        <v>445928463</v>
      </c>
      <c r="G6316" s="1">
        <v>44739</v>
      </c>
      <c r="H6316" t="str">
        <f>"89514"</f>
        <v>89514</v>
      </c>
      <c r="I6316">
        <v>1</v>
      </c>
      <c r="J6316">
        <v>371</v>
      </c>
      <c r="K6316">
        <v>0</v>
      </c>
      <c r="L6316">
        <v>519.4</v>
      </c>
    </row>
    <row r="6317" spans="1:12" x14ac:dyDescent="0.25">
      <c r="A6317" t="str">
        <f t="shared" si="1385"/>
        <v>89301000</v>
      </c>
      <c r="B6317" t="str">
        <f t="shared" si="1390"/>
        <v>89345401</v>
      </c>
      <c r="C6317" t="str">
        <f t="shared" si="1390"/>
        <v>89345401</v>
      </c>
      <c r="D6317" t="str">
        <f t="shared" si="1391"/>
        <v>809</v>
      </c>
      <c r="E6317" t="str">
        <f>"89301121"</f>
        <v>89301121</v>
      </c>
      <c r="F6317" t="str">
        <f>"5455051096"</f>
        <v>5455051096</v>
      </c>
      <c r="G6317" s="1">
        <v>44739</v>
      </c>
      <c r="H6317" t="str">
        <f>"89131"</f>
        <v>89131</v>
      </c>
      <c r="I6317">
        <v>1</v>
      </c>
      <c r="J6317">
        <v>187</v>
      </c>
      <c r="K6317">
        <v>0</v>
      </c>
      <c r="L6317">
        <v>261.8</v>
      </c>
    </row>
    <row r="6318" spans="1:12" x14ac:dyDescent="0.25">
      <c r="A6318" t="str">
        <f t="shared" si="1385"/>
        <v>89301000</v>
      </c>
      <c r="B6318" t="str">
        <f t="shared" si="1390"/>
        <v>89345401</v>
      </c>
      <c r="C6318" t="str">
        <f t="shared" si="1390"/>
        <v>89345401</v>
      </c>
      <c r="D6318" t="str">
        <f t="shared" si="1391"/>
        <v>809</v>
      </c>
      <c r="E6318" t="str">
        <f>"89301212"</f>
        <v>89301212</v>
      </c>
      <c r="F6318" t="str">
        <f>"525105081"</f>
        <v>525105081</v>
      </c>
      <c r="G6318" s="1">
        <v>44736</v>
      </c>
      <c r="H6318" t="str">
        <f>"89513"</f>
        <v>89513</v>
      </c>
      <c r="I6318">
        <v>1</v>
      </c>
      <c r="J6318">
        <v>371</v>
      </c>
      <c r="K6318">
        <v>0</v>
      </c>
      <c r="L6318">
        <v>519.4</v>
      </c>
    </row>
    <row r="6319" spans="1:12" x14ac:dyDescent="0.25">
      <c r="A6319" t="str">
        <f t="shared" si="1385"/>
        <v>89301000</v>
      </c>
      <c r="B6319" t="str">
        <f>"78934000"</f>
        <v>78934000</v>
      </c>
      <c r="C6319" t="str">
        <f>"78934001"</f>
        <v>78934001</v>
      </c>
      <c r="D6319" t="str">
        <f t="shared" si="1391"/>
        <v>809</v>
      </c>
      <c r="E6319" t="str">
        <f>"89301132"</f>
        <v>89301132</v>
      </c>
      <c r="F6319" t="str">
        <f>"9104293957"</f>
        <v>9104293957</v>
      </c>
      <c r="G6319" s="1">
        <v>44715</v>
      </c>
      <c r="H6319" t="str">
        <f>"09139"</f>
        <v>09139</v>
      </c>
      <c r="I6319">
        <v>1</v>
      </c>
      <c r="J6319">
        <v>346</v>
      </c>
      <c r="K6319">
        <v>0</v>
      </c>
      <c r="L6319">
        <v>484.4</v>
      </c>
    </row>
    <row r="6320" spans="1:12" x14ac:dyDescent="0.25">
      <c r="A6320" t="str">
        <f t="shared" si="1385"/>
        <v>89301000</v>
      </c>
      <c r="B6320" t="str">
        <f>"78934000"</f>
        <v>78934000</v>
      </c>
      <c r="C6320" t="str">
        <f>"78934001"</f>
        <v>78934001</v>
      </c>
      <c r="D6320" t="str">
        <f t="shared" si="1391"/>
        <v>809</v>
      </c>
      <c r="E6320" t="str">
        <f t="shared" ref="E6320:E6344" si="1392">"89301212"</f>
        <v>89301212</v>
      </c>
      <c r="F6320" t="str">
        <f>"7755224488"</f>
        <v>7755224488</v>
      </c>
      <c r="G6320" s="1">
        <v>44733</v>
      </c>
      <c r="H6320" t="str">
        <f>"89513"</f>
        <v>89513</v>
      </c>
      <c r="I6320">
        <v>1</v>
      </c>
      <c r="J6320">
        <v>371</v>
      </c>
      <c r="K6320">
        <v>0</v>
      </c>
      <c r="L6320">
        <v>519.4</v>
      </c>
    </row>
    <row r="6321" spans="1:12" x14ac:dyDescent="0.25">
      <c r="A6321" t="str">
        <f t="shared" si="1385"/>
        <v>89301000</v>
      </c>
      <c r="B6321" t="str">
        <f>"78934000"</f>
        <v>78934000</v>
      </c>
      <c r="C6321" t="str">
        <f>"78934001"</f>
        <v>78934001</v>
      </c>
      <c r="D6321" t="str">
        <f t="shared" si="1391"/>
        <v>809</v>
      </c>
      <c r="E6321" t="str">
        <f t="shared" si="1392"/>
        <v>89301212</v>
      </c>
      <c r="F6321" t="str">
        <f>"7755224488"</f>
        <v>7755224488</v>
      </c>
      <c r="G6321" s="1">
        <v>44733</v>
      </c>
      <c r="H6321" t="str">
        <f>"89514"</f>
        <v>89514</v>
      </c>
      <c r="I6321">
        <v>1</v>
      </c>
      <c r="J6321">
        <v>371</v>
      </c>
      <c r="K6321">
        <v>0</v>
      </c>
      <c r="L6321">
        <v>519.4</v>
      </c>
    </row>
    <row r="6322" spans="1:12" x14ac:dyDescent="0.25">
      <c r="A6322" t="str">
        <f t="shared" si="1385"/>
        <v>89301000</v>
      </c>
      <c r="B6322" t="str">
        <f>"78934000"</f>
        <v>78934000</v>
      </c>
      <c r="C6322" t="str">
        <f>"78934001"</f>
        <v>78934001</v>
      </c>
      <c r="D6322" t="str">
        <f t="shared" si="1391"/>
        <v>809</v>
      </c>
      <c r="E6322" t="str">
        <f t="shared" si="1392"/>
        <v>89301212</v>
      </c>
      <c r="F6322" t="str">
        <f>"6757211307"</f>
        <v>6757211307</v>
      </c>
      <c r="G6322" s="1">
        <v>44734</v>
      </c>
      <c r="H6322" t="str">
        <f>"89513"</f>
        <v>89513</v>
      </c>
      <c r="I6322">
        <v>1</v>
      </c>
      <c r="J6322">
        <v>371</v>
      </c>
      <c r="K6322">
        <v>0</v>
      </c>
      <c r="L6322">
        <v>519.4</v>
      </c>
    </row>
    <row r="6323" spans="1:12" x14ac:dyDescent="0.25">
      <c r="A6323" t="str">
        <f t="shared" si="1385"/>
        <v>89301000</v>
      </c>
      <c r="B6323" t="str">
        <f>"78934000"</f>
        <v>78934000</v>
      </c>
      <c r="C6323" t="str">
        <f>"78934001"</f>
        <v>78934001</v>
      </c>
      <c r="D6323" t="str">
        <f t="shared" si="1391"/>
        <v>809</v>
      </c>
      <c r="E6323" t="str">
        <f t="shared" si="1392"/>
        <v>89301212</v>
      </c>
      <c r="F6323" t="str">
        <f>"6757211307"</f>
        <v>6757211307</v>
      </c>
      <c r="G6323" s="1">
        <v>44734</v>
      </c>
      <c r="H6323" t="str">
        <f>"89514"</f>
        <v>89514</v>
      </c>
      <c r="I6323">
        <v>1</v>
      </c>
      <c r="J6323">
        <v>371</v>
      </c>
      <c r="K6323">
        <v>0</v>
      </c>
      <c r="L6323">
        <v>519.4</v>
      </c>
    </row>
    <row r="6324" spans="1:12" x14ac:dyDescent="0.25">
      <c r="A6324" t="str">
        <f t="shared" si="1385"/>
        <v>89301000</v>
      </c>
      <c r="B6324" t="str">
        <f t="shared" ref="B6324:B6361" si="1393">"89895000"</f>
        <v>89895000</v>
      </c>
      <c r="C6324" t="str">
        <f t="shared" ref="C6324:C6361" si="1394">"89895002"</f>
        <v>89895002</v>
      </c>
      <c r="D6324" t="str">
        <f t="shared" si="1391"/>
        <v>809</v>
      </c>
      <c r="E6324" t="str">
        <f t="shared" si="1392"/>
        <v>89301212</v>
      </c>
      <c r="F6324" t="str">
        <f>"445506443"</f>
        <v>445506443</v>
      </c>
      <c r="G6324" s="1">
        <v>44726</v>
      </c>
      <c r="H6324" t="str">
        <f>"89513"</f>
        <v>89513</v>
      </c>
      <c r="I6324">
        <v>1</v>
      </c>
      <c r="J6324">
        <v>371</v>
      </c>
      <c r="K6324">
        <v>0</v>
      </c>
      <c r="L6324">
        <v>519.4</v>
      </c>
    </row>
    <row r="6325" spans="1:12" x14ac:dyDescent="0.25">
      <c r="A6325" t="str">
        <f t="shared" si="1385"/>
        <v>89301000</v>
      </c>
      <c r="B6325" t="str">
        <f t="shared" si="1393"/>
        <v>89895000</v>
      </c>
      <c r="C6325" t="str">
        <f t="shared" si="1394"/>
        <v>89895002</v>
      </c>
      <c r="D6325" t="str">
        <f t="shared" si="1391"/>
        <v>809</v>
      </c>
      <c r="E6325" t="str">
        <f t="shared" si="1392"/>
        <v>89301212</v>
      </c>
      <c r="F6325" t="str">
        <f>"445506443"</f>
        <v>445506443</v>
      </c>
      <c r="G6325" s="1">
        <v>44726</v>
      </c>
      <c r="H6325" t="str">
        <f>"89514"</f>
        <v>89514</v>
      </c>
      <c r="I6325">
        <v>1</v>
      </c>
      <c r="J6325">
        <v>371</v>
      </c>
      <c r="K6325">
        <v>0</v>
      </c>
      <c r="L6325">
        <v>519.4</v>
      </c>
    </row>
    <row r="6326" spans="1:12" x14ac:dyDescent="0.25">
      <c r="A6326" t="str">
        <f t="shared" si="1385"/>
        <v>89301000</v>
      </c>
      <c r="B6326" t="str">
        <f t="shared" si="1393"/>
        <v>89895000</v>
      </c>
      <c r="C6326" t="str">
        <f t="shared" si="1394"/>
        <v>89895002</v>
      </c>
      <c r="D6326" t="str">
        <f t="shared" si="1391"/>
        <v>809</v>
      </c>
      <c r="E6326" t="str">
        <f t="shared" si="1392"/>
        <v>89301212</v>
      </c>
      <c r="F6326" t="str">
        <f>"455512476"</f>
        <v>455512476</v>
      </c>
      <c r="G6326" s="1">
        <v>44719</v>
      </c>
      <c r="H6326" t="str">
        <f>"89512"</f>
        <v>89512</v>
      </c>
      <c r="I6326">
        <v>1</v>
      </c>
      <c r="J6326">
        <v>277</v>
      </c>
      <c r="K6326">
        <v>0</v>
      </c>
      <c r="L6326">
        <v>387.8</v>
      </c>
    </row>
    <row r="6327" spans="1:12" x14ac:dyDescent="0.25">
      <c r="A6327" t="str">
        <f t="shared" si="1385"/>
        <v>89301000</v>
      </c>
      <c r="B6327" t="str">
        <f t="shared" si="1393"/>
        <v>89895000</v>
      </c>
      <c r="C6327" t="str">
        <f t="shared" si="1394"/>
        <v>89895002</v>
      </c>
      <c r="D6327" t="str">
        <f t="shared" si="1391"/>
        <v>809</v>
      </c>
      <c r="E6327" t="str">
        <f t="shared" si="1392"/>
        <v>89301212</v>
      </c>
      <c r="F6327" t="str">
        <f>"476121453"</f>
        <v>476121453</v>
      </c>
      <c r="G6327" s="1">
        <v>44721</v>
      </c>
      <c r="H6327" t="str">
        <f>"89180"</f>
        <v>89180</v>
      </c>
      <c r="I6327">
        <v>2</v>
      </c>
      <c r="J6327">
        <v>752</v>
      </c>
      <c r="K6327">
        <v>0</v>
      </c>
      <c r="L6327">
        <v>1052.8</v>
      </c>
    </row>
    <row r="6328" spans="1:12" x14ac:dyDescent="0.25">
      <c r="A6328" t="str">
        <f t="shared" si="1385"/>
        <v>89301000</v>
      </c>
      <c r="B6328" t="str">
        <f t="shared" si="1393"/>
        <v>89895000</v>
      </c>
      <c r="C6328" t="str">
        <f t="shared" si="1394"/>
        <v>89895002</v>
      </c>
      <c r="D6328" t="str">
        <f t="shared" si="1391"/>
        <v>809</v>
      </c>
      <c r="E6328" t="str">
        <f t="shared" si="1392"/>
        <v>89301212</v>
      </c>
      <c r="F6328" t="str">
        <f>"476121453"</f>
        <v>476121453</v>
      </c>
      <c r="G6328" s="1">
        <v>44721</v>
      </c>
      <c r="H6328" t="str">
        <f>"89512"</f>
        <v>89512</v>
      </c>
      <c r="I6328">
        <v>1</v>
      </c>
      <c r="J6328">
        <v>277</v>
      </c>
      <c r="K6328">
        <v>0</v>
      </c>
      <c r="L6328">
        <v>387.8</v>
      </c>
    </row>
    <row r="6329" spans="1:12" x14ac:dyDescent="0.25">
      <c r="A6329" t="str">
        <f t="shared" si="1385"/>
        <v>89301000</v>
      </c>
      <c r="B6329" t="str">
        <f t="shared" si="1393"/>
        <v>89895000</v>
      </c>
      <c r="C6329" t="str">
        <f t="shared" si="1394"/>
        <v>89895002</v>
      </c>
      <c r="D6329" t="str">
        <f t="shared" si="1391"/>
        <v>809</v>
      </c>
      <c r="E6329" t="str">
        <f t="shared" si="1392"/>
        <v>89301212</v>
      </c>
      <c r="F6329" t="str">
        <f>"495518284"</f>
        <v>495518284</v>
      </c>
      <c r="G6329" s="1">
        <v>44725</v>
      </c>
      <c r="H6329" t="str">
        <f>"89513"</f>
        <v>89513</v>
      </c>
      <c r="I6329">
        <v>1</v>
      </c>
      <c r="J6329">
        <v>371</v>
      </c>
      <c r="K6329">
        <v>0</v>
      </c>
      <c r="L6329">
        <v>519.4</v>
      </c>
    </row>
    <row r="6330" spans="1:12" x14ac:dyDescent="0.25">
      <c r="A6330" t="str">
        <f t="shared" si="1385"/>
        <v>89301000</v>
      </c>
      <c r="B6330" t="str">
        <f t="shared" si="1393"/>
        <v>89895000</v>
      </c>
      <c r="C6330" t="str">
        <f t="shared" si="1394"/>
        <v>89895002</v>
      </c>
      <c r="D6330" t="str">
        <f t="shared" si="1391"/>
        <v>809</v>
      </c>
      <c r="E6330" t="str">
        <f t="shared" si="1392"/>
        <v>89301212</v>
      </c>
      <c r="F6330" t="str">
        <f>"495518284"</f>
        <v>495518284</v>
      </c>
      <c r="G6330" s="1">
        <v>44725</v>
      </c>
      <c r="H6330" t="str">
        <f>"89514"</f>
        <v>89514</v>
      </c>
      <c r="I6330">
        <v>1</v>
      </c>
      <c r="J6330">
        <v>371</v>
      </c>
      <c r="K6330">
        <v>0</v>
      </c>
      <c r="L6330">
        <v>519.4</v>
      </c>
    </row>
    <row r="6331" spans="1:12" x14ac:dyDescent="0.25">
      <c r="A6331" t="str">
        <f t="shared" si="1385"/>
        <v>89301000</v>
      </c>
      <c r="B6331" t="str">
        <f t="shared" si="1393"/>
        <v>89895000</v>
      </c>
      <c r="C6331" t="str">
        <f t="shared" si="1394"/>
        <v>89895002</v>
      </c>
      <c r="D6331" t="str">
        <f t="shared" si="1391"/>
        <v>809</v>
      </c>
      <c r="E6331" t="str">
        <f t="shared" si="1392"/>
        <v>89301212</v>
      </c>
      <c r="F6331" t="str">
        <f>"496015202"</f>
        <v>496015202</v>
      </c>
      <c r="G6331" s="1">
        <v>44732</v>
      </c>
      <c r="H6331" t="str">
        <f>"89180"</f>
        <v>89180</v>
      </c>
      <c r="I6331">
        <v>2</v>
      </c>
      <c r="J6331">
        <v>752</v>
      </c>
      <c r="K6331">
        <v>0</v>
      </c>
      <c r="L6331">
        <v>1052.8</v>
      </c>
    </row>
    <row r="6332" spans="1:12" x14ac:dyDescent="0.25">
      <c r="A6332" t="str">
        <f t="shared" si="1385"/>
        <v>89301000</v>
      </c>
      <c r="B6332" t="str">
        <f t="shared" si="1393"/>
        <v>89895000</v>
      </c>
      <c r="C6332" t="str">
        <f t="shared" si="1394"/>
        <v>89895002</v>
      </c>
      <c r="D6332" t="str">
        <f t="shared" si="1391"/>
        <v>809</v>
      </c>
      <c r="E6332" t="str">
        <f t="shared" si="1392"/>
        <v>89301212</v>
      </c>
      <c r="F6332" t="str">
        <f>"496015202"</f>
        <v>496015202</v>
      </c>
      <c r="G6332" s="1">
        <v>44732</v>
      </c>
      <c r="H6332" t="str">
        <f>"89514"</f>
        <v>89514</v>
      </c>
      <c r="I6332">
        <v>1</v>
      </c>
      <c r="J6332">
        <v>371</v>
      </c>
      <c r="K6332">
        <v>0</v>
      </c>
      <c r="L6332">
        <v>519.4</v>
      </c>
    </row>
    <row r="6333" spans="1:12" x14ac:dyDescent="0.25">
      <c r="A6333" t="str">
        <f t="shared" si="1385"/>
        <v>89301000</v>
      </c>
      <c r="B6333" t="str">
        <f t="shared" si="1393"/>
        <v>89895000</v>
      </c>
      <c r="C6333" t="str">
        <f t="shared" si="1394"/>
        <v>89895002</v>
      </c>
      <c r="D6333" t="str">
        <f t="shared" si="1391"/>
        <v>809</v>
      </c>
      <c r="E6333" t="str">
        <f t="shared" si="1392"/>
        <v>89301212</v>
      </c>
      <c r="F6333" t="str">
        <f>"496015202"</f>
        <v>496015202</v>
      </c>
      <c r="G6333" s="1">
        <v>44732</v>
      </c>
      <c r="H6333" t="str">
        <f>"89513"</f>
        <v>89513</v>
      </c>
      <c r="I6333">
        <v>1</v>
      </c>
      <c r="J6333">
        <v>371</v>
      </c>
      <c r="K6333">
        <v>0</v>
      </c>
      <c r="L6333">
        <v>519.4</v>
      </c>
    </row>
    <row r="6334" spans="1:12" x14ac:dyDescent="0.25">
      <c r="A6334" t="str">
        <f t="shared" si="1385"/>
        <v>89301000</v>
      </c>
      <c r="B6334" t="str">
        <f t="shared" si="1393"/>
        <v>89895000</v>
      </c>
      <c r="C6334" t="str">
        <f t="shared" si="1394"/>
        <v>89895002</v>
      </c>
      <c r="D6334" t="str">
        <f t="shared" si="1391"/>
        <v>809</v>
      </c>
      <c r="E6334" t="str">
        <f t="shared" si="1392"/>
        <v>89301212</v>
      </c>
      <c r="F6334" t="str">
        <f>"496015202"</f>
        <v>496015202</v>
      </c>
      <c r="G6334" s="1">
        <v>44732</v>
      </c>
      <c r="H6334" t="str">
        <f>"89512"</f>
        <v>89512</v>
      </c>
      <c r="I6334">
        <v>1</v>
      </c>
      <c r="J6334">
        <v>277</v>
      </c>
      <c r="K6334">
        <v>0</v>
      </c>
      <c r="L6334">
        <v>387.8</v>
      </c>
    </row>
    <row r="6335" spans="1:12" x14ac:dyDescent="0.25">
      <c r="A6335" t="str">
        <f t="shared" si="1385"/>
        <v>89301000</v>
      </c>
      <c r="B6335" t="str">
        <f t="shared" si="1393"/>
        <v>89895000</v>
      </c>
      <c r="C6335" t="str">
        <f t="shared" si="1394"/>
        <v>89895002</v>
      </c>
      <c r="D6335" t="str">
        <f t="shared" si="1391"/>
        <v>809</v>
      </c>
      <c r="E6335" t="str">
        <f t="shared" si="1392"/>
        <v>89301212</v>
      </c>
      <c r="F6335" t="str">
        <f>"515519059"</f>
        <v>515519059</v>
      </c>
      <c r="G6335" s="1">
        <v>44720</v>
      </c>
      <c r="H6335" t="str">
        <f>"89180"</f>
        <v>89180</v>
      </c>
      <c r="I6335">
        <v>2</v>
      </c>
      <c r="J6335">
        <v>752</v>
      </c>
      <c r="K6335">
        <v>0</v>
      </c>
      <c r="L6335">
        <v>1052.8</v>
      </c>
    </row>
    <row r="6336" spans="1:12" x14ac:dyDescent="0.25">
      <c r="A6336" t="str">
        <f t="shared" si="1385"/>
        <v>89301000</v>
      </c>
      <c r="B6336" t="str">
        <f t="shared" si="1393"/>
        <v>89895000</v>
      </c>
      <c r="C6336" t="str">
        <f t="shared" si="1394"/>
        <v>89895002</v>
      </c>
      <c r="D6336" t="str">
        <f t="shared" si="1391"/>
        <v>809</v>
      </c>
      <c r="E6336" t="str">
        <f t="shared" si="1392"/>
        <v>89301212</v>
      </c>
      <c r="F6336" t="str">
        <f>"535111097"</f>
        <v>535111097</v>
      </c>
      <c r="G6336" s="1">
        <v>44727</v>
      </c>
      <c r="H6336" t="str">
        <f>"89180"</f>
        <v>89180</v>
      </c>
      <c r="I6336">
        <v>2</v>
      </c>
      <c r="J6336">
        <v>752</v>
      </c>
      <c r="K6336">
        <v>0</v>
      </c>
      <c r="L6336">
        <v>1052.8</v>
      </c>
    </row>
    <row r="6337" spans="1:12" x14ac:dyDescent="0.25">
      <c r="A6337" t="str">
        <f t="shared" si="1385"/>
        <v>89301000</v>
      </c>
      <c r="B6337" t="str">
        <f t="shared" si="1393"/>
        <v>89895000</v>
      </c>
      <c r="C6337" t="str">
        <f t="shared" si="1394"/>
        <v>89895002</v>
      </c>
      <c r="D6337" t="str">
        <f t="shared" si="1391"/>
        <v>809</v>
      </c>
      <c r="E6337" t="str">
        <f t="shared" si="1392"/>
        <v>89301212</v>
      </c>
      <c r="F6337" t="str">
        <f>"535111097"</f>
        <v>535111097</v>
      </c>
      <c r="G6337" s="1">
        <v>44727</v>
      </c>
      <c r="H6337" t="str">
        <f>"89512"</f>
        <v>89512</v>
      </c>
      <c r="I6337">
        <v>1</v>
      </c>
      <c r="J6337">
        <v>277</v>
      </c>
      <c r="K6337">
        <v>0</v>
      </c>
      <c r="L6337">
        <v>387.8</v>
      </c>
    </row>
    <row r="6338" spans="1:12" x14ac:dyDescent="0.25">
      <c r="A6338" t="str">
        <f t="shared" ref="A6338:A6401" si="1395">"89301000"</f>
        <v>89301000</v>
      </c>
      <c r="B6338" t="str">
        <f t="shared" si="1393"/>
        <v>89895000</v>
      </c>
      <c r="C6338" t="str">
        <f t="shared" si="1394"/>
        <v>89895002</v>
      </c>
      <c r="D6338" t="str">
        <f t="shared" si="1391"/>
        <v>809</v>
      </c>
      <c r="E6338" t="str">
        <f t="shared" si="1392"/>
        <v>89301212</v>
      </c>
      <c r="F6338" t="str">
        <f>"535823134"</f>
        <v>535823134</v>
      </c>
      <c r="G6338" s="1">
        <v>44726</v>
      </c>
      <c r="H6338" t="str">
        <f>"89180"</f>
        <v>89180</v>
      </c>
      <c r="I6338">
        <v>2</v>
      </c>
      <c r="J6338">
        <v>752</v>
      </c>
      <c r="K6338">
        <v>0</v>
      </c>
      <c r="L6338">
        <v>1052.8</v>
      </c>
    </row>
    <row r="6339" spans="1:12" x14ac:dyDescent="0.25">
      <c r="A6339" t="str">
        <f t="shared" si="1395"/>
        <v>89301000</v>
      </c>
      <c r="B6339" t="str">
        <f t="shared" si="1393"/>
        <v>89895000</v>
      </c>
      <c r="C6339" t="str">
        <f t="shared" si="1394"/>
        <v>89895002</v>
      </c>
      <c r="D6339" t="str">
        <f t="shared" si="1391"/>
        <v>809</v>
      </c>
      <c r="E6339" t="str">
        <f t="shared" si="1392"/>
        <v>89301212</v>
      </c>
      <c r="F6339" t="str">
        <f>"535823134"</f>
        <v>535823134</v>
      </c>
      <c r="G6339" s="1">
        <v>44726</v>
      </c>
      <c r="H6339" t="str">
        <f>"89512"</f>
        <v>89512</v>
      </c>
      <c r="I6339">
        <v>1</v>
      </c>
      <c r="J6339">
        <v>277</v>
      </c>
      <c r="K6339">
        <v>0</v>
      </c>
      <c r="L6339">
        <v>387.8</v>
      </c>
    </row>
    <row r="6340" spans="1:12" x14ac:dyDescent="0.25">
      <c r="A6340" t="str">
        <f t="shared" si="1395"/>
        <v>89301000</v>
      </c>
      <c r="B6340" t="str">
        <f t="shared" si="1393"/>
        <v>89895000</v>
      </c>
      <c r="C6340" t="str">
        <f t="shared" si="1394"/>
        <v>89895002</v>
      </c>
      <c r="D6340" t="str">
        <f t="shared" si="1391"/>
        <v>809</v>
      </c>
      <c r="E6340" t="str">
        <f t="shared" si="1392"/>
        <v>89301212</v>
      </c>
      <c r="F6340" t="str">
        <f>"5460122998"</f>
        <v>5460122998</v>
      </c>
      <c r="G6340" s="1">
        <v>44728</v>
      </c>
      <c r="H6340" t="str">
        <f>"89180"</f>
        <v>89180</v>
      </c>
      <c r="I6340">
        <v>2</v>
      </c>
      <c r="J6340">
        <v>752</v>
      </c>
      <c r="K6340">
        <v>0</v>
      </c>
      <c r="L6340">
        <v>1052.8</v>
      </c>
    </row>
    <row r="6341" spans="1:12" x14ac:dyDescent="0.25">
      <c r="A6341" t="str">
        <f t="shared" si="1395"/>
        <v>89301000</v>
      </c>
      <c r="B6341" t="str">
        <f t="shared" si="1393"/>
        <v>89895000</v>
      </c>
      <c r="C6341" t="str">
        <f t="shared" si="1394"/>
        <v>89895002</v>
      </c>
      <c r="D6341" t="str">
        <f t="shared" si="1391"/>
        <v>809</v>
      </c>
      <c r="E6341" t="str">
        <f t="shared" si="1392"/>
        <v>89301212</v>
      </c>
      <c r="F6341" t="str">
        <f>"5753151415"</f>
        <v>5753151415</v>
      </c>
      <c r="G6341" s="1">
        <v>44739</v>
      </c>
      <c r="H6341" t="str">
        <f>"89180"</f>
        <v>89180</v>
      </c>
      <c r="I6341">
        <v>2</v>
      </c>
      <c r="J6341">
        <v>752</v>
      </c>
      <c r="K6341">
        <v>0</v>
      </c>
      <c r="L6341">
        <v>1052.8</v>
      </c>
    </row>
    <row r="6342" spans="1:12" x14ac:dyDescent="0.25">
      <c r="A6342" t="str">
        <f t="shared" si="1395"/>
        <v>89301000</v>
      </c>
      <c r="B6342" t="str">
        <f t="shared" si="1393"/>
        <v>89895000</v>
      </c>
      <c r="C6342" t="str">
        <f t="shared" si="1394"/>
        <v>89895002</v>
      </c>
      <c r="D6342" t="str">
        <f t="shared" si="1391"/>
        <v>809</v>
      </c>
      <c r="E6342" t="str">
        <f t="shared" si="1392"/>
        <v>89301212</v>
      </c>
      <c r="F6342" t="str">
        <f>"5753151415"</f>
        <v>5753151415</v>
      </c>
      <c r="G6342" s="1">
        <v>44739</v>
      </c>
      <c r="H6342" t="str">
        <f>"89514"</f>
        <v>89514</v>
      </c>
      <c r="I6342">
        <v>1</v>
      </c>
      <c r="J6342">
        <v>371</v>
      </c>
      <c r="K6342">
        <v>0</v>
      </c>
      <c r="L6342">
        <v>519.4</v>
      </c>
    </row>
    <row r="6343" spans="1:12" x14ac:dyDescent="0.25">
      <c r="A6343" t="str">
        <f t="shared" si="1395"/>
        <v>89301000</v>
      </c>
      <c r="B6343" t="str">
        <f t="shared" si="1393"/>
        <v>89895000</v>
      </c>
      <c r="C6343" t="str">
        <f t="shared" si="1394"/>
        <v>89895002</v>
      </c>
      <c r="D6343" t="str">
        <f t="shared" ref="D6343:D6361" si="1396">"809"</f>
        <v>809</v>
      </c>
      <c r="E6343" t="str">
        <f t="shared" si="1392"/>
        <v>89301212</v>
      </c>
      <c r="F6343" t="str">
        <f>"5753151415"</f>
        <v>5753151415</v>
      </c>
      <c r="G6343" s="1">
        <v>44739</v>
      </c>
      <c r="H6343" t="str">
        <f>"89513"</f>
        <v>89513</v>
      </c>
      <c r="I6343">
        <v>1</v>
      </c>
      <c r="J6343">
        <v>371</v>
      </c>
      <c r="K6343">
        <v>0</v>
      </c>
      <c r="L6343">
        <v>519.4</v>
      </c>
    </row>
    <row r="6344" spans="1:12" x14ac:dyDescent="0.25">
      <c r="A6344" t="str">
        <f t="shared" si="1395"/>
        <v>89301000</v>
      </c>
      <c r="B6344" t="str">
        <f t="shared" si="1393"/>
        <v>89895000</v>
      </c>
      <c r="C6344" t="str">
        <f t="shared" si="1394"/>
        <v>89895002</v>
      </c>
      <c r="D6344" t="str">
        <f t="shared" si="1396"/>
        <v>809</v>
      </c>
      <c r="E6344" t="str">
        <f t="shared" si="1392"/>
        <v>89301212</v>
      </c>
      <c r="F6344" t="str">
        <f>"5753151415"</f>
        <v>5753151415</v>
      </c>
      <c r="G6344" s="1">
        <v>44739</v>
      </c>
      <c r="H6344" t="str">
        <f>"89512"</f>
        <v>89512</v>
      </c>
      <c r="I6344">
        <v>1</v>
      </c>
      <c r="J6344">
        <v>277</v>
      </c>
      <c r="K6344">
        <v>0</v>
      </c>
      <c r="L6344">
        <v>387.8</v>
      </c>
    </row>
    <row r="6345" spans="1:12" x14ac:dyDescent="0.25">
      <c r="A6345" t="str">
        <f t="shared" si="1395"/>
        <v>89301000</v>
      </c>
      <c r="B6345" t="str">
        <f t="shared" si="1393"/>
        <v>89895000</v>
      </c>
      <c r="C6345" t="str">
        <f t="shared" si="1394"/>
        <v>89895002</v>
      </c>
      <c r="D6345" t="str">
        <f t="shared" si="1396"/>
        <v>809</v>
      </c>
      <c r="E6345" t="str">
        <f>"89301042"</f>
        <v>89301042</v>
      </c>
      <c r="F6345" t="str">
        <f>"5756041830"</f>
        <v>5756041830</v>
      </c>
      <c r="G6345" s="1">
        <v>44740</v>
      </c>
      <c r="H6345" t="str">
        <f>"89512"</f>
        <v>89512</v>
      </c>
      <c r="I6345">
        <v>1</v>
      </c>
      <c r="J6345">
        <v>277</v>
      </c>
      <c r="K6345">
        <v>0</v>
      </c>
      <c r="L6345">
        <v>387.8</v>
      </c>
    </row>
    <row r="6346" spans="1:12" x14ac:dyDescent="0.25">
      <c r="A6346" t="str">
        <f t="shared" si="1395"/>
        <v>89301000</v>
      </c>
      <c r="B6346" t="str">
        <f t="shared" si="1393"/>
        <v>89895000</v>
      </c>
      <c r="C6346" t="str">
        <f t="shared" si="1394"/>
        <v>89895002</v>
      </c>
      <c r="D6346" t="str">
        <f t="shared" si="1396"/>
        <v>809</v>
      </c>
      <c r="E6346" t="str">
        <f>"89301042"</f>
        <v>89301042</v>
      </c>
      <c r="F6346" t="str">
        <f>"5756041830"</f>
        <v>5756041830</v>
      </c>
      <c r="G6346" s="1">
        <v>44740</v>
      </c>
      <c r="H6346" t="str">
        <f>"09511"</f>
        <v>09511</v>
      </c>
      <c r="I6346">
        <v>1</v>
      </c>
      <c r="J6346">
        <v>43</v>
      </c>
      <c r="K6346">
        <v>0</v>
      </c>
      <c r="L6346">
        <v>60.2</v>
      </c>
    </row>
    <row r="6347" spans="1:12" x14ac:dyDescent="0.25">
      <c r="A6347" t="str">
        <f t="shared" si="1395"/>
        <v>89301000</v>
      </c>
      <c r="B6347" t="str">
        <f t="shared" si="1393"/>
        <v>89895000</v>
      </c>
      <c r="C6347" t="str">
        <f t="shared" si="1394"/>
        <v>89895002</v>
      </c>
      <c r="D6347" t="str">
        <f t="shared" si="1396"/>
        <v>809</v>
      </c>
      <c r="E6347" t="str">
        <f t="shared" ref="E6347:E6361" si="1397">"89301212"</f>
        <v>89301212</v>
      </c>
      <c r="F6347" t="str">
        <f>"5956232249"</f>
        <v>5956232249</v>
      </c>
      <c r="G6347" s="1">
        <v>44720</v>
      </c>
      <c r="H6347" t="str">
        <f>"89512"</f>
        <v>89512</v>
      </c>
      <c r="I6347">
        <v>1</v>
      </c>
      <c r="J6347">
        <v>277</v>
      </c>
      <c r="K6347">
        <v>0</v>
      </c>
      <c r="L6347">
        <v>387.8</v>
      </c>
    </row>
    <row r="6348" spans="1:12" x14ac:dyDescent="0.25">
      <c r="A6348" t="str">
        <f t="shared" si="1395"/>
        <v>89301000</v>
      </c>
      <c r="B6348" t="str">
        <f t="shared" si="1393"/>
        <v>89895000</v>
      </c>
      <c r="C6348" t="str">
        <f t="shared" si="1394"/>
        <v>89895002</v>
      </c>
      <c r="D6348" t="str">
        <f t="shared" si="1396"/>
        <v>809</v>
      </c>
      <c r="E6348" t="str">
        <f t="shared" si="1397"/>
        <v>89301212</v>
      </c>
      <c r="F6348" t="str">
        <f>"5961270799"</f>
        <v>5961270799</v>
      </c>
      <c r="G6348" s="1">
        <v>44720</v>
      </c>
      <c r="H6348" t="str">
        <f>"89180"</f>
        <v>89180</v>
      </c>
      <c r="I6348">
        <v>2</v>
      </c>
      <c r="J6348">
        <v>752</v>
      </c>
      <c r="K6348">
        <v>0</v>
      </c>
      <c r="L6348">
        <v>1052.8</v>
      </c>
    </row>
    <row r="6349" spans="1:12" x14ac:dyDescent="0.25">
      <c r="A6349" t="str">
        <f t="shared" si="1395"/>
        <v>89301000</v>
      </c>
      <c r="B6349" t="str">
        <f t="shared" si="1393"/>
        <v>89895000</v>
      </c>
      <c r="C6349" t="str">
        <f t="shared" si="1394"/>
        <v>89895002</v>
      </c>
      <c r="D6349" t="str">
        <f t="shared" si="1396"/>
        <v>809</v>
      </c>
      <c r="E6349" t="str">
        <f t="shared" si="1397"/>
        <v>89301212</v>
      </c>
      <c r="F6349" t="str">
        <f>"5961270799"</f>
        <v>5961270799</v>
      </c>
      <c r="G6349" s="1">
        <v>44720</v>
      </c>
      <c r="H6349" t="str">
        <f>"89512"</f>
        <v>89512</v>
      </c>
      <c r="I6349">
        <v>1</v>
      </c>
      <c r="J6349">
        <v>277</v>
      </c>
      <c r="K6349">
        <v>0</v>
      </c>
      <c r="L6349">
        <v>387.8</v>
      </c>
    </row>
    <row r="6350" spans="1:12" x14ac:dyDescent="0.25">
      <c r="A6350" t="str">
        <f t="shared" si="1395"/>
        <v>89301000</v>
      </c>
      <c r="B6350" t="str">
        <f t="shared" si="1393"/>
        <v>89895000</v>
      </c>
      <c r="C6350" t="str">
        <f t="shared" si="1394"/>
        <v>89895002</v>
      </c>
      <c r="D6350" t="str">
        <f t="shared" si="1396"/>
        <v>809</v>
      </c>
      <c r="E6350" t="str">
        <f t="shared" si="1397"/>
        <v>89301212</v>
      </c>
      <c r="F6350" t="str">
        <f>"6458160852"</f>
        <v>6458160852</v>
      </c>
      <c r="G6350" s="1">
        <v>44739</v>
      </c>
      <c r="H6350" t="str">
        <f>"89180"</f>
        <v>89180</v>
      </c>
      <c r="I6350">
        <v>2</v>
      </c>
      <c r="J6350">
        <v>752</v>
      </c>
      <c r="K6350">
        <v>0</v>
      </c>
      <c r="L6350">
        <v>1052.8</v>
      </c>
    </row>
    <row r="6351" spans="1:12" x14ac:dyDescent="0.25">
      <c r="A6351" t="str">
        <f t="shared" si="1395"/>
        <v>89301000</v>
      </c>
      <c r="B6351" t="str">
        <f t="shared" si="1393"/>
        <v>89895000</v>
      </c>
      <c r="C6351" t="str">
        <f t="shared" si="1394"/>
        <v>89895002</v>
      </c>
      <c r="D6351" t="str">
        <f t="shared" si="1396"/>
        <v>809</v>
      </c>
      <c r="E6351" t="str">
        <f t="shared" si="1397"/>
        <v>89301212</v>
      </c>
      <c r="F6351" t="str">
        <f>"6458160852"</f>
        <v>6458160852</v>
      </c>
      <c r="G6351" s="1">
        <v>44739</v>
      </c>
      <c r="H6351" t="str">
        <f>"89512"</f>
        <v>89512</v>
      </c>
      <c r="I6351">
        <v>1</v>
      </c>
      <c r="J6351">
        <v>277</v>
      </c>
      <c r="K6351">
        <v>0</v>
      </c>
      <c r="L6351">
        <v>387.8</v>
      </c>
    </row>
    <row r="6352" spans="1:12" x14ac:dyDescent="0.25">
      <c r="A6352" t="str">
        <f t="shared" si="1395"/>
        <v>89301000</v>
      </c>
      <c r="B6352" t="str">
        <f t="shared" si="1393"/>
        <v>89895000</v>
      </c>
      <c r="C6352" t="str">
        <f t="shared" si="1394"/>
        <v>89895002</v>
      </c>
      <c r="D6352" t="str">
        <f t="shared" si="1396"/>
        <v>809</v>
      </c>
      <c r="E6352" t="str">
        <f t="shared" si="1397"/>
        <v>89301212</v>
      </c>
      <c r="F6352" t="str">
        <f>"6558271093"</f>
        <v>6558271093</v>
      </c>
      <c r="G6352" s="1">
        <v>44734</v>
      </c>
      <c r="H6352" t="str">
        <f>"89180"</f>
        <v>89180</v>
      </c>
      <c r="I6352">
        <v>2</v>
      </c>
      <c r="J6352">
        <v>752</v>
      </c>
      <c r="K6352">
        <v>0</v>
      </c>
      <c r="L6352">
        <v>1052.8</v>
      </c>
    </row>
    <row r="6353" spans="1:12" x14ac:dyDescent="0.25">
      <c r="A6353" t="str">
        <f t="shared" si="1395"/>
        <v>89301000</v>
      </c>
      <c r="B6353" t="str">
        <f t="shared" si="1393"/>
        <v>89895000</v>
      </c>
      <c r="C6353" t="str">
        <f t="shared" si="1394"/>
        <v>89895002</v>
      </c>
      <c r="D6353" t="str">
        <f t="shared" si="1396"/>
        <v>809</v>
      </c>
      <c r="E6353" t="str">
        <f t="shared" si="1397"/>
        <v>89301212</v>
      </c>
      <c r="F6353" t="str">
        <f>"6558271093"</f>
        <v>6558271093</v>
      </c>
      <c r="G6353" s="1">
        <v>44734</v>
      </c>
      <c r="H6353" t="str">
        <f>"89513"</f>
        <v>89513</v>
      </c>
      <c r="I6353">
        <v>1</v>
      </c>
      <c r="J6353">
        <v>371</v>
      </c>
      <c r="K6353">
        <v>0</v>
      </c>
      <c r="L6353">
        <v>519.4</v>
      </c>
    </row>
    <row r="6354" spans="1:12" x14ac:dyDescent="0.25">
      <c r="A6354" t="str">
        <f t="shared" si="1395"/>
        <v>89301000</v>
      </c>
      <c r="B6354" t="str">
        <f t="shared" si="1393"/>
        <v>89895000</v>
      </c>
      <c r="C6354" t="str">
        <f t="shared" si="1394"/>
        <v>89895002</v>
      </c>
      <c r="D6354" t="str">
        <f t="shared" si="1396"/>
        <v>809</v>
      </c>
      <c r="E6354" t="str">
        <f t="shared" si="1397"/>
        <v>89301212</v>
      </c>
      <c r="F6354" t="str">
        <f>"6558271093"</f>
        <v>6558271093</v>
      </c>
      <c r="G6354" s="1">
        <v>44734</v>
      </c>
      <c r="H6354" t="str">
        <f>"89514"</f>
        <v>89514</v>
      </c>
      <c r="I6354">
        <v>1</v>
      </c>
      <c r="J6354">
        <v>371</v>
      </c>
      <c r="K6354">
        <v>0</v>
      </c>
      <c r="L6354">
        <v>519.4</v>
      </c>
    </row>
    <row r="6355" spans="1:12" x14ac:dyDescent="0.25">
      <c r="A6355" t="str">
        <f t="shared" si="1395"/>
        <v>89301000</v>
      </c>
      <c r="B6355" t="str">
        <f t="shared" si="1393"/>
        <v>89895000</v>
      </c>
      <c r="C6355" t="str">
        <f t="shared" si="1394"/>
        <v>89895002</v>
      </c>
      <c r="D6355" t="str">
        <f t="shared" si="1396"/>
        <v>809</v>
      </c>
      <c r="E6355" t="str">
        <f t="shared" si="1397"/>
        <v>89301212</v>
      </c>
      <c r="F6355" t="str">
        <f>"6752091797"</f>
        <v>6752091797</v>
      </c>
      <c r="G6355" s="1">
        <v>44741</v>
      </c>
      <c r="H6355" t="str">
        <f>"89514"</f>
        <v>89514</v>
      </c>
      <c r="I6355">
        <v>1</v>
      </c>
      <c r="J6355">
        <v>371</v>
      </c>
      <c r="K6355">
        <v>0</v>
      </c>
      <c r="L6355">
        <v>519.4</v>
      </c>
    </row>
    <row r="6356" spans="1:12" x14ac:dyDescent="0.25">
      <c r="A6356" t="str">
        <f t="shared" si="1395"/>
        <v>89301000</v>
      </c>
      <c r="B6356" t="str">
        <f t="shared" si="1393"/>
        <v>89895000</v>
      </c>
      <c r="C6356" t="str">
        <f t="shared" si="1394"/>
        <v>89895002</v>
      </c>
      <c r="D6356" t="str">
        <f t="shared" si="1396"/>
        <v>809</v>
      </c>
      <c r="E6356" t="str">
        <f t="shared" si="1397"/>
        <v>89301212</v>
      </c>
      <c r="F6356" t="str">
        <f>"6752091797"</f>
        <v>6752091797</v>
      </c>
      <c r="G6356" s="1">
        <v>44741</v>
      </c>
      <c r="H6356" t="str">
        <f>"89513"</f>
        <v>89513</v>
      </c>
      <c r="I6356">
        <v>1</v>
      </c>
      <c r="J6356">
        <v>371</v>
      </c>
      <c r="K6356">
        <v>0</v>
      </c>
      <c r="L6356">
        <v>519.4</v>
      </c>
    </row>
    <row r="6357" spans="1:12" x14ac:dyDescent="0.25">
      <c r="A6357" t="str">
        <f t="shared" si="1395"/>
        <v>89301000</v>
      </c>
      <c r="B6357" t="str">
        <f t="shared" si="1393"/>
        <v>89895000</v>
      </c>
      <c r="C6357" t="str">
        <f t="shared" si="1394"/>
        <v>89895002</v>
      </c>
      <c r="D6357" t="str">
        <f t="shared" si="1396"/>
        <v>809</v>
      </c>
      <c r="E6357" t="str">
        <f t="shared" si="1397"/>
        <v>89301212</v>
      </c>
      <c r="F6357" t="str">
        <f>"6851010298"</f>
        <v>6851010298</v>
      </c>
      <c r="G6357" s="1">
        <v>44721</v>
      </c>
      <c r="H6357" t="str">
        <f>"89180"</f>
        <v>89180</v>
      </c>
      <c r="I6357">
        <v>2</v>
      </c>
      <c r="J6357">
        <v>752</v>
      </c>
      <c r="K6357">
        <v>0</v>
      </c>
      <c r="L6357">
        <v>1052.8</v>
      </c>
    </row>
    <row r="6358" spans="1:12" x14ac:dyDescent="0.25">
      <c r="A6358" t="str">
        <f t="shared" si="1395"/>
        <v>89301000</v>
      </c>
      <c r="B6358" t="str">
        <f t="shared" si="1393"/>
        <v>89895000</v>
      </c>
      <c r="C6358" t="str">
        <f t="shared" si="1394"/>
        <v>89895002</v>
      </c>
      <c r="D6358" t="str">
        <f t="shared" si="1396"/>
        <v>809</v>
      </c>
      <c r="E6358" t="str">
        <f t="shared" si="1397"/>
        <v>89301212</v>
      </c>
      <c r="F6358" t="str">
        <f>"7054234462"</f>
        <v>7054234462</v>
      </c>
      <c r="G6358" s="1">
        <v>44713</v>
      </c>
      <c r="H6358" t="str">
        <f>"89512"</f>
        <v>89512</v>
      </c>
      <c r="I6358">
        <v>1</v>
      </c>
      <c r="J6358">
        <v>277</v>
      </c>
      <c r="K6358">
        <v>0</v>
      </c>
      <c r="L6358">
        <v>387.8</v>
      </c>
    </row>
    <row r="6359" spans="1:12" x14ac:dyDescent="0.25">
      <c r="A6359" t="str">
        <f t="shared" si="1395"/>
        <v>89301000</v>
      </c>
      <c r="B6359" t="str">
        <f t="shared" si="1393"/>
        <v>89895000</v>
      </c>
      <c r="C6359" t="str">
        <f t="shared" si="1394"/>
        <v>89895002</v>
      </c>
      <c r="D6359" t="str">
        <f t="shared" si="1396"/>
        <v>809</v>
      </c>
      <c r="E6359" t="str">
        <f t="shared" si="1397"/>
        <v>89301212</v>
      </c>
      <c r="F6359" t="str">
        <f>"7555285408"</f>
        <v>7555285408</v>
      </c>
      <c r="G6359" s="1">
        <v>44727</v>
      </c>
      <c r="H6359" t="str">
        <f>"89180"</f>
        <v>89180</v>
      </c>
      <c r="I6359">
        <v>2</v>
      </c>
      <c r="J6359">
        <v>752</v>
      </c>
      <c r="K6359">
        <v>0</v>
      </c>
      <c r="L6359">
        <v>1052.8</v>
      </c>
    </row>
    <row r="6360" spans="1:12" x14ac:dyDescent="0.25">
      <c r="A6360" t="str">
        <f t="shared" si="1395"/>
        <v>89301000</v>
      </c>
      <c r="B6360" t="str">
        <f t="shared" si="1393"/>
        <v>89895000</v>
      </c>
      <c r="C6360" t="str">
        <f t="shared" si="1394"/>
        <v>89895002</v>
      </c>
      <c r="D6360" t="str">
        <f t="shared" si="1396"/>
        <v>809</v>
      </c>
      <c r="E6360" t="str">
        <f t="shared" si="1397"/>
        <v>89301212</v>
      </c>
      <c r="F6360" t="str">
        <f>"7555285408"</f>
        <v>7555285408</v>
      </c>
      <c r="G6360" s="1">
        <v>44727</v>
      </c>
      <c r="H6360" t="str">
        <f>"89512"</f>
        <v>89512</v>
      </c>
      <c r="I6360">
        <v>1</v>
      </c>
      <c r="J6360">
        <v>277</v>
      </c>
      <c r="K6360">
        <v>0</v>
      </c>
      <c r="L6360">
        <v>387.8</v>
      </c>
    </row>
    <row r="6361" spans="1:12" x14ac:dyDescent="0.25">
      <c r="A6361" t="str">
        <f t="shared" si="1395"/>
        <v>89301000</v>
      </c>
      <c r="B6361" t="str">
        <f t="shared" si="1393"/>
        <v>89895000</v>
      </c>
      <c r="C6361" t="str">
        <f t="shared" si="1394"/>
        <v>89895002</v>
      </c>
      <c r="D6361" t="str">
        <f t="shared" si="1396"/>
        <v>809</v>
      </c>
      <c r="E6361" t="str">
        <f t="shared" si="1397"/>
        <v>89301212</v>
      </c>
      <c r="F6361" t="str">
        <f>"7555285408"</f>
        <v>7555285408</v>
      </c>
      <c r="G6361" s="1">
        <v>44727</v>
      </c>
      <c r="H6361" t="str">
        <f>"09511"</f>
        <v>09511</v>
      </c>
      <c r="I6361">
        <v>1</v>
      </c>
      <c r="J6361">
        <v>43</v>
      </c>
      <c r="K6361">
        <v>0</v>
      </c>
      <c r="L6361">
        <v>60.2</v>
      </c>
    </row>
    <row r="6362" spans="1:12" x14ac:dyDescent="0.25">
      <c r="A6362" t="str">
        <f t="shared" si="1395"/>
        <v>89301000</v>
      </c>
      <c r="B6362" t="str">
        <f t="shared" ref="B6362:B6404" si="1398">"10510000"</f>
        <v>10510000</v>
      </c>
      <c r="C6362" t="str">
        <f t="shared" ref="C6362:C6404" si="1399">"10510001"</f>
        <v>10510001</v>
      </c>
      <c r="D6362" t="str">
        <f t="shared" ref="D6362:D6404" si="1400">"802"</f>
        <v>802</v>
      </c>
      <c r="E6362" t="str">
        <f>"89301091"</f>
        <v>89301091</v>
      </c>
      <c r="F6362" t="str">
        <f>"2204270750"</f>
        <v>2204270750</v>
      </c>
      <c r="G6362" s="1">
        <v>44691</v>
      </c>
      <c r="H6362" t="str">
        <f>"82111"</f>
        <v>82111</v>
      </c>
      <c r="I6362">
        <v>1</v>
      </c>
      <c r="J6362">
        <v>36</v>
      </c>
      <c r="K6362">
        <v>0</v>
      </c>
      <c r="L6362">
        <v>32.76</v>
      </c>
    </row>
    <row r="6363" spans="1:12" x14ac:dyDescent="0.25">
      <c r="A6363" t="str">
        <f t="shared" si="1395"/>
        <v>89301000</v>
      </c>
      <c r="B6363" t="str">
        <f t="shared" si="1398"/>
        <v>10510000</v>
      </c>
      <c r="C6363" t="str">
        <f t="shared" si="1399"/>
        <v>10510001</v>
      </c>
      <c r="D6363" t="str">
        <f t="shared" si="1400"/>
        <v>802</v>
      </c>
      <c r="E6363" t="str">
        <f>"89301091"</f>
        <v>89301091</v>
      </c>
      <c r="F6363" t="str">
        <f>"2204270750"</f>
        <v>2204270750</v>
      </c>
      <c r="G6363" s="1">
        <v>44687</v>
      </c>
      <c r="H6363" t="str">
        <f>"82111"</f>
        <v>82111</v>
      </c>
      <c r="I6363">
        <v>1</v>
      </c>
      <c r="J6363">
        <v>36</v>
      </c>
      <c r="K6363">
        <v>0</v>
      </c>
      <c r="L6363">
        <v>32.76</v>
      </c>
    </row>
    <row r="6364" spans="1:12" x14ac:dyDescent="0.25">
      <c r="A6364" t="str">
        <f t="shared" si="1395"/>
        <v>89301000</v>
      </c>
      <c r="B6364" t="str">
        <f t="shared" si="1398"/>
        <v>10510000</v>
      </c>
      <c r="C6364" t="str">
        <f t="shared" si="1399"/>
        <v>10510001</v>
      </c>
      <c r="D6364" t="str">
        <f t="shared" si="1400"/>
        <v>802</v>
      </c>
      <c r="E6364" t="str">
        <f>"89301091"</f>
        <v>89301091</v>
      </c>
      <c r="F6364" t="str">
        <f>"2204270750"</f>
        <v>2204270750</v>
      </c>
      <c r="G6364" s="1">
        <v>44690</v>
      </c>
      <c r="H6364" t="str">
        <f>"82079"</f>
        <v>82079</v>
      </c>
      <c r="I6364">
        <v>1</v>
      </c>
      <c r="J6364">
        <v>332</v>
      </c>
      <c r="K6364">
        <v>0</v>
      </c>
      <c r="L6364">
        <v>302.12</v>
      </c>
    </row>
    <row r="6365" spans="1:12" x14ac:dyDescent="0.25">
      <c r="A6365" t="str">
        <f t="shared" si="1395"/>
        <v>89301000</v>
      </c>
      <c r="B6365" t="str">
        <f t="shared" si="1398"/>
        <v>10510000</v>
      </c>
      <c r="C6365" t="str">
        <f t="shared" si="1399"/>
        <v>10510001</v>
      </c>
      <c r="D6365" t="str">
        <f t="shared" si="1400"/>
        <v>802</v>
      </c>
      <c r="E6365" t="str">
        <f>"89301091"</f>
        <v>89301091</v>
      </c>
      <c r="F6365" t="str">
        <f>"2204270750"</f>
        <v>2204270750</v>
      </c>
      <c r="G6365" s="1">
        <v>44690</v>
      </c>
      <c r="H6365" t="str">
        <f>"82113"</f>
        <v>82113</v>
      </c>
      <c r="I6365">
        <v>1</v>
      </c>
      <c r="J6365">
        <v>362</v>
      </c>
      <c r="K6365">
        <v>0</v>
      </c>
      <c r="L6365">
        <v>329.42</v>
      </c>
    </row>
    <row r="6366" spans="1:12" x14ac:dyDescent="0.25">
      <c r="A6366" t="str">
        <f t="shared" si="1395"/>
        <v>89301000</v>
      </c>
      <c r="B6366" t="str">
        <f t="shared" si="1398"/>
        <v>10510000</v>
      </c>
      <c r="C6366" t="str">
        <f t="shared" si="1399"/>
        <v>10510001</v>
      </c>
      <c r="D6366" t="str">
        <f t="shared" si="1400"/>
        <v>802</v>
      </c>
      <c r="E6366" t="str">
        <f>"89301081"</f>
        <v>89301081</v>
      </c>
      <c r="F6366" t="str">
        <f>"8760245373"</f>
        <v>8760245373</v>
      </c>
      <c r="G6366" s="1">
        <v>44690</v>
      </c>
      <c r="H6366" t="str">
        <f>"82113"</f>
        <v>82113</v>
      </c>
      <c r="I6366">
        <v>1</v>
      </c>
      <c r="J6366">
        <v>362</v>
      </c>
      <c r="K6366">
        <v>0</v>
      </c>
      <c r="L6366">
        <v>329.42</v>
      </c>
    </row>
    <row r="6367" spans="1:12" x14ac:dyDescent="0.25">
      <c r="A6367" t="str">
        <f t="shared" si="1395"/>
        <v>89301000</v>
      </c>
      <c r="B6367" t="str">
        <f t="shared" si="1398"/>
        <v>10510000</v>
      </c>
      <c r="C6367" t="str">
        <f t="shared" si="1399"/>
        <v>10510001</v>
      </c>
      <c r="D6367" t="str">
        <f t="shared" si="1400"/>
        <v>802</v>
      </c>
      <c r="E6367" t="str">
        <f>"89301081"</f>
        <v>89301081</v>
      </c>
      <c r="F6367" t="str">
        <f>"8760245373"</f>
        <v>8760245373</v>
      </c>
      <c r="G6367" s="1">
        <v>44690</v>
      </c>
      <c r="H6367" t="str">
        <f>"82079"</f>
        <v>82079</v>
      </c>
      <c r="I6367">
        <v>1</v>
      </c>
      <c r="J6367">
        <v>332</v>
      </c>
      <c r="K6367">
        <v>0</v>
      </c>
      <c r="L6367">
        <v>302.12</v>
      </c>
    </row>
    <row r="6368" spans="1:12" x14ac:dyDescent="0.25">
      <c r="A6368" t="str">
        <f t="shared" si="1395"/>
        <v>89301000</v>
      </c>
      <c r="B6368" t="str">
        <f t="shared" si="1398"/>
        <v>10510000</v>
      </c>
      <c r="C6368" t="str">
        <f t="shared" si="1399"/>
        <v>10510001</v>
      </c>
      <c r="D6368" t="str">
        <f t="shared" si="1400"/>
        <v>802</v>
      </c>
      <c r="E6368" t="str">
        <f>"89301081"</f>
        <v>89301081</v>
      </c>
      <c r="F6368" t="str">
        <f>"8760245373"</f>
        <v>8760245373</v>
      </c>
      <c r="G6368" s="1">
        <v>44690</v>
      </c>
      <c r="H6368" t="str">
        <f>"82111"</f>
        <v>82111</v>
      </c>
      <c r="I6368">
        <v>1</v>
      </c>
      <c r="J6368">
        <v>36</v>
      </c>
      <c r="K6368">
        <v>0</v>
      </c>
      <c r="L6368">
        <v>32.76</v>
      </c>
    </row>
    <row r="6369" spans="1:12" x14ac:dyDescent="0.25">
      <c r="A6369" t="str">
        <f t="shared" si="1395"/>
        <v>89301000</v>
      </c>
      <c r="B6369" t="str">
        <f t="shared" si="1398"/>
        <v>10510000</v>
      </c>
      <c r="C6369" t="str">
        <f t="shared" si="1399"/>
        <v>10510001</v>
      </c>
      <c r="D6369" t="str">
        <f t="shared" si="1400"/>
        <v>802</v>
      </c>
      <c r="E6369" t="str">
        <f t="shared" ref="E6369:E6383" si="1401">"89301202"</f>
        <v>89301202</v>
      </c>
      <c r="F6369" t="str">
        <f>"8711014917"</f>
        <v>8711014917</v>
      </c>
      <c r="G6369" s="1">
        <v>44697</v>
      </c>
      <c r="H6369" t="str">
        <f>"82111"</f>
        <v>82111</v>
      </c>
      <c r="I6369">
        <v>1</v>
      </c>
      <c r="J6369">
        <v>36</v>
      </c>
      <c r="K6369">
        <v>0</v>
      </c>
      <c r="L6369">
        <v>32.76</v>
      </c>
    </row>
    <row r="6370" spans="1:12" x14ac:dyDescent="0.25">
      <c r="A6370" t="str">
        <f t="shared" si="1395"/>
        <v>89301000</v>
      </c>
      <c r="B6370" t="str">
        <f t="shared" si="1398"/>
        <v>10510000</v>
      </c>
      <c r="C6370" t="str">
        <f t="shared" si="1399"/>
        <v>10510001</v>
      </c>
      <c r="D6370" t="str">
        <f t="shared" si="1400"/>
        <v>802</v>
      </c>
      <c r="E6370" t="str">
        <f t="shared" si="1401"/>
        <v>89301202</v>
      </c>
      <c r="F6370" t="str">
        <f>"8711014917"</f>
        <v>8711014917</v>
      </c>
      <c r="G6370" s="1">
        <v>44697</v>
      </c>
      <c r="H6370" t="str">
        <f>"82145"</f>
        <v>82145</v>
      </c>
      <c r="I6370">
        <v>9</v>
      </c>
      <c r="J6370">
        <v>513</v>
      </c>
      <c r="K6370">
        <v>0</v>
      </c>
      <c r="L6370">
        <v>466.83</v>
      </c>
    </row>
    <row r="6371" spans="1:12" x14ac:dyDescent="0.25">
      <c r="A6371" t="str">
        <f t="shared" si="1395"/>
        <v>89301000</v>
      </c>
      <c r="B6371" t="str">
        <f t="shared" si="1398"/>
        <v>10510000</v>
      </c>
      <c r="C6371" t="str">
        <f t="shared" si="1399"/>
        <v>10510001</v>
      </c>
      <c r="D6371" t="str">
        <f t="shared" si="1400"/>
        <v>802</v>
      </c>
      <c r="E6371" t="str">
        <f t="shared" si="1401"/>
        <v>89301202</v>
      </c>
      <c r="F6371" t="str">
        <f>"8711014917"</f>
        <v>8711014917</v>
      </c>
      <c r="G6371" s="1">
        <v>44697</v>
      </c>
      <c r="H6371" t="str">
        <f>"82079"</f>
        <v>82079</v>
      </c>
      <c r="I6371">
        <v>1</v>
      </c>
      <c r="J6371">
        <v>332</v>
      </c>
      <c r="K6371">
        <v>0</v>
      </c>
      <c r="L6371">
        <v>302.12</v>
      </c>
    </row>
    <row r="6372" spans="1:12" x14ac:dyDescent="0.25">
      <c r="A6372" t="str">
        <f t="shared" si="1395"/>
        <v>89301000</v>
      </c>
      <c r="B6372" t="str">
        <f t="shared" si="1398"/>
        <v>10510000</v>
      </c>
      <c r="C6372" t="str">
        <f t="shared" si="1399"/>
        <v>10510001</v>
      </c>
      <c r="D6372" t="str">
        <f t="shared" si="1400"/>
        <v>802</v>
      </c>
      <c r="E6372" t="str">
        <f t="shared" si="1401"/>
        <v>89301202</v>
      </c>
      <c r="F6372" t="str">
        <f>"8711014917"</f>
        <v>8711014917</v>
      </c>
      <c r="G6372" s="1">
        <v>44694</v>
      </c>
      <c r="H6372" t="str">
        <f>"97111"</f>
        <v>97111</v>
      </c>
      <c r="I6372">
        <v>1</v>
      </c>
      <c r="J6372">
        <v>18</v>
      </c>
      <c r="K6372">
        <v>0</v>
      </c>
      <c r="L6372">
        <v>16.38</v>
      </c>
    </row>
    <row r="6373" spans="1:12" x14ac:dyDescent="0.25">
      <c r="A6373" t="str">
        <f t="shared" si="1395"/>
        <v>89301000</v>
      </c>
      <c r="B6373" t="str">
        <f t="shared" si="1398"/>
        <v>10510000</v>
      </c>
      <c r="C6373" t="str">
        <f t="shared" si="1399"/>
        <v>10510001</v>
      </c>
      <c r="D6373" t="str">
        <f t="shared" si="1400"/>
        <v>802</v>
      </c>
      <c r="E6373" t="str">
        <f t="shared" si="1401"/>
        <v>89301202</v>
      </c>
      <c r="F6373" t="str">
        <f>"8711014917"</f>
        <v>8711014917</v>
      </c>
      <c r="G6373" s="1">
        <v>44697</v>
      </c>
      <c r="H6373" t="str">
        <f>"82113"</f>
        <v>82113</v>
      </c>
      <c r="I6373">
        <v>1</v>
      </c>
      <c r="J6373">
        <v>362</v>
      </c>
      <c r="K6373">
        <v>0</v>
      </c>
      <c r="L6373">
        <v>329.42</v>
      </c>
    </row>
    <row r="6374" spans="1:12" x14ac:dyDescent="0.25">
      <c r="A6374" t="str">
        <f t="shared" si="1395"/>
        <v>89301000</v>
      </c>
      <c r="B6374" t="str">
        <f t="shared" si="1398"/>
        <v>10510000</v>
      </c>
      <c r="C6374" t="str">
        <f t="shared" si="1399"/>
        <v>10510001</v>
      </c>
      <c r="D6374" t="str">
        <f t="shared" si="1400"/>
        <v>802</v>
      </c>
      <c r="E6374" t="str">
        <f t="shared" si="1401"/>
        <v>89301202</v>
      </c>
      <c r="F6374" t="str">
        <f>"9755284858"</f>
        <v>9755284858</v>
      </c>
      <c r="G6374" s="1">
        <v>44694</v>
      </c>
      <c r="H6374" t="str">
        <f>"97111"</f>
        <v>97111</v>
      </c>
      <c r="I6374">
        <v>1</v>
      </c>
      <c r="J6374">
        <v>18</v>
      </c>
      <c r="K6374">
        <v>0</v>
      </c>
      <c r="L6374">
        <v>16.38</v>
      </c>
    </row>
    <row r="6375" spans="1:12" x14ac:dyDescent="0.25">
      <c r="A6375" t="str">
        <f t="shared" si="1395"/>
        <v>89301000</v>
      </c>
      <c r="B6375" t="str">
        <f t="shared" si="1398"/>
        <v>10510000</v>
      </c>
      <c r="C6375" t="str">
        <f t="shared" si="1399"/>
        <v>10510001</v>
      </c>
      <c r="D6375" t="str">
        <f t="shared" si="1400"/>
        <v>802</v>
      </c>
      <c r="E6375" t="str">
        <f t="shared" si="1401"/>
        <v>89301202</v>
      </c>
      <c r="F6375" t="str">
        <f>"9755284858"</f>
        <v>9755284858</v>
      </c>
      <c r="G6375" s="1">
        <v>44697</v>
      </c>
      <c r="H6375" t="str">
        <f>"82113"</f>
        <v>82113</v>
      </c>
      <c r="I6375">
        <v>1</v>
      </c>
      <c r="J6375">
        <v>362</v>
      </c>
      <c r="K6375">
        <v>0</v>
      </c>
      <c r="L6375">
        <v>329.42</v>
      </c>
    </row>
    <row r="6376" spans="1:12" x14ac:dyDescent="0.25">
      <c r="A6376" t="str">
        <f t="shared" si="1395"/>
        <v>89301000</v>
      </c>
      <c r="B6376" t="str">
        <f t="shared" si="1398"/>
        <v>10510000</v>
      </c>
      <c r="C6376" t="str">
        <f t="shared" si="1399"/>
        <v>10510001</v>
      </c>
      <c r="D6376" t="str">
        <f t="shared" si="1400"/>
        <v>802</v>
      </c>
      <c r="E6376" t="str">
        <f t="shared" si="1401"/>
        <v>89301202</v>
      </c>
      <c r="F6376" t="str">
        <f>"9755284858"</f>
        <v>9755284858</v>
      </c>
      <c r="G6376" s="1">
        <v>44697</v>
      </c>
      <c r="H6376" t="str">
        <f>"82079"</f>
        <v>82079</v>
      </c>
      <c r="I6376">
        <v>1</v>
      </c>
      <c r="J6376">
        <v>332</v>
      </c>
      <c r="K6376">
        <v>0</v>
      </c>
      <c r="L6376">
        <v>302.12</v>
      </c>
    </row>
    <row r="6377" spans="1:12" x14ac:dyDescent="0.25">
      <c r="A6377" t="str">
        <f t="shared" si="1395"/>
        <v>89301000</v>
      </c>
      <c r="B6377" t="str">
        <f t="shared" si="1398"/>
        <v>10510000</v>
      </c>
      <c r="C6377" t="str">
        <f t="shared" si="1399"/>
        <v>10510001</v>
      </c>
      <c r="D6377" t="str">
        <f t="shared" si="1400"/>
        <v>802</v>
      </c>
      <c r="E6377" t="str">
        <f t="shared" si="1401"/>
        <v>89301202</v>
      </c>
      <c r="F6377" t="str">
        <f>"9755284858"</f>
        <v>9755284858</v>
      </c>
      <c r="G6377" s="1">
        <v>44697</v>
      </c>
      <c r="H6377" t="str">
        <f>"82145"</f>
        <v>82145</v>
      </c>
      <c r="I6377">
        <v>1</v>
      </c>
      <c r="J6377">
        <v>57</v>
      </c>
      <c r="K6377">
        <v>0</v>
      </c>
      <c r="L6377">
        <v>51.87</v>
      </c>
    </row>
    <row r="6378" spans="1:12" x14ac:dyDescent="0.25">
      <c r="A6378" t="str">
        <f t="shared" si="1395"/>
        <v>89301000</v>
      </c>
      <c r="B6378" t="str">
        <f t="shared" si="1398"/>
        <v>10510000</v>
      </c>
      <c r="C6378" t="str">
        <f t="shared" si="1399"/>
        <v>10510001</v>
      </c>
      <c r="D6378" t="str">
        <f t="shared" si="1400"/>
        <v>802</v>
      </c>
      <c r="E6378" t="str">
        <f t="shared" si="1401"/>
        <v>89301202</v>
      </c>
      <c r="F6378" t="str">
        <f>"9755284858"</f>
        <v>9755284858</v>
      </c>
      <c r="G6378" s="1">
        <v>44697</v>
      </c>
      <c r="H6378" t="str">
        <f>"82111"</f>
        <v>82111</v>
      </c>
      <c r="I6378">
        <v>1</v>
      </c>
      <c r="J6378">
        <v>36</v>
      </c>
      <c r="K6378">
        <v>0</v>
      </c>
      <c r="L6378">
        <v>32.76</v>
      </c>
    </row>
    <row r="6379" spans="1:12" x14ac:dyDescent="0.25">
      <c r="A6379" t="str">
        <f t="shared" si="1395"/>
        <v>89301000</v>
      </c>
      <c r="B6379" t="str">
        <f t="shared" si="1398"/>
        <v>10510000</v>
      </c>
      <c r="C6379" t="str">
        <f t="shared" si="1399"/>
        <v>10510001</v>
      </c>
      <c r="D6379" t="str">
        <f t="shared" si="1400"/>
        <v>802</v>
      </c>
      <c r="E6379" t="str">
        <f t="shared" si="1401"/>
        <v>89301202</v>
      </c>
      <c r="F6379" t="str">
        <f>"2254121870"</f>
        <v>2254121870</v>
      </c>
      <c r="G6379" s="1">
        <v>44698</v>
      </c>
      <c r="H6379" t="str">
        <f>"82111"</f>
        <v>82111</v>
      </c>
      <c r="I6379">
        <v>1</v>
      </c>
      <c r="J6379">
        <v>36</v>
      </c>
      <c r="K6379">
        <v>0</v>
      </c>
      <c r="L6379">
        <v>32.76</v>
      </c>
    </row>
    <row r="6380" spans="1:12" x14ac:dyDescent="0.25">
      <c r="A6380" t="str">
        <f t="shared" si="1395"/>
        <v>89301000</v>
      </c>
      <c r="B6380" t="str">
        <f t="shared" si="1398"/>
        <v>10510000</v>
      </c>
      <c r="C6380" t="str">
        <f t="shared" si="1399"/>
        <v>10510001</v>
      </c>
      <c r="D6380" t="str">
        <f t="shared" si="1400"/>
        <v>802</v>
      </c>
      <c r="E6380" t="str">
        <f t="shared" si="1401"/>
        <v>89301202</v>
      </c>
      <c r="F6380" t="str">
        <f>"2254121870"</f>
        <v>2254121870</v>
      </c>
      <c r="G6380" s="1">
        <v>44698</v>
      </c>
      <c r="H6380" t="str">
        <f>"82145"</f>
        <v>82145</v>
      </c>
      <c r="I6380">
        <v>1</v>
      </c>
      <c r="J6380">
        <v>57</v>
      </c>
      <c r="K6380">
        <v>0</v>
      </c>
      <c r="L6380">
        <v>51.87</v>
      </c>
    </row>
    <row r="6381" spans="1:12" x14ac:dyDescent="0.25">
      <c r="A6381" t="str">
        <f t="shared" si="1395"/>
        <v>89301000</v>
      </c>
      <c r="B6381" t="str">
        <f t="shared" si="1398"/>
        <v>10510000</v>
      </c>
      <c r="C6381" t="str">
        <f t="shared" si="1399"/>
        <v>10510001</v>
      </c>
      <c r="D6381" t="str">
        <f t="shared" si="1400"/>
        <v>802</v>
      </c>
      <c r="E6381" t="str">
        <f t="shared" si="1401"/>
        <v>89301202</v>
      </c>
      <c r="F6381" t="str">
        <f>"2254121870"</f>
        <v>2254121870</v>
      </c>
      <c r="G6381" s="1">
        <v>44698</v>
      </c>
      <c r="H6381" t="str">
        <f>"82079"</f>
        <v>82079</v>
      </c>
      <c r="I6381">
        <v>1</v>
      </c>
      <c r="J6381">
        <v>332</v>
      </c>
      <c r="K6381">
        <v>0</v>
      </c>
      <c r="L6381">
        <v>302.12</v>
      </c>
    </row>
    <row r="6382" spans="1:12" x14ac:dyDescent="0.25">
      <c r="A6382" t="str">
        <f t="shared" si="1395"/>
        <v>89301000</v>
      </c>
      <c r="B6382" t="str">
        <f t="shared" si="1398"/>
        <v>10510000</v>
      </c>
      <c r="C6382" t="str">
        <f t="shared" si="1399"/>
        <v>10510001</v>
      </c>
      <c r="D6382" t="str">
        <f t="shared" si="1400"/>
        <v>802</v>
      </c>
      <c r="E6382" t="str">
        <f t="shared" si="1401"/>
        <v>89301202</v>
      </c>
      <c r="F6382" t="str">
        <f>"2254121870"</f>
        <v>2254121870</v>
      </c>
      <c r="G6382" s="1">
        <v>44697</v>
      </c>
      <c r="H6382" t="str">
        <f>"97111"</f>
        <v>97111</v>
      </c>
      <c r="I6382">
        <v>1</v>
      </c>
      <c r="J6382">
        <v>18</v>
      </c>
      <c r="K6382">
        <v>0</v>
      </c>
      <c r="L6382">
        <v>16.38</v>
      </c>
    </row>
    <row r="6383" spans="1:12" x14ac:dyDescent="0.25">
      <c r="A6383" t="str">
        <f t="shared" si="1395"/>
        <v>89301000</v>
      </c>
      <c r="B6383" t="str">
        <f t="shared" si="1398"/>
        <v>10510000</v>
      </c>
      <c r="C6383" t="str">
        <f t="shared" si="1399"/>
        <v>10510001</v>
      </c>
      <c r="D6383" t="str">
        <f t="shared" si="1400"/>
        <v>802</v>
      </c>
      <c r="E6383" t="str">
        <f t="shared" si="1401"/>
        <v>89301202</v>
      </c>
      <c r="F6383" t="str">
        <f>"2254121870"</f>
        <v>2254121870</v>
      </c>
      <c r="G6383" s="1">
        <v>44698</v>
      </c>
      <c r="H6383" t="str">
        <f>"82113"</f>
        <v>82113</v>
      </c>
      <c r="I6383">
        <v>1</v>
      </c>
      <c r="J6383">
        <v>362</v>
      </c>
      <c r="K6383">
        <v>0</v>
      </c>
      <c r="L6383">
        <v>329.42</v>
      </c>
    </row>
    <row r="6384" spans="1:12" x14ac:dyDescent="0.25">
      <c r="A6384" t="str">
        <f t="shared" si="1395"/>
        <v>89301000</v>
      </c>
      <c r="B6384" t="str">
        <f t="shared" si="1398"/>
        <v>10510000</v>
      </c>
      <c r="C6384" t="str">
        <f t="shared" si="1399"/>
        <v>10510001</v>
      </c>
      <c r="D6384" t="str">
        <f t="shared" si="1400"/>
        <v>802</v>
      </c>
      <c r="E6384" t="str">
        <f>"89301011"</f>
        <v>89301011</v>
      </c>
      <c r="F6384" t="str">
        <f>"355122426"</f>
        <v>355122426</v>
      </c>
      <c r="G6384" s="1">
        <v>44726</v>
      </c>
      <c r="H6384" t="str">
        <f>"82077"</f>
        <v>82077</v>
      </c>
      <c r="I6384">
        <v>1</v>
      </c>
      <c r="J6384">
        <v>350</v>
      </c>
      <c r="K6384">
        <v>0</v>
      </c>
      <c r="L6384">
        <v>318.5</v>
      </c>
    </row>
    <row r="6385" spans="1:12" x14ac:dyDescent="0.25">
      <c r="A6385" t="str">
        <f t="shared" si="1395"/>
        <v>89301000</v>
      </c>
      <c r="B6385" t="str">
        <f t="shared" si="1398"/>
        <v>10510000</v>
      </c>
      <c r="C6385" t="str">
        <f t="shared" si="1399"/>
        <v>10510001</v>
      </c>
      <c r="D6385" t="str">
        <f t="shared" si="1400"/>
        <v>802</v>
      </c>
      <c r="E6385" t="str">
        <f>"89301011"</f>
        <v>89301011</v>
      </c>
      <c r="F6385" t="str">
        <f>"355122426"</f>
        <v>355122426</v>
      </c>
      <c r="G6385" s="1">
        <v>44725</v>
      </c>
      <c r="H6385" t="str">
        <f>"82077"</f>
        <v>82077</v>
      </c>
      <c r="I6385">
        <v>2</v>
      </c>
      <c r="J6385">
        <v>700</v>
      </c>
      <c r="K6385">
        <v>0</v>
      </c>
      <c r="L6385">
        <v>637</v>
      </c>
    </row>
    <row r="6386" spans="1:12" x14ac:dyDescent="0.25">
      <c r="A6386" t="str">
        <f t="shared" si="1395"/>
        <v>89301000</v>
      </c>
      <c r="B6386" t="str">
        <f t="shared" si="1398"/>
        <v>10510000</v>
      </c>
      <c r="C6386" t="str">
        <f t="shared" si="1399"/>
        <v>10510001</v>
      </c>
      <c r="D6386" t="str">
        <f t="shared" si="1400"/>
        <v>802</v>
      </c>
      <c r="E6386" t="str">
        <f>"89301011"</f>
        <v>89301011</v>
      </c>
      <c r="F6386" t="str">
        <f>"355122426"</f>
        <v>355122426</v>
      </c>
      <c r="G6386" s="1">
        <v>44725</v>
      </c>
      <c r="H6386" t="str">
        <f>"82077"</f>
        <v>82077</v>
      </c>
      <c r="I6386">
        <v>2</v>
      </c>
      <c r="J6386">
        <v>700</v>
      </c>
      <c r="K6386">
        <v>0</v>
      </c>
      <c r="L6386">
        <v>637</v>
      </c>
    </row>
    <row r="6387" spans="1:12" x14ac:dyDescent="0.25">
      <c r="A6387" t="str">
        <f t="shared" si="1395"/>
        <v>89301000</v>
      </c>
      <c r="B6387" t="str">
        <f t="shared" si="1398"/>
        <v>10510000</v>
      </c>
      <c r="C6387" t="str">
        <f t="shared" si="1399"/>
        <v>10510001</v>
      </c>
      <c r="D6387" t="str">
        <f t="shared" si="1400"/>
        <v>802</v>
      </c>
      <c r="E6387" t="str">
        <f t="shared" ref="E6387:E6392" si="1402">"89301171"</f>
        <v>89301171</v>
      </c>
      <c r="F6387" t="str">
        <f>"7959265303"</f>
        <v>7959265303</v>
      </c>
      <c r="G6387" s="1">
        <v>44725</v>
      </c>
      <c r="H6387" t="str">
        <f>"82041"</f>
        <v>82041</v>
      </c>
      <c r="I6387">
        <v>1</v>
      </c>
      <c r="J6387">
        <v>1090</v>
      </c>
      <c r="K6387">
        <v>0</v>
      </c>
      <c r="L6387">
        <v>991.9</v>
      </c>
    </row>
    <row r="6388" spans="1:12" x14ac:dyDescent="0.25">
      <c r="A6388" t="str">
        <f t="shared" si="1395"/>
        <v>89301000</v>
      </c>
      <c r="B6388" t="str">
        <f t="shared" si="1398"/>
        <v>10510000</v>
      </c>
      <c r="C6388" t="str">
        <f t="shared" si="1399"/>
        <v>10510001</v>
      </c>
      <c r="D6388" t="str">
        <f t="shared" si="1400"/>
        <v>802</v>
      </c>
      <c r="E6388" t="str">
        <f t="shared" si="1402"/>
        <v>89301171</v>
      </c>
      <c r="F6388" t="str">
        <f>"7959265303"</f>
        <v>7959265303</v>
      </c>
      <c r="G6388" s="1">
        <v>44725</v>
      </c>
      <c r="H6388" t="str">
        <f>"82041"</f>
        <v>82041</v>
      </c>
      <c r="I6388">
        <v>1</v>
      </c>
      <c r="J6388">
        <v>1090</v>
      </c>
      <c r="K6388">
        <v>0</v>
      </c>
      <c r="L6388">
        <v>991.9</v>
      </c>
    </row>
    <row r="6389" spans="1:12" x14ac:dyDescent="0.25">
      <c r="A6389" t="str">
        <f t="shared" si="1395"/>
        <v>89301000</v>
      </c>
      <c r="B6389" t="str">
        <f t="shared" si="1398"/>
        <v>10510000</v>
      </c>
      <c r="C6389" t="str">
        <f t="shared" si="1399"/>
        <v>10510001</v>
      </c>
      <c r="D6389" t="str">
        <f t="shared" si="1400"/>
        <v>802</v>
      </c>
      <c r="E6389" t="str">
        <f t="shared" si="1402"/>
        <v>89301171</v>
      </c>
      <c r="F6389" t="str">
        <f>"7959265303"</f>
        <v>7959265303</v>
      </c>
      <c r="G6389" s="1">
        <v>44725</v>
      </c>
      <c r="H6389" t="str">
        <f>"82034"</f>
        <v>82034</v>
      </c>
      <c r="I6389">
        <v>1</v>
      </c>
      <c r="J6389">
        <v>348</v>
      </c>
      <c r="K6389">
        <v>0</v>
      </c>
      <c r="L6389">
        <v>316.68</v>
      </c>
    </row>
    <row r="6390" spans="1:12" x14ac:dyDescent="0.25">
      <c r="A6390" t="str">
        <f t="shared" si="1395"/>
        <v>89301000</v>
      </c>
      <c r="B6390" t="str">
        <f t="shared" si="1398"/>
        <v>10510000</v>
      </c>
      <c r="C6390" t="str">
        <f t="shared" si="1399"/>
        <v>10510001</v>
      </c>
      <c r="D6390" t="str">
        <f t="shared" si="1400"/>
        <v>802</v>
      </c>
      <c r="E6390" t="str">
        <f t="shared" si="1402"/>
        <v>89301171</v>
      </c>
      <c r="F6390" t="str">
        <f>"6254237165"</f>
        <v>6254237165</v>
      </c>
      <c r="G6390" s="1">
        <v>44725</v>
      </c>
      <c r="H6390" t="str">
        <f>"82034"</f>
        <v>82034</v>
      </c>
      <c r="I6390">
        <v>1</v>
      </c>
      <c r="J6390">
        <v>348</v>
      </c>
      <c r="K6390">
        <v>0</v>
      </c>
      <c r="L6390">
        <v>316.68</v>
      </c>
    </row>
    <row r="6391" spans="1:12" x14ac:dyDescent="0.25">
      <c r="A6391" t="str">
        <f t="shared" si="1395"/>
        <v>89301000</v>
      </c>
      <c r="B6391" t="str">
        <f t="shared" si="1398"/>
        <v>10510000</v>
      </c>
      <c r="C6391" t="str">
        <f t="shared" si="1399"/>
        <v>10510001</v>
      </c>
      <c r="D6391" t="str">
        <f t="shared" si="1400"/>
        <v>802</v>
      </c>
      <c r="E6391" t="str">
        <f t="shared" si="1402"/>
        <v>89301171</v>
      </c>
      <c r="F6391" t="str">
        <f>"6254237165"</f>
        <v>6254237165</v>
      </c>
      <c r="G6391" s="1">
        <v>44725</v>
      </c>
      <c r="H6391" t="str">
        <f>"82041"</f>
        <v>82041</v>
      </c>
      <c r="I6391">
        <v>1</v>
      </c>
      <c r="J6391">
        <v>1090</v>
      </c>
      <c r="K6391">
        <v>0</v>
      </c>
      <c r="L6391">
        <v>991.9</v>
      </c>
    </row>
    <row r="6392" spans="1:12" x14ac:dyDescent="0.25">
      <c r="A6392" t="str">
        <f t="shared" si="1395"/>
        <v>89301000</v>
      </c>
      <c r="B6392" t="str">
        <f t="shared" si="1398"/>
        <v>10510000</v>
      </c>
      <c r="C6392" t="str">
        <f t="shared" si="1399"/>
        <v>10510001</v>
      </c>
      <c r="D6392" t="str">
        <f t="shared" si="1400"/>
        <v>802</v>
      </c>
      <c r="E6392" t="str">
        <f t="shared" si="1402"/>
        <v>89301171</v>
      </c>
      <c r="F6392" t="str">
        <f>"6254237165"</f>
        <v>6254237165</v>
      </c>
      <c r="G6392" s="1">
        <v>44725</v>
      </c>
      <c r="H6392" t="str">
        <f>"82041"</f>
        <v>82041</v>
      </c>
      <c r="I6392">
        <v>1</v>
      </c>
      <c r="J6392">
        <v>1090</v>
      </c>
      <c r="K6392">
        <v>0</v>
      </c>
      <c r="L6392">
        <v>991.9</v>
      </c>
    </row>
    <row r="6393" spans="1:12" x14ac:dyDescent="0.25">
      <c r="A6393" t="str">
        <f t="shared" si="1395"/>
        <v>89301000</v>
      </c>
      <c r="B6393" t="str">
        <f t="shared" si="1398"/>
        <v>10510000</v>
      </c>
      <c r="C6393" t="str">
        <f t="shared" si="1399"/>
        <v>10510001</v>
      </c>
      <c r="D6393" t="str">
        <f t="shared" si="1400"/>
        <v>802</v>
      </c>
      <c r="E6393" t="str">
        <f t="shared" ref="E6393:E6398" si="1403">"89301172"</f>
        <v>89301172</v>
      </c>
      <c r="F6393" t="str">
        <f>"0361165706"</f>
        <v>0361165706</v>
      </c>
      <c r="G6393" s="1">
        <v>44733</v>
      </c>
      <c r="H6393" t="str">
        <f>"82041"</f>
        <v>82041</v>
      </c>
      <c r="I6393">
        <v>1</v>
      </c>
      <c r="J6393">
        <v>1090</v>
      </c>
      <c r="K6393">
        <v>0</v>
      </c>
      <c r="L6393">
        <v>991.9</v>
      </c>
    </row>
    <row r="6394" spans="1:12" x14ac:dyDescent="0.25">
      <c r="A6394" t="str">
        <f t="shared" si="1395"/>
        <v>89301000</v>
      </c>
      <c r="B6394" t="str">
        <f t="shared" si="1398"/>
        <v>10510000</v>
      </c>
      <c r="C6394" t="str">
        <f t="shared" si="1399"/>
        <v>10510001</v>
      </c>
      <c r="D6394" t="str">
        <f t="shared" si="1400"/>
        <v>802</v>
      </c>
      <c r="E6394" t="str">
        <f t="shared" si="1403"/>
        <v>89301172</v>
      </c>
      <c r="F6394" t="str">
        <f>"0361165706"</f>
        <v>0361165706</v>
      </c>
      <c r="G6394" s="1">
        <v>44733</v>
      </c>
      <c r="H6394" t="str">
        <f>"82041"</f>
        <v>82041</v>
      </c>
      <c r="I6394">
        <v>1</v>
      </c>
      <c r="J6394">
        <v>1090</v>
      </c>
      <c r="K6394">
        <v>0</v>
      </c>
      <c r="L6394">
        <v>991.9</v>
      </c>
    </row>
    <row r="6395" spans="1:12" x14ac:dyDescent="0.25">
      <c r="A6395" t="str">
        <f t="shared" si="1395"/>
        <v>89301000</v>
      </c>
      <c r="B6395" t="str">
        <f t="shared" si="1398"/>
        <v>10510000</v>
      </c>
      <c r="C6395" t="str">
        <f t="shared" si="1399"/>
        <v>10510001</v>
      </c>
      <c r="D6395" t="str">
        <f t="shared" si="1400"/>
        <v>802</v>
      </c>
      <c r="E6395" t="str">
        <f t="shared" si="1403"/>
        <v>89301172</v>
      </c>
      <c r="F6395" t="str">
        <f>"0361165706"</f>
        <v>0361165706</v>
      </c>
      <c r="G6395" s="1">
        <v>44733</v>
      </c>
      <c r="H6395" t="str">
        <f>"82034"</f>
        <v>82034</v>
      </c>
      <c r="I6395">
        <v>1</v>
      </c>
      <c r="J6395">
        <v>348</v>
      </c>
      <c r="K6395">
        <v>0</v>
      </c>
      <c r="L6395">
        <v>316.68</v>
      </c>
    </row>
    <row r="6396" spans="1:12" x14ac:dyDescent="0.25">
      <c r="A6396" t="str">
        <f t="shared" si="1395"/>
        <v>89301000</v>
      </c>
      <c r="B6396" t="str">
        <f t="shared" si="1398"/>
        <v>10510000</v>
      </c>
      <c r="C6396" t="str">
        <f t="shared" si="1399"/>
        <v>10510001</v>
      </c>
      <c r="D6396" t="str">
        <f t="shared" si="1400"/>
        <v>802</v>
      </c>
      <c r="E6396" t="str">
        <f t="shared" si="1403"/>
        <v>89301172</v>
      </c>
      <c r="F6396" t="str">
        <f>"9862195706"</f>
        <v>9862195706</v>
      </c>
      <c r="G6396" s="1">
        <v>44733</v>
      </c>
      <c r="H6396" t="str">
        <f>"82034"</f>
        <v>82034</v>
      </c>
      <c r="I6396">
        <v>1</v>
      </c>
      <c r="J6396">
        <v>348</v>
      </c>
      <c r="K6396">
        <v>0</v>
      </c>
      <c r="L6396">
        <v>316.68</v>
      </c>
    </row>
    <row r="6397" spans="1:12" x14ac:dyDescent="0.25">
      <c r="A6397" t="str">
        <f t="shared" si="1395"/>
        <v>89301000</v>
      </c>
      <c r="B6397" t="str">
        <f t="shared" si="1398"/>
        <v>10510000</v>
      </c>
      <c r="C6397" t="str">
        <f t="shared" si="1399"/>
        <v>10510001</v>
      </c>
      <c r="D6397" t="str">
        <f t="shared" si="1400"/>
        <v>802</v>
      </c>
      <c r="E6397" t="str">
        <f t="shared" si="1403"/>
        <v>89301172</v>
      </c>
      <c r="F6397" t="str">
        <f>"9862195706"</f>
        <v>9862195706</v>
      </c>
      <c r="G6397" s="1">
        <v>44733</v>
      </c>
      <c r="H6397" t="str">
        <f>"82041"</f>
        <v>82041</v>
      </c>
      <c r="I6397">
        <v>1</v>
      </c>
      <c r="J6397">
        <v>1090</v>
      </c>
      <c r="K6397">
        <v>0</v>
      </c>
      <c r="L6397">
        <v>991.9</v>
      </c>
    </row>
    <row r="6398" spans="1:12" x14ac:dyDescent="0.25">
      <c r="A6398" t="str">
        <f t="shared" si="1395"/>
        <v>89301000</v>
      </c>
      <c r="B6398" t="str">
        <f t="shared" si="1398"/>
        <v>10510000</v>
      </c>
      <c r="C6398" t="str">
        <f t="shared" si="1399"/>
        <v>10510001</v>
      </c>
      <c r="D6398" t="str">
        <f t="shared" si="1400"/>
        <v>802</v>
      </c>
      <c r="E6398" t="str">
        <f t="shared" si="1403"/>
        <v>89301172</v>
      </c>
      <c r="F6398" t="str">
        <f>"9862195706"</f>
        <v>9862195706</v>
      </c>
      <c r="G6398" s="1">
        <v>44733</v>
      </c>
      <c r="H6398" t="str">
        <f>"82041"</f>
        <v>82041</v>
      </c>
      <c r="I6398">
        <v>1</v>
      </c>
      <c r="J6398">
        <v>1090</v>
      </c>
      <c r="K6398">
        <v>0</v>
      </c>
      <c r="L6398">
        <v>991.9</v>
      </c>
    </row>
    <row r="6399" spans="1:12" x14ac:dyDescent="0.25">
      <c r="A6399" t="str">
        <f t="shared" si="1395"/>
        <v>89301000</v>
      </c>
      <c r="B6399" t="str">
        <f t="shared" si="1398"/>
        <v>10510000</v>
      </c>
      <c r="C6399" t="str">
        <f t="shared" si="1399"/>
        <v>10510001</v>
      </c>
      <c r="D6399" t="str">
        <f t="shared" si="1400"/>
        <v>802</v>
      </c>
      <c r="E6399" t="str">
        <f>"89301171"</f>
        <v>89301171</v>
      </c>
      <c r="F6399" t="str">
        <f>"7154254481"</f>
        <v>7154254481</v>
      </c>
      <c r="G6399" s="1">
        <v>44736</v>
      </c>
      <c r="H6399" t="str">
        <f>"82034"</f>
        <v>82034</v>
      </c>
      <c r="I6399">
        <v>1</v>
      </c>
      <c r="J6399">
        <v>348</v>
      </c>
      <c r="K6399">
        <v>0</v>
      </c>
      <c r="L6399">
        <v>316.68</v>
      </c>
    </row>
    <row r="6400" spans="1:12" x14ac:dyDescent="0.25">
      <c r="A6400" t="str">
        <f t="shared" si="1395"/>
        <v>89301000</v>
      </c>
      <c r="B6400" t="str">
        <f t="shared" si="1398"/>
        <v>10510000</v>
      </c>
      <c r="C6400" t="str">
        <f t="shared" si="1399"/>
        <v>10510001</v>
      </c>
      <c r="D6400" t="str">
        <f t="shared" si="1400"/>
        <v>802</v>
      </c>
      <c r="E6400" t="str">
        <f>"89301171"</f>
        <v>89301171</v>
      </c>
      <c r="F6400" t="str">
        <f>"7154254481"</f>
        <v>7154254481</v>
      </c>
      <c r="G6400" s="1">
        <v>44736</v>
      </c>
      <c r="H6400" t="str">
        <f>"82041"</f>
        <v>82041</v>
      </c>
      <c r="I6400">
        <v>1</v>
      </c>
      <c r="J6400">
        <v>1090</v>
      </c>
      <c r="K6400">
        <v>0</v>
      </c>
      <c r="L6400">
        <v>991.9</v>
      </c>
    </row>
    <row r="6401" spans="1:12" x14ac:dyDescent="0.25">
      <c r="A6401" t="str">
        <f t="shared" si="1395"/>
        <v>89301000</v>
      </c>
      <c r="B6401" t="str">
        <f t="shared" si="1398"/>
        <v>10510000</v>
      </c>
      <c r="C6401" t="str">
        <f t="shared" si="1399"/>
        <v>10510001</v>
      </c>
      <c r="D6401" t="str">
        <f t="shared" si="1400"/>
        <v>802</v>
      </c>
      <c r="E6401" t="str">
        <f>"89301171"</f>
        <v>89301171</v>
      </c>
      <c r="F6401" t="str">
        <f>"7154254481"</f>
        <v>7154254481</v>
      </c>
      <c r="G6401" s="1">
        <v>44736</v>
      </c>
      <c r="H6401" t="str">
        <f>"82041"</f>
        <v>82041</v>
      </c>
      <c r="I6401">
        <v>1</v>
      </c>
      <c r="J6401">
        <v>1090</v>
      </c>
      <c r="K6401">
        <v>0</v>
      </c>
      <c r="L6401">
        <v>991.9</v>
      </c>
    </row>
    <row r="6402" spans="1:12" x14ac:dyDescent="0.25">
      <c r="A6402" t="str">
        <f t="shared" ref="A6402:A6465" si="1404">"89301000"</f>
        <v>89301000</v>
      </c>
      <c r="B6402" t="str">
        <f t="shared" si="1398"/>
        <v>10510000</v>
      </c>
      <c r="C6402" t="str">
        <f t="shared" si="1399"/>
        <v>10510001</v>
      </c>
      <c r="D6402" t="str">
        <f t="shared" si="1400"/>
        <v>802</v>
      </c>
      <c r="E6402" t="str">
        <f>"89301031"</f>
        <v>89301031</v>
      </c>
      <c r="F6402" t="str">
        <f>"6955045779"</f>
        <v>6955045779</v>
      </c>
      <c r="G6402" s="1">
        <v>44736</v>
      </c>
      <c r="H6402" t="str">
        <f>"82041"</f>
        <v>82041</v>
      </c>
      <c r="I6402">
        <v>1</v>
      </c>
      <c r="J6402">
        <v>1090</v>
      </c>
      <c r="K6402">
        <v>0</v>
      </c>
      <c r="L6402">
        <v>991.9</v>
      </c>
    </row>
    <row r="6403" spans="1:12" x14ac:dyDescent="0.25">
      <c r="A6403" t="str">
        <f t="shared" si="1404"/>
        <v>89301000</v>
      </c>
      <c r="B6403" t="str">
        <f t="shared" si="1398"/>
        <v>10510000</v>
      </c>
      <c r="C6403" t="str">
        <f t="shared" si="1399"/>
        <v>10510001</v>
      </c>
      <c r="D6403" t="str">
        <f t="shared" si="1400"/>
        <v>802</v>
      </c>
      <c r="E6403" t="str">
        <f>"89301031"</f>
        <v>89301031</v>
      </c>
      <c r="F6403" t="str">
        <f>"6955045779"</f>
        <v>6955045779</v>
      </c>
      <c r="G6403" s="1">
        <v>44736</v>
      </c>
      <c r="H6403" t="str">
        <f>"82041"</f>
        <v>82041</v>
      </c>
      <c r="I6403">
        <v>1</v>
      </c>
      <c r="J6403">
        <v>1090</v>
      </c>
      <c r="K6403">
        <v>0</v>
      </c>
      <c r="L6403">
        <v>991.9</v>
      </c>
    </row>
    <row r="6404" spans="1:12" x14ac:dyDescent="0.25">
      <c r="A6404" t="str">
        <f t="shared" si="1404"/>
        <v>89301000</v>
      </c>
      <c r="B6404" t="str">
        <f t="shared" si="1398"/>
        <v>10510000</v>
      </c>
      <c r="C6404" t="str">
        <f t="shared" si="1399"/>
        <v>10510001</v>
      </c>
      <c r="D6404" t="str">
        <f t="shared" si="1400"/>
        <v>802</v>
      </c>
      <c r="E6404" t="str">
        <f>"89301031"</f>
        <v>89301031</v>
      </c>
      <c r="F6404" t="str">
        <f>"6955045779"</f>
        <v>6955045779</v>
      </c>
      <c r="G6404" s="1">
        <v>44736</v>
      </c>
      <c r="H6404" t="str">
        <f>"82034"</f>
        <v>82034</v>
      </c>
      <c r="I6404">
        <v>1</v>
      </c>
      <c r="J6404">
        <v>348</v>
      </c>
      <c r="K6404">
        <v>0</v>
      </c>
      <c r="L6404">
        <v>316.68</v>
      </c>
    </row>
    <row r="6405" spans="1:12" x14ac:dyDescent="0.25">
      <c r="A6405" t="str">
        <f t="shared" si="1404"/>
        <v>89301000</v>
      </c>
      <c r="B6405" t="str">
        <f t="shared" ref="B6405:B6436" si="1405">"06539000"</f>
        <v>06539000</v>
      </c>
      <c r="C6405" t="str">
        <f>"06539001"</f>
        <v>06539001</v>
      </c>
      <c r="D6405" t="str">
        <f>"801"</f>
        <v>801</v>
      </c>
      <c r="E6405" t="str">
        <f t="shared" ref="E6405:E6436" si="1406">"89301171"</f>
        <v>89301171</v>
      </c>
      <c r="F6405" t="str">
        <f t="shared" ref="F6405:F6446" si="1407">"7853145311"</f>
        <v>7853145311</v>
      </c>
      <c r="G6405" s="1">
        <v>44701</v>
      </c>
      <c r="H6405" t="str">
        <f>"81329"</f>
        <v>81329</v>
      </c>
      <c r="I6405">
        <v>1</v>
      </c>
      <c r="J6405">
        <v>16</v>
      </c>
      <c r="K6405">
        <v>0</v>
      </c>
      <c r="L6405">
        <v>12.48</v>
      </c>
    </row>
    <row r="6406" spans="1:12" x14ac:dyDescent="0.25">
      <c r="A6406" t="str">
        <f t="shared" si="1404"/>
        <v>89301000</v>
      </c>
      <c r="B6406" t="str">
        <f t="shared" si="1405"/>
        <v>06539000</v>
      </c>
      <c r="C6406" t="str">
        <f>"06539001"</f>
        <v>06539001</v>
      </c>
      <c r="D6406" t="str">
        <f>"801"</f>
        <v>801</v>
      </c>
      <c r="E6406" t="str">
        <f t="shared" si="1406"/>
        <v>89301171</v>
      </c>
      <c r="F6406" t="str">
        <f t="shared" si="1407"/>
        <v>7853145311</v>
      </c>
      <c r="G6406" s="1">
        <v>44701</v>
      </c>
      <c r="H6406" t="str">
        <f>"81331"</f>
        <v>81331</v>
      </c>
      <c r="I6406">
        <v>1</v>
      </c>
      <c r="J6406">
        <v>193</v>
      </c>
      <c r="K6406">
        <v>0</v>
      </c>
      <c r="L6406">
        <v>150.54</v>
      </c>
    </row>
    <row r="6407" spans="1:12" x14ac:dyDescent="0.25">
      <c r="A6407" t="str">
        <f t="shared" si="1404"/>
        <v>89301000</v>
      </c>
      <c r="B6407" t="str">
        <f t="shared" si="1405"/>
        <v>06539000</v>
      </c>
      <c r="C6407" t="str">
        <f t="shared" ref="C6407:C6414" si="1408">"06539002"</f>
        <v>06539002</v>
      </c>
      <c r="D6407" t="str">
        <f t="shared" ref="D6407:D6414" si="1409">"802"</f>
        <v>802</v>
      </c>
      <c r="E6407" t="str">
        <f t="shared" si="1406"/>
        <v>89301171</v>
      </c>
      <c r="F6407" t="str">
        <f t="shared" si="1407"/>
        <v>7853145311</v>
      </c>
      <c r="G6407" s="1">
        <v>44701</v>
      </c>
      <c r="H6407" t="str">
        <f t="shared" ref="H6407:H6414" si="1410">"82097"</f>
        <v>82097</v>
      </c>
      <c r="I6407">
        <v>1</v>
      </c>
      <c r="J6407">
        <v>380</v>
      </c>
      <c r="K6407">
        <v>0</v>
      </c>
      <c r="L6407">
        <v>345.8</v>
      </c>
    </row>
    <row r="6408" spans="1:12" x14ac:dyDescent="0.25">
      <c r="A6408" t="str">
        <f t="shared" si="1404"/>
        <v>89301000</v>
      </c>
      <c r="B6408" t="str">
        <f t="shared" si="1405"/>
        <v>06539000</v>
      </c>
      <c r="C6408" t="str">
        <f t="shared" si="1408"/>
        <v>06539002</v>
      </c>
      <c r="D6408" t="str">
        <f t="shared" si="1409"/>
        <v>802</v>
      </c>
      <c r="E6408" t="str">
        <f t="shared" si="1406"/>
        <v>89301171</v>
      </c>
      <c r="F6408" t="str">
        <f t="shared" si="1407"/>
        <v>7853145311</v>
      </c>
      <c r="G6408" s="1">
        <v>44701</v>
      </c>
      <c r="H6408" t="str">
        <f t="shared" si="1410"/>
        <v>82097</v>
      </c>
      <c r="I6408">
        <v>1</v>
      </c>
      <c r="J6408">
        <v>380</v>
      </c>
      <c r="K6408">
        <v>0</v>
      </c>
      <c r="L6408">
        <v>345.8</v>
      </c>
    </row>
    <row r="6409" spans="1:12" x14ac:dyDescent="0.25">
      <c r="A6409" t="str">
        <f t="shared" si="1404"/>
        <v>89301000</v>
      </c>
      <c r="B6409" t="str">
        <f t="shared" si="1405"/>
        <v>06539000</v>
      </c>
      <c r="C6409" t="str">
        <f t="shared" si="1408"/>
        <v>06539002</v>
      </c>
      <c r="D6409" t="str">
        <f t="shared" si="1409"/>
        <v>802</v>
      </c>
      <c r="E6409" t="str">
        <f t="shared" si="1406"/>
        <v>89301171</v>
      </c>
      <c r="F6409" t="str">
        <f t="shared" si="1407"/>
        <v>7853145311</v>
      </c>
      <c r="G6409" s="1">
        <v>44701</v>
      </c>
      <c r="H6409" t="str">
        <f t="shared" si="1410"/>
        <v>82097</v>
      </c>
      <c r="I6409">
        <v>1</v>
      </c>
      <c r="J6409">
        <v>380</v>
      </c>
      <c r="K6409">
        <v>0</v>
      </c>
      <c r="L6409">
        <v>345.8</v>
      </c>
    </row>
    <row r="6410" spans="1:12" x14ac:dyDescent="0.25">
      <c r="A6410" t="str">
        <f t="shared" si="1404"/>
        <v>89301000</v>
      </c>
      <c r="B6410" t="str">
        <f t="shared" si="1405"/>
        <v>06539000</v>
      </c>
      <c r="C6410" t="str">
        <f t="shared" si="1408"/>
        <v>06539002</v>
      </c>
      <c r="D6410" t="str">
        <f t="shared" si="1409"/>
        <v>802</v>
      </c>
      <c r="E6410" t="str">
        <f t="shared" si="1406"/>
        <v>89301171</v>
      </c>
      <c r="F6410" t="str">
        <f t="shared" si="1407"/>
        <v>7853145311</v>
      </c>
      <c r="G6410" s="1">
        <v>44701</v>
      </c>
      <c r="H6410" t="str">
        <f t="shared" si="1410"/>
        <v>82097</v>
      </c>
      <c r="I6410">
        <v>1</v>
      </c>
      <c r="J6410">
        <v>380</v>
      </c>
      <c r="K6410">
        <v>0</v>
      </c>
      <c r="L6410">
        <v>345.8</v>
      </c>
    </row>
    <row r="6411" spans="1:12" x14ac:dyDescent="0.25">
      <c r="A6411" t="str">
        <f t="shared" si="1404"/>
        <v>89301000</v>
      </c>
      <c r="B6411" t="str">
        <f t="shared" si="1405"/>
        <v>06539000</v>
      </c>
      <c r="C6411" t="str">
        <f t="shared" si="1408"/>
        <v>06539002</v>
      </c>
      <c r="D6411" t="str">
        <f t="shared" si="1409"/>
        <v>802</v>
      </c>
      <c r="E6411" t="str">
        <f t="shared" si="1406"/>
        <v>89301171</v>
      </c>
      <c r="F6411" t="str">
        <f t="shared" si="1407"/>
        <v>7853145311</v>
      </c>
      <c r="G6411" s="1">
        <v>44701</v>
      </c>
      <c r="H6411" t="str">
        <f t="shared" si="1410"/>
        <v>82097</v>
      </c>
      <c r="I6411">
        <v>1</v>
      </c>
      <c r="J6411">
        <v>380</v>
      </c>
      <c r="K6411">
        <v>0</v>
      </c>
      <c r="L6411">
        <v>345.8</v>
      </c>
    </row>
    <row r="6412" spans="1:12" x14ac:dyDescent="0.25">
      <c r="A6412" t="str">
        <f t="shared" si="1404"/>
        <v>89301000</v>
      </c>
      <c r="B6412" t="str">
        <f t="shared" si="1405"/>
        <v>06539000</v>
      </c>
      <c r="C6412" t="str">
        <f t="shared" si="1408"/>
        <v>06539002</v>
      </c>
      <c r="D6412" t="str">
        <f t="shared" si="1409"/>
        <v>802</v>
      </c>
      <c r="E6412" t="str">
        <f t="shared" si="1406"/>
        <v>89301171</v>
      </c>
      <c r="F6412" t="str">
        <f t="shared" si="1407"/>
        <v>7853145311</v>
      </c>
      <c r="G6412" s="1">
        <v>44701</v>
      </c>
      <c r="H6412" t="str">
        <f t="shared" si="1410"/>
        <v>82097</v>
      </c>
      <c r="I6412">
        <v>1</v>
      </c>
      <c r="J6412">
        <v>380</v>
      </c>
      <c r="K6412">
        <v>0</v>
      </c>
      <c r="L6412">
        <v>345.8</v>
      </c>
    </row>
    <row r="6413" spans="1:12" x14ac:dyDescent="0.25">
      <c r="A6413" t="str">
        <f t="shared" si="1404"/>
        <v>89301000</v>
      </c>
      <c r="B6413" t="str">
        <f t="shared" si="1405"/>
        <v>06539000</v>
      </c>
      <c r="C6413" t="str">
        <f t="shared" si="1408"/>
        <v>06539002</v>
      </c>
      <c r="D6413" t="str">
        <f t="shared" si="1409"/>
        <v>802</v>
      </c>
      <c r="E6413" t="str">
        <f t="shared" si="1406"/>
        <v>89301171</v>
      </c>
      <c r="F6413" t="str">
        <f t="shared" si="1407"/>
        <v>7853145311</v>
      </c>
      <c r="G6413" s="1">
        <v>44701</v>
      </c>
      <c r="H6413" t="str">
        <f t="shared" si="1410"/>
        <v>82097</v>
      </c>
      <c r="I6413">
        <v>1</v>
      </c>
      <c r="J6413">
        <v>380</v>
      </c>
      <c r="K6413">
        <v>0</v>
      </c>
      <c r="L6413">
        <v>345.8</v>
      </c>
    </row>
    <row r="6414" spans="1:12" x14ac:dyDescent="0.25">
      <c r="A6414" t="str">
        <f t="shared" si="1404"/>
        <v>89301000</v>
      </c>
      <c r="B6414" t="str">
        <f t="shared" si="1405"/>
        <v>06539000</v>
      </c>
      <c r="C6414" t="str">
        <f t="shared" si="1408"/>
        <v>06539002</v>
      </c>
      <c r="D6414" t="str">
        <f t="shared" si="1409"/>
        <v>802</v>
      </c>
      <c r="E6414" t="str">
        <f t="shared" si="1406"/>
        <v>89301171</v>
      </c>
      <c r="F6414" t="str">
        <f t="shared" si="1407"/>
        <v>7853145311</v>
      </c>
      <c r="G6414" s="1">
        <v>44701</v>
      </c>
      <c r="H6414" t="str">
        <f t="shared" si="1410"/>
        <v>82097</v>
      </c>
      <c r="I6414">
        <v>1</v>
      </c>
      <c r="J6414">
        <v>380</v>
      </c>
      <c r="K6414">
        <v>0</v>
      </c>
      <c r="L6414">
        <v>345.8</v>
      </c>
    </row>
    <row r="6415" spans="1:12" x14ac:dyDescent="0.25">
      <c r="A6415" t="str">
        <f t="shared" si="1404"/>
        <v>89301000</v>
      </c>
      <c r="B6415" t="str">
        <f t="shared" si="1405"/>
        <v>06539000</v>
      </c>
      <c r="C6415" t="str">
        <f t="shared" ref="C6415:C6462" si="1411">"06539003"</f>
        <v>06539003</v>
      </c>
      <c r="D6415" t="str">
        <f t="shared" ref="D6415:D6462" si="1412">"813"</f>
        <v>813</v>
      </c>
      <c r="E6415" t="str">
        <f t="shared" si="1406"/>
        <v>89301171</v>
      </c>
      <c r="F6415" t="str">
        <f t="shared" si="1407"/>
        <v>7853145311</v>
      </c>
      <c r="G6415" s="1">
        <v>44707</v>
      </c>
      <c r="H6415" t="str">
        <f t="shared" ref="H6415:H6424" si="1413">"91413"</f>
        <v>91413</v>
      </c>
      <c r="I6415">
        <v>1</v>
      </c>
      <c r="J6415">
        <v>853</v>
      </c>
      <c r="K6415">
        <v>0</v>
      </c>
      <c r="L6415">
        <v>665.34</v>
      </c>
    </row>
    <row r="6416" spans="1:12" x14ac:dyDescent="0.25">
      <c r="A6416" t="str">
        <f t="shared" si="1404"/>
        <v>89301000</v>
      </c>
      <c r="B6416" t="str">
        <f t="shared" si="1405"/>
        <v>06539000</v>
      </c>
      <c r="C6416" t="str">
        <f t="shared" si="1411"/>
        <v>06539003</v>
      </c>
      <c r="D6416" t="str">
        <f t="shared" si="1412"/>
        <v>813</v>
      </c>
      <c r="E6416" t="str">
        <f t="shared" si="1406"/>
        <v>89301171</v>
      </c>
      <c r="F6416" t="str">
        <f t="shared" si="1407"/>
        <v>7853145311</v>
      </c>
      <c r="G6416" s="1">
        <v>44707</v>
      </c>
      <c r="H6416" t="str">
        <f t="shared" si="1413"/>
        <v>91413</v>
      </c>
      <c r="I6416">
        <v>1</v>
      </c>
      <c r="J6416">
        <v>853</v>
      </c>
      <c r="K6416">
        <v>0</v>
      </c>
      <c r="L6416">
        <v>665.34</v>
      </c>
    </row>
    <row r="6417" spans="1:12" x14ac:dyDescent="0.25">
      <c r="A6417" t="str">
        <f t="shared" si="1404"/>
        <v>89301000</v>
      </c>
      <c r="B6417" t="str">
        <f t="shared" si="1405"/>
        <v>06539000</v>
      </c>
      <c r="C6417" t="str">
        <f t="shared" si="1411"/>
        <v>06539003</v>
      </c>
      <c r="D6417" t="str">
        <f t="shared" si="1412"/>
        <v>813</v>
      </c>
      <c r="E6417" t="str">
        <f t="shared" si="1406"/>
        <v>89301171</v>
      </c>
      <c r="F6417" t="str">
        <f t="shared" si="1407"/>
        <v>7853145311</v>
      </c>
      <c r="G6417" s="1">
        <v>44716</v>
      </c>
      <c r="H6417" t="str">
        <f t="shared" si="1413"/>
        <v>91413</v>
      </c>
      <c r="I6417">
        <v>1</v>
      </c>
      <c r="J6417">
        <v>853</v>
      </c>
      <c r="K6417">
        <v>0</v>
      </c>
      <c r="L6417">
        <v>665.34</v>
      </c>
    </row>
    <row r="6418" spans="1:12" x14ac:dyDescent="0.25">
      <c r="A6418" t="str">
        <f t="shared" si="1404"/>
        <v>89301000</v>
      </c>
      <c r="B6418" t="str">
        <f t="shared" si="1405"/>
        <v>06539000</v>
      </c>
      <c r="C6418" t="str">
        <f t="shared" si="1411"/>
        <v>06539003</v>
      </c>
      <c r="D6418" t="str">
        <f t="shared" si="1412"/>
        <v>813</v>
      </c>
      <c r="E6418" t="str">
        <f t="shared" si="1406"/>
        <v>89301171</v>
      </c>
      <c r="F6418" t="str">
        <f t="shared" si="1407"/>
        <v>7853145311</v>
      </c>
      <c r="G6418" s="1">
        <v>44716</v>
      </c>
      <c r="H6418" t="str">
        <f t="shared" si="1413"/>
        <v>91413</v>
      </c>
      <c r="I6418">
        <v>1</v>
      </c>
      <c r="J6418">
        <v>853</v>
      </c>
      <c r="K6418">
        <v>0</v>
      </c>
      <c r="L6418">
        <v>665.34</v>
      </c>
    </row>
    <row r="6419" spans="1:12" x14ac:dyDescent="0.25">
      <c r="A6419" t="str">
        <f t="shared" si="1404"/>
        <v>89301000</v>
      </c>
      <c r="B6419" t="str">
        <f t="shared" si="1405"/>
        <v>06539000</v>
      </c>
      <c r="C6419" t="str">
        <f t="shared" si="1411"/>
        <v>06539003</v>
      </c>
      <c r="D6419" t="str">
        <f t="shared" si="1412"/>
        <v>813</v>
      </c>
      <c r="E6419" t="str">
        <f t="shared" si="1406"/>
        <v>89301171</v>
      </c>
      <c r="F6419" t="str">
        <f t="shared" si="1407"/>
        <v>7853145311</v>
      </c>
      <c r="G6419" s="1">
        <v>44713</v>
      </c>
      <c r="H6419" t="str">
        <f t="shared" si="1413"/>
        <v>91413</v>
      </c>
      <c r="I6419">
        <v>1</v>
      </c>
      <c r="J6419">
        <v>853</v>
      </c>
      <c r="K6419">
        <v>0</v>
      </c>
      <c r="L6419">
        <v>665.34</v>
      </c>
    </row>
    <row r="6420" spans="1:12" x14ac:dyDescent="0.25">
      <c r="A6420" t="str">
        <f t="shared" si="1404"/>
        <v>89301000</v>
      </c>
      <c r="B6420" t="str">
        <f t="shared" si="1405"/>
        <v>06539000</v>
      </c>
      <c r="C6420" t="str">
        <f t="shared" si="1411"/>
        <v>06539003</v>
      </c>
      <c r="D6420" t="str">
        <f t="shared" si="1412"/>
        <v>813</v>
      </c>
      <c r="E6420" t="str">
        <f t="shared" si="1406"/>
        <v>89301171</v>
      </c>
      <c r="F6420" t="str">
        <f t="shared" si="1407"/>
        <v>7853145311</v>
      </c>
      <c r="G6420" s="1">
        <v>44713</v>
      </c>
      <c r="H6420" t="str">
        <f t="shared" si="1413"/>
        <v>91413</v>
      </c>
      <c r="I6420">
        <v>1</v>
      </c>
      <c r="J6420">
        <v>853</v>
      </c>
      <c r="K6420">
        <v>0</v>
      </c>
      <c r="L6420">
        <v>665.34</v>
      </c>
    </row>
    <row r="6421" spans="1:12" x14ac:dyDescent="0.25">
      <c r="A6421" t="str">
        <f t="shared" si="1404"/>
        <v>89301000</v>
      </c>
      <c r="B6421" t="str">
        <f t="shared" si="1405"/>
        <v>06539000</v>
      </c>
      <c r="C6421" t="str">
        <f t="shared" si="1411"/>
        <v>06539003</v>
      </c>
      <c r="D6421" t="str">
        <f t="shared" si="1412"/>
        <v>813</v>
      </c>
      <c r="E6421" t="str">
        <f t="shared" si="1406"/>
        <v>89301171</v>
      </c>
      <c r="F6421" t="str">
        <f t="shared" si="1407"/>
        <v>7853145311</v>
      </c>
      <c r="G6421" s="1">
        <v>44716</v>
      </c>
      <c r="H6421" t="str">
        <f t="shared" si="1413"/>
        <v>91413</v>
      </c>
      <c r="I6421">
        <v>1</v>
      </c>
      <c r="J6421">
        <v>853</v>
      </c>
      <c r="K6421">
        <v>0</v>
      </c>
      <c r="L6421">
        <v>665.34</v>
      </c>
    </row>
    <row r="6422" spans="1:12" x14ac:dyDescent="0.25">
      <c r="A6422" t="str">
        <f t="shared" si="1404"/>
        <v>89301000</v>
      </c>
      <c r="B6422" t="str">
        <f t="shared" si="1405"/>
        <v>06539000</v>
      </c>
      <c r="C6422" t="str">
        <f t="shared" si="1411"/>
        <v>06539003</v>
      </c>
      <c r="D6422" t="str">
        <f t="shared" si="1412"/>
        <v>813</v>
      </c>
      <c r="E6422" t="str">
        <f t="shared" si="1406"/>
        <v>89301171</v>
      </c>
      <c r="F6422" t="str">
        <f t="shared" si="1407"/>
        <v>7853145311</v>
      </c>
      <c r="G6422" s="1">
        <v>44716</v>
      </c>
      <c r="H6422" t="str">
        <f t="shared" si="1413"/>
        <v>91413</v>
      </c>
      <c r="I6422">
        <v>1</v>
      </c>
      <c r="J6422">
        <v>853</v>
      </c>
      <c r="K6422">
        <v>0</v>
      </c>
      <c r="L6422">
        <v>665.34</v>
      </c>
    </row>
    <row r="6423" spans="1:12" x14ac:dyDescent="0.25">
      <c r="A6423" t="str">
        <f t="shared" si="1404"/>
        <v>89301000</v>
      </c>
      <c r="B6423" t="str">
        <f t="shared" si="1405"/>
        <v>06539000</v>
      </c>
      <c r="C6423" t="str">
        <f t="shared" si="1411"/>
        <v>06539003</v>
      </c>
      <c r="D6423" t="str">
        <f t="shared" si="1412"/>
        <v>813</v>
      </c>
      <c r="E6423" t="str">
        <f t="shared" si="1406"/>
        <v>89301171</v>
      </c>
      <c r="F6423" t="str">
        <f t="shared" si="1407"/>
        <v>7853145311</v>
      </c>
      <c r="G6423" s="1">
        <v>44716</v>
      </c>
      <c r="H6423" t="str">
        <f t="shared" si="1413"/>
        <v>91413</v>
      </c>
      <c r="I6423">
        <v>1</v>
      </c>
      <c r="J6423">
        <v>853</v>
      </c>
      <c r="K6423">
        <v>0</v>
      </c>
      <c r="L6423">
        <v>665.34</v>
      </c>
    </row>
    <row r="6424" spans="1:12" x14ac:dyDescent="0.25">
      <c r="A6424" t="str">
        <f t="shared" si="1404"/>
        <v>89301000</v>
      </c>
      <c r="B6424" t="str">
        <f t="shared" si="1405"/>
        <v>06539000</v>
      </c>
      <c r="C6424" t="str">
        <f t="shared" si="1411"/>
        <v>06539003</v>
      </c>
      <c r="D6424" t="str">
        <f t="shared" si="1412"/>
        <v>813</v>
      </c>
      <c r="E6424" t="str">
        <f t="shared" si="1406"/>
        <v>89301171</v>
      </c>
      <c r="F6424" t="str">
        <f t="shared" si="1407"/>
        <v>7853145311</v>
      </c>
      <c r="G6424" s="1">
        <v>44716</v>
      </c>
      <c r="H6424" t="str">
        <f t="shared" si="1413"/>
        <v>91413</v>
      </c>
      <c r="I6424">
        <v>1</v>
      </c>
      <c r="J6424">
        <v>853</v>
      </c>
      <c r="K6424">
        <v>0</v>
      </c>
      <c r="L6424">
        <v>665.34</v>
      </c>
    </row>
    <row r="6425" spans="1:12" x14ac:dyDescent="0.25">
      <c r="A6425" t="str">
        <f t="shared" si="1404"/>
        <v>89301000</v>
      </c>
      <c r="B6425" t="str">
        <f t="shared" si="1405"/>
        <v>06539000</v>
      </c>
      <c r="C6425" t="str">
        <f t="shared" si="1411"/>
        <v>06539003</v>
      </c>
      <c r="D6425" t="str">
        <f t="shared" si="1412"/>
        <v>813</v>
      </c>
      <c r="E6425" t="str">
        <f t="shared" si="1406"/>
        <v>89301171</v>
      </c>
      <c r="F6425" t="str">
        <f t="shared" si="1407"/>
        <v>7853145311</v>
      </c>
      <c r="G6425" s="1">
        <v>44701</v>
      </c>
      <c r="H6425" t="str">
        <f t="shared" ref="H6425:H6431" si="1414">"91197"</f>
        <v>91197</v>
      </c>
      <c r="I6425">
        <v>1</v>
      </c>
      <c r="J6425">
        <v>1046</v>
      </c>
      <c r="K6425">
        <v>0</v>
      </c>
      <c r="L6425">
        <v>815.88</v>
      </c>
    </row>
    <row r="6426" spans="1:12" x14ac:dyDescent="0.25">
      <c r="A6426" t="str">
        <f t="shared" si="1404"/>
        <v>89301000</v>
      </c>
      <c r="B6426" t="str">
        <f t="shared" si="1405"/>
        <v>06539000</v>
      </c>
      <c r="C6426" t="str">
        <f t="shared" si="1411"/>
        <v>06539003</v>
      </c>
      <c r="D6426" t="str">
        <f t="shared" si="1412"/>
        <v>813</v>
      </c>
      <c r="E6426" t="str">
        <f t="shared" si="1406"/>
        <v>89301171</v>
      </c>
      <c r="F6426" t="str">
        <f t="shared" si="1407"/>
        <v>7853145311</v>
      </c>
      <c r="G6426" s="1">
        <v>44704</v>
      </c>
      <c r="H6426" t="str">
        <f t="shared" si="1414"/>
        <v>91197</v>
      </c>
      <c r="I6426">
        <v>1</v>
      </c>
      <c r="J6426">
        <v>1046</v>
      </c>
      <c r="K6426">
        <v>0</v>
      </c>
      <c r="L6426">
        <v>815.88</v>
      </c>
    </row>
    <row r="6427" spans="1:12" x14ac:dyDescent="0.25">
      <c r="A6427" t="str">
        <f t="shared" si="1404"/>
        <v>89301000</v>
      </c>
      <c r="B6427" t="str">
        <f t="shared" si="1405"/>
        <v>06539000</v>
      </c>
      <c r="C6427" t="str">
        <f t="shared" si="1411"/>
        <v>06539003</v>
      </c>
      <c r="D6427" t="str">
        <f t="shared" si="1412"/>
        <v>813</v>
      </c>
      <c r="E6427" t="str">
        <f t="shared" si="1406"/>
        <v>89301171</v>
      </c>
      <c r="F6427" t="str">
        <f t="shared" si="1407"/>
        <v>7853145311</v>
      </c>
      <c r="G6427" s="1">
        <v>44704</v>
      </c>
      <c r="H6427" t="str">
        <f t="shared" si="1414"/>
        <v>91197</v>
      </c>
      <c r="I6427">
        <v>1</v>
      </c>
      <c r="J6427">
        <v>1046</v>
      </c>
      <c r="K6427">
        <v>0</v>
      </c>
      <c r="L6427">
        <v>815.88</v>
      </c>
    </row>
    <row r="6428" spans="1:12" x14ac:dyDescent="0.25">
      <c r="A6428" t="str">
        <f t="shared" si="1404"/>
        <v>89301000</v>
      </c>
      <c r="B6428" t="str">
        <f t="shared" si="1405"/>
        <v>06539000</v>
      </c>
      <c r="C6428" t="str">
        <f t="shared" si="1411"/>
        <v>06539003</v>
      </c>
      <c r="D6428" t="str">
        <f t="shared" si="1412"/>
        <v>813</v>
      </c>
      <c r="E6428" t="str">
        <f t="shared" si="1406"/>
        <v>89301171</v>
      </c>
      <c r="F6428" t="str">
        <f t="shared" si="1407"/>
        <v>7853145311</v>
      </c>
      <c r="G6428" s="1">
        <v>44703</v>
      </c>
      <c r="H6428" t="str">
        <f t="shared" si="1414"/>
        <v>91197</v>
      </c>
      <c r="I6428">
        <v>1</v>
      </c>
      <c r="J6428">
        <v>1046</v>
      </c>
      <c r="K6428">
        <v>0</v>
      </c>
      <c r="L6428">
        <v>815.88</v>
      </c>
    </row>
    <row r="6429" spans="1:12" x14ac:dyDescent="0.25">
      <c r="A6429" t="str">
        <f t="shared" si="1404"/>
        <v>89301000</v>
      </c>
      <c r="B6429" t="str">
        <f t="shared" si="1405"/>
        <v>06539000</v>
      </c>
      <c r="C6429" t="str">
        <f t="shared" si="1411"/>
        <v>06539003</v>
      </c>
      <c r="D6429" t="str">
        <f t="shared" si="1412"/>
        <v>813</v>
      </c>
      <c r="E6429" t="str">
        <f t="shared" si="1406"/>
        <v>89301171</v>
      </c>
      <c r="F6429" t="str">
        <f t="shared" si="1407"/>
        <v>7853145311</v>
      </c>
      <c r="G6429" s="1">
        <v>44703</v>
      </c>
      <c r="H6429" t="str">
        <f t="shared" si="1414"/>
        <v>91197</v>
      </c>
      <c r="I6429">
        <v>1</v>
      </c>
      <c r="J6429">
        <v>1046</v>
      </c>
      <c r="K6429">
        <v>0</v>
      </c>
      <c r="L6429">
        <v>815.88</v>
      </c>
    </row>
    <row r="6430" spans="1:12" x14ac:dyDescent="0.25">
      <c r="A6430" t="str">
        <f t="shared" si="1404"/>
        <v>89301000</v>
      </c>
      <c r="B6430" t="str">
        <f t="shared" si="1405"/>
        <v>06539000</v>
      </c>
      <c r="C6430" t="str">
        <f t="shared" si="1411"/>
        <v>06539003</v>
      </c>
      <c r="D6430" t="str">
        <f t="shared" si="1412"/>
        <v>813</v>
      </c>
      <c r="E6430" t="str">
        <f t="shared" si="1406"/>
        <v>89301171</v>
      </c>
      <c r="F6430" t="str">
        <f t="shared" si="1407"/>
        <v>7853145311</v>
      </c>
      <c r="G6430" s="1">
        <v>44702</v>
      </c>
      <c r="H6430" t="str">
        <f t="shared" si="1414"/>
        <v>91197</v>
      </c>
      <c r="I6430">
        <v>1</v>
      </c>
      <c r="J6430">
        <v>1046</v>
      </c>
      <c r="K6430">
        <v>0</v>
      </c>
      <c r="L6430">
        <v>815.88</v>
      </c>
    </row>
    <row r="6431" spans="1:12" x14ac:dyDescent="0.25">
      <c r="A6431" t="str">
        <f t="shared" si="1404"/>
        <v>89301000</v>
      </c>
      <c r="B6431" t="str">
        <f t="shared" si="1405"/>
        <v>06539000</v>
      </c>
      <c r="C6431" t="str">
        <f t="shared" si="1411"/>
        <v>06539003</v>
      </c>
      <c r="D6431" t="str">
        <f t="shared" si="1412"/>
        <v>813</v>
      </c>
      <c r="E6431" t="str">
        <f t="shared" si="1406"/>
        <v>89301171</v>
      </c>
      <c r="F6431" t="str">
        <f t="shared" si="1407"/>
        <v>7853145311</v>
      </c>
      <c r="G6431" s="1">
        <v>44702</v>
      </c>
      <c r="H6431" t="str">
        <f t="shared" si="1414"/>
        <v>91197</v>
      </c>
      <c r="I6431">
        <v>1</v>
      </c>
      <c r="J6431">
        <v>1046</v>
      </c>
      <c r="K6431">
        <v>0</v>
      </c>
      <c r="L6431">
        <v>815.88</v>
      </c>
    </row>
    <row r="6432" spans="1:12" x14ac:dyDescent="0.25">
      <c r="A6432" t="str">
        <f t="shared" si="1404"/>
        <v>89301000</v>
      </c>
      <c r="B6432" t="str">
        <f t="shared" si="1405"/>
        <v>06539000</v>
      </c>
      <c r="C6432" t="str">
        <f t="shared" si="1411"/>
        <v>06539003</v>
      </c>
      <c r="D6432" t="str">
        <f t="shared" si="1412"/>
        <v>813</v>
      </c>
      <c r="E6432" t="str">
        <f t="shared" si="1406"/>
        <v>89301171</v>
      </c>
      <c r="F6432" t="str">
        <f t="shared" si="1407"/>
        <v>7853145311</v>
      </c>
      <c r="G6432" s="1">
        <v>44705</v>
      </c>
      <c r="H6432" t="str">
        <f>"91329"</f>
        <v>91329</v>
      </c>
      <c r="I6432">
        <v>2</v>
      </c>
      <c r="J6432">
        <v>428</v>
      </c>
      <c r="K6432">
        <v>0</v>
      </c>
      <c r="L6432">
        <v>333.84</v>
      </c>
    </row>
    <row r="6433" spans="1:12" x14ac:dyDescent="0.25">
      <c r="A6433" t="str">
        <f t="shared" si="1404"/>
        <v>89301000</v>
      </c>
      <c r="B6433" t="str">
        <f t="shared" si="1405"/>
        <v>06539000</v>
      </c>
      <c r="C6433" t="str">
        <f t="shared" si="1411"/>
        <v>06539003</v>
      </c>
      <c r="D6433" t="str">
        <f t="shared" si="1412"/>
        <v>813</v>
      </c>
      <c r="E6433" t="str">
        <f t="shared" si="1406"/>
        <v>89301171</v>
      </c>
      <c r="F6433" t="str">
        <f t="shared" si="1407"/>
        <v>7853145311</v>
      </c>
      <c r="G6433" s="1">
        <v>44705</v>
      </c>
      <c r="H6433" t="str">
        <f>"91329"</f>
        <v>91329</v>
      </c>
      <c r="I6433">
        <v>2</v>
      </c>
      <c r="J6433">
        <v>428</v>
      </c>
      <c r="K6433">
        <v>0</v>
      </c>
      <c r="L6433">
        <v>333.84</v>
      </c>
    </row>
    <row r="6434" spans="1:12" x14ac:dyDescent="0.25">
      <c r="A6434" t="str">
        <f t="shared" si="1404"/>
        <v>89301000</v>
      </c>
      <c r="B6434" t="str">
        <f t="shared" si="1405"/>
        <v>06539000</v>
      </c>
      <c r="C6434" t="str">
        <f t="shared" si="1411"/>
        <v>06539003</v>
      </c>
      <c r="D6434" t="str">
        <f t="shared" si="1412"/>
        <v>813</v>
      </c>
      <c r="E6434" t="str">
        <f t="shared" si="1406"/>
        <v>89301171</v>
      </c>
      <c r="F6434" t="str">
        <f t="shared" si="1407"/>
        <v>7853145311</v>
      </c>
      <c r="G6434" s="1">
        <v>44712</v>
      </c>
      <c r="H6434" t="str">
        <f>"91329"</f>
        <v>91329</v>
      </c>
      <c r="I6434">
        <v>2</v>
      </c>
      <c r="J6434">
        <v>428</v>
      </c>
      <c r="K6434">
        <v>0</v>
      </c>
      <c r="L6434">
        <v>333.84</v>
      </c>
    </row>
    <row r="6435" spans="1:12" x14ac:dyDescent="0.25">
      <c r="A6435" t="str">
        <f t="shared" si="1404"/>
        <v>89301000</v>
      </c>
      <c r="B6435" t="str">
        <f t="shared" si="1405"/>
        <v>06539000</v>
      </c>
      <c r="C6435" t="str">
        <f t="shared" si="1411"/>
        <v>06539003</v>
      </c>
      <c r="D6435" t="str">
        <f t="shared" si="1412"/>
        <v>813</v>
      </c>
      <c r="E6435" t="str">
        <f t="shared" si="1406"/>
        <v>89301171</v>
      </c>
      <c r="F6435" t="str">
        <f t="shared" si="1407"/>
        <v>7853145311</v>
      </c>
      <c r="G6435" s="1">
        <v>44712</v>
      </c>
      <c r="H6435" t="str">
        <f>"91329"</f>
        <v>91329</v>
      </c>
      <c r="I6435">
        <v>2</v>
      </c>
      <c r="J6435">
        <v>428</v>
      </c>
      <c r="K6435">
        <v>0</v>
      </c>
      <c r="L6435">
        <v>333.84</v>
      </c>
    </row>
    <row r="6436" spans="1:12" x14ac:dyDescent="0.25">
      <c r="A6436" t="str">
        <f t="shared" si="1404"/>
        <v>89301000</v>
      </c>
      <c r="B6436" t="str">
        <f t="shared" si="1405"/>
        <v>06539000</v>
      </c>
      <c r="C6436" t="str">
        <f t="shared" si="1411"/>
        <v>06539003</v>
      </c>
      <c r="D6436" t="str">
        <f t="shared" si="1412"/>
        <v>813</v>
      </c>
      <c r="E6436" t="str">
        <f t="shared" si="1406"/>
        <v>89301171</v>
      </c>
      <c r="F6436" t="str">
        <f t="shared" si="1407"/>
        <v>7853145311</v>
      </c>
      <c r="G6436" s="1">
        <v>44704</v>
      </c>
      <c r="H6436" t="str">
        <f>"91129"</f>
        <v>91129</v>
      </c>
      <c r="I6436">
        <v>1</v>
      </c>
      <c r="J6436">
        <v>174</v>
      </c>
      <c r="K6436">
        <v>0</v>
      </c>
      <c r="L6436">
        <v>135.72</v>
      </c>
    </row>
    <row r="6437" spans="1:12" x14ac:dyDescent="0.25">
      <c r="A6437" t="str">
        <f t="shared" si="1404"/>
        <v>89301000</v>
      </c>
      <c r="B6437" t="str">
        <f t="shared" ref="B6437:B6468" si="1415">"06539000"</f>
        <v>06539000</v>
      </c>
      <c r="C6437" t="str">
        <f t="shared" si="1411"/>
        <v>06539003</v>
      </c>
      <c r="D6437" t="str">
        <f t="shared" si="1412"/>
        <v>813</v>
      </c>
      <c r="E6437" t="str">
        <f t="shared" ref="E6437:E6468" si="1416">"89301171"</f>
        <v>89301171</v>
      </c>
      <c r="F6437" t="str">
        <f t="shared" si="1407"/>
        <v>7853145311</v>
      </c>
      <c r="G6437" s="1">
        <v>44704</v>
      </c>
      <c r="H6437" t="str">
        <f>"91131"</f>
        <v>91131</v>
      </c>
      <c r="I6437">
        <v>1</v>
      </c>
      <c r="J6437">
        <v>171</v>
      </c>
      <c r="K6437">
        <v>0</v>
      </c>
      <c r="L6437">
        <v>133.38</v>
      </c>
    </row>
    <row r="6438" spans="1:12" x14ac:dyDescent="0.25">
      <c r="A6438" t="str">
        <f t="shared" si="1404"/>
        <v>89301000</v>
      </c>
      <c r="B6438" t="str">
        <f t="shared" si="1415"/>
        <v>06539000</v>
      </c>
      <c r="C6438" t="str">
        <f t="shared" si="1411"/>
        <v>06539003</v>
      </c>
      <c r="D6438" t="str">
        <f t="shared" si="1412"/>
        <v>813</v>
      </c>
      <c r="E6438" t="str">
        <f t="shared" si="1416"/>
        <v>89301171</v>
      </c>
      <c r="F6438" t="str">
        <f t="shared" si="1407"/>
        <v>7853145311</v>
      </c>
      <c r="G6438" s="1">
        <v>44704</v>
      </c>
      <c r="H6438" t="str">
        <f>"91133"</f>
        <v>91133</v>
      </c>
      <c r="I6438">
        <v>1</v>
      </c>
      <c r="J6438">
        <v>176</v>
      </c>
      <c r="K6438">
        <v>0</v>
      </c>
      <c r="L6438">
        <v>137.28</v>
      </c>
    </row>
    <row r="6439" spans="1:12" x14ac:dyDescent="0.25">
      <c r="A6439" t="str">
        <f t="shared" si="1404"/>
        <v>89301000</v>
      </c>
      <c r="B6439" t="str">
        <f t="shared" si="1415"/>
        <v>06539000</v>
      </c>
      <c r="C6439" t="str">
        <f t="shared" si="1411"/>
        <v>06539003</v>
      </c>
      <c r="D6439" t="str">
        <f t="shared" si="1412"/>
        <v>813</v>
      </c>
      <c r="E6439" t="str">
        <f t="shared" si="1416"/>
        <v>89301171</v>
      </c>
      <c r="F6439" t="str">
        <f t="shared" si="1407"/>
        <v>7853145311</v>
      </c>
      <c r="G6439" s="1">
        <v>44704</v>
      </c>
      <c r="H6439" t="str">
        <f>"91171"</f>
        <v>91171</v>
      </c>
      <c r="I6439">
        <v>1</v>
      </c>
      <c r="J6439">
        <v>360</v>
      </c>
      <c r="K6439">
        <v>0</v>
      </c>
      <c r="L6439">
        <v>280.8</v>
      </c>
    </row>
    <row r="6440" spans="1:12" x14ac:dyDescent="0.25">
      <c r="A6440" t="str">
        <f t="shared" si="1404"/>
        <v>89301000</v>
      </c>
      <c r="B6440" t="str">
        <f t="shared" si="1415"/>
        <v>06539000</v>
      </c>
      <c r="C6440" t="str">
        <f t="shared" si="1411"/>
        <v>06539003</v>
      </c>
      <c r="D6440" t="str">
        <f t="shared" si="1412"/>
        <v>813</v>
      </c>
      <c r="E6440" t="str">
        <f t="shared" si="1416"/>
        <v>89301171</v>
      </c>
      <c r="F6440" t="str">
        <f t="shared" si="1407"/>
        <v>7853145311</v>
      </c>
      <c r="G6440" s="1">
        <v>44701</v>
      </c>
      <c r="H6440" t="str">
        <f>"91173"</f>
        <v>91173</v>
      </c>
      <c r="I6440">
        <v>1</v>
      </c>
      <c r="J6440">
        <v>335</v>
      </c>
      <c r="K6440">
        <v>0</v>
      </c>
      <c r="L6440">
        <v>261.3</v>
      </c>
    </row>
    <row r="6441" spans="1:12" x14ac:dyDescent="0.25">
      <c r="A6441" t="str">
        <f t="shared" si="1404"/>
        <v>89301000</v>
      </c>
      <c r="B6441" t="str">
        <f t="shared" si="1415"/>
        <v>06539000</v>
      </c>
      <c r="C6441" t="str">
        <f t="shared" si="1411"/>
        <v>06539003</v>
      </c>
      <c r="D6441" t="str">
        <f t="shared" si="1412"/>
        <v>813</v>
      </c>
      <c r="E6441" t="str">
        <f t="shared" si="1416"/>
        <v>89301171</v>
      </c>
      <c r="F6441" t="str">
        <f t="shared" si="1407"/>
        <v>7853145311</v>
      </c>
      <c r="G6441" s="1">
        <v>44704</v>
      </c>
      <c r="H6441" t="str">
        <f>"91175"</f>
        <v>91175</v>
      </c>
      <c r="I6441">
        <v>1</v>
      </c>
      <c r="J6441">
        <v>360</v>
      </c>
      <c r="K6441">
        <v>0</v>
      </c>
      <c r="L6441">
        <v>280.8</v>
      </c>
    </row>
    <row r="6442" spans="1:12" x14ac:dyDescent="0.25">
      <c r="A6442" t="str">
        <f t="shared" si="1404"/>
        <v>89301000</v>
      </c>
      <c r="B6442" t="str">
        <f t="shared" si="1415"/>
        <v>06539000</v>
      </c>
      <c r="C6442" t="str">
        <f t="shared" si="1411"/>
        <v>06539003</v>
      </c>
      <c r="D6442" t="str">
        <f t="shared" si="1412"/>
        <v>813</v>
      </c>
      <c r="E6442" t="str">
        <f t="shared" si="1416"/>
        <v>89301171</v>
      </c>
      <c r="F6442" t="str">
        <f t="shared" si="1407"/>
        <v>7853145311</v>
      </c>
      <c r="G6442" s="1">
        <v>44702</v>
      </c>
      <c r="H6442" t="str">
        <f>"91167"</f>
        <v>91167</v>
      </c>
      <c r="I6442">
        <v>1</v>
      </c>
      <c r="J6442">
        <v>425</v>
      </c>
      <c r="K6442">
        <v>0</v>
      </c>
      <c r="L6442">
        <v>331.5</v>
      </c>
    </row>
    <row r="6443" spans="1:12" x14ac:dyDescent="0.25">
      <c r="A6443" t="str">
        <f t="shared" si="1404"/>
        <v>89301000</v>
      </c>
      <c r="B6443" t="str">
        <f t="shared" si="1415"/>
        <v>06539000</v>
      </c>
      <c r="C6443" t="str">
        <f t="shared" si="1411"/>
        <v>06539003</v>
      </c>
      <c r="D6443" t="str">
        <f t="shared" si="1412"/>
        <v>813</v>
      </c>
      <c r="E6443" t="str">
        <f t="shared" si="1416"/>
        <v>89301171</v>
      </c>
      <c r="F6443" t="str">
        <f t="shared" si="1407"/>
        <v>7853145311</v>
      </c>
      <c r="G6443" s="1">
        <v>44702</v>
      </c>
      <c r="H6443" t="str">
        <f>"91169"</f>
        <v>91169</v>
      </c>
      <c r="I6443">
        <v>1</v>
      </c>
      <c r="J6443">
        <v>425</v>
      </c>
      <c r="K6443">
        <v>0</v>
      </c>
      <c r="L6443">
        <v>331.5</v>
      </c>
    </row>
    <row r="6444" spans="1:12" x14ac:dyDescent="0.25">
      <c r="A6444" t="str">
        <f t="shared" si="1404"/>
        <v>89301000</v>
      </c>
      <c r="B6444" t="str">
        <f t="shared" si="1415"/>
        <v>06539000</v>
      </c>
      <c r="C6444" t="str">
        <f t="shared" si="1411"/>
        <v>06539003</v>
      </c>
      <c r="D6444" t="str">
        <f t="shared" si="1412"/>
        <v>813</v>
      </c>
      <c r="E6444" t="str">
        <f t="shared" si="1416"/>
        <v>89301171</v>
      </c>
      <c r="F6444" t="str">
        <f t="shared" si="1407"/>
        <v>7853145311</v>
      </c>
      <c r="G6444" s="1">
        <v>44701</v>
      </c>
      <c r="H6444" t="str">
        <f>"91167"</f>
        <v>91167</v>
      </c>
      <c r="I6444">
        <v>1</v>
      </c>
      <c r="J6444">
        <v>425</v>
      </c>
      <c r="K6444">
        <v>0</v>
      </c>
      <c r="L6444">
        <v>331.5</v>
      </c>
    </row>
    <row r="6445" spans="1:12" x14ac:dyDescent="0.25">
      <c r="A6445" t="str">
        <f t="shared" si="1404"/>
        <v>89301000</v>
      </c>
      <c r="B6445" t="str">
        <f t="shared" si="1415"/>
        <v>06539000</v>
      </c>
      <c r="C6445" t="str">
        <f t="shared" si="1411"/>
        <v>06539003</v>
      </c>
      <c r="D6445" t="str">
        <f t="shared" si="1412"/>
        <v>813</v>
      </c>
      <c r="E6445" t="str">
        <f t="shared" si="1416"/>
        <v>89301171</v>
      </c>
      <c r="F6445" t="str">
        <f t="shared" si="1407"/>
        <v>7853145311</v>
      </c>
      <c r="G6445" s="1">
        <v>44701</v>
      </c>
      <c r="H6445" t="str">
        <f>"91169"</f>
        <v>91169</v>
      </c>
      <c r="I6445">
        <v>1</v>
      </c>
      <c r="J6445">
        <v>425</v>
      </c>
      <c r="K6445">
        <v>0</v>
      </c>
      <c r="L6445">
        <v>331.5</v>
      </c>
    </row>
    <row r="6446" spans="1:12" x14ac:dyDescent="0.25">
      <c r="A6446" t="str">
        <f t="shared" si="1404"/>
        <v>89301000</v>
      </c>
      <c r="B6446" t="str">
        <f t="shared" si="1415"/>
        <v>06539000</v>
      </c>
      <c r="C6446" t="str">
        <f t="shared" si="1411"/>
        <v>06539003</v>
      </c>
      <c r="D6446" t="str">
        <f t="shared" si="1412"/>
        <v>813</v>
      </c>
      <c r="E6446" t="str">
        <f t="shared" si="1416"/>
        <v>89301171</v>
      </c>
      <c r="F6446" t="str">
        <f t="shared" si="1407"/>
        <v>7853145311</v>
      </c>
      <c r="G6446" s="1">
        <v>44701</v>
      </c>
      <c r="H6446" t="str">
        <f>"91475"</f>
        <v>91475</v>
      </c>
      <c r="I6446">
        <v>1</v>
      </c>
      <c r="J6446">
        <v>206</v>
      </c>
      <c r="K6446">
        <v>0</v>
      </c>
      <c r="L6446">
        <v>160.68</v>
      </c>
    </row>
    <row r="6447" spans="1:12" x14ac:dyDescent="0.25">
      <c r="A6447" t="str">
        <f t="shared" si="1404"/>
        <v>89301000</v>
      </c>
      <c r="B6447" t="str">
        <f t="shared" si="1415"/>
        <v>06539000</v>
      </c>
      <c r="C6447" t="str">
        <f t="shared" si="1411"/>
        <v>06539003</v>
      </c>
      <c r="D6447" t="str">
        <f t="shared" si="1412"/>
        <v>813</v>
      </c>
      <c r="E6447" t="str">
        <f t="shared" si="1416"/>
        <v>89301171</v>
      </c>
      <c r="F6447" t="str">
        <f t="shared" ref="F6447:F6462" si="1417">"5561301416"</f>
        <v>5561301416</v>
      </c>
      <c r="G6447" s="1">
        <v>44713</v>
      </c>
      <c r="H6447" t="str">
        <f t="shared" ref="H6447:H6456" si="1418">"91413"</f>
        <v>91413</v>
      </c>
      <c r="I6447">
        <v>1</v>
      </c>
      <c r="J6447">
        <v>853</v>
      </c>
      <c r="K6447">
        <v>0</v>
      </c>
      <c r="L6447">
        <v>665.34</v>
      </c>
    </row>
    <row r="6448" spans="1:12" x14ac:dyDescent="0.25">
      <c r="A6448" t="str">
        <f t="shared" si="1404"/>
        <v>89301000</v>
      </c>
      <c r="B6448" t="str">
        <f t="shared" si="1415"/>
        <v>06539000</v>
      </c>
      <c r="C6448" t="str">
        <f t="shared" si="1411"/>
        <v>06539003</v>
      </c>
      <c r="D6448" t="str">
        <f t="shared" si="1412"/>
        <v>813</v>
      </c>
      <c r="E6448" t="str">
        <f t="shared" si="1416"/>
        <v>89301171</v>
      </c>
      <c r="F6448" t="str">
        <f t="shared" si="1417"/>
        <v>5561301416</v>
      </c>
      <c r="G6448" s="1">
        <v>44713</v>
      </c>
      <c r="H6448" t="str">
        <f t="shared" si="1418"/>
        <v>91413</v>
      </c>
      <c r="I6448">
        <v>1</v>
      </c>
      <c r="J6448">
        <v>853</v>
      </c>
      <c r="K6448">
        <v>0</v>
      </c>
      <c r="L6448">
        <v>665.34</v>
      </c>
    </row>
    <row r="6449" spans="1:12" x14ac:dyDescent="0.25">
      <c r="A6449" t="str">
        <f t="shared" si="1404"/>
        <v>89301000</v>
      </c>
      <c r="B6449" t="str">
        <f t="shared" si="1415"/>
        <v>06539000</v>
      </c>
      <c r="C6449" t="str">
        <f t="shared" si="1411"/>
        <v>06539003</v>
      </c>
      <c r="D6449" t="str">
        <f t="shared" si="1412"/>
        <v>813</v>
      </c>
      <c r="E6449" t="str">
        <f t="shared" si="1416"/>
        <v>89301171</v>
      </c>
      <c r="F6449" t="str">
        <f t="shared" si="1417"/>
        <v>5561301416</v>
      </c>
      <c r="G6449" s="1">
        <v>44721</v>
      </c>
      <c r="H6449" t="str">
        <f t="shared" si="1418"/>
        <v>91413</v>
      </c>
      <c r="I6449">
        <v>1</v>
      </c>
      <c r="J6449">
        <v>853</v>
      </c>
      <c r="K6449">
        <v>0</v>
      </c>
      <c r="L6449">
        <v>665.34</v>
      </c>
    </row>
    <row r="6450" spans="1:12" x14ac:dyDescent="0.25">
      <c r="A6450" t="str">
        <f t="shared" si="1404"/>
        <v>89301000</v>
      </c>
      <c r="B6450" t="str">
        <f t="shared" si="1415"/>
        <v>06539000</v>
      </c>
      <c r="C6450" t="str">
        <f t="shared" si="1411"/>
        <v>06539003</v>
      </c>
      <c r="D6450" t="str">
        <f t="shared" si="1412"/>
        <v>813</v>
      </c>
      <c r="E6450" t="str">
        <f t="shared" si="1416"/>
        <v>89301171</v>
      </c>
      <c r="F6450" t="str">
        <f t="shared" si="1417"/>
        <v>5561301416</v>
      </c>
      <c r="G6450" s="1">
        <v>44721</v>
      </c>
      <c r="H6450" t="str">
        <f t="shared" si="1418"/>
        <v>91413</v>
      </c>
      <c r="I6450">
        <v>1</v>
      </c>
      <c r="J6450">
        <v>853</v>
      </c>
      <c r="K6450">
        <v>0</v>
      </c>
      <c r="L6450">
        <v>665.34</v>
      </c>
    </row>
    <row r="6451" spans="1:12" x14ac:dyDescent="0.25">
      <c r="A6451" t="str">
        <f t="shared" si="1404"/>
        <v>89301000</v>
      </c>
      <c r="B6451" t="str">
        <f t="shared" si="1415"/>
        <v>06539000</v>
      </c>
      <c r="C6451" t="str">
        <f t="shared" si="1411"/>
        <v>06539003</v>
      </c>
      <c r="D6451" t="str">
        <f t="shared" si="1412"/>
        <v>813</v>
      </c>
      <c r="E6451" t="str">
        <f t="shared" si="1416"/>
        <v>89301171</v>
      </c>
      <c r="F6451" t="str">
        <f t="shared" si="1417"/>
        <v>5561301416</v>
      </c>
      <c r="G6451" s="1">
        <v>44718</v>
      </c>
      <c r="H6451" t="str">
        <f t="shared" si="1418"/>
        <v>91413</v>
      </c>
      <c r="I6451">
        <v>1</v>
      </c>
      <c r="J6451">
        <v>853</v>
      </c>
      <c r="K6451">
        <v>0</v>
      </c>
      <c r="L6451">
        <v>665.34</v>
      </c>
    </row>
    <row r="6452" spans="1:12" x14ac:dyDescent="0.25">
      <c r="A6452" t="str">
        <f t="shared" si="1404"/>
        <v>89301000</v>
      </c>
      <c r="B6452" t="str">
        <f t="shared" si="1415"/>
        <v>06539000</v>
      </c>
      <c r="C6452" t="str">
        <f t="shared" si="1411"/>
        <v>06539003</v>
      </c>
      <c r="D6452" t="str">
        <f t="shared" si="1412"/>
        <v>813</v>
      </c>
      <c r="E6452" t="str">
        <f t="shared" si="1416"/>
        <v>89301171</v>
      </c>
      <c r="F6452" t="str">
        <f t="shared" si="1417"/>
        <v>5561301416</v>
      </c>
      <c r="G6452" s="1">
        <v>44718</v>
      </c>
      <c r="H6452" t="str">
        <f t="shared" si="1418"/>
        <v>91413</v>
      </c>
      <c r="I6452">
        <v>1</v>
      </c>
      <c r="J6452">
        <v>853</v>
      </c>
      <c r="K6452">
        <v>0</v>
      </c>
      <c r="L6452">
        <v>665.34</v>
      </c>
    </row>
    <row r="6453" spans="1:12" x14ac:dyDescent="0.25">
      <c r="A6453" t="str">
        <f t="shared" si="1404"/>
        <v>89301000</v>
      </c>
      <c r="B6453" t="str">
        <f t="shared" si="1415"/>
        <v>06539000</v>
      </c>
      <c r="C6453" t="str">
        <f t="shared" si="1411"/>
        <v>06539003</v>
      </c>
      <c r="D6453" t="str">
        <f t="shared" si="1412"/>
        <v>813</v>
      </c>
      <c r="E6453" t="str">
        <f t="shared" si="1416"/>
        <v>89301171</v>
      </c>
      <c r="F6453" t="str">
        <f t="shared" si="1417"/>
        <v>5561301416</v>
      </c>
      <c r="G6453" s="1">
        <v>44721</v>
      </c>
      <c r="H6453" t="str">
        <f t="shared" si="1418"/>
        <v>91413</v>
      </c>
      <c r="I6453">
        <v>1</v>
      </c>
      <c r="J6453">
        <v>853</v>
      </c>
      <c r="K6453">
        <v>0</v>
      </c>
      <c r="L6453">
        <v>665.34</v>
      </c>
    </row>
    <row r="6454" spans="1:12" x14ac:dyDescent="0.25">
      <c r="A6454" t="str">
        <f t="shared" si="1404"/>
        <v>89301000</v>
      </c>
      <c r="B6454" t="str">
        <f t="shared" si="1415"/>
        <v>06539000</v>
      </c>
      <c r="C6454" t="str">
        <f t="shared" si="1411"/>
        <v>06539003</v>
      </c>
      <c r="D6454" t="str">
        <f t="shared" si="1412"/>
        <v>813</v>
      </c>
      <c r="E6454" t="str">
        <f t="shared" si="1416"/>
        <v>89301171</v>
      </c>
      <c r="F6454" t="str">
        <f t="shared" si="1417"/>
        <v>5561301416</v>
      </c>
      <c r="G6454" s="1">
        <v>44721</v>
      </c>
      <c r="H6454" t="str">
        <f t="shared" si="1418"/>
        <v>91413</v>
      </c>
      <c r="I6454">
        <v>1</v>
      </c>
      <c r="J6454">
        <v>853</v>
      </c>
      <c r="K6454">
        <v>0</v>
      </c>
      <c r="L6454">
        <v>665.34</v>
      </c>
    </row>
    <row r="6455" spans="1:12" x14ac:dyDescent="0.25">
      <c r="A6455" t="str">
        <f t="shared" si="1404"/>
        <v>89301000</v>
      </c>
      <c r="B6455" t="str">
        <f t="shared" si="1415"/>
        <v>06539000</v>
      </c>
      <c r="C6455" t="str">
        <f t="shared" si="1411"/>
        <v>06539003</v>
      </c>
      <c r="D6455" t="str">
        <f t="shared" si="1412"/>
        <v>813</v>
      </c>
      <c r="E6455" t="str">
        <f t="shared" si="1416"/>
        <v>89301171</v>
      </c>
      <c r="F6455" t="str">
        <f t="shared" si="1417"/>
        <v>5561301416</v>
      </c>
      <c r="G6455" s="1">
        <v>44721</v>
      </c>
      <c r="H6455" t="str">
        <f t="shared" si="1418"/>
        <v>91413</v>
      </c>
      <c r="I6455">
        <v>1</v>
      </c>
      <c r="J6455">
        <v>853</v>
      </c>
      <c r="K6455">
        <v>0</v>
      </c>
      <c r="L6455">
        <v>665.34</v>
      </c>
    </row>
    <row r="6456" spans="1:12" x14ac:dyDescent="0.25">
      <c r="A6456" t="str">
        <f t="shared" si="1404"/>
        <v>89301000</v>
      </c>
      <c r="B6456" t="str">
        <f t="shared" si="1415"/>
        <v>06539000</v>
      </c>
      <c r="C6456" t="str">
        <f t="shared" si="1411"/>
        <v>06539003</v>
      </c>
      <c r="D6456" t="str">
        <f t="shared" si="1412"/>
        <v>813</v>
      </c>
      <c r="E6456" t="str">
        <f t="shared" si="1416"/>
        <v>89301171</v>
      </c>
      <c r="F6456" t="str">
        <f t="shared" si="1417"/>
        <v>5561301416</v>
      </c>
      <c r="G6456" s="1">
        <v>44721</v>
      </c>
      <c r="H6456" t="str">
        <f t="shared" si="1418"/>
        <v>91413</v>
      </c>
      <c r="I6456">
        <v>1</v>
      </c>
      <c r="J6456">
        <v>853</v>
      </c>
      <c r="K6456">
        <v>0</v>
      </c>
      <c r="L6456">
        <v>665.34</v>
      </c>
    </row>
    <row r="6457" spans="1:12" x14ac:dyDescent="0.25">
      <c r="A6457" t="str">
        <f t="shared" si="1404"/>
        <v>89301000</v>
      </c>
      <c r="B6457" t="str">
        <f t="shared" si="1415"/>
        <v>06539000</v>
      </c>
      <c r="C6457" t="str">
        <f t="shared" si="1411"/>
        <v>06539003</v>
      </c>
      <c r="D6457" t="str">
        <f t="shared" si="1412"/>
        <v>813</v>
      </c>
      <c r="E6457" t="str">
        <f t="shared" si="1416"/>
        <v>89301171</v>
      </c>
      <c r="F6457" t="str">
        <f t="shared" si="1417"/>
        <v>5561301416</v>
      </c>
      <c r="G6457" s="1">
        <v>44710</v>
      </c>
      <c r="H6457" t="str">
        <f>"91197"</f>
        <v>91197</v>
      </c>
      <c r="I6457">
        <v>1</v>
      </c>
      <c r="J6457">
        <v>1046</v>
      </c>
      <c r="K6457">
        <v>0</v>
      </c>
      <c r="L6457">
        <v>815.88</v>
      </c>
    </row>
    <row r="6458" spans="1:12" x14ac:dyDescent="0.25">
      <c r="A6458" t="str">
        <f t="shared" si="1404"/>
        <v>89301000</v>
      </c>
      <c r="B6458" t="str">
        <f t="shared" si="1415"/>
        <v>06539000</v>
      </c>
      <c r="C6458" t="str">
        <f t="shared" si="1411"/>
        <v>06539003</v>
      </c>
      <c r="D6458" t="str">
        <f t="shared" si="1412"/>
        <v>813</v>
      </c>
      <c r="E6458" t="str">
        <f t="shared" si="1416"/>
        <v>89301171</v>
      </c>
      <c r="F6458" t="str">
        <f t="shared" si="1417"/>
        <v>5561301416</v>
      </c>
      <c r="G6458" s="1">
        <v>44710</v>
      </c>
      <c r="H6458" t="str">
        <f>"91197"</f>
        <v>91197</v>
      </c>
      <c r="I6458">
        <v>1</v>
      </c>
      <c r="J6458">
        <v>1046</v>
      </c>
      <c r="K6458">
        <v>0</v>
      </c>
      <c r="L6458">
        <v>815.88</v>
      </c>
    </row>
    <row r="6459" spans="1:12" x14ac:dyDescent="0.25">
      <c r="A6459" t="str">
        <f t="shared" si="1404"/>
        <v>89301000</v>
      </c>
      <c r="B6459" t="str">
        <f t="shared" si="1415"/>
        <v>06539000</v>
      </c>
      <c r="C6459" t="str">
        <f t="shared" si="1411"/>
        <v>06539003</v>
      </c>
      <c r="D6459" t="str">
        <f t="shared" si="1412"/>
        <v>813</v>
      </c>
      <c r="E6459" t="str">
        <f t="shared" si="1416"/>
        <v>89301171</v>
      </c>
      <c r="F6459" t="str">
        <f t="shared" si="1417"/>
        <v>5561301416</v>
      </c>
      <c r="G6459" s="1">
        <v>44709</v>
      </c>
      <c r="H6459" t="str">
        <f>"91197"</f>
        <v>91197</v>
      </c>
      <c r="I6459">
        <v>1</v>
      </c>
      <c r="J6459">
        <v>1046</v>
      </c>
      <c r="K6459">
        <v>0</v>
      </c>
      <c r="L6459">
        <v>815.88</v>
      </c>
    </row>
    <row r="6460" spans="1:12" x14ac:dyDescent="0.25">
      <c r="A6460" t="str">
        <f t="shared" si="1404"/>
        <v>89301000</v>
      </c>
      <c r="B6460" t="str">
        <f t="shared" si="1415"/>
        <v>06539000</v>
      </c>
      <c r="C6460" t="str">
        <f t="shared" si="1411"/>
        <v>06539003</v>
      </c>
      <c r="D6460" t="str">
        <f t="shared" si="1412"/>
        <v>813</v>
      </c>
      <c r="E6460" t="str">
        <f t="shared" si="1416"/>
        <v>89301171</v>
      </c>
      <c r="F6460" t="str">
        <f t="shared" si="1417"/>
        <v>5561301416</v>
      </c>
      <c r="G6460" s="1">
        <v>44709</v>
      </c>
      <c r="H6460" t="str">
        <f>"91197"</f>
        <v>91197</v>
      </c>
      <c r="I6460">
        <v>1</v>
      </c>
      <c r="J6460">
        <v>1046</v>
      </c>
      <c r="K6460">
        <v>0</v>
      </c>
      <c r="L6460">
        <v>815.88</v>
      </c>
    </row>
    <row r="6461" spans="1:12" x14ac:dyDescent="0.25">
      <c r="A6461" t="str">
        <f t="shared" si="1404"/>
        <v>89301000</v>
      </c>
      <c r="B6461" t="str">
        <f t="shared" si="1415"/>
        <v>06539000</v>
      </c>
      <c r="C6461" t="str">
        <f t="shared" si="1411"/>
        <v>06539003</v>
      </c>
      <c r="D6461" t="str">
        <f t="shared" si="1412"/>
        <v>813</v>
      </c>
      <c r="E6461" t="str">
        <f t="shared" si="1416"/>
        <v>89301171</v>
      </c>
      <c r="F6461" t="str">
        <f t="shared" si="1417"/>
        <v>5561301416</v>
      </c>
      <c r="G6461" s="1">
        <v>44709</v>
      </c>
      <c r="H6461" t="str">
        <f>"91167"</f>
        <v>91167</v>
      </c>
      <c r="I6461">
        <v>1</v>
      </c>
      <c r="J6461">
        <v>425</v>
      </c>
      <c r="K6461">
        <v>0</v>
      </c>
      <c r="L6461">
        <v>331.5</v>
      </c>
    </row>
    <row r="6462" spans="1:12" x14ac:dyDescent="0.25">
      <c r="A6462" t="str">
        <f t="shared" si="1404"/>
        <v>89301000</v>
      </c>
      <c r="B6462" t="str">
        <f t="shared" si="1415"/>
        <v>06539000</v>
      </c>
      <c r="C6462" t="str">
        <f t="shared" si="1411"/>
        <v>06539003</v>
      </c>
      <c r="D6462" t="str">
        <f t="shared" si="1412"/>
        <v>813</v>
      </c>
      <c r="E6462" t="str">
        <f t="shared" si="1416"/>
        <v>89301171</v>
      </c>
      <c r="F6462" t="str">
        <f t="shared" si="1417"/>
        <v>5561301416</v>
      </c>
      <c r="G6462" s="1">
        <v>44709</v>
      </c>
      <c r="H6462" t="str">
        <f>"91169"</f>
        <v>91169</v>
      </c>
      <c r="I6462">
        <v>1</v>
      </c>
      <c r="J6462">
        <v>425</v>
      </c>
      <c r="K6462">
        <v>0</v>
      </c>
      <c r="L6462">
        <v>331.5</v>
      </c>
    </row>
    <row r="6463" spans="1:12" x14ac:dyDescent="0.25">
      <c r="A6463" t="str">
        <f t="shared" si="1404"/>
        <v>89301000</v>
      </c>
      <c r="B6463" t="str">
        <f t="shared" si="1415"/>
        <v>06539000</v>
      </c>
      <c r="C6463" t="str">
        <f>"06539001"</f>
        <v>06539001</v>
      </c>
      <c r="D6463" t="str">
        <f>"801"</f>
        <v>801</v>
      </c>
      <c r="E6463" t="str">
        <f t="shared" si="1416"/>
        <v>89301171</v>
      </c>
      <c r="F6463" t="str">
        <f t="shared" ref="F6463:F6496" si="1419">"0008205747"</f>
        <v>0008205747</v>
      </c>
      <c r="G6463" s="1">
        <v>44708</v>
      </c>
      <c r="H6463" t="str">
        <f>"81329"</f>
        <v>81329</v>
      </c>
      <c r="I6463">
        <v>1</v>
      </c>
      <c r="J6463">
        <v>16</v>
      </c>
      <c r="K6463">
        <v>0</v>
      </c>
      <c r="L6463">
        <v>12.48</v>
      </c>
    </row>
    <row r="6464" spans="1:12" x14ac:dyDescent="0.25">
      <c r="A6464" t="str">
        <f t="shared" si="1404"/>
        <v>89301000</v>
      </c>
      <c r="B6464" t="str">
        <f t="shared" si="1415"/>
        <v>06539000</v>
      </c>
      <c r="C6464" t="str">
        <f>"06539001"</f>
        <v>06539001</v>
      </c>
      <c r="D6464" t="str">
        <f>"801"</f>
        <v>801</v>
      </c>
      <c r="E6464" t="str">
        <f t="shared" si="1416"/>
        <v>89301171</v>
      </c>
      <c r="F6464" t="str">
        <f t="shared" si="1419"/>
        <v>0008205747</v>
      </c>
      <c r="G6464" s="1">
        <v>44708</v>
      </c>
      <c r="H6464" t="str">
        <f>"81331"</f>
        <v>81331</v>
      </c>
      <c r="I6464">
        <v>1</v>
      </c>
      <c r="J6464">
        <v>193</v>
      </c>
      <c r="K6464">
        <v>0</v>
      </c>
      <c r="L6464">
        <v>150.54</v>
      </c>
    </row>
    <row r="6465" spans="1:12" x14ac:dyDescent="0.25">
      <c r="A6465" t="str">
        <f t="shared" si="1404"/>
        <v>89301000</v>
      </c>
      <c r="B6465" t="str">
        <f t="shared" si="1415"/>
        <v>06539000</v>
      </c>
      <c r="C6465" t="str">
        <f t="shared" ref="C6465:C6496" si="1420">"06539003"</f>
        <v>06539003</v>
      </c>
      <c r="D6465" t="str">
        <f t="shared" ref="D6465:D6496" si="1421">"813"</f>
        <v>813</v>
      </c>
      <c r="E6465" t="str">
        <f t="shared" si="1416"/>
        <v>89301171</v>
      </c>
      <c r="F6465" t="str">
        <f t="shared" si="1419"/>
        <v>0008205747</v>
      </c>
      <c r="G6465" s="1">
        <v>44713</v>
      </c>
      <c r="H6465" t="str">
        <f t="shared" ref="H6465:H6474" si="1422">"91413"</f>
        <v>91413</v>
      </c>
      <c r="I6465">
        <v>1</v>
      </c>
      <c r="J6465">
        <v>853</v>
      </c>
      <c r="K6465">
        <v>0</v>
      </c>
      <c r="L6465">
        <v>665.34</v>
      </c>
    </row>
    <row r="6466" spans="1:12" x14ac:dyDescent="0.25">
      <c r="A6466" t="str">
        <f t="shared" ref="A6466:A6529" si="1423">"89301000"</f>
        <v>89301000</v>
      </c>
      <c r="B6466" t="str">
        <f t="shared" si="1415"/>
        <v>06539000</v>
      </c>
      <c r="C6466" t="str">
        <f t="shared" si="1420"/>
        <v>06539003</v>
      </c>
      <c r="D6466" t="str">
        <f t="shared" si="1421"/>
        <v>813</v>
      </c>
      <c r="E6466" t="str">
        <f t="shared" si="1416"/>
        <v>89301171</v>
      </c>
      <c r="F6466" t="str">
        <f t="shared" si="1419"/>
        <v>0008205747</v>
      </c>
      <c r="G6466" s="1">
        <v>44713</v>
      </c>
      <c r="H6466" t="str">
        <f t="shared" si="1422"/>
        <v>91413</v>
      </c>
      <c r="I6466">
        <v>1</v>
      </c>
      <c r="J6466">
        <v>853</v>
      </c>
      <c r="K6466">
        <v>0</v>
      </c>
      <c r="L6466">
        <v>665.34</v>
      </c>
    </row>
    <row r="6467" spans="1:12" x14ac:dyDescent="0.25">
      <c r="A6467" t="str">
        <f t="shared" si="1423"/>
        <v>89301000</v>
      </c>
      <c r="B6467" t="str">
        <f t="shared" si="1415"/>
        <v>06539000</v>
      </c>
      <c r="C6467" t="str">
        <f t="shared" si="1420"/>
        <v>06539003</v>
      </c>
      <c r="D6467" t="str">
        <f t="shared" si="1421"/>
        <v>813</v>
      </c>
      <c r="E6467" t="str">
        <f t="shared" si="1416"/>
        <v>89301171</v>
      </c>
      <c r="F6467" t="str">
        <f t="shared" si="1419"/>
        <v>0008205747</v>
      </c>
      <c r="G6467" s="1">
        <v>44721</v>
      </c>
      <c r="H6467" t="str">
        <f t="shared" si="1422"/>
        <v>91413</v>
      </c>
      <c r="I6467">
        <v>1</v>
      </c>
      <c r="J6467">
        <v>853</v>
      </c>
      <c r="K6467">
        <v>0</v>
      </c>
      <c r="L6467">
        <v>665.34</v>
      </c>
    </row>
    <row r="6468" spans="1:12" x14ac:dyDescent="0.25">
      <c r="A6468" t="str">
        <f t="shared" si="1423"/>
        <v>89301000</v>
      </c>
      <c r="B6468" t="str">
        <f t="shared" si="1415"/>
        <v>06539000</v>
      </c>
      <c r="C6468" t="str">
        <f t="shared" si="1420"/>
        <v>06539003</v>
      </c>
      <c r="D6468" t="str">
        <f t="shared" si="1421"/>
        <v>813</v>
      </c>
      <c r="E6468" t="str">
        <f t="shared" si="1416"/>
        <v>89301171</v>
      </c>
      <c r="F6468" t="str">
        <f t="shared" si="1419"/>
        <v>0008205747</v>
      </c>
      <c r="G6468" s="1">
        <v>44721</v>
      </c>
      <c r="H6468" t="str">
        <f t="shared" si="1422"/>
        <v>91413</v>
      </c>
      <c r="I6468">
        <v>1</v>
      </c>
      <c r="J6468">
        <v>853</v>
      </c>
      <c r="K6468">
        <v>0</v>
      </c>
      <c r="L6468">
        <v>665.34</v>
      </c>
    </row>
    <row r="6469" spans="1:12" x14ac:dyDescent="0.25">
      <c r="A6469" t="str">
        <f t="shared" si="1423"/>
        <v>89301000</v>
      </c>
      <c r="B6469" t="str">
        <f t="shared" ref="B6469:B6500" si="1424">"06539000"</f>
        <v>06539000</v>
      </c>
      <c r="C6469" t="str">
        <f t="shared" si="1420"/>
        <v>06539003</v>
      </c>
      <c r="D6469" t="str">
        <f t="shared" si="1421"/>
        <v>813</v>
      </c>
      <c r="E6469" t="str">
        <f t="shared" ref="E6469:E6496" si="1425">"89301171"</f>
        <v>89301171</v>
      </c>
      <c r="F6469" t="str">
        <f t="shared" si="1419"/>
        <v>0008205747</v>
      </c>
      <c r="G6469" s="1">
        <v>44720</v>
      </c>
      <c r="H6469" t="str">
        <f t="shared" si="1422"/>
        <v>91413</v>
      </c>
      <c r="I6469">
        <v>1</v>
      </c>
      <c r="J6469">
        <v>853</v>
      </c>
      <c r="K6469">
        <v>0</v>
      </c>
      <c r="L6469">
        <v>665.34</v>
      </c>
    </row>
    <row r="6470" spans="1:12" x14ac:dyDescent="0.25">
      <c r="A6470" t="str">
        <f t="shared" si="1423"/>
        <v>89301000</v>
      </c>
      <c r="B6470" t="str">
        <f t="shared" si="1424"/>
        <v>06539000</v>
      </c>
      <c r="C6470" t="str">
        <f t="shared" si="1420"/>
        <v>06539003</v>
      </c>
      <c r="D6470" t="str">
        <f t="shared" si="1421"/>
        <v>813</v>
      </c>
      <c r="E6470" t="str">
        <f t="shared" si="1425"/>
        <v>89301171</v>
      </c>
      <c r="F6470" t="str">
        <f t="shared" si="1419"/>
        <v>0008205747</v>
      </c>
      <c r="G6470" s="1">
        <v>44720</v>
      </c>
      <c r="H6470" t="str">
        <f t="shared" si="1422"/>
        <v>91413</v>
      </c>
      <c r="I6470">
        <v>1</v>
      </c>
      <c r="J6470">
        <v>853</v>
      </c>
      <c r="K6470">
        <v>0</v>
      </c>
      <c r="L6470">
        <v>665.34</v>
      </c>
    </row>
    <row r="6471" spans="1:12" x14ac:dyDescent="0.25">
      <c r="A6471" t="str">
        <f t="shared" si="1423"/>
        <v>89301000</v>
      </c>
      <c r="B6471" t="str">
        <f t="shared" si="1424"/>
        <v>06539000</v>
      </c>
      <c r="C6471" t="str">
        <f t="shared" si="1420"/>
        <v>06539003</v>
      </c>
      <c r="D6471" t="str">
        <f t="shared" si="1421"/>
        <v>813</v>
      </c>
      <c r="E6471" t="str">
        <f t="shared" si="1425"/>
        <v>89301171</v>
      </c>
      <c r="F6471" t="str">
        <f t="shared" si="1419"/>
        <v>0008205747</v>
      </c>
      <c r="G6471" s="1">
        <v>44721</v>
      </c>
      <c r="H6471" t="str">
        <f t="shared" si="1422"/>
        <v>91413</v>
      </c>
      <c r="I6471">
        <v>1</v>
      </c>
      <c r="J6471">
        <v>853</v>
      </c>
      <c r="K6471">
        <v>0</v>
      </c>
      <c r="L6471">
        <v>665.34</v>
      </c>
    </row>
    <row r="6472" spans="1:12" x14ac:dyDescent="0.25">
      <c r="A6472" t="str">
        <f t="shared" si="1423"/>
        <v>89301000</v>
      </c>
      <c r="B6472" t="str">
        <f t="shared" si="1424"/>
        <v>06539000</v>
      </c>
      <c r="C6472" t="str">
        <f t="shared" si="1420"/>
        <v>06539003</v>
      </c>
      <c r="D6472" t="str">
        <f t="shared" si="1421"/>
        <v>813</v>
      </c>
      <c r="E6472" t="str">
        <f t="shared" si="1425"/>
        <v>89301171</v>
      </c>
      <c r="F6472" t="str">
        <f t="shared" si="1419"/>
        <v>0008205747</v>
      </c>
      <c r="G6472" s="1">
        <v>44721</v>
      </c>
      <c r="H6472" t="str">
        <f t="shared" si="1422"/>
        <v>91413</v>
      </c>
      <c r="I6472">
        <v>1</v>
      </c>
      <c r="J6472">
        <v>853</v>
      </c>
      <c r="K6472">
        <v>0</v>
      </c>
      <c r="L6472">
        <v>665.34</v>
      </c>
    </row>
    <row r="6473" spans="1:12" x14ac:dyDescent="0.25">
      <c r="A6473" t="str">
        <f t="shared" si="1423"/>
        <v>89301000</v>
      </c>
      <c r="B6473" t="str">
        <f t="shared" si="1424"/>
        <v>06539000</v>
      </c>
      <c r="C6473" t="str">
        <f t="shared" si="1420"/>
        <v>06539003</v>
      </c>
      <c r="D6473" t="str">
        <f t="shared" si="1421"/>
        <v>813</v>
      </c>
      <c r="E6473" t="str">
        <f t="shared" si="1425"/>
        <v>89301171</v>
      </c>
      <c r="F6473" t="str">
        <f t="shared" si="1419"/>
        <v>0008205747</v>
      </c>
      <c r="G6473" s="1">
        <v>44721</v>
      </c>
      <c r="H6473" t="str">
        <f t="shared" si="1422"/>
        <v>91413</v>
      </c>
      <c r="I6473">
        <v>1</v>
      </c>
      <c r="J6473">
        <v>853</v>
      </c>
      <c r="K6473">
        <v>0</v>
      </c>
      <c r="L6473">
        <v>665.34</v>
      </c>
    </row>
    <row r="6474" spans="1:12" x14ac:dyDescent="0.25">
      <c r="A6474" t="str">
        <f t="shared" si="1423"/>
        <v>89301000</v>
      </c>
      <c r="B6474" t="str">
        <f t="shared" si="1424"/>
        <v>06539000</v>
      </c>
      <c r="C6474" t="str">
        <f t="shared" si="1420"/>
        <v>06539003</v>
      </c>
      <c r="D6474" t="str">
        <f t="shared" si="1421"/>
        <v>813</v>
      </c>
      <c r="E6474" t="str">
        <f t="shared" si="1425"/>
        <v>89301171</v>
      </c>
      <c r="F6474" t="str">
        <f t="shared" si="1419"/>
        <v>0008205747</v>
      </c>
      <c r="G6474" s="1">
        <v>44721</v>
      </c>
      <c r="H6474" t="str">
        <f t="shared" si="1422"/>
        <v>91413</v>
      </c>
      <c r="I6474">
        <v>1</v>
      </c>
      <c r="J6474">
        <v>853</v>
      </c>
      <c r="K6474">
        <v>0</v>
      </c>
      <c r="L6474">
        <v>665.34</v>
      </c>
    </row>
    <row r="6475" spans="1:12" x14ac:dyDescent="0.25">
      <c r="A6475" t="str">
        <f t="shared" si="1423"/>
        <v>89301000</v>
      </c>
      <c r="B6475" t="str">
        <f t="shared" si="1424"/>
        <v>06539000</v>
      </c>
      <c r="C6475" t="str">
        <f t="shared" si="1420"/>
        <v>06539003</v>
      </c>
      <c r="D6475" t="str">
        <f t="shared" si="1421"/>
        <v>813</v>
      </c>
      <c r="E6475" t="str">
        <f t="shared" si="1425"/>
        <v>89301171</v>
      </c>
      <c r="F6475" t="str">
        <f t="shared" si="1419"/>
        <v>0008205747</v>
      </c>
      <c r="G6475" s="1">
        <v>44708</v>
      </c>
      <c r="H6475" t="str">
        <f t="shared" ref="H6475:H6481" si="1426">"91197"</f>
        <v>91197</v>
      </c>
      <c r="I6475">
        <v>1</v>
      </c>
      <c r="J6475">
        <v>1046</v>
      </c>
      <c r="K6475">
        <v>0</v>
      </c>
      <c r="L6475">
        <v>815.88</v>
      </c>
    </row>
    <row r="6476" spans="1:12" x14ac:dyDescent="0.25">
      <c r="A6476" t="str">
        <f t="shared" si="1423"/>
        <v>89301000</v>
      </c>
      <c r="B6476" t="str">
        <f t="shared" si="1424"/>
        <v>06539000</v>
      </c>
      <c r="C6476" t="str">
        <f t="shared" si="1420"/>
        <v>06539003</v>
      </c>
      <c r="D6476" t="str">
        <f t="shared" si="1421"/>
        <v>813</v>
      </c>
      <c r="E6476" t="str">
        <f t="shared" si="1425"/>
        <v>89301171</v>
      </c>
      <c r="F6476" t="str">
        <f t="shared" si="1419"/>
        <v>0008205747</v>
      </c>
      <c r="G6476" s="1">
        <v>44711</v>
      </c>
      <c r="H6476" t="str">
        <f t="shared" si="1426"/>
        <v>91197</v>
      </c>
      <c r="I6476">
        <v>1</v>
      </c>
      <c r="J6476">
        <v>1046</v>
      </c>
      <c r="K6476">
        <v>0</v>
      </c>
      <c r="L6476">
        <v>815.88</v>
      </c>
    </row>
    <row r="6477" spans="1:12" x14ac:dyDescent="0.25">
      <c r="A6477" t="str">
        <f t="shared" si="1423"/>
        <v>89301000</v>
      </c>
      <c r="B6477" t="str">
        <f t="shared" si="1424"/>
        <v>06539000</v>
      </c>
      <c r="C6477" t="str">
        <f t="shared" si="1420"/>
        <v>06539003</v>
      </c>
      <c r="D6477" t="str">
        <f t="shared" si="1421"/>
        <v>813</v>
      </c>
      <c r="E6477" t="str">
        <f t="shared" si="1425"/>
        <v>89301171</v>
      </c>
      <c r="F6477" t="str">
        <f t="shared" si="1419"/>
        <v>0008205747</v>
      </c>
      <c r="G6477" s="1">
        <v>44711</v>
      </c>
      <c r="H6477" t="str">
        <f t="shared" si="1426"/>
        <v>91197</v>
      </c>
      <c r="I6477">
        <v>1</v>
      </c>
      <c r="J6477">
        <v>1046</v>
      </c>
      <c r="K6477">
        <v>0</v>
      </c>
      <c r="L6477">
        <v>815.88</v>
      </c>
    </row>
    <row r="6478" spans="1:12" x14ac:dyDescent="0.25">
      <c r="A6478" t="str">
        <f t="shared" si="1423"/>
        <v>89301000</v>
      </c>
      <c r="B6478" t="str">
        <f t="shared" si="1424"/>
        <v>06539000</v>
      </c>
      <c r="C6478" t="str">
        <f t="shared" si="1420"/>
        <v>06539003</v>
      </c>
      <c r="D6478" t="str">
        <f t="shared" si="1421"/>
        <v>813</v>
      </c>
      <c r="E6478" t="str">
        <f t="shared" si="1425"/>
        <v>89301171</v>
      </c>
      <c r="F6478" t="str">
        <f t="shared" si="1419"/>
        <v>0008205747</v>
      </c>
      <c r="G6478" s="1">
        <v>44710</v>
      </c>
      <c r="H6478" t="str">
        <f t="shared" si="1426"/>
        <v>91197</v>
      </c>
      <c r="I6478">
        <v>1</v>
      </c>
      <c r="J6478">
        <v>1046</v>
      </c>
      <c r="K6478">
        <v>0</v>
      </c>
      <c r="L6478">
        <v>815.88</v>
      </c>
    </row>
    <row r="6479" spans="1:12" x14ac:dyDescent="0.25">
      <c r="A6479" t="str">
        <f t="shared" si="1423"/>
        <v>89301000</v>
      </c>
      <c r="B6479" t="str">
        <f t="shared" si="1424"/>
        <v>06539000</v>
      </c>
      <c r="C6479" t="str">
        <f t="shared" si="1420"/>
        <v>06539003</v>
      </c>
      <c r="D6479" t="str">
        <f t="shared" si="1421"/>
        <v>813</v>
      </c>
      <c r="E6479" t="str">
        <f t="shared" si="1425"/>
        <v>89301171</v>
      </c>
      <c r="F6479" t="str">
        <f t="shared" si="1419"/>
        <v>0008205747</v>
      </c>
      <c r="G6479" s="1">
        <v>44710</v>
      </c>
      <c r="H6479" t="str">
        <f t="shared" si="1426"/>
        <v>91197</v>
      </c>
      <c r="I6479">
        <v>1</v>
      </c>
      <c r="J6479">
        <v>1046</v>
      </c>
      <c r="K6479">
        <v>0</v>
      </c>
      <c r="L6479">
        <v>815.88</v>
      </c>
    </row>
    <row r="6480" spans="1:12" x14ac:dyDescent="0.25">
      <c r="A6480" t="str">
        <f t="shared" si="1423"/>
        <v>89301000</v>
      </c>
      <c r="B6480" t="str">
        <f t="shared" si="1424"/>
        <v>06539000</v>
      </c>
      <c r="C6480" t="str">
        <f t="shared" si="1420"/>
        <v>06539003</v>
      </c>
      <c r="D6480" t="str">
        <f t="shared" si="1421"/>
        <v>813</v>
      </c>
      <c r="E6480" t="str">
        <f t="shared" si="1425"/>
        <v>89301171</v>
      </c>
      <c r="F6480" t="str">
        <f t="shared" si="1419"/>
        <v>0008205747</v>
      </c>
      <c r="G6480" s="1">
        <v>44709</v>
      </c>
      <c r="H6480" t="str">
        <f t="shared" si="1426"/>
        <v>91197</v>
      </c>
      <c r="I6480">
        <v>1</v>
      </c>
      <c r="J6480">
        <v>1046</v>
      </c>
      <c r="K6480">
        <v>0</v>
      </c>
      <c r="L6480">
        <v>815.88</v>
      </c>
    </row>
    <row r="6481" spans="1:12" x14ac:dyDescent="0.25">
      <c r="A6481" t="str">
        <f t="shared" si="1423"/>
        <v>89301000</v>
      </c>
      <c r="B6481" t="str">
        <f t="shared" si="1424"/>
        <v>06539000</v>
      </c>
      <c r="C6481" t="str">
        <f t="shared" si="1420"/>
        <v>06539003</v>
      </c>
      <c r="D6481" t="str">
        <f t="shared" si="1421"/>
        <v>813</v>
      </c>
      <c r="E6481" t="str">
        <f t="shared" si="1425"/>
        <v>89301171</v>
      </c>
      <c r="F6481" t="str">
        <f t="shared" si="1419"/>
        <v>0008205747</v>
      </c>
      <c r="G6481" s="1">
        <v>44709</v>
      </c>
      <c r="H6481" t="str">
        <f t="shared" si="1426"/>
        <v>91197</v>
      </c>
      <c r="I6481">
        <v>1</v>
      </c>
      <c r="J6481">
        <v>1046</v>
      </c>
      <c r="K6481">
        <v>0</v>
      </c>
      <c r="L6481">
        <v>815.88</v>
      </c>
    </row>
    <row r="6482" spans="1:12" x14ac:dyDescent="0.25">
      <c r="A6482" t="str">
        <f t="shared" si="1423"/>
        <v>89301000</v>
      </c>
      <c r="B6482" t="str">
        <f t="shared" si="1424"/>
        <v>06539000</v>
      </c>
      <c r="C6482" t="str">
        <f t="shared" si="1420"/>
        <v>06539003</v>
      </c>
      <c r="D6482" t="str">
        <f t="shared" si="1421"/>
        <v>813</v>
      </c>
      <c r="E6482" t="str">
        <f t="shared" si="1425"/>
        <v>89301171</v>
      </c>
      <c r="F6482" t="str">
        <f t="shared" si="1419"/>
        <v>0008205747</v>
      </c>
      <c r="G6482" s="1">
        <v>44712</v>
      </c>
      <c r="H6482" t="str">
        <f>"91329"</f>
        <v>91329</v>
      </c>
      <c r="I6482">
        <v>2</v>
      </c>
      <c r="J6482">
        <v>428</v>
      </c>
      <c r="K6482">
        <v>0</v>
      </c>
      <c r="L6482">
        <v>333.84</v>
      </c>
    </row>
    <row r="6483" spans="1:12" x14ac:dyDescent="0.25">
      <c r="A6483" t="str">
        <f t="shared" si="1423"/>
        <v>89301000</v>
      </c>
      <c r="B6483" t="str">
        <f t="shared" si="1424"/>
        <v>06539000</v>
      </c>
      <c r="C6483" t="str">
        <f t="shared" si="1420"/>
        <v>06539003</v>
      </c>
      <c r="D6483" t="str">
        <f t="shared" si="1421"/>
        <v>813</v>
      </c>
      <c r="E6483" t="str">
        <f t="shared" si="1425"/>
        <v>89301171</v>
      </c>
      <c r="F6483" t="str">
        <f t="shared" si="1419"/>
        <v>0008205747</v>
      </c>
      <c r="G6483" s="1">
        <v>44712</v>
      </c>
      <c r="H6483" t="str">
        <f>"91329"</f>
        <v>91329</v>
      </c>
      <c r="I6483">
        <v>2</v>
      </c>
      <c r="J6483">
        <v>428</v>
      </c>
      <c r="K6483">
        <v>0</v>
      </c>
      <c r="L6483">
        <v>333.84</v>
      </c>
    </row>
    <row r="6484" spans="1:12" x14ac:dyDescent="0.25">
      <c r="A6484" t="str">
        <f t="shared" si="1423"/>
        <v>89301000</v>
      </c>
      <c r="B6484" t="str">
        <f t="shared" si="1424"/>
        <v>06539000</v>
      </c>
      <c r="C6484" t="str">
        <f t="shared" si="1420"/>
        <v>06539003</v>
      </c>
      <c r="D6484" t="str">
        <f t="shared" si="1421"/>
        <v>813</v>
      </c>
      <c r="E6484" t="str">
        <f t="shared" si="1425"/>
        <v>89301171</v>
      </c>
      <c r="F6484" t="str">
        <f t="shared" si="1419"/>
        <v>0008205747</v>
      </c>
      <c r="G6484" s="1">
        <v>44712</v>
      </c>
      <c r="H6484" t="str">
        <f>"91329"</f>
        <v>91329</v>
      </c>
      <c r="I6484">
        <v>2</v>
      </c>
      <c r="J6484">
        <v>428</v>
      </c>
      <c r="K6484">
        <v>0</v>
      </c>
      <c r="L6484">
        <v>333.84</v>
      </c>
    </row>
    <row r="6485" spans="1:12" x14ac:dyDescent="0.25">
      <c r="A6485" t="str">
        <f t="shared" si="1423"/>
        <v>89301000</v>
      </c>
      <c r="B6485" t="str">
        <f t="shared" si="1424"/>
        <v>06539000</v>
      </c>
      <c r="C6485" t="str">
        <f t="shared" si="1420"/>
        <v>06539003</v>
      </c>
      <c r="D6485" t="str">
        <f t="shared" si="1421"/>
        <v>813</v>
      </c>
      <c r="E6485" t="str">
        <f t="shared" si="1425"/>
        <v>89301171</v>
      </c>
      <c r="F6485" t="str">
        <f t="shared" si="1419"/>
        <v>0008205747</v>
      </c>
      <c r="G6485" s="1">
        <v>44712</v>
      </c>
      <c r="H6485" t="str">
        <f>"91329"</f>
        <v>91329</v>
      </c>
      <c r="I6485">
        <v>2</v>
      </c>
      <c r="J6485">
        <v>428</v>
      </c>
      <c r="K6485">
        <v>0</v>
      </c>
      <c r="L6485">
        <v>333.84</v>
      </c>
    </row>
    <row r="6486" spans="1:12" x14ac:dyDescent="0.25">
      <c r="A6486" t="str">
        <f t="shared" si="1423"/>
        <v>89301000</v>
      </c>
      <c r="B6486" t="str">
        <f t="shared" si="1424"/>
        <v>06539000</v>
      </c>
      <c r="C6486" t="str">
        <f t="shared" si="1420"/>
        <v>06539003</v>
      </c>
      <c r="D6486" t="str">
        <f t="shared" si="1421"/>
        <v>813</v>
      </c>
      <c r="E6486" t="str">
        <f t="shared" si="1425"/>
        <v>89301171</v>
      </c>
      <c r="F6486" t="str">
        <f t="shared" si="1419"/>
        <v>0008205747</v>
      </c>
      <c r="G6486" s="1">
        <v>44711</v>
      </c>
      <c r="H6486" t="str">
        <f>"91129"</f>
        <v>91129</v>
      </c>
      <c r="I6486">
        <v>1</v>
      </c>
      <c r="J6486">
        <v>174</v>
      </c>
      <c r="K6486">
        <v>0</v>
      </c>
      <c r="L6486">
        <v>135.72</v>
      </c>
    </row>
    <row r="6487" spans="1:12" x14ac:dyDescent="0.25">
      <c r="A6487" t="str">
        <f t="shared" si="1423"/>
        <v>89301000</v>
      </c>
      <c r="B6487" t="str">
        <f t="shared" si="1424"/>
        <v>06539000</v>
      </c>
      <c r="C6487" t="str">
        <f t="shared" si="1420"/>
        <v>06539003</v>
      </c>
      <c r="D6487" t="str">
        <f t="shared" si="1421"/>
        <v>813</v>
      </c>
      <c r="E6487" t="str">
        <f t="shared" si="1425"/>
        <v>89301171</v>
      </c>
      <c r="F6487" t="str">
        <f t="shared" si="1419"/>
        <v>0008205747</v>
      </c>
      <c r="G6487" s="1">
        <v>44711</v>
      </c>
      <c r="H6487" t="str">
        <f>"91131"</f>
        <v>91131</v>
      </c>
      <c r="I6487">
        <v>1</v>
      </c>
      <c r="J6487">
        <v>171</v>
      </c>
      <c r="K6487">
        <v>0</v>
      </c>
      <c r="L6487">
        <v>133.38</v>
      </c>
    </row>
    <row r="6488" spans="1:12" x14ac:dyDescent="0.25">
      <c r="A6488" t="str">
        <f t="shared" si="1423"/>
        <v>89301000</v>
      </c>
      <c r="B6488" t="str">
        <f t="shared" si="1424"/>
        <v>06539000</v>
      </c>
      <c r="C6488" t="str">
        <f t="shared" si="1420"/>
        <v>06539003</v>
      </c>
      <c r="D6488" t="str">
        <f t="shared" si="1421"/>
        <v>813</v>
      </c>
      <c r="E6488" t="str">
        <f t="shared" si="1425"/>
        <v>89301171</v>
      </c>
      <c r="F6488" t="str">
        <f t="shared" si="1419"/>
        <v>0008205747</v>
      </c>
      <c r="G6488" s="1">
        <v>44711</v>
      </c>
      <c r="H6488" t="str">
        <f>"91133"</f>
        <v>91133</v>
      </c>
      <c r="I6488">
        <v>1</v>
      </c>
      <c r="J6488">
        <v>176</v>
      </c>
      <c r="K6488">
        <v>0</v>
      </c>
      <c r="L6488">
        <v>137.28</v>
      </c>
    </row>
    <row r="6489" spans="1:12" x14ac:dyDescent="0.25">
      <c r="A6489" t="str">
        <f t="shared" si="1423"/>
        <v>89301000</v>
      </c>
      <c r="B6489" t="str">
        <f t="shared" si="1424"/>
        <v>06539000</v>
      </c>
      <c r="C6489" t="str">
        <f t="shared" si="1420"/>
        <v>06539003</v>
      </c>
      <c r="D6489" t="str">
        <f t="shared" si="1421"/>
        <v>813</v>
      </c>
      <c r="E6489" t="str">
        <f t="shared" si="1425"/>
        <v>89301171</v>
      </c>
      <c r="F6489" t="str">
        <f t="shared" si="1419"/>
        <v>0008205747</v>
      </c>
      <c r="G6489" s="1">
        <v>44711</v>
      </c>
      <c r="H6489" t="str">
        <f>"91171"</f>
        <v>91171</v>
      </c>
      <c r="I6489">
        <v>1</v>
      </c>
      <c r="J6489">
        <v>360</v>
      </c>
      <c r="K6489">
        <v>0</v>
      </c>
      <c r="L6489">
        <v>280.8</v>
      </c>
    </row>
    <row r="6490" spans="1:12" x14ac:dyDescent="0.25">
      <c r="A6490" t="str">
        <f t="shared" si="1423"/>
        <v>89301000</v>
      </c>
      <c r="B6490" t="str">
        <f t="shared" si="1424"/>
        <v>06539000</v>
      </c>
      <c r="C6490" t="str">
        <f t="shared" si="1420"/>
        <v>06539003</v>
      </c>
      <c r="D6490" t="str">
        <f t="shared" si="1421"/>
        <v>813</v>
      </c>
      <c r="E6490" t="str">
        <f t="shared" si="1425"/>
        <v>89301171</v>
      </c>
      <c r="F6490" t="str">
        <f t="shared" si="1419"/>
        <v>0008205747</v>
      </c>
      <c r="G6490" s="1">
        <v>44708</v>
      </c>
      <c r="H6490" t="str">
        <f>"91173"</f>
        <v>91173</v>
      </c>
      <c r="I6490">
        <v>1</v>
      </c>
      <c r="J6490">
        <v>335</v>
      </c>
      <c r="K6490">
        <v>0</v>
      </c>
      <c r="L6490">
        <v>261.3</v>
      </c>
    </row>
    <row r="6491" spans="1:12" x14ac:dyDescent="0.25">
      <c r="A6491" t="str">
        <f t="shared" si="1423"/>
        <v>89301000</v>
      </c>
      <c r="B6491" t="str">
        <f t="shared" si="1424"/>
        <v>06539000</v>
      </c>
      <c r="C6491" t="str">
        <f t="shared" si="1420"/>
        <v>06539003</v>
      </c>
      <c r="D6491" t="str">
        <f t="shared" si="1421"/>
        <v>813</v>
      </c>
      <c r="E6491" t="str">
        <f t="shared" si="1425"/>
        <v>89301171</v>
      </c>
      <c r="F6491" t="str">
        <f t="shared" si="1419"/>
        <v>0008205747</v>
      </c>
      <c r="G6491" s="1">
        <v>44711</v>
      </c>
      <c r="H6491" t="str">
        <f>"91175"</f>
        <v>91175</v>
      </c>
      <c r="I6491">
        <v>1</v>
      </c>
      <c r="J6491">
        <v>360</v>
      </c>
      <c r="K6491">
        <v>0</v>
      </c>
      <c r="L6491">
        <v>280.8</v>
      </c>
    </row>
    <row r="6492" spans="1:12" x14ac:dyDescent="0.25">
      <c r="A6492" t="str">
        <f t="shared" si="1423"/>
        <v>89301000</v>
      </c>
      <c r="B6492" t="str">
        <f t="shared" si="1424"/>
        <v>06539000</v>
      </c>
      <c r="C6492" t="str">
        <f t="shared" si="1420"/>
        <v>06539003</v>
      </c>
      <c r="D6492" t="str">
        <f t="shared" si="1421"/>
        <v>813</v>
      </c>
      <c r="E6492" t="str">
        <f t="shared" si="1425"/>
        <v>89301171</v>
      </c>
      <c r="F6492" t="str">
        <f t="shared" si="1419"/>
        <v>0008205747</v>
      </c>
      <c r="G6492" s="1">
        <v>44709</v>
      </c>
      <c r="H6492" t="str">
        <f>"91167"</f>
        <v>91167</v>
      </c>
      <c r="I6492">
        <v>1</v>
      </c>
      <c r="J6492">
        <v>425</v>
      </c>
      <c r="K6492">
        <v>0</v>
      </c>
      <c r="L6492">
        <v>331.5</v>
      </c>
    </row>
    <row r="6493" spans="1:12" x14ac:dyDescent="0.25">
      <c r="A6493" t="str">
        <f t="shared" si="1423"/>
        <v>89301000</v>
      </c>
      <c r="B6493" t="str">
        <f t="shared" si="1424"/>
        <v>06539000</v>
      </c>
      <c r="C6493" t="str">
        <f t="shared" si="1420"/>
        <v>06539003</v>
      </c>
      <c r="D6493" t="str">
        <f t="shared" si="1421"/>
        <v>813</v>
      </c>
      <c r="E6493" t="str">
        <f t="shared" si="1425"/>
        <v>89301171</v>
      </c>
      <c r="F6493" t="str">
        <f t="shared" si="1419"/>
        <v>0008205747</v>
      </c>
      <c r="G6493" s="1">
        <v>44709</v>
      </c>
      <c r="H6493" t="str">
        <f>"91169"</f>
        <v>91169</v>
      </c>
      <c r="I6493">
        <v>1</v>
      </c>
      <c r="J6493">
        <v>425</v>
      </c>
      <c r="K6493">
        <v>0</v>
      </c>
      <c r="L6493">
        <v>331.5</v>
      </c>
    </row>
    <row r="6494" spans="1:12" x14ac:dyDescent="0.25">
      <c r="A6494" t="str">
        <f t="shared" si="1423"/>
        <v>89301000</v>
      </c>
      <c r="B6494" t="str">
        <f t="shared" si="1424"/>
        <v>06539000</v>
      </c>
      <c r="C6494" t="str">
        <f t="shared" si="1420"/>
        <v>06539003</v>
      </c>
      <c r="D6494" t="str">
        <f t="shared" si="1421"/>
        <v>813</v>
      </c>
      <c r="E6494" t="str">
        <f t="shared" si="1425"/>
        <v>89301171</v>
      </c>
      <c r="F6494" t="str">
        <f t="shared" si="1419"/>
        <v>0008205747</v>
      </c>
      <c r="G6494" s="1">
        <v>44708</v>
      </c>
      <c r="H6494" t="str">
        <f>"91167"</f>
        <v>91167</v>
      </c>
      <c r="I6494">
        <v>1</v>
      </c>
      <c r="J6494">
        <v>425</v>
      </c>
      <c r="K6494">
        <v>0</v>
      </c>
      <c r="L6494">
        <v>331.5</v>
      </c>
    </row>
    <row r="6495" spans="1:12" x14ac:dyDescent="0.25">
      <c r="A6495" t="str">
        <f t="shared" si="1423"/>
        <v>89301000</v>
      </c>
      <c r="B6495" t="str">
        <f t="shared" si="1424"/>
        <v>06539000</v>
      </c>
      <c r="C6495" t="str">
        <f t="shared" si="1420"/>
        <v>06539003</v>
      </c>
      <c r="D6495" t="str">
        <f t="shared" si="1421"/>
        <v>813</v>
      </c>
      <c r="E6495" t="str">
        <f t="shared" si="1425"/>
        <v>89301171</v>
      </c>
      <c r="F6495" t="str">
        <f t="shared" si="1419"/>
        <v>0008205747</v>
      </c>
      <c r="G6495" s="1">
        <v>44708</v>
      </c>
      <c r="H6495" t="str">
        <f>"91169"</f>
        <v>91169</v>
      </c>
      <c r="I6495">
        <v>1</v>
      </c>
      <c r="J6495">
        <v>425</v>
      </c>
      <c r="K6495">
        <v>0</v>
      </c>
      <c r="L6495">
        <v>331.5</v>
      </c>
    </row>
    <row r="6496" spans="1:12" x14ac:dyDescent="0.25">
      <c r="A6496" t="str">
        <f t="shared" si="1423"/>
        <v>89301000</v>
      </c>
      <c r="B6496" t="str">
        <f t="shared" si="1424"/>
        <v>06539000</v>
      </c>
      <c r="C6496" t="str">
        <f t="shared" si="1420"/>
        <v>06539003</v>
      </c>
      <c r="D6496" t="str">
        <f t="shared" si="1421"/>
        <v>813</v>
      </c>
      <c r="E6496" t="str">
        <f t="shared" si="1425"/>
        <v>89301171</v>
      </c>
      <c r="F6496" t="str">
        <f t="shared" si="1419"/>
        <v>0008205747</v>
      </c>
      <c r="G6496" s="1">
        <v>44708</v>
      </c>
      <c r="H6496" t="str">
        <f>"91475"</f>
        <v>91475</v>
      </c>
      <c r="I6496">
        <v>1</v>
      </c>
      <c r="J6496">
        <v>206</v>
      </c>
      <c r="K6496">
        <v>0</v>
      </c>
      <c r="L6496">
        <v>160.68</v>
      </c>
    </row>
    <row r="6497" spans="1:12" x14ac:dyDescent="0.25">
      <c r="A6497" t="str">
        <f t="shared" si="1423"/>
        <v>89301000</v>
      </c>
      <c r="B6497" t="str">
        <f t="shared" si="1424"/>
        <v>06539000</v>
      </c>
      <c r="C6497" t="str">
        <f>"06539001"</f>
        <v>06539001</v>
      </c>
      <c r="D6497" t="str">
        <f>"801"</f>
        <v>801</v>
      </c>
      <c r="E6497" t="str">
        <f>"89301172"</f>
        <v>89301172</v>
      </c>
      <c r="F6497" t="str">
        <f>"7262195765"</f>
        <v>7262195765</v>
      </c>
      <c r="G6497" s="1">
        <v>44719</v>
      </c>
      <c r="H6497" t="str">
        <f>"81705"</f>
        <v>81705</v>
      </c>
      <c r="I6497">
        <v>1</v>
      </c>
      <c r="J6497">
        <v>346</v>
      </c>
      <c r="K6497">
        <v>0</v>
      </c>
      <c r="L6497">
        <v>269.88</v>
      </c>
    </row>
    <row r="6498" spans="1:12" x14ac:dyDescent="0.25">
      <c r="A6498" t="str">
        <f t="shared" si="1423"/>
        <v>89301000</v>
      </c>
      <c r="B6498" t="str">
        <f t="shared" si="1424"/>
        <v>06539000</v>
      </c>
      <c r="C6498" t="str">
        <f>"06539001"</f>
        <v>06539001</v>
      </c>
      <c r="D6498" t="str">
        <f>"801"</f>
        <v>801</v>
      </c>
      <c r="E6498" t="str">
        <f>"89301172"</f>
        <v>89301172</v>
      </c>
      <c r="F6498" t="str">
        <f>"7262195765"</f>
        <v>7262195765</v>
      </c>
      <c r="G6498" s="1">
        <v>44718</v>
      </c>
      <c r="H6498" t="str">
        <f>"81705"</f>
        <v>81705</v>
      </c>
      <c r="I6498">
        <v>1</v>
      </c>
      <c r="J6498">
        <v>346</v>
      </c>
      <c r="K6498">
        <v>0</v>
      </c>
      <c r="L6498">
        <v>269.88</v>
      </c>
    </row>
    <row r="6499" spans="1:12" x14ac:dyDescent="0.25">
      <c r="A6499" t="str">
        <f t="shared" si="1423"/>
        <v>89301000</v>
      </c>
      <c r="B6499" t="str">
        <f t="shared" si="1424"/>
        <v>06539000</v>
      </c>
      <c r="C6499" t="str">
        <f t="shared" ref="C6499:C6527" si="1427">"06539003"</f>
        <v>06539003</v>
      </c>
      <c r="D6499" t="str">
        <f t="shared" ref="D6499:D6527" si="1428">"813"</f>
        <v>813</v>
      </c>
      <c r="E6499" t="str">
        <f>"89301172"</f>
        <v>89301172</v>
      </c>
      <c r="F6499" t="str">
        <f>"7262195765"</f>
        <v>7262195765</v>
      </c>
      <c r="G6499" s="1">
        <v>44719</v>
      </c>
      <c r="H6499" t="str">
        <f>"91329"</f>
        <v>91329</v>
      </c>
      <c r="I6499">
        <v>2</v>
      </c>
      <c r="J6499">
        <v>428</v>
      </c>
      <c r="K6499">
        <v>0</v>
      </c>
      <c r="L6499">
        <v>333.84</v>
      </c>
    </row>
    <row r="6500" spans="1:12" x14ac:dyDescent="0.25">
      <c r="A6500" t="str">
        <f t="shared" si="1423"/>
        <v>89301000</v>
      </c>
      <c r="B6500" t="str">
        <f t="shared" si="1424"/>
        <v>06539000</v>
      </c>
      <c r="C6500" t="str">
        <f t="shared" si="1427"/>
        <v>06539003</v>
      </c>
      <c r="D6500" t="str">
        <f t="shared" si="1428"/>
        <v>813</v>
      </c>
      <c r="E6500" t="str">
        <f>"89301172"</f>
        <v>89301172</v>
      </c>
      <c r="F6500" t="str">
        <f>"7262195765"</f>
        <v>7262195765</v>
      </c>
      <c r="G6500" s="1">
        <v>44715</v>
      </c>
      <c r="H6500" t="str">
        <f>"91475"</f>
        <v>91475</v>
      </c>
      <c r="I6500">
        <v>1</v>
      </c>
      <c r="J6500">
        <v>206</v>
      </c>
      <c r="K6500">
        <v>0</v>
      </c>
      <c r="L6500">
        <v>160.68</v>
      </c>
    </row>
    <row r="6501" spans="1:12" x14ac:dyDescent="0.25">
      <c r="A6501" t="str">
        <f t="shared" si="1423"/>
        <v>89301000</v>
      </c>
      <c r="B6501" t="str">
        <f t="shared" ref="B6501:B6532" si="1429">"06539000"</f>
        <v>06539000</v>
      </c>
      <c r="C6501" t="str">
        <f t="shared" si="1427"/>
        <v>06539003</v>
      </c>
      <c r="D6501" t="str">
        <f t="shared" si="1428"/>
        <v>813</v>
      </c>
      <c r="E6501" t="str">
        <f t="shared" ref="E6501:E6532" si="1430">"89301171"</f>
        <v>89301171</v>
      </c>
      <c r="F6501" t="str">
        <f t="shared" ref="F6501:F6527" si="1431">"6254237165"</f>
        <v>6254237165</v>
      </c>
      <c r="G6501" s="1">
        <v>44720</v>
      </c>
      <c r="H6501" t="str">
        <f t="shared" ref="H6501:H6510" si="1432">"91413"</f>
        <v>91413</v>
      </c>
      <c r="I6501">
        <v>1</v>
      </c>
      <c r="J6501">
        <v>853</v>
      </c>
      <c r="K6501">
        <v>0</v>
      </c>
      <c r="L6501">
        <v>665.34</v>
      </c>
    </row>
    <row r="6502" spans="1:12" x14ac:dyDescent="0.25">
      <c r="A6502" t="str">
        <f t="shared" si="1423"/>
        <v>89301000</v>
      </c>
      <c r="B6502" t="str">
        <f t="shared" si="1429"/>
        <v>06539000</v>
      </c>
      <c r="C6502" t="str">
        <f t="shared" si="1427"/>
        <v>06539003</v>
      </c>
      <c r="D6502" t="str">
        <f t="shared" si="1428"/>
        <v>813</v>
      </c>
      <c r="E6502" t="str">
        <f t="shared" si="1430"/>
        <v>89301171</v>
      </c>
      <c r="F6502" t="str">
        <f t="shared" si="1431"/>
        <v>6254237165</v>
      </c>
      <c r="G6502" s="1">
        <v>44720</v>
      </c>
      <c r="H6502" t="str">
        <f t="shared" si="1432"/>
        <v>91413</v>
      </c>
      <c r="I6502">
        <v>1</v>
      </c>
      <c r="J6502">
        <v>853</v>
      </c>
      <c r="K6502">
        <v>0</v>
      </c>
      <c r="L6502">
        <v>665.34</v>
      </c>
    </row>
    <row r="6503" spans="1:12" x14ac:dyDescent="0.25">
      <c r="A6503" t="str">
        <f t="shared" si="1423"/>
        <v>89301000</v>
      </c>
      <c r="B6503" t="str">
        <f t="shared" si="1429"/>
        <v>06539000</v>
      </c>
      <c r="C6503" t="str">
        <f t="shared" si="1427"/>
        <v>06539003</v>
      </c>
      <c r="D6503" t="str">
        <f t="shared" si="1428"/>
        <v>813</v>
      </c>
      <c r="E6503" t="str">
        <f t="shared" si="1430"/>
        <v>89301171</v>
      </c>
      <c r="F6503" t="str">
        <f t="shared" si="1431"/>
        <v>6254237165</v>
      </c>
      <c r="G6503" s="1">
        <v>44728</v>
      </c>
      <c r="H6503" t="str">
        <f t="shared" si="1432"/>
        <v>91413</v>
      </c>
      <c r="I6503">
        <v>1</v>
      </c>
      <c r="J6503">
        <v>853</v>
      </c>
      <c r="K6503">
        <v>0</v>
      </c>
      <c r="L6503">
        <v>665.34</v>
      </c>
    </row>
    <row r="6504" spans="1:12" x14ac:dyDescent="0.25">
      <c r="A6504" t="str">
        <f t="shared" si="1423"/>
        <v>89301000</v>
      </c>
      <c r="B6504" t="str">
        <f t="shared" si="1429"/>
        <v>06539000</v>
      </c>
      <c r="C6504" t="str">
        <f t="shared" si="1427"/>
        <v>06539003</v>
      </c>
      <c r="D6504" t="str">
        <f t="shared" si="1428"/>
        <v>813</v>
      </c>
      <c r="E6504" t="str">
        <f t="shared" si="1430"/>
        <v>89301171</v>
      </c>
      <c r="F6504" t="str">
        <f t="shared" si="1431"/>
        <v>6254237165</v>
      </c>
      <c r="G6504" s="1">
        <v>44728</v>
      </c>
      <c r="H6504" t="str">
        <f t="shared" si="1432"/>
        <v>91413</v>
      </c>
      <c r="I6504">
        <v>1</v>
      </c>
      <c r="J6504">
        <v>853</v>
      </c>
      <c r="K6504">
        <v>0</v>
      </c>
      <c r="L6504">
        <v>665.34</v>
      </c>
    </row>
    <row r="6505" spans="1:12" x14ac:dyDescent="0.25">
      <c r="A6505" t="str">
        <f t="shared" si="1423"/>
        <v>89301000</v>
      </c>
      <c r="B6505" t="str">
        <f t="shared" si="1429"/>
        <v>06539000</v>
      </c>
      <c r="C6505" t="str">
        <f t="shared" si="1427"/>
        <v>06539003</v>
      </c>
      <c r="D6505" t="str">
        <f t="shared" si="1428"/>
        <v>813</v>
      </c>
      <c r="E6505" t="str">
        <f t="shared" si="1430"/>
        <v>89301171</v>
      </c>
      <c r="F6505" t="str">
        <f t="shared" si="1431"/>
        <v>6254237165</v>
      </c>
      <c r="G6505" s="1">
        <v>44727</v>
      </c>
      <c r="H6505" t="str">
        <f t="shared" si="1432"/>
        <v>91413</v>
      </c>
      <c r="I6505">
        <v>1</v>
      </c>
      <c r="J6505">
        <v>853</v>
      </c>
      <c r="K6505">
        <v>0</v>
      </c>
      <c r="L6505">
        <v>665.34</v>
      </c>
    </row>
    <row r="6506" spans="1:12" x14ac:dyDescent="0.25">
      <c r="A6506" t="str">
        <f t="shared" si="1423"/>
        <v>89301000</v>
      </c>
      <c r="B6506" t="str">
        <f t="shared" si="1429"/>
        <v>06539000</v>
      </c>
      <c r="C6506" t="str">
        <f t="shared" si="1427"/>
        <v>06539003</v>
      </c>
      <c r="D6506" t="str">
        <f t="shared" si="1428"/>
        <v>813</v>
      </c>
      <c r="E6506" t="str">
        <f t="shared" si="1430"/>
        <v>89301171</v>
      </c>
      <c r="F6506" t="str">
        <f t="shared" si="1431"/>
        <v>6254237165</v>
      </c>
      <c r="G6506" s="1">
        <v>44727</v>
      </c>
      <c r="H6506" t="str">
        <f t="shared" si="1432"/>
        <v>91413</v>
      </c>
      <c r="I6506">
        <v>1</v>
      </c>
      <c r="J6506">
        <v>853</v>
      </c>
      <c r="K6506">
        <v>0</v>
      </c>
      <c r="L6506">
        <v>665.34</v>
      </c>
    </row>
    <row r="6507" spans="1:12" x14ac:dyDescent="0.25">
      <c r="A6507" t="str">
        <f t="shared" si="1423"/>
        <v>89301000</v>
      </c>
      <c r="B6507" t="str">
        <f t="shared" si="1429"/>
        <v>06539000</v>
      </c>
      <c r="C6507" t="str">
        <f t="shared" si="1427"/>
        <v>06539003</v>
      </c>
      <c r="D6507" t="str">
        <f t="shared" si="1428"/>
        <v>813</v>
      </c>
      <c r="E6507" t="str">
        <f t="shared" si="1430"/>
        <v>89301171</v>
      </c>
      <c r="F6507" t="str">
        <f t="shared" si="1431"/>
        <v>6254237165</v>
      </c>
      <c r="G6507" s="1">
        <v>44728</v>
      </c>
      <c r="H6507" t="str">
        <f t="shared" si="1432"/>
        <v>91413</v>
      </c>
      <c r="I6507">
        <v>1</v>
      </c>
      <c r="J6507">
        <v>853</v>
      </c>
      <c r="K6507">
        <v>0</v>
      </c>
      <c r="L6507">
        <v>665.34</v>
      </c>
    </row>
    <row r="6508" spans="1:12" x14ac:dyDescent="0.25">
      <c r="A6508" t="str">
        <f t="shared" si="1423"/>
        <v>89301000</v>
      </c>
      <c r="B6508" t="str">
        <f t="shared" si="1429"/>
        <v>06539000</v>
      </c>
      <c r="C6508" t="str">
        <f t="shared" si="1427"/>
        <v>06539003</v>
      </c>
      <c r="D6508" t="str">
        <f t="shared" si="1428"/>
        <v>813</v>
      </c>
      <c r="E6508" t="str">
        <f t="shared" si="1430"/>
        <v>89301171</v>
      </c>
      <c r="F6508" t="str">
        <f t="shared" si="1431"/>
        <v>6254237165</v>
      </c>
      <c r="G6508" s="1">
        <v>44728</v>
      </c>
      <c r="H6508" t="str">
        <f t="shared" si="1432"/>
        <v>91413</v>
      </c>
      <c r="I6508">
        <v>1</v>
      </c>
      <c r="J6508">
        <v>853</v>
      </c>
      <c r="K6508">
        <v>0</v>
      </c>
      <c r="L6508">
        <v>665.34</v>
      </c>
    </row>
    <row r="6509" spans="1:12" x14ac:dyDescent="0.25">
      <c r="A6509" t="str">
        <f t="shared" si="1423"/>
        <v>89301000</v>
      </c>
      <c r="B6509" t="str">
        <f t="shared" si="1429"/>
        <v>06539000</v>
      </c>
      <c r="C6509" t="str">
        <f t="shared" si="1427"/>
        <v>06539003</v>
      </c>
      <c r="D6509" t="str">
        <f t="shared" si="1428"/>
        <v>813</v>
      </c>
      <c r="E6509" t="str">
        <f t="shared" si="1430"/>
        <v>89301171</v>
      </c>
      <c r="F6509" t="str">
        <f t="shared" si="1431"/>
        <v>6254237165</v>
      </c>
      <c r="G6509" s="1">
        <v>44728</v>
      </c>
      <c r="H6509" t="str">
        <f t="shared" si="1432"/>
        <v>91413</v>
      </c>
      <c r="I6509">
        <v>1</v>
      </c>
      <c r="J6509">
        <v>853</v>
      </c>
      <c r="K6509">
        <v>0</v>
      </c>
      <c r="L6509">
        <v>665.34</v>
      </c>
    </row>
    <row r="6510" spans="1:12" x14ac:dyDescent="0.25">
      <c r="A6510" t="str">
        <f t="shared" si="1423"/>
        <v>89301000</v>
      </c>
      <c r="B6510" t="str">
        <f t="shared" si="1429"/>
        <v>06539000</v>
      </c>
      <c r="C6510" t="str">
        <f t="shared" si="1427"/>
        <v>06539003</v>
      </c>
      <c r="D6510" t="str">
        <f t="shared" si="1428"/>
        <v>813</v>
      </c>
      <c r="E6510" t="str">
        <f t="shared" si="1430"/>
        <v>89301171</v>
      </c>
      <c r="F6510" t="str">
        <f t="shared" si="1431"/>
        <v>6254237165</v>
      </c>
      <c r="G6510" s="1">
        <v>44728</v>
      </c>
      <c r="H6510" t="str">
        <f t="shared" si="1432"/>
        <v>91413</v>
      </c>
      <c r="I6510">
        <v>1</v>
      </c>
      <c r="J6510">
        <v>853</v>
      </c>
      <c r="K6510">
        <v>0</v>
      </c>
      <c r="L6510">
        <v>665.34</v>
      </c>
    </row>
    <row r="6511" spans="1:12" x14ac:dyDescent="0.25">
      <c r="A6511" t="str">
        <f t="shared" si="1423"/>
        <v>89301000</v>
      </c>
      <c r="B6511" t="str">
        <f t="shared" si="1429"/>
        <v>06539000</v>
      </c>
      <c r="C6511" t="str">
        <f t="shared" si="1427"/>
        <v>06539003</v>
      </c>
      <c r="D6511" t="str">
        <f t="shared" si="1428"/>
        <v>813</v>
      </c>
      <c r="E6511" t="str">
        <f t="shared" si="1430"/>
        <v>89301171</v>
      </c>
      <c r="F6511" t="str">
        <f t="shared" si="1431"/>
        <v>6254237165</v>
      </c>
      <c r="G6511" s="1">
        <v>44718</v>
      </c>
      <c r="H6511" t="str">
        <f t="shared" ref="H6511:H6516" si="1433">"91197"</f>
        <v>91197</v>
      </c>
      <c r="I6511">
        <v>1</v>
      </c>
      <c r="J6511">
        <v>1046</v>
      </c>
      <c r="K6511">
        <v>0</v>
      </c>
      <c r="L6511">
        <v>815.88</v>
      </c>
    </row>
    <row r="6512" spans="1:12" x14ac:dyDescent="0.25">
      <c r="A6512" t="str">
        <f t="shared" si="1423"/>
        <v>89301000</v>
      </c>
      <c r="B6512" t="str">
        <f t="shared" si="1429"/>
        <v>06539000</v>
      </c>
      <c r="C6512" t="str">
        <f t="shared" si="1427"/>
        <v>06539003</v>
      </c>
      <c r="D6512" t="str">
        <f t="shared" si="1428"/>
        <v>813</v>
      </c>
      <c r="E6512" t="str">
        <f t="shared" si="1430"/>
        <v>89301171</v>
      </c>
      <c r="F6512" t="str">
        <f t="shared" si="1431"/>
        <v>6254237165</v>
      </c>
      <c r="G6512" s="1">
        <v>44718</v>
      </c>
      <c r="H6512" t="str">
        <f t="shared" si="1433"/>
        <v>91197</v>
      </c>
      <c r="I6512">
        <v>1</v>
      </c>
      <c r="J6512">
        <v>1046</v>
      </c>
      <c r="K6512">
        <v>0</v>
      </c>
      <c r="L6512">
        <v>815.88</v>
      </c>
    </row>
    <row r="6513" spans="1:12" x14ac:dyDescent="0.25">
      <c r="A6513" t="str">
        <f t="shared" si="1423"/>
        <v>89301000</v>
      </c>
      <c r="B6513" t="str">
        <f t="shared" si="1429"/>
        <v>06539000</v>
      </c>
      <c r="C6513" t="str">
        <f t="shared" si="1427"/>
        <v>06539003</v>
      </c>
      <c r="D6513" t="str">
        <f t="shared" si="1428"/>
        <v>813</v>
      </c>
      <c r="E6513" t="str">
        <f t="shared" si="1430"/>
        <v>89301171</v>
      </c>
      <c r="F6513" t="str">
        <f t="shared" si="1431"/>
        <v>6254237165</v>
      </c>
      <c r="G6513" s="1">
        <v>44717</v>
      </c>
      <c r="H6513" t="str">
        <f t="shared" si="1433"/>
        <v>91197</v>
      </c>
      <c r="I6513">
        <v>1</v>
      </c>
      <c r="J6513">
        <v>1046</v>
      </c>
      <c r="K6513">
        <v>0</v>
      </c>
      <c r="L6513">
        <v>815.88</v>
      </c>
    </row>
    <row r="6514" spans="1:12" x14ac:dyDescent="0.25">
      <c r="A6514" t="str">
        <f t="shared" si="1423"/>
        <v>89301000</v>
      </c>
      <c r="B6514" t="str">
        <f t="shared" si="1429"/>
        <v>06539000</v>
      </c>
      <c r="C6514" t="str">
        <f t="shared" si="1427"/>
        <v>06539003</v>
      </c>
      <c r="D6514" t="str">
        <f t="shared" si="1428"/>
        <v>813</v>
      </c>
      <c r="E6514" t="str">
        <f t="shared" si="1430"/>
        <v>89301171</v>
      </c>
      <c r="F6514" t="str">
        <f t="shared" si="1431"/>
        <v>6254237165</v>
      </c>
      <c r="G6514" s="1">
        <v>44717</v>
      </c>
      <c r="H6514" t="str">
        <f t="shared" si="1433"/>
        <v>91197</v>
      </c>
      <c r="I6514">
        <v>1</v>
      </c>
      <c r="J6514">
        <v>1046</v>
      </c>
      <c r="K6514">
        <v>0</v>
      </c>
      <c r="L6514">
        <v>815.88</v>
      </c>
    </row>
    <row r="6515" spans="1:12" x14ac:dyDescent="0.25">
      <c r="A6515" t="str">
        <f t="shared" si="1423"/>
        <v>89301000</v>
      </c>
      <c r="B6515" t="str">
        <f t="shared" si="1429"/>
        <v>06539000</v>
      </c>
      <c r="C6515" t="str">
        <f t="shared" si="1427"/>
        <v>06539003</v>
      </c>
      <c r="D6515" t="str">
        <f t="shared" si="1428"/>
        <v>813</v>
      </c>
      <c r="E6515" t="str">
        <f t="shared" si="1430"/>
        <v>89301171</v>
      </c>
      <c r="F6515" t="str">
        <f t="shared" si="1431"/>
        <v>6254237165</v>
      </c>
      <c r="G6515" s="1">
        <v>44716</v>
      </c>
      <c r="H6515" t="str">
        <f t="shared" si="1433"/>
        <v>91197</v>
      </c>
      <c r="I6515">
        <v>1</v>
      </c>
      <c r="J6515">
        <v>1046</v>
      </c>
      <c r="K6515">
        <v>0</v>
      </c>
      <c r="L6515">
        <v>815.88</v>
      </c>
    </row>
    <row r="6516" spans="1:12" x14ac:dyDescent="0.25">
      <c r="A6516" t="str">
        <f t="shared" si="1423"/>
        <v>89301000</v>
      </c>
      <c r="B6516" t="str">
        <f t="shared" si="1429"/>
        <v>06539000</v>
      </c>
      <c r="C6516" t="str">
        <f t="shared" si="1427"/>
        <v>06539003</v>
      </c>
      <c r="D6516" t="str">
        <f t="shared" si="1428"/>
        <v>813</v>
      </c>
      <c r="E6516" t="str">
        <f t="shared" si="1430"/>
        <v>89301171</v>
      </c>
      <c r="F6516" t="str">
        <f t="shared" si="1431"/>
        <v>6254237165</v>
      </c>
      <c r="G6516" s="1">
        <v>44716</v>
      </c>
      <c r="H6516" t="str">
        <f t="shared" si="1433"/>
        <v>91197</v>
      </c>
      <c r="I6516">
        <v>1</v>
      </c>
      <c r="J6516">
        <v>1046</v>
      </c>
      <c r="K6516">
        <v>0</v>
      </c>
      <c r="L6516">
        <v>815.88</v>
      </c>
    </row>
    <row r="6517" spans="1:12" x14ac:dyDescent="0.25">
      <c r="A6517" t="str">
        <f t="shared" si="1423"/>
        <v>89301000</v>
      </c>
      <c r="B6517" t="str">
        <f t="shared" si="1429"/>
        <v>06539000</v>
      </c>
      <c r="C6517" t="str">
        <f t="shared" si="1427"/>
        <v>06539003</v>
      </c>
      <c r="D6517" t="str">
        <f t="shared" si="1428"/>
        <v>813</v>
      </c>
      <c r="E6517" t="str">
        <f t="shared" si="1430"/>
        <v>89301171</v>
      </c>
      <c r="F6517" t="str">
        <f t="shared" si="1431"/>
        <v>6254237165</v>
      </c>
      <c r="G6517" s="1">
        <v>44728</v>
      </c>
      <c r="H6517" t="str">
        <f>"91329"</f>
        <v>91329</v>
      </c>
      <c r="I6517">
        <v>2</v>
      </c>
      <c r="J6517">
        <v>428</v>
      </c>
      <c r="K6517">
        <v>0</v>
      </c>
      <c r="L6517">
        <v>333.84</v>
      </c>
    </row>
    <row r="6518" spans="1:12" x14ac:dyDescent="0.25">
      <c r="A6518" t="str">
        <f t="shared" si="1423"/>
        <v>89301000</v>
      </c>
      <c r="B6518" t="str">
        <f t="shared" si="1429"/>
        <v>06539000</v>
      </c>
      <c r="C6518" t="str">
        <f t="shared" si="1427"/>
        <v>06539003</v>
      </c>
      <c r="D6518" t="str">
        <f t="shared" si="1428"/>
        <v>813</v>
      </c>
      <c r="E6518" t="str">
        <f t="shared" si="1430"/>
        <v>89301171</v>
      </c>
      <c r="F6518" t="str">
        <f t="shared" si="1431"/>
        <v>6254237165</v>
      </c>
      <c r="G6518" s="1">
        <v>44728</v>
      </c>
      <c r="H6518" t="str">
        <f>"91329"</f>
        <v>91329</v>
      </c>
      <c r="I6518">
        <v>2</v>
      </c>
      <c r="J6518">
        <v>428</v>
      </c>
      <c r="K6518">
        <v>0</v>
      </c>
      <c r="L6518">
        <v>333.84</v>
      </c>
    </row>
    <row r="6519" spans="1:12" x14ac:dyDescent="0.25">
      <c r="A6519" t="str">
        <f t="shared" si="1423"/>
        <v>89301000</v>
      </c>
      <c r="B6519" t="str">
        <f t="shared" si="1429"/>
        <v>06539000</v>
      </c>
      <c r="C6519" t="str">
        <f t="shared" si="1427"/>
        <v>06539003</v>
      </c>
      <c r="D6519" t="str">
        <f t="shared" si="1428"/>
        <v>813</v>
      </c>
      <c r="E6519" t="str">
        <f t="shared" si="1430"/>
        <v>89301171</v>
      </c>
      <c r="F6519" t="str">
        <f t="shared" si="1431"/>
        <v>6254237165</v>
      </c>
      <c r="G6519" s="1">
        <v>44728</v>
      </c>
      <c r="H6519" t="str">
        <f>"91329"</f>
        <v>91329</v>
      </c>
      <c r="I6519">
        <v>2</v>
      </c>
      <c r="J6519">
        <v>428</v>
      </c>
      <c r="K6519">
        <v>0</v>
      </c>
      <c r="L6519">
        <v>333.84</v>
      </c>
    </row>
    <row r="6520" spans="1:12" x14ac:dyDescent="0.25">
      <c r="A6520" t="str">
        <f t="shared" si="1423"/>
        <v>89301000</v>
      </c>
      <c r="B6520" t="str">
        <f t="shared" si="1429"/>
        <v>06539000</v>
      </c>
      <c r="C6520" t="str">
        <f t="shared" si="1427"/>
        <v>06539003</v>
      </c>
      <c r="D6520" t="str">
        <f t="shared" si="1428"/>
        <v>813</v>
      </c>
      <c r="E6520" t="str">
        <f t="shared" si="1430"/>
        <v>89301171</v>
      </c>
      <c r="F6520" t="str">
        <f t="shared" si="1431"/>
        <v>6254237165</v>
      </c>
      <c r="G6520" s="1">
        <v>44719</v>
      </c>
      <c r="H6520" t="str">
        <f>"91329"</f>
        <v>91329</v>
      </c>
      <c r="I6520">
        <v>2</v>
      </c>
      <c r="J6520">
        <v>428</v>
      </c>
      <c r="K6520">
        <v>0</v>
      </c>
      <c r="L6520">
        <v>333.84</v>
      </c>
    </row>
    <row r="6521" spans="1:12" x14ac:dyDescent="0.25">
      <c r="A6521" t="str">
        <f t="shared" si="1423"/>
        <v>89301000</v>
      </c>
      <c r="B6521" t="str">
        <f t="shared" si="1429"/>
        <v>06539000</v>
      </c>
      <c r="C6521" t="str">
        <f t="shared" si="1427"/>
        <v>06539003</v>
      </c>
      <c r="D6521" t="str">
        <f t="shared" si="1428"/>
        <v>813</v>
      </c>
      <c r="E6521" t="str">
        <f t="shared" si="1430"/>
        <v>89301171</v>
      </c>
      <c r="F6521" t="str">
        <f t="shared" si="1431"/>
        <v>6254237165</v>
      </c>
      <c r="G6521" s="1">
        <v>44719</v>
      </c>
      <c r="H6521" t="str">
        <f>"91129"</f>
        <v>91129</v>
      </c>
      <c r="I6521">
        <v>1</v>
      </c>
      <c r="J6521">
        <v>174</v>
      </c>
      <c r="K6521">
        <v>0</v>
      </c>
      <c r="L6521">
        <v>135.72</v>
      </c>
    </row>
    <row r="6522" spans="1:12" x14ac:dyDescent="0.25">
      <c r="A6522" t="str">
        <f t="shared" si="1423"/>
        <v>89301000</v>
      </c>
      <c r="B6522" t="str">
        <f t="shared" si="1429"/>
        <v>06539000</v>
      </c>
      <c r="C6522" t="str">
        <f t="shared" si="1427"/>
        <v>06539003</v>
      </c>
      <c r="D6522" t="str">
        <f t="shared" si="1428"/>
        <v>813</v>
      </c>
      <c r="E6522" t="str">
        <f t="shared" si="1430"/>
        <v>89301171</v>
      </c>
      <c r="F6522" t="str">
        <f t="shared" si="1431"/>
        <v>6254237165</v>
      </c>
      <c r="G6522" s="1">
        <v>44719</v>
      </c>
      <c r="H6522" t="str">
        <f>"91131"</f>
        <v>91131</v>
      </c>
      <c r="I6522">
        <v>1</v>
      </c>
      <c r="J6522">
        <v>171</v>
      </c>
      <c r="K6522">
        <v>0</v>
      </c>
      <c r="L6522">
        <v>133.38</v>
      </c>
    </row>
    <row r="6523" spans="1:12" x14ac:dyDescent="0.25">
      <c r="A6523" t="str">
        <f t="shared" si="1423"/>
        <v>89301000</v>
      </c>
      <c r="B6523" t="str">
        <f t="shared" si="1429"/>
        <v>06539000</v>
      </c>
      <c r="C6523" t="str">
        <f t="shared" si="1427"/>
        <v>06539003</v>
      </c>
      <c r="D6523" t="str">
        <f t="shared" si="1428"/>
        <v>813</v>
      </c>
      <c r="E6523" t="str">
        <f t="shared" si="1430"/>
        <v>89301171</v>
      </c>
      <c r="F6523" t="str">
        <f t="shared" si="1431"/>
        <v>6254237165</v>
      </c>
      <c r="G6523" s="1">
        <v>44719</v>
      </c>
      <c r="H6523" t="str">
        <f>"91133"</f>
        <v>91133</v>
      </c>
      <c r="I6523">
        <v>1</v>
      </c>
      <c r="J6523">
        <v>176</v>
      </c>
      <c r="K6523">
        <v>0</v>
      </c>
      <c r="L6523">
        <v>137.28</v>
      </c>
    </row>
    <row r="6524" spans="1:12" x14ac:dyDescent="0.25">
      <c r="A6524" t="str">
        <f t="shared" si="1423"/>
        <v>89301000</v>
      </c>
      <c r="B6524" t="str">
        <f t="shared" si="1429"/>
        <v>06539000</v>
      </c>
      <c r="C6524" t="str">
        <f t="shared" si="1427"/>
        <v>06539003</v>
      </c>
      <c r="D6524" t="str">
        <f t="shared" si="1428"/>
        <v>813</v>
      </c>
      <c r="E6524" t="str">
        <f t="shared" si="1430"/>
        <v>89301171</v>
      </c>
      <c r="F6524" t="str">
        <f t="shared" si="1431"/>
        <v>6254237165</v>
      </c>
      <c r="G6524" s="1">
        <v>44719</v>
      </c>
      <c r="H6524" t="str">
        <f>"91171"</f>
        <v>91171</v>
      </c>
      <c r="I6524">
        <v>1</v>
      </c>
      <c r="J6524">
        <v>360</v>
      </c>
      <c r="K6524">
        <v>0</v>
      </c>
      <c r="L6524">
        <v>280.8</v>
      </c>
    </row>
    <row r="6525" spans="1:12" x14ac:dyDescent="0.25">
      <c r="A6525" t="str">
        <f t="shared" si="1423"/>
        <v>89301000</v>
      </c>
      <c r="B6525" t="str">
        <f t="shared" si="1429"/>
        <v>06539000</v>
      </c>
      <c r="C6525" t="str">
        <f t="shared" si="1427"/>
        <v>06539003</v>
      </c>
      <c r="D6525" t="str">
        <f t="shared" si="1428"/>
        <v>813</v>
      </c>
      <c r="E6525" t="str">
        <f t="shared" si="1430"/>
        <v>89301171</v>
      </c>
      <c r="F6525" t="str">
        <f t="shared" si="1431"/>
        <v>6254237165</v>
      </c>
      <c r="G6525" s="1">
        <v>44719</v>
      </c>
      <c r="H6525" t="str">
        <f>"91175"</f>
        <v>91175</v>
      </c>
      <c r="I6525">
        <v>1</v>
      </c>
      <c r="J6525">
        <v>360</v>
      </c>
      <c r="K6525">
        <v>0</v>
      </c>
      <c r="L6525">
        <v>280.8</v>
      </c>
    </row>
    <row r="6526" spans="1:12" x14ac:dyDescent="0.25">
      <c r="A6526" t="str">
        <f t="shared" si="1423"/>
        <v>89301000</v>
      </c>
      <c r="B6526" t="str">
        <f t="shared" si="1429"/>
        <v>06539000</v>
      </c>
      <c r="C6526" t="str">
        <f t="shared" si="1427"/>
        <v>06539003</v>
      </c>
      <c r="D6526" t="str">
        <f t="shared" si="1428"/>
        <v>813</v>
      </c>
      <c r="E6526" t="str">
        <f t="shared" si="1430"/>
        <v>89301171</v>
      </c>
      <c r="F6526" t="str">
        <f t="shared" si="1431"/>
        <v>6254237165</v>
      </c>
      <c r="G6526" s="1">
        <v>44716</v>
      </c>
      <c r="H6526" t="str">
        <f>"91167"</f>
        <v>91167</v>
      </c>
      <c r="I6526">
        <v>1</v>
      </c>
      <c r="J6526">
        <v>425</v>
      </c>
      <c r="K6526">
        <v>0</v>
      </c>
      <c r="L6526">
        <v>331.5</v>
      </c>
    </row>
    <row r="6527" spans="1:12" x14ac:dyDescent="0.25">
      <c r="A6527" t="str">
        <f t="shared" si="1423"/>
        <v>89301000</v>
      </c>
      <c r="B6527" t="str">
        <f t="shared" si="1429"/>
        <v>06539000</v>
      </c>
      <c r="C6527" t="str">
        <f t="shared" si="1427"/>
        <v>06539003</v>
      </c>
      <c r="D6527" t="str">
        <f t="shared" si="1428"/>
        <v>813</v>
      </c>
      <c r="E6527" t="str">
        <f t="shared" si="1430"/>
        <v>89301171</v>
      </c>
      <c r="F6527" t="str">
        <f t="shared" si="1431"/>
        <v>6254237165</v>
      </c>
      <c r="G6527" s="1">
        <v>44716</v>
      </c>
      <c r="H6527" t="str">
        <f>"91169"</f>
        <v>91169</v>
      </c>
      <c r="I6527">
        <v>1</v>
      </c>
      <c r="J6527">
        <v>425</v>
      </c>
      <c r="K6527">
        <v>0</v>
      </c>
      <c r="L6527">
        <v>331.5</v>
      </c>
    </row>
    <row r="6528" spans="1:12" x14ac:dyDescent="0.25">
      <c r="A6528" t="str">
        <f t="shared" si="1423"/>
        <v>89301000</v>
      </c>
      <c r="B6528" t="str">
        <f t="shared" si="1429"/>
        <v>06539000</v>
      </c>
      <c r="C6528" t="str">
        <f>"06539001"</f>
        <v>06539001</v>
      </c>
      <c r="D6528" t="str">
        <f>"801"</f>
        <v>801</v>
      </c>
      <c r="E6528" t="str">
        <f t="shared" si="1430"/>
        <v>89301171</v>
      </c>
      <c r="F6528" t="str">
        <f t="shared" ref="F6528:F6569" si="1434">"7959265303"</f>
        <v>7959265303</v>
      </c>
      <c r="G6528" s="1">
        <v>44715</v>
      </c>
      <c r="H6528" t="str">
        <f>"81329"</f>
        <v>81329</v>
      </c>
      <c r="I6528">
        <v>1</v>
      </c>
      <c r="J6528">
        <v>16</v>
      </c>
      <c r="K6528">
        <v>0</v>
      </c>
      <c r="L6528">
        <v>12.48</v>
      </c>
    </row>
    <row r="6529" spans="1:12" x14ac:dyDescent="0.25">
      <c r="A6529" t="str">
        <f t="shared" si="1423"/>
        <v>89301000</v>
      </c>
      <c r="B6529" t="str">
        <f t="shared" si="1429"/>
        <v>06539000</v>
      </c>
      <c r="C6529" t="str">
        <f>"06539001"</f>
        <v>06539001</v>
      </c>
      <c r="D6529" t="str">
        <f>"801"</f>
        <v>801</v>
      </c>
      <c r="E6529" t="str">
        <f t="shared" si="1430"/>
        <v>89301171</v>
      </c>
      <c r="F6529" t="str">
        <f t="shared" si="1434"/>
        <v>7959265303</v>
      </c>
      <c r="G6529" s="1">
        <v>44715</v>
      </c>
      <c r="H6529" t="str">
        <f>"81331"</f>
        <v>81331</v>
      </c>
      <c r="I6529">
        <v>1</v>
      </c>
      <c r="J6529">
        <v>193</v>
      </c>
      <c r="K6529">
        <v>0</v>
      </c>
      <c r="L6529">
        <v>150.54</v>
      </c>
    </row>
    <row r="6530" spans="1:12" x14ac:dyDescent="0.25">
      <c r="A6530" t="str">
        <f t="shared" ref="A6530:A6593" si="1435">"89301000"</f>
        <v>89301000</v>
      </c>
      <c r="B6530" t="str">
        <f t="shared" si="1429"/>
        <v>06539000</v>
      </c>
      <c r="C6530" t="str">
        <f t="shared" ref="C6530:C6537" si="1436">"06539002"</f>
        <v>06539002</v>
      </c>
      <c r="D6530" t="str">
        <f t="shared" ref="D6530:D6537" si="1437">"802"</f>
        <v>802</v>
      </c>
      <c r="E6530" t="str">
        <f t="shared" si="1430"/>
        <v>89301171</v>
      </c>
      <c r="F6530" t="str">
        <f t="shared" si="1434"/>
        <v>7959265303</v>
      </c>
      <c r="G6530" s="1">
        <v>44715</v>
      </c>
      <c r="H6530" t="str">
        <f t="shared" ref="H6530:H6537" si="1438">"82097"</f>
        <v>82097</v>
      </c>
      <c r="I6530">
        <v>1</v>
      </c>
      <c r="J6530">
        <v>380</v>
      </c>
      <c r="K6530">
        <v>0</v>
      </c>
      <c r="L6530">
        <v>345.8</v>
      </c>
    </row>
    <row r="6531" spans="1:12" x14ac:dyDescent="0.25">
      <c r="A6531" t="str">
        <f t="shared" si="1435"/>
        <v>89301000</v>
      </c>
      <c r="B6531" t="str">
        <f t="shared" si="1429"/>
        <v>06539000</v>
      </c>
      <c r="C6531" t="str">
        <f t="shared" si="1436"/>
        <v>06539002</v>
      </c>
      <c r="D6531" t="str">
        <f t="shared" si="1437"/>
        <v>802</v>
      </c>
      <c r="E6531" t="str">
        <f t="shared" si="1430"/>
        <v>89301171</v>
      </c>
      <c r="F6531" t="str">
        <f t="shared" si="1434"/>
        <v>7959265303</v>
      </c>
      <c r="G6531" s="1">
        <v>44715</v>
      </c>
      <c r="H6531" t="str">
        <f t="shared" si="1438"/>
        <v>82097</v>
      </c>
      <c r="I6531">
        <v>1</v>
      </c>
      <c r="J6531">
        <v>380</v>
      </c>
      <c r="K6531">
        <v>0</v>
      </c>
      <c r="L6531">
        <v>345.8</v>
      </c>
    </row>
    <row r="6532" spans="1:12" x14ac:dyDescent="0.25">
      <c r="A6532" t="str">
        <f t="shared" si="1435"/>
        <v>89301000</v>
      </c>
      <c r="B6532" t="str">
        <f t="shared" si="1429"/>
        <v>06539000</v>
      </c>
      <c r="C6532" t="str">
        <f t="shared" si="1436"/>
        <v>06539002</v>
      </c>
      <c r="D6532" t="str">
        <f t="shared" si="1437"/>
        <v>802</v>
      </c>
      <c r="E6532" t="str">
        <f t="shared" si="1430"/>
        <v>89301171</v>
      </c>
      <c r="F6532" t="str">
        <f t="shared" si="1434"/>
        <v>7959265303</v>
      </c>
      <c r="G6532" s="1">
        <v>44715</v>
      </c>
      <c r="H6532" t="str">
        <f t="shared" si="1438"/>
        <v>82097</v>
      </c>
      <c r="I6532">
        <v>1</v>
      </c>
      <c r="J6532">
        <v>380</v>
      </c>
      <c r="K6532">
        <v>0</v>
      </c>
      <c r="L6532">
        <v>345.8</v>
      </c>
    </row>
    <row r="6533" spans="1:12" x14ac:dyDescent="0.25">
      <c r="A6533" t="str">
        <f t="shared" si="1435"/>
        <v>89301000</v>
      </c>
      <c r="B6533" t="str">
        <f t="shared" ref="B6533:B6564" si="1439">"06539000"</f>
        <v>06539000</v>
      </c>
      <c r="C6533" t="str">
        <f t="shared" si="1436"/>
        <v>06539002</v>
      </c>
      <c r="D6533" t="str">
        <f t="shared" si="1437"/>
        <v>802</v>
      </c>
      <c r="E6533" t="str">
        <f t="shared" ref="E6533:E6569" si="1440">"89301171"</f>
        <v>89301171</v>
      </c>
      <c r="F6533" t="str">
        <f t="shared" si="1434"/>
        <v>7959265303</v>
      </c>
      <c r="G6533" s="1">
        <v>44715</v>
      </c>
      <c r="H6533" t="str">
        <f t="shared" si="1438"/>
        <v>82097</v>
      </c>
      <c r="I6533">
        <v>1</v>
      </c>
      <c r="J6533">
        <v>380</v>
      </c>
      <c r="K6533">
        <v>0</v>
      </c>
      <c r="L6533">
        <v>345.8</v>
      </c>
    </row>
    <row r="6534" spans="1:12" x14ac:dyDescent="0.25">
      <c r="A6534" t="str">
        <f t="shared" si="1435"/>
        <v>89301000</v>
      </c>
      <c r="B6534" t="str">
        <f t="shared" si="1439"/>
        <v>06539000</v>
      </c>
      <c r="C6534" t="str">
        <f t="shared" si="1436"/>
        <v>06539002</v>
      </c>
      <c r="D6534" t="str">
        <f t="shared" si="1437"/>
        <v>802</v>
      </c>
      <c r="E6534" t="str">
        <f t="shared" si="1440"/>
        <v>89301171</v>
      </c>
      <c r="F6534" t="str">
        <f t="shared" si="1434"/>
        <v>7959265303</v>
      </c>
      <c r="G6534" s="1">
        <v>44715</v>
      </c>
      <c r="H6534" t="str">
        <f t="shared" si="1438"/>
        <v>82097</v>
      </c>
      <c r="I6534">
        <v>1</v>
      </c>
      <c r="J6534">
        <v>380</v>
      </c>
      <c r="K6534">
        <v>0</v>
      </c>
      <c r="L6534">
        <v>345.8</v>
      </c>
    </row>
    <row r="6535" spans="1:12" x14ac:dyDescent="0.25">
      <c r="A6535" t="str">
        <f t="shared" si="1435"/>
        <v>89301000</v>
      </c>
      <c r="B6535" t="str">
        <f t="shared" si="1439"/>
        <v>06539000</v>
      </c>
      <c r="C6535" t="str">
        <f t="shared" si="1436"/>
        <v>06539002</v>
      </c>
      <c r="D6535" t="str">
        <f t="shared" si="1437"/>
        <v>802</v>
      </c>
      <c r="E6535" t="str">
        <f t="shared" si="1440"/>
        <v>89301171</v>
      </c>
      <c r="F6535" t="str">
        <f t="shared" si="1434"/>
        <v>7959265303</v>
      </c>
      <c r="G6535" s="1">
        <v>44715</v>
      </c>
      <c r="H6535" t="str">
        <f t="shared" si="1438"/>
        <v>82097</v>
      </c>
      <c r="I6535">
        <v>1</v>
      </c>
      <c r="J6535">
        <v>380</v>
      </c>
      <c r="K6535">
        <v>0</v>
      </c>
      <c r="L6535">
        <v>345.8</v>
      </c>
    </row>
    <row r="6536" spans="1:12" x14ac:dyDescent="0.25">
      <c r="A6536" t="str">
        <f t="shared" si="1435"/>
        <v>89301000</v>
      </c>
      <c r="B6536" t="str">
        <f t="shared" si="1439"/>
        <v>06539000</v>
      </c>
      <c r="C6536" t="str">
        <f t="shared" si="1436"/>
        <v>06539002</v>
      </c>
      <c r="D6536" t="str">
        <f t="shared" si="1437"/>
        <v>802</v>
      </c>
      <c r="E6536" t="str">
        <f t="shared" si="1440"/>
        <v>89301171</v>
      </c>
      <c r="F6536" t="str">
        <f t="shared" si="1434"/>
        <v>7959265303</v>
      </c>
      <c r="G6536" s="1">
        <v>44715</v>
      </c>
      <c r="H6536" t="str">
        <f t="shared" si="1438"/>
        <v>82097</v>
      </c>
      <c r="I6536">
        <v>1</v>
      </c>
      <c r="J6536">
        <v>380</v>
      </c>
      <c r="K6536">
        <v>0</v>
      </c>
      <c r="L6536">
        <v>345.8</v>
      </c>
    </row>
    <row r="6537" spans="1:12" x14ac:dyDescent="0.25">
      <c r="A6537" t="str">
        <f t="shared" si="1435"/>
        <v>89301000</v>
      </c>
      <c r="B6537" t="str">
        <f t="shared" si="1439"/>
        <v>06539000</v>
      </c>
      <c r="C6537" t="str">
        <f t="shared" si="1436"/>
        <v>06539002</v>
      </c>
      <c r="D6537" t="str">
        <f t="shared" si="1437"/>
        <v>802</v>
      </c>
      <c r="E6537" t="str">
        <f t="shared" si="1440"/>
        <v>89301171</v>
      </c>
      <c r="F6537" t="str">
        <f t="shared" si="1434"/>
        <v>7959265303</v>
      </c>
      <c r="G6537" s="1">
        <v>44715</v>
      </c>
      <c r="H6537" t="str">
        <f t="shared" si="1438"/>
        <v>82097</v>
      </c>
      <c r="I6537">
        <v>1</v>
      </c>
      <c r="J6537">
        <v>380</v>
      </c>
      <c r="K6537">
        <v>0</v>
      </c>
      <c r="L6537">
        <v>345.8</v>
      </c>
    </row>
    <row r="6538" spans="1:12" x14ac:dyDescent="0.25">
      <c r="A6538" t="str">
        <f t="shared" si="1435"/>
        <v>89301000</v>
      </c>
      <c r="B6538" t="str">
        <f t="shared" si="1439"/>
        <v>06539000</v>
      </c>
      <c r="C6538" t="str">
        <f t="shared" ref="C6538:C6569" si="1441">"06539003"</f>
        <v>06539003</v>
      </c>
      <c r="D6538" t="str">
        <f t="shared" ref="D6538:D6569" si="1442">"813"</f>
        <v>813</v>
      </c>
      <c r="E6538" t="str">
        <f t="shared" si="1440"/>
        <v>89301171</v>
      </c>
      <c r="F6538" t="str">
        <f t="shared" si="1434"/>
        <v>7959265303</v>
      </c>
      <c r="G6538" s="1">
        <v>44720</v>
      </c>
      <c r="H6538" t="str">
        <f t="shared" ref="H6538:H6547" si="1443">"91413"</f>
        <v>91413</v>
      </c>
      <c r="I6538">
        <v>1</v>
      </c>
      <c r="J6538">
        <v>853</v>
      </c>
      <c r="K6538">
        <v>0</v>
      </c>
      <c r="L6538">
        <v>665.34</v>
      </c>
    </row>
    <row r="6539" spans="1:12" x14ac:dyDescent="0.25">
      <c r="A6539" t="str">
        <f t="shared" si="1435"/>
        <v>89301000</v>
      </c>
      <c r="B6539" t="str">
        <f t="shared" si="1439"/>
        <v>06539000</v>
      </c>
      <c r="C6539" t="str">
        <f t="shared" si="1441"/>
        <v>06539003</v>
      </c>
      <c r="D6539" t="str">
        <f t="shared" si="1442"/>
        <v>813</v>
      </c>
      <c r="E6539" t="str">
        <f t="shared" si="1440"/>
        <v>89301171</v>
      </c>
      <c r="F6539" t="str">
        <f t="shared" si="1434"/>
        <v>7959265303</v>
      </c>
      <c r="G6539" s="1">
        <v>44720</v>
      </c>
      <c r="H6539" t="str">
        <f t="shared" si="1443"/>
        <v>91413</v>
      </c>
      <c r="I6539">
        <v>1</v>
      </c>
      <c r="J6539">
        <v>853</v>
      </c>
      <c r="K6539">
        <v>0</v>
      </c>
      <c r="L6539">
        <v>665.34</v>
      </c>
    </row>
    <row r="6540" spans="1:12" x14ac:dyDescent="0.25">
      <c r="A6540" t="str">
        <f t="shared" si="1435"/>
        <v>89301000</v>
      </c>
      <c r="B6540" t="str">
        <f t="shared" si="1439"/>
        <v>06539000</v>
      </c>
      <c r="C6540" t="str">
        <f t="shared" si="1441"/>
        <v>06539003</v>
      </c>
      <c r="D6540" t="str">
        <f t="shared" si="1442"/>
        <v>813</v>
      </c>
      <c r="E6540" t="str">
        <f t="shared" si="1440"/>
        <v>89301171</v>
      </c>
      <c r="F6540" t="str">
        <f t="shared" si="1434"/>
        <v>7959265303</v>
      </c>
      <c r="G6540" s="1">
        <v>44728</v>
      </c>
      <c r="H6540" t="str">
        <f t="shared" si="1443"/>
        <v>91413</v>
      </c>
      <c r="I6540">
        <v>1</v>
      </c>
      <c r="J6540">
        <v>853</v>
      </c>
      <c r="K6540">
        <v>0</v>
      </c>
      <c r="L6540">
        <v>665.34</v>
      </c>
    </row>
    <row r="6541" spans="1:12" x14ac:dyDescent="0.25">
      <c r="A6541" t="str">
        <f t="shared" si="1435"/>
        <v>89301000</v>
      </c>
      <c r="B6541" t="str">
        <f t="shared" si="1439"/>
        <v>06539000</v>
      </c>
      <c r="C6541" t="str">
        <f t="shared" si="1441"/>
        <v>06539003</v>
      </c>
      <c r="D6541" t="str">
        <f t="shared" si="1442"/>
        <v>813</v>
      </c>
      <c r="E6541" t="str">
        <f t="shared" si="1440"/>
        <v>89301171</v>
      </c>
      <c r="F6541" t="str">
        <f t="shared" si="1434"/>
        <v>7959265303</v>
      </c>
      <c r="G6541" s="1">
        <v>44728</v>
      </c>
      <c r="H6541" t="str">
        <f t="shared" si="1443"/>
        <v>91413</v>
      </c>
      <c r="I6541">
        <v>1</v>
      </c>
      <c r="J6541">
        <v>853</v>
      </c>
      <c r="K6541">
        <v>0</v>
      </c>
      <c r="L6541">
        <v>665.34</v>
      </c>
    </row>
    <row r="6542" spans="1:12" x14ac:dyDescent="0.25">
      <c r="A6542" t="str">
        <f t="shared" si="1435"/>
        <v>89301000</v>
      </c>
      <c r="B6542" t="str">
        <f t="shared" si="1439"/>
        <v>06539000</v>
      </c>
      <c r="C6542" t="str">
        <f t="shared" si="1441"/>
        <v>06539003</v>
      </c>
      <c r="D6542" t="str">
        <f t="shared" si="1442"/>
        <v>813</v>
      </c>
      <c r="E6542" t="str">
        <f t="shared" si="1440"/>
        <v>89301171</v>
      </c>
      <c r="F6542" t="str">
        <f t="shared" si="1434"/>
        <v>7959265303</v>
      </c>
      <c r="G6542" s="1">
        <v>44727</v>
      </c>
      <c r="H6542" t="str">
        <f t="shared" si="1443"/>
        <v>91413</v>
      </c>
      <c r="I6542">
        <v>1</v>
      </c>
      <c r="J6542">
        <v>853</v>
      </c>
      <c r="K6542">
        <v>0</v>
      </c>
      <c r="L6542">
        <v>665.34</v>
      </c>
    </row>
    <row r="6543" spans="1:12" x14ac:dyDescent="0.25">
      <c r="A6543" t="str">
        <f t="shared" si="1435"/>
        <v>89301000</v>
      </c>
      <c r="B6543" t="str">
        <f t="shared" si="1439"/>
        <v>06539000</v>
      </c>
      <c r="C6543" t="str">
        <f t="shared" si="1441"/>
        <v>06539003</v>
      </c>
      <c r="D6543" t="str">
        <f t="shared" si="1442"/>
        <v>813</v>
      </c>
      <c r="E6543" t="str">
        <f t="shared" si="1440"/>
        <v>89301171</v>
      </c>
      <c r="F6543" t="str">
        <f t="shared" si="1434"/>
        <v>7959265303</v>
      </c>
      <c r="G6543" s="1">
        <v>44727</v>
      </c>
      <c r="H6543" t="str">
        <f t="shared" si="1443"/>
        <v>91413</v>
      </c>
      <c r="I6543">
        <v>1</v>
      </c>
      <c r="J6543">
        <v>853</v>
      </c>
      <c r="K6543">
        <v>0</v>
      </c>
      <c r="L6543">
        <v>665.34</v>
      </c>
    </row>
    <row r="6544" spans="1:12" x14ac:dyDescent="0.25">
      <c r="A6544" t="str">
        <f t="shared" si="1435"/>
        <v>89301000</v>
      </c>
      <c r="B6544" t="str">
        <f t="shared" si="1439"/>
        <v>06539000</v>
      </c>
      <c r="C6544" t="str">
        <f t="shared" si="1441"/>
        <v>06539003</v>
      </c>
      <c r="D6544" t="str">
        <f t="shared" si="1442"/>
        <v>813</v>
      </c>
      <c r="E6544" t="str">
        <f t="shared" si="1440"/>
        <v>89301171</v>
      </c>
      <c r="F6544" t="str">
        <f t="shared" si="1434"/>
        <v>7959265303</v>
      </c>
      <c r="G6544" s="1">
        <v>44728</v>
      </c>
      <c r="H6544" t="str">
        <f t="shared" si="1443"/>
        <v>91413</v>
      </c>
      <c r="I6544">
        <v>1</v>
      </c>
      <c r="J6544">
        <v>853</v>
      </c>
      <c r="K6544">
        <v>0</v>
      </c>
      <c r="L6544">
        <v>665.34</v>
      </c>
    </row>
    <row r="6545" spans="1:12" x14ac:dyDescent="0.25">
      <c r="A6545" t="str">
        <f t="shared" si="1435"/>
        <v>89301000</v>
      </c>
      <c r="B6545" t="str">
        <f t="shared" si="1439"/>
        <v>06539000</v>
      </c>
      <c r="C6545" t="str">
        <f t="shared" si="1441"/>
        <v>06539003</v>
      </c>
      <c r="D6545" t="str">
        <f t="shared" si="1442"/>
        <v>813</v>
      </c>
      <c r="E6545" t="str">
        <f t="shared" si="1440"/>
        <v>89301171</v>
      </c>
      <c r="F6545" t="str">
        <f t="shared" si="1434"/>
        <v>7959265303</v>
      </c>
      <c r="G6545" s="1">
        <v>44728</v>
      </c>
      <c r="H6545" t="str">
        <f t="shared" si="1443"/>
        <v>91413</v>
      </c>
      <c r="I6545">
        <v>1</v>
      </c>
      <c r="J6545">
        <v>853</v>
      </c>
      <c r="K6545">
        <v>0</v>
      </c>
      <c r="L6545">
        <v>665.34</v>
      </c>
    </row>
    <row r="6546" spans="1:12" x14ac:dyDescent="0.25">
      <c r="A6546" t="str">
        <f t="shared" si="1435"/>
        <v>89301000</v>
      </c>
      <c r="B6546" t="str">
        <f t="shared" si="1439"/>
        <v>06539000</v>
      </c>
      <c r="C6546" t="str">
        <f t="shared" si="1441"/>
        <v>06539003</v>
      </c>
      <c r="D6546" t="str">
        <f t="shared" si="1442"/>
        <v>813</v>
      </c>
      <c r="E6546" t="str">
        <f t="shared" si="1440"/>
        <v>89301171</v>
      </c>
      <c r="F6546" t="str">
        <f t="shared" si="1434"/>
        <v>7959265303</v>
      </c>
      <c r="G6546" s="1">
        <v>44728</v>
      </c>
      <c r="H6546" t="str">
        <f t="shared" si="1443"/>
        <v>91413</v>
      </c>
      <c r="I6546">
        <v>1</v>
      </c>
      <c r="J6546">
        <v>853</v>
      </c>
      <c r="K6546">
        <v>0</v>
      </c>
      <c r="L6546">
        <v>665.34</v>
      </c>
    </row>
    <row r="6547" spans="1:12" x14ac:dyDescent="0.25">
      <c r="A6547" t="str">
        <f t="shared" si="1435"/>
        <v>89301000</v>
      </c>
      <c r="B6547" t="str">
        <f t="shared" si="1439"/>
        <v>06539000</v>
      </c>
      <c r="C6547" t="str">
        <f t="shared" si="1441"/>
        <v>06539003</v>
      </c>
      <c r="D6547" t="str">
        <f t="shared" si="1442"/>
        <v>813</v>
      </c>
      <c r="E6547" t="str">
        <f t="shared" si="1440"/>
        <v>89301171</v>
      </c>
      <c r="F6547" t="str">
        <f t="shared" si="1434"/>
        <v>7959265303</v>
      </c>
      <c r="G6547" s="1">
        <v>44728</v>
      </c>
      <c r="H6547" t="str">
        <f t="shared" si="1443"/>
        <v>91413</v>
      </c>
      <c r="I6547">
        <v>1</v>
      </c>
      <c r="J6547">
        <v>853</v>
      </c>
      <c r="K6547">
        <v>0</v>
      </c>
      <c r="L6547">
        <v>665.34</v>
      </c>
    </row>
    <row r="6548" spans="1:12" x14ac:dyDescent="0.25">
      <c r="A6548" t="str">
        <f t="shared" si="1435"/>
        <v>89301000</v>
      </c>
      <c r="B6548" t="str">
        <f t="shared" si="1439"/>
        <v>06539000</v>
      </c>
      <c r="C6548" t="str">
        <f t="shared" si="1441"/>
        <v>06539003</v>
      </c>
      <c r="D6548" t="str">
        <f t="shared" si="1442"/>
        <v>813</v>
      </c>
      <c r="E6548" t="str">
        <f t="shared" si="1440"/>
        <v>89301171</v>
      </c>
      <c r="F6548" t="str">
        <f t="shared" si="1434"/>
        <v>7959265303</v>
      </c>
      <c r="G6548" s="1">
        <v>44715</v>
      </c>
      <c r="H6548" t="str">
        <f t="shared" ref="H6548:H6554" si="1444">"91197"</f>
        <v>91197</v>
      </c>
      <c r="I6548">
        <v>1</v>
      </c>
      <c r="J6548">
        <v>1046</v>
      </c>
      <c r="K6548">
        <v>0</v>
      </c>
      <c r="L6548">
        <v>815.88</v>
      </c>
    </row>
    <row r="6549" spans="1:12" x14ac:dyDescent="0.25">
      <c r="A6549" t="str">
        <f t="shared" si="1435"/>
        <v>89301000</v>
      </c>
      <c r="B6549" t="str">
        <f t="shared" si="1439"/>
        <v>06539000</v>
      </c>
      <c r="C6549" t="str">
        <f t="shared" si="1441"/>
        <v>06539003</v>
      </c>
      <c r="D6549" t="str">
        <f t="shared" si="1442"/>
        <v>813</v>
      </c>
      <c r="E6549" t="str">
        <f t="shared" si="1440"/>
        <v>89301171</v>
      </c>
      <c r="F6549" t="str">
        <f t="shared" si="1434"/>
        <v>7959265303</v>
      </c>
      <c r="G6549" s="1">
        <v>44718</v>
      </c>
      <c r="H6549" t="str">
        <f t="shared" si="1444"/>
        <v>91197</v>
      </c>
      <c r="I6549">
        <v>1</v>
      </c>
      <c r="J6549">
        <v>1046</v>
      </c>
      <c r="K6549">
        <v>0</v>
      </c>
      <c r="L6549">
        <v>815.88</v>
      </c>
    </row>
    <row r="6550" spans="1:12" x14ac:dyDescent="0.25">
      <c r="A6550" t="str">
        <f t="shared" si="1435"/>
        <v>89301000</v>
      </c>
      <c r="B6550" t="str">
        <f t="shared" si="1439"/>
        <v>06539000</v>
      </c>
      <c r="C6550" t="str">
        <f t="shared" si="1441"/>
        <v>06539003</v>
      </c>
      <c r="D6550" t="str">
        <f t="shared" si="1442"/>
        <v>813</v>
      </c>
      <c r="E6550" t="str">
        <f t="shared" si="1440"/>
        <v>89301171</v>
      </c>
      <c r="F6550" t="str">
        <f t="shared" si="1434"/>
        <v>7959265303</v>
      </c>
      <c r="G6550" s="1">
        <v>44718</v>
      </c>
      <c r="H6550" t="str">
        <f t="shared" si="1444"/>
        <v>91197</v>
      </c>
      <c r="I6550">
        <v>1</v>
      </c>
      <c r="J6550">
        <v>1046</v>
      </c>
      <c r="K6550">
        <v>0</v>
      </c>
      <c r="L6550">
        <v>815.88</v>
      </c>
    </row>
    <row r="6551" spans="1:12" x14ac:dyDescent="0.25">
      <c r="A6551" t="str">
        <f t="shared" si="1435"/>
        <v>89301000</v>
      </c>
      <c r="B6551" t="str">
        <f t="shared" si="1439"/>
        <v>06539000</v>
      </c>
      <c r="C6551" t="str">
        <f t="shared" si="1441"/>
        <v>06539003</v>
      </c>
      <c r="D6551" t="str">
        <f t="shared" si="1442"/>
        <v>813</v>
      </c>
      <c r="E6551" t="str">
        <f t="shared" si="1440"/>
        <v>89301171</v>
      </c>
      <c r="F6551" t="str">
        <f t="shared" si="1434"/>
        <v>7959265303</v>
      </c>
      <c r="G6551" s="1">
        <v>44717</v>
      </c>
      <c r="H6551" t="str">
        <f t="shared" si="1444"/>
        <v>91197</v>
      </c>
      <c r="I6551">
        <v>1</v>
      </c>
      <c r="J6551">
        <v>1046</v>
      </c>
      <c r="K6551">
        <v>0</v>
      </c>
      <c r="L6551">
        <v>815.88</v>
      </c>
    </row>
    <row r="6552" spans="1:12" x14ac:dyDescent="0.25">
      <c r="A6552" t="str">
        <f t="shared" si="1435"/>
        <v>89301000</v>
      </c>
      <c r="B6552" t="str">
        <f t="shared" si="1439"/>
        <v>06539000</v>
      </c>
      <c r="C6552" t="str">
        <f t="shared" si="1441"/>
        <v>06539003</v>
      </c>
      <c r="D6552" t="str">
        <f t="shared" si="1442"/>
        <v>813</v>
      </c>
      <c r="E6552" t="str">
        <f t="shared" si="1440"/>
        <v>89301171</v>
      </c>
      <c r="F6552" t="str">
        <f t="shared" si="1434"/>
        <v>7959265303</v>
      </c>
      <c r="G6552" s="1">
        <v>44717</v>
      </c>
      <c r="H6552" t="str">
        <f t="shared" si="1444"/>
        <v>91197</v>
      </c>
      <c r="I6552">
        <v>1</v>
      </c>
      <c r="J6552">
        <v>1046</v>
      </c>
      <c r="K6552">
        <v>0</v>
      </c>
      <c r="L6552">
        <v>815.88</v>
      </c>
    </row>
    <row r="6553" spans="1:12" x14ac:dyDescent="0.25">
      <c r="A6553" t="str">
        <f t="shared" si="1435"/>
        <v>89301000</v>
      </c>
      <c r="B6553" t="str">
        <f t="shared" si="1439"/>
        <v>06539000</v>
      </c>
      <c r="C6553" t="str">
        <f t="shared" si="1441"/>
        <v>06539003</v>
      </c>
      <c r="D6553" t="str">
        <f t="shared" si="1442"/>
        <v>813</v>
      </c>
      <c r="E6553" t="str">
        <f t="shared" si="1440"/>
        <v>89301171</v>
      </c>
      <c r="F6553" t="str">
        <f t="shared" si="1434"/>
        <v>7959265303</v>
      </c>
      <c r="G6553" s="1">
        <v>44716</v>
      </c>
      <c r="H6553" t="str">
        <f t="shared" si="1444"/>
        <v>91197</v>
      </c>
      <c r="I6553">
        <v>1</v>
      </c>
      <c r="J6553">
        <v>1046</v>
      </c>
      <c r="K6553">
        <v>0</v>
      </c>
      <c r="L6553">
        <v>815.88</v>
      </c>
    </row>
    <row r="6554" spans="1:12" x14ac:dyDescent="0.25">
      <c r="A6554" t="str">
        <f t="shared" si="1435"/>
        <v>89301000</v>
      </c>
      <c r="B6554" t="str">
        <f t="shared" si="1439"/>
        <v>06539000</v>
      </c>
      <c r="C6554" t="str">
        <f t="shared" si="1441"/>
        <v>06539003</v>
      </c>
      <c r="D6554" t="str">
        <f t="shared" si="1442"/>
        <v>813</v>
      </c>
      <c r="E6554" t="str">
        <f t="shared" si="1440"/>
        <v>89301171</v>
      </c>
      <c r="F6554" t="str">
        <f t="shared" si="1434"/>
        <v>7959265303</v>
      </c>
      <c r="G6554" s="1">
        <v>44716</v>
      </c>
      <c r="H6554" t="str">
        <f t="shared" si="1444"/>
        <v>91197</v>
      </c>
      <c r="I6554">
        <v>1</v>
      </c>
      <c r="J6554">
        <v>1046</v>
      </c>
      <c r="K6554">
        <v>0</v>
      </c>
      <c r="L6554">
        <v>815.88</v>
      </c>
    </row>
    <row r="6555" spans="1:12" x14ac:dyDescent="0.25">
      <c r="A6555" t="str">
        <f t="shared" si="1435"/>
        <v>89301000</v>
      </c>
      <c r="B6555" t="str">
        <f t="shared" si="1439"/>
        <v>06539000</v>
      </c>
      <c r="C6555" t="str">
        <f t="shared" si="1441"/>
        <v>06539003</v>
      </c>
      <c r="D6555" t="str">
        <f t="shared" si="1442"/>
        <v>813</v>
      </c>
      <c r="E6555" t="str">
        <f t="shared" si="1440"/>
        <v>89301171</v>
      </c>
      <c r="F6555" t="str">
        <f t="shared" si="1434"/>
        <v>7959265303</v>
      </c>
      <c r="G6555" s="1">
        <v>44728</v>
      </c>
      <c r="H6555" t="str">
        <f>"91329"</f>
        <v>91329</v>
      </c>
      <c r="I6555">
        <v>2</v>
      </c>
      <c r="J6555">
        <v>428</v>
      </c>
      <c r="K6555">
        <v>0</v>
      </c>
      <c r="L6555">
        <v>333.84</v>
      </c>
    </row>
    <row r="6556" spans="1:12" x14ac:dyDescent="0.25">
      <c r="A6556" t="str">
        <f t="shared" si="1435"/>
        <v>89301000</v>
      </c>
      <c r="B6556" t="str">
        <f t="shared" si="1439"/>
        <v>06539000</v>
      </c>
      <c r="C6556" t="str">
        <f t="shared" si="1441"/>
        <v>06539003</v>
      </c>
      <c r="D6556" t="str">
        <f t="shared" si="1442"/>
        <v>813</v>
      </c>
      <c r="E6556" t="str">
        <f t="shared" si="1440"/>
        <v>89301171</v>
      </c>
      <c r="F6556" t="str">
        <f t="shared" si="1434"/>
        <v>7959265303</v>
      </c>
      <c r="G6556" s="1">
        <v>44728</v>
      </c>
      <c r="H6556" t="str">
        <f>"91329"</f>
        <v>91329</v>
      </c>
      <c r="I6556">
        <v>2</v>
      </c>
      <c r="J6556">
        <v>428</v>
      </c>
      <c r="K6556">
        <v>0</v>
      </c>
      <c r="L6556">
        <v>333.84</v>
      </c>
    </row>
    <row r="6557" spans="1:12" x14ac:dyDescent="0.25">
      <c r="A6557" t="str">
        <f t="shared" si="1435"/>
        <v>89301000</v>
      </c>
      <c r="B6557" t="str">
        <f t="shared" si="1439"/>
        <v>06539000</v>
      </c>
      <c r="C6557" t="str">
        <f t="shared" si="1441"/>
        <v>06539003</v>
      </c>
      <c r="D6557" t="str">
        <f t="shared" si="1442"/>
        <v>813</v>
      </c>
      <c r="E6557" t="str">
        <f t="shared" si="1440"/>
        <v>89301171</v>
      </c>
      <c r="F6557" t="str">
        <f t="shared" si="1434"/>
        <v>7959265303</v>
      </c>
      <c r="G6557" s="1">
        <v>44728</v>
      </c>
      <c r="H6557" t="str">
        <f>"91329"</f>
        <v>91329</v>
      </c>
      <c r="I6557">
        <v>2</v>
      </c>
      <c r="J6557">
        <v>428</v>
      </c>
      <c r="K6557">
        <v>0</v>
      </c>
      <c r="L6557">
        <v>333.84</v>
      </c>
    </row>
    <row r="6558" spans="1:12" x14ac:dyDescent="0.25">
      <c r="A6558" t="str">
        <f t="shared" si="1435"/>
        <v>89301000</v>
      </c>
      <c r="B6558" t="str">
        <f t="shared" si="1439"/>
        <v>06539000</v>
      </c>
      <c r="C6558" t="str">
        <f t="shared" si="1441"/>
        <v>06539003</v>
      </c>
      <c r="D6558" t="str">
        <f t="shared" si="1442"/>
        <v>813</v>
      </c>
      <c r="E6558" t="str">
        <f t="shared" si="1440"/>
        <v>89301171</v>
      </c>
      <c r="F6558" t="str">
        <f t="shared" si="1434"/>
        <v>7959265303</v>
      </c>
      <c r="G6558" s="1">
        <v>44728</v>
      </c>
      <c r="H6558" t="str">
        <f>"91329"</f>
        <v>91329</v>
      </c>
      <c r="I6558">
        <v>2</v>
      </c>
      <c r="J6558">
        <v>428</v>
      </c>
      <c r="K6558">
        <v>0</v>
      </c>
      <c r="L6558">
        <v>333.84</v>
      </c>
    </row>
    <row r="6559" spans="1:12" x14ac:dyDescent="0.25">
      <c r="A6559" t="str">
        <f t="shared" si="1435"/>
        <v>89301000</v>
      </c>
      <c r="B6559" t="str">
        <f t="shared" si="1439"/>
        <v>06539000</v>
      </c>
      <c r="C6559" t="str">
        <f t="shared" si="1441"/>
        <v>06539003</v>
      </c>
      <c r="D6559" t="str">
        <f t="shared" si="1442"/>
        <v>813</v>
      </c>
      <c r="E6559" t="str">
        <f t="shared" si="1440"/>
        <v>89301171</v>
      </c>
      <c r="F6559" t="str">
        <f t="shared" si="1434"/>
        <v>7959265303</v>
      </c>
      <c r="G6559" s="1">
        <v>44719</v>
      </c>
      <c r="H6559" t="str">
        <f>"91129"</f>
        <v>91129</v>
      </c>
      <c r="I6559">
        <v>1</v>
      </c>
      <c r="J6559">
        <v>174</v>
      </c>
      <c r="K6559">
        <v>0</v>
      </c>
      <c r="L6559">
        <v>135.72</v>
      </c>
    </row>
    <row r="6560" spans="1:12" x14ac:dyDescent="0.25">
      <c r="A6560" t="str">
        <f t="shared" si="1435"/>
        <v>89301000</v>
      </c>
      <c r="B6560" t="str">
        <f t="shared" si="1439"/>
        <v>06539000</v>
      </c>
      <c r="C6560" t="str">
        <f t="shared" si="1441"/>
        <v>06539003</v>
      </c>
      <c r="D6560" t="str">
        <f t="shared" si="1442"/>
        <v>813</v>
      </c>
      <c r="E6560" t="str">
        <f t="shared" si="1440"/>
        <v>89301171</v>
      </c>
      <c r="F6560" t="str">
        <f t="shared" si="1434"/>
        <v>7959265303</v>
      </c>
      <c r="G6560" s="1">
        <v>44719</v>
      </c>
      <c r="H6560" t="str">
        <f>"91131"</f>
        <v>91131</v>
      </c>
      <c r="I6560">
        <v>1</v>
      </c>
      <c r="J6560">
        <v>171</v>
      </c>
      <c r="K6560">
        <v>0</v>
      </c>
      <c r="L6560">
        <v>133.38</v>
      </c>
    </row>
    <row r="6561" spans="1:12" x14ac:dyDescent="0.25">
      <c r="A6561" t="str">
        <f t="shared" si="1435"/>
        <v>89301000</v>
      </c>
      <c r="B6561" t="str">
        <f t="shared" si="1439"/>
        <v>06539000</v>
      </c>
      <c r="C6561" t="str">
        <f t="shared" si="1441"/>
        <v>06539003</v>
      </c>
      <c r="D6561" t="str">
        <f t="shared" si="1442"/>
        <v>813</v>
      </c>
      <c r="E6561" t="str">
        <f t="shared" si="1440"/>
        <v>89301171</v>
      </c>
      <c r="F6561" t="str">
        <f t="shared" si="1434"/>
        <v>7959265303</v>
      </c>
      <c r="G6561" s="1">
        <v>44719</v>
      </c>
      <c r="H6561" t="str">
        <f>"91133"</f>
        <v>91133</v>
      </c>
      <c r="I6561">
        <v>1</v>
      </c>
      <c r="J6561">
        <v>176</v>
      </c>
      <c r="K6561">
        <v>0</v>
      </c>
      <c r="L6561">
        <v>137.28</v>
      </c>
    </row>
    <row r="6562" spans="1:12" x14ac:dyDescent="0.25">
      <c r="A6562" t="str">
        <f t="shared" si="1435"/>
        <v>89301000</v>
      </c>
      <c r="B6562" t="str">
        <f t="shared" si="1439"/>
        <v>06539000</v>
      </c>
      <c r="C6562" t="str">
        <f t="shared" si="1441"/>
        <v>06539003</v>
      </c>
      <c r="D6562" t="str">
        <f t="shared" si="1442"/>
        <v>813</v>
      </c>
      <c r="E6562" t="str">
        <f t="shared" si="1440"/>
        <v>89301171</v>
      </c>
      <c r="F6562" t="str">
        <f t="shared" si="1434"/>
        <v>7959265303</v>
      </c>
      <c r="G6562" s="1">
        <v>44719</v>
      </c>
      <c r="H6562" t="str">
        <f>"91171"</f>
        <v>91171</v>
      </c>
      <c r="I6562">
        <v>1</v>
      </c>
      <c r="J6562">
        <v>360</v>
      </c>
      <c r="K6562">
        <v>0</v>
      </c>
      <c r="L6562">
        <v>280.8</v>
      </c>
    </row>
    <row r="6563" spans="1:12" x14ac:dyDescent="0.25">
      <c r="A6563" t="str">
        <f t="shared" si="1435"/>
        <v>89301000</v>
      </c>
      <c r="B6563" t="str">
        <f t="shared" si="1439"/>
        <v>06539000</v>
      </c>
      <c r="C6563" t="str">
        <f t="shared" si="1441"/>
        <v>06539003</v>
      </c>
      <c r="D6563" t="str">
        <f t="shared" si="1442"/>
        <v>813</v>
      </c>
      <c r="E6563" t="str">
        <f t="shared" si="1440"/>
        <v>89301171</v>
      </c>
      <c r="F6563" t="str">
        <f t="shared" si="1434"/>
        <v>7959265303</v>
      </c>
      <c r="G6563" s="1">
        <v>44715</v>
      </c>
      <c r="H6563" t="str">
        <f>"91173"</f>
        <v>91173</v>
      </c>
      <c r="I6563">
        <v>1</v>
      </c>
      <c r="J6563">
        <v>335</v>
      </c>
      <c r="K6563">
        <v>0</v>
      </c>
      <c r="L6563">
        <v>261.3</v>
      </c>
    </row>
    <row r="6564" spans="1:12" x14ac:dyDescent="0.25">
      <c r="A6564" t="str">
        <f t="shared" si="1435"/>
        <v>89301000</v>
      </c>
      <c r="B6564" t="str">
        <f t="shared" si="1439"/>
        <v>06539000</v>
      </c>
      <c r="C6564" t="str">
        <f t="shared" si="1441"/>
        <v>06539003</v>
      </c>
      <c r="D6564" t="str">
        <f t="shared" si="1442"/>
        <v>813</v>
      </c>
      <c r="E6564" t="str">
        <f t="shared" si="1440"/>
        <v>89301171</v>
      </c>
      <c r="F6564" t="str">
        <f t="shared" si="1434"/>
        <v>7959265303</v>
      </c>
      <c r="G6564" s="1">
        <v>44719</v>
      </c>
      <c r="H6564" t="str">
        <f>"91175"</f>
        <v>91175</v>
      </c>
      <c r="I6564">
        <v>1</v>
      </c>
      <c r="J6564">
        <v>360</v>
      </c>
      <c r="K6564">
        <v>0</v>
      </c>
      <c r="L6564">
        <v>280.8</v>
      </c>
    </row>
    <row r="6565" spans="1:12" x14ac:dyDescent="0.25">
      <c r="A6565" t="str">
        <f t="shared" si="1435"/>
        <v>89301000</v>
      </c>
      <c r="B6565" t="str">
        <f t="shared" ref="B6565:B6596" si="1445">"06539000"</f>
        <v>06539000</v>
      </c>
      <c r="C6565" t="str">
        <f t="shared" si="1441"/>
        <v>06539003</v>
      </c>
      <c r="D6565" t="str">
        <f t="shared" si="1442"/>
        <v>813</v>
      </c>
      <c r="E6565" t="str">
        <f t="shared" si="1440"/>
        <v>89301171</v>
      </c>
      <c r="F6565" t="str">
        <f t="shared" si="1434"/>
        <v>7959265303</v>
      </c>
      <c r="G6565" s="1">
        <v>44716</v>
      </c>
      <c r="H6565" t="str">
        <f>"91167"</f>
        <v>91167</v>
      </c>
      <c r="I6565">
        <v>1</v>
      </c>
      <c r="J6565">
        <v>425</v>
      </c>
      <c r="K6565">
        <v>0</v>
      </c>
      <c r="L6565">
        <v>331.5</v>
      </c>
    </row>
    <row r="6566" spans="1:12" x14ac:dyDescent="0.25">
      <c r="A6566" t="str">
        <f t="shared" si="1435"/>
        <v>89301000</v>
      </c>
      <c r="B6566" t="str">
        <f t="shared" si="1445"/>
        <v>06539000</v>
      </c>
      <c r="C6566" t="str">
        <f t="shared" si="1441"/>
        <v>06539003</v>
      </c>
      <c r="D6566" t="str">
        <f t="shared" si="1442"/>
        <v>813</v>
      </c>
      <c r="E6566" t="str">
        <f t="shared" si="1440"/>
        <v>89301171</v>
      </c>
      <c r="F6566" t="str">
        <f t="shared" si="1434"/>
        <v>7959265303</v>
      </c>
      <c r="G6566" s="1">
        <v>44716</v>
      </c>
      <c r="H6566" t="str">
        <f>"91169"</f>
        <v>91169</v>
      </c>
      <c r="I6566">
        <v>1</v>
      </c>
      <c r="J6566">
        <v>425</v>
      </c>
      <c r="K6566">
        <v>0</v>
      </c>
      <c r="L6566">
        <v>331.5</v>
      </c>
    </row>
    <row r="6567" spans="1:12" x14ac:dyDescent="0.25">
      <c r="A6567" t="str">
        <f t="shared" si="1435"/>
        <v>89301000</v>
      </c>
      <c r="B6567" t="str">
        <f t="shared" si="1445"/>
        <v>06539000</v>
      </c>
      <c r="C6567" t="str">
        <f t="shared" si="1441"/>
        <v>06539003</v>
      </c>
      <c r="D6567" t="str">
        <f t="shared" si="1442"/>
        <v>813</v>
      </c>
      <c r="E6567" t="str">
        <f t="shared" si="1440"/>
        <v>89301171</v>
      </c>
      <c r="F6567" t="str">
        <f t="shared" si="1434"/>
        <v>7959265303</v>
      </c>
      <c r="G6567" s="1">
        <v>44715</v>
      </c>
      <c r="H6567" t="str">
        <f>"91167"</f>
        <v>91167</v>
      </c>
      <c r="I6567">
        <v>1</v>
      </c>
      <c r="J6567">
        <v>425</v>
      </c>
      <c r="K6567">
        <v>0</v>
      </c>
      <c r="L6567">
        <v>331.5</v>
      </c>
    </row>
    <row r="6568" spans="1:12" x14ac:dyDescent="0.25">
      <c r="A6568" t="str">
        <f t="shared" si="1435"/>
        <v>89301000</v>
      </c>
      <c r="B6568" t="str">
        <f t="shared" si="1445"/>
        <v>06539000</v>
      </c>
      <c r="C6568" t="str">
        <f t="shared" si="1441"/>
        <v>06539003</v>
      </c>
      <c r="D6568" t="str">
        <f t="shared" si="1442"/>
        <v>813</v>
      </c>
      <c r="E6568" t="str">
        <f t="shared" si="1440"/>
        <v>89301171</v>
      </c>
      <c r="F6568" t="str">
        <f t="shared" si="1434"/>
        <v>7959265303</v>
      </c>
      <c r="G6568" s="1">
        <v>44715</v>
      </c>
      <c r="H6568" t="str">
        <f>"91169"</f>
        <v>91169</v>
      </c>
      <c r="I6568">
        <v>1</v>
      </c>
      <c r="J6568">
        <v>425</v>
      </c>
      <c r="K6568">
        <v>0</v>
      </c>
      <c r="L6568">
        <v>331.5</v>
      </c>
    </row>
    <row r="6569" spans="1:12" x14ac:dyDescent="0.25">
      <c r="A6569" t="str">
        <f t="shared" si="1435"/>
        <v>89301000</v>
      </c>
      <c r="B6569" t="str">
        <f t="shared" si="1445"/>
        <v>06539000</v>
      </c>
      <c r="C6569" t="str">
        <f t="shared" si="1441"/>
        <v>06539003</v>
      </c>
      <c r="D6569" t="str">
        <f t="shared" si="1442"/>
        <v>813</v>
      </c>
      <c r="E6569" t="str">
        <f t="shared" si="1440"/>
        <v>89301171</v>
      </c>
      <c r="F6569" t="str">
        <f t="shared" si="1434"/>
        <v>7959265303</v>
      </c>
      <c r="G6569" s="1">
        <v>44715</v>
      </c>
      <c r="H6569" t="str">
        <f>"91475"</f>
        <v>91475</v>
      </c>
      <c r="I6569">
        <v>1</v>
      </c>
      <c r="J6569">
        <v>206</v>
      </c>
      <c r="K6569">
        <v>0</v>
      </c>
      <c r="L6569">
        <v>160.68</v>
      </c>
    </row>
    <row r="6570" spans="1:12" x14ac:dyDescent="0.25">
      <c r="A6570" t="str">
        <f t="shared" si="1435"/>
        <v>89301000</v>
      </c>
      <c r="B6570" t="str">
        <f t="shared" si="1445"/>
        <v>06539000</v>
      </c>
      <c r="C6570" t="str">
        <f>"06539001"</f>
        <v>06539001</v>
      </c>
      <c r="D6570" t="str">
        <f>"801"</f>
        <v>801</v>
      </c>
      <c r="E6570" t="str">
        <f t="shared" ref="E6570:E6596" si="1446">"89301172"</f>
        <v>89301172</v>
      </c>
      <c r="F6570" t="str">
        <f t="shared" ref="F6570:F6596" si="1447">"6151250314"</f>
        <v>6151250314</v>
      </c>
      <c r="G6570" s="1">
        <v>44722</v>
      </c>
      <c r="H6570" t="str">
        <f>"81329"</f>
        <v>81329</v>
      </c>
      <c r="I6570">
        <v>1</v>
      </c>
      <c r="J6570">
        <v>16</v>
      </c>
      <c r="K6570">
        <v>0</v>
      </c>
      <c r="L6570">
        <v>12.48</v>
      </c>
    </row>
    <row r="6571" spans="1:12" x14ac:dyDescent="0.25">
      <c r="A6571" t="str">
        <f t="shared" si="1435"/>
        <v>89301000</v>
      </c>
      <c r="B6571" t="str">
        <f t="shared" si="1445"/>
        <v>06539000</v>
      </c>
      <c r="C6571" t="str">
        <f>"06539001"</f>
        <v>06539001</v>
      </c>
      <c r="D6571" t="str">
        <f>"801"</f>
        <v>801</v>
      </c>
      <c r="E6571" t="str">
        <f t="shared" si="1446"/>
        <v>89301172</v>
      </c>
      <c r="F6571" t="str">
        <f t="shared" si="1447"/>
        <v>6151250314</v>
      </c>
      <c r="G6571" s="1">
        <v>44722</v>
      </c>
      <c r="H6571" t="str">
        <f>"81331"</f>
        <v>81331</v>
      </c>
      <c r="I6571">
        <v>1</v>
      </c>
      <c r="J6571">
        <v>193</v>
      </c>
      <c r="K6571">
        <v>0</v>
      </c>
      <c r="L6571">
        <v>150.54</v>
      </c>
    </row>
    <row r="6572" spans="1:12" x14ac:dyDescent="0.25">
      <c r="A6572" t="str">
        <f t="shared" si="1435"/>
        <v>89301000</v>
      </c>
      <c r="B6572" t="str">
        <f t="shared" si="1445"/>
        <v>06539000</v>
      </c>
      <c r="C6572" t="str">
        <f t="shared" ref="C6572:C6596" si="1448">"06539003"</f>
        <v>06539003</v>
      </c>
      <c r="D6572" t="str">
        <f t="shared" ref="D6572:D6596" si="1449">"813"</f>
        <v>813</v>
      </c>
      <c r="E6572" t="str">
        <f t="shared" si="1446"/>
        <v>89301172</v>
      </c>
      <c r="F6572" t="str">
        <f t="shared" si="1447"/>
        <v>6151250314</v>
      </c>
      <c r="G6572" s="1">
        <v>44725</v>
      </c>
      <c r="H6572" t="str">
        <f t="shared" ref="H6572:H6581" si="1450">"91413"</f>
        <v>91413</v>
      </c>
      <c r="I6572">
        <v>1</v>
      </c>
      <c r="J6572">
        <v>853</v>
      </c>
      <c r="K6572">
        <v>0</v>
      </c>
      <c r="L6572">
        <v>665.34</v>
      </c>
    </row>
    <row r="6573" spans="1:12" x14ac:dyDescent="0.25">
      <c r="A6573" t="str">
        <f t="shared" si="1435"/>
        <v>89301000</v>
      </c>
      <c r="B6573" t="str">
        <f t="shared" si="1445"/>
        <v>06539000</v>
      </c>
      <c r="C6573" t="str">
        <f t="shared" si="1448"/>
        <v>06539003</v>
      </c>
      <c r="D6573" t="str">
        <f t="shared" si="1449"/>
        <v>813</v>
      </c>
      <c r="E6573" t="str">
        <f t="shared" si="1446"/>
        <v>89301172</v>
      </c>
      <c r="F6573" t="str">
        <f t="shared" si="1447"/>
        <v>6151250314</v>
      </c>
      <c r="G6573" s="1">
        <v>44725</v>
      </c>
      <c r="H6573" t="str">
        <f t="shared" si="1450"/>
        <v>91413</v>
      </c>
      <c r="I6573">
        <v>1</v>
      </c>
      <c r="J6573">
        <v>853</v>
      </c>
      <c r="K6573">
        <v>0</v>
      </c>
      <c r="L6573">
        <v>665.34</v>
      </c>
    </row>
    <row r="6574" spans="1:12" x14ac:dyDescent="0.25">
      <c r="A6574" t="str">
        <f t="shared" si="1435"/>
        <v>89301000</v>
      </c>
      <c r="B6574" t="str">
        <f t="shared" si="1445"/>
        <v>06539000</v>
      </c>
      <c r="C6574" t="str">
        <f t="shared" si="1448"/>
        <v>06539003</v>
      </c>
      <c r="D6574" t="str">
        <f t="shared" si="1449"/>
        <v>813</v>
      </c>
      <c r="E6574" t="str">
        <f t="shared" si="1446"/>
        <v>89301172</v>
      </c>
      <c r="F6574" t="str">
        <f t="shared" si="1447"/>
        <v>6151250314</v>
      </c>
      <c r="G6574" s="1">
        <v>44736</v>
      </c>
      <c r="H6574" t="str">
        <f t="shared" si="1450"/>
        <v>91413</v>
      </c>
      <c r="I6574">
        <v>1</v>
      </c>
      <c r="J6574">
        <v>853</v>
      </c>
      <c r="K6574">
        <v>0</v>
      </c>
      <c r="L6574">
        <v>665.34</v>
      </c>
    </row>
    <row r="6575" spans="1:12" x14ac:dyDescent="0.25">
      <c r="A6575" t="str">
        <f t="shared" si="1435"/>
        <v>89301000</v>
      </c>
      <c r="B6575" t="str">
        <f t="shared" si="1445"/>
        <v>06539000</v>
      </c>
      <c r="C6575" t="str">
        <f t="shared" si="1448"/>
        <v>06539003</v>
      </c>
      <c r="D6575" t="str">
        <f t="shared" si="1449"/>
        <v>813</v>
      </c>
      <c r="E6575" t="str">
        <f t="shared" si="1446"/>
        <v>89301172</v>
      </c>
      <c r="F6575" t="str">
        <f t="shared" si="1447"/>
        <v>6151250314</v>
      </c>
      <c r="G6575" s="1">
        <v>44736</v>
      </c>
      <c r="H6575" t="str">
        <f t="shared" si="1450"/>
        <v>91413</v>
      </c>
      <c r="I6575">
        <v>1</v>
      </c>
      <c r="J6575">
        <v>853</v>
      </c>
      <c r="K6575">
        <v>0</v>
      </c>
      <c r="L6575">
        <v>665.34</v>
      </c>
    </row>
    <row r="6576" spans="1:12" x14ac:dyDescent="0.25">
      <c r="A6576" t="str">
        <f t="shared" si="1435"/>
        <v>89301000</v>
      </c>
      <c r="B6576" t="str">
        <f t="shared" si="1445"/>
        <v>06539000</v>
      </c>
      <c r="C6576" t="str">
        <f t="shared" si="1448"/>
        <v>06539003</v>
      </c>
      <c r="D6576" t="str">
        <f t="shared" si="1449"/>
        <v>813</v>
      </c>
      <c r="E6576" t="str">
        <f t="shared" si="1446"/>
        <v>89301172</v>
      </c>
      <c r="F6576" t="str">
        <f t="shared" si="1447"/>
        <v>6151250314</v>
      </c>
      <c r="G6576" s="1">
        <v>44734</v>
      </c>
      <c r="H6576" t="str">
        <f t="shared" si="1450"/>
        <v>91413</v>
      </c>
      <c r="I6576">
        <v>1</v>
      </c>
      <c r="J6576">
        <v>853</v>
      </c>
      <c r="K6576">
        <v>0</v>
      </c>
      <c r="L6576">
        <v>665.34</v>
      </c>
    </row>
    <row r="6577" spans="1:12" x14ac:dyDescent="0.25">
      <c r="A6577" t="str">
        <f t="shared" si="1435"/>
        <v>89301000</v>
      </c>
      <c r="B6577" t="str">
        <f t="shared" si="1445"/>
        <v>06539000</v>
      </c>
      <c r="C6577" t="str">
        <f t="shared" si="1448"/>
        <v>06539003</v>
      </c>
      <c r="D6577" t="str">
        <f t="shared" si="1449"/>
        <v>813</v>
      </c>
      <c r="E6577" t="str">
        <f t="shared" si="1446"/>
        <v>89301172</v>
      </c>
      <c r="F6577" t="str">
        <f t="shared" si="1447"/>
        <v>6151250314</v>
      </c>
      <c r="G6577" s="1">
        <v>44734</v>
      </c>
      <c r="H6577" t="str">
        <f t="shared" si="1450"/>
        <v>91413</v>
      </c>
      <c r="I6577">
        <v>1</v>
      </c>
      <c r="J6577">
        <v>853</v>
      </c>
      <c r="K6577">
        <v>0</v>
      </c>
      <c r="L6577">
        <v>665.34</v>
      </c>
    </row>
    <row r="6578" spans="1:12" x14ac:dyDescent="0.25">
      <c r="A6578" t="str">
        <f t="shared" si="1435"/>
        <v>89301000</v>
      </c>
      <c r="B6578" t="str">
        <f t="shared" si="1445"/>
        <v>06539000</v>
      </c>
      <c r="C6578" t="str">
        <f t="shared" si="1448"/>
        <v>06539003</v>
      </c>
      <c r="D6578" t="str">
        <f t="shared" si="1449"/>
        <v>813</v>
      </c>
      <c r="E6578" t="str">
        <f t="shared" si="1446"/>
        <v>89301172</v>
      </c>
      <c r="F6578" t="str">
        <f t="shared" si="1447"/>
        <v>6151250314</v>
      </c>
      <c r="G6578" s="1">
        <v>44736</v>
      </c>
      <c r="H6578" t="str">
        <f t="shared" si="1450"/>
        <v>91413</v>
      </c>
      <c r="I6578">
        <v>1</v>
      </c>
      <c r="J6578">
        <v>853</v>
      </c>
      <c r="K6578">
        <v>0</v>
      </c>
      <c r="L6578">
        <v>665.34</v>
      </c>
    </row>
    <row r="6579" spans="1:12" x14ac:dyDescent="0.25">
      <c r="A6579" t="str">
        <f t="shared" si="1435"/>
        <v>89301000</v>
      </c>
      <c r="B6579" t="str">
        <f t="shared" si="1445"/>
        <v>06539000</v>
      </c>
      <c r="C6579" t="str">
        <f t="shared" si="1448"/>
        <v>06539003</v>
      </c>
      <c r="D6579" t="str">
        <f t="shared" si="1449"/>
        <v>813</v>
      </c>
      <c r="E6579" t="str">
        <f t="shared" si="1446"/>
        <v>89301172</v>
      </c>
      <c r="F6579" t="str">
        <f t="shared" si="1447"/>
        <v>6151250314</v>
      </c>
      <c r="G6579" s="1">
        <v>44736</v>
      </c>
      <c r="H6579" t="str">
        <f t="shared" si="1450"/>
        <v>91413</v>
      </c>
      <c r="I6579">
        <v>1</v>
      </c>
      <c r="J6579">
        <v>853</v>
      </c>
      <c r="K6579">
        <v>0</v>
      </c>
      <c r="L6579">
        <v>665.34</v>
      </c>
    </row>
    <row r="6580" spans="1:12" x14ac:dyDescent="0.25">
      <c r="A6580" t="str">
        <f t="shared" si="1435"/>
        <v>89301000</v>
      </c>
      <c r="B6580" t="str">
        <f t="shared" si="1445"/>
        <v>06539000</v>
      </c>
      <c r="C6580" t="str">
        <f t="shared" si="1448"/>
        <v>06539003</v>
      </c>
      <c r="D6580" t="str">
        <f t="shared" si="1449"/>
        <v>813</v>
      </c>
      <c r="E6580" t="str">
        <f t="shared" si="1446"/>
        <v>89301172</v>
      </c>
      <c r="F6580" t="str">
        <f t="shared" si="1447"/>
        <v>6151250314</v>
      </c>
      <c r="G6580" s="1">
        <v>44736</v>
      </c>
      <c r="H6580" t="str">
        <f t="shared" si="1450"/>
        <v>91413</v>
      </c>
      <c r="I6580">
        <v>1</v>
      </c>
      <c r="J6580">
        <v>853</v>
      </c>
      <c r="K6580">
        <v>0</v>
      </c>
      <c r="L6580">
        <v>665.34</v>
      </c>
    </row>
    <row r="6581" spans="1:12" x14ac:dyDescent="0.25">
      <c r="A6581" t="str">
        <f t="shared" si="1435"/>
        <v>89301000</v>
      </c>
      <c r="B6581" t="str">
        <f t="shared" si="1445"/>
        <v>06539000</v>
      </c>
      <c r="C6581" t="str">
        <f t="shared" si="1448"/>
        <v>06539003</v>
      </c>
      <c r="D6581" t="str">
        <f t="shared" si="1449"/>
        <v>813</v>
      </c>
      <c r="E6581" t="str">
        <f t="shared" si="1446"/>
        <v>89301172</v>
      </c>
      <c r="F6581" t="str">
        <f t="shared" si="1447"/>
        <v>6151250314</v>
      </c>
      <c r="G6581" s="1">
        <v>44736</v>
      </c>
      <c r="H6581" t="str">
        <f t="shared" si="1450"/>
        <v>91413</v>
      </c>
      <c r="I6581">
        <v>1</v>
      </c>
      <c r="J6581">
        <v>853</v>
      </c>
      <c r="K6581">
        <v>0</v>
      </c>
      <c r="L6581">
        <v>665.34</v>
      </c>
    </row>
    <row r="6582" spans="1:12" x14ac:dyDescent="0.25">
      <c r="A6582" t="str">
        <f t="shared" si="1435"/>
        <v>89301000</v>
      </c>
      <c r="B6582" t="str">
        <f t="shared" si="1445"/>
        <v>06539000</v>
      </c>
      <c r="C6582" t="str">
        <f t="shared" si="1448"/>
        <v>06539003</v>
      </c>
      <c r="D6582" t="str">
        <f t="shared" si="1449"/>
        <v>813</v>
      </c>
      <c r="E6582" t="str">
        <f t="shared" si="1446"/>
        <v>89301172</v>
      </c>
      <c r="F6582" t="str">
        <f t="shared" si="1447"/>
        <v>6151250314</v>
      </c>
      <c r="G6582" s="1">
        <v>44736</v>
      </c>
      <c r="H6582" t="str">
        <f>"91329"</f>
        <v>91329</v>
      </c>
      <c r="I6582">
        <v>2</v>
      </c>
      <c r="J6582">
        <v>428</v>
      </c>
      <c r="K6582">
        <v>0</v>
      </c>
      <c r="L6582">
        <v>333.84</v>
      </c>
    </row>
    <row r="6583" spans="1:12" x14ac:dyDescent="0.25">
      <c r="A6583" t="str">
        <f t="shared" si="1435"/>
        <v>89301000</v>
      </c>
      <c r="B6583" t="str">
        <f t="shared" si="1445"/>
        <v>06539000</v>
      </c>
      <c r="C6583" t="str">
        <f t="shared" si="1448"/>
        <v>06539003</v>
      </c>
      <c r="D6583" t="str">
        <f t="shared" si="1449"/>
        <v>813</v>
      </c>
      <c r="E6583" t="str">
        <f t="shared" si="1446"/>
        <v>89301172</v>
      </c>
      <c r="F6583" t="str">
        <f t="shared" si="1447"/>
        <v>6151250314</v>
      </c>
      <c r="G6583" s="1">
        <v>44736</v>
      </c>
      <c r="H6583" t="str">
        <f>"91329"</f>
        <v>91329</v>
      </c>
      <c r="I6583">
        <v>2</v>
      </c>
      <c r="J6583">
        <v>428</v>
      </c>
      <c r="K6583">
        <v>0</v>
      </c>
      <c r="L6583">
        <v>333.84</v>
      </c>
    </row>
    <row r="6584" spans="1:12" x14ac:dyDescent="0.25">
      <c r="A6584" t="str">
        <f t="shared" si="1435"/>
        <v>89301000</v>
      </c>
      <c r="B6584" t="str">
        <f t="shared" si="1445"/>
        <v>06539000</v>
      </c>
      <c r="C6584" t="str">
        <f t="shared" si="1448"/>
        <v>06539003</v>
      </c>
      <c r="D6584" t="str">
        <f t="shared" si="1449"/>
        <v>813</v>
      </c>
      <c r="E6584" t="str">
        <f t="shared" si="1446"/>
        <v>89301172</v>
      </c>
      <c r="F6584" t="str">
        <f t="shared" si="1447"/>
        <v>6151250314</v>
      </c>
      <c r="G6584" s="1">
        <v>44736</v>
      </c>
      <c r="H6584" t="str">
        <f>"91329"</f>
        <v>91329</v>
      </c>
      <c r="I6584">
        <v>2</v>
      </c>
      <c r="J6584">
        <v>428</v>
      </c>
      <c r="K6584">
        <v>0</v>
      </c>
      <c r="L6584">
        <v>333.84</v>
      </c>
    </row>
    <row r="6585" spans="1:12" x14ac:dyDescent="0.25">
      <c r="A6585" t="str">
        <f t="shared" si="1435"/>
        <v>89301000</v>
      </c>
      <c r="B6585" t="str">
        <f t="shared" si="1445"/>
        <v>06539000</v>
      </c>
      <c r="C6585" t="str">
        <f t="shared" si="1448"/>
        <v>06539003</v>
      </c>
      <c r="D6585" t="str">
        <f t="shared" si="1449"/>
        <v>813</v>
      </c>
      <c r="E6585" t="str">
        <f t="shared" si="1446"/>
        <v>89301172</v>
      </c>
      <c r="F6585" t="str">
        <f t="shared" si="1447"/>
        <v>6151250314</v>
      </c>
      <c r="G6585" s="1">
        <v>44736</v>
      </c>
      <c r="H6585" t="str">
        <f>"91329"</f>
        <v>91329</v>
      </c>
      <c r="I6585">
        <v>2</v>
      </c>
      <c r="J6585">
        <v>428</v>
      </c>
      <c r="K6585">
        <v>0</v>
      </c>
      <c r="L6585">
        <v>333.84</v>
      </c>
    </row>
    <row r="6586" spans="1:12" x14ac:dyDescent="0.25">
      <c r="A6586" t="str">
        <f t="shared" si="1435"/>
        <v>89301000</v>
      </c>
      <c r="B6586" t="str">
        <f t="shared" si="1445"/>
        <v>06539000</v>
      </c>
      <c r="C6586" t="str">
        <f t="shared" si="1448"/>
        <v>06539003</v>
      </c>
      <c r="D6586" t="str">
        <f t="shared" si="1449"/>
        <v>813</v>
      </c>
      <c r="E6586" t="str">
        <f t="shared" si="1446"/>
        <v>89301172</v>
      </c>
      <c r="F6586" t="str">
        <f t="shared" si="1447"/>
        <v>6151250314</v>
      </c>
      <c r="G6586" s="1">
        <v>44722</v>
      </c>
      <c r="H6586" t="str">
        <f>"91129"</f>
        <v>91129</v>
      </c>
      <c r="I6586">
        <v>1</v>
      </c>
      <c r="J6586">
        <v>174</v>
      </c>
      <c r="K6586">
        <v>0</v>
      </c>
      <c r="L6586">
        <v>135.72</v>
      </c>
    </row>
    <row r="6587" spans="1:12" x14ac:dyDescent="0.25">
      <c r="A6587" t="str">
        <f t="shared" si="1435"/>
        <v>89301000</v>
      </c>
      <c r="B6587" t="str">
        <f t="shared" si="1445"/>
        <v>06539000</v>
      </c>
      <c r="C6587" t="str">
        <f t="shared" si="1448"/>
        <v>06539003</v>
      </c>
      <c r="D6587" t="str">
        <f t="shared" si="1449"/>
        <v>813</v>
      </c>
      <c r="E6587" t="str">
        <f t="shared" si="1446"/>
        <v>89301172</v>
      </c>
      <c r="F6587" t="str">
        <f t="shared" si="1447"/>
        <v>6151250314</v>
      </c>
      <c r="G6587" s="1">
        <v>44722</v>
      </c>
      <c r="H6587" t="str">
        <f>"91131"</f>
        <v>91131</v>
      </c>
      <c r="I6587">
        <v>1</v>
      </c>
      <c r="J6587">
        <v>171</v>
      </c>
      <c r="K6587">
        <v>0</v>
      </c>
      <c r="L6587">
        <v>133.38</v>
      </c>
    </row>
    <row r="6588" spans="1:12" x14ac:dyDescent="0.25">
      <c r="A6588" t="str">
        <f t="shared" si="1435"/>
        <v>89301000</v>
      </c>
      <c r="B6588" t="str">
        <f t="shared" si="1445"/>
        <v>06539000</v>
      </c>
      <c r="C6588" t="str">
        <f t="shared" si="1448"/>
        <v>06539003</v>
      </c>
      <c r="D6588" t="str">
        <f t="shared" si="1449"/>
        <v>813</v>
      </c>
      <c r="E6588" t="str">
        <f t="shared" si="1446"/>
        <v>89301172</v>
      </c>
      <c r="F6588" t="str">
        <f t="shared" si="1447"/>
        <v>6151250314</v>
      </c>
      <c r="G6588" s="1">
        <v>44722</v>
      </c>
      <c r="H6588" t="str">
        <f>"91133"</f>
        <v>91133</v>
      </c>
      <c r="I6588">
        <v>1</v>
      </c>
      <c r="J6588">
        <v>176</v>
      </c>
      <c r="K6588">
        <v>0</v>
      </c>
      <c r="L6588">
        <v>137.28</v>
      </c>
    </row>
    <row r="6589" spans="1:12" x14ac:dyDescent="0.25">
      <c r="A6589" t="str">
        <f t="shared" si="1435"/>
        <v>89301000</v>
      </c>
      <c r="B6589" t="str">
        <f t="shared" si="1445"/>
        <v>06539000</v>
      </c>
      <c r="C6589" t="str">
        <f t="shared" si="1448"/>
        <v>06539003</v>
      </c>
      <c r="D6589" t="str">
        <f t="shared" si="1449"/>
        <v>813</v>
      </c>
      <c r="E6589" t="str">
        <f t="shared" si="1446"/>
        <v>89301172</v>
      </c>
      <c r="F6589" t="str">
        <f t="shared" si="1447"/>
        <v>6151250314</v>
      </c>
      <c r="G6589" s="1">
        <v>44722</v>
      </c>
      <c r="H6589" t="str">
        <f>"91171"</f>
        <v>91171</v>
      </c>
      <c r="I6589">
        <v>1</v>
      </c>
      <c r="J6589">
        <v>360</v>
      </c>
      <c r="K6589">
        <v>0</v>
      </c>
      <c r="L6589">
        <v>280.8</v>
      </c>
    </row>
    <row r="6590" spans="1:12" x14ac:dyDescent="0.25">
      <c r="A6590" t="str">
        <f t="shared" si="1435"/>
        <v>89301000</v>
      </c>
      <c r="B6590" t="str">
        <f t="shared" si="1445"/>
        <v>06539000</v>
      </c>
      <c r="C6590" t="str">
        <f t="shared" si="1448"/>
        <v>06539003</v>
      </c>
      <c r="D6590" t="str">
        <f t="shared" si="1449"/>
        <v>813</v>
      </c>
      <c r="E6590" t="str">
        <f t="shared" si="1446"/>
        <v>89301172</v>
      </c>
      <c r="F6590" t="str">
        <f t="shared" si="1447"/>
        <v>6151250314</v>
      </c>
      <c r="G6590" s="1">
        <v>44722</v>
      </c>
      <c r="H6590" t="str">
        <f>"91173"</f>
        <v>91173</v>
      </c>
      <c r="I6590">
        <v>1</v>
      </c>
      <c r="J6590">
        <v>335</v>
      </c>
      <c r="K6590">
        <v>0</v>
      </c>
      <c r="L6590">
        <v>261.3</v>
      </c>
    </row>
    <row r="6591" spans="1:12" x14ac:dyDescent="0.25">
      <c r="A6591" t="str">
        <f t="shared" si="1435"/>
        <v>89301000</v>
      </c>
      <c r="B6591" t="str">
        <f t="shared" si="1445"/>
        <v>06539000</v>
      </c>
      <c r="C6591" t="str">
        <f t="shared" si="1448"/>
        <v>06539003</v>
      </c>
      <c r="D6591" t="str">
        <f t="shared" si="1449"/>
        <v>813</v>
      </c>
      <c r="E6591" t="str">
        <f t="shared" si="1446"/>
        <v>89301172</v>
      </c>
      <c r="F6591" t="str">
        <f t="shared" si="1447"/>
        <v>6151250314</v>
      </c>
      <c r="G6591" s="1">
        <v>44722</v>
      </c>
      <c r="H6591" t="str">
        <f>"91175"</f>
        <v>91175</v>
      </c>
      <c r="I6591">
        <v>1</v>
      </c>
      <c r="J6591">
        <v>360</v>
      </c>
      <c r="K6591">
        <v>0</v>
      </c>
      <c r="L6591">
        <v>280.8</v>
      </c>
    </row>
    <row r="6592" spans="1:12" x14ac:dyDescent="0.25">
      <c r="A6592" t="str">
        <f t="shared" si="1435"/>
        <v>89301000</v>
      </c>
      <c r="B6592" t="str">
        <f t="shared" si="1445"/>
        <v>06539000</v>
      </c>
      <c r="C6592" t="str">
        <f t="shared" si="1448"/>
        <v>06539003</v>
      </c>
      <c r="D6592" t="str">
        <f t="shared" si="1449"/>
        <v>813</v>
      </c>
      <c r="E6592" t="str">
        <f t="shared" si="1446"/>
        <v>89301172</v>
      </c>
      <c r="F6592" t="str">
        <f t="shared" si="1447"/>
        <v>6151250314</v>
      </c>
      <c r="G6592" s="1">
        <v>44723</v>
      </c>
      <c r="H6592" t="str">
        <f>"91167"</f>
        <v>91167</v>
      </c>
      <c r="I6592">
        <v>1</v>
      </c>
      <c r="J6592">
        <v>425</v>
      </c>
      <c r="K6592">
        <v>0</v>
      </c>
      <c r="L6592">
        <v>331.5</v>
      </c>
    </row>
    <row r="6593" spans="1:12" x14ac:dyDescent="0.25">
      <c r="A6593" t="str">
        <f t="shared" si="1435"/>
        <v>89301000</v>
      </c>
      <c r="B6593" t="str">
        <f t="shared" si="1445"/>
        <v>06539000</v>
      </c>
      <c r="C6593" t="str">
        <f t="shared" si="1448"/>
        <v>06539003</v>
      </c>
      <c r="D6593" t="str">
        <f t="shared" si="1449"/>
        <v>813</v>
      </c>
      <c r="E6593" t="str">
        <f t="shared" si="1446"/>
        <v>89301172</v>
      </c>
      <c r="F6593" t="str">
        <f t="shared" si="1447"/>
        <v>6151250314</v>
      </c>
      <c r="G6593" s="1">
        <v>44723</v>
      </c>
      <c r="H6593" t="str">
        <f>"91169"</f>
        <v>91169</v>
      </c>
      <c r="I6593">
        <v>1</v>
      </c>
      <c r="J6593">
        <v>425</v>
      </c>
      <c r="K6593">
        <v>0</v>
      </c>
      <c r="L6593">
        <v>331.5</v>
      </c>
    </row>
    <row r="6594" spans="1:12" x14ac:dyDescent="0.25">
      <c r="A6594" t="str">
        <f t="shared" ref="A6594:A6657" si="1451">"89301000"</f>
        <v>89301000</v>
      </c>
      <c r="B6594" t="str">
        <f t="shared" si="1445"/>
        <v>06539000</v>
      </c>
      <c r="C6594" t="str">
        <f t="shared" si="1448"/>
        <v>06539003</v>
      </c>
      <c r="D6594" t="str">
        <f t="shared" si="1449"/>
        <v>813</v>
      </c>
      <c r="E6594" t="str">
        <f t="shared" si="1446"/>
        <v>89301172</v>
      </c>
      <c r="F6594" t="str">
        <f t="shared" si="1447"/>
        <v>6151250314</v>
      </c>
      <c r="G6594" s="1">
        <v>44722</v>
      </c>
      <c r="H6594" t="str">
        <f>"91167"</f>
        <v>91167</v>
      </c>
      <c r="I6594">
        <v>1</v>
      </c>
      <c r="J6594">
        <v>425</v>
      </c>
      <c r="K6594">
        <v>0</v>
      </c>
      <c r="L6594">
        <v>331.5</v>
      </c>
    </row>
    <row r="6595" spans="1:12" x14ac:dyDescent="0.25">
      <c r="A6595" t="str">
        <f t="shared" si="1451"/>
        <v>89301000</v>
      </c>
      <c r="B6595" t="str">
        <f t="shared" si="1445"/>
        <v>06539000</v>
      </c>
      <c r="C6595" t="str">
        <f t="shared" si="1448"/>
        <v>06539003</v>
      </c>
      <c r="D6595" t="str">
        <f t="shared" si="1449"/>
        <v>813</v>
      </c>
      <c r="E6595" t="str">
        <f t="shared" si="1446"/>
        <v>89301172</v>
      </c>
      <c r="F6595" t="str">
        <f t="shared" si="1447"/>
        <v>6151250314</v>
      </c>
      <c r="G6595" s="1">
        <v>44722</v>
      </c>
      <c r="H6595" t="str">
        <f>"91169"</f>
        <v>91169</v>
      </c>
      <c r="I6595">
        <v>1</v>
      </c>
      <c r="J6595">
        <v>425</v>
      </c>
      <c r="K6595">
        <v>0</v>
      </c>
      <c r="L6595">
        <v>331.5</v>
      </c>
    </row>
    <row r="6596" spans="1:12" x14ac:dyDescent="0.25">
      <c r="A6596" t="str">
        <f t="shared" si="1451"/>
        <v>89301000</v>
      </c>
      <c r="B6596" t="str">
        <f t="shared" si="1445"/>
        <v>06539000</v>
      </c>
      <c r="C6596" t="str">
        <f t="shared" si="1448"/>
        <v>06539003</v>
      </c>
      <c r="D6596" t="str">
        <f t="shared" si="1449"/>
        <v>813</v>
      </c>
      <c r="E6596" t="str">
        <f t="shared" si="1446"/>
        <v>89301172</v>
      </c>
      <c r="F6596" t="str">
        <f t="shared" si="1447"/>
        <v>6151250314</v>
      </c>
      <c r="G6596" s="1">
        <v>44722</v>
      </c>
      <c r="H6596" t="str">
        <f>"91475"</f>
        <v>91475</v>
      </c>
      <c r="I6596">
        <v>1</v>
      </c>
      <c r="J6596">
        <v>206</v>
      </c>
      <c r="K6596">
        <v>0</v>
      </c>
      <c r="L6596">
        <v>160.68</v>
      </c>
    </row>
    <row r="6597" spans="1:12" x14ac:dyDescent="0.25">
      <c r="A6597" t="str">
        <f t="shared" si="1451"/>
        <v>89301000</v>
      </c>
      <c r="B6597" t="str">
        <f t="shared" ref="B6597:B6602" si="1452">"06539000"</f>
        <v>06539000</v>
      </c>
      <c r="C6597" t="str">
        <f>"06539001"</f>
        <v>06539001</v>
      </c>
      <c r="D6597" t="str">
        <f>"801"</f>
        <v>801</v>
      </c>
      <c r="E6597" t="str">
        <f>"89301171"</f>
        <v>89301171</v>
      </c>
      <c r="F6597" t="str">
        <f>"476121459"</f>
        <v>476121459</v>
      </c>
      <c r="G6597" s="1">
        <v>44732</v>
      </c>
      <c r="H6597" t="str">
        <f>"81705"</f>
        <v>81705</v>
      </c>
      <c r="I6597">
        <v>1</v>
      </c>
      <c r="J6597">
        <v>346</v>
      </c>
      <c r="K6597">
        <v>0</v>
      </c>
      <c r="L6597">
        <v>269.88</v>
      </c>
    </row>
    <row r="6598" spans="1:12" x14ac:dyDescent="0.25">
      <c r="A6598" t="str">
        <f t="shared" si="1451"/>
        <v>89301000</v>
      </c>
      <c r="B6598" t="str">
        <f t="shared" si="1452"/>
        <v>06539000</v>
      </c>
      <c r="C6598" t="str">
        <f>"06539003"</f>
        <v>06539003</v>
      </c>
      <c r="D6598" t="str">
        <f>"813"</f>
        <v>813</v>
      </c>
      <c r="E6598" t="str">
        <f>"89301171"</f>
        <v>89301171</v>
      </c>
      <c r="F6598" t="str">
        <f>"476121459"</f>
        <v>476121459</v>
      </c>
      <c r="G6598" s="1">
        <v>44729</v>
      </c>
      <c r="H6598" t="str">
        <f>"91475"</f>
        <v>91475</v>
      </c>
      <c r="I6598">
        <v>1</v>
      </c>
      <c r="J6598">
        <v>206</v>
      </c>
      <c r="K6598">
        <v>0</v>
      </c>
      <c r="L6598">
        <v>160.68</v>
      </c>
    </row>
    <row r="6599" spans="1:12" x14ac:dyDescent="0.25">
      <c r="A6599" t="str">
        <f t="shared" si="1451"/>
        <v>89301000</v>
      </c>
      <c r="B6599" t="str">
        <f t="shared" si="1452"/>
        <v>06539000</v>
      </c>
      <c r="C6599" t="str">
        <f>"06539001"</f>
        <v>06539001</v>
      </c>
      <c r="D6599" t="str">
        <f>"801"</f>
        <v>801</v>
      </c>
      <c r="E6599" t="str">
        <f>"89301172"</f>
        <v>89301172</v>
      </c>
      <c r="F6599" t="str">
        <f>"0361165706"</f>
        <v>0361165706</v>
      </c>
      <c r="G6599" s="1">
        <v>44734</v>
      </c>
      <c r="H6599" t="str">
        <f>"81705"</f>
        <v>81705</v>
      </c>
      <c r="I6599">
        <v>1</v>
      </c>
      <c r="J6599">
        <v>346</v>
      </c>
      <c r="K6599">
        <v>0</v>
      </c>
      <c r="L6599">
        <v>269.88</v>
      </c>
    </row>
    <row r="6600" spans="1:12" x14ac:dyDescent="0.25">
      <c r="A6600" t="str">
        <f t="shared" si="1451"/>
        <v>89301000</v>
      </c>
      <c r="B6600" t="str">
        <f t="shared" si="1452"/>
        <v>06539000</v>
      </c>
      <c r="C6600" t="str">
        <f>"06539001"</f>
        <v>06539001</v>
      </c>
      <c r="D6600" t="str">
        <f>"801"</f>
        <v>801</v>
      </c>
      <c r="E6600" t="str">
        <f>"89301172"</f>
        <v>89301172</v>
      </c>
      <c r="F6600" t="str">
        <f>"0361165706"</f>
        <v>0361165706</v>
      </c>
      <c r="G6600" s="1">
        <v>44732</v>
      </c>
      <c r="H6600" t="str">
        <f>"81705"</f>
        <v>81705</v>
      </c>
      <c r="I6600">
        <v>1</v>
      </c>
      <c r="J6600">
        <v>346</v>
      </c>
      <c r="K6600">
        <v>0</v>
      </c>
      <c r="L6600">
        <v>269.88</v>
      </c>
    </row>
    <row r="6601" spans="1:12" x14ac:dyDescent="0.25">
      <c r="A6601" t="str">
        <f t="shared" si="1451"/>
        <v>89301000</v>
      </c>
      <c r="B6601" t="str">
        <f t="shared" si="1452"/>
        <v>06539000</v>
      </c>
      <c r="C6601" t="str">
        <f>"06539003"</f>
        <v>06539003</v>
      </c>
      <c r="D6601" t="str">
        <f>"813"</f>
        <v>813</v>
      </c>
      <c r="E6601" t="str">
        <f>"89301172"</f>
        <v>89301172</v>
      </c>
      <c r="F6601" t="str">
        <f>"0361165706"</f>
        <v>0361165706</v>
      </c>
      <c r="G6601" s="1">
        <v>44734</v>
      </c>
      <c r="H6601" t="str">
        <f>"91329"</f>
        <v>91329</v>
      </c>
      <c r="I6601">
        <v>2</v>
      </c>
      <c r="J6601">
        <v>428</v>
      </c>
      <c r="K6601">
        <v>0</v>
      </c>
      <c r="L6601">
        <v>333.84</v>
      </c>
    </row>
    <row r="6602" spans="1:12" x14ac:dyDescent="0.25">
      <c r="A6602" t="str">
        <f t="shared" si="1451"/>
        <v>89301000</v>
      </c>
      <c r="B6602" t="str">
        <f t="shared" si="1452"/>
        <v>06539000</v>
      </c>
      <c r="C6602" t="str">
        <f>"06539003"</f>
        <v>06539003</v>
      </c>
      <c r="D6602" t="str">
        <f>"813"</f>
        <v>813</v>
      </c>
      <c r="E6602" t="str">
        <f>"89301172"</f>
        <v>89301172</v>
      </c>
      <c r="F6602" t="str">
        <f>"0361165706"</f>
        <v>0361165706</v>
      </c>
      <c r="G6602" s="1">
        <v>44729</v>
      </c>
      <c r="H6602" t="str">
        <f>"91475"</f>
        <v>91475</v>
      </c>
      <c r="I6602">
        <v>1</v>
      </c>
      <c r="J6602">
        <v>206</v>
      </c>
      <c r="K6602">
        <v>0</v>
      </c>
      <c r="L6602">
        <v>160.68</v>
      </c>
    </row>
    <row r="6603" spans="1:12" x14ac:dyDescent="0.25">
      <c r="A6603" t="str">
        <f t="shared" si="1451"/>
        <v>89301000</v>
      </c>
      <c r="B6603" t="str">
        <f t="shared" ref="B6603:C6619" si="1453">"89632000"</f>
        <v>89632000</v>
      </c>
      <c r="C6603" t="str">
        <f t="shared" si="1453"/>
        <v>89632000</v>
      </c>
      <c r="D6603" t="str">
        <f t="shared" ref="D6603:D6633" si="1454">"809"</f>
        <v>809</v>
      </c>
      <c r="E6603" t="str">
        <f>"89301212"</f>
        <v>89301212</v>
      </c>
      <c r="F6603" t="str">
        <f>"0205175795"</f>
        <v>0205175795</v>
      </c>
      <c r="G6603" s="1">
        <v>44734</v>
      </c>
      <c r="H6603" t="str">
        <f>"89513"</f>
        <v>89513</v>
      </c>
      <c r="I6603">
        <v>1</v>
      </c>
      <c r="J6603">
        <v>371</v>
      </c>
      <c r="K6603">
        <v>0</v>
      </c>
      <c r="L6603">
        <v>519.4</v>
      </c>
    </row>
    <row r="6604" spans="1:12" x14ac:dyDescent="0.25">
      <c r="A6604" t="str">
        <f t="shared" si="1451"/>
        <v>89301000</v>
      </c>
      <c r="B6604" t="str">
        <f t="shared" si="1453"/>
        <v>89632000</v>
      </c>
      <c r="C6604" t="str">
        <f t="shared" si="1453"/>
        <v>89632000</v>
      </c>
      <c r="D6604" t="str">
        <f t="shared" si="1454"/>
        <v>809</v>
      </c>
      <c r="E6604" t="str">
        <f>"89301212"</f>
        <v>89301212</v>
      </c>
      <c r="F6604" t="str">
        <f>"0205175795"</f>
        <v>0205175795</v>
      </c>
      <c r="G6604" s="1">
        <v>44734</v>
      </c>
      <c r="H6604" t="str">
        <f>"89514"</f>
        <v>89514</v>
      </c>
      <c r="I6604">
        <v>1</v>
      </c>
      <c r="J6604">
        <v>371</v>
      </c>
      <c r="K6604">
        <v>0</v>
      </c>
      <c r="L6604">
        <v>519.4</v>
      </c>
    </row>
    <row r="6605" spans="1:12" x14ac:dyDescent="0.25">
      <c r="A6605" t="str">
        <f t="shared" si="1451"/>
        <v>89301000</v>
      </c>
      <c r="B6605" t="str">
        <f t="shared" si="1453"/>
        <v>89632000</v>
      </c>
      <c r="C6605" t="str">
        <f t="shared" si="1453"/>
        <v>89632000</v>
      </c>
      <c r="D6605" t="str">
        <f t="shared" si="1454"/>
        <v>809</v>
      </c>
      <c r="E6605" t="str">
        <f>"89301212"</f>
        <v>89301212</v>
      </c>
      <c r="F6605" t="str">
        <f>"490608092"</f>
        <v>490608092</v>
      </c>
      <c r="G6605" s="1">
        <v>44739</v>
      </c>
      <c r="H6605" t="str">
        <f>"89513"</f>
        <v>89513</v>
      </c>
      <c r="I6605">
        <v>1</v>
      </c>
      <c r="J6605">
        <v>371</v>
      </c>
      <c r="K6605">
        <v>0</v>
      </c>
      <c r="L6605">
        <v>519.4</v>
      </c>
    </row>
    <row r="6606" spans="1:12" x14ac:dyDescent="0.25">
      <c r="A6606" t="str">
        <f t="shared" si="1451"/>
        <v>89301000</v>
      </c>
      <c r="B6606" t="str">
        <f t="shared" si="1453"/>
        <v>89632000</v>
      </c>
      <c r="C6606" t="str">
        <f t="shared" si="1453"/>
        <v>89632000</v>
      </c>
      <c r="D6606" t="str">
        <f t="shared" si="1454"/>
        <v>809</v>
      </c>
      <c r="E6606" t="str">
        <f>"89301212"</f>
        <v>89301212</v>
      </c>
      <c r="F6606" t="str">
        <f>"490608092"</f>
        <v>490608092</v>
      </c>
      <c r="G6606" s="1">
        <v>44739</v>
      </c>
      <c r="H6606" t="str">
        <f>"89514"</f>
        <v>89514</v>
      </c>
      <c r="I6606">
        <v>1</v>
      </c>
      <c r="J6606">
        <v>371</v>
      </c>
      <c r="K6606">
        <v>0</v>
      </c>
      <c r="L6606">
        <v>519.4</v>
      </c>
    </row>
    <row r="6607" spans="1:12" x14ac:dyDescent="0.25">
      <c r="A6607" t="str">
        <f t="shared" si="1451"/>
        <v>89301000</v>
      </c>
      <c r="B6607" t="str">
        <f t="shared" si="1453"/>
        <v>89632000</v>
      </c>
      <c r="C6607" t="str">
        <f t="shared" si="1453"/>
        <v>89632000</v>
      </c>
      <c r="D6607" t="str">
        <f t="shared" si="1454"/>
        <v>809</v>
      </c>
      <c r="E6607" t="str">
        <f>"89301172"</f>
        <v>89301172</v>
      </c>
      <c r="F6607" t="str">
        <f>"7057025360"</f>
        <v>7057025360</v>
      </c>
      <c r="G6607" s="1">
        <v>44720</v>
      </c>
      <c r="H6607" t="str">
        <f>"89131"</f>
        <v>89131</v>
      </c>
      <c r="I6607">
        <v>1</v>
      </c>
      <c r="J6607">
        <v>187</v>
      </c>
      <c r="K6607">
        <v>0</v>
      </c>
      <c r="L6607">
        <v>261.8</v>
      </c>
    </row>
    <row r="6608" spans="1:12" x14ac:dyDescent="0.25">
      <c r="A6608" t="str">
        <f t="shared" si="1451"/>
        <v>89301000</v>
      </c>
      <c r="B6608" t="str">
        <f t="shared" si="1453"/>
        <v>89632000</v>
      </c>
      <c r="C6608" t="str">
        <f t="shared" si="1453"/>
        <v>89632000</v>
      </c>
      <c r="D6608" t="str">
        <f t="shared" si="1454"/>
        <v>809</v>
      </c>
      <c r="E6608" t="str">
        <f>"89301172"</f>
        <v>89301172</v>
      </c>
      <c r="F6608" t="str">
        <f>"7057025360"</f>
        <v>7057025360</v>
      </c>
      <c r="G6608" s="1">
        <v>44732</v>
      </c>
      <c r="H6608" t="str">
        <f>"89513"</f>
        <v>89513</v>
      </c>
      <c r="I6608">
        <v>1</v>
      </c>
      <c r="J6608">
        <v>371</v>
      </c>
      <c r="K6608">
        <v>0</v>
      </c>
      <c r="L6608">
        <v>519.4</v>
      </c>
    </row>
    <row r="6609" spans="1:12" x14ac:dyDescent="0.25">
      <c r="A6609" t="str">
        <f t="shared" si="1451"/>
        <v>89301000</v>
      </c>
      <c r="B6609" t="str">
        <f t="shared" si="1453"/>
        <v>89632000</v>
      </c>
      <c r="C6609" t="str">
        <f t="shared" si="1453"/>
        <v>89632000</v>
      </c>
      <c r="D6609" t="str">
        <f t="shared" si="1454"/>
        <v>809</v>
      </c>
      <c r="E6609" t="str">
        <f>"89301172"</f>
        <v>89301172</v>
      </c>
      <c r="F6609" t="str">
        <f>"7057025360"</f>
        <v>7057025360</v>
      </c>
      <c r="G6609" s="1">
        <v>44732</v>
      </c>
      <c r="H6609" t="str">
        <f>"89514"</f>
        <v>89514</v>
      </c>
      <c r="I6609">
        <v>1</v>
      </c>
      <c r="J6609">
        <v>371</v>
      </c>
      <c r="K6609">
        <v>0</v>
      </c>
      <c r="L6609">
        <v>519.4</v>
      </c>
    </row>
    <row r="6610" spans="1:12" x14ac:dyDescent="0.25">
      <c r="A6610" t="str">
        <f t="shared" si="1451"/>
        <v>89301000</v>
      </c>
      <c r="B6610" t="str">
        <f t="shared" si="1453"/>
        <v>89632000</v>
      </c>
      <c r="C6610" t="str">
        <f t="shared" si="1453"/>
        <v>89632000</v>
      </c>
      <c r="D6610" t="str">
        <f t="shared" si="1454"/>
        <v>809</v>
      </c>
      <c r="E6610" t="str">
        <f>"89301212"</f>
        <v>89301212</v>
      </c>
      <c r="F6610" t="str">
        <f>"7156285312"</f>
        <v>7156285312</v>
      </c>
      <c r="G6610" s="1">
        <v>44742</v>
      </c>
      <c r="H6610" t="str">
        <f>"89513"</f>
        <v>89513</v>
      </c>
      <c r="I6610">
        <v>1</v>
      </c>
      <c r="J6610">
        <v>371</v>
      </c>
      <c r="K6610">
        <v>0</v>
      </c>
      <c r="L6610">
        <v>519.4</v>
      </c>
    </row>
    <row r="6611" spans="1:12" x14ac:dyDescent="0.25">
      <c r="A6611" t="str">
        <f t="shared" si="1451"/>
        <v>89301000</v>
      </c>
      <c r="B6611" t="str">
        <f t="shared" si="1453"/>
        <v>89632000</v>
      </c>
      <c r="C6611" t="str">
        <f t="shared" si="1453"/>
        <v>89632000</v>
      </c>
      <c r="D6611" t="str">
        <f t="shared" si="1454"/>
        <v>809</v>
      </c>
      <c r="E6611" t="str">
        <f>"89301212"</f>
        <v>89301212</v>
      </c>
      <c r="F6611" t="str">
        <f>"7156285312"</f>
        <v>7156285312</v>
      </c>
      <c r="G6611" s="1">
        <v>44742</v>
      </c>
      <c r="H6611" t="str">
        <f>"89514"</f>
        <v>89514</v>
      </c>
      <c r="I6611">
        <v>1</v>
      </c>
      <c r="J6611">
        <v>371</v>
      </c>
      <c r="K6611">
        <v>0</v>
      </c>
      <c r="L6611">
        <v>519.4</v>
      </c>
    </row>
    <row r="6612" spans="1:12" x14ac:dyDescent="0.25">
      <c r="A6612" t="str">
        <f t="shared" si="1451"/>
        <v>89301000</v>
      </c>
      <c r="B6612" t="str">
        <f t="shared" si="1453"/>
        <v>89632000</v>
      </c>
      <c r="C6612" t="str">
        <f t="shared" si="1453"/>
        <v>89632000</v>
      </c>
      <c r="D6612" t="str">
        <f t="shared" si="1454"/>
        <v>809</v>
      </c>
      <c r="E6612" t="str">
        <f>"89301212"</f>
        <v>89301212</v>
      </c>
      <c r="F6612" t="str">
        <f>"7752285321"</f>
        <v>7752285321</v>
      </c>
      <c r="G6612" s="1">
        <v>44721</v>
      </c>
      <c r="H6612" t="str">
        <f>"89513"</f>
        <v>89513</v>
      </c>
      <c r="I6612">
        <v>1</v>
      </c>
      <c r="J6612">
        <v>371</v>
      </c>
      <c r="K6612">
        <v>0</v>
      </c>
      <c r="L6612">
        <v>519.4</v>
      </c>
    </row>
    <row r="6613" spans="1:12" x14ac:dyDescent="0.25">
      <c r="A6613" t="str">
        <f t="shared" si="1451"/>
        <v>89301000</v>
      </c>
      <c r="B6613" t="str">
        <f t="shared" si="1453"/>
        <v>89632000</v>
      </c>
      <c r="C6613" t="str">
        <f t="shared" si="1453"/>
        <v>89632000</v>
      </c>
      <c r="D6613" t="str">
        <f t="shared" si="1454"/>
        <v>809</v>
      </c>
      <c r="E6613" t="str">
        <f>"89301212"</f>
        <v>89301212</v>
      </c>
      <c r="F6613" t="str">
        <f>"7752285321"</f>
        <v>7752285321</v>
      </c>
      <c r="G6613" s="1">
        <v>44721</v>
      </c>
      <c r="H6613" t="str">
        <f>"89514"</f>
        <v>89514</v>
      </c>
      <c r="I6613">
        <v>1</v>
      </c>
      <c r="J6613">
        <v>371</v>
      </c>
      <c r="K6613">
        <v>0</v>
      </c>
      <c r="L6613">
        <v>519.4</v>
      </c>
    </row>
    <row r="6614" spans="1:12" x14ac:dyDescent="0.25">
      <c r="A6614" t="str">
        <f t="shared" si="1451"/>
        <v>89301000</v>
      </c>
      <c r="B6614" t="str">
        <f t="shared" si="1453"/>
        <v>89632000</v>
      </c>
      <c r="C6614" t="str">
        <f t="shared" si="1453"/>
        <v>89632000</v>
      </c>
      <c r="D6614" t="str">
        <f t="shared" si="1454"/>
        <v>809</v>
      </c>
      <c r="E6614" t="str">
        <f>"89301032"</f>
        <v>89301032</v>
      </c>
      <c r="F6614" t="str">
        <f>"7352125759"</f>
        <v>7352125759</v>
      </c>
      <c r="G6614" s="1">
        <v>44725</v>
      </c>
      <c r="H6614" t="str">
        <f>"89513"</f>
        <v>89513</v>
      </c>
      <c r="I6614">
        <v>1</v>
      </c>
      <c r="J6614">
        <v>371</v>
      </c>
      <c r="K6614">
        <v>0</v>
      </c>
      <c r="L6614">
        <v>519.4</v>
      </c>
    </row>
    <row r="6615" spans="1:12" x14ac:dyDescent="0.25">
      <c r="A6615" t="str">
        <f t="shared" si="1451"/>
        <v>89301000</v>
      </c>
      <c r="B6615" t="str">
        <f t="shared" si="1453"/>
        <v>89632000</v>
      </c>
      <c r="C6615" t="str">
        <f t="shared" si="1453"/>
        <v>89632000</v>
      </c>
      <c r="D6615" t="str">
        <f t="shared" si="1454"/>
        <v>809</v>
      </c>
      <c r="E6615" t="str">
        <f>"89301032"</f>
        <v>89301032</v>
      </c>
      <c r="F6615" t="str">
        <f>"7352125759"</f>
        <v>7352125759</v>
      </c>
      <c r="G6615" s="1">
        <v>44725</v>
      </c>
      <c r="H6615" t="str">
        <f>"89514"</f>
        <v>89514</v>
      </c>
      <c r="I6615">
        <v>1</v>
      </c>
      <c r="J6615">
        <v>371</v>
      </c>
      <c r="K6615">
        <v>0</v>
      </c>
      <c r="L6615">
        <v>519.4</v>
      </c>
    </row>
    <row r="6616" spans="1:12" x14ac:dyDescent="0.25">
      <c r="A6616" t="str">
        <f t="shared" si="1451"/>
        <v>89301000</v>
      </c>
      <c r="B6616" t="str">
        <f t="shared" si="1453"/>
        <v>89632000</v>
      </c>
      <c r="C6616" t="str">
        <f t="shared" si="1453"/>
        <v>89632000</v>
      </c>
      <c r="D6616" t="str">
        <f t="shared" si="1454"/>
        <v>809</v>
      </c>
      <c r="E6616" t="str">
        <f>"89301132"</f>
        <v>89301132</v>
      </c>
      <c r="F6616" t="str">
        <f>"7661125340"</f>
        <v>7661125340</v>
      </c>
      <c r="G6616" s="1">
        <v>44718</v>
      </c>
      <c r="H6616" t="str">
        <f>"89513"</f>
        <v>89513</v>
      </c>
      <c r="I6616">
        <v>1</v>
      </c>
      <c r="J6616">
        <v>371</v>
      </c>
      <c r="K6616">
        <v>0</v>
      </c>
      <c r="L6616">
        <v>519.4</v>
      </c>
    </row>
    <row r="6617" spans="1:12" x14ac:dyDescent="0.25">
      <c r="A6617" t="str">
        <f t="shared" si="1451"/>
        <v>89301000</v>
      </c>
      <c r="B6617" t="str">
        <f t="shared" si="1453"/>
        <v>89632000</v>
      </c>
      <c r="C6617" t="str">
        <f t="shared" si="1453"/>
        <v>89632000</v>
      </c>
      <c r="D6617" t="str">
        <f t="shared" si="1454"/>
        <v>809</v>
      </c>
      <c r="E6617" t="str">
        <f>"89301132"</f>
        <v>89301132</v>
      </c>
      <c r="F6617" t="str">
        <f>"7661125340"</f>
        <v>7661125340</v>
      </c>
      <c r="G6617" s="1">
        <v>44718</v>
      </c>
      <c r="H6617" t="str">
        <f>"89514"</f>
        <v>89514</v>
      </c>
      <c r="I6617">
        <v>1</v>
      </c>
      <c r="J6617">
        <v>371</v>
      </c>
      <c r="K6617">
        <v>0</v>
      </c>
      <c r="L6617">
        <v>519.4</v>
      </c>
    </row>
    <row r="6618" spans="1:12" x14ac:dyDescent="0.25">
      <c r="A6618" t="str">
        <f t="shared" si="1451"/>
        <v>89301000</v>
      </c>
      <c r="B6618" t="str">
        <f t="shared" si="1453"/>
        <v>89632000</v>
      </c>
      <c r="C6618" t="str">
        <f t="shared" si="1453"/>
        <v>89632000</v>
      </c>
      <c r="D6618" t="str">
        <f t="shared" si="1454"/>
        <v>809</v>
      </c>
      <c r="E6618" t="str">
        <f>"89301032"</f>
        <v>89301032</v>
      </c>
      <c r="F6618" t="str">
        <f>"8862065795"</f>
        <v>8862065795</v>
      </c>
      <c r="G6618" s="1">
        <v>44725</v>
      </c>
      <c r="H6618" t="str">
        <f>"89513"</f>
        <v>89513</v>
      </c>
      <c r="I6618">
        <v>1</v>
      </c>
      <c r="J6618">
        <v>371</v>
      </c>
      <c r="K6618">
        <v>0</v>
      </c>
      <c r="L6618">
        <v>519.4</v>
      </c>
    </row>
    <row r="6619" spans="1:12" x14ac:dyDescent="0.25">
      <c r="A6619" t="str">
        <f t="shared" si="1451"/>
        <v>89301000</v>
      </c>
      <c r="B6619" t="str">
        <f t="shared" si="1453"/>
        <v>89632000</v>
      </c>
      <c r="C6619" t="str">
        <f t="shared" si="1453"/>
        <v>89632000</v>
      </c>
      <c r="D6619" t="str">
        <f t="shared" si="1454"/>
        <v>809</v>
      </c>
      <c r="E6619" t="str">
        <f>"89301032"</f>
        <v>89301032</v>
      </c>
      <c r="F6619" t="str">
        <f>"8862065795"</f>
        <v>8862065795</v>
      </c>
      <c r="G6619" s="1">
        <v>44725</v>
      </c>
      <c r="H6619" t="str">
        <f>"89514"</f>
        <v>89514</v>
      </c>
      <c r="I6619">
        <v>1</v>
      </c>
      <c r="J6619">
        <v>371</v>
      </c>
      <c r="K6619">
        <v>0</v>
      </c>
      <c r="L6619">
        <v>519.4</v>
      </c>
    </row>
    <row r="6620" spans="1:12" x14ac:dyDescent="0.25">
      <c r="A6620" t="str">
        <f t="shared" si="1451"/>
        <v>89301000</v>
      </c>
      <c r="B6620" t="str">
        <f t="shared" ref="B6620:B6639" si="1455">"93201000"</f>
        <v>93201000</v>
      </c>
      <c r="C6620" t="str">
        <f t="shared" ref="C6620:C6633" si="1456">"93201350"</f>
        <v>93201350</v>
      </c>
      <c r="D6620" t="str">
        <f t="shared" si="1454"/>
        <v>809</v>
      </c>
      <c r="E6620" t="str">
        <f>"89301062"</f>
        <v>89301062</v>
      </c>
      <c r="F6620" t="str">
        <f>"7359255783"</f>
        <v>7359255783</v>
      </c>
      <c r="G6620" s="1">
        <v>44676</v>
      </c>
      <c r="H6620" t="str">
        <f>"89615"</f>
        <v>89615</v>
      </c>
      <c r="I6620">
        <v>1</v>
      </c>
      <c r="J6620">
        <v>2170</v>
      </c>
      <c r="K6620">
        <v>0</v>
      </c>
      <c r="L6620">
        <v>1302</v>
      </c>
    </row>
    <row r="6621" spans="1:12" x14ac:dyDescent="0.25">
      <c r="A6621" t="str">
        <f t="shared" si="1451"/>
        <v>89301000</v>
      </c>
      <c r="B6621" t="str">
        <f t="shared" si="1455"/>
        <v>93201000</v>
      </c>
      <c r="C6621" t="str">
        <f t="shared" si="1456"/>
        <v>93201350</v>
      </c>
      <c r="D6621" t="str">
        <f t="shared" si="1454"/>
        <v>809</v>
      </c>
      <c r="E6621" t="str">
        <f>"89301212"</f>
        <v>89301212</v>
      </c>
      <c r="F6621" t="str">
        <f>"480122435"</f>
        <v>480122435</v>
      </c>
      <c r="G6621" s="1">
        <v>44715</v>
      </c>
      <c r="H6621" t="str">
        <f>"89131"</f>
        <v>89131</v>
      </c>
      <c r="I6621">
        <v>1</v>
      </c>
      <c r="J6621">
        <v>187</v>
      </c>
      <c r="K6621">
        <v>0</v>
      </c>
      <c r="L6621">
        <v>261.8</v>
      </c>
    </row>
    <row r="6622" spans="1:12" x14ac:dyDescent="0.25">
      <c r="A6622" t="str">
        <f t="shared" si="1451"/>
        <v>89301000</v>
      </c>
      <c r="B6622" t="str">
        <f t="shared" si="1455"/>
        <v>93201000</v>
      </c>
      <c r="C6622" t="str">
        <f t="shared" si="1456"/>
        <v>93201350</v>
      </c>
      <c r="D6622" t="str">
        <f t="shared" si="1454"/>
        <v>809</v>
      </c>
      <c r="E6622" t="str">
        <f>"89301212"</f>
        <v>89301212</v>
      </c>
      <c r="F6622" t="str">
        <f>"8461163502"</f>
        <v>8461163502</v>
      </c>
      <c r="G6622" s="1">
        <v>44714</v>
      </c>
      <c r="H6622" t="str">
        <f>"89513"</f>
        <v>89513</v>
      </c>
      <c r="I6622">
        <v>1</v>
      </c>
      <c r="J6622">
        <v>371</v>
      </c>
      <c r="K6622">
        <v>0</v>
      </c>
      <c r="L6622">
        <v>519.4</v>
      </c>
    </row>
    <row r="6623" spans="1:12" x14ac:dyDescent="0.25">
      <c r="A6623" t="str">
        <f t="shared" si="1451"/>
        <v>89301000</v>
      </c>
      <c r="B6623" t="str">
        <f t="shared" si="1455"/>
        <v>93201000</v>
      </c>
      <c r="C6623" t="str">
        <f t="shared" si="1456"/>
        <v>93201350</v>
      </c>
      <c r="D6623" t="str">
        <f t="shared" si="1454"/>
        <v>809</v>
      </c>
      <c r="E6623" t="str">
        <f>"89301212"</f>
        <v>89301212</v>
      </c>
      <c r="F6623" t="str">
        <f>"8461163502"</f>
        <v>8461163502</v>
      </c>
      <c r="G6623" s="1">
        <v>44714</v>
      </c>
      <c r="H6623" t="str">
        <f>"89514"</f>
        <v>89514</v>
      </c>
      <c r="I6623">
        <v>1</v>
      </c>
      <c r="J6623">
        <v>371</v>
      </c>
      <c r="K6623">
        <v>0</v>
      </c>
      <c r="L6623">
        <v>519.4</v>
      </c>
    </row>
    <row r="6624" spans="1:12" x14ac:dyDescent="0.25">
      <c r="A6624" t="str">
        <f t="shared" si="1451"/>
        <v>89301000</v>
      </c>
      <c r="B6624" t="str">
        <f t="shared" si="1455"/>
        <v>93201000</v>
      </c>
      <c r="C6624" t="str">
        <f t="shared" si="1456"/>
        <v>93201350</v>
      </c>
      <c r="D6624" t="str">
        <f t="shared" si="1454"/>
        <v>809</v>
      </c>
      <c r="E6624" t="str">
        <f>"89301212"</f>
        <v>89301212</v>
      </c>
      <c r="F6624" t="str">
        <f>"480122435"</f>
        <v>480122435</v>
      </c>
      <c r="G6624" s="1">
        <v>44715</v>
      </c>
      <c r="H6624" t="str">
        <f>"89513"</f>
        <v>89513</v>
      </c>
      <c r="I6624">
        <v>1</v>
      </c>
      <c r="J6624">
        <v>371</v>
      </c>
      <c r="K6624">
        <v>0</v>
      </c>
      <c r="L6624">
        <v>519.4</v>
      </c>
    </row>
    <row r="6625" spans="1:12" x14ac:dyDescent="0.25">
      <c r="A6625" t="str">
        <f t="shared" si="1451"/>
        <v>89301000</v>
      </c>
      <c r="B6625" t="str">
        <f t="shared" si="1455"/>
        <v>93201000</v>
      </c>
      <c r="C6625" t="str">
        <f t="shared" si="1456"/>
        <v>93201350</v>
      </c>
      <c r="D6625" t="str">
        <f t="shared" si="1454"/>
        <v>809</v>
      </c>
      <c r="E6625" t="str">
        <f>"89301212"</f>
        <v>89301212</v>
      </c>
      <c r="F6625" t="str">
        <f>"480122435"</f>
        <v>480122435</v>
      </c>
      <c r="G6625" s="1">
        <v>44715</v>
      </c>
      <c r="H6625" t="str">
        <f>"89514"</f>
        <v>89514</v>
      </c>
      <c r="I6625">
        <v>1</v>
      </c>
      <c r="J6625">
        <v>371</v>
      </c>
      <c r="K6625">
        <v>0</v>
      </c>
      <c r="L6625">
        <v>519.4</v>
      </c>
    </row>
    <row r="6626" spans="1:12" x14ac:dyDescent="0.25">
      <c r="A6626" t="str">
        <f t="shared" si="1451"/>
        <v>89301000</v>
      </c>
      <c r="B6626" t="str">
        <f t="shared" si="1455"/>
        <v>93201000</v>
      </c>
      <c r="C6626" t="str">
        <f t="shared" si="1456"/>
        <v>93201350</v>
      </c>
      <c r="D6626" t="str">
        <f t="shared" si="1454"/>
        <v>809</v>
      </c>
      <c r="E6626" t="str">
        <f>"89301032"</f>
        <v>89301032</v>
      </c>
      <c r="F6626" t="str">
        <f>"7957285776"</f>
        <v>7957285776</v>
      </c>
      <c r="G6626" s="1">
        <v>44732</v>
      </c>
      <c r="H6626" t="str">
        <f>"89513"</f>
        <v>89513</v>
      </c>
      <c r="I6626">
        <v>1</v>
      </c>
      <c r="J6626">
        <v>371</v>
      </c>
      <c r="K6626">
        <v>0</v>
      </c>
      <c r="L6626">
        <v>519.4</v>
      </c>
    </row>
    <row r="6627" spans="1:12" x14ac:dyDescent="0.25">
      <c r="A6627" t="str">
        <f t="shared" si="1451"/>
        <v>89301000</v>
      </c>
      <c r="B6627" t="str">
        <f t="shared" si="1455"/>
        <v>93201000</v>
      </c>
      <c r="C6627" t="str">
        <f t="shared" si="1456"/>
        <v>93201350</v>
      </c>
      <c r="D6627" t="str">
        <f t="shared" si="1454"/>
        <v>809</v>
      </c>
      <c r="E6627" t="str">
        <f>"89301032"</f>
        <v>89301032</v>
      </c>
      <c r="F6627" t="str">
        <f>"7957285776"</f>
        <v>7957285776</v>
      </c>
      <c r="G6627" s="1">
        <v>44732</v>
      </c>
      <c r="H6627" t="str">
        <f>"89514"</f>
        <v>89514</v>
      </c>
      <c r="I6627">
        <v>1</v>
      </c>
      <c r="J6627">
        <v>371</v>
      </c>
      <c r="K6627">
        <v>0</v>
      </c>
      <c r="L6627">
        <v>519.4</v>
      </c>
    </row>
    <row r="6628" spans="1:12" x14ac:dyDescent="0.25">
      <c r="A6628" t="str">
        <f t="shared" si="1451"/>
        <v>89301000</v>
      </c>
      <c r="B6628" t="str">
        <f t="shared" si="1455"/>
        <v>93201000</v>
      </c>
      <c r="C6628" t="str">
        <f t="shared" si="1456"/>
        <v>93201350</v>
      </c>
      <c r="D6628" t="str">
        <f t="shared" si="1454"/>
        <v>809</v>
      </c>
      <c r="E6628" t="str">
        <f t="shared" ref="E6628:E6633" si="1457">"89301212"</f>
        <v>89301212</v>
      </c>
      <c r="F6628" t="str">
        <f>"515124381"</f>
        <v>515124381</v>
      </c>
      <c r="G6628" s="1">
        <v>44735</v>
      </c>
      <c r="H6628" t="str">
        <f>"89180"</f>
        <v>89180</v>
      </c>
      <c r="I6628">
        <v>2</v>
      </c>
      <c r="J6628">
        <v>752</v>
      </c>
      <c r="K6628">
        <v>0</v>
      </c>
      <c r="L6628">
        <v>1052.8</v>
      </c>
    </row>
    <row r="6629" spans="1:12" x14ac:dyDescent="0.25">
      <c r="A6629" t="str">
        <f t="shared" si="1451"/>
        <v>89301000</v>
      </c>
      <c r="B6629" t="str">
        <f t="shared" si="1455"/>
        <v>93201000</v>
      </c>
      <c r="C6629" t="str">
        <f t="shared" si="1456"/>
        <v>93201350</v>
      </c>
      <c r="D6629" t="str">
        <f t="shared" si="1454"/>
        <v>809</v>
      </c>
      <c r="E6629" t="str">
        <f t="shared" si="1457"/>
        <v>89301212</v>
      </c>
      <c r="F6629" t="str">
        <f>"515124381"</f>
        <v>515124381</v>
      </c>
      <c r="G6629" s="1">
        <v>44735</v>
      </c>
      <c r="H6629" t="str">
        <f>"89512"</f>
        <v>89512</v>
      </c>
      <c r="I6629">
        <v>1</v>
      </c>
      <c r="J6629">
        <v>277</v>
      </c>
      <c r="K6629">
        <v>0</v>
      </c>
      <c r="L6629">
        <v>387.8</v>
      </c>
    </row>
    <row r="6630" spans="1:12" x14ac:dyDescent="0.25">
      <c r="A6630" t="str">
        <f t="shared" si="1451"/>
        <v>89301000</v>
      </c>
      <c r="B6630" t="str">
        <f t="shared" si="1455"/>
        <v>93201000</v>
      </c>
      <c r="C6630" t="str">
        <f t="shared" si="1456"/>
        <v>93201350</v>
      </c>
      <c r="D6630" t="str">
        <f t="shared" si="1454"/>
        <v>809</v>
      </c>
      <c r="E6630" t="str">
        <f t="shared" si="1457"/>
        <v>89301212</v>
      </c>
      <c r="F6630" t="str">
        <f>"7655135785"</f>
        <v>7655135785</v>
      </c>
      <c r="G6630" s="1">
        <v>44742</v>
      </c>
      <c r="H6630" t="str">
        <f>"89512"</f>
        <v>89512</v>
      </c>
      <c r="I6630">
        <v>1</v>
      </c>
      <c r="J6630">
        <v>277</v>
      </c>
      <c r="K6630">
        <v>0</v>
      </c>
      <c r="L6630">
        <v>387.8</v>
      </c>
    </row>
    <row r="6631" spans="1:12" x14ac:dyDescent="0.25">
      <c r="A6631" t="str">
        <f t="shared" si="1451"/>
        <v>89301000</v>
      </c>
      <c r="B6631" t="str">
        <f t="shared" si="1455"/>
        <v>93201000</v>
      </c>
      <c r="C6631" t="str">
        <f t="shared" si="1456"/>
        <v>93201350</v>
      </c>
      <c r="D6631" t="str">
        <f t="shared" si="1454"/>
        <v>809</v>
      </c>
      <c r="E6631" t="str">
        <f t="shared" si="1457"/>
        <v>89301212</v>
      </c>
      <c r="F6631" t="str">
        <f>"7655135785"</f>
        <v>7655135785</v>
      </c>
      <c r="G6631" s="1">
        <v>44742</v>
      </c>
      <c r="H6631" t="str">
        <f>"89180"</f>
        <v>89180</v>
      </c>
      <c r="I6631">
        <v>2</v>
      </c>
      <c r="J6631">
        <v>752</v>
      </c>
      <c r="K6631">
        <v>0</v>
      </c>
      <c r="L6631">
        <v>1052.8</v>
      </c>
    </row>
    <row r="6632" spans="1:12" x14ac:dyDescent="0.25">
      <c r="A6632" t="str">
        <f t="shared" si="1451"/>
        <v>89301000</v>
      </c>
      <c r="B6632" t="str">
        <f t="shared" si="1455"/>
        <v>93201000</v>
      </c>
      <c r="C6632" t="str">
        <f t="shared" si="1456"/>
        <v>93201350</v>
      </c>
      <c r="D6632" t="str">
        <f t="shared" si="1454"/>
        <v>809</v>
      </c>
      <c r="E6632" t="str">
        <f t="shared" si="1457"/>
        <v>89301212</v>
      </c>
      <c r="F6632" t="str">
        <f>"455827421"</f>
        <v>455827421</v>
      </c>
      <c r="G6632" s="1">
        <v>44741</v>
      </c>
      <c r="H6632" t="str">
        <f>"89512"</f>
        <v>89512</v>
      </c>
      <c r="I6632">
        <v>1</v>
      </c>
      <c r="J6632">
        <v>277</v>
      </c>
      <c r="K6632">
        <v>0</v>
      </c>
      <c r="L6632">
        <v>387.8</v>
      </c>
    </row>
    <row r="6633" spans="1:12" x14ac:dyDescent="0.25">
      <c r="A6633" t="str">
        <f t="shared" si="1451"/>
        <v>89301000</v>
      </c>
      <c r="B6633" t="str">
        <f t="shared" si="1455"/>
        <v>93201000</v>
      </c>
      <c r="C6633" t="str">
        <f t="shared" si="1456"/>
        <v>93201350</v>
      </c>
      <c r="D6633" t="str">
        <f t="shared" si="1454"/>
        <v>809</v>
      </c>
      <c r="E6633" t="str">
        <f t="shared" si="1457"/>
        <v>89301212</v>
      </c>
      <c r="F6633" t="str">
        <f>"455827421"</f>
        <v>455827421</v>
      </c>
      <c r="G6633" s="1">
        <v>44741</v>
      </c>
      <c r="H6633" t="str">
        <f>"89180"</f>
        <v>89180</v>
      </c>
      <c r="I6633">
        <v>2</v>
      </c>
      <c r="J6633">
        <v>752</v>
      </c>
      <c r="K6633">
        <v>0</v>
      </c>
      <c r="L6633">
        <v>1052.8</v>
      </c>
    </row>
    <row r="6634" spans="1:12" x14ac:dyDescent="0.25">
      <c r="A6634" t="str">
        <f t="shared" si="1451"/>
        <v>89301000</v>
      </c>
      <c r="B6634" t="str">
        <f t="shared" si="1455"/>
        <v>93201000</v>
      </c>
      <c r="C6634" t="str">
        <f t="shared" ref="C6634:C6639" si="1458">"93201355"</f>
        <v>93201355</v>
      </c>
      <c r="D6634" t="str">
        <f t="shared" ref="D6634:D6639" si="1459">"810"</f>
        <v>810</v>
      </c>
      <c r="E6634" t="str">
        <f>"89301172"</f>
        <v>89301172</v>
      </c>
      <c r="F6634" t="str">
        <f>"471029422"</f>
        <v>471029422</v>
      </c>
      <c r="G6634" s="1">
        <v>44718</v>
      </c>
      <c r="H6634" t="str">
        <f>"89713"</f>
        <v>89713</v>
      </c>
      <c r="I6634">
        <v>1</v>
      </c>
      <c r="J6634">
        <v>5362</v>
      </c>
      <c r="K6634">
        <v>0</v>
      </c>
      <c r="L6634">
        <v>3217.2</v>
      </c>
    </row>
    <row r="6635" spans="1:12" x14ac:dyDescent="0.25">
      <c r="A6635" t="str">
        <f t="shared" si="1451"/>
        <v>89301000</v>
      </c>
      <c r="B6635" t="str">
        <f t="shared" si="1455"/>
        <v>93201000</v>
      </c>
      <c r="C6635" t="str">
        <f t="shared" si="1458"/>
        <v>93201355</v>
      </c>
      <c r="D6635" t="str">
        <f t="shared" si="1459"/>
        <v>810</v>
      </c>
      <c r="E6635" t="str">
        <f>"89301172"</f>
        <v>89301172</v>
      </c>
      <c r="F6635" t="str">
        <f>"471029422"</f>
        <v>471029422</v>
      </c>
      <c r="G6635" s="1">
        <v>44718</v>
      </c>
      <c r="H6635" t="str">
        <f>"89725"</f>
        <v>89725</v>
      </c>
      <c r="I6635">
        <v>1</v>
      </c>
      <c r="J6635">
        <v>2839</v>
      </c>
      <c r="K6635">
        <v>0</v>
      </c>
      <c r="L6635">
        <v>1703.4</v>
      </c>
    </row>
    <row r="6636" spans="1:12" x14ac:dyDescent="0.25">
      <c r="A6636" t="str">
        <f t="shared" si="1451"/>
        <v>89301000</v>
      </c>
      <c r="B6636" t="str">
        <f t="shared" si="1455"/>
        <v>93201000</v>
      </c>
      <c r="C6636" t="str">
        <f t="shared" si="1458"/>
        <v>93201355</v>
      </c>
      <c r="D6636" t="str">
        <f t="shared" si="1459"/>
        <v>810</v>
      </c>
      <c r="E6636" t="str">
        <f>"89301028"</f>
        <v>89301028</v>
      </c>
      <c r="F6636" t="str">
        <f>"7251075766"</f>
        <v>7251075766</v>
      </c>
      <c r="G6636" s="1">
        <v>44737</v>
      </c>
      <c r="H6636" t="str">
        <f>"89715"</f>
        <v>89715</v>
      </c>
      <c r="I6636">
        <v>1</v>
      </c>
      <c r="J6636">
        <v>5474</v>
      </c>
      <c r="K6636">
        <v>0</v>
      </c>
      <c r="L6636">
        <v>3284.4</v>
      </c>
    </row>
    <row r="6637" spans="1:12" x14ac:dyDescent="0.25">
      <c r="A6637" t="str">
        <f t="shared" si="1451"/>
        <v>89301000</v>
      </c>
      <c r="B6637" t="str">
        <f t="shared" si="1455"/>
        <v>93201000</v>
      </c>
      <c r="C6637" t="str">
        <f t="shared" si="1458"/>
        <v>93201355</v>
      </c>
      <c r="D6637" t="str">
        <f t="shared" si="1459"/>
        <v>810</v>
      </c>
      <c r="E6637" t="str">
        <f>"89301028"</f>
        <v>89301028</v>
      </c>
      <c r="F6637" t="str">
        <f>"7251075766"</f>
        <v>7251075766</v>
      </c>
      <c r="G6637" s="1">
        <v>44737</v>
      </c>
      <c r="H6637" t="str">
        <f>"89725"</f>
        <v>89725</v>
      </c>
      <c r="I6637">
        <v>1</v>
      </c>
      <c r="J6637">
        <v>2839</v>
      </c>
      <c r="K6637">
        <v>0</v>
      </c>
      <c r="L6637">
        <v>1703.4</v>
      </c>
    </row>
    <row r="6638" spans="1:12" x14ac:dyDescent="0.25">
      <c r="A6638" t="str">
        <f t="shared" si="1451"/>
        <v>89301000</v>
      </c>
      <c r="B6638" t="str">
        <f t="shared" si="1455"/>
        <v>93201000</v>
      </c>
      <c r="C6638" t="str">
        <f t="shared" si="1458"/>
        <v>93201355</v>
      </c>
      <c r="D6638" t="str">
        <f t="shared" si="1459"/>
        <v>810</v>
      </c>
      <c r="E6638" t="str">
        <f>"89301062"</f>
        <v>89301062</v>
      </c>
      <c r="F6638" t="str">
        <f>"7853045816"</f>
        <v>7853045816</v>
      </c>
      <c r="G6638" s="1">
        <v>44736</v>
      </c>
      <c r="H6638" t="str">
        <f>"89713"</f>
        <v>89713</v>
      </c>
      <c r="I6638">
        <v>1</v>
      </c>
      <c r="J6638">
        <v>5362</v>
      </c>
      <c r="K6638">
        <v>0</v>
      </c>
      <c r="L6638">
        <v>3217.2</v>
      </c>
    </row>
    <row r="6639" spans="1:12" x14ac:dyDescent="0.25">
      <c r="A6639" t="str">
        <f t="shared" si="1451"/>
        <v>89301000</v>
      </c>
      <c r="B6639" t="str">
        <f t="shared" si="1455"/>
        <v>93201000</v>
      </c>
      <c r="C6639" t="str">
        <f t="shared" si="1458"/>
        <v>93201355</v>
      </c>
      <c r="D6639" t="str">
        <f t="shared" si="1459"/>
        <v>810</v>
      </c>
      <c r="E6639" t="str">
        <f>"89301172"</f>
        <v>89301172</v>
      </c>
      <c r="F6639" t="str">
        <f>"6854150270"</f>
        <v>6854150270</v>
      </c>
      <c r="G6639" s="1">
        <v>44713</v>
      </c>
      <c r="H6639" t="str">
        <f>"89713"</f>
        <v>89713</v>
      </c>
      <c r="I6639">
        <v>1</v>
      </c>
      <c r="J6639">
        <v>5362</v>
      </c>
      <c r="K6639">
        <v>0</v>
      </c>
      <c r="L6639">
        <v>3217.2</v>
      </c>
    </row>
    <row r="6640" spans="1:12" x14ac:dyDescent="0.25">
      <c r="A6640" t="str">
        <f t="shared" si="1451"/>
        <v>89301000</v>
      </c>
      <c r="B6640" t="str">
        <f>"95202000"</f>
        <v>95202000</v>
      </c>
      <c r="C6640" t="str">
        <f>"95202511"</f>
        <v>95202511</v>
      </c>
      <c r="D6640" t="str">
        <f>"809"</f>
        <v>809</v>
      </c>
      <c r="E6640" t="str">
        <f>"89301212"</f>
        <v>89301212</v>
      </c>
      <c r="F6640" t="str">
        <f>"7454188489"</f>
        <v>7454188489</v>
      </c>
      <c r="G6640" s="1">
        <v>44720</v>
      </c>
      <c r="H6640" t="str">
        <f>"89131"</f>
        <v>89131</v>
      </c>
      <c r="I6640">
        <v>1</v>
      </c>
      <c r="J6640">
        <v>187</v>
      </c>
      <c r="K6640">
        <v>0</v>
      </c>
      <c r="L6640">
        <v>261.8</v>
      </c>
    </row>
    <row r="6641" spans="1:12" x14ac:dyDescent="0.25">
      <c r="A6641" t="str">
        <f t="shared" si="1451"/>
        <v>89301000</v>
      </c>
      <c r="B6641" t="str">
        <f>"95202000"</f>
        <v>95202000</v>
      </c>
      <c r="C6641" t="str">
        <f>"95202511"</f>
        <v>95202511</v>
      </c>
      <c r="D6641" t="str">
        <f>"809"</f>
        <v>809</v>
      </c>
      <c r="E6641" t="str">
        <f>"89301212"</f>
        <v>89301212</v>
      </c>
      <c r="F6641" t="str">
        <f>"7454188489"</f>
        <v>7454188489</v>
      </c>
      <c r="G6641" s="1">
        <v>44720</v>
      </c>
      <c r="H6641" t="str">
        <f>"09572"</f>
        <v>09572</v>
      </c>
      <c r="I6641">
        <v>1</v>
      </c>
      <c r="J6641">
        <v>0</v>
      </c>
      <c r="K6641">
        <v>0</v>
      </c>
      <c r="L6641">
        <v>0</v>
      </c>
    </row>
    <row r="6642" spans="1:12" x14ac:dyDescent="0.25">
      <c r="A6642" t="str">
        <f t="shared" si="1451"/>
        <v>89301000</v>
      </c>
      <c r="B6642" t="str">
        <f>"95202000"</f>
        <v>95202000</v>
      </c>
      <c r="C6642" t="str">
        <f>"95202511"</f>
        <v>95202511</v>
      </c>
      <c r="D6642" t="str">
        <f>"809"</f>
        <v>809</v>
      </c>
      <c r="E6642" t="str">
        <f>"89301212"</f>
        <v>89301212</v>
      </c>
      <c r="F6642" t="str">
        <f>"7454188489"</f>
        <v>7454188489</v>
      </c>
      <c r="G6642" s="1">
        <v>44720</v>
      </c>
      <c r="H6642" t="str">
        <f>"89513"</f>
        <v>89513</v>
      </c>
      <c r="I6642">
        <v>1</v>
      </c>
      <c r="J6642">
        <v>371</v>
      </c>
      <c r="K6642">
        <v>0</v>
      </c>
      <c r="L6642">
        <v>519.4</v>
      </c>
    </row>
    <row r="6643" spans="1:12" x14ac:dyDescent="0.25">
      <c r="A6643" t="str">
        <f t="shared" si="1451"/>
        <v>89301000</v>
      </c>
      <c r="B6643" t="str">
        <f>"95202000"</f>
        <v>95202000</v>
      </c>
      <c r="C6643" t="str">
        <f>"95202511"</f>
        <v>95202511</v>
      </c>
      <c r="D6643" t="str">
        <f>"809"</f>
        <v>809</v>
      </c>
      <c r="E6643" t="str">
        <f>"89301212"</f>
        <v>89301212</v>
      </c>
      <c r="F6643" t="str">
        <f>"7454188489"</f>
        <v>7454188489</v>
      </c>
      <c r="G6643" s="1">
        <v>44720</v>
      </c>
      <c r="H6643" t="str">
        <f>"89514"</f>
        <v>89514</v>
      </c>
      <c r="I6643">
        <v>1</v>
      </c>
      <c r="J6643">
        <v>371</v>
      </c>
      <c r="K6643">
        <v>0</v>
      </c>
      <c r="L6643">
        <v>519.4</v>
      </c>
    </row>
    <row r="6644" spans="1:12" x14ac:dyDescent="0.25">
      <c r="A6644" t="str">
        <f t="shared" si="1451"/>
        <v>89301000</v>
      </c>
      <c r="B6644" t="str">
        <f>"86102000"</f>
        <v>86102000</v>
      </c>
      <c r="C6644" t="str">
        <f>"86102476"</f>
        <v>86102476</v>
      </c>
      <c r="D6644" t="str">
        <f>"801"</f>
        <v>801</v>
      </c>
      <c r="E6644" t="str">
        <f>"89301082"</f>
        <v>89301082</v>
      </c>
      <c r="F6644" t="str">
        <f>"9452085511"</f>
        <v>9452085511</v>
      </c>
      <c r="G6644" s="1">
        <v>44718</v>
      </c>
      <c r="H6644" t="str">
        <f>"09119"</f>
        <v>09119</v>
      </c>
      <c r="I6644">
        <v>1</v>
      </c>
      <c r="J6644">
        <v>42</v>
      </c>
      <c r="K6644">
        <v>0</v>
      </c>
      <c r="L6644">
        <v>32.76</v>
      </c>
    </row>
    <row r="6645" spans="1:12" x14ac:dyDescent="0.25">
      <c r="A6645" t="str">
        <f t="shared" si="1451"/>
        <v>89301000</v>
      </c>
      <c r="B6645" t="str">
        <f>"86102000"</f>
        <v>86102000</v>
      </c>
      <c r="C6645" t="str">
        <f>"86102476"</f>
        <v>86102476</v>
      </c>
      <c r="D6645" t="str">
        <f>"801"</f>
        <v>801</v>
      </c>
      <c r="E6645" t="str">
        <f>"89301082"</f>
        <v>89301082</v>
      </c>
      <c r="F6645" t="str">
        <f>"9452085511"</f>
        <v>9452085511</v>
      </c>
      <c r="G6645" s="1">
        <v>44718</v>
      </c>
      <c r="H6645" t="str">
        <f>"93159"</f>
        <v>93159</v>
      </c>
      <c r="I6645">
        <v>1</v>
      </c>
      <c r="J6645">
        <v>195</v>
      </c>
      <c r="K6645">
        <v>0</v>
      </c>
      <c r="L6645">
        <v>152.1</v>
      </c>
    </row>
    <row r="6646" spans="1:12" x14ac:dyDescent="0.25">
      <c r="A6646" t="str">
        <f t="shared" si="1451"/>
        <v>89301000</v>
      </c>
      <c r="B6646" t="str">
        <f>"86102000"</f>
        <v>86102000</v>
      </c>
      <c r="C6646" t="str">
        <f>"86102476"</f>
        <v>86102476</v>
      </c>
      <c r="D6646" t="str">
        <f>"801"</f>
        <v>801</v>
      </c>
      <c r="E6646" t="str">
        <f>"89301082"</f>
        <v>89301082</v>
      </c>
      <c r="F6646" t="str">
        <f>"9452085511"</f>
        <v>9452085511</v>
      </c>
      <c r="G6646" s="1">
        <v>44718</v>
      </c>
      <c r="H6646" t="str">
        <f>"97111"</f>
        <v>97111</v>
      </c>
      <c r="I6646">
        <v>1</v>
      </c>
      <c r="J6646">
        <v>18</v>
      </c>
      <c r="K6646">
        <v>0</v>
      </c>
      <c r="L6646">
        <v>14.04</v>
      </c>
    </row>
    <row r="6647" spans="1:12" x14ac:dyDescent="0.25">
      <c r="A6647" t="str">
        <f t="shared" si="1451"/>
        <v>89301000</v>
      </c>
      <c r="B6647" t="str">
        <f t="shared" ref="B6647:B6661" si="1460">"02004000"</f>
        <v>02004000</v>
      </c>
      <c r="C6647" t="str">
        <f>"02004545"</f>
        <v>02004545</v>
      </c>
      <c r="D6647" t="str">
        <f>"816"</f>
        <v>816</v>
      </c>
      <c r="E6647" t="str">
        <f>"89301322"</f>
        <v>89301322</v>
      </c>
      <c r="F6647" t="str">
        <f>"8951285717"</f>
        <v>8951285717</v>
      </c>
      <c r="G6647" s="1">
        <v>44700</v>
      </c>
      <c r="H6647" t="str">
        <f>"94221"</f>
        <v>94221</v>
      </c>
      <c r="I6647">
        <v>5</v>
      </c>
      <c r="J6647">
        <v>12265</v>
      </c>
      <c r="K6647">
        <v>0</v>
      </c>
      <c r="L6647">
        <v>10425.25</v>
      </c>
    </row>
    <row r="6648" spans="1:12" x14ac:dyDescent="0.25">
      <c r="A6648" t="str">
        <f t="shared" si="1451"/>
        <v>89301000</v>
      </c>
      <c r="B6648" t="str">
        <f t="shared" si="1460"/>
        <v>02004000</v>
      </c>
      <c r="C6648" t="str">
        <f t="shared" ref="C6648:C6655" si="1461">"02004556"</f>
        <v>02004556</v>
      </c>
      <c r="D6648" t="str">
        <f t="shared" ref="D6648:D6655" si="1462">"813"</f>
        <v>813</v>
      </c>
      <c r="E6648" t="str">
        <f>"89301102"</f>
        <v>89301102</v>
      </c>
      <c r="F6648" t="str">
        <f>"0707116157"</f>
        <v>0707116157</v>
      </c>
      <c r="G6648" s="1">
        <v>44704</v>
      </c>
      <c r="H6648" t="str">
        <f>"91249"</f>
        <v>91249</v>
      </c>
      <c r="I6648">
        <v>1</v>
      </c>
      <c r="J6648">
        <v>1489</v>
      </c>
      <c r="K6648">
        <v>0</v>
      </c>
      <c r="L6648">
        <v>1161.42</v>
      </c>
    </row>
    <row r="6649" spans="1:12" x14ac:dyDescent="0.25">
      <c r="A6649" t="str">
        <f t="shared" si="1451"/>
        <v>89301000</v>
      </c>
      <c r="B6649" t="str">
        <f t="shared" si="1460"/>
        <v>02004000</v>
      </c>
      <c r="C6649" t="str">
        <f t="shared" si="1461"/>
        <v>02004556</v>
      </c>
      <c r="D6649" t="str">
        <f t="shared" si="1462"/>
        <v>813</v>
      </c>
      <c r="E6649" t="str">
        <f>"89301102"</f>
        <v>89301102</v>
      </c>
      <c r="F6649" t="str">
        <f>"0707116157"</f>
        <v>0707116157</v>
      </c>
      <c r="G6649" s="1">
        <v>44704</v>
      </c>
      <c r="H6649" t="str">
        <f>"91251"</f>
        <v>91251</v>
      </c>
      <c r="I6649">
        <v>1</v>
      </c>
      <c r="J6649">
        <v>1489</v>
      </c>
      <c r="K6649">
        <v>0</v>
      </c>
      <c r="L6649">
        <v>1161.42</v>
      </c>
    </row>
    <row r="6650" spans="1:12" x14ac:dyDescent="0.25">
      <c r="A6650" t="str">
        <f t="shared" si="1451"/>
        <v>89301000</v>
      </c>
      <c r="B6650" t="str">
        <f t="shared" si="1460"/>
        <v>02004000</v>
      </c>
      <c r="C6650" t="str">
        <f t="shared" si="1461"/>
        <v>02004556</v>
      </c>
      <c r="D6650" t="str">
        <f t="shared" si="1462"/>
        <v>813</v>
      </c>
      <c r="E6650" t="str">
        <f>"89301028"</f>
        <v>89301028</v>
      </c>
      <c r="F6650" t="str">
        <f>"8104305132"</f>
        <v>8104305132</v>
      </c>
      <c r="G6650" s="1">
        <v>44712</v>
      </c>
      <c r="H6650" t="str">
        <f>"91249"</f>
        <v>91249</v>
      </c>
      <c r="I6650">
        <v>1</v>
      </c>
      <c r="J6650">
        <v>1489</v>
      </c>
      <c r="K6650">
        <v>0</v>
      </c>
      <c r="L6650">
        <v>1161.42</v>
      </c>
    </row>
    <row r="6651" spans="1:12" x14ac:dyDescent="0.25">
      <c r="A6651" t="str">
        <f t="shared" si="1451"/>
        <v>89301000</v>
      </c>
      <c r="B6651" t="str">
        <f t="shared" si="1460"/>
        <v>02004000</v>
      </c>
      <c r="C6651" t="str">
        <f t="shared" si="1461"/>
        <v>02004556</v>
      </c>
      <c r="D6651" t="str">
        <f t="shared" si="1462"/>
        <v>813</v>
      </c>
      <c r="E6651" t="str">
        <f>"89301028"</f>
        <v>89301028</v>
      </c>
      <c r="F6651" t="str">
        <f>"8104305132"</f>
        <v>8104305132</v>
      </c>
      <c r="G6651" s="1">
        <v>44712</v>
      </c>
      <c r="H6651" t="str">
        <f>"91251"</f>
        <v>91251</v>
      </c>
      <c r="I6651">
        <v>1</v>
      </c>
      <c r="J6651">
        <v>1489</v>
      </c>
      <c r="K6651">
        <v>0</v>
      </c>
      <c r="L6651">
        <v>1161.42</v>
      </c>
    </row>
    <row r="6652" spans="1:12" x14ac:dyDescent="0.25">
      <c r="A6652" t="str">
        <f t="shared" si="1451"/>
        <v>89301000</v>
      </c>
      <c r="B6652" t="str">
        <f t="shared" si="1460"/>
        <v>02004000</v>
      </c>
      <c r="C6652" t="str">
        <f t="shared" si="1461"/>
        <v>02004556</v>
      </c>
      <c r="D6652" t="str">
        <f t="shared" si="1462"/>
        <v>813</v>
      </c>
      <c r="E6652" t="str">
        <f>"89301702"</f>
        <v>89301702</v>
      </c>
      <c r="F6652" t="str">
        <f>"0658303239"</f>
        <v>0658303239</v>
      </c>
      <c r="G6652" s="1">
        <v>44707</v>
      </c>
      <c r="H6652" t="str">
        <f>"91249"</f>
        <v>91249</v>
      </c>
      <c r="I6652">
        <v>1</v>
      </c>
      <c r="J6652">
        <v>1489</v>
      </c>
      <c r="K6652">
        <v>0</v>
      </c>
      <c r="L6652">
        <v>1161.42</v>
      </c>
    </row>
    <row r="6653" spans="1:12" x14ac:dyDescent="0.25">
      <c r="A6653" t="str">
        <f t="shared" si="1451"/>
        <v>89301000</v>
      </c>
      <c r="B6653" t="str">
        <f t="shared" si="1460"/>
        <v>02004000</v>
      </c>
      <c r="C6653" t="str">
        <f t="shared" si="1461"/>
        <v>02004556</v>
      </c>
      <c r="D6653" t="str">
        <f t="shared" si="1462"/>
        <v>813</v>
      </c>
      <c r="E6653" t="str">
        <f>"89301702"</f>
        <v>89301702</v>
      </c>
      <c r="F6653" t="str">
        <f>"0658303239"</f>
        <v>0658303239</v>
      </c>
      <c r="G6653" s="1">
        <v>44707</v>
      </c>
      <c r="H6653" t="str">
        <f>"91251"</f>
        <v>91251</v>
      </c>
      <c r="I6653">
        <v>1</v>
      </c>
      <c r="J6653">
        <v>1489</v>
      </c>
      <c r="K6653">
        <v>0</v>
      </c>
      <c r="L6653">
        <v>1161.42</v>
      </c>
    </row>
    <row r="6654" spans="1:12" x14ac:dyDescent="0.25">
      <c r="A6654" t="str">
        <f t="shared" si="1451"/>
        <v>89301000</v>
      </c>
      <c r="B6654" t="str">
        <f t="shared" si="1460"/>
        <v>02004000</v>
      </c>
      <c r="C6654" t="str">
        <f t="shared" si="1461"/>
        <v>02004556</v>
      </c>
      <c r="D6654" t="str">
        <f t="shared" si="1462"/>
        <v>813</v>
      </c>
      <c r="E6654" t="str">
        <f>"89301028"</f>
        <v>89301028</v>
      </c>
      <c r="F6654" t="str">
        <f>"9512015700"</f>
        <v>9512015700</v>
      </c>
      <c r="G6654" s="1">
        <v>44712</v>
      </c>
      <c r="H6654" t="str">
        <f>"91249"</f>
        <v>91249</v>
      </c>
      <c r="I6654">
        <v>1</v>
      </c>
      <c r="J6654">
        <v>1489</v>
      </c>
      <c r="K6654">
        <v>0</v>
      </c>
      <c r="L6654">
        <v>1161.42</v>
      </c>
    </row>
    <row r="6655" spans="1:12" x14ac:dyDescent="0.25">
      <c r="A6655" t="str">
        <f t="shared" si="1451"/>
        <v>89301000</v>
      </c>
      <c r="B6655" t="str">
        <f t="shared" si="1460"/>
        <v>02004000</v>
      </c>
      <c r="C6655" t="str">
        <f t="shared" si="1461"/>
        <v>02004556</v>
      </c>
      <c r="D6655" t="str">
        <f t="shared" si="1462"/>
        <v>813</v>
      </c>
      <c r="E6655" t="str">
        <f>"89301028"</f>
        <v>89301028</v>
      </c>
      <c r="F6655" t="str">
        <f>"9512015700"</f>
        <v>9512015700</v>
      </c>
      <c r="G6655" s="1">
        <v>44712</v>
      </c>
      <c r="H6655" t="str">
        <f>"91251"</f>
        <v>91251</v>
      </c>
      <c r="I6655">
        <v>1</v>
      </c>
      <c r="J6655">
        <v>1489</v>
      </c>
      <c r="K6655">
        <v>0</v>
      </c>
      <c r="L6655">
        <v>1161.42</v>
      </c>
    </row>
    <row r="6656" spans="1:12" x14ac:dyDescent="0.25">
      <c r="A6656" t="str">
        <f t="shared" si="1451"/>
        <v>89301000</v>
      </c>
      <c r="B6656" t="str">
        <f t="shared" si="1460"/>
        <v>02004000</v>
      </c>
      <c r="C6656" t="str">
        <f>"02004545"</f>
        <v>02004545</v>
      </c>
      <c r="D6656" t="str">
        <f>"816"</f>
        <v>816</v>
      </c>
      <c r="E6656" t="str">
        <f>"89301322"</f>
        <v>89301322</v>
      </c>
      <c r="F6656" t="str">
        <f>"8951285717"</f>
        <v>8951285717</v>
      </c>
      <c r="G6656" s="1">
        <v>44733</v>
      </c>
      <c r="H6656" t="str">
        <f>"94331"</f>
        <v>94331</v>
      </c>
      <c r="I6656">
        <v>1</v>
      </c>
      <c r="J6656">
        <v>7778</v>
      </c>
      <c r="K6656">
        <v>0</v>
      </c>
      <c r="L6656">
        <v>6611.3</v>
      </c>
    </row>
    <row r="6657" spans="1:12" x14ac:dyDescent="0.25">
      <c r="A6657" t="str">
        <f t="shared" si="1451"/>
        <v>89301000</v>
      </c>
      <c r="B6657" t="str">
        <f t="shared" si="1460"/>
        <v>02004000</v>
      </c>
      <c r="C6657" t="str">
        <f>"02004545"</f>
        <v>02004545</v>
      </c>
      <c r="D6657" t="str">
        <f>"816"</f>
        <v>816</v>
      </c>
      <c r="E6657" t="str">
        <f>"89301282"</f>
        <v>89301282</v>
      </c>
      <c r="F6657" t="str">
        <f>"0410045262"</f>
        <v>0410045262</v>
      </c>
      <c r="G6657" s="1">
        <v>44715</v>
      </c>
      <c r="H6657" t="str">
        <f>"94221"</f>
        <v>94221</v>
      </c>
      <c r="I6657">
        <v>2</v>
      </c>
      <c r="J6657">
        <v>4906</v>
      </c>
      <c r="K6657">
        <v>0</v>
      </c>
      <c r="L6657">
        <v>4170.1000000000004</v>
      </c>
    </row>
    <row r="6658" spans="1:12" x14ac:dyDescent="0.25">
      <c r="A6658" t="str">
        <f t="shared" ref="A6658:A6721" si="1463">"89301000"</f>
        <v>89301000</v>
      </c>
      <c r="B6658" t="str">
        <f t="shared" si="1460"/>
        <v>02004000</v>
      </c>
      <c r="C6658" t="str">
        <f>"02004556"</f>
        <v>02004556</v>
      </c>
      <c r="D6658" t="str">
        <f>"813"</f>
        <v>813</v>
      </c>
      <c r="E6658" t="str">
        <f>"89301702"</f>
        <v>89301702</v>
      </c>
      <c r="F6658" t="str">
        <f>"1754070054"</f>
        <v>1754070054</v>
      </c>
      <c r="G6658" s="1">
        <v>44714</v>
      </c>
      <c r="H6658" t="str">
        <f>"91249"</f>
        <v>91249</v>
      </c>
      <c r="I6658">
        <v>1</v>
      </c>
      <c r="J6658">
        <v>1489</v>
      </c>
      <c r="K6658">
        <v>0</v>
      </c>
      <c r="L6658">
        <v>1161.42</v>
      </c>
    </row>
    <row r="6659" spans="1:12" x14ac:dyDescent="0.25">
      <c r="A6659" t="str">
        <f t="shared" si="1463"/>
        <v>89301000</v>
      </c>
      <c r="B6659" t="str">
        <f t="shared" si="1460"/>
        <v>02004000</v>
      </c>
      <c r="C6659" t="str">
        <f>"02004556"</f>
        <v>02004556</v>
      </c>
      <c r="D6659" t="str">
        <f>"813"</f>
        <v>813</v>
      </c>
      <c r="E6659" t="str">
        <f>"89301702"</f>
        <v>89301702</v>
      </c>
      <c r="F6659" t="str">
        <f>"1754070054"</f>
        <v>1754070054</v>
      </c>
      <c r="G6659" s="1">
        <v>44714</v>
      </c>
      <c r="H6659" t="str">
        <f>"91251"</f>
        <v>91251</v>
      </c>
      <c r="I6659">
        <v>1</v>
      </c>
      <c r="J6659">
        <v>1489</v>
      </c>
      <c r="K6659">
        <v>0</v>
      </c>
      <c r="L6659">
        <v>1161.42</v>
      </c>
    </row>
    <row r="6660" spans="1:12" x14ac:dyDescent="0.25">
      <c r="A6660" t="str">
        <f t="shared" si="1463"/>
        <v>89301000</v>
      </c>
      <c r="B6660" t="str">
        <f t="shared" si="1460"/>
        <v>02004000</v>
      </c>
      <c r="C6660" t="str">
        <f>"02004556"</f>
        <v>02004556</v>
      </c>
      <c r="D6660" t="str">
        <f>"813"</f>
        <v>813</v>
      </c>
      <c r="E6660" t="str">
        <f>"89301028"</f>
        <v>89301028</v>
      </c>
      <c r="F6660" t="str">
        <f>"9357105703"</f>
        <v>9357105703</v>
      </c>
      <c r="G6660" s="1">
        <v>44714</v>
      </c>
      <c r="H6660" t="str">
        <f>"91249"</f>
        <v>91249</v>
      </c>
      <c r="I6660">
        <v>1</v>
      </c>
      <c r="J6660">
        <v>1489</v>
      </c>
      <c r="K6660">
        <v>0</v>
      </c>
      <c r="L6660">
        <v>1161.42</v>
      </c>
    </row>
    <row r="6661" spans="1:12" x14ac:dyDescent="0.25">
      <c r="A6661" t="str">
        <f t="shared" si="1463"/>
        <v>89301000</v>
      </c>
      <c r="B6661" t="str">
        <f t="shared" si="1460"/>
        <v>02004000</v>
      </c>
      <c r="C6661" t="str">
        <f>"02004556"</f>
        <v>02004556</v>
      </c>
      <c r="D6661" t="str">
        <f>"813"</f>
        <v>813</v>
      </c>
      <c r="E6661" t="str">
        <f>"89301028"</f>
        <v>89301028</v>
      </c>
      <c r="F6661" t="str">
        <f>"9357105703"</f>
        <v>9357105703</v>
      </c>
      <c r="G6661" s="1">
        <v>44714</v>
      </c>
      <c r="H6661" t="str">
        <f>"91251"</f>
        <v>91251</v>
      </c>
      <c r="I6661">
        <v>1</v>
      </c>
      <c r="J6661">
        <v>1489</v>
      </c>
      <c r="K6661">
        <v>0</v>
      </c>
      <c r="L6661">
        <v>1161.42</v>
      </c>
    </row>
    <row r="6662" spans="1:12" x14ac:dyDescent="0.25">
      <c r="A6662" t="str">
        <f t="shared" si="1463"/>
        <v>89301000</v>
      </c>
      <c r="B6662" t="str">
        <f>"87004000"</f>
        <v>87004000</v>
      </c>
      <c r="C6662" t="str">
        <f>"87004889"</f>
        <v>87004889</v>
      </c>
      <c r="D6662" t="str">
        <f>"809"</f>
        <v>809</v>
      </c>
      <c r="E6662" t="str">
        <f>"89301062"</f>
        <v>89301062</v>
      </c>
      <c r="F6662" t="str">
        <f>"6403301641"</f>
        <v>6403301641</v>
      </c>
      <c r="G6662" s="1">
        <v>44721</v>
      </c>
      <c r="H6662" t="str">
        <f>"89615"</f>
        <v>89615</v>
      </c>
      <c r="I6662">
        <v>1</v>
      </c>
      <c r="J6662">
        <v>2170</v>
      </c>
      <c r="K6662">
        <v>0</v>
      </c>
      <c r="L6662">
        <v>1302</v>
      </c>
    </row>
    <row r="6663" spans="1:12" x14ac:dyDescent="0.25">
      <c r="A6663" t="str">
        <f t="shared" si="1463"/>
        <v>89301000</v>
      </c>
      <c r="B6663" t="str">
        <f>"87004000"</f>
        <v>87004000</v>
      </c>
      <c r="C6663" t="str">
        <f>"87004900"</f>
        <v>87004900</v>
      </c>
      <c r="D6663" t="str">
        <f>"810"</f>
        <v>810</v>
      </c>
      <c r="E6663" t="str">
        <f>"89301062"</f>
        <v>89301062</v>
      </c>
      <c r="F6663" t="str">
        <f>"6403301641"</f>
        <v>6403301641</v>
      </c>
      <c r="G6663" s="1">
        <v>44721</v>
      </c>
      <c r="H6663" t="str">
        <f>"89713"</f>
        <v>89713</v>
      </c>
      <c r="I6663">
        <v>1</v>
      </c>
      <c r="J6663">
        <v>5362</v>
      </c>
      <c r="K6663">
        <v>0</v>
      </c>
      <c r="L6663">
        <v>3217.2</v>
      </c>
    </row>
    <row r="6664" spans="1:12" x14ac:dyDescent="0.25">
      <c r="A6664" t="str">
        <f t="shared" si="1463"/>
        <v>89301000</v>
      </c>
      <c r="B6664" t="str">
        <f t="shared" ref="B6664:B6679" si="1464">"91009000"</f>
        <v>91009000</v>
      </c>
      <c r="C6664" t="str">
        <f>"91009581"</f>
        <v>91009581</v>
      </c>
      <c r="D6664" t="str">
        <f>"801"</f>
        <v>801</v>
      </c>
      <c r="E6664" t="str">
        <f>"89301167"</f>
        <v>89301167</v>
      </c>
      <c r="F6664" t="str">
        <f>"530220073"</f>
        <v>530220073</v>
      </c>
      <c r="G6664" s="1">
        <v>44729</v>
      </c>
      <c r="H6664" t="str">
        <f>"81383"</f>
        <v>81383</v>
      </c>
      <c r="I6664">
        <v>1</v>
      </c>
      <c r="J6664">
        <v>23</v>
      </c>
      <c r="K6664">
        <v>0</v>
      </c>
      <c r="L6664">
        <v>17.940000000000001</v>
      </c>
    </row>
    <row r="6665" spans="1:12" x14ac:dyDescent="0.25">
      <c r="A6665" t="str">
        <f t="shared" si="1463"/>
        <v>89301000</v>
      </c>
      <c r="B6665" t="str">
        <f t="shared" si="1464"/>
        <v>91009000</v>
      </c>
      <c r="C6665" t="str">
        <f>"91009581"</f>
        <v>91009581</v>
      </c>
      <c r="D6665" t="str">
        <f>"801"</f>
        <v>801</v>
      </c>
      <c r="E6665" t="str">
        <f>"89301167"</f>
        <v>89301167</v>
      </c>
      <c r="F6665" t="str">
        <f>"530220073"</f>
        <v>530220073</v>
      </c>
      <c r="G6665" s="1">
        <v>44729</v>
      </c>
      <c r="H6665" t="str">
        <f>"97111"</f>
        <v>97111</v>
      </c>
      <c r="I6665">
        <v>1</v>
      </c>
      <c r="J6665">
        <v>18</v>
      </c>
      <c r="K6665">
        <v>0</v>
      </c>
      <c r="L6665">
        <v>14.04</v>
      </c>
    </row>
    <row r="6666" spans="1:12" x14ac:dyDescent="0.25">
      <c r="A6666" t="str">
        <f t="shared" si="1463"/>
        <v>89301000</v>
      </c>
      <c r="B6666" t="str">
        <f t="shared" si="1464"/>
        <v>91009000</v>
      </c>
      <c r="C6666" t="str">
        <f>"91009581"</f>
        <v>91009581</v>
      </c>
      <c r="D6666" t="str">
        <f>"801"</f>
        <v>801</v>
      </c>
      <c r="E6666" t="str">
        <f>"89301212"</f>
        <v>89301212</v>
      </c>
      <c r="F6666" t="str">
        <f>"8556125776"</f>
        <v>8556125776</v>
      </c>
      <c r="G6666" s="1">
        <v>44733</v>
      </c>
      <c r="H6666" t="str">
        <f>"97111"</f>
        <v>97111</v>
      </c>
      <c r="I6666">
        <v>1</v>
      </c>
      <c r="J6666">
        <v>18</v>
      </c>
      <c r="K6666">
        <v>0</v>
      </c>
      <c r="L6666">
        <v>14.04</v>
      </c>
    </row>
    <row r="6667" spans="1:12" x14ac:dyDescent="0.25">
      <c r="A6667" t="str">
        <f t="shared" si="1463"/>
        <v>89301000</v>
      </c>
      <c r="B6667" t="str">
        <f t="shared" si="1464"/>
        <v>91009000</v>
      </c>
      <c r="C6667" t="str">
        <f t="shared" ref="C6667:C6672" si="1465">"91009605"</f>
        <v>91009605</v>
      </c>
      <c r="D6667" t="str">
        <f t="shared" ref="D6667:D6672" si="1466">"818"</f>
        <v>818</v>
      </c>
      <c r="E6667" t="str">
        <f>"89301109"</f>
        <v>89301109</v>
      </c>
      <c r="F6667" t="str">
        <f>"1104270849"</f>
        <v>1104270849</v>
      </c>
      <c r="G6667" s="1">
        <v>44740</v>
      </c>
      <c r="H6667" t="str">
        <f>"91431"</f>
        <v>91431</v>
      </c>
      <c r="I6667">
        <v>1</v>
      </c>
      <c r="J6667">
        <v>535</v>
      </c>
      <c r="K6667">
        <v>0</v>
      </c>
      <c r="L6667">
        <v>486.85</v>
      </c>
    </row>
    <row r="6668" spans="1:12" x14ac:dyDescent="0.25">
      <c r="A6668" t="str">
        <f t="shared" si="1463"/>
        <v>89301000</v>
      </c>
      <c r="B6668" t="str">
        <f t="shared" si="1464"/>
        <v>91009000</v>
      </c>
      <c r="C6668" t="str">
        <f t="shared" si="1465"/>
        <v>91009605</v>
      </c>
      <c r="D6668" t="str">
        <f t="shared" si="1466"/>
        <v>818</v>
      </c>
      <c r="E6668" t="str">
        <f>"89301109"</f>
        <v>89301109</v>
      </c>
      <c r="F6668" t="str">
        <f>"1104270849"</f>
        <v>1104270849</v>
      </c>
      <c r="G6668" s="1">
        <v>44742</v>
      </c>
      <c r="H6668" t="str">
        <f>"22122"</f>
        <v>22122</v>
      </c>
      <c r="I6668">
        <v>1</v>
      </c>
      <c r="J6668">
        <v>573</v>
      </c>
      <c r="K6668">
        <v>0</v>
      </c>
      <c r="L6668">
        <v>521.42999999999995</v>
      </c>
    </row>
    <row r="6669" spans="1:12" x14ac:dyDescent="0.25">
      <c r="A6669" t="str">
        <f t="shared" si="1463"/>
        <v>89301000</v>
      </c>
      <c r="B6669" t="str">
        <f t="shared" si="1464"/>
        <v>91009000</v>
      </c>
      <c r="C6669" t="str">
        <f t="shared" si="1465"/>
        <v>91009605</v>
      </c>
      <c r="D6669" t="str">
        <f t="shared" si="1466"/>
        <v>818</v>
      </c>
      <c r="E6669" t="str">
        <f>"89301109"</f>
        <v>89301109</v>
      </c>
      <c r="F6669" t="str">
        <f>"1104270849"</f>
        <v>1104270849</v>
      </c>
      <c r="G6669" s="1">
        <v>44742</v>
      </c>
      <c r="H6669" t="str">
        <f>"22123"</f>
        <v>22123</v>
      </c>
      <c r="I6669">
        <v>1</v>
      </c>
      <c r="J6669">
        <v>322</v>
      </c>
      <c r="K6669">
        <v>0</v>
      </c>
      <c r="L6669">
        <v>293.02</v>
      </c>
    </row>
    <row r="6670" spans="1:12" x14ac:dyDescent="0.25">
      <c r="A6670" t="str">
        <f t="shared" si="1463"/>
        <v>89301000</v>
      </c>
      <c r="B6670" t="str">
        <f t="shared" si="1464"/>
        <v>91009000</v>
      </c>
      <c r="C6670" t="str">
        <f t="shared" si="1465"/>
        <v>91009605</v>
      </c>
      <c r="D6670" t="str">
        <f t="shared" si="1466"/>
        <v>818</v>
      </c>
      <c r="E6670" t="str">
        <f>"89301322"</f>
        <v>89301322</v>
      </c>
      <c r="F6670" t="str">
        <f>"466202461"</f>
        <v>466202461</v>
      </c>
      <c r="G6670" s="1">
        <v>44740</v>
      </c>
      <c r="H6670" t="str">
        <f>"91431"</f>
        <v>91431</v>
      </c>
      <c r="I6670">
        <v>1</v>
      </c>
      <c r="J6670">
        <v>535</v>
      </c>
      <c r="K6670">
        <v>0</v>
      </c>
      <c r="L6670">
        <v>486.85</v>
      </c>
    </row>
    <row r="6671" spans="1:12" x14ac:dyDescent="0.25">
      <c r="A6671" t="str">
        <f t="shared" si="1463"/>
        <v>89301000</v>
      </c>
      <c r="B6671" t="str">
        <f t="shared" si="1464"/>
        <v>91009000</v>
      </c>
      <c r="C6671" t="str">
        <f t="shared" si="1465"/>
        <v>91009605</v>
      </c>
      <c r="D6671" t="str">
        <f t="shared" si="1466"/>
        <v>818</v>
      </c>
      <c r="E6671" t="str">
        <f>"89301322"</f>
        <v>89301322</v>
      </c>
      <c r="F6671" t="str">
        <f>"466202461"</f>
        <v>466202461</v>
      </c>
      <c r="G6671" s="1">
        <v>44742</v>
      </c>
      <c r="H6671" t="str">
        <f>"22123"</f>
        <v>22123</v>
      </c>
      <c r="I6671">
        <v>1</v>
      </c>
      <c r="J6671">
        <v>322</v>
      </c>
      <c r="K6671">
        <v>0</v>
      </c>
      <c r="L6671">
        <v>293.02</v>
      </c>
    </row>
    <row r="6672" spans="1:12" x14ac:dyDescent="0.25">
      <c r="A6672" t="str">
        <f t="shared" si="1463"/>
        <v>89301000</v>
      </c>
      <c r="B6672" t="str">
        <f t="shared" si="1464"/>
        <v>91009000</v>
      </c>
      <c r="C6672" t="str">
        <f t="shared" si="1465"/>
        <v>91009605</v>
      </c>
      <c r="D6672" t="str">
        <f t="shared" si="1466"/>
        <v>818</v>
      </c>
      <c r="E6672" t="str">
        <f>"89301322"</f>
        <v>89301322</v>
      </c>
      <c r="F6672" t="str">
        <f>"466202461"</f>
        <v>466202461</v>
      </c>
      <c r="G6672" s="1">
        <v>44742</v>
      </c>
      <c r="H6672" t="str">
        <f>"22127"</f>
        <v>22127</v>
      </c>
      <c r="I6672">
        <v>1</v>
      </c>
      <c r="J6672">
        <v>330</v>
      </c>
      <c r="K6672">
        <v>0</v>
      </c>
      <c r="L6672">
        <v>300.3</v>
      </c>
    </row>
    <row r="6673" spans="1:12" x14ac:dyDescent="0.25">
      <c r="A6673" t="str">
        <f t="shared" si="1463"/>
        <v>89301000</v>
      </c>
      <c r="B6673" t="str">
        <f t="shared" si="1464"/>
        <v>91009000</v>
      </c>
      <c r="C6673" t="str">
        <f>"91009132"</f>
        <v>91009132</v>
      </c>
      <c r="D6673" t="str">
        <f>"812"</f>
        <v>812</v>
      </c>
      <c r="E6673" t="str">
        <f>"89301212"</f>
        <v>89301212</v>
      </c>
      <c r="F6673" t="str">
        <f>"8556125776"</f>
        <v>8556125776</v>
      </c>
      <c r="G6673" s="1">
        <v>44733</v>
      </c>
      <c r="H6673" t="str">
        <f>"92157"</f>
        <v>92157</v>
      </c>
      <c r="I6673">
        <v>1</v>
      </c>
      <c r="J6673">
        <v>1754</v>
      </c>
      <c r="K6673">
        <v>0</v>
      </c>
      <c r="L6673">
        <v>1368.12</v>
      </c>
    </row>
    <row r="6674" spans="1:12" x14ac:dyDescent="0.25">
      <c r="A6674" t="str">
        <f t="shared" si="1463"/>
        <v>89301000</v>
      </c>
      <c r="B6674" t="str">
        <f t="shared" si="1464"/>
        <v>91009000</v>
      </c>
      <c r="C6674" t="str">
        <f t="shared" ref="C6674:C6679" si="1467">"91009522"</f>
        <v>91009522</v>
      </c>
      <c r="D6674" t="str">
        <f t="shared" ref="D6674:D6679" si="1468">"816"</f>
        <v>816</v>
      </c>
      <c r="E6674" t="str">
        <f t="shared" ref="E6674:E6679" si="1469">"89301282"</f>
        <v>89301282</v>
      </c>
      <c r="F6674" t="str">
        <f>"1951311879"</f>
        <v>1951311879</v>
      </c>
      <c r="G6674" s="1">
        <v>44717</v>
      </c>
      <c r="H6674" t="str">
        <f>"94948"</f>
        <v>94948</v>
      </c>
      <c r="I6674">
        <v>2</v>
      </c>
      <c r="J6674">
        <v>0</v>
      </c>
      <c r="K6674">
        <v>0</v>
      </c>
      <c r="L6674">
        <v>0</v>
      </c>
    </row>
    <row r="6675" spans="1:12" x14ac:dyDescent="0.25">
      <c r="A6675" t="str">
        <f t="shared" si="1463"/>
        <v>89301000</v>
      </c>
      <c r="B6675" t="str">
        <f t="shared" si="1464"/>
        <v>91009000</v>
      </c>
      <c r="C6675" t="str">
        <f t="shared" si="1467"/>
        <v>91009522</v>
      </c>
      <c r="D6675" t="str">
        <f t="shared" si="1468"/>
        <v>816</v>
      </c>
      <c r="E6675" t="str">
        <f t="shared" si="1469"/>
        <v>89301282</v>
      </c>
      <c r="F6675" t="str">
        <f>"1951311879"</f>
        <v>1951311879</v>
      </c>
      <c r="G6675" s="1">
        <v>44717</v>
      </c>
      <c r="H6675" t="str">
        <f>"94983"</f>
        <v>94983</v>
      </c>
      <c r="I6675">
        <v>1</v>
      </c>
      <c r="J6675">
        <v>0</v>
      </c>
      <c r="K6675">
        <v>39600</v>
      </c>
      <c r="L6675">
        <v>39600</v>
      </c>
    </row>
    <row r="6676" spans="1:12" x14ac:dyDescent="0.25">
      <c r="A6676" t="str">
        <f t="shared" si="1463"/>
        <v>89301000</v>
      </c>
      <c r="B6676" t="str">
        <f t="shared" si="1464"/>
        <v>91009000</v>
      </c>
      <c r="C6676" t="str">
        <f t="shared" si="1467"/>
        <v>91009522</v>
      </c>
      <c r="D6676" t="str">
        <f t="shared" si="1468"/>
        <v>816</v>
      </c>
      <c r="E6676" t="str">
        <f t="shared" si="1469"/>
        <v>89301282</v>
      </c>
      <c r="F6676" t="str">
        <f>"1951311879"</f>
        <v>1951311879</v>
      </c>
      <c r="G6676" s="1">
        <v>44717</v>
      </c>
      <c r="H6676" t="str">
        <f>"94996"</f>
        <v>94996</v>
      </c>
      <c r="I6676">
        <v>1</v>
      </c>
      <c r="J6676">
        <v>0</v>
      </c>
      <c r="K6676">
        <v>0</v>
      </c>
      <c r="L6676">
        <v>0</v>
      </c>
    </row>
    <row r="6677" spans="1:12" x14ac:dyDescent="0.25">
      <c r="A6677" t="str">
        <f t="shared" si="1463"/>
        <v>89301000</v>
      </c>
      <c r="B6677" t="str">
        <f t="shared" si="1464"/>
        <v>91009000</v>
      </c>
      <c r="C6677" t="str">
        <f t="shared" si="1467"/>
        <v>91009522</v>
      </c>
      <c r="D6677" t="str">
        <f t="shared" si="1468"/>
        <v>816</v>
      </c>
      <c r="E6677" t="str">
        <f t="shared" si="1469"/>
        <v>89301282</v>
      </c>
      <c r="F6677" t="str">
        <f>"1862050256"</f>
        <v>1862050256</v>
      </c>
      <c r="G6677" s="1">
        <v>44716</v>
      </c>
      <c r="H6677" t="str">
        <f>"94948"</f>
        <v>94948</v>
      </c>
      <c r="I6677">
        <v>2</v>
      </c>
      <c r="J6677">
        <v>0</v>
      </c>
      <c r="K6677">
        <v>0</v>
      </c>
      <c r="L6677">
        <v>0</v>
      </c>
    </row>
    <row r="6678" spans="1:12" x14ac:dyDescent="0.25">
      <c r="A6678" t="str">
        <f t="shared" si="1463"/>
        <v>89301000</v>
      </c>
      <c r="B6678" t="str">
        <f t="shared" si="1464"/>
        <v>91009000</v>
      </c>
      <c r="C6678" t="str">
        <f t="shared" si="1467"/>
        <v>91009522</v>
      </c>
      <c r="D6678" t="str">
        <f t="shared" si="1468"/>
        <v>816</v>
      </c>
      <c r="E6678" t="str">
        <f t="shared" si="1469"/>
        <v>89301282</v>
      </c>
      <c r="F6678" t="str">
        <f>"1862050256"</f>
        <v>1862050256</v>
      </c>
      <c r="G6678" s="1">
        <v>44716</v>
      </c>
      <c r="H6678" t="str">
        <f>"94983"</f>
        <v>94983</v>
      </c>
      <c r="I6678">
        <v>1</v>
      </c>
      <c r="J6678">
        <v>0</v>
      </c>
      <c r="K6678">
        <v>39600</v>
      </c>
      <c r="L6678">
        <v>39600</v>
      </c>
    </row>
    <row r="6679" spans="1:12" x14ac:dyDescent="0.25">
      <c r="A6679" t="str">
        <f t="shared" si="1463"/>
        <v>89301000</v>
      </c>
      <c r="B6679" t="str">
        <f t="shared" si="1464"/>
        <v>91009000</v>
      </c>
      <c r="C6679" t="str">
        <f t="shared" si="1467"/>
        <v>91009522</v>
      </c>
      <c r="D6679" t="str">
        <f t="shared" si="1468"/>
        <v>816</v>
      </c>
      <c r="E6679" t="str">
        <f t="shared" si="1469"/>
        <v>89301282</v>
      </c>
      <c r="F6679" t="str">
        <f>"1862050256"</f>
        <v>1862050256</v>
      </c>
      <c r="G6679" s="1">
        <v>44716</v>
      </c>
      <c r="H6679" t="str">
        <f>"94996"</f>
        <v>94996</v>
      </c>
      <c r="I6679">
        <v>1</v>
      </c>
      <c r="J6679">
        <v>0</v>
      </c>
      <c r="K6679">
        <v>0</v>
      </c>
      <c r="L6679">
        <v>0</v>
      </c>
    </row>
    <row r="6680" spans="1:12" x14ac:dyDescent="0.25">
      <c r="A6680" t="str">
        <f t="shared" si="1463"/>
        <v>89301000</v>
      </c>
      <c r="B6680" t="str">
        <f>"89903000"</f>
        <v>89903000</v>
      </c>
      <c r="C6680" t="str">
        <f>"89903503"</f>
        <v>89903503</v>
      </c>
      <c r="D6680" t="str">
        <f t="shared" ref="D6680:D6685" si="1470">"809"</f>
        <v>809</v>
      </c>
      <c r="E6680" t="str">
        <f t="shared" ref="E6680:E6685" si="1471">"89301212"</f>
        <v>89301212</v>
      </c>
      <c r="F6680" t="str">
        <f>"506120227"</f>
        <v>506120227</v>
      </c>
      <c r="G6680" s="1">
        <v>44725</v>
      </c>
      <c r="H6680" t="str">
        <f>"89611"</f>
        <v>89611</v>
      </c>
      <c r="I6680">
        <v>1</v>
      </c>
      <c r="J6680">
        <v>2241</v>
      </c>
      <c r="K6680">
        <v>0</v>
      </c>
      <c r="L6680">
        <v>1344.6</v>
      </c>
    </row>
    <row r="6681" spans="1:12" x14ac:dyDescent="0.25">
      <c r="A6681" t="str">
        <f t="shared" si="1463"/>
        <v>89301000</v>
      </c>
      <c r="B6681" t="str">
        <f>"89903000"</f>
        <v>89903000</v>
      </c>
      <c r="C6681" t="str">
        <f>"89903503"</f>
        <v>89903503</v>
      </c>
      <c r="D6681" t="str">
        <f t="shared" si="1470"/>
        <v>809</v>
      </c>
      <c r="E6681" t="str">
        <f t="shared" si="1471"/>
        <v>89301212</v>
      </c>
      <c r="F6681" t="str">
        <f>"506120227"</f>
        <v>506120227</v>
      </c>
      <c r="G6681" s="1">
        <v>44725</v>
      </c>
      <c r="H6681" t="str">
        <f>"89615"</f>
        <v>89615</v>
      </c>
      <c r="I6681">
        <v>1</v>
      </c>
      <c r="J6681">
        <v>2170</v>
      </c>
      <c r="K6681">
        <v>0</v>
      </c>
      <c r="L6681">
        <v>1302</v>
      </c>
    </row>
    <row r="6682" spans="1:12" x14ac:dyDescent="0.25">
      <c r="A6682" t="str">
        <f t="shared" si="1463"/>
        <v>89301000</v>
      </c>
      <c r="B6682" t="str">
        <f>"89903000"</f>
        <v>89903000</v>
      </c>
      <c r="C6682" t="str">
        <f>"89903503"</f>
        <v>89903503</v>
      </c>
      <c r="D6682" t="str">
        <f t="shared" si="1470"/>
        <v>809</v>
      </c>
      <c r="E6682" t="str">
        <f t="shared" si="1471"/>
        <v>89301212</v>
      </c>
      <c r="F6682" t="str">
        <f>"506120227"</f>
        <v>506120227</v>
      </c>
      <c r="G6682" s="1">
        <v>44725</v>
      </c>
      <c r="H6682" t="str">
        <f>"0022075"</f>
        <v>0022075</v>
      </c>
      <c r="I6682">
        <v>1</v>
      </c>
      <c r="K6682">
        <v>1004.83</v>
      </c>
      <c r="L6682">
        <v>1004.83</v>
      </c>
    </row>
    <row r="6683" spans="1:12" x14ac:dyDescent="0.25">
      <c r="A6683" t="str">
        <f t="shared" si="1463"/>
        <v>89301000</v>
      </c>
      <c r="B6683" t="str">
        <f>"89903000"</f>
        <v>89903000</v>
      </c>
      <c r="C6683" t="str">
        <f>"89903503"</f>
        <v>89903503</v>
      </c>
      <c r="D6683" t="str">
        <f t="shared" si="1470"/>
        <v>809</v>
      </c>
      <c r="E6683" t="str">
        <f t="shared" si="1471"/>
        <v>89301212</v>
      </c>
      <c r="F6683" t="str">
        <f>"506120227"</f>
        <v>506120227</v>
      </c>
      <c r="G6683" s="1">
        <v>44725</v>
      </c>
      <c r="H6683" t="str">
        <f>"0059496"</f>
        <v>0059496</v>
      </c>
      <c r="I6683">
        <v>0.2</v>
      </c>
      <c r="K6683">
        <v>10.19</v>
      </c>
      <c r="L6683">
        <v>10.19</v>
      </c>
    </row>
    <row r="6684" spans="1:12" x14ac:dyDescent="0.25">
      <c r="A6684" t="str">
        <f t="shared" si="1463"/>
        <v>89301000</v>
      </c>
      <c r="B6684" t="str">
        <f>"85600000"</f>
        <v>85600000</v>
      </c>
      <c r="C6684" t="str">
        <f>"85600421"</f>
        <v>85600421</v>
      </c>
      <c r="D6684" t="str">
        <f t="shared" si="1470"/>
        <v>809</v>
      </c>
      <c r="E6684" t="str">
        <f t="shared" si="1471"/>
        <v>89301212</v>
      </c>
      <c r="F6684" t="str">
        <f>"7755215446"</f>
        <v>7755215446</v>
      </c>
      <c r="G6684" s="1">
        <v>44657</v>
      </c>
      <c r="H6684" t="str">
        <f>"89611"</f>
        <v>89611</v>
      </c>
      <c r="I6684">
        <v>1</v>
      </c>
      <c r="J6684">
        <v>2241</v>
      </c>
      <c r="K6684">
        <v>0</v>
      </c>
      <c r="L6684">
        <v>1344.6</v>
      </c>
    </row>
    <row r="6685" spans="1:12" x14ac:dyDescent="0.25">
      <c r="A6685" t="str">
        <f t="shared" si="1463"/>
        <v>89301000</v>
      </c>
      <c r="B6685" t="str">
        <f>"85600000"</f>
        <v>85600000</v>
      </c>
      <c r="C6685" t="str">
        <f>"85600421"</f>
        <v>85600421</v>
      </c>
      <c r="D6685" t="str">
        <f t="shared" si="1470"/>
        <v>809</v>
      </c>
      <c r="E6685" t="str">
        <f t="shared" si="1471"/>
        <v>89301212</v>
      </c>
      <c r="F6685" t="str">
        <f>"7755215446"</f>
        <v>7755215446</v>
      </c>
      <c r="G6685" s="1">
        <v>44657</v>
      </c>
      <c r="H6685" t="str">
        <f>"0137481"</f>
        <v>0137481</v>
      </c>
      <c r="I6685">
        <v>0.2</v>
      </c>
      <c r="K6685">
        <v>879.39</v>
      </c>
      <c r="L6685">
        <v>879.39</v>
      </c>
    </row>
    <row r="6686" spans="1:12" x14ac:dyDescent="0.25">
      <c r="A6686" t="str">
        <f t="shared" si="1463"/>
        <v>89301000</v>
      </c>
      <c r="B6686" t="str">
        <f t="shared" ref="B6686:B6729" si="1472">"78006000"</f>
        <v>78006000</v>
      </c>
      <c r="C6686" t="str">
        <f>"78006201"</f>
        <v>78006201</v>
      </c>
      <c r="D6686" t="str">
        <f>"801"</f>
        <v>801</v>
      </c>
      <c r="E6686" t="str">
        <f>"89301171"</f>
        <v>89301171</v>
      </c>
      <c r="F6686" t="str">
        <f>"7552114394"</f>
        <v>7552114394</v>
      </c>
      <c r="G6686" s="1">
        <v>44678</v>
      </c>
      <c r="H6686" t="str">
        <f>"81703"</f>
        <v>81703</v>
      </c>
      <c r="I6686">
        <v>2</v>
      </c>
      <c r="J6686">
        <v>556</v>
      </c>
      <c r="K6686">
        <v>0</v>
      </c>
      <c r="L6686">
        <v>433.68</v>
      </c>
    </row>
    <row r="6687" spans="1:12" x14ac:dyDescent="0.25">
      <c r="A6687" t="str">
        <f t="shared" si="1463"/>
        <v>89301000</v>
      </c>
      <c r="B6687" t="str">
        <f t="shared" si="1472"/>
        <v>78006000</v>
      </c>
      <c r="C6687" t="str">
        <f t="shared" ref="C6687:C6701" si="1473">"78006231"</f>
        <v>78006231</v>
      </c>
      <c r="D6687" t="str">
        <f t="shared" ref="D6687:D6701" si="1474">"809"</f>
        <v>809</v>
      </c>
      <c r="E6687" t="str">
        <f t="shared" ref="E6687:E6692" si="1475">"89301212"</f>
        <v>89301212</v>
      </c>
      <c r="F6687" t="str">
        <f>"485504465"</f>
        <v>485504465</v>
      </c>
      <c r="G6687" s="1">
        <v>44720</v>
      </c>
      <c r="H6687" t="str">
        <f>"89180"</f>
        <v>89180</v>
      </c>
      <c r="I6687">
        <v>2</v>
      </c>
      <c r="J6687">
        <v>752</v>
      </c>
      <c r="K6687">
        <v>0</v>
      </c>
      <c r="L6687">
        <v>1052.8</v>
      </c>
    </row>
    <row r="6688" spans="1:12" x14ac:dyDescent="0.25">
      <c r="A6688" t="str">
        <f t="shared" si="1463"/>
        <v>89301000</v>
      </c>
      <c r="B6688" t="str">
        <f t="shared" si="1472"/>
        <v>78006000</v>
      </c>
      <c r="C6688" t="str">
        <f t="shared" si="1473"/>
        <v>78006231</v>
      </c>
      <c r="D6688" t="str">
        <f t="shared" si="1474"/>
        <v>809</v>
      </c>
      <c r="E6688" t="str">
        <f t="shared" si="1475"/>
        <v>89301212</v>
      </c>
      <c r="F6688" t="str">
        <f>"485504465"</f>
        <v>485504465</v>
      </c>
      <c r="G6688" s="1">
        <v>44720</v>
      </c>
      <c r="H6688" t="str">
        <f>"89512"</f>
        <v>89512</v>
      </c>
      <c r="I6688">
        <v>1</v>
      </c>
      <c r="J6688">
        <v>277</v>
      </c>
      <c r="K6688">
        <v>0</v>
      </c>
      <c r="L6688">
        <v>387.8</v>
      </c>
    </row>
    <row r="6689" spans="1:12" x14ac:dyDescent="0.25">
      <c r="A6689" t="str">
        <f t="shared" si="1463"/>
        <v>89301000</v>
      </c>
      <c r="B6689" t="str">
        <f t="shared" si="1472"/>
        <v>78006000</v>
      </c>
      <c r="C6689" t="str">
        <f t="shared" si="1473"/>
        <v>78006231</v>
      </c>
      <c r="D6689" t="str">
        <f t="shared" si="1474"/>
        <v>809</v>
      </c>
      <c r="E6689" t="str">
        <f t="shared" si="1475"/>
        <v>89301212</v>
      </c>
      <c r="F6689" t="str">
        <f>"8654184913"</f>
        <v>8654184913</v>
      </c>
      <c r="G6689" s="1">
        <v>44722</v>
      </c>
      <c r="H6689" t="str">
        <f>"89180"</f>
        <v>89180</v>
      </c>
      <c r="I6689">
        <v>1</v>
      </c>
      <c r="J6689">
        <v>376</v>
      </c>
      <c r="K6689">
        <v>0</v>
      </c>
      <c r="L6689">
        <v>526.4</v>
      </c>
    </row>
    <row r="6690" spans="1:12" x14ac:dyDescent="0.25">
      <c r="A6690" t="str">
        <f t="shared" si="1463"/>
        <v>89301000</v>
      </c>
      <c r="B6690" t="str">
        <f t="shared" si="1472"/>
        <v>78006000</v>
      </c>
      <c r="C6690" t="str">
        <f t="shared" si="1473"/>
        <v>78006231</v>
      </c>
      <c r="D6690" t="str">
        <f t="shared" si="1474"/>
        <v>809</v>
      </c>
      <c r="E6690" t="str">
        <f t="shared" si="1475"/>
        <v>89301212</v>
      </c>
      <c r="F6690" t="str">
        <f>"8654184913"</f>
        <v>8654184913</v>
      </c>
      <c r="G6690" s="1">
        <v>44722</v>
      </c>
      <c r="H6690" t="str">
        <f>"89512"</f>
        <v>89512</v>
      </c>
      <c r="I6690">
        <v>1</v>
      </c>
      <c r="J6690">
        <v>277</v>
      </c>
      <c r="K6690">
        <v>0</v>
      </c>
      <c r="L6690">
        <v>387.8</v>
      </c>
    </row>
    <row r="6691" spans="1:12" x14ac:dyDescent="0.25">
      <c r="A6691" t="str">
        <f t="shared" si="1463"/>
        <v>89301000</v>
      </c>
      <c r="B6691" t="str">
        <f t="shared" si="1472"/>
        <v>78006000</v>
      </c>
      <c r="C6691" t="str">
        <f t="shared" si="1473"/>
        <v>78006231</v>
      </c>
      <c r="D6691" t="str">
        <f t="shared" si="1474"/>
        <v>809</v>
      </c>
      <c r="E6691" t="str">
        <f t="shared" si="1475"/>
        <v>89301212</v>
      </c>
      <c r="F6691" t="str">
        <f>"5758220963"</f>
        <v>5758220963</v>
      </c>
      <c r="G6691" s="1">
        <v>44740</v>
      </c>
      <c r="H6691" t="str">
        <f>"89180"</f>
        <v>89180</v>
      </c>
      <c r="I6691">
        <v>1</v>
      </c>
      <c r="J6691">
        <v>376</v>
      </c>
      <c r="K6691">
        <v>0</v>
      </c>
      <c r="L6691">
        <v>526.4</v>
      </c>
    </row>
    <row r="6692" spans="1:12" x14ac:dyDescent="0.25">
      <c r="A6692" t="str">
        <f t="shared" si="1463"/>
        <v>89301000</v>
      </c>
      <c r="B6692" t="str">
        <f t="shared" si="1472"/>
        <v>78006000</v>
      </c>
      <c r="C6692" t="str">
        <f t="shared" si="1473"/>
        <v>78006231</v>
      </c>
      <c r="D6692" t="str">
        <f t="shared" si="1474"/>
        <v>809</v>
      </c>
      <c r="E6692" t="str">
        <f t="shared" si="1475"/>
        <v>89301212</v>
      </c>
      <c r="F6692" t="str">
        <f>"5758220963"</f>
        <v>5758220963</v>
      </c>
      <c r="G6692" s="1">
        <v>44740</v>
      </c>
      <c r="H6692" t="str">
        <f>"89512"</f>
        <v>89512</v>
      </c>
      <c r="I6692">
        <v>1</v>
      </c>
      <c r="J6692">
        <v>277</v>
      </c>
      <c r="K6692">
        <v>0</v>
      </c>
      <c r="L6692">
        <v>387.8</v>
      </c>
    </row>
    <row r="6693" spans="1:12" x14ac:dyDescent="0.25">
      <c r="A6693" t="str">
        <f t="shared" si="1463"/>
        <v>89301000</v>
      </c>
      <c r="B6693" t="str">
        <f t="shared" si="1472"/>
        <v>78006000</v>
      </c>
      <c r="C6693" t="str">
        <f t="shared" si="1473"/>
        <v>78006231</v>
      </c>
      <c r="D6693" t="str">
        <f t="shared" si="1474"/>
        <v>809</v>
      </c>
      <c r="E6693" t="str">
        <f>"89301172"</f>
        <v>89301172</v>
      </c>
      <c r="F6693" t="str">
        <f>"5457312322"</f>
        <v>5457312322</v>
      </c>
      <c r="G6693" s="1">
        <v>44721</v>
      </c>
      <c r="H6693" t="str">
        <f>"89123"</f>
        <v>89123</v>
      </c>
      <c r="I6693">
        <v>1</v>
      </c>
      <c r="J6693">
        <v>139</v>
      </c>
      <c r="K6693">
        <v>0</v>
      </c>
      <c r="L6693">
        <v>194.6</v>
      </c>
    </row>
    <row r="6694" spans="1:12" x14ac:dyDescent="0.25">
      <c r="A6694" t="str">
        <f t="shared" si="1463"/>
        <v>89301000</v>
      </c>
      <c r="B6694" t="str">
        <f t="shared" si="1472"/>
        <v>78006000</v>
      </c>
      <c r="C6694" t="str">
        <f t="shared" si="1473"/>
        <v>78006231</v>
      </c>
      <c r="D6694" t="str">
        <f t="shared" si="1474"/>
        <v>809</v>
      </c>
      <c r="E6694" t="str">
        <f t="shared" ref="E6694:E6701" si="1476">"89301212"</f>
        <v>89301212</v>
      </c>
      <c r="F6694" t="str">
        <f>"6952284493"</f>
        <v>6952284493</v>
      </c>
      <c r="G6694" s="1">
        <v>44718</v>
      </c>
      <c r="H6694" t="str">
        <f>"89513"</f>
        <v>89513</v>
      </c>
      <c r="I6694">
        <v>1</v>
      </c>
      <c r="J6694">
        <v>371</v>
      </c>
      <c r="K6694">
        <v>0</v>
      </c>
      <c r="L6694">
        <v>519.4</v>
      </c>
    </row>
    <row r="6695" spans="1:12" x14ac:dyDescent="0.25">
      <c r="A6695" t="str">
        <f t="shared" si="1463"/>
        <v>89301000</v>
      </c>
      <c r="B6695" t="str">
        <f t="shared" si="1472"/>
        <v>78006000</v>
      </c>
      <c r="C6695" t="str">
        <f t="shared" si="1473"/>
        <v>78006231</v>
      </c>
      <c r="D6695" t="str">
        <f t="shared" si="1474"/>
        <v>809</v>
      </c>
      <c r="E6695" t="str">
        <f t="shared" si="1476"/>
        <v>89301212</v>
      </c>
      <c r="F6695" t="str">
        <f>"6952284493"</f>
        <v>6952284493</v>
      </c>
      <c r="G6695" s="1">
        <v>44718</v>
      </c>
      <c r="H6695" t="str">
        <f>"89514"</f>
        <v>89514</v>
      </c>
      <c r="I6695">
        <v>1</v>
      </c>
      <c r="J6695">
        <v>371</v>
      </c>
      <c r="K6695">
        <v>0</v>
      </c>
      <c r="L6695">
        <v>519.4</v>
      </c>
    </row>
    <row r="6696" spans="1:12" x14ac:dyDescent="0.25">
      <c r="A6696" t="str">
        <f t="shared" si="1463"/>
        <v>89301000</v>
      </c>
      <c r="B6696" t="str">
        <f t="shared" si="1472"/>
        <v>78006000</v>
      </c>
      <c r="C6696" t="str">
        <f t="shared" si="1473"/>
        <v>78006231</v>
      </c>
      <c r="D6696" t="str">
        <f t="shared" si="1474"/>
        <v>809</v>
      </c>
      <c r="E6696" t="str">
        <f t="shared" si="1476"/>
        <v>89301212</v>
      </c>
      <c r="F6696" t="str">
        <f>"7959304518"</f>
        <v>7959304518</v>
      </c>
      <c r="G6696" s="1">
        <v>44719</v>
      </c>
      <c r="H6696" t="str">
        <f>"89512"</f>
        <v>89512</v>
      </c>
      <c r="I6696">
        <v>1</v>
      </c>
      <c r="J6696">
        <v>277</v>
      </c>
      <c r="K6696">
        <v>0</v>
      </c>
      <c r="L6696">
        <v>387.8</v>
      </c>
    </row>
    <row r="6697" spans="1:12" x14ac:dyDescent="0.25">
      <c r="A6697" t="str">
        <f t="shared" si="1463"/>
        <v>89301000</v>
      </c>
      <c r="B6697" t="str">
        <f t="shared" si="1472"/>
        <v>78006000</v>
      </c>
      <c r="C6697" t="str">
        <f t="shared" si="1473"/>
        <v>78006231</v>
      </c>
      <c r="D6697" t="str">
        <f t="shared" si="1474"/>
        <v>809</v>
      </c>
      <c r="E6697" t="str">
        <f t="shared" si="1476"/>
        <v>89301212</v>
      </c>
      <c r="F6697" t="str">
        <f>"7959304518"</f>
        <v>7959304518</v>
      </c>
      <c r="G6697" s="1">
        <v>44720</v>
      </c>
      <c r="H6697" t="str">
        <f>"89513"</f>
        <v>89513</v>
      </c>
      <c r="I6697">
        <v>1</v>
      </c>
      <c r="J6697">
        <v>371</v>
      </c>
      <c r="K6697">
        <v>0</v>
      </c>
      <c r="L6697">
        <v>519.4</v>
      </c>
    </row>
    <row r="6698" spans="1:12" x14ac:dyDescent="0.25">
      <c r="A6698" t="str">
        <f t="shared" si="1463"/>
        <v>89301000</v>
      </c>
      <c r="B6698" t="str">
        <f t="shared" si="1472"/>
        <v>78006000</v>
      </c>
      <c r="C6698" t="str">
        <f t="shared" si="1473"/>
        <v>78006231</v>
      </c>
      <c r="D6698" t="str">
        <f t="shared" si="1474"/>
        <v>809</v>
      </c>
      <c r="E6698" t="str">
        <f t="shared" si="1476"/>
        <v>89301212</v>
      </c>
      <c r="F6698" t="str">
        <f>"7959304518"</f>
        <v>7959304518</v>
      </c>
      <c r="G6698" s="1">
        <v>44720</v>
      </c>
      <c r="H6698" t="str">
        <f>"89514"</f>
        <v>89514</v>
      </c>
      <c r="I6698">
        <v>1</v>
      </c>
      <c r="J6698">
        <v>371</v>
      </c>
      <c r="K6698">
        <v>0</v>
      </c>
      <c r="L6698">
        <v>519.4</v>
      </c>
    </row>
    <row r="6699" spans="1:12" x14ac:dyDescent="0.25">
      <c r="A6699" t="str">
        <f t="shared" si="1463"/>
        <v>89301000</v>
      </c>
      <c r="B6699" t="str">
        <f t="shared" si="1472"/>
        <v>78006000</v>
      </c>
      <c r="C6699" t="str">
        <f t="shared" si="1473"/>
        <v>78006231</v>
      </c>
      <c r="D6699" t="str">
        <f t="shared" si="1474"/>
        <v>809</v>
      </c>
      <c r="E6699" t="str">
        <f t="shared" si="1476"/>
        <v>89301212</v>
      </c>
      <c r="F6699" t="str">
        <f>"7651075784"</f>
        <v>7651075784</v>
      </c>
      <c r="G6699" s="1">
        <v>44727</v>
      </c>
      <c r="H6699" t="str">
        <f>"09137"</f>
        <v>09137</v>
      </c>
      <c r="I6699">
        <v>1</v>
      </c>
      <c r="J6699">
        <v>231</v>
      </c>
      <c r="K6699">
        <v>0</v>
      </c>
      <c r="L6699">
        <v>323.39999999999998</v>
      </c>
    </row>
    <row r="6700" spans="1:12" x14ac:dyDescent="0.25">
      <c r="A6700" t="str">
        <f t="shared" si="1463"/>
        <v>89301000</v>
      </c>
      <c r="B6700" t="str">
        <f t="shared" si="1472"/>
        <v>78006000</v>
      </c>
      <c r="C6700" t="str">
        <f t="shared" si="1473"/>
        <v>78006231</v>
      </c>
      <c r="D6700" t="str">
        <f t="shared" si="1474"/>
        <v>809</v>
      </c>
      <c r="E6700" t="str">
        <f t="shared" si="1476"/>
        <v>89301212</v>
      </c>
      <c r="F6700" t="str">
        <f>"5602171278"</f>
        <v>5602171278</v>
      </c>
      <c r="G6700" s="1">
        <v>44733</v>
      </c>
      <c r="H6700" t="str">
        <f>"89513"</f>
        <v>89513</v>
      </c>
      <c r="I6700">
        <v>1</v>
      </c>
      <c r="J6700">
        <v>371</v>
      </c>
      <c r="K6700">
        <v>0</v>
      </c>
      <c r="L6700">
        <v>519.4</v>
      </c>
    </row>
    <row r="6701" spans="1:12" x14ac:dyDescent="0.25">
      <c r="A6701" t="str">
        <f t="shared" si="1463"/>
        <v>89301000</v>
      </c>
      <c r="B6701" t="str">
        <f t="shared" si="1472"/>
        <v>78006000</v>
      </c>
      <c r="C6701" t="str">
        <f t="shared" si="1473"/>
        <v>78006231</v>
      </c>
      <c r="D6701" t="str">
        <f t="shared" si="1474"/>
        <v>809</v>
      </c>
      <c r="E6701" t="str">
        <f t="shared" si="1476"/>
        <v>89301212</v>
      </c>
      <c r="F6701" t="str">
        <f>"5602171278"</f>
        <v>5602171278</v>
      </c>
      <c r="G6701" s="1">
        <v>44733</v>
      </c>
      <c r="H6701" t="str">
        <f>"89514"</f>
        <v>89514</v>
      </c>
      <c r="I6701">
        <v>1</v>
      </c>
      <c r="J6701">
        <v>371</v>
      </c>
      <c r="K6701">
        <v>0</v>
      </c>
      <c r="L6701">
        <v>519.4</v>
      </c>
    </row>
    <row r="6702" spans="1:12" x14ac:dyDescent="0.25">
      <c r="A6702" t="str">
        <f t="shared" si="1463"/>
        <v>89301000</v>
      </c>
      <c r="B6702" t="str">
        <f t="shared" si="1472"/>
        <v>78006000</v>
      </c>
      <c r="C6702" t="str">
        <f>"78006532"</f>
        <v>78006532</v>
      </c>
      <c r="D6702" t="str">
        <f>"810"</f>
        <v>810</v>
      </c>
      <c r="E6702" t="str">
        <f>"89301062"</f>
        <v>89301062</v>
      </c>
      <c r="F6702" t="str">
        <f>"7655134817"</f>
        <v>7655134817</v>
      </c>
      <c r="G6702" s="1">
        <v>44714</v>
      </c>
      <c r="H6702" t="str">
        <f>"89713"</f>
        <v>89713</v>
      </c>
      <c r="I6702">
        <v>1</v>
      </c>
      <c r="J6702">
        <v>5362</v>
      </c>
      <c r="K6702">
        <v>0</v>
      </c>
      <c r="L6702">
        <v>3217.2</v>
      </c>
    </row>
    <row r="6703" spans="1:12" x14ac:dyDescent="0.25">
      <c r="A6703" t="str">
        <f t="shared" si="1463"/>
        <v>89301000</v>
      </c>
      <c r="B6703" t="str">
        <f t="shared" si="1472"/>
        <v>78006000</v>
      </c>
      <c r="C6703" t="str">
        <f>"78006532"</f>
        <v>78006532</v>
      </c>
      <c r="D6703" t="str">
        <f>"810"</f>
        <v>810</v>
      </c>
      <c r="E6703" t="str">
        <f>"89301062"</f>
        <v>89301062</v>
      </c>
      <c r="F6703" t="str">
        <f>"7403184470"</f>
        <v>7403184470</v>
      </c>
      <c r="G6703" s="1">
        <v>44729</v>
      </c>
      <c r="H6703" t="str">
        <f>"89713"</f>
        <v>89713</v>
      </c>
      <c r="I6703">
        <v>1</v>
      </c>
      <c r="J6703">
        <v>5362</v>
      </c>
      <c r="K6703">
        <v>0</v>
      </c>
      <c r="L6703">
        <v>3217.2</v>
      </c>
    </row>
    <row r="6704" spans="1:12" x14ac:dyDescent="0.25">
      <c r="A6704" t="str">
        <f t="shared" si="1463"/>
        <v>89301000</v>
      </c>
      <c r="B6704" t="str">
        <f t="shared" si="1472"/>
        <v>78006000</v>
      </c>
      <c r="C6704" t="str">
        <f t="shared" ref="C6704:C6711" si="1477">"78006207"</f>
        <v>78006207</v>
      </c>
      <c r="D6704" t="str">
        <f t="shared" ref="D6704:D6711" si="1478">"813"</f>
        <v>813</v>
      </c>
      <c r="E6704" t="str">
        <f t="shared" ref="E6704:E6711" si="1479">"89301171"</f>
        <v>89301171</v>
      </c>
      <c r="F6704" t="str">
        <f>"0008205747"</f>
        <v>0008205747</v>
      </c>
      <c r="G6704" s="1">
        <v>44726</v>
      </c>
      <c r="H6704" t="str">
        <f t="shared" ref="H6704:H6711" si="1480">"91197"</f>
        <v>91197</v>
      </c>
      <c r="I6704">
        <v>6</v>
      </c>
      <c r="J6704">
        <v>6276</v>
      </c>
      <c r="K6704">
        <v>0</v>
      </c>
      <c r="L6704">
        <v>4895.28</v>
      </c>
    </row>
    <row r="6705" spans="1:12" x14ac:dyDescent="0.25">
      <c r="A6705" t="str">
        <f t="shared" si="1463"/>
        <v>89301000</v>
      </c>
      <c r="B6705" t="str">
        <f t="shared" si="1472"/>
        <v>78006000</v>
      </c>
      <c r="C6705" t="str">
        <f t="shared" si="1477"/>
        <v>78006207</v>
      </c>
      <c r="D6705" t="str">
        <f t="shared" si="1478"/>
        <v>813</v>
      </c>
      <c r="E6705" t="str">
        <f t="shared" si="1479"/>
        <v>89301171</v>
      </c>
      <c r="F6705" t="str">
        <f>"5561301416"</f>
        <v>5561301416</v>
      </c>
      <c r="G6705" s="1">
        <v>44726</v>
      </c>
      <c r="H6705" t="str">
        <f t="shared" si="1480"/>
        <v>91197</v>
      </c>
      <c r="I6705">
        <v>6</v>
      </c>
      <c r="J6705">
        <v>6276</v>
      </c>
      <c r="K6705">
        <v>0</v>
      </c>
      <c r="L6705">
        <v>4895.28</v>
      </c>
    </row>
    <row r="6706" spans="1:12" x14ac:dyDescent="0.25">
      <c r="A6706" t="str">
        <f t="shared" si="1463"/>
        <v>89301000</v>
      </c>
      <c r="B6706" t="str">
        <f t="shared" si="1472"/>
        <v>78006000</v>
      </c>
      <c r="C6706" t="str">
        <f t="shared" si="1477"/>
        <v>78006207</v>
      </c>
      <c r="D6706" t="str">
        <f t="shared" si="1478"/>
        <v>813</v>
      </c>
      <c r="E6706" t="str">
        <f t="shared" si="1479"/>
        <v>89301171</v>
      </c>
      <c r="F6706" t="str">
        <f>"6955045779"</f>
        <v>6955045779</v>
      </c>
      <c r="G6706" s="1">
        <v>44739</v>
      </c>
      <c r="H6706" t="str">
        <f t="shared" si="1480"/>
        <v>91197</v>
      </c>
      <c r="I6706">
        <v>6</v>
      </c>
      <c r="J6706">
        <v>6276</v>
      </c>
      <c r="K6706">
        <v>0</v>
      </c>
      <c r="L6706">
        <v>4895.28</v>
      </c>
    </row>
    <row r="6707" spans="1:12" x14ac:dyDescent="0.25">
      <c r="A6707" t="str">
        <f t="shared" si="1463"/>
        <v>89301000</v>
      </c>
      <c r="B6707" t="str">
        <f t="shared" si="1472"/>
        <v>78006000</v>
      </c>
      <c r="C6707" t="str">
        <f t="shared" si="1477"/>
        <v>78006207</v>
      </c>
      <c r="D6707" t="str">
        <f t="shared" si="1478"/>
        <v>813</v>
      </c>
      <c r="E6707" t="str">
        <f t="shared" si="1479"/>
        <v>89301171</v>
      </c>
      <c r="F6707" t="str">
        <f>"0361165706"</f>
        <v>0361165706</v>
      </c>
      <c r="G6707" s="1">
        <v>44739</v>
      </c>
      <c r="H6707" t="str">
        <f t="shared" si="1480"/>
        <v>91197</v>
      </c>
      <c r="I6707">
        <v>6</v>
      </c>
      <c r="J6707">
        <v>6276</v>
      </c>
      <c r="K6707">
        <v>0</v>
      </c>
      <c r="L6707">
        <v>4895.28</v>
      </c>
    </row>
    <row r="6708" spans="1:12" x14ac:dyDescent="0.25">
      <c r="A6708" t="str">
        <f t="shared" si="1463"/>
        <v>89301000</v>
      </c>
      <c r="B6708" t="str">
        <f t="shared" si="1472"/>
        <v>78006000</v>
      </c>
      <c r="C6708" t="str">
        <f t="shared" si="1477"/>
        <v>78006207</v>
      </c>
      <c r="D6708" t="str">
        <f t="shared" si="1478"/>
        <v>813</v>
      </c>
      <c r="E6708" t="str">
        <f t="shared" si="1479"/>
        <v>89301171</v>
      </c>
      <c r="F6708" t="str">
        <f>"9862195706"</f>
        <v>9862195706</v>
      </c>
      <c r="G6708" s="1">
        <v>44739</v>
      </c>
      <c r="H6708" t="str">
        <f t="shared" si="1480"/>
        <v>91197</v>
      </c>
      <c r="I6708">
        <v>6</v>
      </c>
      <c r="J6708">
        <v>6276</v>
      </c>
      <c r="K6708">
        <v>0</v>
      </c>
      <c r="L6708">
        <v>4895.28</v>
      </c>
    </row>
    <row r="6709" spans="1:12" x14ac:dyDescent="0.25">
      <c r="A6709" t="str">
        <f t="shared" si="1463"/>
        <v>89301000</v>
      </c>
      <c r="B6709" t="str">
        <f t="shared" si="1472"/>
        <v>78006000</v>
      </c>
      <c r="C6709" t="str">
        <f t="shared" si="1477"/>
        <v>78006207</v>
      </c>
      <c r="D6709" t="str">
        <f t="shared" si="1478"/>
        <v>813</v>
      </c>
      <c r="E6709" t="str">
        <f t="shared" si="1479"/>
        <v>89301171</v>
      </c>
      <c r="F6709" t="str">
        <f>"7853145311"</f>
        <v>7853145311</v>
      </c>
      <c r="G6709" s="1">
        <v>44718</v>
      </c>
      <c r="H6709" t="str">
        <f t="shared" si="1480"/>
        <v>91197</v>
      </c>
      <c r="I6709">
        <v>6</v>
      </c>
      <c r="J6709">
        <v>6276</v>
      </c>
      <c r="K6709">
        <v>0</v>
      </c>
      <c r="L6709">
        <v>4895.28</v>
      </c>
    </row>
    <row r="6710" spans="1:12" x14ac:dyDescent="0.25">
      <c r="A6710" t="str">
        <f t="shared" si="1463"/>
        <v>89301000</v>
      </c>
      <c r="B6710" t="str">
        <f t="shared" si="1472"/>
        <v>78006000</v>
      </c>
      <c r="C6710" t="str">
        <f t="shared" si="1477"/>
        <v>78006207</v>
      </c>
      <c r="D6710" t="str">
        <f t="shared" si="1478"/>
        <v>813</v>
      </c>
      <c r="E6710" t="str">
        <f t="shared" si="1479"/>
        <v>89301171</v>
      </c>
      <c r="F6710" t="str">
        <f>"6254237165"</f>
        <v>6254237165</v>
      </c>
      <c r="G6710" s="1">
        <v>44735</v>
      </c>
      <c r="H6710" t="str">
        <f t="shared" si="1480"/>
        <v>91197</v>
      </c>
      <c r="I6710">
        <v>6</v>
      </c>
      <c r="J6710">
        <v>6276</v>
      </c>
      <c r="K6710">
        <v>0</v>
      </c>
      <c r="L6710">
        <v>4895.28</v>
      </c>
    </row>
    <row r="6711" spans="1:12" x14ac:dyDescent="0.25">
      <c r="A6711" t="str">
        <f t="shared" si="1463"/>
        <v>89301000</v>
      </c>
      <c r="B6711" t="str">
        <f t="shared" si="1472"/>
        <v>78006000</v>
      </c>
      <c r="C6711" t="str">
        <f t="shared" si="1477"/>
        <v>78006207</v>
      </c>
      <c r="D6711" t="str">
        <f t="shared" si="1478"/>
        <v>813</v>
      </c>
      <c r="E6711" t="str">
        <f t="shared" si="1479"/>
        <v>89301171</v>
      </c>
      <c r="F6711" t="str">
        <f>"7959265303"</f>
        <v>7959265303</v>
      </c>
      <c r="G6711" s="1">
        <v>44726</v>
      </c>
      <c r="H6711" t="str">
        <f t="shared" si="1480"/>
        <v>91197</v>
      </c>
      <c r="I6711">
        <v>6</v>
      </c>
      <c r="J6711">
        <v>6276</v>
      </c>
      <c r="K6711">
        <v>0</v>
      </c>
      <c r="L6711">
        <v>4895.28</v>
      </c>
    </row>
    <row r="6712" spans="1:12" x14ac:dyDescent="0.25">
      <c r="A6712" t="str">
        <f t="shared" si="1463"/>
        <v>89301000</v>
      </c>
      <c r="B6712" t="str">
        <f t="shared" si="1472"/>
        <v>78006000</v>
      </c>
      <c r="C6712" t="str">
        <f t="shared" ref="C6712:C6717" si="1481">"78006233"</f>
        <v>78006233</v>
      </c>
      <c r="D6712" t="str">
        <f t="shared" ref="D6712:D6717" si="1482">"810"</f>
        <v>810</v>
      </c>
      <c r="E6712" t="str">
        <f>"89301172"</f>
        <v>89301172</v>
      </c>
      <c r="F6712" t="str">
        <f>"5505050650"</f>
        <v>5505050650</v>
      </c>
      <c r="G6712" s="1">
        <v>44729</v>
      </c>
      <c r="H6712" t="str">
        <f>"89713"</f>
        <v>89713</v>
      </c>
      <c r="I6712">
        <v>1</v>
      </c>
      <c r="J6712">
        <v>5362</v>
      </c>
      <c r="K6712">
        <v>0</v>
      </c>
      <c r="L6712">
        <v>3217.2</v>
      </c>
    </row>
    <row r="6713" spans="1:12" x14ac:dyDescent="0.25">
      <c r="A6713" t="str">
        <f t="shared" si="1463"/>
        <v>89301000</v>
      </c>
      <c r="B6713" t="str">
        <f t="shared" si="1472"/>
        <v>78006000</v>
      </c>
      <c r="C6713" t="str">
        <f t="shared" si="1481"/>
        <v>78006233</v>
      </c>
      <c r="D6713" t="str">
        <f t="shared" si="1482"/>
        <v>810</v>
      </c>
      <c r="E6713" t="str">
        <f>"89301172"</f>
        <v>89301172</v>
      </c>
      <c r="F6713" t="str">
        <f>"5505050650"</f>
        <v>5505050650</v>
      </c>
      <c r="G6713" s="1">
        <v>44729</v>
      </c>
      <c r="H6713" t="str">
        <f>"89725"</f>
        <v>89725</v>
      </c>
      <c r="I6713">
        <v>1</v>
      </c>
      <c r="J6713">
        <v>2839</v>
      </c>
      <c r="K6713">
        <v>0</v>
      </c>
      <c r="L6713">
        <v>1703.4</v>
      </c>
    </row>
    <row r="6714" spans="1:12" x14ac:dyDescent="0.25">
      <c r="A6714" t="str">
        <f t="shared" si="1463"/>
        <v>89301000</v>
      </c>
      <c r="B6714" t="str">
        <f t="shared" si="1472"/>
        <v>78006000</v>
      </c>
      <c r="C6714" t="str">
        <f t="shared" si="1481"/>
        <v>78006233</v>
      </c>
      <c r="D6714" t="str">
        <f t="shared" si="1482"/>
        <v>810</v>
      </c>
      <c r="E6714" t="str">
        <f>"89301062"</f>
        <v>89301062</v>
      </c>
      <c r="F6714" t="str">
        <f>"7551154479"</f>
        <v>7551154479</v>
      </c>
      <c r="G6714" s="1">
        <v>44739</v>
      </c>
      <c r="H6714" t="str">
        <f>"89713"</f>
        <v>89713</v>
      </c>
      <c r="I6714">
        <v>1</v>
      </c>
      <c r="J6714">
        <v>5362</v>
      </c>
      <c r="K6714">
        <v>0</v>
      </c>
      <c r="L6714">
        <v>3217.2</v>
      </c>
    </row>
    <row r="6715" spans="1:12" x14ac:dyDescent="0.25">
      <c r="A6715" t="str">
        <f t="shared" si="1463"/>
        <v>89301000</v>
      </c>
      <c r="B6715" t="str">
        <f t="shared" si="1472"/>
        <v>78006000</v>
      </c>
      <c r="C6715" t="str">
        <f t="shared" si="1481"/>
        <v>78006233</v>
      </c>
      <c r="D6715" t="str">
        <f t="shared" si="1482"/>
        <v>810</v>
      </c>
      <c r="E6715" t="str">
        <f>"89301062"</f>
        <v>89301062</v>
      </c>
      <c r="F6715" t="str">
        <f>"7551154479"</f>
        <v>7551154479</v>
      </c>
      <c r="G6715" s="1">
        <v>44739</v>
      </c>
      <c r="H6715" t="str">
        <f>"89725"</f>
        <v>89725</v>
      </c>
      <c r="I6715">
        <v>1</v>
      </c>
      <c r="J6715">
        <v>2839</v>
      </c>
      <c r="K6715">
        <v>0</v>
      </c>
      <c r="L6715">
        <v>1703.4</v>
      </c>
    </row>
    <row r="6716" spans="1:12" x14ac:dyDescent="0.25">
      <c r="A6716" t="str">
        <f t="shared" si="1463"/>
        <v>89301000</v>
      </c>
      <c r="B6716" t="str">
        <f t="shared" si="1472"/>
        <v>78006000</v>
      </c>
      <c r="C6716" t="str">
        <f t="shared" si="1481"/>
        <v>78006233</v>
      </c>
      <c r="D6716" t="str">
        <f t="shared" si="1482"/>
        <v>810</v>
      </c>
      <c r="E6716" t="str">
        <f>"89301062"</f>
        <v>89301062</v>
      </c>
      <c r="F6716" t="str">
        <f>"7812134484"</f>
        <v>7812134484</v>
      </c>
      <c r="G6716" s="1">
        <v>44740</v>
      </c>
      <c r="H6716" t="str">
        <f>"89713"</f>
        <v>89713</v>
      </c>
      <c r="I6716">
        <v>1</v>
      </c>
      <c r="J6716">
        <v>5362</v>
      </c>
      <c r="K6716">
        <v>0</v>
      </c>
      <c r="L6716">
        <v>3217.2</v>
      </c>
    </row>
    <row r="6717" spans="1:12" x14ac:dyDescent="0.25">
      <c r="A6717" t="str">
        <f t="shared" si="1463"/>
        <v>89301000</v>
      </c>
      <c r="B6717" t="str">
        <f t="shared" si="1472"/>
        <v>78006000</v>
      </c>
      <c r="C6717" t="str">
        <f t="shared" si="1481"/>
        <v>78006233</v>
      </c>
      <c r="D6717" t="str">
        <f t="shared" si="1482"/>
        <v>810</v>
      </c>
      <c r="E6717" t="str">
        <f>"89301062"</f>
        <v>89301062</v>
      </c>
      <c r="F6717" t="str">
        <f>"7812134484"</f>
        <v>7812134484</v>
      </c>
      <c r="G6717" s="1">
        <v>44740</v>
      </c>
      <c r="H6717" t="str">
        <f>"89725"</f>
        <v>89725</v>
      </c>
      <c r="I6717">
        <v>1</v>
      </c>
      <c r="J6717">
        <v>2839</v>
      </c>
      <c r="K6717">
        <v>0</v>
      </c>
      <c r="L6717">
        <v>1703.4</v>
      </c>
    </row>
    <row r="6718" spans="1:12" x14ac:dyDescent="0.25">
      <c r="A6718" t="str">
        <f t="shared" si="1463"/>
        <v>89301000</v>
      </c>
      <c r="B6718" t="str">
        <f t="shared" si="1472"/>
        <v>78006000</v>
      </c>
      <c r="C6718" t="str">
        <f>"78006831"</f>
        <v>78006831</v>
      </c>
      <c r="D6718" t="str">
        <f>"809"</f>
        <v>809</v>
      </c>
      <c r="E6718" t="str">
        <f>"89301212"</f>
        <v>89301212</v>
      </c>
      <c r="F6718" t="str">
        <f>"8254225309"</f>
        <v>8254225309</v>
      </c>
      <c r="G6718" s="1">
        <v>44714</v>
      </c>
      <c r="H6718" t="str">
        <f>"89513"</f>
        <v>89513</v>
      </c>
      <c r="I6718">
        <v>1</v>
      </c>
      <c r="J6718">
        <v>371</v>
      </c>
      <c r="K6718">
        <v>0</v>
      </c>
      <c r="L6718">
        <v>519.4</v>
      </c>
    </row>
    <row r="6719" spans="1:12" x14ac:dyDescent="0.25">
      <c r="A6719" t="str">
        <f t="shared" si="1463"/>
        <v>89301000</v>
      </c>
      <c r="B6719" t="str">
        <f t="shared" si="1472"/>
        <v>78006000</v>
      </c>
      <c r="C6719" t="str">
        <f>"78006831"</f>
        <v>78006831</v>
      </c>
      <c r="D6719" t="str">
        <f>"809"</f>
        <v>809</v>
      </c>
      <c r="E6719" t="str">
        <f>"89301212"</f>
        <v>89301212</v>
      </c>
      <c r="F6719" t="str">
        <f>"8254225309"</f>
        <v>8254225309</v>
      </c>
      <c r="G6719" s="1">
        <v>44714</v>
      </c>
      <c r="H6719" t="str">
        <f>"89514"</f>
        <v>89514</v>
      </c>
      <c r="I6719">
        <v>1</v>
      </c>
      <c r="J6719">
        <v>371</v>
      </c>
      <c r="K6719">
        <v>0</v>
      </c>
      <c r="L6719">
        <v>519.4</v>
      </c>
    </row>
    <row r="6720" spans="1:12" x14ac:dyDescent="0.25">
      <c r="A6720" t="str">
        <f t="shared" si="1463"/>
        <v>89301000</v>
      </c>
      <c r="B6720" t="str">
        <f t="shared" si="1472"/>
        <v>78006000</v>
      </c>
      <c r="C6720" t="str">
        <f>"78006831"</f>
        <v>78006831</v>
      </c>
      <c r="D6720" t="str">
        <f>"809"</f>
        <v>809</v>
      </c>
      <c r="E6720" t="str">
        <f>"89301037"</f>
        <v>89301037</v>
      </c>
      <c r="F6720" t="str">
        <f>"8357275322"</f>
        <v>8357275322</v>
      </c>
      <c r="G6720" s="1">
        <v>44732</v>
      </c>
      <c r="H6720" t="str">
        <f>"89123"</f>
        <v>89123</v>
      </c>
      <c r="I6720">
        <v>1</v>
      </c>
      <c r="J6720">
        <v>139</v>
      </c>
      <c r="K6720">
        <v>0</v>
      </c>
      <c r="L6720">
        <v>194.6</v>
      </c>
    </row>
    <row r="6721" spans="1:12" x14ac:dyDescent="0.25">
      <c r="A6721" t="str">
        <f t="shared" si="1463"/>
        <v>89301000</v>
      </c>
      <c r="B6721" t="str">
        <f t="shared" si="1472"/>
        <v>78006000</v>
      </c>
      <c r="C6721" t="str">
        <f>"78006831"</f>
        <v>78006831</v>
      </c>
      <c r="D6721" t="str">
        <f>"809"</f>
        <v>809</v>
      </c>
      <c r="E6721" t="str">
        <f>"89301215"</f>
        <v>89301215</v>
      </c>
      <c r="F6721" t="str">
        <f>"5956212141"</f>
        <v>5956212141</v>
      </c>
      <c r="G6721" s="1">
        <v>44727</v>
      </c>
      <c r="H6721" t="str">
        <f>"89513"</f>
        <v>89513</v>
      </c>
      <c r="I6721">
        <v>1</v>
      </c>
      <c r="J6721">
        <v>371</v>
      </c>
      <c r="K6721">
        <v>0</v>
      </c>
      <c r="L6721">
        <v>519.4</v>
      </c>
    </row>
    <row r="6722" spans="1:12" x14ac:dyDescent="0.25">
      <c r="A6722" t="str">
        <f t="shared" ref="A6722:A6785" si="1483">"89301000"</f>
        <v>89301000</v>
      </c>
      <c r="B6722" t="str">
        <f t="shared" si="1472"/>
        <v>78006000</v>
      </c>
      <c r="C6722" t="str">
        <f>"78006831"</f>
        <v>78006831</v>
      </c>
      <c r="D6722" t="str">
        <f>"809"</f>
        <v>809</v>
      </c>
      <c r="E6722" t="str">
        <f>"89301215"</f>
        <v>89301215</v>
      </c>
      <c r="F6722" t="str">
        <f>"5956212141"</f>
        <v>5956212141</v>
      </c>
      <c r="G6722" s="1">
        <v>44727</v>
      </c>
      <c r="H6722" t="str">
        <f>"89514"</f>
        <v>89514</v>
      </c>
      <c r="I6722">
        <v>1</v>
      </c>
      <c r="J6722">
        <v>371</v>
      </c>
      <c r="K6722">
        <v>0</v>
      </c>
      <c r="L6722">
        <v>519.4</v>
      </c>
    </row>
    <row r="6723" spans="1:12" x14ac:dyDescent="0.25">
      <c r="A6723" t="str">
        <f t="shared" si="1483"/>
        <v>89301000</v>
      </c>
      <c r="B6723" t="str">
        <f t="shared" si="1472"/>
        <v>78006000</v>
      </c>
      <c r="C6723" t="str">
        <f>"78006201"</f>
        <v>78006201</v>
      </c>
      <c r="D6723" t="str">
        <f>"801"</f>
        <v>801</v>
      </c>
      <c r="E6723" t="str">
        <f>"89301171"</f>
        <v>89301171</v>
      </c>
      <c r="F6723" t="str">
        <f>"0361165706"</f>
        <v>0361165706</v>
      </c>
      <c r="G6723" s="1">
        <v>44728</v>
      </c>
      <c r="H6723" t="str">
        <f>"81703"</f>
        <v>81703</v>
      </c>
      <c r="I6723">
        <v>2</v>
      </c>
      <c r="J6723">
        <v>556</v>
      </c>
      <c r="K6723">
        <v>0</v>
      </c>
      <c r="L6723">
        <v>433.68</v>
      </c>
    </row>
    <row r="6724" spans="1:12" x14ac:dyDescent="0.25">
      <c r="A6724" t="str">
        <f t="shared" si="1483"/>
        <v>89301000</v>
      </c>
      <c r="B6724" t="str">
        <f t="shared" si="1472"/>
        <v>78006000</v>
      </c>
      <c r="C6724" t="str">
        <f>"78006201"</f>
        <v>78006201</v>
      </c>
      <c r="D6724" t="str">
        <f>"801"</f>
        <v>801</v>
      </c>
      <c r="E6724" t="str">
        <f>"89301171"</f>
        <v>89301171</v>
      </c>
      <c r="F6724" t="str">
        <f>"9862195706"</f>
        <v>9862195706</v>
      </c>
      <c r="G6724" s="1">
        <v>44728</v>
      </c>
      <c r="H6724" t="str">
        <f>"81703"</f>
        <v>81703</v>
      </c>
      <c r="I6724">
        <v>2</v>
      </c>
      <c r="J6724">
        <v>556</v>
      </c>
      <c r="K6724">
        <v>0</v>
      </c>
      <c r="L6724">
        <v>433.68</v>
      </c>
    </row>
    <row r="6725" spans="1:12" x14ac:dyDescent="0.25">
      <c r="A6725" t="str">
        <f t="shared" si="1483"/>
        <v>89301000</v>
      </c>
      <c r="B6725" t="str">
        <f t="shared" si="1472"/>
        <v>78006000</v>
      </c>
      <c r="C6725" t="str">
        <f>"78006201"</f>
        <v>78006201</v>
      </c>
      <c r="D6725" t="str">
        <f>"801"</f>
        <v>801</v>
      </c>
      <c r="E6725" t="str">
        <f>"89301171"</f>
        <v>89301171</v>
      </c>
      <c r="F6725" t="str">
        <f>"6254237165"</f>
        <v>6254237165</v>
      </c>
      <c r="G6725" s="1">
        <v>44718</v>
      </c>
      <c r="H6725" t="str">
        <f>"81703"</f>
        <v>81703</v>
      </c>
      <c r="I6725">
        <v>2</v>
      </c>
      <c r="J6725">
        <v>556</v>
      </c>
      <c r="K6725">
        <v>0</v>
      </c>
      <c r="L6725">
        <v>433.68</v>
      </c>
    </row>
    <row r="6726" spans="1:12" x14ac:dyDescent="0.25">
      <c r="A6726" t="str">
        <f t="shared" si="1483"/>
        <v>89301000</v>
      </c>
      <c r="B6726" t="str">
        <f t="shared" si="1472"/>
        <v>78006000</v>
      </c>
      <c r="C6726" t="str">
        <f>"78006201"</f>
        <v>78006201</v>
      </c>
      <c r="D6726" t="str">
        <f>"801"</f>
        <v>801</v>
      </c>
      <c r="E6726" t="str">
        <f>"89301202"</f>
        <v>89301202</v>
      </c>
      <c r="F6726" t="str">
        <f>"405417475"</f>
        <v>405417475</v>
      </c>
      <c r="G6726" s="1">
        <v>44725</v>
      </c>
      <c r="H6726" t="str">
        <f>"92169"</f>
        <v>92169</v>
      </c>
      <c r="I6726">
        <v>1</v>
      </c>
      <c r="J6726">
        <v>944</v>
      </c>
      <c r="K6726">
        <v>0</v>
      </c>
      <c r="L6726">
        <v>736.32</v>
      </c>
    </row>
    <row r="6727" spans="1:12" x14ac:dyDescent="0.25">
      <c r="A6727" t="str">
        <f t="shared" si="1483"/>
        <v>89301000</v>
      </c>
      <c r="B6727" t="str">
        <f t="shared" si="1472"/>
        <v>78006000</v>
      </c>
      <c r="C6727" t="str">
        <f>"78006201"</f>
        <v>78006201</v>
      </c>
      <c r="D6727" t="str">
        <f>"801"</f>
        <v>801</v>
      </c>
      <c r="E6727" t="str">
        <f>"89301202"</f>
        <v>89301202</v>
      </c>
      <c r="F6727" t="str">
        <f>"405417475"</f>
        <v>405417475</v>
      </c>
      <c r="G6727" s="1">
        <v>44725</v>
      </c>
      <c r="H6727" t="str">
        <f>"97111"</f>
        <v>97111</v>
      </c>
      <c r="I6727">
        <v>1</v>
      </c>
      <c r="J6727">
        <v>18</v>
      </c>
      <c r="K6727">
        <v>0</v>
      </c>
      <c r="L6727">
        <v>14.04</v>
      </c>
    </row>
    <row r="6728" spans="1:12" x14ac:dyDescent="0.25">
      <c r="A6728" t="str">
        <f t="shared" si="1483"/>
        <v>89301000</v>
      </c>
      <c r="B6728" t="str">
        <f t="shared" si="1472"/>
        <v>78006000</v>
      </c>
      <c r="C6728" t="str">
        <f>"78006531"</f>
        <v>78006531</v>
      </c>
      <c r="D6728" t="str">
        <f>"809"</f>
        <v>809</v>
      </c>
      <c r="E6728" t="str">
        <f>"89301212"</f>
        <v>89301212</v>
      </c>
      <c r="F6728" t="str">
        <f>"535414122"</f>
        <v>535414122</v>
      </c>
      <c r="G6728" s="1">
        <v>44735</v>
      </c>
      <c r="H6728" t="str">
        <f>"89513"</f>
        <v>89513</v>
      </c>
      <c r="I6728">
        <v>1</v>
      </c>
      <c r="J6728">
        <v>371</v>
      </c>
      <c r="K6728">
        <v>0</v>
      </c>
      <c r="L6728">
        <v>519.4</v>
      </c>
    </row>
    <row r="6729" spans="1:12" x14ac:dyDescent="0.25">
      <c r="A6729" t="str">
        <f t="shared" si="1483"/>
        <v>89301000</v>
      </c>
      <c r="B6729" t="str">
        <f t="shared" si="1472"/>
        <v>78006000</v>
      </c>
      <c r="C6729" t="str">
        <f>"78006531"</f>
        <v>78006531</v>
      </c>
      <c r="D6729" t="str">
        <f>"809"</f>
        <v>809</v>
      </c>
      <c r="E6729" t="str">
        <f>"89301212"</f>
        <v>89301212</v>
      </c>
      <c r="F6729" t="str">
        <f>"535414122"</f>
        <v>535414122</v>
      </c>
      <c r="G6729" s="1">
        <v>44735</v>
      </c>
      <c r="H6729" t="str">
        <f>"89514"</f>
        <v>89514</v>
      </c>
      <c r="I6729">
        <v>1</v>
      </c>
      <c r="J6729">
        <v>371</v>
      </c>
      <c r="K6729">
        <v>0</v>
      </c>
      <c r="L6729">
        <v>519.4</v>
      </c>
    </row>
    <row r="6730" spans="1:12" x14ac:dyDescent="0.25">
      <c r="A6730" t="str">
        <f t="shared" si="1483"/>
        <v>89301000</v>
      </c>
      <c r="B6730" t="str">
        <f>"91009000"</f>
        <v>91009000</v>
      </c>
      <c r="C6730" t="str">
        <f>"91009522"</f>
        <v>91009522</v>
      </c>
      <c r="D6730" t="str">
        <f>"816"</f>
        <v>816</v>
      </c>
      <c r="E6730" t="str">
        <f>"89301282"</f>
        <v>89301282</v>
      </c>
      <c r="F6730" t="str">
        <f>"1460270020"</f>
        <v>1460270020</v>
      </c>
      <c r="G6730" s="1">
        <v>44624</v>
      </c>
      <c r="H6730" t="str">
        <f>"94948"</f>
        <v>94948</v>
      </c>
      <c r="I6730">
        <v>2</v>
      </c>
      <c r="J6730">
        <v>0</v>
      </c>
      <c r="K6730">
        <v>0</v>
      </c>
      <c r="L6730">
        <v>0</v>
      </c>
    </row>
    <row r="6731" spans="1:12" x14ac:dyDescent="0.25">
      <c r="A6731" t="str">
        <f t="shared" si="1483"/>
        <v>89301000</v>
      </c>
      <c r="B6731" t="str">
        <f>"91009000"</f>
        <v>91009000</v>
      </c>
      <c r="C6731" t="str">
        <f>"91009522"</f>
        <v>91009522</v>
      </c>
      <c r="D6731" t="str">
        <f>"816"</f>
        <v>816</v>
      </c>
      <c r="E6731" t="str">
        <f>"89301282"</f>
        <v>89301282</v>
      </c>
      <c r="F6731" t="str">
        <f>"1460270020"</f>
        <v>1460270020</v>
      </c>
      <c r="G6731" s="1">
        <v>44624</v>
      </c>
      <c r="H6731" t="str">
        <f>"94221"</f>
        <v>94221</v>
      </c>
      <c r="I6731">
        <v>9</v>
      </c>
      <c r="J6731">
        <v>22077</v>
      </c>
      <c r="K6731">
        <v>0</v>
      </c>
      <c r="L6731">
        <v>18765.45</v>
      </c>
    </row>
    <row r="6732" spans="1:12" x14ac:dyDescent="0.25">
      <c r="A6732" t="str">
        <f t="shared" si="1483"/>
        <v>89301000</v>
      </c>
      <c r="B6732" t="str">
        <f>"91009000"</f>
        <v>91009000</v>
      </c>
      <c r="C6732" t="str">
        <f>"91009522"</f>
        <v>91009522</v>
      </c>
      <c r="D6732" t="str">
        <f>"816"</f>
        <v>816</v>
      </c>
      <c r="E6732" t="str">
        <f>"89301282"</f>
        <v>89301282</v>
      </c>
      <c r="F6732" t="str">
        <f>"1460270020"</f>
        <v>1460270020</v>
      </c>
      <c r="G6732" s="1">
        <v>44624</v>
      </c>
      <c r="H6732" t="str">
        <f>"94221"</f>
        <v>94221</v>
      </c>
      <c r="I6732">
        <v>2</v>
      </c>
      <c r="J6732">
        <v>4906</v>
      </c>
      <c r="K6732">
        <v>0</v>
      </c>
      <c r="L6732">
        <v>4170.1000000000004</v>
      </c>
    </row>
    <row r="6733" spans="1:12" x14ac:dyDescent="0.25">
      <c r="A6733" t="str">
        <f t="shared" si="1483"/>
        <v>89301000</v>
      </c>
      <c r="B6733" t="str">
        <f>"72001000"</f>
        <v>72001000</v>
      </c>
      <c r="C6733" t="str">
        <f>"72001845"</f>
        <v>72001845</v>
      </c>
      <c r="D6733" t="str">
        <f>"807"</f>
        <v>807</v>
      </c>
      <c r="E6733" t="str">
        <f>"89301212"</f>
        <v>89301212</v>
      </c>
      <c r="F6733" t="str">
        <f>"0358295718"</f>
        <v>0358295718</v>
      </c>
      <c r="G6733" s="1">
        <v>44735</v>
      </c>
      <c r="H6733" t="str">
        <f>"87223"</f>
        <v>87223</v>
      </c>
      <c r="I6733">
        <v>1</v>
      </c>
      <c r="J6733">
        <v>384</v>
      </c>
      <c r="K6733">
        <v>0</v>
      </c>
      <c r="L6733">
        <v>299.52</v>
      </c>
    </row>
    <row r="6734" spans="1:12" x14ac:dyDescent="0.25">
      <c r="A6734" t="str">
        <f t="shared" si="1483"/>
        <v>89301000</v>
      </c>
      <c r="B6734" t="str">
        <f>"72001000"</f>
        <v>72001000</v>
      </c>
      <c r="C6734" t="str">
        <f>"72001845"</f>
        <v>72001845</v>
      </c>
      <c r="D6734" t="str">
        <f>"807"</f>
        <v>807</v>
      </c>
      <c r="E6734" t="str">
        <f>"89301212"</f>
        <v>89301212</v>
      </c>
      <c r="F6734" t="str">
        <f>"0358295718"</f>
        <v>0358295718</v>
      </c>
      <c r="G6734" s="1">
        <v>44735</v>
      </c>
      <c r="H6734" t="str">
        <f>"87231"</f>
        <v>87231</v>
      </c>
      <c r="I6734">
        <v>6</v>
      </c>
      <c r="J6734">
        <v>2244</v>
      </c>
      <c r="K6734">
        <v>0</v>
      </c>
      <c r="L6734">
        <v>1750.32</v>
      </c>
    </row>
    <row r="6735" spans="1:12" x14ac:dyDescent="0.25">
      <c r="A6735" t="str">
        <f t="shared" si="1483"/>
        <v>89301000</v>
      </c>
      <c r="B6735" t="str">
        <f>"72001000"</f>
        <v>72001000</v>
      </c>
      <c r="C6735" t="str">
        <f>"72001845"</f>
        <v>72001845</v>
      </c>
      <c r="D6735" t="str">
        <f>"807"</f>
        <v>807</v>
      </c>
      <c r="E6735" t="str">
        <f>"89301212"</f>
        <v>89301212</v>
      </c>
      <c r="F6735" t="str">
        <f>"0358295718"</f>
        <v>0358295718</v>
      </c>
      <c r="G6735" s="1">
        <v>44735</v>
      </c>
      <c r="H6735" t="str">
        <f>"87613"</f>
        <v>87613</v>
      </c>
      <c r="I6735">
        <v>1</v>
      </c>
      <c r="J6735">
        <v>422</v>
      </c>
      <c r="K6735">
        <v>0</v>
      </c>
      <c r="L6735">
        <v>329.16</v>
      </c>
    </row>
    <row r="6736" spans="1:12" x14ac:dyDescent="0.25">
      <c r="A6736" t="str">
        <f t="shared" si="1483"/>
        <v>89301000</v>
      </c>
      <c r="B6736" t="str">
        <f>"72001000"</f>
        <v>72001000</v>
      </c>
      <c r="C6736" t="str">
        <f>"72001845"</f>
        <v>72001845</v>
      </c>
      <c r="D6736" t="str">
        <f>"807"</f>
        <v>807</v>
      </c>
      <c r="E6736" t="str">
        <f>"89301212"</f>
        <v>89301212</v>
      </c>
      <c r="F6736" t="str">
        <f>"0358295718"</f>
        <v>0358295718</v>
      </c>
      <c r="G6736" s="1">
        <v>44735</v>
      </c>
      <c r="H6736" t="str">
        <f>"94115"</f>
        <v>94115</v>
      </c>
      <c r="I6736">
        <v>1</v>
      </c>
      <c r="J6736">
        <v>10686</v>
      </c>
      <c r="K6736">
        <v>0</v>
      </c>
      <c r="L6736">
        <v>8335.08</v>
      </c>
    </row>
    <row r="6737" spans="1:12" x14ac:dyDescent="0.25">
      <c r="A6737" t="str">
        <f t="shared" si="1483"/>
        <v>89301000</v>
      </c>
      <c r="B6737" t="str">
        <f>"72001000"</f>
        <v>72001000</v>
      </c>
      <c r="C6737" t="str">
        <f>"72001845"</f>
        <v>72001845</v>
      </c>
      <c r="D6737" t="str">
        <f>"807"</f>
        <v>807</v>
      </c>
      <c r="E6737" t="str">
        <f>"89301212"</f>
        <v>89301212</v>
      </c>
      <c r="F6737" t="str">
        <f>"0358295718"</f>
        <v>0358295718</v>
      </c>
      <c r="G6737" s="1">
        <v>44736</v>
      </c>
      <c r="H6737" t="str">
        <f>"87617"</f>
        <v>87617</v>
      </c>
      <c r="I6737">
        <v>1</v>
      </c>
      <c r="J6737">
        <v>3625</v>
      </c>
      <c r="K6737">
        <v>0</v>
      </c>
      <c r="L6737">
        <v>2827.5</v>
      </c>
    </row>
    <row r="6738" spans="1:12" x14ac:dyDescent="0.25">
      <c r="A6738" t="str">
        <f t="shared" si="1483"/>
        <v>89301000</v>
      </c>
      <c r="B6738" t="str">
        <f>"80001000"</f>
        <v>80001000</v>
      </c>
      <c r="C6738" t="str">
        <f>"80001985"</f>
        <v>80001985</v>
      </c>
      <c r="D6738" t="str">
        <f>"809"</f>
        <v>809</v>
      </c>
      <c r="E6738" t="str">
        <f>"89301172"</f>
        <v>89301172</v>
      </c>
      <c r="F6738" t="str">
        <f>"9153055032"</f>
        <v>9153055032</v>
      </c>
      <c r="G6738" s="1">
        <v>44728</v>
      </c>
      <c r="H6738" t="str">
        <f>"89713"</f>
        <v>89713</v>
      </c>
      <c r="I6738">
        <v>2</v>
      </c>
      <c r="J6738">
        <v>10724</v>
      </c>
      <c r="K6738">
        <v>0</v>
      </c>
      <c r="L6738">
        <v>6434.4</v>
      </c>
    </row>
    <row r="6739" spans="1:12" x14ac:dyDescent="0.25">
      <c r="A6739" t="str">
        <f t="shared" si="1483"/>
        <v>89301000</v>
      </c>
      <c r="B6739" t="str">
        <f>"80001000"</f>
        <v>80001000</v>
      </c>
      <c r="C6739" t="str">
        <f>"80001985"</f>
        <v>80001985</v>
      </c>
      <c r="D6739" t="str">
        <f>"809"</f>
        <v>809</v>
      </c>
      <c r="E6739" t="str">
        <f>"89301172"</f>
        <v>89301172</v>
      </c>
      <c r="F6739" t="str">
        <f>"9153055032"</f>
        <v>9153055032</v>
      </c>
      <c r="G6739" s="1">
        <v>44728</v>
      </c>
      <c r="H6739" t="str">
        <f>"89725"</f>
        <v>89725</v>
      </c>
      <c r="I6739">
        <v>1</v>
      </c>
      <c r="J6739">
        <v>2839</v>
      </c>
      <c r="K6739">
        <v>0</v>
      </c>
      <c r="L6739">
        <v>1703.4</v>
      </c>
    </row>
    <row r="6740" spans="1:12" x14ac:dyDescent="0.25">
      <c r="A6740" t="str">
        <f t="shared" si="1483"/>
        <v>89301000</v>
      </c>
      <c r="B6740" t="str">
        <f>"80001000"</f>
        <v>80001000</v>
      </c>
      <c r="C6740" t="str">
        <f>"80001985"</f>
        <v>80001985</v>
      </c>
      <c r="D6740" t="str">
        <f>"809"</f>
        <v>809</v>
      </c>
      <c r="E6740" t="str">
        <f>"89301172"</f>
        <v>89301172</v>
      </c>
      <c r="F6740" t="str">
        <f>"9153055032"</f>
        <v>9153055032</v>
      </c>
      <c r="G6740" s="1">
        <v>44728</v>
      </c>
      <c r="H6740" t="str">
        <f>"0054256"</f>
        <v>0054256</v>
      </c>
      <c r="I6740">
        <v>0.4</v>
      </c>
      <c r="K6740">
        <v>1677.17</v>
      </c>
      <c r="L6740">
        <v>1677.17</v>
      </c>
    </row>
    <row r="6741" spans="1:12" x14ac:dyDescent="0.25">
      <c r="A6741" t="str">
        <f t="shared" si="1483"/>
        <v>89301000</v>
      </c>
      <c r="B6741" t="str">
        <f>"61004000"</f>
        <v>61004000</v>
      </c>
      <c r="C6741" t="str">
        <f>"61004776"</f>
        <v>61004776</v>
      </c>
      <c r="D6741" t="str">
        <f>"807"</f>
        <v>807</v>
      </c>
      <c r="E6741" t="str">
        <f t="shared" ref="E6741:E6749" si="1484">"89301212"</f>
        <v>89301212</v>
      </c>
      <c r="F6741" t="str">
        <f>"7155014416"</f>
        <v>7155014416</v>
      </c>
      <c r="G6741" s="1">
        <v>44697</v>
      </c>
      <c r="H6741" t="str">
        <f>"87624"</f>
        <v>87624</v>
      </c>
      <c r="I6741">
        <v>4</v>
      </c>
      <c r="J6741">
        <v>19844</v>
      </c>
      <c r="K6741">
        <v>0</v>
      </c>
      <c r="L6741">
        <v>15478.32</v>
      </c>
    </row>
    <row r="6742" spans="1:12" x14ac:dyDescent="0.25">
      <c r="A6742" t="str">
        <f t="shared" si="1483"/>
        <v>89301000</v>
      </c>
      <c r="B6742" t="str">
        <f>"61004000"</f>
        <v>61004000</v>
      </c>
      <c r="C6742" t="str">
        <f>"61004776"</f>
        <v>61004776</v>
      </c>
      <c r="D6742" t="str">
        <f>"807"</f>
        <v>807</v>
      </c>
      <c r="E6742" t="str">
        <f t="shared" si="1484"/>
        <v>89301212</v>
      </c>
      <c r="F6742" t="str">
        <f>"5858110940"</f>
        <v>5858110940</v>
      </c>
      <c r="G6742" s="1">
        <v>44722</v>
      </c>
      <c r="H6742" t="str">
        <f>"87223"</f>
        <v>87223</v>
      </c>
      <c r="I6742">
        <v>1</v>
      </c>
      <c r="J6742">
        <v>384</v>
      </c>
      <c r="K6742">
        <v>0</v>
      </c>
      <c r="L6742">
        <v>299.52</v>
      </c>
    </row>
    <row r="6743" spans="1:12" x14ac:dyDescent="0.25">
      <c r="A6743" t="str">
        <f t="shared" si="1483"/>
        <v>89301000</v>
      </c>
      <c r="B6743" t="str">
        <f>"61004000"</f>
        <v>61004000</v>
      </c>
      <c r="C6743" t="str">
        <f>"61004776"</f>
        <v>61004776</v>
      </c>
      <c r="D6743" t="str">
        <f>"807"</f>
        <v>807</v>
      </c>
      <c r="E6743" t="str">
        <f t="shared" si="1484"/>
        <v>89301212</v>
      </c>
      <c r="F6743" t="str">
        <f>"5858110940"</f>
        <v>5858110940</v>
      </c>
      <c r="G6743" s="1">
        <v>44722</v>
      </c>
      <c r="H6743" t="str">
        <f>"87617"</f>
        <v>87617</v>
      </c>
      <c r="I6743">
        <v>1</v>
      </c>
      <c r="J6743">
        <v>3625</v>
      </c>
      <c r="K6743">
        <v>0</v>
      </c>
      <c r="L6743">
        <v>2827.5</v>
      </c>
    </row>
    <row r="6744" spans="1:12" x14ac:dyDescent="0.25">
      <c r="A6744" t="str">
        <f t="shared" si="1483"/>
        <v>89301000</v>
      </c>
      <c r="B6744" t="str">
        <f>"61004000"</f>
        <v>61004000</v>
      </c>
      <c r="C6744" t="str">
        <f>"61004776"</f>
        <v>61004776</v>
      </c>
      <c r="D6744" t="str">
        <f>"807"</f>
        <v>807</v>
      </c>
      <c r="E6744" t="str">
        <f t="shared" si="1484"/>
        <v>89301212</v>
      </c>
      <c r="F6744" t="str">
        <f>"5858110940"</f>
        <v>5858110940</v>
      </c>
      <c r="G6744" s="1">
        <v>44722</v>
      </c>
      <c r="H6744" t="str">
        <f>"99798"</f>
        <v>99798</v>
      </c>
      <c r="I6744">
        <v>1</v>
      </c>
      <c r="J6744">
        <v>3199</v>
      </c>
      <c r="K6744">
        <v>0</v>
      </c>
      <c r="L6744">
        <v>2495.2199999999998</v>
      </c>
    </row>
    <row r="6745" spans="1:12" x14ac:dyDescent="0.25">
      <c r="A6745" t="str">
        <f t="shared" si="1483"/>
        <v>89301000</v>
      </c>
      <c r="B6745" t="str">
        <f t="shared" ref="B6745:C6749" si="1485">"89434000"</f>
        <v>89434000</v>
      </c>
      <c r="C6745" t="str">
        <f t="shared" si="1485"/>
        <v>89434000</v>
      </c>
      <c r="D6745" t="str">
        <f t="shared" ref="D6745:D6781" si="1486">"809"</f>
        <v>809</v>
      </c>
      <c r="E6745" t="str">
        <f t="shared" si="1484"/>
        <v>89301212</v>
      </c>
      <c r="F6745" t="str">
        <f>"440215463"</f>
        <v>440215463</v>
      </c>
      <c r="G6745" s="1">
        <v>44726</v>
      </c>
      <c r="H6745" t="str">
        <f>"09139"</f>
        <v>09139</v>
      </c>
      <c r="I6745">
        <v>1</v>
      </c>
      <c r="J6745">
        <v>346</v>
      </c>
      <c r="K6745">
        <v>0</v>
      </c>
      <c r="L6745">
        <v>484.4</v>
      </c>
    </row>
    <row r="6746" spans="1:12" x14ac:dyDescent="0.25">
      <c r="A6746" t="str">
        <f t="shared" si="1483"/>
        <v>89301000</v>
      </c>
      <c r="B6746" t="str">
        <f t="shared" si="1485"/>
        <v>89434000</v>
      </c>
      <c r="C6746" t="str">
        <f t="shared" si="1485"/>
        <v>89434000</v>
      </c>
      <c r="D6746" t="str">
        <f t="shared" si="1486"/>
        <v>809</v>
      </c>
      <c r="E6746" t="str">
        <f t="shared" si="1484"/>
        <v>89301212</v>
      </c>
      <c r="F6746" t="str">
        <f>"5561291065"</f>
        <v>5561291065</v>
      </c>
      <c r="G6746" s="1">
        <v>44718</v>
      </c>
      <c r="H6746" t="str">
        <f>"89513"</f>
        <v>89513</v>
      </c>
      <c r="I6746">
        <v>1</v>
      </c>
      <c r="J6746">
        <v>371</v>
      </c>
      <c r="K6746">
        <v>0</v>
      </c>
      <c r="L6746">
        <v>519.4</v>
      </c>
    </row>
    <row r="6747" spans="1:12" x14ac:dyDescent="0.25">
      <c r="A6747" t="str">
        <f t="shared" si="1483"/>
        <v>89301000</v>
      </c>
      <c r="B6747" t="str">
        <f t="shared" si="1485"/>
        <v>89434000</v>
      </c>
      <c r="C6747" t="str">
        <f t="shared" si="1485"/>
        <v>89434000</v>
      </c>
      <c r="D6747" t="str">
        <f t="shared" si="1486"/>
        <v>809</v>
      </c>
      <c r="E6747" t="str">
        <f t="shared" si="1484"/>
        <v>89301212</v>
      </c>
      <c r="F6747" t="str">
        <f>"5561291065"</f>
        <v>5561291065</v>
      </c>
      <c r="G6747" s="1">
        <v>44718</v>
      </c>
      <c r="H6747" t="str">
        <f>"89514"</f>
        <v>89514</v>
      </c>
      <c r="I6747">
        <v>1</v>
      </c>
      <c r="J6747">
        <v>371</v>
      </c>
      <c r="K6747">
        <v>0</v>
      </c>
      <c r="L6747">
        <v>519.4</v>
      </c>
    </row>
    <row r="6748" spans="1:12" x14ac:dyDescent="0.25">
      <c r="A6748" t="str">
        <f t="shared" si="1483"/>
        <v>89301000</v>
      </c>
      <c r="B6748" t="str">
        <f t="shared" si="1485"/>
        <v>89434000</v>
      </c>
      <c r="C6748" t="str">
        <f t="shared" si="1485"/>
        <v>89434000</v>
      </c>
      <c r="D6748" t="str">
        <f t="shared" si="1486"/>
        <v>809</v>
      </c>
      <c r="E6748" t="str">
        <f t="shared" si="1484"/>
        <v>89301212</v>
      </c>
      <c r="F6748" t="str">
        <f>"6051230207"</f>
        <v>6051230207</v>
      </c>
      <c r="G6748" s="1">
        <v>44718</v>
      </c>
      <c r="H6748" t="str">
        <f>"89513"</f>
        <v>89513</v>
      </c>
      <c r="I6748">
        <v>1</v>
      </c>
      <c r="J6748">
        <v>371</v>
      </c>
      <c r="K6748">
        <v>0</v>
      </c>
      <c r="L6748">
        <v>519.4</v>
      </c>
    </row>
    <row r="6749" spans="1:12" x14ac:dyDescent="0.25">
      <c r="A6749" t="str">
        <f t="shared" si="1483"/>
        <v>89301000</v>
      </c>
      <c r="B6749" t="str">
        <f t="shared" si="1485"/>
        <v>89434000</v>
      </c>
      <c r="C6749" t="str">
        <f t="shared" si="1485"/>
        <v>89434000</v>
      </c>
      <c r="D6749" t="str">
        <f t="shared" si="1486"/>
        <v>809</v>
      </c>
      <c r="E6749" t="str">
        <f t="shared" si="1484"/>
        <v>89301212</v>
      </c>
      <c r="F6749" t="str">
        <f>"6051230207"</f>
        <v>6051230207</v>
      </c>
      <c r="G6749" s="1">
        <v>44718</v>
      </c>
      <c r="H6749" t="str">
        <f>"89514"</f>
        <v>89514</v>
      </c>
      <c r="I6749">
        <v>1</v>
      </c>
      <c r="J6749">
        <v>371</v>
      </c>
      <c r="K6749">
        <v>0</v>
      </c>
      <c r="L6749">
        <v>519.4</v>
      </c>
    </row>
    <row r="6750" spans="1:12" x14ac:dyDescent="0.25">
      <c r="A6750" t="str">
        <f t="shared" si="1483"/>
        <v>89301000</v>
      </c>
      <c r="B6750" t="str">
        <f t="shared" ref="B6750:B6757" si="1487">"93507000"</f>
        <v>93507000</v>
      </c>
      <c r="C6750" t="str">
        <f t="shared" ref="C6750:C6757" si="1488">"93507001"</f>
        <v>93507001</v>
      </c>
      <c r="D6750" t="str">
        <f t="shared" si="1486"/>
        <v>809</v>
      </c>
      <c r="E6750" t="str">
        <f>"89301132"</f>
        <v>89301132</v>
      </c>
      <c r="F6750" t="str">
        <f>"1802210003"</f>
        <v>1802210003</v>
      </c>
      <c r="G6750" s="1">
        <v>44725</v>
      </c>
      <c r="H6750" t="str">
        <f>"09139"</f>
        <v>09139</v>
      </c>
      <c r="I6750">
        <v>1</v>
      </c>
      <c r="J6750">
        <v>346</v>
      </c>
      <c r="K6750">
        <v>0</v>
      </c>
      <c r="L6750">
        <v>484.4</v>
      </c>
    </row>
    <row r="6751" spans="1:12" x14ac:dyDescent="0.25">
      <c r="A6751" t="str">
        <f t="shared" si="1483"/>
        <v>89301000</v>
      </c>
      <c r="B6751" t="str">
        <f t="shared" si="1487"/>
        <v>93507000</v>
      </c>
      <c r="C6751" t="str">
        <f t="shared" si="1488"/>
        <v>93507001</v>
      </c>
      <c r="D6751" t="str">
        <f t="shared" si="1486"/>
        <v>809</v>
      </c>
      <c r="E6751" t="str">
        <f>"89301132"</f>
        <v>89301132</v>
      </c>
      <c r="F6751" t="str">
        <f>"1802210003"</f>
        <v>1802210003</v>
      </c>
      <c r="G6751" s="1">
        <v>44725</v>
      </c>
      <c r="H6751" t="str">
        <f>"89515"</f>
        <v>89515</v>
      </c>
      <c r="I6751">
        <v>1</v>
      </c>
      <c r="J6751">
        <v>339</v>
      </c>
      <c r="K6751">
        <v>0</v>
      </c>
      <c r="L6751">
        <v>474.6</v>
      </c>
    </row>
    <row r="6752" spans="1:12" x14ac:dyDescent="0.25">
      <c r="A6752" t="str">
        <f t="shared" si="1483"/>
        <v>89301000</v>
      </c>
      <c r="B6752" t="str">
        <f t="shared" si="1487"/>
        <v>93507000</v>
      </c>
      <c r="C6752" t="str">
        <f t="shared" si="1488"/>
        <v>93507001</v>
      </c>
      <c r="D6752" t="str">
        <f t="shared" si="1486"/>
        <v>809</v>
      </c>
      <c r="E6752" t="str">
        <f>"89301212"</f>
        <v>89301212</v>
      </c>
      <c r="F6752" t="str">
        <f>"485720450"</f>
        <v>485720450</v>
      </c>
      <c r="G6752" s="1">
        <v>44726</v>
      </c>
      <c r="H6752" t="str">
        <f>"89513"</f>
        <v>89513</v>
      </c>
      <c r="I6752">
        <v>1</v>
      </c>
      <c r="J6752">
        <v>371</v>
      </c>
      <c r="K6752">
        <v>0</v>
      </c>
      <c r="L6752">
        <v>519.4</v>
      </c>
    </row>
    <row r="6753" spans="1:12" x14ac:dyDescent="0.25">
      <c r="A6753" t="str">
        <f t="shared" si="1483"/>
        <v>89301000</v>
      </c>
      <c r="B6753" t="str">
        <f t="shared" si="1487"/>
        <v>93507000</v>
      </c>
      <c r="C6753" t="str">
        <f t="shared" si="1488"/>
        <v>93507001</v>
      </c>
      <c r="D6753" t="str">
        <f t="shared" si="1486"/>
        <v>809</v>
      </c>
      <c r="E6753" t="str">
        <f>"89301212"</f>
        <v>89301212</v>
      </c>
      <c r="F6753" t="str">
        <f>"485720450"</f>
        <v>485720450</v>
      </c>
      <c r="G6753" s="1">
        <v>44726</v>
      </c>
      <c r="H6753" t="str">
        <f>"89514"</f>
        <v>89514</v>
      </c>
      <c r="I6753">
        <v>1</v>
      </c>
      <c r="J6753">
        <v>371</v>
      </c>
      <c r="K6753">
        <v>0</v>
      </c>
      <c r="L6753">
        <v>519.4</v>
      </c>
    </row>
    <row r="6754" spans="1:12" x14ac:dyDescent="0.25">
      <c r="A6754" t="str">
        <f t="shared" si="1483"/>
        <v>89301000</v>
      </c>
      <c r="B6754" t="str">
        <f t="shared" si="1487"/>
        <v>93507000</v>
      </c>
      <c r="C6754" t="str">
        <f t="shared" si="1488"/>
        <v>93507001</v>
      </c>
      <c r="D6754" t="str">
        <f t="shared" si="1486"/>
        <v>809</v>
      </c>
      <c r="E6754" t="str">
        <f>"89301212"</f>
        <v>89301212</v>
      </c>
      <c r="F6754" t="str">
        <f>"5602110679"</f>
        <v>5602110679</v>
      </c>
      <c r="G6754" s="1">
        <v>44719</v>
      </c>
      <c r="H6754" t="str">
        <f>"09139"</f>
        <v>09139</v>
      </c>
      <c r="I6754">
        <v>1</v>
      </c>
      <c r="J6754">
        <v>346</v>
      </c>
      <c r="K6754">
        <v>0</v>
      </c>
      <c r="L6754">
        <v>484.4</v>
      </c>
    </row>
    <row r="6755" spans="1:12" x14ac:dyDescent="0.25">
      <c r="A6755" t="str">
        <f t="shared" si="1483"/>
        <v>89301000</v>
      </c>
      <c r="B6755" t="str">
        <f t="shared" si="1487"/>
        <v>93507000</v>
      </c>
      <c r="C6755" t="str">
        <f t="shared" si="1488"/>
        <v>93507001</v>
      </c>
      <c r="D6755" t="str">
        <f t="shared" si="1486"/>
        <v>809</v>
      </c>
      <c r="E6755" t="str">
        <f>"89301212"</f>
        <v>89301212</v>
      </c>
      <c r="F6755" t="str">
        <f>"5751280348"</f>
        <v>5751280348</v>
      </c>
      <c r="G6755" s="1">
        <v>44734</v>
      </c>
      <c r="H6755" t="str">
        <f>"89131"</f>
        <v>89131</v>
      </c>
      <c r="I6755">
        <v>1</v>
      </c>
      <c r="J6755">
        <v>187</v>
      </c>
      <c r="K6755">
        <v>0</v>
      </c>
      <c r="L6755">
        <v>261.8</v>
      </c>
    </row>
    <row r="6756" spans="1:12" x14ac:dyDescent="0.25">
      <c r="A6756" t="str">
        <f t="shared" si="1483"/>
        <v>89301000</v>
      </c>
      <c r="B6756" t="str">
        <f t="shared" si="1487"/>
        <v>93507000</v>
      </c>
      <c r="C6756" t="str">
        <f t="shared" si="1488"/>
        <v>93507001</v>
      </c>
      <c r="D6756" t="str">
        <f t="shared" si="1486"/>
        <v>809</v>
      </c>
      <c r="E6756" t="str">
        <f>"89301032"</f>
        <v>89301032</v>
      </c>
      <c r="F6756" t="str">
        <f>"7560055778"</f>
        <v>7560055778</v>
      </c>
      <c r="G6756" s="1">
        <v>44721</v>
      </c>
      <c r="H6756" t="str">
        <f>"89513"</f>
        <v>89513</v>
      </c>
      <c r="I6756">
        <v>1</v>
      </c>
      <c r="J6756">
        <v>371</v>
      </c>
      <c r="K6756">
        <v>0</v>
      </c>
      <c r="L6756">
        <v>519.4</v>
      </c>
    </row>
    <row r="6757" spans="1:12" x14ac:dyDescent="0.25">
      <c r="A6757" t="str">
        <f t="shared" si="1483"/>
        <v>89301000</v>
      </c>
      <c r="B6757" t="str">
        <f t="shared" si="1487"/>
        <v>93507000</v>
      </c>
      <c r="C6757" t="str">
        <f t="shared" si="1488"/>
        <v>93507001</v>
      </c>
      <c r="D6757" t="str">
        <f t="shared" si="1486"/>
        <v>809</v>
      </c>
      <c r="E6757" t="str">
        <f>"89301032"</f>
        <v>89301032</v>
      </c>
      <c r="F6757" t="str">
        <f>"7560055778"</f>
        <v>7560055778</v>
      </c>
      <c r="G6757" s="1">
        <v>44721</v>
      </c>
      <c r="H6757" t="str">
        <f>"89514"</f>
        <v>89514</v>
      </c>
      <c r="I6757">
        <v>1</v>
      </c>
      <c r="J6757">
        <v>371</v>
      </c>
      <c r="K6757">
        <v>0</v>
      </c>
      <c r="L6757">
        <v>519.4</v>
      </c>
    </row>
    <row r="6758" spans="1:12" x14ac:dyDescent="0.25">
      <c r="A6758" t="str">
        <f t="shared" si="1483"/>
        <v>89301000</v>
      </c>
      <c r="B6758" t="str">
        <f t="shared" ref="B6758:B6789" si="1489">"89383000"</f>
        <v>89383000</v>
      </c>
      <c r="C6758" t="str">
        <f t="shared" ref="C6758:C6789" si="1490">"89383002"</f>
        <v>89383002</v>
      </c>
      <c r="D6758" t="str">
        <f t="shared" si="1486"/>
        <v>809</v>
      </c>
      <c r="E6758" t="str">
        <f>"89301212"</f>
        <v>89301212</v>
      </c>
      <c r="F6758" t="str">
        <f>"6557311453"</f>
        <v>6557311453</v>
      </c>
      <c r="G6758" s="1">
        <v>44685</v>
      </c>
      <c r="H6758" t="str">
        <f>"89513"</f>
        <v>89513</v>
      </c>
      <c r="I6758">
        <v>1</v>
      </c>
      <c r="J6758">
        <v>371</v>
      </c>
      <c r="K6758">
        <v>0</v>
      </c>
      <c r="L6758">
        <v>519.4</v>
      </c>
    </row>
    <row r="6759" spans="1:12" x14ac:dyDescent="0.25">
      <c r="A6759" t="str">
        <f t="shared" si="1483"/>
        <v>89301000</v>
      </c>
      <c r="B6759" t="str">
        <f t="shared" si="1489"/>
        <v>89383000</v>
      </c>
      <c r="C6759" t="str">
        <f t="shared" si="1490"/>
        <v>89383002</v>
      </c>
      <c r="D6759" t="str">
        <f t="shared" si="1486"/>
        <v>809</v>
      </c>
      <c r="E6759" t="str">
        <f>"89301212"</f>
        <v>89301212</v>
      </c>
      <c r="F6759" t="str">
        <f>"6557311453"</f>
        <v>6557311453</v>
      </c>
      <c r="G6759" s="1">
        <v>44685</v>
      </c>
      <c r="H6759" t="str">
        <f>"89514"</f>
        <v>89514</v>
      </c>
      <c r="I6759">
        <v>1</v>
      </c>
      <c r="J6759">
        <v>371</v>
      </c>
      <c r="K6759">
        <v>0</v>
      </c>
      <c r="L6759">
        <v>519.4</v>
      </c>
    </row>
    <row r="6760" spans="1:12" x14ac:dyDescent="0.25">
      <c r="A6760" t="str">
        <f t="shared" si="1483"/>
        <v>89301000</v>
      </c>
      <c r="B6760" t="str">
        <f t="shared" si="1489"/>
        <v>89383000</v>
      </c>
      <c r="C6760" t="str">
        <f t="shared" si="1490"/>
        <v>89383002</v>
      </c>
      <c r="D6760" t="str">
        <f t="shared" si="1486"/>
        <v>809</v>
      </c>
      <c r="E6760" t="str">
        <f>"89301212"</f>
        <v>89301212</v>
      </c>
      <c r="F6760" t="str">
        <f>"7562065313"</f>
        <v>7562065313</v>
      </c>
      <c r="G6760" s="1">
        <v>44713</v>
      </c>
      <c r="H6760" t="str">
        <f>"89513"</f>
        <v>89513</v>
      </c>
      <c r="I6760">
        <v>1</v>
      </c>
      <c r="J6760">
        <v>371</v>
      </c>
      <c r="K6760">
        <v>0</v>
      </c>
      <c r="L6760">
        <v>519.4</v>
      </c>
    </row>
    <row r="6761" spans="1:12" x14ac:dyDescent="0.25">
      <c r="A6761" t="str">
        <f t="shared" si="1483"/>
        <v>89301000</v>
      </c>
      <c r="B6761" t="str">
        <f t="shared" si="1489"/>
        <v>89383000</v>
      </c>
      <c r="C6761" t="str">
        <f t="shared" si="1490"/>
        <v>89383002</v>
      </c>
      <c r="D6761" t="str">
        <f t="shared" si="1486"/>
        <v>809</v>
      </c>
      <c r="E6761" t="str">
        <f>"89301212"</f>
        <v>89301212</v>
      </c>
      <c r="F6761" t="str">
        <f>"7562065313"</f>
        <v>7562065313</v>
      </c>
      <c r="G6761" s="1">
        <v>44713</v>
      </c>
      <c r="H6761" t="str">
        <f>"89514"</f>
        <v>89514</v>
      </c>
      <c r="I6761">
        <v>1</v>
      </c>
      <c r="J6761">
        <v>371</v>
      </c>
      <c r="K6761">
        <v>0</v>
      </c>
      <c r="L6761">
        <v>519.4</v>
      </c>
    </row>
    <row r="6762" spans="1:12" x14ac:dyDescent="0.25">
      <c r="A6762" t="str">
        <f t="shared" si="1483"/>
        <v>89301000</v>
      </c>
      <c r="B6762" t="str">
        <f t="shared" si="1489"/>
        <v>89383000</v>
      </c>
      <c r="C6762" t="str">
        <f t="shared" si="1490"/>
        <v>89383002</v>
      </c>
      <c r="D6762" t="str">
        <f t="shared" si="1486"/>
        <v>809</v>
      </c>
      <c r="E6762" t="str">
        <f>"89301045"</f>
        <v>89301045</v>
      </c>
      <c r="F6762" t="str">
        <f>"7258203689"</f>
        <v>7258203689</v>
      </c>
      <c r="G6762" s="1">
        <v>44713</v>
      </c>
      <c r="H6762" t="str">
        <f>"89512"</f>
        <v>89512</v>
      </c>
      <c r="I6762">
        <v>1</v>
      </c>
      <c r="J6762">
        <v>277</v>
      </c>
      <c r="K6762">
        <v>0</v>
      </c>
      <c r="L6762">
        <v>387.8</v>
      </c>
    </row>
    <row r="6763" spans="1:12" x14ac:dyDescent="0.25">
      <c r="A6763" t="str">
        <f t="shared" si="1483"/>
        <v>89301000</v>
      </c>
      <c r="B6763" t="str">
        <f t="shared" si="1489"/>
        <v>89383000</v>
      </c>
      <c r="C6763" t="str">
        <f t="shared" si="1490"/>
        <v>89383002</v>
      </c>
      <c r="D6763" t="str">
        <f t="shared" si="1486"/>
        <v>809</v>
      </c>
      <c r="E6763" t="str">
        <f t="shared" ref="E6763:E6773" si="1491">"89301212"</f>
        <v>89301212</v>
      </c>
      <c r="F6763" t="str">
        <f>"7460014463"</f>
        <v>7460014463</v>
      </c>
      <c r="G6763" s="1">
        <v>44713</v>
      </c>
      <c r="H6763" t="str">
        <f>"89180"</f>
        <v>89180</v>
      </c>
      <c r="I6763">
        <v>2</v>
      </c>
      <c r="J6763">
        <v>752</v>
      </c>
      <c r="K6763">
        <v>0</v>
      </c>
      <c r="L6763">
        <v>1052.8</v>
      </c>
    </row>
    <row r="6764" spans="1:12" x14ac:dyDescent="0.25">
      <c r="A6764" t="str">
        <f t="shared" si="1483"/>
        <v>89301000</v>
      </c>
      <c r="B6764" t="str">
        <f t="shared" si="1489"/>
        <v>89383000</v>
      </c>
      <c r="C6764" t="str">
        <f t="shared" si="1490"/>
        <v>89383002</v>
      </c>
      <c r="D6764" t="str">
        <f t="shared" si="1486"/>
        <v>809</v>
      </c>
      <c r="E6764" t="str">
        <f t="shared" si="1491"/>
        <v>89301212</v>
      </c>
      <c r="F6764" t="str">
        <f>"7562115308"</f>
        <v>7562115308</v>
      </c>
      <c r="G6764" s="1">
        <v>44713</v>
      </c>
      <c r="H6764" t="str">
        <f>"89513"</f>
        <v>89513</v>
      </c>
      <c r="I6764">
        <v>1</v>
      </c>
      <c r="J6764">
        <v>371</v>
      </c>
      <c r="K6764">
        <v>0</v>
      </c>
      <c r="L6764">
        <v>519.4</v>
      </c>
    </row>
    <row r="6765" spans="1:12" x14ac:dyDescent="0.25">
      <c r="A6765" t="str">
        <f t="shared" si="1483"/>
        <v>89301000</v>
      </c>
      <c r="B6765" t="str">
        <f t="shared" si="1489"/>
        <v>89383000</v>
      </c>
      <c r="C6765" t="str">
        <f t="shared" si="1490"/>
        <v>89383002</v>
      </c>
      <c r="D6765" t="str">
        <f t="shared" si="1486"/>
        <v>809</v>
      </c>
      <c r="E6765" t="str">
        <f t="shared" si="1491"/>
        <v>89301212</v>
      </c>
      <c r="F6765" t="str">
        <f>"7562115308"</f>
        <v>7562115308</v>
      </c>
      <c r="G6765" s="1">
        <v>44713</v>
      </c>
      <c r="H6765" t="str">
        <f>"89514"</f>
        <v>89514</v>
      </c>
      <c r="I6765">
        <v>1</v>
      </c>
      <c r="J6765">
        <v>371</v>
      </c>
      <c r="K6765">
        <v>0</v>
      </c>
      <c r="L6765">
        <v>519.4</v>
      </c>
    </row>
    <row r="6766" spans="1:12" x14ac:dyDescent="0.25">
      <c r="A6766" t="str">
        <f t="shared" si="1483"/>
        <v>89301000</v>
      </c>
      <c r="B6766" t="str">
        <f t="shared" si="1489"/>
        <v>89383000</v>
      </c>
      <c r="C6766" t="str">
        <f t="shared" si="1490"/>
        <v>89383002</v>
      </c>
      <c r="D6766" t="str">
        <f t="shared" si="1486"/>
        <v>809</v>
      </c>
      <c r="E6766" t="str">
        <f t="shared" si="1491"/>
        <v>89301212</v>
      </c>
      <c r="F6766" t="str">
        <f>"7559045714"</f>
        <v>7559045714</v>
      </c>
      <c r="G6766" s="1">
        <v>44714</v>
      </c>
      <c r="H6766" t="str">
        <f>"89180"</f>
        <v>89180</v>
      </c>
      <c r="I6766">
        <v>1</v>
      </c>
      <c r="J6766">
        <v>376</v>
      </c>
      <c r="K6766">
        <v>0</v>
      </c>
      <c r="L6766">
        <v>526.4</v>
      </c>
    </row>
    <row r="6767" spans="1:12" x14ac:dyDescent="0.25">
      <c r="A6767" t="str">
        <f t="shared" si="1483"/>
        <v>89301000</v>
      </c>
      <c r="B6767" t="str">
        <f t="shared" si="1489"/>
        <v>89383000</v>
      </c>
      <c r="C6767" t="str">
        <f t="shared" si="1490"/>
        <v>89383002</v>
      </c>
      <c r="D6767" t="str">
        <f t="shared" si="1486"/>
        <v>809</v>
      </c>
      <c r="E6767" t="str">
        <f t="shared" si="1491"/>
        <v>89301212</v>
      </c>
      <c r="F6767" t="str">
        <f>"7559045714"</f>
        <v>7559045714</v>
      </c>
      <c r="G6767" s="1">
        <v>44714</v>
      </c>
      <c r="H6767" t="str">
        <f>"89512"</f>
        <v>89512</v>
      </c>
      <c r="I6767">
        <v>1</v>
      </c>
      <c r="J6767">
        <v>277</v>
      </c>
      <c r="K6767">
        <v>0</v>
      </c>
      <c r="L6767">
        <v>387.8</v>
      </c>
    </row>
    <row r="6768" spans="1:12" x14ac:dyDescent="0.25">
      <c r="A6768" t="str">
        <f t="shared" si="1483"/>
        <v>89301000</v>
      </c>
      <c r="B6768" t="str">
        <f t="shared" si="1489"/>
        <v>89383000</v>
      </c>
      <c r="C6768" t="str">
        <f t="shared" si="1490"/>
        <v>89383002</v>
      </c>
      <c r="D6768" t="str">
        <f t="shared" si="1486"/>
        <v>809</v>
      </c>
      <c r="E6768" t="str">
        <f t="shared" si="1491"/>
        <v>89301212</v>
      </c>
      <c r="F6768" t="str">
        <f>"7559045714"</f>
        <v>7559045714</v>
      </c>
      <c r="G6768" s="1">
        <v>44714</v>
      </c>
      <c r="H6768" t="str">
        <f>"89513"</f>
        <v>89513</v>
      </c>
      <c r="I6768">
        <v>1</v>
      </c>
      <c r="J6768">
        <v>371</v>
      </c>
      <c r="K6768">
        <v>0</v>
      </c>
      <c r="L6768">
        <v>519.4</v>
      </c>
    </row>
    <row r="6769" spans="1:12" x14ac:dyDescent="0.25">
      <c r="A6769" t="str">
        <f t="shared" si="1483"/>
        <v>89301000</v>
      </c>
      <c r="B6769" t="str">
        <f t="shared" si="1489"/>
        <v>89383000</v>
      </c>
      <c r="C6769" t="str">
        <f t="shared" si="1490"/>
        <v>89383002</v>
      </c>
      <c r="D6769" t="str">
        <f t="shared" si="1486"/>
        <v>809</v>
      </c>
      <c r="E6769" t="str">
        <f t="shared" si="1491"/>
        <v>89301212</v>
      </c>
      <c r="F6769" t="str">
        <f>"7559045714"</f>
        <v>7559045714</v>
      </c>
      <c r="G6769" s="1">
        <v>44714</v>
      </c>
      <c r="H6769" t="str">
        <f>"89514"</f>
        <v>89514</v>
      </c>
      <c r="I6769">
        <v>1</v>
      </c>
      <c r="J6769">
        <v>371</v>
      </c>
      <c r="K6769">
        <v>0</v>
      </c>
      <c r="L6769">
        <v>519.4</v>
      </c>
    </row>
    <row r="6770" spans="1:12" x14ac:dyDescent="0.25">
      <c r="A6770" t="str">
        <f t="shared" si="1483"/>
        <v>89301000</v>
      </c>
      <c r="B6770" t="str">
        <f t="shared" si="1489"/>
        <v>89383000</v>
      </c>
      <c r="C6770" t="str">
        <f t="shared" si="1490"/>
        <v>89383002</v>
      </c>
      <c r="D6770" t="str">
        <f t="shared" si="1486"/>
        <v>809</v>
      </c>
      <c r="E6770" t="str">
        <f t="shared" si="1491"/>
        <v>89301212</v>
      </c>
      <c r="F6770" t="str">
        <f>"475221403"</f>
        <v>475221403</v>
      </c>
      <c r="G6770" s="1">
        <v>44714</v>
      </c>
      <c r="H6770" t="str">
        <f>"89180"</f>
        <v>89180</v>
      </c>
      <c r="I6770">
        <v>2</v>
      </c>
      <c r="J6770">
        <v>752</v>
      </c>
      <c r="K6770">
        <v>0</v>
      </c>
      <c r="L6770">
        <v>1052.8</v>
      </c>
    </row>
    <row r="6771" spans="1:12" x14ac:dyDescent="0.25">
      <c r="A6771" t="str">
        <f t="shared" si="1483"/>
        <v>89301000</v>
      </c>
      <c r="B6771" t="str">
        <f t="shared" si="1489"/>
        <v>89383000</v>
      </c>
      <c r="C6771" t="str">
        <f t="shared" si="1490"/>
        <v>89383002</v>
      </c>
      <c r="D6771" t="str">
        <f t="shared" si="1486"/>
        <v>809</v>
      </c>
      <c r="E6771" t="str">
        <f t="shared" si="1491"/>
        <v>89301212</v>
      </c>
      <c r="F6771" t="str">
        <f>"475221403"</f>
        <v>475221403</v>
      </c>
      <c r="G6771" s="1">
        <v>44714</v>
      </c>
      <c r="H6771" t="str">
        <f>"89512"</f>
        <v>89512</v>
      </c>
      <c r="I6771">
        <v>1</v>
      </c>
      <c r="J6771">
        <v>277</v>
      </c>
      <c r="K6771">
        <v>0</v>
      </c>
      <c r="L6771">
        <v>387.8</v>
      </c>
    </row>
    <row r="6772" spans="1:12" x14ac:dyDescent="0.25">
      <c r="A6772" t="str">
        <f t="shared" si="1483"/>
        <v>89301000</v>
      </c>
      <c r="B6772" t="str">
        <f t="shared" si="1489"/>
        <v>89383000</v>
      </c>
      <c r="C6772" t="str">
        <f t="shared" si="1490"/>
        <v>89383002</v>
      </c>
      <c r="D6772" t="str">
        <f t="shared" si="1486"/>
        <v>809</v>
      </c>
      <c r="E6772" t="str">
        <f t="shared" si="1491"/>
        <v>89301212</v>
      </c>
      <c r="F6772" t="str">
        <f>"475221403"</f>
        <v>475221403</v>
      </c>
      <c r="G6772" s="1">
        <v>44714</v>
      </c>
      <c r="H6772" t="str">
        <f>"89513"</f>
        <v>89513</v>
      </c>
      <c r="I6772">
        <v>1</v>
      </c>
      <c r="J6772">
        <v>371</v>
      </c>
      <c r="K6772">
        <v>0</v>
      </c>
      <c r="L6772">
        <v>519.4</v>
      </c>
    </row>
    <row r="6773" spans="1:12" x14ac:dyDescent="0.25">
      <c r="A6773" t="str">
        <f t="shared" si="1483"/>
        <v>89301000</v>
      </c>
      <c r="B6773" t="str">
        <f t="shared" si="1489"/>
        <v>89383000</v>
      </c>
      <c r="C6773" t="str">
        <f t="shared" si="1490"/>
        <v>89383002</v>
      </c>
      <c r="D6773" t="str">
        <f t="shared" si="1486"/>
        <v>809</v>
      </c>
      <c r="E6773" t="str">
        <f t="shared" si="1491"/>
        <v>89301212</v>
      </c>
      <c r="F6773" t="str">
        <f>"475221403"</f>
        <v>475221403</v>
      </c>
      <c r="G6773" s="1">
        <v>44714</v>
      </c>
      <c r="H6773" t="str">
        <f>"89514"</f>
        <v>89514</v>
      </c>
      <c r="I6773">
        <v>1</v>
      </c>
      <c r="J6773">
        <v>371</v>
      </c>
      <c r="K6773">
        <v>0</v>
      </c>
      <c r="L6773">
        <v>519.4</v>
      </c>
    </row>
    <row r="6774" spans="1:12" x14ac:dyDescent="0.25">
      <c r="A6774" t="str">
        <f t="shared" si="1483"/>
        <v>89301000</v>
      </c>
      <c r="B6774" t="str">
        <f t="shared" si="1489"/>
        <v>89383000</v>
      </c>
      <c r="C6774" t="str">
        <f t="shared" si="1490"/>
        <v>89383002</v>
      </c>
      <c r="D6774" t="str">
        <f t="shared" si="1486"/>
        <v>809</v>
      </c>
      <c r="E6774" t="str">
        <f>"89301045"</f>
        <v>89301045</v>
      </c>
      <c r="F6774" t="str">
        <f>"5660100281"</f>
        <v>5660100281</v>
      </c>
      <c r="G6774" s="1">
        <v>44714</v>
      </c>
      <c r="H6774" t="str">
        <f>"89180"</f>
        <v>89180</v>
      </c>
      <c r="I6774">
        <v>1</v>
      </c>
      <c r="J6774">
        <v>376</v>
      </c>
      <c r="K6774">
        <v>0</v>
      </c>
      <c r="L6774">
        <v>526.4</v>
      </c>
    </row>
    <row r="6775" spans="1:12" x14ac:dyDescent="0.25">
      <c r="A6775" t="str">
        <f t="shared" si="1483"/>
        <v>89301000</v>
      </c>
      <c r="B6775" t="str">
        <f t="shared" si="1489"/>
        <v>89383000</v>
      </c>
      <c r="C6775" t="str">
        <f t="shared" si="1490"/>
        <v>89383002</v>
      </c>
      <c r="D6775" t="str">
        <f t="shared" si="1486"/>
        <v>809</v>
      </c>
      <c r="E6775" t="str">
        <f>"89301045"</f>
        <v>89301045</v>
      </c>
      <c r="F6775" t="str">
        <f>"5660100281"</f>
        <v>5660100281</v>
      </c>
      <c r="G6775" s="1">
        <v>44714</v>
      </c>
      <c r="H6775" t="str">
        <f>"89513"</f>
        <v>89513</v>
      </c>
      <c r="I6775">
        <v>1</v>
      </c>
      <c r="J6775">
        <v>371</v>
      </c>
      <c r="K6775">
        <v>0</v>
      </c>
      <c r="L6775">
        <v>519.4</v>
      </c>
    </row>
    <row r="6776" spans="1:12" x14ac:dyDescent="0.25">
      <c r="A6776" t="str">
        <f t="shared" si="1483"/>
        <v>89301000</v>
      </c>
      <c r="B6776" t="str">
        <f t="shared" si="1489"/>
        <v>89383000</v>
      </c>
      <c r="C6776" t="str">
        <f t="shared" si="1490"/>
        <v>89383002</v>
      </c>
      <c r="D6776" t="str">
        <f t="shared" si="1486"/>
        <v>809</v>
      </c>
      <c r="E6776" t="str">
        <f>"89301045"</f>
        <v>89301045</v>
      </c>
      <c r="F6776" t="str">
        <f>"5660100281"</f>
        <v>5660100281</v>
      </c>
      <c r="G6776" s="1">
        <v>44714</v>
      </c>
      <c r="H6776" t="str">
        <f>"89514"</f>
        <v>89514</v>
      </c>
      <c r="I6776">
        <v>1</v>
      </c>
      <c r="J6776">
        <v>371</v>
      </c>
      <c r="K6776">
        <v>0</v>
      </c>
      <c r="L6776">
        <v>519.4</v>
      </c>
    </row>
    <row r="6777" spans="1:12" x14ac:dyDescent="0.25">
      <c r="A6777" t="str">
        <f t="shared" si="1483"/>
        <v>89301000</v>
      </c>
      <c r="B6777" t="str">
        <f t="shared" si="1489"/>
        <v>89383000</v>
      </c>
      <c r="C6777" t="str">
        <f t="shared" si="1490"/>
        <v>89383002</v>
      </c>
      <c r="D6777" t="str">
        <f t="shared" si="1486"/>
        <v>809</v>
      </c>
      <c r="E6777" t="str">
        <f t="shared" ref="E6777:E6788" si="1492">"89301212"</f>
        <v>89301212</v>
      </c>
      <c r="F6777" t="str">
        <f>"8054205302"</f>
        <v>8054205302</v>
      </c>
      <c r="G6777" s="1">
        <v>44715</v>
      </c>
      <c r="H6777" t="str">
        <f>"89512"</f>
        <v>89512</v>
      </c>
      <c r="I6777">
        <v>1</v>
      </c>
      <c r="J6777">
        <v>277</v>
      </c>
      <c r="K6777">
        <v>0</v>
      </c>
      <c r="L6777">
        <v>387.8</v>
      </c>
    </row>
    <row r="6778" spans="1:12" x14ac:dyDescent="0.25">
      <c r="A6778" t="str">
        <f t="shared" si="1483"/>
        <v>89301000</v>
      </c>
      <c r="B6778" t="str">
        <f t="shared" si="1489"/>
        <v>89383000</v>
      </c>
      <c r="C6778" t="str">
        <f t="shared" si="1490"/>
        <v>89383002</v>
      </c>
      <c r="D6778" t="str">
        <f t="shared" si="1486"/>
        <v>809</v>
      </c>
      <c r="E6778" t="str">
        <f t="shared" si="1492"/>
        <v>89301212</v>
      </c>
      <c r="F6778" t="str">
        <f>"6754070609"</f>
        <v>6754070609</v>
      </c>
      <c r="G6778" s="1">
        <v>44718</v>
      </c>
      <c r="H6778" t="str">
        <f>"89513"</f>
        <v>89513</v>
      </c>
      <c r="I6778">
        <v>1</v>
      </c>
      <c r="J6778">
        <v>371</v>
      </c>
      <c r="K6778">
        <v>0</v>
      </c>
      <c r="L6778">
        <v>519.4</v>
      </c>
    </row>
    <row r="6779" spans="1:12" x14ac:dyDescent="0.25">
      <c r="A6779" t="str">
        <f t="shared" si="1483"/>
        <v>89301000</v>
      </c>
      <c r="B6779" t="str">
        <f t="shared" si="1489"/>
        <v>89383000</v>
      </c>
      <c r="C6779" t="str">
        <f t="shared" si="1490"/>
        <v>89383002</v>
      </c>
      <c r="D6779" t="str">
        <f t="shared" si="1486"/>
        <v>809</v>
      </c>
      <c r="E6779" t="str">
        <f t="shared" si="1492"/>
        <v>89301212</v>
      </c>
      <c r="F6779" t="str">
        <f>"6754070609"</f>
        <v>6754070609</v>
      </c>
      <c r="G6779" s="1">
        <v>44718</v>
      </c>
      <c r="H6779" t="str">
        <f>"89514"</f>
        <v>89514</v>
      </c>
      <c r="I6779">
        <v>1</v>
      </c>
      <c r="J6779">
        <v>371</v>
      </c>
      <c r="K6779">
        <v>0</v>
      </c>
      <c r="L6779">
        <v>519.4</v>
      </c>
    </row>
    <row r="6780" spans="1:12" x14ac:dyDescent="0.25">
      <c r="A6780" t="str">
        <f t="shared" si="1483"/>
        <v>89301000</v>
      </c>
      <c r="B6780" t="str">
        <f t="shared" si="1489"/>
        <v>89383000</v>
      </c>
      <c r="C6780" t="str">
        <f t="shared" si="1490"/>
        <v>89383002</v>
      </c>
      <c r="D6780" t="str">
        <f t="shared" si="1486"/>
        <v>809</v>
      </c>
      <c r="E6780" t="str">
        <f t="shared" si="1492"/>
        <v>89301212</v>
      </c>
      <c r="F6780" t="str">
        <f>"526129180"</f>
        <v>526129180</v>
      </c>
      <c r="G6780" s="1">
        <v>44718</v>
      </c>
      <c r="H6780" t="str">
        <f>"89512"</f>
        <v>89512</v>
      </c>
      <c r="I6780">
        <v>1</v>
      </c>
      <c r="J6780">
        <v>277</v>
      </c>
      <c r="K6780">
        <v>0</v>
      </c>
      <c r="L6780">
        <v>387.8</v>
      </c>
    </row>
    <row r="6781" spans="1:12" x14ac:dyDescent="0.25">
      <c r="A6781" t="str">
        <f t="shared" si="1483"/>
        <v>89301000</v>
      </c>
      <c r="B6781" t="str">
        <f t="shared" si="1489"/>
        <v>89383000</v>
      </c>
      <c r="C6781" t="str">
        <f t="shared" si="1490"/>
        <v>89383002</v>
      </c>
      <c r="D6781" t="str">
        <f t="shared" si="1486"/>
        <v>809</v>
      </c>
      <c r="E6781" t="str">
        <f t="shared" si="1492"/>
        <v>89301212</v>
      </c>
      <c r="F6781" t="str">
        <f>"5459073125"</f>
        <v>5459073125</v>
      </c>
      <c r="G6781" s="1">
        <v>44719</v>
      </c>
      <c r="H6781" t="str">
        <f>"89512"</f>
        <v>89512</v>
      </c>
      <c r="I6781">
        <v>1</v>
      </c>
      <c r="J6781">
        <v>277</v>
      </c>
      <c r="K6781">
        <v>0</v>
      </c>
      <c r="L6781">
        <v>387.8</v>
      </c>
    </row>
    <row r="6782" spans="1:12" x14ac:dyDescent="0.25">
      <c r="A6782" t="str">
        <f t="shared" si="1483"/>
        <v>89301000</v>
      </c>
      <c r="B6782" t="str">
        <f t="shared" si="1489"/>
        <v>89383000</v>
      </c>
      <c r="C6782" t="str">
        <f t="shared" si="1490"/>
        <v>89383002</v>
      </c>
      <c r="D6782" t="str">
        <f>"806"</f>
        <v>806</v>
      </c>
      <c r="E6782" t="str">
        <f t="shared" si="1492"/>
        <v>89301212</v>
      </c>
      <c r="F6782" t="str">
        <f>"7460014463"</f>
        <v>7460014463</v>
      </c>
      <c r="G6782" s="1">
        <v>44713</v>
      </c>
      <c r="H6782" t="str">
        <f>"89512"</f>
        <v>89512</v>
      </c>
      <c r="I6782">
        <v>1</v>
      </c>
      <c r="J6782">
        <v>277</v>
      </c>
      <c r="K6782">
        <v>0</v>
      </c>
      <c r="L6782">
        <v>329.63</v>
      </c>
    </row>
    <row r="6783" spans="1:12" x14ac:dyDescent="0.25">
      <c r="A6783" t="str">
        <f t="shared" si="1483"/>
        <v>89301000</v>
      </c>
      <c r="B6783" t="str">
        <f t="shared" si="1489"/>
        <v>89383000</v>
      </c>
      <c r="C6783" t="str">
        <f t="shared" si="1490"/>
        <v>89383002</v>
      </c>
      <c r="D6783" t="str">
        <f t="shared" ref="D6783:D6814" si="1493">"809"</f>
        <v>809</v>
      </c>
      <c r="E6783" t="str">
        <f t="shared" si="1492"/>
        <v>89301212</v>
      </c>
      <c r="F6783" t="str">
        <f>"6854110274"</f>
        <v>6854110274</v>
      </c>
      <c r="G6783" s="1">
        <v>44720</v>
      </c>
      <c r="H6783" t="str">
        <f>"89180"</f>
        <v>89180</v>
      </c>
      <c r="I6783">
        <v>1</v>
      </c>
      <c r="J6783">
        <v>376</v>
      </c>
      <c r="K6783">
        <v>0</v>
      </c>
      <c r="L6783">
        <v>526.4</v>
      </c>
    </row>
    <row r="6784" spans="1:12" x14ac:dyDescent="0.25">
      <c r="A6784" t="str">
        <f t="shared" si="1483"/>
        <v>89301000</v>
      </c>
      <c r="B6784" t="str">
        <f t="shared" si="1489"/>
        <v>89383000</v>
      </c>
      <c r="C6784" t="str">
        <f t="shared" si="1490"/>
        <v>89383002</v>
      </c>
      <c r="D6784" t="str">
        <f t="shared" si="1493"/>
        <v>809</v>
      </c>
      <c r="E6784" t="str">
        <f t="shared" si="1492"/>
        <v>89301212</v>
      </c>
      <c r="F6784" t="str">
        <f>"7960035325"</f>
        <v>7960035325</v>
      </c>
      <c r="G6784" s="1">
        <v>44721</v>
      </c>
      <c r="H6784" t="str">
        <f>"89512"</f>
        <v>89512</v>
      </c>
      <c r="I6784">
        <v>1</v>
      </c>
      <c r="J6784">
        <v>277</v>
      </c>
      <c r="K6784">
        <v>0</v>
      </c>
      <c r="L6784">
        <v>387.8</v>
      </c>
    </row>
    <row r="6785" spans="1:12" x14ac:dyDescent="0.25">
      <c r="A6785" t="str">
        <f t="shared" si="1483"/>
        <v>89301000</v>
      </c>
      <c r="B6785" t="str">
        <f t="shared" si="1489"/>
        <v>89383000</v>
      </c>
      <c r="C6785" t="str">
        <f t="shared" si="1490"/>
        <v>89383002</v>
      </c>
      <c r="D6785" t="str">
        <f t="shared" si="1493"/>
        <v>809</v>
      </c>
      <c r="E6785" t="str">
        <f t="shared" si="1492"/>
        <v>89301212</v>
      </c>
      <c r="F6785" t="str">
        <f>"6252150014"</f>
        <v>6252150014</v>
      </c>
      <c r="G6785" s="1">
        <v>44722</v>
      </c>
      <c r="H6785" t="str">
        <f>"89513"</f>
        <v>89513</v>
      </c>
      <c r="I6785">
        <v>1</v>
      </c>
      <c r="J6785">
        <v>371</v>
      </c>
      <c r="K6785">
        <v>0</v>
      </c>
      <c r="L6785">
        <v>519.4</v>
      </c>
    </row>
    <row r="6786" spans="1:12" x14ac:dyDescent="0.25">
      <c r="A6786" t="str">
        <f t="shared" ref="A6786:A6849" si="1494">"89301000"</f>
        <v>89301000</v>
      </c>
      <c r="B6786" t="str">
        <f t="shared" si="1489"/>
        <v>89383000</v>
      </c>
      <c r="C6786" t="str">
        <f t="shared" si="1490"/>
        <v>89383002</v>
      </c>
      <c r="D6786" t="str">
        <f t="shared" si="1493"/>
        <v>809</v>
      </c>
      <c r="E6786" t="str">
        <f t="shared" si="1492"/>
        <v>89301212</v>
      </c>
      <c r="F6786" t="str">
        <f>"6252150014"</f>
        <v>6252150014</v>
      </c>
      <c r="G6786" s="1">
        <v>44722</v>
      </c>
      <c r="H6786" t="str">
        <f>"89514"</f>
        <v>89514</v>
      </c>
      <c r="I6786">
        <v>1</v>
      </c>
      <c r="J6786">
        <v>371</v>
      </c>
      <c r="K6786">
        <v>0</v>
      </c>
      <c r="L6786">
        <v>519.4</v>
      </c>
    </row>
    <row r="6787" spans="1:12" x14ac:dyDescent="0.25">
      <c r="A6787" t="str">
        <f t="shared" si="1494"/>
        <v>89301000</v>
      </c>
      <c r="B6787" t="str">
        <f t="shared" si="1489"/>
        <v>89383000</v>
      </c>
      <c r="C6787" t="str">
        <f t="shared" si="1490"/>
        <v>89383002</v>
      </c>
      <c r="D6787" t="str">
        <f t="shared" si="1493"/>
        <v>809</v>
      </c>
      <c r="E6787" t="str">
        <f t="shared" si="1492"/>
        <v>89301212</v>
      </c>
      <c r="F6787" t="str">
        <f>"6659100217"</f>
        <v>6659100217</v>
      </c>
      <c r="G6787" s="1">
        <v>44722</v>
      </c>
      <c r="H6787" t="str">
        <f>"89180"</f>
        <v>89180</v>
      </c>
      <c r="I6787">
        <v>1</v>
      </c>
      <c r="J6787">
        <v>376</v>
      </c>
      <c r="K6787">
        <v>0</v>
      </c>
      <c r="L6787">
        <v>526.4</v>
      </c>
    </row>
    <row r="6788" spans="1:12" x14ac:dyDescent="0.25">
      <c r="A6788" t="str">
        <f t="shared" si="1494"/>
        <v>89301000</v>
      </c>
      <c r="B6788" t="str">
        <f t="shared" si="1489"/>
        <v>89383000</v>
      </c>
      <c r="C6788" t="str">
        <f t="shared" si="1490"/>
        <v>89383002</v>
      </c>
      <c r="D6788" t="str">
        <f t="shared" si="1493"/>
        <v>809</v>
      </c>
      <c r="E6788" t="str">
        <f t="shared" si="1492"/>
        <v>89301212</v>
      </c>
      <c r="F6788" t="str">
        <f>"6659100217"</f>
        <v>6659100217</v>
      </c>
      <c r="G6788" s="1">
        <v>44722</v>
      </c>
      <c r="H6788" t="str">
        <f>"89512"</f>
        <v>89512</v>
      </c>
      <c r="I6788">
        <v>1</v>
      </c>
      <c r="J6788">
        <v>277</v>
      </c>
      <c r="K6788">
        <v>0</v>
      </c>
      <c r="L6788">
        <v>387.8</v>
      </c>
    </row>
    <row r="6789" spans="1:12" x14ac:dyDescent="0.25">
      <c r="A6789" t="str">
        <f t="shared" si="1494"/>
        <v>89301000</v>
      </c>
      <c r="B6789" t="str">
        <f t="shared" si="1489"/>
        <v>89383000</v>
      </c>
      <c r="C6789" t="str">
        <f t="shared" si="1490"/>
        <v>89383002</v>
      </c>
      <c r="D6789" t="str">
        <f t="shared" si="1493"/>
        <v>809</v>
      </c>
      <c r="E6789" t="str">
        <f>"89301045"</f>
        <v>89301045</v>
      </c>
      <c r="F6789" t="str">
        <f>"5660031960"</f>
        <v>5660031960</v>
      </c>
      <c r="G6789" s="1">
        <v>44725</v>
      </c>
      <c r="H6789" t="str">
        <f>"89512"</f>
        <v>89512</v>
      </c>
      <c r="I6789">
        <v>1</v>
      </c>
      <c r="J6789">
        <v>277</v>
      </c>
      <c r="K6789">
        <v>0</v>
      </c>
      <c r="L6789">
        <v>387.8</v>
      </c>
    </row>
    <row r="6790" spans="1:12" x14ac:dyDescent="0.25">
      <c r="A6790" t="str">
        <f t="shared" si="1494"/>
        <v>89301000</v>
      </c>
      <c r="B6790" t="str">
        <f t="shared" ref="B6790:B6821" si="1495">"89383000"</f>
        <v>89383000</v>
      </c>
      <c r="C6790" t="str">
        <f t="shared" ref="C6790:C6821" si="1496">"89383002"</f>
        <v>89383002</v>
      </c>
      <c r="D6790" t="str">
        <f t="shared" si="1493"/>
        <v>809</v>
      </c>
      <c r="E6790" t="str">
        <f t="shared" ref="E6790:E6804" si="1497">"89301212"</f>
        <v>89301212</v>
      </c>
      <c r="F6790" t="str">
        <f>"6452210721"</f>
        <v>6452210721</v>
      </c>
      <c r="G6790" s="1">
        <v>44725</v>
      </c>
      <c r="H6790" t="str">
        <f>"89512"</f>
        <v>89512</v>
      </c>
      <c r="I6790">
        <v>1</v>
      </c>
      <c r="J6790">
        <v>277</v>
      </c>
      <c r="K6790">
        <v>0</v>
      </c>
      <c r="L6790">
        <v>387.8</v>
      </c>
    </row>
    <row r="6791" spans="1:12" x14ac:dyDescent="0.25">
      <c r="A6791" t="str">
        <f t="shared" si="1494"/>
        <v>89301000</v>
      </c>
      <c r="B6791" t="str">
        <f t="shared" si="1495"/>
        <v>89383000</v>
      </c>
      <c r="C6791" t="str">
        <f t="shared" si="1496"/>
        <v>89383002</v>
      </c>
      <c r="D6791" t="str">
        <f t="shared" si="1493"/>
        <v>809</v>
      </c>
      <c r="E6791" t="str">
        <f t="shared" si="1497"/>
        <v>89301212</v>
      </c>
      <c r="F6791" t="str">
        <f>"8652265358"</f>
        <v>8652265358</v>
      </c>
      <c r="G6791" s="1">
        <v>44726</v>
      </c>
      <c r="H6791" t="str">
        <f>"89512"</f>
        <v>89512</v>
      </c>
      <c r="I6791">
        <v>1</v>
      </c>
      <c r="J6791">
        <v>277</v>
      </c>
      <c r="K6791">
        <v>0</v>
      </c>
      <c r="L6791">
        <v>387.8</v>
      </c>
    </row>
    <row r="6792" spans="1:12" x14ac:dyDescent="0.25">
      <c r="A6792" t="str">
        <f t="shared" si="1494"/>
        <v>89301000</v>
      </c>
      <c r="B6792" t="str">
        <f t="shared" si="1495"/>
        <v>89383000</v>
      </c>
      <c r="C6792" t="str">
        <f t="shared" si="1496"/>
        <v>89383002</v>
      </c>
      <c r="D6792" t="str">
        <f t="shared" si="1493"/>
        <v>809</v>
      </c>
      <c r="E6792" t="str">
        <f t="shared" si="1497"/>
        <v>89301212</v>
      </c>
      <c r="F6792" t="str">
        <f>"8652265358"</f>
        <v>8652265358</v>
      </c>
      <c r="G6792" s="1">
        <v>44726</v>
      </c>
      <c r="H6792" t="str">
        <f>"89513"</f>
        <v>89513</v>
      </c>
      <c r="I6792">
        <v>1</v>
      </c>
      <c r="J6792">
        <v>371</v>
      </c>
      <c r="K6792">
        <v>0</v>
      </c>
      <c r="L6792">
        <v>519.4</v>
      </c>
    </row>
    <row r="6793" spans="1:12" x14ac:dyDescent="0.25">
      <c r="A6793" t="str">
        <f t="shared" si="1494"/>
        <v>89301000</v>
      </c>
      <c r="B6793" t="str">
        <f t="shared" si="1495"/>
        <v>89383000</v>
      </c>
      <c r="C6793" t="str">
        <f t="shared" si="1496"/>
        <v>89383002</v>
      </c>
      <c r="D6793" t="str">
        <f t="shared" si="1493"/>
        <v>809</v>
      </c>
      <c r="E6793" t="str">
        <f t="shared" si="1497"/>
        <v>89301212</v>
      </c>
      <c r="F6793" t="str">
        <f>"8652265358"</f>
        <v>8652265358</v>
      </c>
      <c r="G6793" s="1">
        <v>44726</v>
      </c>
      <c r="H6793" t="str">
        <f>"89514"</f>
        <v>89514</v>
      </c>
      <c r="I6793">
        <v>1</v>
      </c>
      <c r="J6793">
        <v>371</v>
      </c>
      <c r="K6793">
        <v>0</v>
      </c>
      <c r="L6793">
        <v>519.4</v>
      </c>
    </row>
    <row r="6794" spans="1:12" x14ac:dyDescent="0.25">
      <c r="A6794" t="str">
        <f t="shared" si="1494"/>
        <v>89301000</v>
      </c>
      <c r="B6794" t="str">
        <f t="shared" si="1495"/>
        <v>89383000</v>
      </c>
      <c r="C6794" t="str">
        <f t="shared" si="1496"/>
        <v>89383002</v>
      </c>
      <c r="D6794" t="str">
        <f t="shared" si="1493"/>
        <v>809</v>
      </c>
      <c r="E6794" t="str">
        <f t="shared" si="1497"/>
        <v>89301212</v>
      </c>
      <c r="F6794" t="str">
        <f>"8659135771"</f>
        <v>8659135771</v>
      </c>
      <c r="G6794" s="1">
        <v>44726</v>
      </c>
      <c r="H6794" t="str">
        <f>"89513"</f>
        <v>89513</v>
      </c>
      <c r="I6794">
        <v>1</v>
      </c>
      <c r="J6794">
        <v>371</v>
      </c>
      <c r="K6794">
        <v>0</v>
      </c>
      <c r="L6794">
        <v>519.4</v>
      </c>
    </row>
    <row r="6795" spans="1:12" x14ac:dyDescent="0.25">
      <c r="A6795" t="str">
        <f t="shared" si="1494"/>
        <v>89301000</v>
      </c>
      <c r="B6795" t="str">
        <f t="shared" si="1495"/>
        <v>89383000</v>
      </c>
      <c r="C6795" t="str">
        <f t="shared" si="1496"/>
        <v>89383002</v>
      </c>
      <c r="D6795" t="str">
        <f t="shared" si="1493"/>
        <v>809</v>
      </c>
      <c r="E6795" t="str">
        <f t="shared" si="1497"/>
        <v>89301212</v>
      </c>
      <c r="F6795" t="str">
        <f>"8659135771"</f>
        <v>8659135771</v>
      </c>
      <c r="G6795" s="1">
        <v>44726</v>
      </c>
      <c r="H6795" t="str">
        <f>"89514"</f>
        <v>89514</v>
      </c>
      <c r="I6795">
        <v>1</v>
      </c>
      <c r="J6795">
        <v>371</v>
      </c>
      <c r="K6795">
        <v>0</v>
      </c>
      <c r="L6795">
        <v>519.4</v>
      </c>
    </row>
    <row r="6796" spans="1:12" x14ac:dyDescent="0.25">
      <c r="A6796" t="str">
        <f t="shared" si="1494"/>
        <v>89301000</v>
      </c>
      <c r="B6796" t="str">
        <f t="shared" si="1495"/>
        <v>89383000</v>
      </c>
      <c r="C6796" t="str">
        <f t="shared" si="1496"/>
        <v>89383002</v>
      </c>
      <c r="D6796" t="str">
        <f t="shared" si="1493"/>
        <v>809</v>
      </c>
      <c r="E6796" t="str">
        <f t="shared" si="1497"/>
        <v>89301212</v>
      </c>
      <c r="F6796" t="str">
        <f>"8251145342"</f>
        <v>8251145342</v>
      </c>
      <c r="G6796" s="1">
        <v>44726</v>
      </c>
      <c r="H6796" t="str">
        <f>"89180"</f>
        <v>89180</v>
      </c>
      <c r="I6796">
        <v>2</v>
      </c>
      <c r="J6796">
        <v>752</v>
      </c>
      <c r="K6796">
        <v>0</v>
      </c>
      <c r="L6796">
        <v>1052.8</v>
      </c>
    </row>
    <row r="6797" spans="1:12" x14ac:dyDescent="0.25">
      <c r="A6797" t="str">
        <f t="shared" si="1494"/>
        <v>89301000</v>
      </c>
      <c r="B6797" t="str">
        <f t="shared" si="1495"/>
        <v>89383000</v>
      </c>
      <c r="C6797" t="str">
        <f t="shared" si="1496"/>
        <v>89383002</v>
      </c>
      <c r="D6797" t="str">
        <f t="shared" si="1493"/>
        <v>809</v>
      </c>
      <c r="E6797" t="str">
        <f t="shared" si="1497"/>
        <v>89301212</v>
      </c>
      <c r="F6797" t="str">
        <f>"8251145342"</f>
        <v>8251145342</v>
      </c>
      <c r="G6797" s="1">
        <v>44726</v>
      </c>
      <c r="H6797" t="str">
        <f>"89512"</f>
        <v>89512</v>
      </c>
      <c r="I6797">
        <v>1</v>
      </c>
      <c r="J6797">
        <v>277</v>
      </c>
      <c r="K6797">
        <v>0</v>
      </c>
      <c r="L6797">
        <v>387.8</v>
      </c>
    </row>
    <row r="6798" spans="1:12" x14ac:dyDescent="0.25">
      <c r="A6798" t="str">
        <f t="shared" si="1494"/>
        <v>89301000</v>
      </c>
      <c r="B6798" t="str">
        <f t="shared" si="1495"/>
        <v>89383000</v>
      </c>
      <c r="C6798" t="str">
        <f t="shared" si="1496"/>
        <v>89383002</v>
      </c>
      <c r="D6798" t="str">
        <f t="shared" si="1493"/>
        <v>809</v>
      </c>
      <c r="E6798" t="str">
        <f t="shared" si="1497"/>
        <v>89301212</v>
      </c>
      <c r="F6798" t="str">
        <f>"8251145342"</f>
        <v>8251145342</v>
      </c>
      <c r="G6798" s="1">
        <v>44726</v>
      </c>
      <c r="H6798" t="str">
        <f>"89513"</f>
        <v>89513</v>
      </c>
      <c r="I6798">
        <v>1</v>
      </c>
      <c r="J6798">
        <v>371</v>
      </c>
      <c r="K6798">
        <v>0</v>
      </c>
      <c r="L6798">
        <v>519.4</v>
      </c>
    </row>
    <row r="6799" spans="1:12" x14ac:dyDescent="0.25">
      <c r="A6799" t="str">
        <f t="shared" si="1494"/>
        <v>89301000</v>
      </c>
      <c r="B6799" t="str">
        <f t="shared" si="1495"/>
        <v>89383000</v>
      </c>
      <c r="C6799" t="str">
        <f t="shared" si="1496"/>
        <v>89383002</v>
      </c>
      <c r="D6799" t="str">
        <f t="shared" si="1493"/>
        <v>809</v>
      </c>
      <c r="E6799" t="str">
        <f t="shared" si="1497"/>
        <v>89301212</v>
      </c>
      <c r="F6799" t="str">
        <f>"8251145342"</f>
        <v>8251145342</v>
      </c>
      <c r="G6799" s="1">
        <v>44726</v>
      </c>
      <c r="H6799" t="str">
        <f>"89514"</f>
        <v>89514</v>
      </c>
      <c r="I6799">
        <v>1</v>
      </c>
      <c r="J6799">
        <v>371</v>
      </c>
      <c r="K6799">
        <v>0</v>
      </c>
      <c r="L6799">
        <v>519.4</v>
      </c>
    </row>
    <row r="6800" spans="1:12" x14ac:dyDescent="0.25">
      <c r="A6800" t="str">
        <f t="shared" si="1494"/>
        <v>89301000</v>
      </c>
      <c r="B6800" t="str">
        <f t="shared" si="1495"/>
        <v>89383000</v>
      </c>
      <c r="C6800" t="str">
        <f t="shared" si="1496"/>
        <v>89383002</v>
      </c>
      <c r="D6800" t="str">
        <f t="shared" si="1493"/>
        <v>809</v>
      </c>
      <c r="E6800" t="str">
        <f t="shared" si="1497"/>
        <v>89301212</v>
      </c>
      <c r="F6800" t="str">
        <f>"7960035325"</f>
        <v>7960035325</v>
      </c>
      <c r="G6800" s="1">
        <v>44722</v>
      </c>
      <c r="H6800" t="str">
        <f>"89512"</f>
        <v>89512</v>
      </c>
      <c r="I6800">
        <v>1</v>
      </c>
      <c r="J6800">
        <v>277</v>
      </c>
      <c r="K6800">
        <v>0</v>
      </c>
      <c r="L6800">
        <v>387.8</v>
      </c>
    </row>
    <row r="6801" spans="1:12" x14ac:dyDescent="0.25">
      <c r="A6801" t="str">
        <f t="shared" si="1494"/>
        <v>89301000</v>
      </c>
      <c r="B6801" t="str">
        <f t="shared" si="1495"/>
        <v>89383000</v>
      </c>
      <c r="C6801" t="str">
        <f t="shared" si="1496"/>
        <v>89383002</v>
      </c>
      <c r="D6801" t="str">
        <f t="shared" si="1493"/>
        <v>809</v>
      </c>
      <c r="E6801" t="str">
        <f t="shared" si="1497"/>
        <v>89301212</v>
      </c>
      <c r="F6801" t="str">
        <f>"7960035325"</f>
        <v>7960035325</v>
      </c>
      <c r="G6801" s="1">
        <v>44722</v>
      </c>
      <c r="H6801" t="str">
        <f>"89311"</f>
        <v>89311</v>
      </c>
      <c r="I6801">
        <v>1</v>
      </c>
      <c r="J6801">
        <v>936</v>
      </c>
      <c r="K6801">
        <v>0</v>
      </c>
      <c r="L6801">
        <v>1310.4000000000001</v>
      </c>
    </row>
    <row r="6802" spans="1:12" x14ac:dyDescent="0.25">
      <c r="A6802" t="str">
        <f t="shared" si="1494"/>
        <v>89301000</v>
      </c>
      <c r="B6802" t="str">
        <f t="shared" si="1495"/>
        <v>89383000</v>
      </c>
      <c r="C6802" t="str">
        <f t="shared" si="1496"/>
        <v>89383002</v>
      </c>
      <c r="D6802" t="str">
        <f t="shared" si="1493"/>
        <v>809</v>
      </c>
      <c r="E6802" t="str">
        <f t="shared" si="1497"/>
        <v>89301212</v>
      </c>
      <c r="F6802" t="str">
        <f>"415810412"</f>
        <v>415810412</v>
      </c>
      <c r="G6802" s="1">
        <v>44727</v>
      </c>
      <c r="H6802" t="str">
        <f>"89512"</f>
        <v>89512</v>
      </c>
      <c r="I6802">
        <v>1</v>
      </c>
      <c r="J6802">
        <v>277</v>
      </c>
      <c r="K6802">
        <v>0</v>
      </c>
      <c r="L6802">
        <v>387.8</v>
      </c>
    </row>
    <row r="6803" spans="1:12" x14ac:dyDescent="0.25">
      <c r="A6803" t="str">
        <f t="shared" si="1494"/>
        <v>89301000</v>
      </c>
      <c r="B6803" t="str">
        <f t="shared" si="1495"/>
        <v>89383000</v>
      </c>
      <c r="C6803" t="str">
        <f t="shared" si="1496"/>
        <v>89383002</v>
      </c>
      <c r="D6803" t="str">
        <f t="shared" si="1493"/>
        <v>809</v>
      </c>
      <c r="E6803" t="str">
        <f t="shared" si="1497"/>
        <v>89301212</v>
      </c>
      <c r="F6803" t="str">
        <f>"7958025361"</f>
        <v>7958025361</v>
      </c>
      <c r="G6803" s="1">
        <v>44727</v>
      </c>
      <c r="H6803" t="str">
        <f>"89180"</f>
        <v>89180</v>
      </c>
      <c r="I6803">
        <v>1</v>
      </c>
      <c r="J6803">
        <v>376</v>
      </c>
      <c r="K6803">
        <v>0</v>
      </c>
      <c r="L6803">
        <v>526.4</v>
      </c>
    </row>
    <row r="6804" spans="1:12" x14ac:dyDescent="0.25">
      <c r="A6804" t="str">
        <f t="shared" si="1494"/>
        <v>89301000</v>
      </c>
      <c r="B6804" t="str">
        <f t="shared" si="1495"/>
        <v>89383000</v>
      </c>
      <c r="C6804" t="str">
        <f t="shared" si="1496"/>
        <v>89383002</v>
      </c>
      <c r="D6804" t="str">
        <f t="shared" si="1493"/>
        <v>809</v>
      </c>
      <c r="E6804" t="str">
        <f t="shared" si="1497"/>
        <v>89301212</v>
      </c>
      <c r="F6804" t="str">
        <f>"7958025361"</f>
        <v>7958025361</v>
      </c>
      <c r="G6804" s="1">
        <v>44727</v>
      </c>
      <c r="H6804" t="str">
        <f>"89512"</f>
        <v>89512</v>
      </c>
      <c r="I6804">
        <v>1</v>
      </c>
      <c r="J6804">
        <v>277</v>
      </c>
      <c r="K6804">
        <v>0</v>
      </c>
      <c r="L6804">
        <v>387.8</v>
      </c>
    </row>
    <row r="6805" spans="1:12" x14ac:dyDescent="0.25">
      <c r="A6805" t="str">
        <f t="shared" si="1494"/>
        <v>89301000</v>
      </c>
      <c r="B6805" t="str">
        <f t="shared" si="1495"/>
        <v>89383000</v>
      </c>
      <c r="C6805" t="str">
        <f t="shared" si="1496"/>
        <v>89383002</v>
      </c>
      <c r="D6805" t="str">
        <f t="shared" si="1493"/>
        <v>809</v>
      </c>
      <c r="E6805" t="str">
        <f>"89301215"</f>
        <v>89301215</v>
      </c>
      <c r="F6805" t="str">
        <f>"496117287"</f>
        <v>496117287</v>
      </c>
      <c r="G6805" s="1">
        <v>44729</v>
      </c>
      <c r="H6805" t="str">
        <f>"89513"</f>
        <v>89513</v>
      </c>
      <c r="I6805">
        <v>1</v>
      </c>
      <c r="J6805">
        <v>371</v>
      </c>
      <c r="K6805">
        <v>0</v>
      </c>
      <c r="L6805">
        <v>519.4</v>
      </c>
    </row>
    <row r="6806" spans="1:12" x14ac:dyDescent="0.25">
      <c r="A6806" t="str">
        <f t="shared" si="1494"/>
        <v>89301000</v>
      </c>
      <c r="B6806" t="str">
        <f t="shared" si="1495"/>
        <v>89383000</v>
      </c>
      <c r="C6806" t="str">
        <f t="shared" si="1496"/>
        <v>89383002</v>
      </c>
      <c r="D6806" t="str">
        <f t="shared" si="1493"/>
        <v>809</v>
      </c>
      <c r="E6806" t="str">
        <f>"89301215"</f>
        <v>89301215</v>
      </c>
      <c r="F6806" t="str">
        <f>"496117287"</f>
        <v>496117287</v>
      </c>
      <c r="G6806" s="1">
        <v>44729</v>
      </c>
      <c r="H6806" t="str">
        <f>"89514"</f>
        <v>89514</v>
      </c>
      <c r="I6806">
        <v>1</v>
      </c>
      <c r="J6806">
        <v>371</v>
      </c>
      <c r="K6806">
        <v>0</v>
      </c>
      <c r="L6806">
        <v>519.4</v>
      </c>
    </row>
    <row r="6807" spans="1:12" x14ac:dyDescent="0.25">
      <c r="A6807" t="str">
        <f t="shared" si="1494"/>
        <v>89301000</v>
      </c>
      <c r="B6807" t="str">
        <f t="shared" si="1495"/>
        <v>89383000</v>
      </c>
      <c r="C6807" t="str">
        <f t="shared" si="1496"/>
        <v>89383002</v>
      </c>
      <c r="D6807" t="str">
        <f t="shared" si="1493"/>
        <v>809</v>
      </c>
      <c r="E6807" t="str">
        <f>"89301215"</f>
        <v>89301215</v>
      </c>
      <c r="F6807" t="str">
        <f>"6259091520"</f>
        <v>6259091520</v>
      </c>
      <c r="G6807" s="1">
        <v>44734</v>
      </c>
      <c r="H6807" t="str">
        <f>"89512"</f>
        <v>89512</v>
      </c>
      <c r="I6807">
        <v>1</v>
      </c>
      <c r="J6807">
        <v>277</v>
      </c>
      <c r="K6807">
        <v>0</v>
      </c>
      <c r="L6807">
        <v>387.8</v>
      </c>
    </row>
    <row r="6808" spans="1:12" x14ac:dyDescent="0.25">
      <c r="A6808" t="str">
        <f t="shared" si="1494"/>
        <v>89301000</v>
      </c>
      <c r="B6808" t="str">
        <f t="shared" si="1495"/>
        <v>89383000</v>
      </c>
      <c r="C6808" t="str">
        <f t="shared" si="1496"/>
        <v>89383002</v>
      </c>
      <c r="D6808" t="str">
        <f t="shared" si="1493"/>
        <v>809</v>
      </c>
      <c r="E6808" t="str">
        <f t="shared" ref="E6808:E6820" si="1498">"89301212"</f>
        <v>89301212</v>
      </c>
      <c r="F6808" t="str">
        <f>"6561210975"</f>
        <v>6561210975</v>
      </c>
      <c r="G6808" s="1">
        <v>44735</v>
      </c>
      <c r="H6808" t="str">
        <f>"89180"</f>
        <v>89180</v>
      </c>
      <c r="I6808">
        <v>2</v>
      </c>
      <c r="J6808">
        <v>752</v>
      </c>
      <c r="K6808">
        <v>0</v>
      </c>
      <c r="L6808">
        <v>1052.8</v>
      </c>
    </row>
    <row r="6809" spans="1:12" x14ac:dyDescent="0.25">
      <c r="A6809" t="str">
        <f t="shared" si="1494"/>
        <v>89301000</v>
      </c>
      <c r="B6809" t="str">
        <f t="shared" si="1495"/>
        <v>89383000</v>
      </c>
      <c r="C6809" t="str">
        <f t="shared" si="1496"/>
        <v>89383002</v>
      </c>
      <c r="D6809" t="str">
        <f t="shared" si="1493"/>
        <v>809</v>
      </c>
      <c r="E6809" t="str">
        <f t="shared" si="1498"/>
        <v>89301212</v>
      </c>
      <c r="F6809" t="str">
        <f>"6561210975"</f>
        <v>6561210975</v>
      </c>
      <c r="G6809" s="1">
        <v>44735</v>
      </c>
      <c r="H6809" t="str">
        <f>"89512"</f>
        <v>89512</v>
      </c>
      <c r="I6809">
        <v>1</v>
      </c>
      <c r="J6809">
        <v>277</v>
      </c>
      <c r="K6809">
        <v>0</v>
      </c>
      <c r="L6809">
        <v>387.8</v>
      </c>
    </row>
    <row r="6810" spans="1:12" x14ac:dyDescent="0.25">
      <c r="A6810" t="str">
        <f t="shared" si="1494"/>
        <v>89301000</v>
      </c>
      <c r="B6810" t="str">
        <f t="shared" si="1495"/>
        <v>89383000</v>
      </c>
      <c r="C6810" t="str">
        <f t="shared" si="1496"/>
        <v>89383002</v>
      </c>
      <c r="D6810" t="str">
        <f t="shared" si="1493"/>
        <v>809</v>
      </c>
      <c r="E6810" t="str">
        <f t="shared" si="1498"/>
        <v>89301212</v>
      </c>
      <c r="F6810" t="str">
        <f>"6561210975"</f>
        <v>6561210975</v>
      </c>
      <c r="G6810" s="1">
        <v>44735</v>
      </c>
      <c r="H6810" t="str">
        <f>"89513"</f>
        <v>89513</v>
      </c>
      <c r="I6810">
        <v>1</v>
      </c>
      <c r="J6810">
        <v>371</v>
      </c>
      <c r="K6810">
        <v>0</v>
      </c>
      <c r="L6810">
        <v>519.4</v>
      </c>
    </row>
    <row r="6811" spans="1:12" x14ac:dyDescent="0.25">
      <c r="A6811" t="str">
        <f t="shared" si="1494"/>
        <v>89301000</v>
      </c>
      <c r="B6811" t="str">
        <f t="shared" si="1495"/>
        <v>89383000</v>
      </c>
      <c r="C6811" t="str">
        <f t="shared" si="1496"/>
        <v>89383002</v>
      </c>
      <c r="D6811" t="str">
        <f t="shared" si="1493"/>
        <v>809</v>
      </c>
      <c r="E6811" t="str">
        <f t="shared" si="1498"/>
        <v>89301212</v>
      </c>
      <c r="F6811" t="str">
        <f>"6561210975"</f>
        <v>6561210975</v>
      </c>
      <c r="G6811" s="1">
        <v>44735</v>
      </c>
      <c r="H6811" t="str">
        <f>"89514"</f>
        <v>89514</v>
      </c>
      <c r="I6811">
        <v>1</v>
      </c>
      <c r="J6811">
        <v>371</v>
      </c>
      <c r="K6811">
        <v>0</v>
      </c>
      <c r="L6811">
        <v>519.4</v>
      </c>
    </row>
    <row r="6812" spans="1:12" x14ac:dyDescent="0.25">
      <c r="A6812" t="str">
        <f t="shared" si="1494"/>
        <v>89301000</v>
      </c>
      <c r="B6812" t="str">
        <f t="shared" si="1495"/>
        <v>89383000</v>
      </c>
      <c r="C6812" t="str">
        <f t="shared" si="1496"/>
        <v>89383002</v>
      </c>
      <c r="D6812" t="str">
        <f t="shared" si="1493"/>
        <v>809</v>
      </c>
      <c r="E6812" t="str">
        <f t="shared" si="1498"/>
        <v>89301212</v>
      </c>
      <c r="F6812" t="str">
        <f t="shared" ref="F6812:F6817" si="1499">"8251145342"</f>
        <v>8251145342</v>
      </c>
      <c r="G6812" s="1">
        <v>44735</v>
      </c>
      <c r="H6812" t="str">
        <f>"89313"</f>
        <v>89313</v>
      </c>
      <c r="I6812">
        <v>1</v>
      </c>
      <c r="J6812">
        <v>406</v>
      </c>
      <c r="K6812">
        <v>0</v>
      </c>
      <c r="L6812">
        <v>568.4</v>
      </c>
    </row>
    <row r="6813" spans="1:12" x14ac:dyDescent="0.25">
      <c r="A6813" t="str">
        <f t="shared" si="1494"/>
        <v>89301000</v>
      </c>
      <c r="B6813" t="str">
        <f t="shared" si="1495"/>
        <v>89383000</v>
      </c>
      <c r="C6813" t="str">
        <f t="shared" si="1496"/>
        <v>89383002</v>
      </c>
      <c r="D6813" t="str">
        <f t="shared" si="1493"/>
        <v>809</v>
      </c>
      <c r="E6813" t="str">
        <f t="shared" si="1498"/>
        <v>89301212</v>
      </c>
      <c r="F6813" t="str">
        <f t="shared" si="1499"/>
        <v>8251145342</v>
      </c>
      <c r="G6813" s="1">
        <v>44735</v>
      </c>
      <c r="H6813" t="str">
        <f>"09233"</f>
        <v>09233</v>
      </c>
      <c r="I6813">
        <v>1</v>
      </c>
      <c r="J6813">
        <v>99</v>
      </c>
      <c r="K6813">
        <v>0</v>
      </c>
      <c r="L6813">
        <v>138.6</v>
      </c>
    </row>
    <row r="6814" spans="1:12" x14ac:dyDescent="0.25">
      <c r="A6814" t="str">
        <f t="shared" si="1494"/>
        <v>89301000</v>
      </c>
      <c r="B6814" t="str">
        <f t="shared" si="1495"/>
        <v>89383000</v>
      </c>
      <c r="C6814" t="str">
        <f t="shared" si="1496"/>
        <v>89383002</v>
      </c>
      <c r="D6814" t="str">
        <f t="shared" si="1493"/>
        <v>809</v>
      </c>
      <c r="E6814" t="str">
        <f t="shared" si="1498"/>
        <v>89301212</v>
      </c>
      <c r="F6814" t="str">
        <f t="shared" si="1499"/>
        <v>8251145342</v>
      </c>
      <c r="G6814" s="1">
        <v>44735</v>
      </c>
      <c r="H6814" t="str">
        <f>"89515"</f>
        <v>89515</v>
      </c>
      <c r="I6814">
        <v>1</v>
      </c>
      <c r="J6814">
        <v>339</v>
      </c>
      <c r="K6814">
        <v>0</v>
      </c>
      <c r="L6814">
        <v>474.6</v>
      </c>
    </row>
    <row r="6815" spans="1:12" x14ac:dyDescent="0.25">
      <c r="A6815" t="str">
        <f t="shared" si="1494"/>
        <v>89301000</v>
      </c>
      <c r="B6815" t="str">
        <f t="shared" si="1495"/>
        <v>89383000</v>
      </c>
      <c r="C6815" t="str">
        <f t="shared" si="1496"/>
        <v>89383002</v>
      </c>
      <c r="D6815" t="str">
        <f t="shared" ref="D6815:D6846" si="1500">"809"</f>
        <v>809</v>
      </c>
      <c r="E6815" t="str">
        <f t="shared" si="1498"/>
        <v>89301212</v>
      </c>
      <c r="F6815" t="str">
        <f t="shared" si="1499"/>
        <v>8251145342</v>
      </c>
      <c r="G6815" s="1">
        <v>44735</v>
      </c>
      <c r="H6815" t="str">
        <f>"89512"</f>
        <v>89512</v>
      </c>
      <c r="I6815">
        <v>1</v>
      </c>
      <c r="J6815">
        <v>277</v>
      </c>
      <c r="K6815">
        <v>0</v>
      </c>
      <c r="L6815">
        <v>387.8</v>
      </c>
    </row>
    <row r="6816" spans="1:12" x14ac:dyDescent="0.25">
      <c r="A6816" t="str">
        <f t="shared" si="1494"/>
        <v>89301000</v>
      </c>
      <c r="B6816" t="str">
        <f t="shared" si="1495"/>
        <v>89383000</v>
      </c>
      <c r="C6816" t="str">
        <f t="shared" si="1496"/>
        <v>89383002</v>
      </c>
      <c r="D6816" t="str">
        <f t="shared" si="1500"/>
        <v>809</v>
      </c>
      <c r="E6816" t="str">
        <f t="shared" si="1498"/>
        <v>89301212</v>
      </c>
      <c r="F6816" t="str">
        <f t="shared" si="1499"/>
        <v>8251145342</v>
      </c>
      <c r="G6816" s="1">
        <v>44735</v>
      </c>
      <c r="H6816" t="str">
        <f>"0225891"</f>
        <v>0225891</v>
      </c>
      <c r="I6816">
        <v>0.05</v>
      </c>
      <c r="K6816">
        <v>18.39</v>
      </c>
      <c r="L6816">
        <v>18.39</v>
      </c>
    </row>
    <row r="6817" spans="1:12" x14ac:dyDescent="0.25">
      <c r="A6817" t="str">
        <f t="shared" si="1494"/>
        <v>89301000</v>
      </c>
      <c r="B6817" t="str">
        <f t="shared" si="1495"/>
        <v>89383000</v>
      </c>
      <c r="C6817" t="str">
        <f t="shared" si="1496"/>
        <v>89383002</v>
      </c>
      <c r="D6817" t="str">
        <f t="shared" si="1500"/>
        <v>809</v>
      </c>
      <c r="E6817" t="str">
        <f t="shared" si="1498"/>
        <v>89301212</v>
      </c>
      <c r="F6817" t="str">
        <f t="shared" si="1499"/>
        <v>8251145342</v>
      </c>
      <c r="G6817" s="1">
        <v>44735</v>
      </c>
      <c r="H6817" t="str">
        <f>"0142908"</f>
        <v>0142908</v>
      </c>
      <c r="I6817">
        <v>1</v>
      </c>
      <c r="K6817">
        <v>910</v>
      </c>
      <c r="L6817">
        <v>910</v>
      </c>
    </row>
    <row r="6818" spans="1:12" x14ac:dyDescent="0.25">
      <c r="A6818" t="str">
        <f t="shared" si="1494"/>
        <v>89301000</v>
      </c>
      <c r="B6818" t="str">
        <f t="shared" si="1495"/>
        <v>89383000</v>
      </c>
      <c r="C6818" t="str">
        <f t="shared" si="1496"/>
        <v>89383002</v>
      </c>
      <c r="D6818" t="str">
        <f t="shared" si="1500"/>
        <v>809</v>
      </c>
      <c r="E6818" t="str">
        <f t="shared" si="1498"/>
        <v>89301212</v>
      </c>
      <c r="F6818" t="str">
        <f>"7456265355"</f>
        <v>7456265355</v>
      </c>
      <c r="G6818" s="1">
        <v>44735</v>
      </c>
      <c r="H6818" t="str">
        <f>"89512"</f>
        <v>89512</v>
      </c>
      <c r="I6818">
        <v>1</v>
      </c>
      <c r="J6818">
        <v>277</v>
      </c>
      <c r="K6818">
        <v>0</v>
      </c>
      <c r="L6818">
        <v>387.8</v>
      </c>
    </row>
    <row r="6819" spans="1:12" x14ac:dyDescent="0.25">
      <c r="A6819" t="str">
        <f t="shared" si="1494"/>
        <v>89301000</v>
      </c>
      <c r="B6819" t="str">
        <f t="shared" si="1495"/>
        <v>89383000</v>
      </c>
      <c r="C6819" t="str">
        <f t="shared" si="1496"/>
        <v>89383002</v>
      </c>
      <c r="D6819" t="str">
        <f t="shared" si="1500"/>
        <v>809</v>
      </c>
      <c r="E6819" t="str">
        <f t="shared" si="1498"/>
        <v>89301212</v>
      </c>
      <c r="F6819" t="str">
        <f>"7456265355"</f>
        <v>7456265355</v>
      </c>
      <c r="G6819" s="1">
        <v>44735</v>
      </c>
      <c r="H6819" t="str">
        <f>"89513"</f>
        <v>89513</v>
      </c>
      <c r="I6819">
        <v>1</v>
      </c>
      <c r="J6819">
        <v>371</v>
      </c>
      <c r="K6819">
        <v>0</v>
      </c>
      <c r="L6819">
        <v>519.4</v>
      </c>
    </row>
    <row r="6820" spans="1:12" x14ac:dyDescent="0.25">
      <c r="A6820" t="str">
        <f t="shared" si="1494"/>
        <v>89301000</v>
      </c>
      <c r="B6820" t="str">
        <f t="shared" si="1495"/>
        <v>89383000</v>
      </c>
      <c r="C6820" t="str">
        <f t="shared" si="1496"/>
        <v>89383002</v>
      </c>
      <c r="D6820" t="str">
        <f t="shared" si="1500"/>
        <v>809</v>
      </c>
      <c r="E6820" t="str">
        <f t="shared" si="1498"/>
        <v>89301212</v>
      </c>
      <c r="F6820" t="str">
        <f>"7456265355"</f>
        <v>7456265355</v>
      </c>
      <c r="G6820" s="1">
        <v>44735</v>
      </c>
      <c r="H6820" t="str">
        <f>"89514"</f>
        <v>89514</v>
      </c>
      <c r="I6820">
        <v>1</v>
      </c>
      <c r="J6820">
        <v>371</v>
      </c>
      <c r="K6820">
        <v>0</v>
      </c>
      <c r="L6820">
        <v>519.4</v>
      </c>
    </row>
    <row r="6821" spans="1:12" x14ac:dyDescent="0.25">
      <c r="A6821" t="str">
        <f t="shared" si="1494"/>
        <v>89301000</v>
      </c>
      <c r="B6821" t="str">
        <f t="shared" si="1495"/>
        <v>89383000</v>
      </c>
      <c r="C6821" t="str">
        <f t="shared" si="1496"/>
        <v>89383002</v>
      </c>
      <c r="D6821" t="str">
        <f t="shared" si="1500"/>
        <v>809</v>
      </c>
      <c r="E6821" t="str">
        <f>"89301045"</f>
        <v>89301045</v>
      </c>
      <c r="F6821" t="str">
        <f>"425109019"</f>
        <v>425109019</v>
      </c>
      <c r="G6821" s="1">
        <v>44735</v>
      </c>
      <c r="H6821" t="str">
        <f>"89513"</f>
        <v>89513</v>
      </c>
      <c r="I6821">
        <v>1</v>
      </c>
      <c r="J6821">
        <v>371</v>
      </c>
      <c r="K6821">
        <v>0</v>
      </c>
      <c r="L6821">
        <v>519.4</v>
      </c>
    </row>
    <row r="6822" spans="1:12" x14ac:dyDescent="0.25">
      <c r="A6822" t="str">
        <f t="shared" si="1494"/>
        <v>89301000</v>
      </c>
      <c r="B6822" t="str">
        <f t="shared" ref="B6822:B6846" si="1501">"89383000"</f>
        <v>89383000</v>
      </c>
      <c r="C6822" t="str">
        <f t="shared" ref="C6822:C6846" si="1502">"89383002"</f>
        <v>89383002</v>
      </c>
      <c r="D6822" t="str">
        <f t="shared" si="1500"/>
        <v>809</v>
      </c>
      <c r="E6822" t="str">
        <f>"89301045"</f>
        <v>89301045</v>
      </c>
      <c r="F6822" t="str">
        <f>"425109019"</f>
        <v>425109019</v>
      </c>
      <c r="G6822" s="1">
        <v>44735</v>
      </c>
      <c r="H6822" t="str">
        <f>"89514"</f>
        <v>89514</v>
      </c>
      <c r="I6822">
        <v>1</v>
      </c>
      <c r="J6822">
        <v>371</v>
      </c>
      <c r="K6822">
        <v>0</v>
      </c>
      <c r="L6822">
        <v>519.4</v>
      </c>
    </row>
    <row r="6823" spans="1:12" x14ac:dyDescent="0.25">
      <c r="A6823" t="str">
        <f t="shared" si="1494"/>
        <v>89301000</v>
      </c>
      <c r="B6823" t="str">
        <f t="shared" si="1501"/>
        <v>89383000</v>
      </c>
      <c r="C6823" t="str">
        <f t="shared" si="1502"/>
        <v>89383002</v>
      </c>
      <c r="D6823" t="str">
        <f t="shared" si="1500"/>
        <v>809</v>
      </c>
      <c r="E6823" t="str">
        <f t="shared" ref="E6823:E6828" si="1503">"89301212"</f>
        <v>89301212</v>
      </c>
      <c r="F6823" t="str">
        <f>"485215413"</f>
        <v>485215413</v>
      </c>
      <c r="G6823" s="1">
        <v>44736</v>
      </c>
      <c r="H6823" t="str">
        <f>"89513"</f>
        <v>89513</v>
      </c>
      <c r="I6823">
        <v>1</v>
      </c>
      <c r="J6823">
        <v>371</v>
      </c>
      <c r="K6823">
        <v>0</v>
      </c>
      <c r="L6823">
        <v>519.4</v>
      </c>
    </row>
    <row r="6824" spans="1:12" x14ac:dyDescent="0.25">
      <c r="A6824" t="str">
        <f t="shared" si="1494"/>
        <v>89301000</v>
      </c>
      <c r="B6824" t="str">
        <f t="shared" si="1501"/>
        <v>89383000</v>
      </c>
      <c r="C6824" t="str">
        <f t="shared" si="1502"/>
        <v>89383002</v>
      </c>
      <c r="D6824" t="str">
        <f t="shared" si="1500"/>
        <v>809</v>
      </c>
      <c r="E6824" t="str">
        <f t="shared" si="1503"/>
        <v>89301212</v>
      </c>
      <c r="F6824" t="str">
        <f>"485215413"</f>
        <v>485215413</v>
      </c>
      <c r="G6824" s="1">
        <v>44736</v>
      </c>
      <c r="H6824" t="str">
        <f>"89514"</f>
        <v>89514</v>
      </c>
      <c r="I6824">
        <v>1</v>
      </c>
      <c r="J6824">
        <v>371</v>
      </c>
      <c r="K6824">
        <v>0</v>
      </c>
      <c r="L6824">
        <v>519.4</v>
      </c>
    </row>
    <row r="6825" spans="1:12" x14ac:dyDescent="0.25">
      <c r="A6825" t="str">
        <f t="shared" si="1494"/>
        <v>89301000</v>
      </c>
      <c r="B6825" t="str">
        <f t="shared" si="1501"/>
        <v>89383000</v>
      </c>
      <c r="C6825" t="str">
        <f t="shared" si="1502"/>
        <v>89383002</v>
      </c>
      <c r="D6825" t="str">
        <f t="shared" si="1500"/>
        <v>809</v>
      </c>
      <c r="E6825" t="str">
        <f t="shared" si="1503"/>
        <v>89301212</v>
      </c>
      <c r="F6825" t="str">
        <f>"5761230178"</f>
        <v>5761230178</v>
      </c>
      <c r="G6825" s="1">
        <v>44736</v>
      </c>
      <c r="H6825" t="str">
        <f>"89513"</f>
        <v>89513</v>
      </c>
      <c r="I6825">
        <v>1</v>
      </c>
      <c r="J6825">
        <v>371</v>
      </c>
      <c r="K6825">
        <v>0</v>
      </c>
      <c r="L6825">
        <v>519.4</v>
      </c>
    </row>
    <row r="6826" spans="1:12" x14ac:dyDescent="0.25">
      <c r="A6826" t="str">
        <f t="shared" si="1494"/>
        <v>89301000</v>
      </c>
      <c r="B6826" t="str">
        <f t="shared" si="1501"/>
        <v>89383000</v>
      </c>
      <c r="C6826" t="str">
        <f t="shared" si="1502"/>
        <v>89383002</v>
      </c>
      <c r="D6826" t="str">
        <f t="shared" si="1500"/>
        <v>809</v>
      </c>
      <c r="E6826" t="str">
        <f t="shared" si="1503"/>
        <v>89301212</v>
      </c>
      <c r="F6826" t="str">
        <f>"5761230178"</f>
        <v>5761230178</v>
      </c>
      <c r="G6826" s="1">
        <v>44736</v>
      </c>
      <c r="H6826" t="str">
        <f>"89514"</f>
        <v>89514</v>
      </c>
      <c r="I6826">
        <v>1</v>
      </c>
      <c r="J6826">
        <v>371</v>
      </c>
      <c r="K6826">
        <v>0</v>
      </c>
      <c r="L6826">
        <v>519.4</v>
      </c>
    </row>
    <row r="6827" spans="1:12" x14ac:dyDescent="0.25">
      <c r="A6827" t="str">
        <f t="shared" si="1494"/>
        <v>89301000</v>
      </c>
      <c r="B6827" t="str">
        <f t="shared" si="1501"/>
        <v>89383000</v>
      </c>
      <c r="C6827" t="str">
        <f t="shared" si="1502"/>
        <v>89383002</v>
      </c>
      <c r="D6827" t="str">
        <f t="shared" si="1500"/>
        <v>809</v>
      </c>
      <c r="E6827" t="str">
        <f t="shared" si="1503"/>
        <v>89301212</v>
      </c>
      <c r="F6827" t="str">
        <f>"6152250302"</f>
        <v>6152250302</v>
      </c>
      <c r="G6827" s="1">
        <v>44736</v>
      </c>
      <c r="H6827" t="str">
        <f>"89180"</f>
        <v>89180</v>
      </c>
      <c r="I6827">
        <v>1</v>
      </c>
      <c r="J6827">
        <v>376</v>
      </c>
      <c r="K6827">
        <v>0</v>
      </c>
      <c r="L6827">
        <v>526.4</v>
      </c>
    </row>
    <row r="6828" spans="1:12" x14ac:dyDescent="0.25">
      <c r="A6828" t="str">
        <f t="shared" si="1494"/>
        <v>89301000</v>
      </c>
      <c r="B6828" t="str">
        <f t="shared" si="1501"/>
        <v>89383000</v>
      </c>
      <c r="C6828" t="str">
        <f t="shared" si="1502"/>
        <v>89383002</v>
      </c>
      <c r="D6828" t="str">
        <f t="shared" si="1500"/>
        <v>809</v>
      </c>
      <c r="E6828" t="str">
        <f t="shared" si="1503"/>
        <v>89301212</v>
      </c>
      <c r="F6828" t="str">
        <f>"6152250302"</f>
        <v>6152250302</v>
      </c>
      <c r="G6828" s="1">
        <v>44736</v>
      </c>
      <c r="H6828" t="str">
        <f>"89512"</f>
        <v>89512</v>
      </c>
      <c r="I6828">
        <v>1</v>
      </c>
      <c r="J6828">
        <v>277</v>
      </c>
      <c r="K6828">
        <v>0</v>
      </c>
      <c r="L6828">
        <v>387.8</v>
      </c>
    </row>
    <row r="6829" spans="1:12" x14ac:dyDescent="0.25">
      <c r="A6829" t="str">
        <f t="shared" si="1494"/>
        <v>89301000</v>
      </c>
      <c r="B6829" t="str">
        <f t="shared" si="1501"/>
        <v>89383000</v>
      </c>
      <c r="C6829" t="str">
        <f t="shared" si="1502"/>
        <v>89383002</v>
      </c>
      <c r="D6829" t="str">
        <f t="shared" si="1500"/>
        <v>809</v>
      </c>
      <c r="E6829" t="str">
        <f>"89301045"</f>
        <v>89301045</v>
      </c>
      <c r="F6829" t="str">
        <f>"5660100281"</f>
        <v>5660100281</v>
      </c>
      <c r="G6829" s="1">
        <v>44718</v>
      </c>
      <c r="H6829" t="str">
        <f t="shared" ref="H6829:H6835" si="1504">"89813"</f>
        <v>89813</v>
      </c>
      <c r="I6829">
        <v>1</v>
      </c>
      <c r="J6829">
        <v>130</v>
      </c>
      <c r="K6829">
        <v>0</v>
      </c>
      <c r="L6829">
        <v>182</v>
      </c>
    </row>
    <row r="6830" spans="1:12" x14ac:dyDescent="0.25">
      <c r="A6830" t="str">
        <f t="shared" si="1494"/>
        <v>89301000</v>
      </c>
      <c r="B6830" t="str">
        <f t="shared" si="1501"/>
        <v>89383000</v>
      </c>
      <c r="C6830" t="str">
        <f t="shared" si="1502"/>
        <v>89383002</v>
      </c>
      <c r="D6830" t="str">
        <f t="shared" si="1500"/>
        <v>809</v>
      </c>
      <c r="E6830" t="str">
        <f>"89301215"</f>
        <v>89301215</v>
      </c>
      <c r="F6830" t="str">
        <f>"8258305363"</f>
        <v>8258305363</v>
      </c>
      <c r="G6830" s="1">
        <v>44718</v>
      </c>
      <c r="H6830" t="str">
        <f t="shared" si="1504"/>
        <v>89813</v>
      </c>
      <c r="I6830">
        <v>1</v>
      </c>
      <c r="J6830">
        <v>130</v>
      </c>
      <c r="K6830">
        <v>0</v>
      </c>
      <c r="L6830">
        <v>182</v>
      </c>
    </row>
    <row r="6831" spans="1:12" x14ac:dyDescent="0.25">
      <c r="A6831" t="str">
        <f t="shared" si="1494"/>
        <v>89301000</v>
      </c>
      <c r="B6831" t="str">
        <f t="shared" si="1501"/>
        <v>89383000</v>
      </c>
      <c r="C6831" t="str">
        <f t="shared" si="1502"/>
        <v>89383002</v>
      </c>
      <c r="D6831" t="str">
        <f t="shared" si="1500"/>
        <v>809</v>
      </c>
      <c r="E6831" t="str">
        <f>"89301045"</f>
        <v>89301045</v>
      </c>
      <c r="F6831" t="str">
        <f>"465305401"</f>
        <v>465305401</v>
      </c>
      <c r="G6831" s="1">
        <v>44718</v>
      </c>
      <c r="H6831" t="str">
        <f t="shared" si="1504"/>
        <v>89813</v>
      </c>
      <c r="I6831">
        <v>1</v>
      </c>
      <c r="J6831">
        <v>130</v>
      </c>
      <c r="K6831">
        <v>0</v>
      </c>
      <c r="L6831">
        <v>182</v>
      </c>
    </row>
    <row r="6832" spans="1:12" x14ac:dyDescent="0.25">
      <c r="A6832" t="str">
        <f t="shared" si="1494"/>
        <v>89301000</v>
      </c>
      <c r="B6832" t="str">
        <f t="shared" si="1501"/>
        <v>89383000</v>
      </c>
      <c r="C6832" t="str">
        <f t="shared" si="1502"/>
        <v>89383002</v>
      </c>
      <c r="D6832" t="str">
        <f t="shared" si="1500"/>
        <v>809</v>
      </c>
      <c r="E6832" t="str">
        <f>"89301045"</f>
        <v>89301045</v>
      </c>
      <c r="F6832" t="str">
        <f>"7258203689"</f>
        <v>7258203689</v>
      </c>
      <c r="G6832" s="1">
        <v>44718</v>
      </c>
      <c r="H6832" t="str">
        <f t="shared" si="1504"/>
        <v>89813</v>
      </c>
      <c r="I6832">
        <v>1</v>
      </c>
      <c r="J6832">
        <v>130</v>
      </c>
      <c r="K6832">
        <v>0</v>
      </c>
      <c r="L6832">
        <v>182</v>
      </c>
    </row>
    <row r="6833" spans="1:12" x14ac:dyDescent="0.25">
      <c r="A6833" t="str">
        <f t="shared" si="1494"/>
        <v>89301000</v>
      </c>
      <c r="B6833" t="str">
        <f t="shared" si="1501"/>
        <v>89383000</v>
      </c>
      <c r="C6833" t="str">
        <f t="shared" si="1502"/>
        <v>89383002</v>
      </c>
      <c r="D6833" t="str">
        <f t="shared" si="1500"/>
        <v>809</v>
      </c>
      <c r="E6833" t="str">
        <f>"89301045"</f>
        <v>89301045</v>
      </c>
      <c r="F6833" t="str">
        <f>"8453186390"</f>
        <v>8453186390</v>
      </c>
      <c r="G6833" s="1">
        <v>44728</v>
      </c>
      <c r="H6833" t="str">
        <f t="shared" si="1504"/>
        <v>89813</v>
      </c>
      <c r="I6833">
        <v>1</v>
      </c>
      <c r="J6833">
        <v>130</v>
      </c>
      <c r="K6833">
        <v>0</v>
      </c>
      <c r="L6833">
        <v>182</v>
      </c>
    </row>
    <row r="6834" spans="1:12" x14ac:dyDescent="0.25">
      <c r="A6834" t="str">
        <f t="shared" si="1494"/>
        <v>89301000</v>
      </c>
      <c r="B6834" t="str">
        <f t="shared" si="1501"/>
        <v>89383000</v>
      </c>
      <c r="C6834" t="str">
        <f t="shared" si="1502"/>
        <v>89383002</v>
      </c>
      <c r="D6834" t="str">
        <f t="shared" si="1500"/>
        <v>809</v>
      </c>
      <c r="E6834" t="str">
        <f>"89301212"</f>
        <v>89301212</v>
      </c>
      <c r="F6834" t="str">
        <f>"465612184"</f>
        <v>465612184</v>
      </c>
      <c r="G6834" s="1">
        <v>44725</v>
      </c>
      <c r="H6834" t="str">
        <f t="shared" si="1504"/>
        <v>89813</v>
      </c>
      <c r="I6834">
        <v>1</v>
      </c>
      <c r="J6834">
        <v>130</v>
      </c>
      <c r="K6834">
        <v>0</v>
      </c>
      <c r="L6834">
        <v>182</v>
      </c>
    </row>
    <row r="6835" spans="1:12" x14ac:dyDescent="0.25">
      <c r="A6835" t="str">
        <f t="shared" si="1494"/>
        <v>89301000</v>
      </c>
      <c r="B6835" t="str">
        <f t="shared" si="1501"/>
        <v>89383000</v>
      </c>
      <c r="C6835" t="str">
        <f t="shared" si="1502"/>
        <v>89383002</v>
      </c>
      <c r="D6835" t="str">
        <f t="shared" si="1500"/>
        <v>809</v>
      </c>
      <c r="E6835" t="str">
        <f>"89301045"</f>
        <v>89301045</v>
      </c>
      <c r="F6835" t="str">
        <f>"5861090873"</f>
        <v>5861090873</v>
      </c>
      <c r="G6835" s="1">
        <v>44725</v>
      </c>
      <c r="H6835" t="str">
        <f t="shared" si="1504"/>
        <v>89813</v>
      </c>
      <c r="I6835">
        <v>1</v>
      </c>
      <c r="J6835">
        <v>130</v>
      </c>
      <c r="K6835">
        <v>0</v>
      </c>
      <c r="L6835">
        <v>182</v>
      </c>
    </row>
    <row r="6836" spans="1:12" x14ac:dyDescent="0.25">
      <c r="A6836" t="str">
        <f t="shared" si="1494"/>
        <v>89301000</v>
      </c>
      <c r="B6836" t="str">
        <f t="shared" si="1501"/>
        <v>89383000</v>
      </c>
      <c r="C6836" t="str">
        <f t="shared" si="1502"/>
        <v>89383002</v>
      </c>
      <c r="D6836" t="str">
        <f t="shared" si="1500"/>
        <v>809</v>
      </c>
      <c r="E6836" t="str">
        <f>"89301212"</f>
        <v>89301212</v>
      </c>
      <c r="F6836" t="str">
        <f>"7258105305"</f>
        <v>7258105305</v>
      </c>
      <c r="G6836" s="1">
        <v>44739</v>
      </c>
      <c r="H6836" t="str">
        <f>"89514"</f>
        <v>89514</v>
      </c>
      <c r="I6836">
        <v>1</v>
      </c>
      <c r="J6836">
        <v>371</v>
      </c>
      <c r="K6836">
        <v>0</v>
      </c>
      <c r="L6836">
        <v>519.4</v>
      </c>
    </row>
    <row r="6837" spans="1:12" x14ac:dyDescent="0.25">
      <c r="A6837" t="str">
        <f t="shared" si="1494"/>
        <v>89301000</v>
      </c>
      <c r="B6837" t="str">
        <f t="shared" si="1501"/>
        <v>89383000</v>
      </c>
      <c r="C6837" t="str">
        <f t="shared" si="1502"/>
        <v>89383002</v>
      </c>
      <c r="D6837" t="str">
        <f t="shared" si="1500"/>
        <v>809</v>
      </c>
      <c r="E6837" t="str">
        <f>"89301212"</f>
        <v>89301212</v>
      </c>
      <c r="F6837" t="str">
        <f>"7258105305"</f>
        <v>7258105305</v>
      </c>
      <c r="G6837" s="1">
        <v>44739</v>
      </c>
      <c r="H6837" t="str">
        <f>"89513"</f>
        <v>89513</v>
      </c>
      <c r="I6837">
        <v>1</v>
      </c>
      <c r="J6837">
        <v>371</v>
      </c>
      <c r="K6837">
        <v>0</v>
      </c>
      <c r="L6837">
        <v>519.4</v>
      </c>
    </row>
    <row r="6838" spans="1:12" x14ac:dyDescent="0.25">
      <c r="A6838" t="str">
        <f t="shared" si="1494"/>
        <v>89301000</v>
      </c>
      <c r="B6838" t="str">
        <f t="shared" si="1501"/>
        <v>89383000</v>
      </c>
      <c r="C6838" t="str">
        <f t="shared" si="1502"/>
        <v>89383002</v>
      </c>
      <c r="D6838" t="str">
        <f t="shared" si="1500"/>
        <v>809</v>
      </c>
      <c r="E6838" t="str">
        <f>"89301212"</f>
        <v>89301212</v>
      </c>
      <c r="F6838" t="str">
        <f>"7456205339"</f>
        <v>7456205339</v>
      </c>
      <c r="G6838" s="1">
        <v>44740</v>
      </c>
      <c r="H6838" t="str">
        <f>"89512"</f>
        <v>89512</v>
      </c>
      <c r="I6838">
        <v>1</v>
      </c>
      <c r="J6838">
        <v>277</v>
      </c>
      <c r="K6838">
        <v>0</v>
      </c>
      <c r="L6838">
        <v>387.8</v>
      </c>
    </row>
    <row r="6839" spans="1:12" x14ac:dyDescent="0.25">
      <c r="A6839" t="str">
        <f t="shared" si="1494"/>
        <v>89301000</v>
      </c>
      <c r="B6839" t="str">
        <f t="shared" si="1501"/>
        <v>89383000</v>
      </c>
      <c r="C6839" t="str">
        <f t="shared" si="1502"/>
        <v>89383002</v>
      </c>
      <c r="D6839" t="str">
        <f t="shared" si="1500"/>
        <v>809</v>
      </c>
      <c r="E6839" t="str">
        <f>"89301212"</f>
        <v>89301212</v>
      </c>
      <c r="F6839" t="str">
        <f>"7553205352"</f>
        <v>7553205352</v>
      </c>
      <c r="G6839" s="1">
        <v>44741</v>
      </c>
      <c r="H6839" t="str">
        <f>"89512"</f>
        <v>89512</v>
      </c>
      <c r="I6839">
        <v>1</v>
      </c>
      <c r="J6839">
        <v>277</v>
      </c>
      <c r="K6839">
        <v>0</v>
      </c>
      <c r="L6839">
        <v>387.8</v>
      </c>
    </row>
    <row r="6840" spans="1:12" x14ac:dyDescent="0.25">
      <c r="A6840" t="str">
        <f t="shared" si="1494"/>
        <v>89301000</v>
      </c>
      <c r="B6840" t="str">
        <f t="shared" si="1501"/>
        <v>89383000</v>
      </c>
      <c r="C6840" t="str">
        <f t="shared" si="1502"/>
        <v>89383002</v>
      </c>
      <c r="D6840" t="str">
        <f t="shared" si="1500"/>
        <v>809</v>
      </c>
      <c r="E6840" t="str">
        <f>"89301045"</f>
        <v>89301045</v>
      </c>
      <c r="F6840" t="str">
        <f>"485724433"</f>
        <v>485724433</v>
      </c>
      <c r="G6840" s="1">
        <v>44741</v>
      </c>
      <c r="H6840" t="str">
        <f>"89512"</f>
        <v>89512</v>
      </c>
      <c r="I6840">
        <v>1</v>
      </c>
      <c r="J6840">
        <v>277</v>
      </c>
      <c r="K6840">
        <v>0</v>
      </c>
      <c r="L6840">
        <v>387.8</v>
      </c>
    </row>
    <row r="6841" spans="1:12" x14ac:dyDescent="0.25">
      <c r="A6841" t="str">
        <f t="shared" si="1494"/>
        <v>89301000</v>
      </c>
      <c r="B6841" t="str">
        <f t="shared" si="1501"/>
        <v>89383000</v>
      </c>
      <c r="C6841" t="str">
        <f t="shared" si="1502"/>
        <v>89383002</v>
      </c>
      <c r="D6841" t="str">
        <f t="shared" si="1500"/>
        <v>809</v>
      </c>
      <c r="E6841" t="str">
        <f t="shared" ref="E6841:E6846" si="1505">"89301212"</f>
        <v>89301212</v>
      </c>
      <c r="F6841" t="str">
        <f t="shared" ref="F6841:F6846" si="1506">"465612184"</f>
        <v>465612184</v>
      </c>
      <c r="G6841" s="1">
        <v>44741</v>
      </c>
      <c r="H6841" t="str">
        <f>"89313"</f>
        <v>89313</v>
      </c>
      <c r="I6841">
        <v>1</v>
      </c>
      <c r="J6841">
        <v>406</v>
      </c>
      <c r="K6841">
        <v>0</v>
      </c>
      <c r="L6841">
        <v>568.4</v>
      </c>
    </row>
    <row r="6842" spans="1:12" x14ac:dyDescent="0.25">
      <c r="A6842" t="str">
        <f t="shared" si="1494"/>
        <v>89301000</v>
      </c>
      <c r="B6842" t="str">
        <f t="shared" si="1501"/>
        <v>89383000</v>
      </c>
      <c r="C6842" t="str">
        <f t="shared" si="1502"/>
        <v>89383002</v>
      </c>
      <c r="D6842" t="str">
        <f t="shared" si="1500"/>
        <v>809</v>
      </c>
      <c r="E6842" t="str">
        <f t="shared" si="1505"/>
        <v>89301212</v>
      </c>
      <c r="F6842" t="str">
        <f t="shared" si="1506"/>
        <v>465612184</v>
      </c>
      <c r="G6842" s="1">
        <v>44741</v>
      </c>
      <c r="H6842" t="str">
        <f>"09233"</f>
        <v>09233</v>
      </c>
      <c r="I6842">
        <v>1</v>
      </c>
      <c r="J6842">
        <v>99</v>
      </c>
      <c r="K6842">
        <v>0</v>
      </c>
      <c r="L6842">
        <v>138.6</v>
      </c>
    </row>
    <row r="6843" spans="1:12" x14ac:dyDescent="0.25">
      <c r="A6843" t="str">
        <f t="shared" si="1494"/>
        <v>89301000</v>
      </c>
      <c r="B6843" t="str">
        <f t="shared" si="1501"/>
        <v>89383000</v>
      </c>
      <c r="C6843" t="str">
        <f t="shared" si="1502"/>
        <v>89383002</v>
      </c>
      <c r="D6843" t="str">
        <f t="shared" si="1500"/>
        <v>809</v>
      </c>
      <c r="E6843" t="str">
        <f t="shared" si="1505"/>
        <v>89301212</v>
      </c>
      <c r="F6843" t="str">
        <f t="shared" si="1506"/>
        <v>465612184</v>
      </c>
      <c r="G6843" s="1">
        <v>44741</v>
      </c>
      <c r="H6843" t="str">
        <f>"89512"</f>
        <v>89512</v>
      </c>
      <c r="I6843">
        <v>1</v>
      </c>
      <c r="J6843">
        <v>277</v>
      </c>
      <c r="K6843">
        <v>0</v>
      </c>
      <c r="L6843">
        <v>387.8</v>
      </c>
    </row>
    <row r="6844" spans="1:12" x14ac:dyDescent="0.25">
      <c r="A6844" t="str">
        <f t="shared" si="1494"/>
        <v>89301000</v>
      </c>
      <c r="B6844" t="str">
        <f t="shared" si="1501"/>
        <v>89383000</v>
      </c>
      <c r="C6844" t="str">
        <f t="shared" si="1502"/>
        <v>89383002</v>
      </c>
      <c r="D6844" t="str">
        <f t="shared" si="1500"/>
        <v>809</v>
      </c>
      <c r="E6844" t="str">
        <f t="shared" si="1505"/>
        <v>89301212</v>
      </c>
      <c r="F6844" t="str">
        <f t="shared" si="1506"/>
        <v>465612184</v>
      </c>
      <c r="G6844" s="1">
        <v>44741</v>
      </c>
      <c r="H6844" t="str">
        <f>"89180"</f>
        <v>89180</v>
      </c>
      <c r="I6844">
        <v>1</v>
      </c>
      <c r="J6844">
        <v>376</v>
      </c>
      <c r="K6844">
        <v>0</v>
      </c>
      <c r="L6844">
        <v>526.4</v>
      </c>
    </row>
    <row r="6845" spans="1:12" x14ac:dyDescent="0.25">
      <c r="A6845" t="str">
        <f t="shared" si="1494"/>
        <v>89301000</v>
      </c>
      <c r="B6845" t="str">
        <f t="shared" si="1501"/>
        <v>89383000</v>
      </c>
      <c r="C6845" t="str">
        <f t="shared" si="1502"/>
        <v>89383002</v>
      </c>
      <c r="D6845" t="str">
        <f t="shared" si="1500"/>
        <v>809</v>
      </c>
      <c r="E6845" t="str">
        <f t="shared" si="1505"/>
        <v>89301212</v>
      </c>
      <c r="F6845" t="str">
        <f t="shared" si="1506"/>
        <v>465612184</v>
      </c>
      <c r="G6845" s="1">
        <v>44741</v>
      </c>
      <c r="H6845" t="str">
        <f>"0225891"</f>
        <v>0225891</v>
      </c>
      <c r="I6845">
        <v>0.02</v>
      </c>
      <c r="K6845">
        <v>7.35</v>
      </c>
      <c r="L6845">
        <v>7.35</v>
      </c>
    </row>
    <row r="6846" spans="1:12" x14ac:dyDescent="0.25">
      <c r="A6846" t="str">
        <f t="shared" si="1494"/>
        <v>89301000</v>
      </c>
      <c r="B6846" t="str">
        <f t="shared" si="1501"/>
        <v>89383000</v>
      </c>
      <c r="C6846" t="str">
        <f t="shared" si="1502"/>
        <v>89383002</v>
      </c>
      <c r="D6846" t="str">
        <f t="shared" si="1500"/>
        <v>809</v>
      </c>
      <c r="E6846" t="str">
        <f t="shared" si="1505"/>
        <v>89301212</v>
      </c>
      <c r="F6846" t="str">
        <f t="shared" si="1506"/>
        <v>465612184</v>
      </c>
      <c r="G6846" s="1">
        <v>44741</v>
      </c>
      <c r="H6846" t="str">
        <f>"0082502"</f>
        <v>0082502</v>
      </c>
      <c r="I6846">
        <v>1</v>
      </c>
      <c r="K6846">
        <v>2093</v>
      </c>
      <c r="L6846">
        <v>2093</v>
      </c>
    </row>
    <row r="6847" spans="1:12" x14ac:dyDescent="0.25">
      <c r="A6847" t="str">
        <f t="shared" si="1494"/>
        <v>89301000</v>
      </c>
      <c r="B6847" t="str">
        <f>"04002000"</f>
        <v>04002000</v>
      </c>
      <c r="C6847" t="str">
        <f>"04002338"</f>
        <v>04002338</v>
      </c>
      <c r="D6847" t="str">
        <f>"813"</f>
        <v>813</v>
      </c>
      <c r="E6847" t="str">
        <f>"89301036"</f>
        <v>89301036</v>
      </c>
      <c r="F6847" t="str">
        <f>"9055125739"</f>
        <v>9055125739</v>
      </c>
      <c r="G6847" s="1">
        <v>44726</v>
      </c>
      <c r="H6847" t="str">
        <f>"91561"</f>
        <v>91561</v>
      </c>
      <c r="I6847">
        <v>1</v>
      </c>
      <c r="J6847">
        <v>920</v>
      </c>
      <c r="K6847">
        <v>0</v>
      </c>
      <c r="L6847">
        <v>717.6</v>
      </c>
    </row>
    <row r="6848" spans="1:12" x14ac:dyDescent="0.25">
      <c r="A6848" t="str">
        <f t="shared" si="1494"/>
        <v>89301000</v>
      </c>
      <c r="B6848" t="str">
        <f>"04002000"</f>
        <v>04002000</v>
      </c>
      <c r="C6848" t="str">
        <f>"04002338"</f>
        <v>04002338</v>
      </c>
      <c r="D6848" t="str">
        <f>"813"</f>
        <v>813</v>
      </c>
      <c r="E6848" t="str">
        <f>"89301036"</f>
        <v>89301036</v>
      </c>
      <c r="F6848" t="str">
        <f>"9055125739"</f>
        <v>9055125739</v>
      </c>
      <c r="G6848" s="1">
        <v>44722</v>
      </c>
      <c r="H6848" t="str">
        <f>"86421"</f>
        <v>86421</v>
      </c>
      <c r="I6848">
        <v>1</v>
      </c>
      <c r="J6848">
        <v>225</v>
      </c>
      <c r="K6848">
        <v>0</v>
      </c>
      <c r="L6848">
        <v>175.5</v>
      </c>
    </row>
    <row r="6849" spans="1:12" x14ac:dyDescent="0.25">
      <c r="A6849" t="str">
        <f t="shared" si="1494"/>
        <v>89301000</v>
      </c>
      <c r="B6849" t="str">
        <f>"04002000"</f>
        <v>04002000</v>
      </c>
      <c r="C6849" t="str">
        <f>"04002338"</f>
        <v>04002338</v>
      </c>
      <c r="D6849" t="str">
        <f>"813"</f>
        <v>813</v>
      </c>
      <c r="E6849" t="str">
        <f>"89301036"</f>
        <v>89301036</v>
      </c>
      <c r="F6849" t="str">
        <f>"9055125739"</f>
        <v>9055125739</v>
      </c>
      <c r="G6849" s="1">
        <v>44726</v>
      </c>
      <c r="H6849" t="str">
        <f>"91475"</f>
        <v>91475</v>
      </c>
      <c r="I6849">
        <v>1</v>
      </c>
      <c r="J6849">
        <v>206</v>
      </c>
      <c r="K6849">
        <v>0</v>
      </c>
      <c r="L6849">
        <v>160.68</v>
      </c>
    </row>
    <row r="6850" spans="1:12" x14ac:dyDescent="0.25">
      <c r="A6850" t="str">
        <f t="shared" ref="A6850:A6913" si="1507">"89301000"</f>
        <v>89301000</v>
      </c>
      <c r="B6850" t="str">
        <f>"04002000"</f>
        <v>04002000</v>
      </c>
      <c r="C6850" t="str">
        <f>"04002338"</f>
        <v>04002338</v>
      </c>
      <c r="D6850" t="str">
        <f>"813"</f>
        <v>813</v>
      </c>
      <c r="E6850" t="str">
        <f>"89301036"</f>
        <v>89301036</v>
      </c>
      <c r="F6850" t="str">
        <f>"9055125739"</f>
        <v>9055125739</v>
      </c>
      <c r="G6850" s="1">
        <v>44725</v>
      </c>
      <c r="H6850" t="str">
        <f>"91561"</f>
        <v>91561</v>
      </c>
      <c r="I6850">
        <v>1</v>
      </c>
      <c r="J6850">
        <v>920</v>
      </c>
      <c r="K6850">
        <v>0</v>
      </c>
      <c r="L6850">
        <v>717.6</v>
      </c>
    </row>
    <row r="6851" spans="1:12" x14ac:dyDescent="0.25">
      <c r="A6851" t="str">
        <f t="shared" si="1507"/>
        <v>89301000</v>
      </c>
      <c r="B6851" t="str">
        <f>"04002000"</f>
        <v>04002000</v>
      </c>
      <c r="C6851" t="str">
        <f>"04002338"</f>
        <v>04002338</v>
      </c>
      <c r="D6851" t="str">
        <f>"813"</f>
        <v>813</v>
      </c>
      <c r="E6851" t="str">
        <f>"89301036"</f>
        <v>89301036</v>
      </c>
      <c r="F6851" t="str">
        <f>"9055125739"</f>
        <v>9055125739</v>
      </c>
      <c r="G6851" s="1">
        <v>44725</v>
      </c>
      <c r="H6851" t="str">
        <f>"91475"</f>
        <v>91475</v>
      </c>
      <c r="I6851">
        <v>1</v>
      </c>
      <c r="J6851">
        <v>206</v>
      </c>
      <c r="K6851">
        <v>0</v>
      </c>
      <c r="L6851">
        <v>160.68</v>
      </c>
    </row>
    <row r="6852" spans="1:12" x14ac:dyDescent="0.25">
      <c r="A6852" t="str">
        <f t="shared" si="1507"/>
        <v>89301000</v>
      </c>
      <c r="B6852" t="str">
        <f>"05002000"</f>
        <v>05002000</v>
      </c>
      <c r="C6852" t="str">
        <f>"05002174"</f>
        <v>05002174</v>
      </c>
      <c r="D6852" t="str">
        <f>"802"</f>
        <v>802</v>
      </c>
      <c r="E6852" t="str">
        <f>"89301172"</f>
        <v>89301172</v>
      </c>
      <c r="F6852" t="str">
        <f>"7162135772"</f>
        <v>7162135772</v>
      </c>
      <c r="G6852" s="1">
        <v>44704</v>
      </c>
      <c r="H6852" t="str">
        <f>"85115"</f>
        <v>85115</v>
      </c>
      <c r="I6852">
        <v>1</v>
      </c>
      <c r="J6852">
        <v>2423</v>
      </c>
      <c r="K6852">
        <v>0</v>
      </c>
      <c r="L6852">
        <v>2204.9299999999998</v>
      </c>
    </row>
    <row r="6853" spans="1:12" x14ac:dyDescent="0.25">
      <c r="A6853" t="str">
        <f t="shared" si="1507"/>
        <v>89301000</v>
      </c>
      <c r="B6853" t="str">
        <f>"05002000"</f>
        <v>05002000</v>
      </c>
      <c r="C6853" t="str">
        <f>"05002174"</f>
        <v>05002174</v>
      </c>
      <c r="D6853" t="str">
        <f>"802"</f>
        <v>802</v>
      </c>
      <c r="E6853" t="str">
        <f>"89301172"</f>
        <v>89301172</v>
      </c>
      <c r="F6853" t="str">
        <f>"8462042325"</f>
        <v>8462042325</v>
      </c>
      <c r="G6853" s="1">
        <v>44691</v>
      </c>
      <c r="H6853" t="str">
        <f>"85115"</f>
        <v>85115</v>
      </c>
      <c r="I6853">
        <v>1</v>
      </c>
      <c r="J6853">
        <v>2423</v>
      </c>
      <c r="K6853">
        <v>0</v>
      </c>
      <c r="L6853">
        <v>2204.9299999999998</v>
      </c>
    </row>
    <row r="6854" spans="1:12" x14ac:dyDescent="0.25">
      <c r="A6854" t="str">
        <f t="shared" si="1507"/>
        <v>89301000</v>
      </c>
      <c r="B6854" t="str">
        <f>"82001000"</f>
        <v>82001000</v>
      </c>
      <c r="C6854" t="str">
        <f>"82001846"</f>
        <v>82001846</v>
      </c>
      <c r="D6854" t="str">
        <f>"810"</f>
        <v>810</v>
      </c>
      <c r="E6854" t="str">
        <f>"89301112"</f>
        <v>89301112</v>
      </c>
      <c r="F6854" t="str">
        <f>"8001137265"</f>
        <v>8001137265</v>
      </c>
      <c r="G6854" s="1">
        <v>44715</v>
      </c>
      <c r="H6854" t="str">
        <f>"89713"</f>
        <v>89713</v>
      </c>
      <c r="I6854">
        <v>1</v>
      </c>
      <c r="J6854">
        <v>5362</v>
      </c>
      <c r="K6854">
        <v>0</v>
      </c>
      <c r="L6854">
        <v>3217.2</v>
      </c>
    </row>
    <row r="6855" spans="1:12" x14ac:dyDescent="0.25">
      <c r="A6855" t="str">
        <f t="shared" si="1507"/>
        <v>89301000</v>
      </c>
      <c r="B6855" t="str">
        <f>"82001000"</f>
        <v>82001000</v>
      </c>
      <c r="C6855" t="str">
        <f>"82001846"</f>
        <v>82001846</v>
      </c>
      <c r="D6855" t="str">
        <f>"810"</f>
        <v>810</v>
      </c>
      <c r="E6855" t="str">
        <f>"89301112"</f>
        <v>89301112</v>
      </c>
      <c r="F6855" t="str">
        <f>"9302184496"</f>
        <v>9302184496</v>
      </c>
      <c r="G6855" s="1">
        <v>44725</v>
      </c>
      <c r="H6855" t="str">
        <f>"89713"</f>
        <v>89713</v>
      </c>
      <c r="I6855">
        <v>1</v>
      </c>
      <c r="J6855">
        <v>5362</v>
      </c>
      <c r="K6855">
        <v>0</v>
      </c>
      <c r="L6855">
        <v>3217.2</v>
      </c>
    </row>
    <row r="6856" spans="1:12" x14ac:dyDescent="0.25">
      <c r="A6856" t="str">
        <f t="shared" si="1507"/>
        <v>89301000</v>
      </c>
      <c r="B6856" t="str">
        <f>"05002000"</f>
        <v>05002000</v>
      </c>
      <c r="C6856" t="str">
        <f>"05002397"</f>
        <v>05002397</v>
      </c>
      <c r="D6856" t="str">
        <f>"818"</f>
        <v>818</v>
      </c>
      <c r="E6856" t="str">
        <f>"89301109"</f>
        <v>89301109</v>
      </c>
      <c r="F6856" t="str">
        <f>"0905183224"</f>
        <v>0905183224</v>
      </c>
      <c r="G6856" s="1">
        <v>44732</v>
      </c>
      <c r="H6856" t="str">
        <f>"94225"</f>
        <v>94225</v>
      </c>
      <c r="I6856">
        <v>1</v>
      </c>
      <c r="J6856">
        <v>1187</v>
      </c>
      <c r="K6856">
        <v>0</v>
      </c>
      <c r="L6856">
        <v>1080.17</v>
      </c>
    </row>
    <row r="6857" spans="1:12" x14ac:dyDescent="0.25">
      <c r="A6857" t="str">
        <f t="shared" si="1507"/>
        <v>89301000</v>
      </c>
      <c r="B6857" t="str">
        <f>"05002000"</f>
        <v>05002000</v>
      </c>
      <c r="C6857" t="str">
        <f>"05002397"</f>
        <v>05002397</v>
      </c>
      <c r="D6857" t="str">
        <f>"818"</f>
        <v>818</v>
      </c>
      <c r="E6857" t="str">
        <f>"89301109"</f>
        <v>89301109</v>
      </c>
      <c r="F6857" t="str">
        <f>"0905183224"</f>
        <v>0905183224</v>
      </c>
      <c r="G6857" s="1">
        <v>44733</v>
      </c>
      <c r="H6857" t="str">
        <f>"94225"</f>
        <v>94225</v>
      </c>
      <c r="I6857">
        <v>1</v>
      </c>
      <c r="J6857">
        <v>1187</v>
      </c>
      <c r="K6857">
        <v>0</v>
      </c>
      <c r="L6857">
        <v>1080.17</v>
      </c>
    </row>
    <row r="6858" spans="1:12" x14ac:dyDescent="0.25">
      <c r="A6858" t="str">
        <f t="shared" si="1507"/>
        <v>89301000</v>
      </c>
      <c r="B6858" t="str">
        <f>"05002000"</f>
        <v>05002000</v>
      </c>
      <c r="C6858" t="str">
        <f>"05002397"</f>
        <v>05002397</v>
      </c>
      <c r="D6858" t="str">
        <f>"818"</f>
        <v>818</v>
      </c>
      <c r="E6858" t="str">
        <f>"89301109"</f>
        <v>89301109</v>
      </c>
      <c r="F6858" t="str">
        <f>"0905183224"</f>
        <v>0905183224</v>
      </c>
      <c r="G6858" s="1">
        <v>44733</v>
      </c>
      <c r="H6858" t="str">
        <f>"94195"</f>
        <v>94195</v>
      </c>
      <c r="I6858">
        <v>1</v>
      </c>
      <c r="J6858">
        <v>378</v>
      </c>
      <c r="K6858">
        <v>0</v>
      </c>
      <c r="L6858">
        <v>343.98</v>
      </c>
    </row>
    <row r="6859" spans="1:12" x14ac:dyDescent="0.25">
      <c r="A6859" t="str">
        <f t="shared" si="1507"/>
        <v>89301000</v>
      </c>
      <c r="B6859" t="str">
        <f>"05002000"</f>
        <v>05002000</v>
      </c>
      <c r="C6859" t="str">
        <f>"05002397"</f>
        <v>05002397</v>
      </c>
      <c r="D6859" t="str">
        <f>"818"</f>
        <v>818</v>
      </c>
      <c r="E6859" t="str">
        <f>"89301109"</f>
        <v>89301109</v>
      </c>
      <c r="F6859" t="str">
        <f>"0905183224"</f>
        <v>0905183224</v>
      </c>
      <c r="G6859" s="1">
        <v>44733</v>
      </c>
      <c r="H6859" t="str">
        <f>"94337"</f>
        <v>94337</v>
      </c>
      <c r="I6859">
        <v>3</v>
      </c>
      <c r="J6859">
        <v>26880</v>
      </c>
      <c r="K6859">
        <v>0</v>
      </c>
      <c r="L6859">
        <v>24460.799999999999</v>
      </c>
    </row>
    <row r="6860" spans="1:12" x14ac:dyDescent="0.25">
      <c r="A6860" t="str">
        <f t="shared" si="1507"/>
        <v>89301000</v>
      </c>
      <c r="B6860" t="str">
        <f>"06223000"</f>
        <v>06223000</v>
      </c>
      <c r="C6860" t="str">
        <f>"06223043"</f>
        <v>06223043</v>
      </c>
      <c r="D6860" t="str">
        <f>"801"</f>
        <v>801</v>
      </c>
      <c r="E6860" t="str">
        <f>"89301122"</f>
        <v>89301122</v>
      </c>
      <c r="F6860" t="str">
        <f>"8811135080"</f>
        <v>8811135080</v>
      </c>
      <c r="G6860" s="1">
        <v>44722</v>
      </c>
      <c r="H6860" t="str">
        <f>"81485"</f>
        <v>81485</v>
      </c>
      <c r="I6860">
        <v>1</v>
      </c>
      <c r="J6860">
        <v>453</v>
      </c>
      <c r="K6860">
        <v>0</v>
      </c>
      <c r="L6860">
        <v>353.34</v>
      </c>
    </row>
    <row r="6861" spans="1:12" x14ac:dyDescent="0.25">
      <c r="A6861" t="str">
        <f t="shared" si="1507"/>
        <v>89301000</v>
      </c>
      <c r="B6861" t="str">
        <f>"06223000"</f>
        <v>06223000</v>
      </c>
      <c r="C6861" t="str">
        <f>"06223043"</f>
        <v>06223043</v>
      </c>
      <c r="D6861" t="str">
        <f>"801"</f>
        <v>801</v>
      </c>
      <c r="E6861" t="str">
        <f>"89301122"</f>
        <v>89301122</v>
      </c>
      <c r="F6861" t="str">
        <f>"5904251419"</f>
        <v>5904251419</v>
      </c>
      <c r="G6861" s="1">
        <v>44739</v>
      </c>
      <c r="H6861" t="str">
        <f>"81485"</f>
        <v>81485</v>
      </c>
      <c r="I6861">
        <v>1</v>
      </c>
      <c r="J6861">
        <v>453</v>
      </c>
      <c r="K6861">
        <v>0</v>
      </c>
      <c r="L6861">
        <v>353.34</v>
      </c>
    </row>
    <row r="6862" spans="1:12" x14ac:dyDescent="0.25">
      <c r="A6862" t="str">
        <f t="shared" si="1507"/>
        <v>89301000</v>
      </c>
      <c r="B6862" t="str">
        <f>"06223000"</f>
        <v>06223000</v>
      </c>
      <c r="C6862" t="str">
        <f>"06223043"</f>
        <v>06223043</v>
      </c>
      <c r="D6862" t="str">
        <f>"801"</f>
        <v>801</v>
      </c>
      <c r="E6862" t="str">
        <f>"89301122"</f>
        <v>89301122</v>
      </c>
      <c r="F6862" t="str">
        <f>"535128093"</f>
        <v>535128093</v>
      </c>
      <c r="G6862" s="1">
        <v>44713</v>
      </c>
      <c r="H6862" t="str">
        <f>"92165"</f>
        <v>92165</v>
      </c>
      <c r="I6862">
        <v>1</v>
      </c>
      <c r="J6862">
        <v>2113</v>
      </c>
      <c r="K6862">
        <v>0</v>
      </c>
      <c r="L6862">
        <v>1648.14</v>
      </c>
    </row>
    <row r="6863" spans="1:12" x14ac:dyDescent="0.25">
      <c r="A6863" t="str">
        <f t="shared" si="1507"/>
        <v>89301000</v>
      </c>
      <c r="B6863" t="str">
        <f>"92002000"</f>
        <v>92002000</v>
      </c>
      <c r="C6863" t="str">
        <f>"92002175"</f>
        <v>92002175</v>
      </c>
      <c r="D6863" t="str">
        <f t="shared" ref="D6863:D6894" si="1508">"809"</f>
        <v>809</v>
      </c>
      <c r="E6863" t="str">
        <f t="shared" ref="E6863:E6891" si="1509">"89301212"</f>
        <v>89301212</v>
      </c>
      <c r="F6863" t="str">
        <f>"5953221912"</f>
        <v>5953221912</v>
      </c>
      <c r="G6863" s="1">
        <v>44719</v>
      </c>
      <c r="H6863" t="str">
        <f>"89180"</f>
        <v>89180</v>
      </c>
      <c r="I6863">
        <v>2</v>
      </c>
      <c r="J6863">
        <v>752</v>
      </c>
      <c r="K6863">
        <v>0</v>
      </c>
      <c r="L6863">
        <v>1052.8</v>
      </c>
    </row>
    <row r="6864" spans="1:12" x14ac:dyDescent="0.25">
      <c r="A6864" t="str">
        <f t="shared" si="1507"/>
        <v>89301000</v>
      </c>
      <c r="B6864" t="str">
        <f t="shared" ref="B6864:B6891" si="1510">"89895000"</f>
        <v>89895000</v>
      </c>
      <c r="C6864" t="str">
        <f t="shared" ref="C6864:C6891" si="1511">"89895002"</f>
        <v>89895002</v>
      </c>
      <c r="D6864" t="str">
        <f t="shared" si="1508"/>
        <v>809</v>
      </c>
      <c r="E6864" t="str">
        <f t="shared" si="1509"/>
        <v>89301212</v>
      </c>
      <c r="F6864" t="str">
        <f>"406006405"</f>
        <v>406006405</v>
      </c>
      <c r="G6864" s="1">
        <v>44754</v>
      </c>
      <c r="H6864" t="str">
        <f>"89180"</f>
        <v>89180</v>
      </c>
      <c r="I6864">
        <v>2</v>
      </c>
      <c r="J6864">
        <v>752</v>
      </c>
      <c r="K6864">
        <v>0</v>
      </c>
      <c r="L6864">
        <v>1052.8</v>
      </c>
    </row>
    <row r="6865" spans="1:12" x14ac:dyDescent="0.25">
      <c r="A6865" t="str">
        <f t="shared" si="1507"/>
        <v>89301000</v>
      </c>
      <c r="B6865" t="str">
        <f t="shared" si="1510"/>
        <v>89895000</v>
      </c>
      <c r="C6865" t="str">
        <f t="shared" si="1511"/>
        <v>89895002</v>
      </c>
      <c r="D6865" t="str">
        <f t="shared" si="1508"/>
        <v>809</v>
      </c>
      <c r="E6865" t="str">
        <f t="shared" si="1509"/>
        <v>89301212</v>
      </c>
      <c r="F6865" t="str">
        <f>"475107485"</f>
        <v>475107485</v>
      </c>
      <c r="G6865" s="1">
        <v>44754</v>
      </c>
      <c r="H6865" t="str">
        <f>"89512"</f>
        <v>89512</v>
      </c>
      <c r="I6865">
        <v>1</v>
      </c>
      <c r="J6865">
        <v>277</v>
      </c>
      <c r="K6865">
        <v>0</v>
      </c>
      <c r="L6865">
        <v>387.8</v>
      </c>
    </row>
    <row r="6866" spans="1:12" x14ac:dyDescent="0.25">
      <c r="A6866" t="str">
        <f t="shared" si="1507"/>
        <v>89301000</v>
      </c>
      <c r="B6866" t="str">
        <f t="shared" si="1510"/>
        <v>89895000</v>
      </c>
      <c r="C6866" t="str">
        <f t="shared" si="1511"/>
        <v>89895002</v>
      </c>
      <c r="D6866" t="str">
        <f t="shared" si="1508"/>
        <v>809</v>
      </c>
      <c r="E6866" t="str">
        <f t="shared" si="1509"/>
        <v>89301212</v>
      </c>
      <c r="F6866" t="str">
        <f>"475507414"</f>
        <v>475507414</v>
      </c>
      <c r="G6866" s="1">
        <v>44754</v>
      </c>
      <c r="H6866" t="str">
        <f>"89512"</f>
        <v>89512</v>
      </c>
      <c r="I6866">
        <v>1</v>
      </c>
      <c r="J6866">
        <v>277</v>
      </c>
      <c r="K6866">
        <v>0</v>
      </c>
      <c r="L6866">
        <v>387.8</v>
      </c>
    </row>
    <row r="6867" spans="1:12" x14ac:dyDescent="0.25">
      <c r="A6867" t="str">
        <f t="shared" si="1507"/>
        <v>89301000</v>
      </c>
      <c r="B6867" t="str">
        <f t="shared" si="1510"/>
        <v>89895000</v>
      </c>
      <c r="C6867" t="str">
        <f t="shared" si="1511"/>
        <v>89895002</v>
      </c>
      <c r="D6867" t="str">
        <f t="shared" si="1508"/>
        <v>809</v>
      </c>
      <c r="E6867" t="str">
        <f t="shared" si="1509"/>
        <v>89301212</v>
      </c>
      <c r="F6867" t="str">
        <f>"485915102"</f>
        <v>485915102</v>
      </c>
      <c r="G6867" s="1">
        <v>44757</v>
      </c>
      <c r="H6867" t="str">
        <f>"89180"</f>
        <v>89180</v>
      </c>
      <c r="I6867">
        <v>2</v>
      </c>
      <c r="J6867">
        <v>752</v>
      </c>
      <c r="K6867">
        <v>0</v>
      </c>
      <c r="L6867">
        <v>1052.8</v>
      </c>
    </row>
    <row r="6868" spans="1:12" x14ac:dyDescent="0.25">
      <c r="A6868" t="str">
        <f t="shared" si="1507"/>
        <v>89301000</v>
      </c>
      <c r="B6868" t="str">
        <f t="shared" si="1510"/>
        <v>89895000</v>
      </c>
      <c r="C6868" t="str">
        <f t="shared" si="1511"/>
        <v>89895002</v>
      </c>
      <c r="D6868" t="str">
        <f t="shared" si="1508"/>
        <v>809</v>
      </c>
      <c r="E6868" t="str">
        <f t="shared" si="1509"/>
        <v>89301212</v>
      </c>
      <c r="F6868" t="str">
        <f>"485915102"</f>
        <v>485915102</v>
      </c>
      <c r="G6868" s="1">
        <v>44757</v>
      </c>
      <c r="H6868" t="str">
        <f>"89512"</f>
        <v>89512</v>
      </c>
      <c r="I6868">
        <v>1</v>
      </c>
      <c r="J6868">
        <v>277</v>
      </c>
      <c r="K6868">
        <v>0</v>
      </c>
      <c r="L6868">
        <v>387.8</v>
      </c>
    </row>
    <row r="6869" spans="1:12" x14ac:dyDescent="0.25">
      <c r="A6869" t="str">
        <f t="shared" si="1507"/>
        <v>89301000</v>
      </c>
      <c r="B6869" t="str">
        <f t="shared" si="1510"/>
        <v>89895000</v>
      </c>
      <c r="C6869" t="str">
        <f t="shared" si="1511"/>
        <v>89895002</v>
      </c>
      <c r="D6869" t="str">
        <f t="shared" si="1508"/>
        <v>809</v>
      </c>
      <c r="E6869" t="str">
        <f t="shared" si="1509"/>
        <v>89301212</v>
      </c>
      <c r="F6869" t="str">
        <f>"485915102"</f>
        <v>485915102</v>
      </c>
      <c r="G6869" s="1">
        <v>44757</v>
      </c>
      <c r="H6869" t="str">
        <f>"09511"</f>
        <v>09511</v>
      </c>
      <c r="I6869">
        <v>1</v>
      </c>
      <c r="J6869">
        <v>43</v>
      </c>
      <c r="K6869">
        <v>0</v>
      </c>
      <c r="L6869">
        <v>60.2</v>
      </c>
    </row>
    <row r="6870" spans="1:12" x14ac:dyDescent="0.25">
      <c r="A6870" t="str">
        <f t="shared" si="1507"/>
        <v>89301000</v>
      </c>
      <c r="B6870" t="str">
        <f t="shared" si="1510"/>
        <v>89895000</v>
      </c>
      <c r="C6870" t="str">
        <f t="shared" si="1511"/>
        <v>89895002</v>
      </c>
      <c r="D6870" t="str">
        <f t="shared" si="1508"/>
        <v>809</v>
      </c>
      <c r="E6870" t="str">
        <f t="shared" si="1509"/>
        <v>89301212</v>
      </c>
      <c r="F6870" t="str">
        <f>"495518284"</f>
        <v>495518284</v>
      </c>
      <c r="G6870" s="1">
        <v>44767</v>
      </c>
      <c r="H6870" t="str">
        <f>"89180"</f>
        <v>89180</v>
      </c>
      <c r="I6870">
        <v>1</v>
      </c>
      <c r="J6870">
        <v>376</v>
      </c>
      <c r="K6870">
        <v>0</v>
      </c>
      <c r="L6870">
        <v>526.4</v>
      </c>
    </row>
    <row r="6871" spans="1:12" x14ac:dyDescent="0.25">
      <c r="A6871" t="str">
        <f t="shared" si="1507"/>
        <v>89301000</v>
      </c>
      <c r="B6871" t="str">
        <f t="shared" si="1510"/>
        <v>89895000</v>
      </c>
      <c r="C6871" t="str">
        <f t="shared" si="1511"/>
        <v>89895002</v>
      </c>
      <c r="D6871" t="str">
        <f t="shared" si="1508"/>
        <v>809</v>
      </c>
      <c r="E6871" t="str">
        <f t="shared" si="1509"/>
        <v>89301212</v>
      </c>
      <c r="F6871" t="str">
        <f>"495518284"</f>
        <v>495518284</v>
      </c>
      <c r="G6871" s="1">
        <v>44767</v>
      </c>
      <c r="H6871" t="str">
        <f>"89335"</f>
        <v>89335</v>
      </c>
      <c r="I6871">
        <v>1</v>
      </c>
      <c r="J6871">
        <v>180</v>
      </c>
      <c r="K6871">
        <v>0</v>
      </c>
      <c r="L6871">
        <v>252</v>
      </c>
    </row>
    <row r="6872" spans="1:12" x14ac:dyDescent="0.25">
      <c r="A6872" t="str">
        <f t="shared" si="1507"/>
        <v>89301000</v>
      </c>
      <c r="B6872" t="str">
        <f t="shared" si="1510"/>
        <v>89895000</v>
      </c>
      <c r="C6872" t="str">
        <f t="shared" si="1511"/>
        <v>89895002</v>
      </c>
      <c r="D6872" t="str">
        <f t="shared" si="1508"/>
        <v>809</v>
      </c>
      <c r="E6872" t="str">
        <f t="shared" si="1509"/>
        <v>89301212</v>
      </c>
      <c r="F6872" t="str">
        <f>"495518284"</f>
        <v>495518284</v>
      </c>
      <c r="G6872" s="1">
        <v>44767</v>
      </c>
      <c r="H6872" t="str">
        <f>"0082502"</f>
        <v>0082502</v>
      </c>
      <c r="I6872">
        <v>1</v>
      </c>
      <c r="K6872">
        <v>2093</v>
      </c>
      <c r="L6872">
        <v>2093</v>
      </c>
    </row>
    <row r="6873" spans="1:12" x14ac:dyDescent="0.25">
      <c r="A6873" t="str">
        <f t="shared" si="1507"/>
        <v>89301000</v>
      </c>
      <c r="B6873" t="str">
        <f t="shared" si="1510"/>
        <v>89895000</v>
      </c>
      <c r="C6873" t="str">
        <f t="shared" si="1511"/>
        <v>89895002</v>
      </c>
      <c r="D6873" t="str">
        <f t="shared" si="1508"/>
        <v>809</v>
      </c>
      <c r="E6873" t="str">
        <f t="shared" si="1509"/>
        <v>89301212</v>
      </c>
      <c r="F6873" t="str">
        <f>"495518284"</f>
        <v>495518284</v>
      </c>
      <c r="G6873" s="1">
        <v>44767</v>
      </c>
      <c r="H6873" t="str">
        <f>"0093109"</f>
        <v>0093109</v>
      </c>
      <c r="I6873">
        <v>0.1</v>
      </c>
      <c r="K6873">
        <v>26.08</v>
      </c>
      <c r="L6873">
        <v>26.08</v>
      </c>
    </row>
    <row r="6874" spans="1:12" x14ac:dyDescent="0.25">
      <c r="A6874" t="str">
        <f t="shared" si="1507"/>
        <v>89301000</v>
      </c>
      <c r="B6874" t="str">
        <f t="shared" si="1510"/>
        <v>89895000</v>
      </c>
      <c r="C6874" t="str">
        <f t="shared" si="1511"/>
        <v>89895002</v>
      </c>
      <c r="D6874" t="str">
        <f t="shared" si="1508"/>
        <v>809</v>
      </c>
      <c r="E6874" t="str">
        <f t="shared" si="1509"/>
        <v>89301212</v>
      </c>
      <c r="F6874" t="str">
        <f>"515418042"</f>
        <v>515418042</v>
      </c>
      <c r="G6874" s="1">
        <v>44767</v>
      </c>
      <c r="H6874" t="str">
        <f>"89180"</f>
        <v>89180</v>
      </c>
      <c r="I6874">
        <v>2</v>
      </c>
      <c r="J6874">
        <v>752</v>
      </c>
      <c r="K6874">
        <v>0</v>
      </c>
      <c r="L6874">
        <v>1052.8</v>
      </c>
    </row>
    <row r="6875" spans="1:12" x14ac:dyDescent="0.25">
      <c r="A6875" t="str">
        <f t="shared" si="1507"/>
        <v>89301000</v>
      </c>
      <c r="B6875" t="str">
        <f t="shared" si="1510"/>
        <v>89895000</v>
      </c>
      <c r="C6875" t="str">
        <f t="shared" si="1511"/>
        <v>89895002</v>
      </c>
      <c r="D6875" t="str">
        <f t="shared" si="1508"/>
        <v>809</v>
      </c>
      <c r="E6875" t="str">
        <f t="shared" si="1509"/>
        <v>89301212</v>
      </c>
      <c r="F6875" t="str">
        <f>"515418042"</f>
        <v>515418042</v>
      </c>
      <c r="G6875" s="1">
        <v>44767</v>
      </c>
      <c r="H6875" t="str">
        <f>"89512"</f>
        <v>89512</v>
      </c>
      <c r="I6875">
        <v>1</v>
      </c>
      <c r="J6875">
        <v>277</v>
      </c>
      <c r="K6875">
        <v>0</v>
      </c>
      <c r="L6875">
        <v>387.8</v>
      </c>
    </row>
    <row r="6876" spans="1:12" x14ac:dyDescent="0.25">
      <c r="A6876" t="str">
        <f t="shared" si="1507"/>
        <v>89301000</v>
      </c>
      <c r="B6876" t="str">
        <f t="shared" si="1510"/>
        <v>89895000</v>
      </c>
      <c r="C6876" t="str">
        <f t="shared" si="1511"/>
        <v>89895002</v>
      </c>
      <c r="D6876" t="str">
        <f t="shared" si="1508"/>
        <v>809</v>
      </c>
      <c r="E6876" t="str">
        <f t="shared" si="1509"/>
        <v>89301212</v>
      </c>
      <c r="F6876" t="str">
        <f>"515418042"</f>
        <v>515418042</v>
      </c>
      <c r="G6876" s="1">
        <v>44767</v>
      </c>
      <c r="H6876" t="str">
        <f>"89514"</f>
        <v>89514</v>
      </c>
      <c r="I6876">
        <v>1</v>
      </c>
      <c r="J6876">
        <v>371</v>
      </c>
      <c r="K6876">
        <v>0</v>
      </c>
      <c r="L6876">
        <v>519.4</v>
      </c>
    </row>
    <row r="6877" spans="1:12" x14ac:dyDescent="0.25">
      <c r="A6877" t="str">
        <f t="shared" si="1507"/>
        <v>89301000</v>
      </c>
      <c r="B6877" t="str">
        <f t="shared" si="1510"/>
        <v>89895000</v>
      </c>
      <c r="C6877" t="str">
        <f t="shared" si="1511"/>
        <v>89895002</v>
      </c>
      <c r="D6877" t="str">
        <f t="shared" si="1508"/>
        <v>809</v>
      </c>
      <c r="E6877" t="str">
        <f t="shared" si="1509"/>
        <v>89301212</v>
      </c>
      <c r="F6877" t="str">
        <f>"515418042"</f>
        <v>515418042</v>
      </c>
      <c r="G6877" s="1">
        <v>44767</v>
      </c>
      <c r="H6877" t="str">
        <f>"89513"</f>
        <v>89513</v>
      </c>
      <c r="I6877">
        <v>1</v>
      </c>
      <c r="J6877">
        <v>371</v>
      </c>
      <c r="K6877">
        <v>0</v>
      </c>
      <c r="L6877">
        <v>519.4</v>
      </c>
    </row>
    <row r="6878" spans="1:12" x14ac:dyDescent="0.25">
      <c r="A6878" t="str">
        <f t="shared" si="1507"/>
        <v>89301000</v>
      </c>
      <c r="B6878" t="str">
        <f t="shared" si="1510"/>
        <v>89895000</v>
      </c>
      <c r="C6878" t="str">
        <f t="shared" si="1511"/>
        <v>89895002</v>
      </c>
      <c r="D6878" t="str">
        <f t="shared" si="1508"/>
        <v>809</v>
      </c>
      <c r="E6878" t="str">
        <f t="shared" si="1509"/>
        <v>89301212</v>
      </c>
      <c r="F6878" t="str">
        <f>"525606072"</f>
        <v>525606072</v>
      </c>
      <c r="G6878" s="1">
        <v>44764</v>
      </c>
      <c r="H6878" t="str">
        <f>"89180"</f>
        <v>89180</v>
      </c>
      <c r="I6878">
        <v>2</v>
      </c>
      <c r="J6878">
        <v>752</v>
      </c>
      <c r="K6878">
        <v>0</v>
      </c>
      <c r="L6878">
        <v>1052.8</v>
      </c>
    </row>
    <row r="6879" spans="1:12" x14ac:dyDescent="0.25">
      <c r="A6879" t="str">
        <f t="shared" si="1507"/>
        <v>89301000</v>
      </c>
      <c r="B6879" t="str">
        <f t="shared" si="1510"/>
        <v>89895000</v>
      </c>
      <c r="C6879" t="str">
        <f t="shared" si="1511"/>
        <v>89895002</v>
      </c>
      <c r="D6879" t="str">
        <f t="shared" si="1508"/>
        <v>809</v>
      </c>
      <c r="E6879" t="str">
        <f t="shared" si="1509"/>
        <v>89301212</v>
      </c>
      <c r="F6879" t="str">
        <f>"525606072"</f>
        <v>525606072</v>
      </c>
      <c r="G6879" s="1">
        <v>44764</v>
      </c>
      <c r="H6879" t="str">
        <f>"89513"</f>
        <v>89513</v>
      </c>
      <c r="I6879">
        <v>1</v>
      </c>
      <c r="J6879">
        <v>371</v>
      </c>
      <c r="K6879">
        <v>0</v>
      </c>
      <c r="L6879">
        <v>519.4</v>
      </c>
    </row>
    <row r="6880" spans="1:12" x14ac:dyDescent="0.25">
      <c r="A6880" t="str">
        <f t="shared" si="1507"/>
        <v>89301000</v>
      </c>
      <c r="B6880" t="str">
        <f t="shared" si="1510"/>
        <v>89895000</v>
      </c>
      <c r="C6880" t="str">
        <f t="shared" si="1511"/>
        <v>89895002</v>
      </c>
      <c r="D6880" t="str">
        <f t="shared" si="1508"/>
        <v>809</v>
      </c>
      <c r="E6880" t="str">
        <f t="shared" si="1509"/>
        <v>89301212</v>
      </c>
      <c r="F6880" t="str">
        <f>"525606072"</f>
        <v>525606072</v>
      </c>
      <c r="G6880" s="1">
        <v>44764</v>
      </c>
      <c r="H6880" t="str">
        <f>"89514"</f>
        <v>89514</v>
      </c>
      <c r="I6880">
        <v>1</v>
      </c>
      <c r="J6880">
        <v>371</v>
      </c>
      <c r="K6880">
        <v>0</v>
      </c>
      <c r="L6880">
        <v>519.4</v>
      </c>
    </row>
    <row r="6881" spans="1:12" x14ac:dyDescent="0.25">
      <c r="A6881" t="str">
        <f t="shared" si="1507"/>
        <v>89301000</v>
      </c>
      <c r="B6881" t="str">
        <f t="shared" si="1510"/>
        <v>89895000</v>
      </c>
      <c r="C6881" t="str">
        <f t="shared" si="1511"/>
        <v>89895002</v>
      </c>
      <c r="D6881" t="str">
        <f t="shared" si="1508"/>
        <v>809</v>
      </c>
      <c r="E6881" t="str">
        <f t="shared" si="1509"/>
        <v>89301212</v>
      </c>
      <c r="F6881" t="str">
        <f>"525606072"</f>
        <v>525606072</v>
      </c>
      <c r="G6881" s="1">
        <v>44764</v>
      </c>
      <c r="H6881" t="str">
        <f>"89512"</f>
        <v>89512</v>
      </c>
      <c r="I6881">
        <v>1</v>
      </c>
      <c r="J6881">
        <v>277</v>
      </c>
      <c r="K6881">
        <v>0</v>
      </c>
      <c r="L6881">
        <v>387.8</v>
      </c>
    </row>
    <row r="6882" spans="1:12" x14ac:dyDescent="0.25">
      <c r="A6882" t="str">
        <f t="shared" si="1507"/>
        <v>89301000</v>
      </c>
      <c r="B6882" t="str">
        <f t="shared" si="1510"/>
        <v>89895000</v>
      </c>
      <c r="C6882" t="str">
        <f t="shared" si="1511"/>
        <v>89895002</v>
      </c>
      <c r="D6882" t="str">
        <f t="shared" si="1508"/>
        <v>809</v>
      </c>
      <c r="E6882" t="str">
        <f t="shared" si="1509"/>
        <v>89301212</v>
      </c>
      <c r="F6882" t="str">
        <f>"6154210524"</f>
        <v>6154210524</v>
      </c>
      <c r="G6882" s="1">
        <v>44754</v>
      </c>
      <c r="H6882" t="str">
        <f>"89180"</f>
        <v>89180</v>
      </c>
      <c r="I6882">
        <v>2</v>
      </c>
      <c r="J6882">
        <v>752</v>
      </c>
      <c r="K6882">
        <v>0</v>
      </c>
      <c r="L6882">
        <v>1052.8</v>
      </c>
    </row>
    <row r="6883" spans="1:12" x14ac:dyDescent="0.25">
      <c r="A6883" t="str">
        <f t="shared" si="1507"/>
        <v>89301000</v>
      </c>
      <c r="B6883" t="str">
        <f t="shared" si="1510"/>
        <v>89895000</v>
      </c>
      <c r="C6883" t="str">
        <f t="shared" si="1511"/>
        <v>89895002</v>
      </c>
      <c r="D6883" t="str">
        <f t="shared" si="1508"/>
        <v>809</v>
      </c>
      <c r="E6883" t="str">
        <f t="shared" si="1509"/>
        <v>89301212</v>
      </c>
      <c r="F6883" t="str">
        <f>"6154210524"</f>
        <v>6154210524</v>
      </c>
      <c r="G6883" s="1">
        <v>44754</v>
      </c>
      <c r="H6883" t="str">
        <f>"89512"</f>
        <v>89512</v>
      </c>
      <c r="I6883">
        <v>1</v>
      </c>
      <c r="J6883">
        <v>277</v>
      </c>
      <c r="K6883">
        <v>0</v>
      </c>
      <c r="L6883">
        <v>387.8</v>
      </c>
    </row>
    <row r="6884" spans="1:12" x14ac:dyDescent="0.25">
      <c r="A6884" t="str">
        <f t="shared" si="1507"/>
        <v>89301000</v>
      </c>
      <c r="B6884" t="str">
        <f t="shared" si="1510"/>
        <v>89895000</v>
      </c>
      <c r="C6884" t="str">
        <f t="shared" si="1511"/>
        <v>89895002</v>
      </c>
      <c r="D6884" t="str">
        <f t="shared" si="1508"/>
        <v>809</v>
      </c>
      <c r="E6884" t="str">
        <f t="shared" si="1509"/>
        <v>89301212</v>
      </c>
      <c r="F6884" t="str">
        <f>"6659111371"</f>
        <v>6659111371</v>
      </c>
      <c r="G6884" s="1">
        <v>44746</v>
      </c>
      <c r="H6884" t="str">
        <f>"89180"</f>
        <v>89180</v>
      </c>
      <c r="I6884">
        <v>2</v>
      </c>
      <c r="J6884">
        <v>752</v>
      </c>
      <c r="K6884">
        <v>0</v>
      </c>
      <c r="L6884">
        <v>1052.8</v>
      </c>
    </row>
    <row r="6885" spans="1:12" x14ac:dyDescent="0.25">
      <c r="A6885" t="str">
        <f t="shared" si="1507"/>
        <v>89301000</v>
      </c>
      <c r="B6885" t="str">
        <f t="shared" si="1510"/>
        <v>89895000</v>
      </c>
      <c r="C6885" t="str">
        <f t="shared" si="1511"/>
        <v>89895002</v>
      </c>
      <c r="D6885" t="str">
        <f t="shared" si="1508"/>
        <v>809</v>
      </c>
      <c r="E6885" t="str">
        <f t="shared" si="1509"/>
        <v>89301212</v>
      </c>
      <c r="F6885" t="str">
        <f>"6659111371"</f>
        <v>6659111371</v>
      </c>
      <c r="G6885" s="1">
        <v>44746</v>
      </c>
      <c r="H6885" t="str">
        <f>"89513"</f>
        <v>89513</v>
      </c>
      <c r="I6885">
        <v>1</v>
      </c>
      <c r="J6885">
        <v>371</v>
      </c>
      <c r="K6885">
        <v>0</v>
      </c>
      <c r="L6885">
        <v>519.4</v>
      </c>
    </row>
    <row r="6886" spans="1:12" x14ac:dyDescent="0.25">
      <c r="A6886" t="str">
        <f t="shared" si="1507"/>
        <v>89301000</v>
      </c>
      <c r="B6886" t="str">
        <f t="shared" si="1510"/>
        <v>89895000</v>
      </c>
      <c r="C6886" t="str">
        <f t="shared" si="1511"/>
        <v>89895002</v>
      </c>
      <c r="D6886" t="str">
        <f t="shared" si="1508"/>
        <v>809</v>
      </c>
      <c r="E6886" t="str">
        <f t="shared" si="1509"/>
        <v>89301212</v>
      </c>
      <c r="F6886" t="str">
        <f>"6659111371"</f>
        <v>6659111371</v>
      </c>
      <c r="G6886" s="1">
        <v>44746</v>
      </c>
      <c r="H6886" t="str">
        <f>"89512"</f>
        <v>89512</v>
      </c>
      <c r="I6886">
        <v>1</v>
      </c>
      <c r="J6886">
        <v>277</v>
      </c>
      <c r="K6886">
        <v>0</v>
      </c>
      <c r="L6886">
        <v>387.8</v>
      </c>
    </row>
    <row r="6887" spans="1:12" x14ac:dyDescent="0.25">
      <c r="A6887" t="str">
        <f t="shared" si="1507"/>
        <v>89301000</v>
      </c>
      <c r="B6887" t="str">
        <f t="shared" si="1510"/>
        <v>89895000</v>
      </c>
      <c r="C6887" t="str">
        <f t="shared" si="1511"/>
        <v>89895002</v>
      </c>
      <c r="D6887" t="str">
        <f t="shared" si="1508"/>
        <v>809</v>
      </c>
      <c r="E6887" t="str">
        <f t="shared" si="1509"/>
        <v>89301212</v>
      </c>
      <c r="F6887" t="str">
        <f>"6659111371"</f>
        <v>6659111371</v>
      </c>
      <c r="G6887" s="1">
        <v>44746</v>
      </c>
      <c r="H6887" t="str">
        <f>"89514"</f>
        <v>89514</v>
      </c>
      <c r="I6887">
        <v>1</v>
      </c>
      <c r="J6887">
        <v>371</v>
      </c>
      <c r="K6887">
        <v>0</v>
      </c>
      <c r="L6887">
        <v>519.4</v>
      </c>
    </row>
    <row r="6888" spans="1:12" x14ac:dyDescent="0.25">
      <c r="A6888" t="str">
        <f t="shared" si="1507"/>
        <v>89301000</v>
      </c>
      <c r="B6888" t="str">
        <f t="shared" si="1510"/>
        <v>89895000</v>
      </c>
      <c r="C6888" t="str">
        <f t="shared" si="1511"/>
        <v>89895002</v>
      </c>
      <c r="D6888" t="str">
        <f t="shared" si="1508"/>
        <v>809</v>
      </c>
      <c r="E6888" t="str">
        <f t="shared" si="1509"/>
        <v>89301212</v>
      </c>
      <c r="F6888" t="str">
        <f>"6659111371"</f>
        <v>6659111371</v>
      </c>
      <c r="G6888" s="1">
        <v>44746</v>
      </c>
      <c r="H6888" t="str">
        <f>"09511"</f>
        <v>09511</v>
      </c>
      <c r="I6888">
        <v>1</v>
      </c>
      <c r="J6888">
        <v>43</v>
      </c>
      <c r="K6888">
        <v>0</v>
      </c>
      <c r="L6888">
        <v>60.2</v>
      </c>
    </row>
    <row r="6889" spans="1:12" x14ac:dyDescent="0.25">
      <c r="A6889" t="str">
        <f t="shared" si="1507"/>
        <v>89301000</v>
      </c>
      <c r="B6889" t="str">
        <f t="shared" si="1510"/>
        <v>89895000</v>
      </c>
      <c r="C6889" t="str">
        <f t="shared" si="1511"/>
        <v>89895002</v>
      </c>
      <c r="D6889" t="str">
        <f t="shared" si="1508"/>
        <v>809</v>
      </c>
      <c r="E6889" t="str">
        <f t="shared" si="1509"/>
        <v>89301212</v>
      </c>
      <c r="F6889" t="str">
        <f>"7553055708"</f>
        <v>7553055708</v>
      </c>
      <c r="G6889" s="1">
        <v>44764</v>
      </c>
      <c r="H6889" t="str">
        <f>"89513"</f>
        <v>89513</v>
      </c>
      <c r="I6889">
        <v>1</v>
      </c>
      <c r="J6889">
        <v>371</v>
      </c>
      <c r="K6889">
        <v>0</v>
      </c>
      <c r="L6889">
        <v>519.4</v>
      </c>
    </row>
    <row r="6890" spans="1:12" x14ac:dyDescent="0.25">
      <c r="A6890" t="str">
        <f t="shared" si="1507"/>
        <v>89301000</v>
      </c>
      <c r="B6890" t="str">
        <f t="shared" si="1510"/>
        <v>89895000</v>
      </c>
      <c r="C6890" t="str">
        <f t="shared" si="1511"/>
        <v>89895002</v>
      </c>
      <c r="D6890" t="str">
        <f t="shared" si="1508"/>
        <v>809</v>
      </c>
      <c r="E6890" t="str">
        <f t="shared" si="1509"/>
        <v>89301212</v>
      </c>
      <c r="F6890" t="str">
        <f>"7553055708"</f>
        <v>7553055708</v>
      </c>
      <c r="G6890" s="1">
        <v>44764</v>
      </c>
      <c r="H6890" t="str">
        <f>"89514"</f>
        <v>89514</v>
      </c>
      <c r="I6890">
        <v>1</v>
      </c>
      <c r="J6890">
        <v>371</v>
      </c>
      <c r="K6890">
        <v>0</v>
      </c>
      <c r="L6890">
        <v>519.4</v>
      </c>
    </row>
    <row r="6891" spans="1:12" x14ac:dyDescent="0.25">
      <c r="A6891" t="str">
        <f t="shared" si="1507"/>
        <v>89301000</v>
      </c>
      <c r="B6891" t="str">
        <f t="shared" si="1510"/>
        <v>89895000</v>
      </c>
      <c r="C6891" t="str">
        <f t="shared" si="1511"/>
        <v>89895002</v>
      </c>
      <c r="D6891" t="str">
        <f t="shared" si="1508"/>
        <v>809</v>
      </c>
      <c r="E6891" t="str">
        <f t="shared" si="1509"/>
        <v>89301212</v>
      </c>
      <c r="F6891" t="str">
        <f>"7553055708"</f>
        <v>7553055708</v>
      </c>
      <c r="G6891" s="1">
        <v>44764</v>
      </c>
      <c r="H6891" t="str">
        <f>"09135"</f>
        <v>09135</v>
      </c>
      <c r="I6891">
        <v>1</v>
      </c>
      <c r="J6891">
        <v>174</v>
      </c>
      <c r="K6891">
        <v>0</v>
      </c>
      <c r="L6891">
        <v>243.6</v>
      </c>
    </row>
    <row r="6892" spans="1:12" x14ac:dyDescent="0.25">
      <c r="A6892" t="str">
        <f t="shared" si="1507"/>
        <v>89301000</v>
      </c>
      <c r="B6892" t="str">
        <f t="shared" ref="B6892:B6915" si="1512">"78915000"</f>
        <v>78915000</v>
      </c>
      <c r="C6892" t="str">
        <f t="shared" ref="C6892:C6915" si="1513">"78915001"</f>
        <v>78915001</v>
      </c>
      <c r="D6892" t="str">
        <f t="shared" si="1508"/>
        <v>809</v>
      </c>
      <c r="E6892" t="str">
        <f>"89301061"</f>
        <v>89301061</v>
      </c>
      <c r="F6892" t="str">
        <f>"405402451"</f>
        <v>405402451</v>
      </c>
      <c r="G6892" s="1">
        <v>44763</v>
      </c>
      <c r="H6892" t="str">
        <f>"89713"</f>
        <v>89713</v>
      </c>
      <c r="I6892">
        <v>1</v>
      </c>
      <c r="J6892">
        <v>5362</v>
      </c>
      <c r="K6892">
        <v>0</v>
      </c>
      <c r="L6892">
        <v>3217.2</v>
      </c>
    </row>
    <row r="6893" spans="1:12" x14ac:dyDescent="0.25">
      <c r="A6893" t="str">
        <f t="shared" si="1507"/>
        <v>89301000</v>
      </c>
      <c r="B6893" t="str">
        <f t="shared" si="1512"/>
        <v>78915000</v>
      </c>
      <c r="C6893" t="str">
        <f t="shared" si="1513"/>
        <v>78915001</v>
      </c>
      <c r="D6893" t="str">
        <f t="shared" si="1508"/>
        <v>809</v>
      </c>
      <c r="E6893" t="str">
        <f>"89301172"</f>
        <v>89301172</v>
      </c>
      <c r="F6893" t="str">
        <f>"505531105"</f>
        <v>505531105</v>
      </c>
      <c r="G6893" s="1">
        <v>44764</v>
      </c>
      <c r="H6893" t="str">
        <f>"89713"</f>
        <v>89713</v>
      </c>
      <c r="I6893">
        <v>1</v>
      </c>
      <c r="J6893">
        <v>5362</v>
      </c>
      <c r="K6893">
        <v>0</v>
      </c>
      <c r="L6893">
        <v>3217.2</v>
      </c>
    </row>
    <row r="6894" spans="1:12" x14ac:dyDescent="0.25">
      <c r="A6894" t="str">
        <f t="shared" si="1507"/>
        <v>89301000</v>
      </c>
      <c r="B6894" t="str">
        <f t="shared" si="1512"/>
        <v>78915000</v>
      </c>
      <c r="C6894" t="str">
        <f t="shared" si="1513"/>
        <v>78915001</v>
      </c>
      <c r="D6894" t="str">
        <f t="shared" si="1508"/>
        <v>809</v>
      </c>
      <c r="E6894" t="str">
        <f>"89301172"</f>
        <v>89301172</v>
      </c>
      <c r="F6894" t="str">
        <f>"505531105"</f>
        <v>505531105</v>
      </c>
      <c r="G6894" s="1">
        <v>44764</v>
      </c>
      <c r="H6894" t="str">
        <f>"89725"</f>
        <v>89725</v>
      </c>
      <c r="I6894">
        <v>1</v>
      </c>
      <c r="J6894">
        <v>2839</v>
      </c>
      <c r="K6894">
        <v>0</v>
      </c>
      <c r="L6894">
        <v>1703.4</v>
      </c>
    </row>
    <row r="6895" spans="1:12" x14ac:dyDescent="0.25">
      <c r="A6895" t="str">
        <f t="shared" si="1507"/>
        <v>89301000</v>
      </c>
      <c r="B6895" t="str">
        <f t="shared" si="1512"/>
        <v>78915000</v>
      </c>
      <c r="C6895" t="str">
        <f t="shared" si="1513"/>
        <v>78915001</v>
      </c>
      <c r="D6895" t="str">
        <f t="shared" ref="D6895:D6926" si="1514">"809"</f>
        <v>809</v>
      </c>
      <c r="E6895" t="str">
        <f>"89301062"</f>
        <v>89301062</v>
      </c>
      <c r="F6895" t="str">
        <f>"520520270"</f>
        <v>520520270</v>
      </c>
      <c r="G6895" s="1">
        <v>44743</v>
      </c>
      <c r="H6895" t="str">
        <f>"89713"</f>
        <v>89713</v>
      </c>
      <c r="I6895">
        <v>1</v>
      </c>
      <c r="J6895">
        <v>5362</v>
      </c>
      <c r="K6895">
        <v>0</v>
      </c>
      <c r="L6895">
        <v>3217.2</v>
      </c>
    </row>
    <row r="6896" spans="1:12" x14ac:dyDescent="0.25">
      <c r="A6896" t="str">
        <f t="shared" si="1507"/>
        <v>89301000</v>
      </c>
      <c r="B6896" t="str">
        <f t="shared" si="1512"/>
        <v>78915000</v>
      </c>
      <c r="C6896" t="str">
        <f t="shared" si="1513"/>
        <v>78915001</v>
      </c>
      <c r="D6896" t="str">
        <f t="shared" si="1514"/>
        <v>809</v>
      </c>
      <c r="E6896" t="str">
        <f>"89301132"</f>
        <v>89301132</v>
      </c>
      <c r="F6896" t="str">
        <f>"6109301385"</f>
        <v>6109301385</v>
      </c>
      <c r="G6896" s="1">
        <v>44768</v>
      </c>
      <c r="H6896" t="str">
        <f>"89713"</f>
        <v>89713</v>
      </c>
      <c r="I6896">
        <v>1</v>
      </c>
      <c r="J6896">
        <v>5362</v>
      </c>
      <c r="K6896">
        <v>0</v>
      </c>
      <c r="L6896">
        <v>3217.2</v>
      </c>
    </row>
    <row r="6897" spans="1:12" x14ac:dyDescent="0.25">
      <c r="A6897" t="str">
        <f t="shared" si="1507"/>
        <v>89301000</v>
      </c>
      <c r="B6897" t="str">
        <f t="shared" si="1512"/>
        <v>78915000</v>
      </c>
      <c r="C6897" t="str">
        <f t="shared" si="1513"/>
        <v>78915001</v>
      </c>
      <c r="D6897" t="str">
        <f t="shared" si="1514"/>
        <v>809</v>
      </c>
      <c r="E6897" t="str">
        <f>"89301132"</f>
        <v>89301132</v>
      </c>
      <c r="F6897" t="str">
        <f>"6109301385"</f>
        <v>6109301385</v>
      </c>
      <c r="G6897" s="1">
        <v>44768</v>
      </c>
      <c r="H6897" t="str">
        <f>"89725"</f>
        <v>89725</v>
      </c>
      <c r="I6897">
        <v>1</v>
      </c>
      <c r="J6897">
        <v>2839</v>
      </c>
      <c r="K6897">
        <v>0</v>
      </c>
      <c r="L6897">
        <v>1703.4</v>
      </c>
    </row>
    <row r="6898" spans="1:12" x14ac:dyDescent="0.25">
      <c r="A6898" t="str">
        <f t="shared" si="1507"/>
        <v>89301000</v>
      </c>
      <c r="B6898" t="str">
        <f t="shared" si="1512"/>
        <v>78915000</v>
      </c>
      <c r="C6898" t="str">
        <f t="shared" si="1513"/>
        <v>78915001</v>
      </c>
      <c r="D6898" t="str">
        <f t="shared" si="1514"/>
        <v>809</v>
      </c>
      <c r="E6898" t="str">
        <f>"89301132"</f>
        <v>89301132</v>
      </c>
      <c r="F6898" t="str">
        <f>"6109301385"</f>
        <v>6109301385</v>
      </c>
      <c r="G6898" s="1">
        <v>44768</v>
      </c>
      <c r="H6898" t="str">
        <f>"0207733"</f>
        <v>0207733</v>
      </c>
      <c r="I6898">
        <v>1.1299999999999999</v>
      </c>
      <c r="K6898">
        <v>2927.3</v>
      </c>
      <c r="L6898">
        <v>2927.3</v>
      </c>
    </row>
    <row r="6899" spans="1:12" x14ac:dyDescent="0.25">
      <c r="A6899" t="str">
        <f t="shared" si="1507"/>
        <v>89301000</v>
      </c>
      <c r="B6899" t="str">
        <f t="shared" si="1512"/>
        <v>78915000</v>
      </c>
      <c r="C6899" t="str">
        <f t="shared" si="1513"/>
        <v>78915001</v>
      </c>
      <c r="D6899" t="str">
        <f t="shared" si="1514"/>
        <v>809</v>
      </c>
      <c r="E6899" t="str">
        <f>"89301112"</f>
        <v>89301112</v>
      </c>
      <c r="F6899" t="str">
        <f>"6305051588"</f>
        <v>6305051588</v>
      </c>
      <c r="G6899" s="1">
        <v>44768</v>
      </c>
      <c r="H6899" t="str">
        <f>"09569"</f>
        <v>09569</v>
      </c>
      <c r="I6899">
        <v>1</v>
      </c>
      <c r="J6899">
        <v>0</v>
      </c>
      <c r="K6899">
        <v>0</v>
      </c>
      <c r="L6899">
        <v>0</v>
      </c>
    </row>
    <row r="6900" spans="1:12" x14ac:dyDescent="0.25">
      <c r="A6900" t="str">
        <f t="shared" si="1507"/>
        <v>89301000</v>
      </c>
      <c r="B6900" t="str">
        <f t="shared" si="1512"/>
        <v>78915000</v>
      </c>
      <c r="C6900" t="str">
        <f t="shared" si="1513"/>
        <v>78915001</v>
      </c>
      <c r="D6900" t="str">
        <f t="shared" si="1514"/>
        <v>809</v>
      </c>
      <c r="E6900" t="str">
        <f>"89301112"</f>
        <v>89301112</v>
      </c>
      <c r="F6900" t="str">
        <f>"6305051588"</f>
        <v>6305051588</v>
      </c>
      <c r="G6900" s="1">
        <v>44768</v>
      </c>
      <c r="H6900" t="str">
        <f>"89713"</f>
        <v>89713</v>
      </c>
      <c r="I6900">
        <v>1</v>
      </c>
      <c r="J6900">
        <v>5362</v>
      </c>
      <c r="K6900">
        <v>0</v>
      </c>
      <c r="L6900">
        <v>3217.2</v>
      </c>
    </row>
    <row r="6901" spans="1:12" x14ac:dyDescent="0.25">
      <c r="A6901" t="str">
        <f t="shared" si="1507"/>
        <v>89301000</v>
      </c>
      <c r="B6901" t="str">
        <f t="shared" si="1512"/>
        <v>78915000</v>
      </c>
      <c r="C6901" t="str">
        <f t="shared" si="1513"/>
        <v>78915001</v>
      </c>
      <c r="D6901" t="str">
        <f t="shared" si="1514"/>
        <v>809</v>
      </c>
      <c r="E6901" t="str">
        <f>"89301606"</f>
        <v>89301606</v>
      </c>
      <c r="F6901" t="str">
        <f>"6560301429"</f>
        <v>6560301429</v>
      </c>
      <c r="G6901" s="1">
        <v>44762</v>
      </c>
      <c r="H6901" t="str">
        <f>"89713"</f>
        <v>89713</v>
      </c>
      <c r="I6901">
        <v>1</v>
      </c>
      <c r="J6901">
        <v>5362</v>
      </c>
      <c r="K6901">
        <v>0</v>
      </c>
      <c r="L6901">
        <v>3217.2</v>
      </c>
    </row>
    <row r="6902" spans="1:12" x14ac:dyDescent="0.25">
      <c r="A6902" t="str">
        <f t="shared" si="1507"/>
        <v>89301000</v>
      </c>
      <c r="B6902" t="str">
        <f t="shared" si="1512"/>
        <v>78915000</v>
      </c>
      <c r="C6902" t="str">
        <f t="shared" si="1513"/>
        <v>78915001</v>
      </c>
      <c r="D6902" t="str">
        <f t="shared" si="1514"/>
        <v>809</v>
      </c>
      <c r="E6902" t="str">
        <f>"89301606"</f>
        <v>89301606</v>
      </c>
      <c r="F6902" t="str">
        <f>"6560301429"</f>
        <v>6560301429</v>
      </c>
      <c r="G6902" s="1">
        <v>44762</v>
      </c>
      <c r="H6902" t="str">
        <f>"89725"</f>
        <v>89725</v>
      </c>
      <c r="I6902">
        <v>1</v>
      </c>
      <c r="J6902">
        <v>2839</v>
      </c>
      <c r="K6902">
        <v>0</v>
      </c>
      <c r="L6902">
        <v>1703.4</v>
      </c>
    </row>
    <row r="6903" spans="1:12" x14ac:dyDescent="0.25">
      <c r="A6903" t="str">
        <f t="shared" si="1507"/>
        <v>89301000</v>
      </c>
      <c r="B6903" t="str">
        <f t="shared" si="1512"/>
        <v>78915000</v>
      </c>
      <c r="C6903" t="str">
        <f t="shared" si="1513"/>
        <v>78915001</v>
      </c>
      <c r="D6903" t="str">
        <f t="shared" si="1514"/>
        <v>809</v>
      </c>
      <c r="E6903" t="str">
        <f>"89301606"</f>
        <v>89301606</v>
      </c>
      <c r="F6903" t="str">
        <f>"7202255346"</f>
        <v>7202255346</v>
      </c>
      <c r="G6903" s="1">
        <v>44768</v>
      </c>
      <c r="H6903" t="str">
        <f>"89713"</f>
        <v>89713</v>
      </c>
      <c r="I6903">
        <v>1</v>
      </c>
      <c r="J6903">
        <v>5362</v>
      </c>
      <c r="K6903">
        <v>0</v>
      </c>
      <c r="L6903">
        <v>3217.2</v>
      </c>
    </row>
    <row r="6904" spans="1:12" x14ac:dyDescent="0.25">
      <c r="A6904" t="str">
        <f t="shared" si="1507"/>
        <v>89301000</v>
      </c>
      <c r="B6904" t="str">
        <f t="shared" si="1512"/>
        <v>78915000</v>
      </c>
      <c r="C6904" t="str">
        <f t="shared" si="1513"/>
        <v>78915001</v>
      </c>
      <c r="D6904" t="str">
        <f t="shared" si="1514"/>
        <v>809</v>
      </c>
      <c r="E6904" t="str">
        <f>"89301606"</f>
        <v>89301606</v>
      </c>
      <c r="F6904" t="str">
        <f>"7202255346"</f>
        <v>7202255346</v>
      </c>
      <c r="G6904" s="1">
        <v>44768</v>
      </c>
      <c r="H6904" t="str">
        <f>"89725"</f>
        <v>89725</v>
      </c>
      <c r="I6904">
        <v>1</v>
      </c>
      <c r="J6904">
        <v>2839</v>
      </c>
      <c r="K6904">
        <v>0</v>
      </c>
      <c r="L6904">
        <v>1703.4</v>
      </c>
    </row>
    <row r="6905" spans="1:12" x14ac:dyDescent="0.25">
      <c r="A6905" t="str">
        <f t="shared" si="1507"/>
        <v>89301000</v>
      </c>
      <c r="B6905" t="str">
        <f t="shared" si="1512"/>
        <v>78915000</v>
      </c>
      <c r="C6905" t="str">
        <f t="shared" si="1513"/>
        <v>78915001</v>
      </c>
      <c r="D6905" t="str">
        <f t="shared" si="1514"/>
        <v>809</v>
      </c>
      <c r="E6905" t="str">
        <f>"89301062"</f>
        <v>89301062</v>
      </c>
      <c r="F6905" t="str">
        <f>"7207275339"</f>
        <v>7207275339</v>
      </c>
      <c r="G6905" s="1">
        <v>44757</v>
      </c>
      <c r="H6905" t="str">
        <f>"89713"</f>
        <v>89713</v>
      </c>
      <c r="I6905">
        <v>2</v>
      </c>
      <c r="J6905">
        <v>10724</v>
      </c>
      <c r="K6905">
        <v>0</v>
      </c>
      <c r="L6905">
        <v>6434.4</v>
      </c>
    </row>
    <row r="6906" spans="1:12" x14ac:dyDescent="0.25">
      <c r="A6906" t="str">
        <f t="shared" si="1507"/>
        <v>89301000</v>
      </c>
      <c r="B6906" t="str">
        <f t="shared" si="1512"/>
        <v>78915000</v>
      </c>
      <c r="C6906" t="str">
        <f t="shared" si="1513"/>
        <v>78915001</v>
      </c>
      <c r="D6906" t="str">
        <f t="shared" si="1514"/>
        <v>809</v>
      </c>
      <c r="E6906" t="str">
        <f>"89301062"</f>
        <v>89301062</v>
      </c>
      <c r="F6906" t="str">
        <f>"7207275339"</f>
        <v>7207275339</v>
      </c>
      <c r="G6906" s="1">
        <v>44757</v>
      </c>
      <c r="H6906" t="str">
        <f>"89725"</f>
        <v>89725</v>
      </c>
      <c r="I6906">
        <v>1</v>
      </c>
      <c r="J6906">
        <v>2839</v>
      </c>
      <c r="K6906">
        <v>0</v>
      </c>
      <c r="L6906">
        <v>1703.4</v>
      </c>
    </row>
    <row r="6907" spans="1:12" x14ac:dyDescent="0.25">
      <c r="A6907" t="str">
        <f t="shared" si="1507"/>
        <v>89301000</v>
      </c>
      <c r="B6907" t="str">
        <f t="shared" si="1512"/>
        <v>78915000</v>
      </c>
      <c r="C6907" t="str">
        <f t="shared" si="1513"/>
        <v>78915001</v>
      </c>
      <c r="D6907" t="str">
        <f t="shared" si="1514"/>
        <v>809</v>
      </c>
      <c r="E6907" t="str">
        <f>"89301045"</f>
        <v>89301045</v>
      </c>
      <c r="F6907" t="str">
        <f>"7258145323"</f>
        <v>7258145323</v>
      </c>
      <c r="G6907" s="1">
        <v>44762</v>
      </c>
      <c r="H6907" t="str">
        <f>"89715"</f>
        <v>89715</v>
      </c>
      <c r="I6907">
        <v>1</v>
      </c>
      <c r="J6907">
        <v>5474</v>
      </c>
      <c r="K6907">
        <v>0</v>
      </c>
      <c r="L6907">
        <v>3284.4</v>
      </c>
    </row>
    <row r="6908" spans="1:12" x14ac:dyDescent="0.25">
      <c r="A6908" t="str">
        <f t="shared" si="1507"/>
        <v>89301000</v>
      </c>
      <c r="B6908" t="str">
        <f t="shared" si="1512"/>
        <v>78915000</v>
      </c>
      <c r="C6908" t="str">
        <f t="shared" si="1513"/>
        <v>78915001</v>
      </c>
      <c r="D6908" t="str">
        <f t="shared" si="1514"/>
        <v>809</v>
      </c>
      <c r="E6908" t="str">
        <f>"89301022"</f>
        <v>89301022</v>
      </c>
      <c r="F6908" t="str">
        <f>"7453294475"</f>
        <v>7453294475</v>
      </c>
      <c r="G6908" s="1">
        <v>44761</v>
      </c>
      <c r="H6908" t="str">
        <f>"89715"</f>
        <v>89715</v>
      </c>
      <c r="I6908">
        <v>1</v>
      </c>
      <c r="J6908">
        <v>5474</v>
      </c>
      <c r="K6908">
        <v>0</v>
      </c>
      <c r="L6908">
        <v>3284.4</v>
      </c>
    </row>
    <row r="6909" spans="1:12" x14ac:dyDescent="0.25">
      <c r="A6909" t="str">
        <f t="shared" si="1507"/>
        <v>89301000</v>
      </c>
      <c r="B6909" t="str">
        <f t="shared" si="1512"/>
        <v>78915000</v>
      </c>
      <c r="C6909" t="str">
        <f t="shared" si="1513"/>
        <v>78915001</v>
      </c>
      <c r="D6909" t="str">
        <f t="shared" si="1514"/>
        <v>809</v>
      </c>
      <c r="E6909" t="str">
        <f>"89301172"</f>
        <v>89301172</v>
      </c>
      <c r="F6909" t="str">
        <f>"7657244518"</f>
        <v>7657244518</v>
      </c>
      <c r="G6909" s="1">
        <v>44769</v>
      </c>
      <c r="H6909" t="str">
        <f>"89713"</f>
        <v>89713</v>
      </c>
      <c r="I6909">
        <v>2</v>
      </c>
      <c r="J6909">
        <v>10724</v>
      </c>
      <c r="K6909">
        <v>0</v>
      </c>
      <c r="L6909">
        <v>6434.4</v>
      </c>
    </row>
    <row r="6910" spans="1:12" x14ac:dyDescent="0.25">
      <c r="A6910" t="str">
        <f t="shared" si="1507"/>
        <v>89301000</v>
      </c>
      <c r="B6910" t="str">
        <f t="shared" si="1512"/>
        <v>78915000</v>
      </c>
      <c r="C6910" t="str">
        <f t="shared" si="1513"/>
        <v>78915001</v>
      </c>
      <c r="D6910" t="str">
        <f t="shared" si="1514"/>
        <v>809</v>
      </c>
      <c r="E6910" t="str">
        <f>"89301112"</f>
        <v>89301112</v>
      </c>
      <c r="F6910" t="str">
        <f>"8156164456"</f>
        <v>8156164456</v>
      </c>
      <c r="G6910" s="1">
        <v>44754</v>
      </c>
      <c r="H6910" t="str">
        <f>"89713"</f>
        <v>89713</v>
      </c>
      <c r="I6910">
        <v>1</v>
      </c>
      <c r="J6910">
        <v>5362</v>
      </c>
      <c r="K6910">
        <v>0</v>
      </c>
      <c r="L6910">
        <v>3217.2</v>
      </c>
    </row>
    <row r="6911" spans="1:12" x14ac:dyDescent="0.25">
      <c r="A6911" t="str">
        <f t="shared" si="1507"/>
        <v>89301000</v>
      </c>
      <c r="B6911" t="str">
        <f t="shared" si="1512"/>
        <v>78915000</v>
      </c>
      <c r="C6911" t="str">
        <f t="shared" si="1513"/>
        <v>78915001</v>
      </c>
      <c r="D6911" t="str">
        <f t="shared" si="1514"/>
        <v>809</v>
      </c>
      <c r="E6911" t="str">
        <f>"89301112"</f>
        <v>89301112</v>
      </c>
      <c r="F6911" t="str">
        <f>"8156164456"</f>
        <v>8156164456</v>
      </c>
      <c r="G6911" s="1">
        <v>44754</v>
      </c>
      <c r="H6911" t="str">
        <f>"89725"</f>
        <v>89725</v>
      </c>
      <c r="I6911">
        <v>1</v>
      </c>
      <c r="J6911">
        <v>2839</v>
      </c>
      <c r="K6911">
        <v>0</v>
      </c>
      <c r="L6911">
        <v>1703.4</v>
      </c>
    </row>
    <row r="6912" spans="1:12" x14ac:dyDescent="0.25">
      <c r="A6912" t="str">
        <f t="shared" si="1507"/>
        <v>89301000</v>
      </c>
      <c r="B6912" t="str">
        <f t="shared" si="1512"/>
        <v>78915000</v>
      </c>
      <c r="C6912" t="str">
        <f t="shared" si="1513"/>
        <v>78915001</v>
      </c>
      <c r="D6912" t="str">
        <f t="shared" si="1514"/>
        <v>809</v>
      </c>
      <c r="E6912" t="str">
        <f>"89301112"</f>
        <v>89301112</v>
      </c>
      <c r="F6912" t="str">
        <f>"9003055787"</f>
        <v>9003055787</v>
      </c>
      <c r="G6912" s="1">
        <v>44751</v>
      </c>
      <c r="H6912" t="str">
        <f>"09567"</f>
        <v>09567</v>
      </c>
      <c r="I6912">
        <v>1</v>
      </c>
      <c r="J6912">
        <v>0</v>
      </c>
      <c r="K6912">
        <v>0</v>
      </c>
      <c r="L6912">
        <v>0</v>
      </c>
    </row>
    <row r="6913" spans="1:12" x14ac:dyDescent="0.25">
      <c r="A6913" t="str">
        <f t="shared" si="1507"/>
        <v>89301000</v>
      </c>
      <c r="B6913" t="str">
        <f t="shared" si="1512"/>
        <v>78915000</v>
      </c>
      <c r="C6913" t="str">
        <f t="shared" si="1513"/>
        <v>78915001</v>
      </c>
      <c r="D6913" t="str">
        <f t="shared" si="1514"/>
        <v>809</v>
      </c>
      <c r="E6913" t="str">
        <f>"89301112"</f>
        <v>89301112</v>
      </c>
      <c r="F6913" t="str">
        <f>"9003055787"</f>
        <v>9003055787</v>
      </c>
      <c r="G6913" s="1">
        <v>44751</v>
      </c>
      <c r="H6913" t="str">
        <f>"89713"</f>
        <v>89713</v>
      </c>
      <c r="I6913">
        <v>1</v>
      </c>
      <c r="J6913">
        <v>5362</v>
      </c>
      <c r="K6913">
        <v>0</v>
      </c>
      <c r="L6913">
        <v>3217.2</v>
      </c>
    </row>
    <row r="6914" spans="1:12" x14ac:dyDescent="0.25">
      <c r="A6914" t="str">
        <f t="shared" ref="A6914:A6977" si="1515">"89301000"</f>
        <v>89301000</v>
      </c>
      <c r="B6914" t="str">
        <f t="shared" si="1512"/>
        <v>78915000</v>
      </c>
      <c r="C6914" t="str">
        <f t="shared" si="1513"/>
        <v>78915001</v>
      </c>
      <c r="D6914" t="str">
        <f t="shared" si="1514"/>
        <v>809</v>
      </c>
      <c r="E6914" t="str">
        <f>"89301606"</f>
        <v>89301606</v>
      </c>
      <c r="F6914" t="str">
        <f>"9656145708"</f>
        <v>9656145708</v>
      </c>
      <c r="G6914" s="1">
        <v>44756</v>
      </c>
      <c r="H6914" t="str">
        <f>"89713"</f>
        <v>89713</v>
      </c>
      <c r="I6914">
        <v>1</v>
      </c>
      <c r="J6914">
        <v>5362</v>
      </c>
      <c r="K6914">
        <v>0</v>
      </c>
      <c r="L6914">
        <v>3217.2</v>
      </c>
    </row>
    <row r="6915" spans="1:12" x14ac:dyDescent="0.25">
      <c r="A6915" t="str">
        <f t="shared" si="1515"/>
        <v>89301000</v>
      </c>
      <c r="B6915" t="str">
        <f t="shared" si="1512"/>
        <v>78915000</v>
      </c>
      <c r="C6915" t="str">
        <f t="shared" si="1513"/>
        <v>78915001</v>
      </c>
      <c r="D6915" t="str">
        <f t="shared" si="1514"/>
        <v>809</v>
      </c>
      <c r="E6915" t="str">
        <f>"89301606"</f>
        <v>89301606</v>
      </c>
      <c r="F6915" t="str">
        <f>"9656145708"</f>
        <v>9656145708</v>
      </c>
      <c r="G6915" s="1">
        <v>44756</v>
      </c>
      <c r="H6915" t="str">
        <f>"89725"</f>
        <v>89725</v>
      </c>
      <c r="I6915">
        <v>1</v>
      </c>
      <c r="J6915">
        <v>2839</v>
      </c>
      <c r="K6915">
        <v>0</v>
      </c>
      <c r="L6915">
        <v>1703.4</v>
      </c>
    </row>
    <row r="6916" spans="1:12" x14ac:dyDescent="0.25">
      <c r="A6916" t="str">
        <f t="shared" si="1515"/>
        <v>89301000</v>
      </c>
      <c r="B6916" t="str">
        <f t="shared" ref="B6916:C6935" si="1516">"89063000"</f>
        <v>89063000</v>
      </c>
      <c r="C6916" t="str">
        <f t="shared" si="1516"/>
        <v>89063000</v>
      </c>
      <c r="D6916" t="str">
        <f t="shared" si="1514"/>
        <v>809</v>
      </c>
      <c r="E6916" t="str">
        <f>"89301037"</f>
        <v>89301037</v>
      </c>
      <c r="F6916" t="str">
        <f>"495730002"</f>
        <v>495730002</v>
      </c>
      <c r="G6916" s="1">
        <v>44743</v>
      </c>
      <c r="H6916" t="str">
        <f t="shared" ref="H6916:H6948" si="1517">"89312"</f>
        <v>89312</v>
      </c>
      <c r="I6916">
        <v>3</v>
      </c>
      <c r="J6916">
        <v>906</v>
      </c>
      <c r="K6916">
        <v>0</v>
      </c>
      <c r="L6916">
        <v>951.3</v>
      </c>
    </row>
    <row r="6917" spans="1:12" x14ac:dyDescent="0.25">
      <c r="A6917" t="str">
        <f t="shared" si="1515"/>
        <v>89301000</v>
      </c>
      <c r="B6917" t="str">
        <f t="shared" si="1516"/>
        <v>89063000</v>
      </c>
      <c r="C6917" t="str">
        <f t="shared" si="1516"/>
        <v>89063000</v>
      </c>
      <c r="D6917" t="str">
        <f t="shared" si="1514"/>
        <v>809</v>
      </c>
      <c r="E6917" t="str">
        <f>"89301037"</f>
        <v>89301037</v>
      </c>
      <c r="F6917" t="str">
        <f>"6558140622"</f>
        <v>6558140622</v>
      </c>
      <c r="G6917" s="1">
        <v>44743</v>
      </c>
      <c r="H6917" t="str">
        <f t="shared" si="1517"/>
        <v>89312</v>
      </c>
      <c r="I6917">
        <v>3</v>
      </c>
      <c r="J6917">
        <v>906</v>
      </c>
      <c r="K6917">
        <v>0</v>
      </c>
      <c r="L6917">
        <v>951.3</v>
      </c>
    </row>
    <row r="6918" spans="1:12" x14ac:dyDescent="0.25">
      <c r="A6918" t="str">
        <f t="shared" si="1515"/>
        <v>89301000</v>
      </c>
      <c r="B6918" t="str">
        <f t="shared" si="1516"/>
        <v>89063000</v>
      </c>
      <c r="C6918" t="str">
        <f t="shared" si="1516"/>
        <v>89063000</v>
      </c>
      <c r="D6918" t="str">
        <f t="shared" si="1514"/>
        <v>809</v>
      </c>
      <c r="E6918" t="str">
        <f>"89301212"</f>
        <v>89301212</v>
      </c>
      <c r="F6918" t="str">
        <f>"8751085783"</f>
        <v>8751085783</v>
      </c>
      <c r="G6918" s="1">
        <v>44746</v>
      </c>
      <c r="H6918" t="str">
        <f t="shared" si="1517"/>
        <v>89312</v>
      </c>
      <c r="I6918">
        <v>3</v>
      </c>
      <c r="J6918">
        <v>906</v>
      </c>
      <c r="K6918">
        <v>0</v>
      </c>
      <c r="L6918">
        <v>951.3</v>
      </c>
    </row>
    <row r="6919" spans="1:12" x14ac:dyDescent="0.25">
      <c r="A6919" t="str">
        <f t="shared" si="1515"/>
        <v>89301000</v>
      </c>
      <c r="B6919" t="str">
        <f t="shared" si="1516"/>
        <v>89063000</v>
      </c>
      <c r="C6919" t="str">
        <f t="shared" si="1516"/>
        <v>89063000</v>
      </c>
      <c r="D6919" t="str">
        <f t="shared" si="1514"/>
        <v>809</v>
      </c>
      <c r="E6919" t="str">
        <f>"89301102"</f>
        <v>89301102</v>
      </c>
      <c r="F6919" t="str">
        <f>"1203270167"</f>
        <v>1203270167</v>
      </c>
      <c r="G6919" s="1">
        <v>44746</v>
      </c>
      <c r="H6919" t="str">
        <f t="shared" si="1517"/>
        <v>89312</v>
      </c>
      <c r="I6919">
        <v>1</v>
      </c>
      <c r="J6919">
        <v>302</v>
      </c>
      <c r="K6919">
        <v>0</v>
      </c>
      <c r="L6919">
        <v>317.10000000000002</v>
      </c>
    </row>
    <row r="6920" spans="1:12" x14ac:dyDescent="0.25">
      <c r="A6920" t="str">
        <f t="shared" si="1515"/>
        <v>89301000</v>
      </c>
      <c r="B6920" t="str">
        <f t="shared" si="1516"/>
        <v>89063000</v>
      </c>
      <c r="C6920" t="str">
        <f t="shared" si="1516"/>
        <v>89063000</v>
      </c>
      <c r="D6920" t="str">
        <f t="shared" si="1514"/>
        <v>809</v>
      </c>
      <c r="E6920" t="str">
        <f>"89301039"</f>
        <v>89301039</v>
      </c>
      <c r="F6920" t="str">
        <f>"416216457"</f>
        <v>416216457</v>
      </c>
      <c r="G6920" s="1">
        <v>44750</v>
      </c>
      <c r="H6920" t="str">
        <f t="shared" si="1517"/>
        <v>89312</v>
      </c>
      <c r="I6920">
        <v>3</v>
      </c>
      <c r="J6920">
        <v>906</v>
      </c>
      <c r="K6920">
        <v>0</v>
      </c>
      <c r="L6920">
        <v>951.3</v>
      </c>
    </row>
    <row r="6921" spans="1:12" x14ac:dyDescent="0.25">
      <c r="A6921" t="str">
        <f t="shared" si="1515"/>
        <v>89301000</v>
      </c>
      <c r="B6921" t="str">
        <f t="shared" si="1516"/>
        <v>89063000</v>
      </c>
      <c r="C6921" t="str">
        <f t="shared" si="1516"/>
        <v>89063000</v>
      </c>
      <c r="D6921" t="str">
        <f t="shared" si="1514"/>
        <v>809</v>
      </c>
      <c r="E6921" t="str">
        <f>"89301036"</f>
        <v>89301036</v>
      </c>
      <c r="F6921" t="str">
        <f>"7608084484"</f>
        <v>7608084484</v>
      </c>
      <c r="G6921" s="1">
        <v>44750</v>
      </c>
      <c r="H6921" t="str">
        <f t="shared" si="1517"/>
        <v>89312</v>
      </c>
      <c r="I6921">
        <v>3</v>
      </c>
      <c r="J6921">
        <v>906</v>
      </c>
      <c r="K6921">
        <v>0</v>
      </c>
      <c r="L6921">
        <v>951.3</v>
      </c>
    </row>
    <row r="6922" spans="1:12" x14ac:dyDescent="0.25">
      <c r="A6922" t="str">
        <f t="shared" si="1515"/>
        <v>89301000</v>
      </c>
      <c r="B6922" t="str">
        <f t="shared" si="1516"/>
        <v>89063000</v>
      </c>
      <c r="C6922" t="str">
        <f t="shared" si="1516"/>
        <v>89063000</v>
      </c>
      <c r="D6922" t="str">
        <f t="shared" si="1514"/>
        <v>809</v>
      </c>
      <c r="E6922" t="str">
        <f>"89301037"</f>
        <v>89301037</v>
      </c>
      <c r="F6922" t="str">
        <f>"6557081509"</f>
        <v>6557081509</v>
      </c>
      <c r="G6922" s="1">
        <v>44750</v>
      </c>
      <c r="H6922" t="str">
        <f t="shared" si="1517"/>
        <v>89312</v>
      </c>
      <c r="I6922">
        <v>3</v>
      </c>
      <c r="J6922">
        <v>906</v>
      </c>
      <c r="K6922">
        <v>0</v>
      </c>
      <c r="L6922">
        <v>951.3</v>
      </c>
    </row>
    <row r="6923" spans="1:12" x14ac:dyDescent="0.25">
      <c r="A6923" t="str">
        <f t="shared" si="1515"/>
        <v>89301000</v>
      </c>
      <c r="B6923" t="str">
        <f t="shared" si="1516"/>
        <v>89063000</v>
      </c>
      <c r="C6923" t="str">
        <f t="shared" si="1516"/>
        <v>89063000</v>
      </c>
      <c r="D6923" t="str">
        <f t="shared" si="1514"/>
        <v>809</v>
      </c>
      <c r="E6923" t="str">
        <f>"89301036"</f>
        <v>89301036</v>
      </c>
      <c r="F6923" t="str">
        <f>"7559033064"</f>
        <v>7559033064</v>
      </c>
      <c r="G6923" s="1">
        <v>44754</v>
      </c>
      <c r="H6923" t="str">
        <f t="shared" si="1517"/>
        <v>89312</v>
      </c>
      <c r="I6923">
        <v>3</v>
      </c>
      <c r="J6923">
        <v>906</v>
      </c>
      <c r="K6923">
        <v>0</v>
      </c>
      <c r="L6923">
        <v>951.3</v>
      </c>
    </row>
    <row r="6924" spans="1:12" x14ac:dyDescent="0.25">
      <c r="A6924" t="str">
        <f t="shared" si="1515"/>
        <v>89301000</v>
      </c>
      <c r="B6924" t="str">
        <f t="shared" si="1516"/>
        <v>89063000</v>
      </c>
      <c r="C6924" t="str">
        <f t="shared" si="1516"/>
        <v>89063000</v>
      </c>
      <c r="D6924" t="str">
        <f t="shared" si="1514"/>
        <v>809</v>
      </c>
      <c r="E6924" t="str">
        <f>"89301037"</f>
        <v>89301037</v>
      </c>
      <c r="F6924" t="str">
        <f>"6056111072"</f>
        <v>6056111072</v>
      </c>
      <c r="G6924" s="1">
        <v>44754</v>
      </c>
      <c r="H6924" t="str">
        <f t="shared" si="1517"/>
        <v>89312</v>
      </c>
      <c r="I6924">
        <v>3</v>
      </c>
      <c r="J6924">
        <v>906</v>
      </c>
      <c r="K6924">
        <v>0</v>
      </c>
      <c r="L6924">
        <v>951.3</v>
      </c>
    </row>
    <row r="6925" spans="1:12" x14ac:dyDescent="0.25">
      <c r="A6925" t="str">
        <f t="shared" si="1515"/>
        <v>89301000</v>
      </c>
      <c r="B6925" t="str">
        <f t="shared" si="1516"/>
        <v>89063000</v>
      </c>
      <c r="C6925" t="str">
        <f t="shared" si="1516"/>
        <v>89063000</v>
      </c>
      <c r="D6925" t="str">
        <f t="shared" si="1514"/>
        <v>809</v>
      </c>
      <c r="E6925" t="str">
        <f>"89301037"</f>
        <v>89301037</v>
      </c>
      <c r="F6925" t="str">
        <f>"7662185685"</f>
        <v>7662185685</v>
      </c>
      <c r="G6925" s="1">
        <v>44754</v>
      </c>
      <c r="H6925" t="str">
        <f t="shared" si="1517"/>
        <v>89312</v>
      </c>
      <c r="I6925">
        <v>3</v>
      </c>
      <c r="J6925">
        <v>906</v>
      </c>
      <c r="K6925">
        <v>0</v>
      </c>
      <c r="L6925">
        <v>951.3</v>
      </c>
    </row>
    <row r="6926" spans="1:12" x14ac:dyDescent="0.25">
      <c r="A6926" t="str">
        <f t="shared" si="1515"/>
        <v>89301000</v>
      </c>
      <c r="B6926" t="str">
        <f t="shared" si="1516"/>
        <v>89063000</v>
      </c>
      <c r="C6926" t="str">
        <f t="shared" si="1516"/>
        <v>89063000</v>
      </c>
      <c r="D6926" t="str">
        <f t="shared" si="1514"/>
        <v>809</v>
      </c>
      <c r="E6926" t="str">
        <f>"89301212"</f>
        <v>89301212</v>
      </c>
      <c r="F6926" t="str">
        <f>"7556134465"</f>
        <v>7556134465</v>
      </c>
      <c r="G6926" s="1">
        <v>44754</v>
      </c>
      <c r="H6926" t="str">
        <f t="shared" si="1517"/>
        <v>89312</v>
      </c>
      <c r="I6926">
        <v>3</v>
      </c>
      <c r="J6926">
        <v>906</v>
      </c>
      <c r="K6926">
        <v>0</v>
      </c>
      <c r="L6926">
        <v>951.3</v>
      </c>
    </row>
    <row r="6927" spans="1:12" x14ac:dyDescent="0.25">
      <c r="A6927" t="str">
        <f t="shared" si="1515"/>
        <v>89301000</v>
      </c>
      <c r="B6927" t="str">
        <f t="shared" si="1516"/>
        <v>89063000</v>
      </c>
      <c r="C6927" t="str">
        <f t="shared" si="1516"/>
        <v>89063000</v>
      </c>
      <c r="D6927" t="str">
        <f t="shared" ref="D6927:D6948" si="1518">"809"</f>
        <v>809</v>
      </c>
      <c r="E6927" t="str">
        <f>"89301039"</f>
        <v>89301039</v>
      </c>
      <c r="F6927" t="str">
        <f>"6156180283"</f>
        <v>6156180283</v>
      </c>
      <c r="G6927" s="1">
        <v>44754</v>
      </c>
      <c r="H6927" t="str">
        <f t="shared" si="1517"/>
        <v>89312</v>
      </c>
      <c r="I6927">
        <v>3</v>
      </c>
      <c r="J6927">
        <v>906</v>
      </c>
      <c r="K6927">
        <v>0</v>
      </c>
      <c r="L6927">
        <v>951.3</v>
      </c>
    </row>
    <row r="6928" spans="1:12" x14ac:dyDescent="0.25">
      <c r="A6928" t="str">
        <f t="shared" si="1515"/>
        <v>89301000</v>
      </c>
      <c r="B6928" t="str">
        <f t="shared" si="1516"/>
        <v>89063000</v>
      </c>
      <c r="C6928" t="str">
        <f t="shared" si="1516"/>
        <v>89063000</v>
      </c>
      <c r="D6928" t="str">
        <f t="shared" si="1518"/>
        <v>809</v>
      </c>
      <c r="E6928" t="str">
        <f>"89301037"</f>
        <v>89301037</v>
      </c>
      <c r="F6928" t="str">
        <f>"5654231165"</f>
        <v>5654231165</v>
      </c>
      <c r="G6928" s="1">
        <v>44754</v>
      </c>
      <c r="H6928" t="str">
        <f t="shared" si="1517"/>
        <v>89312</v>
      </c>
      <c r="I6928">
        <v>3</v>
      </c>
      <c r="J6928">
        <v>906</v>
      </c>
      <c r="K6928">
        <v>0</v>
      </c>
      <c r="L6928">
        <v>951.3</v>
      </c>
    </row>
    <row r="6929" spans="1:12" x14ac:dyDescent="0.25">
      <c r="A6929" t="str">
        <f t="shared" si="1515"/>
        <v>89301000</v>
      </c>
      <c r="B6929" t="str">
        <f t="shared" si="1516"/>
        <v>89063000</v>
      </c>
      <c r="C6929" t="str">
        <f t="shared" si="1516"/>
        <v>89063000</v>
      </c>
      <c r="D6929" t="str">
        <f t="shared" si="1518"/>
        <v>809</v>
      </c>
      <c r="E6929" t="str">
        <f>"89301037"</f>
        <v>89301037</v>
      </c>
      <c r="F6929" t="str">
        <f>"9756055980"</f>
        <v>9756055980</v>
      </c>
      <c r="G6929" s="1">
        <v>44755</v>
      </c>
      <c r="H6929" t="str">
        <f t="shared" si="1517"/>
        <v>89312</v>
      </c>
      <c r="I6929">
        <v>3</v>
      </c>
      <c r="J6929">
        <v>906</v>
      </c>
      <c r="K6929">
        <v>0</v>
      </c>
      <c r="L6929">
        <v>951.3</v>
      </c>
    </row>
    <row r="6930" spans="1:12" x14ac:dyDescent="0.25">
      <c r="A6930" t="str">
        <f t="shared" si="1515"/>
        <v>89301000</v>
      </c>
      <c r="B6930" t="str">
        <f t="shared" si="1516"/>
        <v>89063000</v>
      </c>
      <c r="C6930" t="str">
        <f t="shared" si="1516"/>
        <v>89063000</v>
      </c>
      <c r="D6930" t="str">
        <f t="shared" si="1518"/>
        <v>809</v>
      </c>
      <c r="E6930" t="str">
        <f>"89301031"</f>
        <v>89301031</v>
      </c>
      <c r="F6930" t="str">
        <f>"6251200571"</f>
        <v>6251200571</v>
      </c>
      <c r="G6930" s="1">
        <v>44756</v>
      </c>
      <c r="H6930" t="str">
        <f t="shared" si="1517"/>
        <v>89312</v>
      </c>
      <c r="I6930">
        <v>3</v>
      </c>
      <c r="J6930">
        <v>906</v>
      </c>
      <c r="K6930">
        <v>0</v>
      </c>
      <c r="L6930">
        <v>951.3</v>
      </c>
    </row>
    <row r="6931" spans="1:12" x14ac:dyDescent="0.25">
      <c r="A6931" t="str">
        <f t="shared" si="1515"/>
        <v>89301000</v>
      </c>
      <c r="B6931" t="str">
        <f t="shared" si="1516"/>
        <v>89063000</v>
      </c>
      <c r="C6931" t="str">
        <f t="shared" si="1516"/>
        <v>89063000</v>
      </c>
      <c r="D6931" t="str">
        <f t="shared" si="1518"/>
        <v>809</v>
      </c>
      <c r="E6931" t="str">
        <f>"89301037"</f>
        <v>89301037</v>
      </c>
      <c r="F6931" t="str">
        <f>"8657195800"</f>
        <v>8657195800</v>
      </c>
      <c r="G6931" s="1">
        <v>44757</v>
      </c>
      <c r="H6931" t="str">
        <f t="shared" si="1517"/>
        <v>89312</v>
      </c>
      <c r="I6931">
        <v>3</v>
      </c>
      <c r="J6931">
        <v>906</v>
      </c>
      <c r="K6931">
        <v>0</v>
      </c>
      <c r="L6931">
        <v>951.3</v>
      </c>
    </row>
    <row r="6932" spans="1:12" x14ac:dyDescent="0.25">
      <c r="A6932" t="str">
        <f t="shared" si="1515"/>
        <v>89301000</v>
      </c>
      <c r="B6932" t="str">
        <f t="shared" si="1516"/>
        <v>89063000</v>
      </c>
      <c r="C6932" t="str">
        <f t="shared" si="1516"/>
        <v>89063000</v>
      </c>
      <c r="D6932" t="str">
        <f t="shared" si="1518"/>
        <v>809</v>
      </c>
      <c r="E6932" t="str">
        <f>"89301037"</f>
        <v>89301037</v>
      </c>
      <c r="F6932" t="str">
        <f>"6358110704"</f>
        <v>6358110704</v>
      </c>
      <c r="G6932" s="1">
        <v>44761</v>
      </c>
      <c r="H6932" t="str">
        <f t="shared" si="1517"/>
        <v>89312</v>
      </c>
      <c r="I6932">
        <v>3</v>
      </c>
      <c r="J6932">
        <v>906</v>
      </c>
      <c r="K6932">
        <v>0</v>
      </c>
      <c r="L6932">
        <v>951.3</v>
      </c>
    </row>
    <row r="6933" spans="1:12" x14ac:dyDescent="0.25">
      <c r="A6933" t="str">
        <f t="shared" si="1515"/>
        <v>89301000</v>
      </c>
      <c r="B6933" t="str">
        <f t="shared" si="1516"/>
        <v>89063000</v>
      </c>
      <c r="C6933" t="str">
        <f t="shared" si="1516"/>
        <v>89063000</v>
      </c>
      <c r="D6933" t="str">
        <f t="shared" si="1518"/>
        <v>809</v>
      </c>
      <c r="E6933" t="str">
        <f>"89301036"</f>
        <v>89301036</v>
      </c>
      <c r="F6933" t="str">
        <f>"8361055329"</f>
        <v>8361055329</v>
      </c>
      <c r="G6933" s="1">
        <v>44761</v>
      </c>
      <c r="H6933" t="str">
        <f t="shared" si="1517"/>
        <v>89312</v>
      </c>
      <c r="I6933">
        <v>3</v>
      </c>
      <c r="J6933">
        <v>906</v>
      </c>
      <c r="K6933">
        <v>0</v>
      </c>
      <c r="L6933">
        <v>951.3</v>
      </c>
    </row>
    <row r="6934" spans="1:12" x14ac:dyDescent="0.25">
      <c r="A6934" t="str">
        <f t="shared" si="1515"/>
        <v>89301000</v>
      </c>
      <c r="B6934" t="str">
        <f t="shared" si="1516"/>
        <v>89063000</v>
      </c>
      <c r="C6934" t="str">
        <f t="shared" si="1516"/>
        <v>89063000</v>
      </c>
      <c r="D6934" t="str">
        <f t="shared" si="1518"/>
        <v>809</v>
      </c>
      <c r="E6934" t="str">
        <f>"89301028"</f>
        <v>89301028</v>
      </c>
      <c r="F6934" t="str">
        <f>"6757270927"</f>
        <v>6757270927</v>
      </c>
      <c r="G6934" s="1">
        <v>44761</v>
      </c>
      <c r="H6934" t="str">
        <f t="shared" si="1517"/>
        <v>89312</v>
      </c>
      <c r="I6934">
        <v>3</v>
      </c>
      <c r="J6934">
        <v>906</v>
      </c>
      <c r="K6934">
        <v>0</v>
      </c>
      <c r="L6934">
        <v>951.3</v>
      </c>
    </row>
    <row r="6935" spans="1:12" x14ac:dyDescent="0.25">
      <c r="A6935" t="str">
        <f t="shared" si="1515"/>
        <v>89301000</v>
      </c>
      <c r="B6935" t="str">
        <f t="shared" si="1516"/>
        <v>89063000</v>
      </c>
      <c r="C6935" t="str">
        <f t="shared" si="1516"/>
        <v>89063000</v>
      </c>
      <c r="D6935" t="str">
        <f t="shared" si="1518"/>
        <v>809</v>
      </c>
      <c r="E6935" t="str">
        <f>"89301212"</f>
        <v>89301212</v>
      </c>
      <c r="F6935" t="str">
        <f>"526113176"</f>
        <v>526113176</v>
      </c>
      <c r="G6935" s="1">
        <v>44762</v>
      </c>
      <c r="H6935" t="str">
        <f t="shared" si="1517"/>
        <v>89312</v>
      </c>
      <c r="I6935">
        <v>3</v>
      </c>
      <c r="J6935">
        <v>906</v>
      </c>
      <c r="K6935">
        <v>0</v>
      </c>
      <c r="L6935">
        <v>951.3</v>
      </c>
    </row>
    <row r="6936" spans="1:12" x14ac:dyDescent="0.25">
      <c r="A6936" t="str">
        <f t="shared" si="1515"/>
        <v>89301000</v>
      </c>
      <c r="B6936" t="str">
        <f t="shared" ref="B6936:C6948" si="1519">"89063000"</f>
        <v>89063000</v>
      </c>
      <c r="C6936" t="str">
        <f t="shared" si="1519"/>
        <v>89063000</v>
      </c>
      <c r="D6936" t="str">
        <f t="shared" si="1518"/>
        <v>809</v>
      </c>
      <c r="E6936" t="str">
        <f>"89301039"</f>
        <v>89301039</v>
      </c>
      <c r="F6936" t="str">
        <f>"395922103"</f>
        <v>395922103</v>
      </c>
      <c r="G6936" s="1">
        <v>44762</v>
      </c>
      <c r="H6936" t="str">
        <f t="shared" si="1517"/>
        <v>89312</v>
      </c>
      <c r="I6936">
        <v>3</v>
      </c>
      <c r="J6936">
        <v>906</v>
      </c>
      <c r="K6936">
        <v>0</v>
      </c>
      <c r="L6936">
        <v>951.3</v>
      </c>
    </row>
    <row r="6937" spans="1:12" x14ac:dyDescent="0.25">
      <c r="A6937" t="str">
        <f t="shared" si="1515"/>
        <v>89301000</v>
      </c>
      <c r="B6937" t="str">
        <f t="shared" si="1519"/>
        <v>89063000</v>
      </c>
      <c r="C6937" t="str">
        <f t="shared" si="1519"/>
        <v>89063000</v>
      </c>
      <c r="D6937" t="str">
        <f t="shared" si="1518"/>
        <v>809</v>
      </c>
      <c r="E6937" t="str">
        <f>"89301037"</f>
        <v>89301037</v>
      </c>
      <c r="F6937" t="str">
        <f>"526218221"</f>
        <v>526218221</v>
      </c>
      <c r="G6937" s="1">
        <v>44763</v>
      </c>
      <c r="H6937" t="str">
        <f t="shared" si="1517"/>
        <v>89312</v>
      </c>
      <c r="I6937">
        <v>3</v>
      </c>
      <c r="J6937">
        <v>906</v>
      </c>
      <c r="K6937">
        <v>0</v>
      </c>
      <c r="L6937">
        <v>951.3</v>
      </c>
    </row>
    <row r="6938" spans="1:12" x14ac:dyDescent="0.25">
      <c r="A6938" t="str">
        <f t="shared" si="1515"/>
        <v>89301000</v>
      </c>
      <c r="B6938" t="str">
        <f t="shared" si="1519"/>
        <v>89063000</v>
      </c>
      <c r="C6938" t="str">
        <f t="shared" si="1519"/>
        <v>89063000</v>
      </c>
      <c r="D6938" t="str">
        <f t="shared" si="1518"/>
        <v>809</v>
      </c>
      <c r="E6938" t="str">
        <f>"89301036"</f>
        <v>89301036</v>
      </c>
      <c r="F6938" t="str">
        <f>"6353050088"</f>
        <v>6353050088</v>
      </c>
      <c r="G6938" s="1">
        <v>44764</v>
      </c>
      <c r="H6938" t="str">
        <f t="shared" si="1517"/>
        <v>89312</v>
      </c>
      <c r="I6938">
        <v>3</v>
      </c>
      <c r="J6938">
        <v>906</v>
      </c>
      <c r="K6938">
        <v>0</v>
      </c>
      <c r="L6938">
        <v>951.3</v>
      </c>
    </row>
    <row r="6939" spans="1:12" x14ac:dyDescent="0.25">
      <c r="A6939" t="str">
        <f t="shared" si="1515"/>
        <v>89301000</v>
      </c>
      <c r="B6939" t="str">
        <f t="shared" si="1519"/>
        <v>89063000</v>
      </c>
      <c r="C6939" t="str">
        <f t="shared" si="1519"/>
        <v>89063000</v>
      </c>
      <c r="D6939" t="str">
        <f t="shared" si="1518"/>
        <v>809</v>
      </c>
      <c r="E6939" t="str">
        <f>"89301037"</f>
        <v>89301037</v>
      </c>
      <c r="F6939" t="str">
        <f>"6462041080"</f>
        <v>6462041080</v>
      </c>
      <c r="G6939" s="1">
        <v>44767</v>
      </c>
      <c r="H6939" t="str">
        <f t="shared" si="1517"/>
        <v>89312</v>
      </c>
      <c r="I6939">
        <v>3</v>
      </c>
      <c r="J6939">
        <v>906</v>
      </c>
      <c r="K6939">
        <v>0</v>
      </c>
      <c r="L6939">
        <v>951.3</v>
      </c>
    </row>
    <row r="6940" spans="1:12" x14ac:dyDescent="0.25">
      <c r="A6940" t="str">
        <f t="shared" si="1515"/>
        <v>89301000</v>
      </c>
      <c r="B6940" t="str">
        <f t="shared" si="1519"/>
        <v>89063000</v>
      </c>
      <c r="C6940" t="str">
        <f t="shared" si="1519"/>
        <v>89063000</v>
      </c>
      <c r="D6940" t="str">
        <f t="shared" si="1518"/>
        <v>809</v>
      </c>
      <c r="E6940" t="str">
        <f>"89301037"</f>
        <v>89301037</v>
      </c>
      <c r="F6940" t="str">
        <f>"475415422"</f>
        <v>475415422</v>
      </c>
      <c r="G6940" s="1">
        <v>44767</v>
      </c>
      <c r="H6940" t="str">
        <f t="shared" si="1517"/>
        <v>89312</v>
      </c>
      <c r="I6940">
        <v>3</v>
      </c>
      <c r="J6940">
        <v>906</v>
      </c>
      <c r="K6940">
        <v>0</v>
      </c>
      <c r="L6940">
        <v>951.3</v>
      </c>
    </row>
    <row r="6941" spans="1:12" x14ac:dyDescent="0.25">
      <c r="A6941" t="str">
        <f t="shared" si="1515"/>
        <v>89301000</v>
      </c>
      <c r="B6941" t="str">
        <f t="shared" si="1519"/>
        <v>89063000</v>
      </c>
      <c r="C6941" t="str">
        <f t="shared" si="1519"/>
        <v>89063000</v>
      </c>
      <c r="D6941" t="str">
        <f t="shared" si="1518"/>
        <v>809</v>
      </c>
      <c r="E6941" t="str">
        <f>"89301037"</f>
        <v>89301037</v>
      </c>
      <c r="F6941" t="str">
        <f>"5661021377"</f>
        <v>5661021377</v>
      </c>
      <c r="G6941" s="1">
        <v>44767</v>
      </c>
      <c r="H6941" t="str">
        <f t="shared" si="1517"/>
        <v>89312</v>
      </c>
      <c r="I6941">
        <v>3</v>
      </c>
      <c r="J6941">
        <v>906</v>
      </c>
      <c r="K6941">
        <v>0</v>
      </c>
      <c r="L6941">
        <v>951.3</v>
      </c>
    </row>
    <row r="6942" spans="1:12" x14ac:dyDescent="0.25">
      <c r="A6942" t="str">
        <f t="shared" si="1515"/>
        <v>89301000</v>
      </c>
      <c r="B6942" t="str">
        <f t="shared" si="1519"/>
        <v>89063000</v>
      </c>
      <c r="C6942" t="str">
        <f t="shared" si="1519"/>
        <v>89063000</v>
      </c>
      <c r="D6942" t="str">
        <f t="shared" si="1518"/>
        <v>809</v>
      </c>
      <c r="E6942" t="str">
        <f>"89301730"</f>
        <v>89301730</v>
      </c>
      <c r="F6942" t="str">
        <f>"7202245358"</f>
        <v>7202245358</v>
      </c>
      <c r="G6942" s="1">
        <v>44768</v>
      </c>
      <c r="H6942" t="str">
        <f t="shared" si="1517"/>
        <v>89312</v>
      </c>
      <c r="I6942">
        <v>3</v>
      </c>
      <c r="J6942">
        <v>906</v>
      </c>
      <c r="K6942">
        <v>0</v>
      </c>
      <c r="L6942">
        <v>951.3</v>
      </c>
    </row>
    <row r="6943" spans="1:12" x14ac:dyDescent="0.25">
      <c r="A6943" t="str">
        <f t="shared" si="1515"/>
        <v>89301000</v>
      </c>
      <c r="B6943" t="str">
        <f t="shared" si="1519"/>
        <v>89063000</v>
      </c>
      <c r="C6943" t="str">
        <f t="shared" si="1519"/>
        <v>89063000</v>
      </c>
      <c r="D6943" t="str">
        <f t="shared" si="1518"/>
        <v>809</v>
      </c>
      <c r="E6943" t="str">
        <f>"89301031"</f>
        <v>89301031</v>
      </c>
      <c r="F6943" t="str">
        <f>"5609062063"</f>
        <v>5609062063</v>
      </c>
      <c r="G6943" s="1">
        <v>44768</v>
      </c>
      <c r="H6943" t="str">
        <f t="shared" si="1517"/>
        <v>89312</v>
      </c>
      <c r="I6943">
        <v>3</v>
      </c>
      <c r="J6943">
        <v>906</v>
      </c>
      <c r="K6943">
        <v>0</v>
      </c>
      <c r="L6943">
        <v>951.3</v>
      </c>
    </row>
    <row r="6944" spans="1:12" x14ac:dyDescent="0.25">
      <c r="A6944" t="str">
        <f t="shared" si="1515"/>
        <v>89301000</v>
      </c>
      <c r="B6944" t="str">
        <f t="shared" si="1519"/>
        <v>89063000</v>
      </c>
      <c r="C6944" t="str">
        <f t="shared" si="1519"/>
        <v>89063000</v>
      </c>
      <c r="D6944" t="str">
        <f t="shared" si="1518"/>
        <v>809</v>
      </c>
      <c r="E6944" t="str">
        <f>"89301037"</f>
        <v>89301037</v>
      </c>
      <c r="F6944" t="str">
        <f>"476003453"</f>
        <v>476003453</v>
      </c>
      <c r="G6944" s="1">
        <v>44769</v>
      </c>
      <c r="H6944" t="str">
        <f t="shared" si="1517"/>
        <v>89312</v>
      </c>
      <c r="I6944">
        <v>3</v>
      </c>
      <c r="J6944">
        <v>906</v>
      </c>
      <c r="K6944">
        <v>0</v>
      </c>
      <c r="L6944">
        <v>951.3</v>
      </c>
    </row>
    <row r="6945" spans="1:12" x14ac:dyDescent="0.25">
      <c r="A6945" t="str">
        <f t="shared" si="1515"/>
        <v>89301000</v>
      </c>
      <c r="B6945" t="str">
        <f t="shared" si="1519"/>
        <v>89063000</v>
      </c>
      <c r="C6945" t="str">
        <f t="shared" si="1519"/>
        <v>89063000</v>
      </c>
      <c r="D6945" t="str">
        <f t="shared" si="1518"/>
        <v>809</v>
      </c>
      <c r="E6945" t="str">
        <f>"89301037"</f>
        <v>89301037</v>
      </c>
      <c r="F6945" t="str">
        <f>"5853190332"</f>
        <v>5853190332</v>
      </c>
      <c r="G6945" s="1">
        <v>44769</v>
      </c>
      <c r="H6945" t="str">
        <f t="shared" si="1517"/>
        <v>89312</v>
      </c>
      <c r="I6945">
        <v>3</v>
      </c>
      <c r="J6945">
        <v>906</v>
      </c>
      <c r="K6945">
        <v>0</v>
      </c>
      <c r="L6945">
        <v>951.3</v>
      </c>
    </row>
    <row r="6946" spans="1:12" x14ac:dyDescent="0.25">
      <c r="A6946" t="str">
        <f t="shared" si="1515"/>
        <v>89301000</v>
      </c>
      <c r="B6946" t="str">
        <f t="shared" si="1519"/>
        <v>89063000</v>
      </c>
      <c r="C6946" t="str">
        <f t="shared" si="1519"/>
        <v>89063000</v>
      </c>
      <c r="D6946" t="str">
        <f t="shared" si="1518"/>
        <v>809</v>
      </c>
      <c r="E6946" t="str">
        <f>"89301102"</f>
        <v>89301102</v>
      </c>
      <c r="F6946" t="str">
        <f>"1159300340"</f>
        <v>1159300340</v>
      </c>
      <c r="G6946" s="1">
        <v>44770</v>
      </c>
      <c r="H6946" t="str">
        <f t="shared" si="1517"/>
        <v>89312</v>
      </c>
      <c r="I6946">
        <v>1</v>
      </c>
      <c r="J6946">
        <v>302</v>
      </c>
      <c r="K6946">
        <v>0</v>
      </c>
      <c r="L6946">
        <v>317.10000000000002</v>
      </c>
    </row>
    <row r="6947" spans="1:12" x14ac:dyDescent="0.25">
      <c r="A6947" t="str">
        <f t="shared" si="1515"/>
        <v>89301000</v>
      </c>
      <c r="B6947" t="str">
        <f t="shared" si="1519"/>
        <v>89063000</v>
      </c>
      <c r="C6947" t="str">
        <f t="shared" si="1519"/>
        <v>89063000</v>
      </c>
      <c r="D6947" t="str">
        <f t="shared" si="1518"/>
        <v>809</v>
      </c>
      <c r="E6947" t="str">
        <f>"89301212"</f>
        <v>89301212</v>
      </c>
      <c r="F6947" t="str">
        <f>"8661165788"</f>
        <v>8661165788</v>
      </c>
      <c r="G6947" s="1">
        <v>44770</v>
      </c>
      <c r="H6947" t="str">
        <f t="shared" si="1517"/>
        <v>89312</v>
      </c>
      <c r="I6947">
        <v>3</v>
      </c>
      <c r="J6947">
        <v>906</v>
      </c>
      <c r="K6947">
        <v>0</v>
      </c>
      <c r="L6947">
        <v>951.3</v>
      </c>
    </row>
    <row r="6948" spans="1:12" x14ac:dyDescent="0.25">
      <c r="A6948" t="str">
        <f t="shared" si="1515"/>
        <v>89301000</v>
      </c>
      <c r="B6948" t="str">
        <f t="shared" si="1519"/>
        <v>89063000</v>
      </c>
      <c r="C6948" t="str">
        <f t="shared" si="1519"/>
        <v>89063000</v>
      </c>
      <c r="D6948" t="str">
        <f t="shared" si="1518"/>
        <v>809</v>
      </c>
      <c r="E6948" t="str">
        <f>"89301037"</f>
        <v>89301037</v>
      </c>
      <c r="F6948" t="str">
        <f>"8952035708"</f>
        <v>8952035708</v>
      </c>
      <c r="G6948" s="1">
        <v>44770</v>
      </c>
      <c r="H6948" t="str">
        <f t="shared" si="1517"/>
        <v>89312</v>
      </c>
      <c r="I6948">
        <v>3</v>
      </c>
      <c r="J6948">
        <v>906</v>
      </c>
      <c r="K6948">
        <v>0</v>
      </c>
      <c r="L6948">
        <v>951.3</v>
      </c>
    </row>
    <row r="6949" spans="1:12" x14ac:dyDescent="0.25">
      <c r="A6949" t="str">
        <f t="shared" si="1515"/>
        <v>89301000</v>
      </c>
      <c r="B6949" t="str">
        <f t="shared" ref="B6949:B6954" si="1520">"91866000"</f>
        <v>91866000</v>
      </c>
      <c r="C6949" t="str">
        <f t="shared" ref="C6949:C6954" si="1521">"91866313"</f>
        <v>91866313</v>
      </c>
      <c r="D6949" t="str">
        <f t="shared" ref="D6949:D6954" si="1522">"802"</f>
        <v>802</v>
      </c>
      <c r="E6949" t="str">
        <f t="shared" ref="E6949:E6954" si="1523">"89301031"</f>
        <v>89301031</v>
      </c>
      <c r="F6949" t="str">
        <f t="shared" ref="F6949:F6954" si="1524">"6356111036"</f>
        <v>6356111036</v>
      </c>
      <c r="G6949" s="1">
        <v>44761</v>
      </c>
      <c r="H6949" t="str">
        <f t="shared" ref="H6949:H6954" si="1525">"82121"</f>
        <v>82121</v>
      </c>
      <c r="I6949">
        <v>1</v>
      </c>
      <c r="J6949">
        <v>800</v>
      </c>
      <c r="K6949">
        <v>0</v>
      </c>
      <c r="L6949">
        <v>728</v>
      </c>
    </row>
    <row r="6950" spans="1:12" x14ac:dyDescent="0.25">
      <c r="A6950" t="str">
        <f t="shared" si="1515"/>
        <v>89301000</v>
      </c>
      <c r="B6950" t="str">
        <f t="shared" si="1520"/>
        <v>91866000</v>
      </c>
      <c r="C6950" t="str">
        <f t="shared" si="1521"/>
        <v>91866313</v>
      </c>
      <c r="D6950" t="str">
        <f t="shared" si="1522"/>
        <v>802</v>
      </c>
      <c r="E6950" t="str">
        <f t="shared" si="1523"/>
        <v>89301031</v>
      </c>
      <c r="F6950" t="str">
        <f t="shared" si="1524"/>
        <v>6356111036</v>
      </c>
      <c r="G6950" s="1">
        <v>44761</v>
      </c>
      <c r="H6950" t="str">
        <f t="shared" si="1525"/>
        <v>82121</v>
      </c>
      <c r="I6950">
        <v>1</v>
      </c>
      <c r="J6950">
        <v>800</v>
      </c>
      <c r="K6950">
        <v>0</v>
      </c>
      <c r="L6950">
        <v>728</v>
      </c>
    </row>
    <row r="6951" spans="1:12" x14ac:dyDescent="0.25">
      <c r="A6951" t="str">
        <f t="shared" si="1515"/>
        <v>89301000</v>
      </c>
      <c r="B6951" t="str">
        <f t="shared" si="1520"/>
        <v>91866000</v>
      </c>
      <c r="C6951" t="str">
        <f t="shared" si="1521"/>
        <v>91866313</v>
      </c>
      <c r="D6951" t="str">
        <f t="shared" si="1522"/>
        <v>802</v>
      </c>
      <c r="E6951" t="str">
        <f t="shared" si="1523"/>
        <v>89301031</v>
      </c>
      <c r="F6951" t="str">
        <f t="shared" si="1524"/>
        <v>6356111036</v>
      </c>
      <c r="G6951" s="1">
        <v>44761</v>
      </c>
      <c r="H6951" t="str">
        <f t="shared" si="1525"/>
        <v>82121</v>
      </c>
      <c r="I6951">
        <v>1</v>
      </c>
      <c r="J6951">
        <v>800</v>
      </c>
      <c r="K6951">
        <v>0</v>
      </c>
      <c r="L6951">
        <v>728</v>
      </c>
    </row>
    <row r="6952" spans="1:12" x14ac:dyDescent="0.25">
      <c r="A6952" t="str">
        <f t="shared" si="1515"/>
        <v>89301000</v>
      </c>
      <c r="B6952" t="str">
        <f t="shared" si="1520"/>
        <v>91866000</v>
      </c>
      <c r="C6952" t="str">
        <f t="shared" si="1521"/>
        <v>91866313</v>
      </c>
      <c r="D6952" t="str">
        <f t="shared" si="1522"/>
        <v>802</v>
      </c>
      <c r="E6952" t="str">
        <f t="shared" si="1523"/>
        <v>89301031</v>
      </c>
      <c r="F6952" t="str">
        <f t="shared" si="1524"/>
        <v>6356111036</v>
      </c>
      <c r="G6952" s="1">
        <v>44761</v>
      </c>
      <c r="H6952" t="str">
        <f t="shared" si="1525"/>
        <v>82121</v>
      </c>
      <c r="I6952">
        <v>1</v>
      </c>
      <c r="J6952">
        <v>800</v>
      </c>
      <c r="K6952">
        <v>0</v>
      </c>
      <c r="L6952">
        <v>728</v>
      </c>
    </row>
    <row r="6953" spans="1:12" x14ac:dyDescent="0.25">
      <c r="A6953" t="str">
        <f t="shared" si="1515"/>
        <v>89301000</v>
      </c>
      <c r="B6953" t="str">
        <f t="shared" si="1520"/>
        <v>91866000</v>
      </c>
      <c r="C6953" t="str">
        <f t="shared" si="1521"/>
        <v>91866313</v>
      </c>
      <c r="D6953" t="str">
        <f t="shared" si="1522"/>
        <v>802</v>
      </c>
      <c r="E6953" t="str">
        <f t="shared" si="1523"/>
        <v>89301031</v>
      </c>
      <c r="F6953" t="str">
        <f t="shared" si="1524"/>
        <v>6356111036</v>
      </c>
      <c r="G6953" s="1">
        <v>44761</v>
      </c>
      <c r="H6953" t="str">
        <f t="shared" si="1525"/>
        <v>82121</v>
      </c>
      <c r="I6953">
        <v>1</v>
      </c>
      <c r="J6953">
        <v>800</v>
      </c>
      <c r="K6953">
        <v>0</v>
      </c>
      <c r="L6953">
        <v>728</v>
      </c>
    </row>
    <row r="6954" spans="1:12" x14ac:dyDescent="0.25">
      <c r="A6954" t="str">
        <f t="shared" si="1515"/>
        <v>89301000</v>
      </c>
      <c r="B6954" t="str">
        <f t="shared" si="1520"/>
        <v>91866000</v>
      </c>
      <c r="C6954" t="str">
        <f t="shared" si="1521"/>
        <v>91866313</v>
      </c>
      <c r="D6954" t="str">
        <f t="shared" si="1522"/>
        <v>802</v>
      </c>
      <c r="E6954" t="str">
        <f t="shared" si="1523"/>
        <v>89301031</v>
      </c>
      <c r="F6954" t="str">
        <f t="shared" si="1524"/>
        <v>6356111036</v>
      </c>
      <c r="G6954" s="1">
        <v>44761</v>
      </c>
      <c r="H6954" t="str">
        <f t="shared" si="1525"/>
        <v>82121</v>
      </c>
      <c r="I6954">
        <v>1</v>
      </c>
      <c r="J6954">
        <v>800</v>
      </c>
      <c r="K6954">
        <v>0</v>
      </c>
      <c r="L6954">
        <v>728</v>
      </c>
    </row>
    <row r="6955" spans="1:12" x14ac:dyDescent="0.25">
      <c r="A6955" t="str">
        <f t="shared" si="1515"/>
        <v>89301000</v>
      </c>
      <c r="B6955" t="str">
        <f t="shared" ref="B6955:C6957" si="1526">"92327000"</f>
        <v>92327000</v>
      </c>
      <c r="C6955" t="str">
        <f t="shared" si="1526"/>
        <v>92327000</v>
      </c>
      <c r="D6955" t="str">
        <f t="shared" ref="D6955:D6967" si="1527">"809"</f>
        <v>809</v>
      </c>
      <c r="E6955" t="str">
        <f t="shared" ref="E6955:E6967" si="1528">"89301212"</f>
        <v>89301212</v>
      </c>
      <c r="F6955" t="str">
        <f>"7005015688"</f>
        <v>7005015688</v>
      </c>
      <c r="G6955" s="1">
        <v>44760</v>
      </c>
      <c r="H6955" t="str">
        <f>"89131"</f>
        <v>89131</v>
      </c>
      <c r="I6955">
        <v>1</v>
      </c>
      <c r="J6955">
        <v>187</v>
      </c>
      <c r="K6955">
        <v>0</v>
      </c>
      <c r="L6955">
        <v>261.8</v>
      </c>
    </row>
    <row r="6956" spans="1:12" x14ac:dyDescent="0.25">
      <c r="A6956" t="str">
        <f t="shared" si="1515"/>
        <v>89301000</v>
      </c>
      <c r="B6956" t="str">
        <f t="shared" si="1526"/>
        <v>92327000</v>
      </c>
      <c r="C6956" t="str">
        <f t="shared" si="1526"/>
        <v>92327000</v>
      </c>
      <c r="D6956" t="str">
        <f t="shared" si="1527"/>
        <v>809</v>
      </c>
      <c r="E6956" t="str">
        <f t="shared" si="1528"/>
        <v>89301212</v>
      </c>
      <c r="F6956" t="str">
        <f>"7005015688"</f>
        <v>7005015688</v>
      </c>
      <c r="G6956" s="1">
        <v>44760</v>
      </c>
      <c r="H6956" t="str">
        <f>"89513"</f>
        <v>89513</v>
      </c>
      <c r="I6956">
        <v>1</v>
      </c>
      <c r="J6956">
        <v>371</v>
      </c>
      <c r="K6956">
        <v>0</v>
      </c>
      <c r="L6956">
        <v>519.4</v>
      </c>
    </row>
    <row r="6957" spans="1:12" x14ac:dyDescent="0.25">
      <c r="A6957" t="str">
        <f t="shared" si="1515"/>
        <v>89301000</v>
      </c>
      <c r="B6957" t="str">
        <f t="shared" si="1526"/>
        <v>92327000</v>
      </c>
      <c r="C6957" t="str">
        <f t="shared" si="1526"/>
        <v>92327000</v>
      </c>
      <c r="D6957" t="str">
        <f t="shared" si="1527"/>
        <v>809</v>
      </c>
      <c r="E6957" t="str">
        <f t="shared" si="1528"/>
        <v>89301212</v>
      </c>
      <c r="F6957" t="str">
        <f>"7005015688"</f>
        <v>7005015688</v>
      </c>
      <c r="G6957" s="1">
        <v>44760</v>
      </c>
      <c r="H6957" t="str">
        <f>"89514"</f>
        <v>89514</v>
      </c>
      <c r="I6957">
        <v>1</v>
      </c>
      <c r="J6957">
        <v>371</v>
      </c>
      <c r="K6957">
        <v>0</v>
      </c>
      <c r="L6957">
        <v>519.4</v>
      </c>
    </row>
    <row r="6958" spans="1:12" x14ac:dyDescent="0.25">
      <c r="A6958" t="str">
        <f t="shared" si="1515"/>
        <v>89301000</v>
      </c>
      <c r="B6958" t="str">
        <f>"89511000"</f>
        <v>89511000</v>
      </c>
      <c r="C6958" t="str">
        <f>"89511001"</f>
        <v>89511001</v>
      </c>
      <c r="D6958" t="str">
        <f t="shared" si="1527"/>
        <v>809</v>
      </c>
      <c r="E6958" t="str">
        <f t="shared" si="1528"/>
        <v>89301212</v>
      </c>
      <c r="F6958" t="str">
        <f>"7356115371"</f>
        <v>7356115371</v>
      </c>
      <c r="G6958" s="1">
        <v>44743</v>
      </c>
      <c r="H6958" t="str">
        <f>"89131"</f>
        <v>89131</v>
      </c>
      <c r="I6958">
        <v>1</v>
      </c>
      <c r="J6958">
        <v>187</v>
      </c>
      <c r="K6958">
        <v>0</v>
      </c>
      <c r="L6958">
        <v>261.8</v>
      </c>
    </row>
    <row r="6959" spans="1:12" x14ac:dyDescent="0.25">
      <c r="A6959" t="str">
        <f t="shared" si="1515"/>
        <v>89301000</v>
      </c>
      <c r="B6959" t="str">
        <f>"89511000"</f>
        <v>89511000</v>
      </c>
      <c r="C6959" t="str">
        <f>"89511001"</f>
        <v>89511001</v>
      </c>
      <c r="D6959" t="str">
        <f t="shared" si="1527"/>
        <v>809</v>
      </c>
      <c r="E6959" t="str">
        <f t="shared" si="1528"/>
        <v>89301212</v>
      </c>
      <c r="F6959" t="str">
        <f>"6160170929"</f>
        <v>6160170929</v>
      </c>
      <c r="G6959" s="1">
        <v>44764</v>
      </c>
      <c r="H6959" t="str">
        <f>"89513"</f>
        <v>89513</v>
      </c>
      <c r="I6959">
        <v>1</v>
      </c>
      <c r="J6959">
        <v>371</v>
      </c>
      <c r="K6959">
        <v>0</v>
      </c>
      <c r="L6959">
        <v>519.4</v>
      </c>
    </row>
    <row r="6960" spans="1:12" x14ac:dyDescent="0.25">
      <c r="A6960" t="str">
        <f t="shared" si="1515"/>
        <v>89301000</v>
      </c>
      <c r="B6960" t="str">
        <f>"89511000"</f>
        <v>89511000</v>
      </c>
      <c r="C6960" t="str">
        <f>"89511001"</f>
        <v>89511001</v>
      </c>
      <c r="D6960" t="str">
        <f t="shared" si="1527"/>
        <v>809</v>
      </c>
      <c r="E6960" t="str">
        <f t="shared" si="1528"/>
        <v>89301212</v>
      </c>
      <c r="F6960" t="str">
        <f>"6160170929"</f>
        <v>6160170929</v>
      </c>
      <c r="G6960" s="1">
        <v>44764</v>
      </c>
      <c r="H6960" t="str">
        <f>"89514"</f>
        <v>89514</v>
      </c>
      <c r="I6960">
        <v>1</v>
      </c>
      <c r="J6960">
        <v>371</v>
      </c>
      <c r="K6960">
        <v>0</v>
      </c>
      <c r="L6960">
        <v>519.4</v>
      </c>
    </row>
    <row r="6961" spans="1:12" x14ac:dyDescent="0.25">
      <c r="A6961" t="str">
        <f t="shared" si="1515"/>
        <v>89301000</v>
      </c>
      <c r="B6961" t="str">
        <f>"89345401"</f>
        <v>89345401</v>
      </c>
      <c r="C6961" t="str">
        <f>"89345401"</f>
        <v>89345401</v>
      </c>
      <c r="D6961" t="str">
        <f t="shared" si="1527"/>
        <v>809</v>
      </c>
      <c r="E6961" t="str">
        <f t="shared" si="1528"/>
        <v>89301212</v>
      </c>
      <c r="F6961" t="str">
        <f>"535111097"</f>
        <v>535111097</v>
      </c>
      <c r="G6961" s="1">
        <v>44771</v>
      </c>
      <c r="H6961" t="str">
        <f>"89513"</f>
        <v>89513</v>
      </c>
      <c r="I6961">
        <v>1</v>
      </c>
      <c r="J6961">
        <v>371</v>
      </c>
      <c r="K6961">
        <v>0</v>
      </c>
      <c r="L6961">
        <v>519.4</v>
      </c>
    </row>
    <row r="6962" spans="1:12" x14ac:dyDescent="0.25">
      <c r="A6962" t="str">
        <f t="shared" si="1515"/>
        <v>89301000</v>
      </c>
      <c r="B6962" t="str">
        <f>"89345401"</f>
        <v>89345401</v>
      </c>
      <c r="C6962" t="str">
        <f>"89345401"</f>
        <v>89345401</v>
      </c>
      <c r="D6962" t="str">
        <f t="shared" si="1527"/>
        <v>809</v>
      </c>
      <c r="E6962" t="str">
        <f t="shared" si="1528"/>
        <v>89301212</v>
      </c>
      <c r="F6962" t="str">
        <f>"535111097"</f>
        <v>535111097</v>
      </c>
      <c r="G6962" s="1">
        <v>44771</v>
      </c>
      <c r="H6962" t="str">
        <f>"89514"</f>
        <v>89514</v>
      </c>
      <c r="I6962">
        <v>1</v>
      </c>
      <c r="J6962">
        <v>371</v>
      </c>
      <c r="K6962">
        <v>0</v>
      </c>
      <c r="L6962">
        <v>519.4</v>
      </c>
    </row>
    <row r="6963" spans="1:12" x14ac:dyDescent="0.25">
      <c r="A6963" t="str">
        <f t="shared" si="1515"/>
        <v>89301000</v>
      </c>
      <c r="B6963" t="str">
        <f>"85600000"</f>
        <v>85600000</v>
      </c>
      <c r="C6963" t="str">
        <f>"85600421"</f>
        <v>85600421</v>
      </c>
      <c r="D6963" t="str">
        <f t="shared" si="1527"/>
        <v>809</v>
      </c>
      <c r="E6963" t="str">
        <f t="shared" si="1528"/>
        <v>89301212</v>
      </c>
      <c r="F6963" t="str">
        <f>"5758140465"</f>
        <v>5758140465</v>
      </c>
      <c r="G6963" s="1">
        <v>44761</v>
      </c>
      <c r="H6963" t="str">
        <f>"89180"</f>
        <v>89180</v>
      </c>
      <c r="I6963">
        <v>1</v>
      </c>
      <c r="J6963">
        <v>376</v>
      </c>
      <c r="K6963">
        <v>0</v>
      </c>
      <c r="L6963">
        <v>526.4</v>
      </c>
    </row>
    <row r="6964" spans="1:12" x14ac:dyDescent="0.25">
      <c r="A6964" t="str">
        <f t="shared" si="1515"/>
        <v>89301000</v>
      </c>
      <c r="B6964" t="str">
        <f>"85600000"</f>
        <v>85600000</v>
      </c>
      <c r="C6964" t="str">
        <f>"85600421"</f>
        <v>85600421</v>
      </c>
      <c r="D6964" t="str">
        <f t="shared" si="1527"/>
        <v>809</v>
      </c>
      <c r="E6964" t="str">
        <f t="shared" si="1528"/>
        <v>89301212</v>
      </c>
      <c r="F6964" t="str">
        <f>"5758140465"</f>
        <v>5758140465</v>
      </c>
      <c r="G6964" s="1">
        <v>44761</v>
      </c>
      <c r="H6964" t="str">
        <f>"89512"</f>
        <v>89512</v>
      </c>
      <c r="I6964">
        <v>1</v>
      </c>
      <c r="J6964">
        <v>277</v>
      </c>
      <c r="K6964">
        <v>0</v>
      </c>
      <c r="L6964">
        <v>387.8</v>
      </c>
    </row>
    <row r="6965" spans="1:12" x14ac:dyDescent="0.25">
      <c r="A6965" t="str">
        <f t="shared" si="1515"/>
        <v>89301000</v>
      </c>
      <c r="B6965" t="str">
        <f>"85600000"</f>
        <v>85600000</v>
      </c>
      <c r="C6965" t="str">
        <f>"85600421"</f>
        <v>85600421</v>
      </c>
      <c r="D6965" t="str">
        <f t="shared" si="1527"/>
        <v>809</v>
      </c>
      <c r="E6965" t="str">
        <f t="shared" si="1528"/>
        <v>89301212</v>
      </c>
      <c r="F6965" t="str">
        <f>"7755215446"</f>
        <v>7755215446</v>
      </c>
      <c r="G6965" s="1">
        <v>44762</v>
      </c>
      <c r="H6965" t="str">
        <f>"89611"</f>
        <v>89611</v>
      </c>
      <c r="I6965">
        <v>1</v>
      </c>
      <c r="J6965">
        <v>2241</v>
      </c>
      <c r="K6965">
        <v>0</v>
      </c>
      <c r="L6965">
        <v>1344.6</v>
      </c>
    </row>
    <row r="6966" spans="1:12" x14ac:dyDescent="0.25">
      <c r="A6966" t="str">
        <f t="shared" si="1515"/>
        <v>89301000</v>
      </c>
      <c r="B6966" t="str">
        <f>"85600000"</f>
        <v>85600000</v>
      </c>
      <c r="C6966" t="str">
        <f>"85600421"</f>
        <v>85600421</v>
      </c>
      <c r="D6966" t="str">
        <f t="shared" si="1527"/>
        <v>809</v>
      </c>
      <c r="E6966" t="str">
        <f t="shared" si="1528"/>
        <v>89301212</v>
      </c>
      <c r="F6966" t="str">
        <f>"7755215446"</f>
        <v>7755215446</v>
      </c>
      <c r="G6966" s="1">
        <v>44762</v>
      </c>
      <c r="H6966" t="str">
        <f>"89611"</f>
        <v>89611</v>
      </c>
      <c r="I6966">
        <v>1</v>
      </c>
      <c r="J6966">
        <v>2241</v>
      </c>
      <c r="K6966">
        <v>0</v>
      </c>
      <c r="L6966">
        <v>1344.6</v>
      </c>
    </row>
    <row r="6967" spans="1:12" x14ac:dyDescent="0.25">
      <c r="A6967" t="str">
        <f t="shared" si="1515"/>
        <v>89301000</v>
      </c>
      <c r="B6967" t="str">
        <f>"85600000"</f>
        <v>85600000</v>
      </c>
      <c r="C6967" t="str">
        <f>"85600421"</f>
        <v>85600421</v>
      </c>
      <c r="D6967" t="str">
        <f t="shared" si="1527"/>
        <v>809</v>
      </c>
      <c r="E6967" t="str">
        <f t="shared" si="1528"/>
        <v>89301212</v>
      </c>
      <c r="F6967" t="str">
        <f>"7755215446"</f>
        <v>7755215446</v>
      </c>
      <c r="G6967" s="1">
        <v>44762</v>
      </c>
      <c r="H6967" t="str">
        <f>"0137481"</f>
        <v>0137481</v>
      </c>
      <c r="I6967">
        <v>0.2</v>
      </c>
      <c r="K6967">
        <v>879.39</v>
      </c>
      <c r="L6967">
        <v>879.39</v>
      </c>
    </row>
    <row r="6968" spans="1:12" x14ac:dyDescent="0.25">
      <c r="A6968" t="str">
        <f t="shared" si="1515"/>
        <v>89301000</v>
      </c>
      <c r="B6968" t="str">
        <f t="shared" ref="B6968:B6999" si="1529">"72077000"</f>
        <v>72077000</v>
      </c>
      <c r="C6968" t="str">
        <f t="shared" ref="C6968:C6999" si="1530">"72077001"</f>
        <v>72077001</v>
      </c>
      <c r="D6968" t="str">
        <f t="shared" ref="D6968:D6999" si="1531">"813"</f>
        <v>813</v>
      </c>
      <c r="E6968" t="str">
        <f t="shared" ref="E6968:E6999" si="1532">"89301152"</f>
        <v>89301152</v>
      </c>
      <c r="F6968" t="str">
        <f>"8860205783"</f>
        <v>8860205783</v>
      </c>
      <c r="G6968" s="1">
        <v>44762</v>
      </c>
      <c r="H6968" t="str">
        <f>"91197"</f>
        <v>91197</v>
      </c>
      <c r="I6968">
        <v>1</v>
      </c>
      <c r="J6968">
        <v>1046</v>
      </c>
      <c r="K6968">
        <v>0</v>
      </c>
      <c r="L6968">
        <v>815.88</v>
      </c>
    </row>
    <row r="6969" spans="1:12" x14ac:dyDescent="0.25">
      <c r="A6969" t="str">
        <f t="shared" si="1515"/>
        <v>89301000</v>
      </c>
      <c r="B6969" t="str">
        <f t="shared" si="1529"/>
        <v>72077000</v>
      </c>
      <c r="C6969" t="str">
        <f t="shared" si="1530"/>
        <v>72077001</v>
      </c>
      <c r="D6969" t="str">
        <f t="shared" si="1531"/>
        <v>813</v>
      </c>
      <c r="E6969" t="str">
        <f t="shared" si="1532"/>
        <v>89301152</v>
      </c>
      <c r="F6969" t="str">
        <f>"8860205783"</f>
        <v>8860205783</v>
      </c>
      <c r="G6969" s="1">
        <v>44763</v>
      </c>
      <c r="H6969" t="str">
        <f>"91465"</f>
        <v>91465</v>
      </c>
      <c r="I6969">
        <v>1</v>
      </c>
      <c r="J6969">
        <v>1404</v>
      </c>
      <c r="K6969">
        <v>0</v>
      </c>
      <c r="L6969">
        <v>1095.1199999999999</v>
      </c>
    </row>
    <row r="6970" spans="1:12" x14ac:dyDescent="0.25">
      <c r="A6970" t="str">
        <f t="shared" si="1515"/>
        <v>89301000</v>
      </c>
      <c r="B6970" t="str">
        <f t="shared" si="1529"/>
        <v>72077000</v>
      </c>
      <c r="C6970" t="str">
        <f t="shared" si="1530"/>
        <v>72077001</v>
      </c>
      <c r="D6970" t="str">
        <f t="shared" si="1531"/>
        <v>813</v>
      </c>
      <c r="E6970" t="str">
        <f t="shared" si="1532"/>
        <v>89301152</v>
      </c>
      <c r="F6970" t="str">
        <f>"9356055742"</f>
        <v>9356055742</v>
      </c>
      <c r="G6970" s="1">
        <v>44750</v>
      </c>
      <c r="H6970" t="str">
        <f>"91197"</f>
        <v>91197</v>
      </c>
      <c r="I6970">
        <v>1</v>
      </c>
      <c r="J6970">
        <v>1046</v>
      </c>
      <c r="K6970">
        <v>0</v>
      </c>
      <c r="L6970">
        <v>815.88</v>
      </c>
    </row>
    <row r="6971" spans="1:12" x14ac:dyDescent="0.25">
      <c r="A6971" t="str">
        <f t="shared" si="1515"/>
        <v>89301000</v>
      </c>
      <c r="B6971" t="str">
        <f t="shared" si="1529"/>
        <v>72077000</v>
      </c>
      <c r="C6971" t="str">
        <f t="shared" si="1530"/>
        <v>72077001</v>
      </c>
      <c r="D6971" t="str">
        <f t="shared" si="1531"/>
        <v>813</v>
      </c>
      <c r="E6971" t="str">
        <f t="shared" si="1532"/>
        <v>89301152</v>
      </c>
      <c r="F6971" t="str">
        <f>"9356055742"</f>
        <v>9356055742</v>
      </c>
      <c r="G6971" s="1">
        <v>44756</v>
      </c>
      <c r="H6971" t="str">
        <f>"91465"</f>
        <v>91465</v>
      </c>
      <c r="I6971">
        <v>1</v>
      </c>
      <c r="J6971">
        <v>1404</v>
      </c>
      <c r="K6971">
        <v>0</v>
      </c>
      <c r="L6971">
        <v>1095.1199999999999</v>
      </c>
    </row>
    <row r="6972" spans="1:12" x14ac:dyDescent="0.25">
      <c r="A6972" t="str">
        <f t="shared" si="1515"/>
        <v>89301000</v>
      </c>
      <c r="B6972" t="str">
        <f t="shared" si="1529"/>
        <v>72077000</v>
      </c>
      <c r="C6972" t="str">
        <f t="shared" si="1530"/>
        <v>72077001</v>
      </c>
      <c r="D6972" t="str">
        <f t="shared" si="1531"/>
        <v>813</v>
      </c>
      <c r="E6972" t="str">
        <f t="shared" si="1532"/>
        <v>89301152</v>
      </c>
      <c r="F6972" t="str">
        <f>"6552071790"</f>
        <v>6552071790</v>
      </c>
      <c r="G6972" s="1">
        <v>44763</v>
      </c>
      <c r="H6972" t="str">
        <f>"91171"</f>
        <v>91171</v>
      </c>
      <c r="I6972">
        <v>1</v>
      </c>
      <c r="J6972">
        <v>360</v>
      </c>
      <c r="K6972">
        <v>0</v>
      </c>
      <c r="L6972">
        <v>280.8</v>
      </c>
    </row>
    <row r="6973" spans="1:12" x14ac:dyDescent="0.25">
      <c r="A6973" t="str">
        <f t="shared" si="1515"/>
        <v>89301000</v>
      </c>
      <c r="B6973" t="str">
        <f t="shared" si="1529"/>
        <v>72077000</v>
      </c>
      <c r="C6973" t="str">
        <f t="shared" si="1530"/>
        <v>72077001</v>
      </c>
      <c r="D6973" t="str">
        <f t="shared" si="1531"/>
        <v>813</v>
      </c>
      <c r="E6973" t="str">
        <f t="shared" si="1532"/>
        <v>89301152</v>
      </c>
      <c r="F6973" t="str">
        <f>"7103265312"</f>
        <v>7103265312</v>
      </c>
      <c r="G6973" s="1">
        <v>44743</v>
      </c>
      <c r="H6973" t="str">
        <f>"91219"</f>
        <v>91219</v>
      </c>
      <c r="I6973">
        <v>1</v>
      </c>
      <c r="J6973">
        <v>342</v>
      </c>
      <c r="K6973">
        <v>0</v>
      </c>
      <c r="L6973">
        <v>266.76</v>
      </c>
    </row>
    <row r="6974" spans="1:12" x14ac:dyDescent="0.25">
      <c r="A6974" t="str">
        <f t="shared" si="1515"/>
        <v>89301000</v>
      </c>
      <c r="B6974" t="str">
        <f t="shared" si="1529"/>
        <v>72077000</v>
      </c>
      <c r="C6974" t="str">
        <f t="shared" si="1530"/>
        <v>72077001</v>
      </c>
      <c r="D6974" t="str">
        <f t="shared" si="1531"/>
        <v>813</v>
      </c>
      <c r="E6974" t="str">
        <f t="shared" si="1532"/>
        <v>89301152</v>
      </c>
      <c r="F6974" t="str">
        <f>"7103265312"</f>
        <v>7103265312</v>
      </c>
      <c r="G6974" s="1">
        <v>44743</v>
      </c>
      <c r="H6974" t="str">
        <f>"91219"</f>
        <v>91219</v>
      </c>
      <c r="I6974">
        <v>1</v>
      </c>
      <c r="J6974">
        <v>342</v>
      </c>
      <c r="K6974">
        <v>0</v>
      </c>
      <c r="L6974">
        <v>266.76</v>
      </c>
    </row>
    <row r="6975" spans="1:12" x14ac:dyDescent="0.25">
      <c r="A6975" t="str">
        <f t="shared" si="1515"/>
        <v>89301000</v>
      </c>
      <c r="B6975" t="str">
        <f t="shared" si="1529"/>
        <v>72077000</v>
      </c>
      <c r="C6975" t="str">
        <f t="shared" si="1530"/>
        <v>72077001</v>
      </c>
      <c r="D6975" t="str">
        <f t="shared" si="1531"/>
        <v>813</v>
      </c>
      <c r="E6975" t="str">
        <f t="shared" si="1532"/>
        <v>89301152</v>
      </c>
      <c r="F6975" t="str">
        <f>"7103265312"</f>
        <v>7103265312</v>
      </c>
      <c r="G6975" s="1">
        <v>44743</v>
      </c>
      <c r="H6975" t="str">
        <f>"91219"</f>
        <v>91219</v>
      </c>
      <c r="I6975">
        <v>1</v>
      </c>
      <c r="J6975">
        <v>342</v>
      </c>
      <c r="K6975">
        <v>0</v>
      </c>
      <c r="L6975">
        <v>266.76</v>
      </c>
    </row>
    <row r="6976" spans="1:12" x14ac:dyDescent="0.25">
      <c r="A6976" t="str">
        <f t="shared" si="1515"/>
        <v>89301000</v>
      </c>
      <c r="B6976" t="str">
        <f t="shared" si="1529"/>
        <v>72077000</v>
      </c>
      <c r="C6976" t="str">
        <f t="shared" si="1530"/>
        <v>72077001</v>
      </c>
      <c r="D6976" t="str">
        <f t="shared" si="1531"/>
        <v>813</v>
      </c>
      <c r="E6976" t="str">
        <f t="shared" si="1532"/>
        <v>89301152</v>
      </c>
      <c r="F6976" t="str">
        <f>"5954271323"</f>
        <v>5954271323</v>
      </c>
      <c r="G6976" s="1">
        <v>44743</v>
      </c>
      <c r="H6976" t="str">
        <f>"91485"</f>
        <v>91485</v>
      </c>
      <c r="I6976">
        <v>1</v>
      </c>
      <c r="J6976">
        <v>268</v>
      </c>
      <c r="K6976">
        <v>0</v>
      </c>
      <c r="L6976">
        <v>209.04</v>
      </c>
    </row>
    <row r="6977" spans="1:12" x14ac:dyDescent="0.25">
      <c r="A6977" t="str">
        <f t="shared" si="1515"/>
        <v>89301000</v>
      </c>
      <c r="B6977" t="str">
        <f t="shared" si="1529"/>
        <v>72077000</v>
      </c>
      <c r="C6977" t="str">
        <f t="shared" si="1530"/>
        <v>72077001</v>
      </c>
      <c r="D6977" t="str">
        <f t="shared" si="1531"/>
        <v>813</v>
      </c>
      <c r="E6977" t="str">
        <f t="shared" si="1532"/>
        <v>89301152</v>
      </c>
      <c r="F6977" t="str">
        <f>"5954271323"</f>
        <v>5954271323</v>
      </c>
      <c r="G6977" s="1">
        <v>44749</v>
      </c>
      <c r="H6977" t="str">
        <f>"91361"</f>
        <v>91361</v>
      </c>
      <c r="I6977">
        <v>1</v>
      </c>
      <c r="J6977">
        <v>431</v>
      </c>
      <c r="K6977">
        <v>0</v>
      </c>
      <c r="L6977">
        <v>336.18</v>
      </c>
    </row>
    <row r="6978" spans="1:12" x14ac:dyDescent="0.25">
      <c r="A6978" t="str">
        <f t="shared" ref="A6978:A7041" si="1533">"89301000"</f>
        <v>89301000</v>
      </c>
      <c r="B6978" t="str">
        <f t="shared" si="1529"/>
        <v>72077000</v>
      </c>
      <c r="C6978" t="str">
        <f t="shared" si="1530"/>
        <v>72077001</v>
      </c>
      <c r="D6978" t="str">
        <f t="shared" si="1531"/>
        <v>813</v>
      </c>
      <c r="E6978" t="str">
        <f t="shared" si="1532"/>
        <v>89301152</v>
      </c>
      <c r="F6978" t="str">
        <f>"5954271323"</f>
        <v>5954271323</v>
      </c>
      <c r="G6978" s="1">
        <v>44749</v>
      </c>
      <c r="H6978" t="str">
        <f>"91359"</f>
        <v>91359</v>
      </c>
      <c r="I6978">
        <v>1</v>
      </c>
      <c r="J6978">
        <v>198</v>
      </c>
      <c r="K6978">
        <v>0</v>
      </c>
      <c r="L6978">
        <v>154.44</v>
      </c>
    </row>
    <row r="6979" spans="1:12" x14ac:dyDescent="0.25">
      <c r="A6979" t="str">
        <f t="shared" si="1533"/>
        <v>89301000</v>
      </c>
      <c r="B6979" t="str">
        <f t="shared" si="1529"/>
        <v>72077000</v>
      </c>
      <c r="C6979" t="str">
        <f t="shared" si="1530"/>
        <v>72077001</v>
      </c>
      <c r="D6979" t="str">
        <f t="shared" si="1531"/>
        <v>813</v>
      </c>
      <c r="E6979" t="str">
        <f t="shared" si="1532"/>
        <v>89301152</v>
      </c>
      <c r="F6979" t="str">
        <f t="shared" ref="F6979:F6987" si="1534">"6255240233"</f>
        <v>6255240233</v>
      </c>
      <c r="G6979" s="1">
        <v>44750</v>
      </c>
      <c r="H6979" t="str">
        <f>"91197"</f>
        <v>91197</v>
      </c>
      <c r="I6979">
        <v>1</v>
      </c>
      <c r="J6979">
        <v>1046</v>
      </c>
      <c r="K6979">
        <v>0</v>
      </c>
      <c r="L6979">
        <v>815.88</v>
      </c>
    </row>
    <row r="6980" spans="1:12" x14ac:dyDescent="0.25">
      <c r="A6980" t="str">
        <f t="shared" si="1533"/>
        <v>89301000</v>
      </c>
      <c r="B6980" t="str">
        <f t="shared" si="1529"/>
        <v>72077000</v>
      </c>
      <c r="C6980" t="str">
        <f t="shared" si="1530"/>
        <v>72077001</v>
      </c>
      <c r="D6980" t="str">
        <f t="shared" si="1531"/>
        <v>813</v>
      </c>
      <c r="E6980" t="str">
        <f t="shared" si="1532"/>
        <v>89301152</v>
      </c>
      <c r="F6980" t="str">
        <f t="shared" si="1534"/>
        <v>6255240233</v>
      </c>
      <c r="G6980" s="1">
        <v>44755</v>
      </c>
      <c r="H6980" t="str">
        <f t="shared" ref="H6980:H6986" si="1535">"91219"</f>
        <v>91219</v>
      </c>
      <c r="I6980">
        <v>1</v>
      </c>
      <c r="J6980">
        <v>342</v>
      </c>
      <c r="K6980">
        <v>0</v>
      </c>
      <c r="L6980">
        <v>266.76</v>
      </c>
    </row>
    <row r="6981" spans="1:12" x14ac:dyDescent="0.25">
      <c r="A6981" t="str">
        <f t="shared" si="1533"/>
        <v>89301000</v>
      </c>
      <c r="B6981" t="str">
        <f t="shared" si="1529"/>
        <v>72077000</v>
      </c>
      <c r="C6981" t="str">
        <f t="shared" si="1530"/>
        <v>72077001</v>
      </c>
      <c r="D6981" t="str">
        <f t="shared" si="1531"/>
        <v>813</v>
      </c>
      <c r="E6981" t="str">
        <f t="shared" si="1532"/>
        <v>89301152</v>
      </c>
      <c r="F6981" t="str">
        <f t="shared" si="1534"/>
        <v>6255240233</v>
      </c>
      <c r="G6981" s="1">
        <v>44755</v>
      </c>
      <c r="H6981" t="str">
        <f t="shared" si="1535"/>
        <v>91219</v>
      </c>
      <c r="I6981">
        <v>1</v>
      </c>
      <c r="J6981">
        <v>342</v>
      </c>
      <c r="K6981">
        <v>0</v>
      </c>
      <c r="L6981">
        <v>266.76</v>
      </c>
    </row>
    <row r="6982" spans="1:12" x14ac:dyDescent="0.25">
      <c r="A6982" t="str">
        <f t="shared" si="1533"/>
        <v>89301000</v>
      </c>
      <c r="B6982" t="str">
        <f t="shared" si="1529"/>
        <v>72077000</v>
      </c>
      <c r="C6982" t="str">
        <f t="shared" si="1530"/>
        <v>72077001</v>
      </c>
      <c r="D6982" t="str">
        <f t="shared" si="1531"/>
        <v>813</v>
      </c>
      <c r="E6982" t="str">
        <f t="shared" si="1532"/>
        <v>89301152</v>
      </c>
      <c r="F6982" t="str">
        <f t="shared" si="1534"/>
        <v>6255240233</v>
      </c>
      <c r="G6982" s="1">
        <v>44755</v>
      </c>
      <c r="H6982" t="str">
        <f t="shared" si="1535"/>
        <v>91219</v>
      </c>
      <c r="I6982">
        <v>1</v>
      </c>
      <c r="J6982">
        <v>342</v>
      </c>
      <c r="K6982">
        <v>0</v>
      </c>
      <c r="L6982">
        <v>266.76</v>
      </c>
    </row>
    <row r="6983" spans="1:12" x14ac:dyDescent="0.25">
      <c r="A6983" t="str">
        <f t="shared" si="1533"/>
        <v>89301000</v>
      </c>
      <c r="B6983" t="str">
        <f t="shared" si="1529"/>
        <v>72077000</v>
      </c>
      <c r="C6983" t="str">
        <f t="shared" si="1530"/>
        <v>72077001</v>
      </c>
      <c r="D6983" t="str">
        <f t="shared" si="1531"/>
        <v>813</v>
      </c>
      <c r="E6983" t="str">
        <f t="shared" si="1532"/>
        <v>89301152</v>
      </c>
      <c r="F6983" t="str">
        <f t="shared" si="1534"/>
        <v>6255240233</v>
      </c>
      <c r="G6983" s="1">
        <v>44755</v>
      </c>
      <c r="H6983" t="str">
        <f t="shared" si="1535"/>
        <v>91219</v>
      </c>
      <c r="I6983">
        <v>1</v>
      </c>
      <c r="J6983">
        <v>342</v>
      </c>
      <c r="K6983">
        <v>0</v>
      </c>
      <c r="L6983">
        <v>266.76</v>
      </c>
    </row>
    <row r="6984" spans="1:12" x14ac:dyDescent="0.25">
      <c r="A6984" t="str">
        <f t="shared" si="1533"/>
        <v>89301000</v>
      </c>
      <c r="B6984" t="str">
        <f t="shared" si="1529"/>
        <v>72077000</v>
      </c>
      <c r="C6984" t="str">
        <f t="shared" si="1530"/>
        <v>72077001</v>
      </c>
      <c r="D6984" t="str">
        <f t="shared" si="1531"/>
        <v>813</v>
      </c>
      <c r="E6984" t="str">
        <f t="shared" si="1532"/>
        <v>89301152</v>
      </c>
      <c r="F6984" t="str">
        <f t="shared" si="1534"/>
        <v>6255240233</v>
      </c>
      <c r="G6984" s="1">
        <v>44755</v>
      </c>
      <c r="H6984" t="str">
        <f t="shared" si="1535"/>
        <v>91219</v>
      </c>
      <c r="I6984">
        <v>1</v>
      </c>
      <c r="J6984">
        <v>342</v>
      </c>
      <c r="K6984">
        <v>0</v>
      </c>
      <c r="L6984">
        <v>266.76</v>
      </c>
    </row>
    <row r="6985" spans="1:12" x14ac:dyDescent="0.25">
      <c r="A6985" t="str">
        <f t="shared" si="1533"/>
        <v>89301000</v>
      </c>
      <c r="B6985" t="str">
        <f t="shared" si="1529"/>
        <v>72077000</v>
      </c>
      <c r="C6985" t="str">
        <f t="shared" si="1530"/>
        <v>72077001</v>
      </c>
      <c r="D6985" t="str">
        <f t="shared" si="1531"/>
        <v>813</v>
      </c>
      <c r="E6985" t="str">
        <f t="shared" si="1532"/>
        <v>89301152</v>
      </c>
      <c r="F6985" t="str">
        <f t="shared" si="1534"/>
        <v>6255240233</v>
      </c>
      <c r="G6985" s="1">
        <v>44755</v>
      </c>
      <c r="H6985" t="str">
        <f t="shared" si="1535"/>
        <v>91219</v>
      </c>
      <c r="I6985">
        <v>1</v>
      </c>
      <c r="J6985">
        <v>342</v>
      </c>
      <c r="K6985">
        <v>0</v>
      </c>
      <c r="L6985">
        <v>266.76</v>
      </c>
    </row>
    <row r="6986" spans="1:12" x14ac:dyDescent="0.25">
      <c r="A6986" t="str">
        <f t="shared" si="1533"/>
        <v>89301000</v>
      </c>
      <c r="B6986" t="str">
        <f t="shared" si="1529"/>
        <v>72077000</v>
      </c>
      <c r="C6986" t="str">
        <f t="shared" si="1530"/>
        <v>72077001</v>
      </c>
      <c r="D6986" t="str">
        <f t="shared" si="1531"/>
        <v>813</v>
      </c>
      <c r="E6986" t="str">
        <f t="shared" si="1532"/>
        <v>89301152</v>
      </c>
      <c r="F6986" t="str">
        <f t="shared" si="1534"/>
        <v>6255240233</v>
      </c>
      <c r="G6986" s="1">
        <v>44755</v>
      </c>
      <c r="H6986" t="str">
        <f t="shared" si="1535"/>
        <v>91219</v>
      </c>
      <c r="I6986">
        <v>1</v>
      </c>
      <c r="J6986">
        <v>342</v>
      </c>
      <c r="K6986">
        <v>0</v>
      </c>
      <c r="L6986">
        <v>266.76</v>
      </c>
    </row>
    <row r="6987" spans="1:12" x14ac:dyDescent="0.25">
      <c r="A6987" t="str">
        <f t="shared" si="1533"/>
        <v>89301000</v>
      </c>
      <c r="B6987" t="str">
        <f t="shared" si="1529"/>
        <v>72077000</v>
      </c>
      <c r="C6987" t="str">
        <f t="shared" si="1530"/>
        <v>72077001</v>
      </c>
      <c r="D6987" t="str">
        <f t="shared" si="1531"/>
        <v>813</v>
      </c>
      <c r="E6987" t="str">
        <f t="shared" si="1532"/>
        <v>89301152</v>
      </c>
      <c r="F6987" t="str">
        <f t="shared" si="1534"/>
        <v>6255240233</v>
      </c>
      <c r="G6987" s="1">
        <v>44756</v>
      </c>
      <c r="H6987" t="str">
        <f>"91465"</f>
        <v>91465</v>
      </c>
      <c r="I6987">
        <v>1</v>
      </c>
      <c r="J6987">
        <v>1404</v>
      </c>
      <c r="K6987">
        <v>0</v>
      </c>
      <c r="L6987">
        <v>1095.1199999999999</v>
      </c>
    </row>
    <row r="6988" spans="1:12" x14ac:dyDescent="0.25">
      <c r="A6988" t="str">
        <f t="shared" si="1533"/>
        <v>89301000</v>
      </c>
      <c r="B6988" t="str">
        <f t="shared" si="1529"/>
        <v>72077000</v>
      </c>
      <c r="C6988" t="str">
        <f t="shared" si="1530"/>
        <v>72077001</v>
      </c>
      <c r="D6988" t="str">
        <f t="shared" si="1531"/>
        <v>813</v>
      </c>
      <c r="E6988" t="str">
        <f t="shared" si="1532"/>
        <v>89301152</v>
      </c>
      <c r="F6988" t="str">
        <f>"8752284926"</f>
        <v>8752284926</v>
      </c>
      <c r="G6988" s="1">
        <v>44755</v>
      </c>
      <c r="H6988" t="str">
        <f>"91197"</f>
        <v>91197</v>
      </c>
      <c r="I6988">
        <v>1</v>
      </c>
      <c r="J6988">
        <v>1046</v>
      </c>
      <c r="K6988">
        <v>0</v>
      </c>
      <c r="L6988">
        <v>815.88</v>
      </c>
    </row>
    <row r="6989" spans="1:12" x14ac:dyDescent="0.25">
      <c r="A6989" t="str">
        <f t="shared" si="1533"/>
        <v>89301000</v>
      </c>
      <c r="B6989" t="str">
        <f t="shared" si="1529"/>
        <v>72077000</v>
      </c>
      <c r="C6989" t="str">
        <f t="shared" si="1530"/>
        <v>72077001</v>
      </c>
      <c r="D6989" t="str">
        <f t="shared" si="1531"/>
        <v>813</v>
      </c>
      <c r="E6989" t="str">
        <f t="shared" si="1532"/>
        <v>89301152</v>
      </c>
      <c r="F6989" t="str">
        <f>"8752284926"</f>
        <v>8752284926</v>
      </c>
      <c r="G6989" s="1">
        <v>44757</v>
      </c>
      <c r="H6989" t="str">
        <f>"91465"</f>
        <v>91465</v>
      </c>
      <c r="I6989">
        <v>1</v>
      </c>
      <c r="J6989">
        <v>1404</v>
      </c>
      <c r="K6989">
        <v>0</v>
      </c>
      <c r="L6989">
        <v>1095.1199999999999</v>
      </c>
    </row>
    <row r="6990" spans="1:12" x14ac:dyDescent="0.25">
      <c r="A6990" t="str">
        <f t="shared" si="1533"/>
        <v>89301000</v>
      </c>
      <c r="B6990" t="str">
        <f t="shared" si="1529"/>
        <v>72077000</v>
      </c>
      <c r="C6990" t="str">
        <f t="shared" si="1530"/>
        <v>72077001</v>
      </c>
      <c r="D6990" t="str">
        <f t="shared" si="1531"/>
        <v>813</v>
      </c>
      <c r="E6990" t="str">
        <f t="shared" si="1532"/>
        <v>89301152</v>
      </c>
      <c r="F6990" t="str">
        <f>"8562274908"</f>
        <v>8562274908</v>
      </c>
      <c r="G6990" s="1">
        <v>44755</v>
      </c>
      <c r="H6990" t="str">
        <f>"91197"</f>
        <v>91197</v>
      </c>
      <c r="I6990">
        <v>1</v>
      </c>
      <c r="J6990">
        <v>1046</v>
      </c>
      <c r="K6990">
        <v>0</v>
      </c>
      <c r="L6990">
        <v>815.88</v>
      </c>
    </row>
    <row r="6991" spans="1:12" x14ac:dyDescent="0.25">
      <c r="A6991" t="str">
        <f t="shared" si="1533"/>
        <v>89301000</v>
      </c>
      <c r="B6991" t="str">
        <f t="shared" si="1529"/>
        <v>72077000</v>
      </c>
      <c r="C6991" t="str">
        <f t="shared" si="1530"/>
        <v>72077001</v>
      </c>
      <c r="D6991" t="str">
        <f t="shared" si="1531"/>
        <v>813</v>
      </c>
      <c r="E6991" t="str">
        <f t="shared" si="1532"/>
        <v>89301152</v>
      </c>
      <c r="F6991" t="str">
        <f>"8562274908"</f>
        <v>8562274908</v>
      </c>
      <c r="G6991" s="1">
        <v>44757</v>
      </c>
      <c r="H6991" t="str">
        <f>"91465"</f>
        <v>91465</v>
      </c>
      <c r="I6991">
        <v>1</v>
      </c>
      <c r="J6991">
        <v>1404</v>
      </c>
      <c r="K6991">
        <v>0</v>
      </c>
      <c r="L6991">
        <v>1095.1199999999999</v>
      </c>
    </row>
    <row r="6992" spans="1:12" x14ac:dyDescent="0.25">
      <c r="A6992" t="str">
        <f t="shared" si="1533"/>
        <v>89301000</v>
      </c>
      <c r="B6992" t="str">
        <f t="shared" si="1529"/>
        <v>72077000</v>
      </c>
      <c r="C6992" t="str">
        <f t="shared" si="1530"/>
        <v>72077001</v>
      </c>
      <c r="D6992" t="str">
        <f t="shared" si="1531"/>
        <v>813</v>
      </c>
      <c r="E6992" t="str">
        <f t="shared" si="1532"/>
        <v>89301152</v>
      </c>
      <c r="F6992" t="str">
        <f>"7951274463"</f>
        <v>7951274463</v>
      </c>
      <c r="G6992" s="1">
        <v>44754</v>
      </c>
      <c r="H6992" t="str">
        <f>"91213"</f>
        <v>91213</v>
      </c>
      <c r="I6992">
        <v>1</v>
      </c>
      <c r="J6992">
        <v>347</v>
      </c>
      <c r="K6992">
        <v>0</v>
      </c>
      <c r="L6992">
        <v>270.66000000000003</v>
      </c>
    </row>
    <row r="6993" spans="1:12" x14ac:dyDescent="0.25">
      <c r="A6993" t="str">
        <f t="shared" si="1533"/>
        <v>89301000</v>
      </c>
      <c r="B6993" t="str">
        <f t="shared" si="1529"/>
        <v>72077000</v>
      </c>
      <c r="C6993" t="str">
        <f t="shared" si="1530"/>
        <v>72077001</v>
      </c>
      <c r="D6993" t="str">
        <f t="shared" si="1531"/>
        <v>813</v>
      </c>
      <c r="E6993" t="str">
        <f t="shared" si="1532"/>
        <v>89301152</v>
      </c>
      <c r="F6993" t="str">
        <f>"7951274463"</f>
        <v>7951274463</v>
      </c>
      <c r="G6993" s="1">
        <v>44755</v>
      </c>
      <c r="H6993" t="str">
        <f>"91197"</f>
        <v>91197</v>
      </c>
      <c r="I6993">
        <v>1</v>
      </c>
      <c r="J6993">
        <v>1046</v>
      </c>
      <c r="K6993">
        <v>0</v>
      </c>
      <c r="L6993">
        <v>815.88</v>
      </c>
    </row>
    <row r="6994" spans="1:12" x14ac:dyDescent="0.25">
      <c r="A6994" t="str">
        <f t="shared" si="1533"/>
        <v>89301000</v>
      </c>
      <c r="B6994" t="str">
        <f t="shared" si="1529"/>
        <v>72077000</v>
      </c>
      <c r="C6994" t="str">
        <f t="shared" si="1530"/>
        <v>72077001</v>
      </c>
      <c r="D6994" t="str">
        <f t="shared" si="1531"/>
        <v>813</v>
      </c>
      <c r="E6994" t="str">
        <f t="shared" si="1532"/>
        <v>89301152</v>
      </c>
      <c r="F6994" t="str">
        <f>"7951274463"</f>
        <v>7951274463</v>
      </c>
      <c r="G6994" s="1">
        <v>44757</v>
      </c>
      <c r="H6994" t="str">
        <f>"91465"</f>
        <v>91465</v>
      </c>
      <c r="I6994">
        <v>1</v>
      </c>
      <c r="J6994">
        <v>1404</v>
      </c>
      <c r="K6994">
        <v>0</v>
      </c>
      <c r="L6994">
        <v>1095.1199999999999</v>
      </c>
    </row>
    <row r="6995" spans="1:12" x14ac:dyDescent="0.25">
      <c r="A6995" t="str">
        <f t="shared" si="1533"/>
        <v>89301000</v>
      </c>
      <c r="B6995" t="str">
        <f t="shared" si="1529"/>
        <v>72077000</v>
      </c>
      <c r="C6995" t="str">
        <f t="shared" si="1530"/>
        <v>72077001</v>
      </c>
      <c r="D6995" t="str">
        <f t="shared" si="1531"/>
        <v>813</v>
      </c>
      <c r="E6995" t="str">
        <f t="shared" si="1532"/>
        <v>89301152</v>
      </c>
      <c r="F6995" t="str">
        <f>"7951274463"</f>
        <v>7951274463</v>
      </c>
      <c r="G6995" s="1">
        <v>44762</v>
      </c>
      <c r="H6995" t="str">
        <f>"91213"</f>
        <v>91213</v>
      </c>
      <c r="I6995">
        <v>1</v>
      </c>
      <c r="J6995">
        <v>347</v>
      </c>
      <c r="K6995">
        <v>0</v>
      </c>
      <c r="L6995">
        <v>270.66000000000003</v>
      </c>
    </row>
    <row r="6996" spans="1:12" x14ac:dyDescent="0.25">
      <c r="A6996" t="str">
        <f t="shared" si="1533"/>
        <v>89301000</v>
      </c>
      <c r="B6996" t="str">
        <f t="shared" si="1529"/>
        <v>72077000</v>
      </c>
      <c r="C6996" t="str">
        <f t="shared" si="1530"/>
        <v>72077001</v>
      </c>
      <c r="D6996" t="str">
        <f t="shared" si="1531"/>
        <v>813</v>
      </c>
      <c r="E6996" t="str">
        <f t="shared" si="1532"/>
        <v>89301152</v>
      </c>
      <c r="F6996" t="str">
        <f t="shared" ref="F6996:F7001" si="1536">"8551236210"</f>
        <v>8551236210</v>
      </c>
      <c r="G6996" s="1">
        <v>44755</v>
      </c>
      <c r="H6996" t="str">
        <f>"91359"</f>
        <v>91359</v>
      </c>
      <c r="I6996">
        <v>1</v>
      </c>
      <c r="J6996">
        <v>198</v>
      </c>
      <c r="K6996">
        <v>0</v>
      </c>
      <c r="L6996">
        <v>154.44</v>
      </c>
    </row>
    <row r="6997" spans="1:12" x14ac:dyDescent="0.25">
      <c r="A6997" t="str">
        <f t="shared" si="1533"/>
        <v>89301000</v>
      </c>
      <c r="B6997" t="str">
        <f t="shared" si="1529"/>
        <v>72077000</v>
      </c>
      <c r="C6997" t="str">
        <f t="shared" si="1530"/>
        <v>72077001</v>
      </c>
      <c r="D6997" t="str">
        <f t="shared" si="1531"/>
        <v>813</v>
      </c>
      <c r="E6997" t="str">
        <f t="shared" si="1532"/>
        <v>89301152</v>
      </c>
      <c r="F6997" t="str">
        <f t="shared" si="1536"/>
        <v>8551236210</v>
      </c>
      <c r="G6997" s="1">
        <v>44755</v>
      </c>
      <c r="H6997" t="str">
        <f>"91361"</f>
        <v>91361</v>
      </c>
      <c r="I6997">
        <v>1</v>
      </c>
      <c r="J6997">
        <v>431</v>
      </c>
      <c r="K6997">
        <v>0</v>
      </c>
      <c r="L6997">
        <v>336.18</v>
      </c>
    </row>
    <row r="6998" spans="1:12" x14ac:dyDescent="0.25">
      <c r="A6998" t="str">
        <f t="shared" si="1533"/>
        <v>89301000</v>
      </c>
      <c r="B6998" t="str">
        <f t="shared" si="1529"/>
        <v>72077000</v>
      </c>
      <c r="C6998" t="str">
        <f t="shared" si="1530"/>
        <v>72077001</v>
      </c>
      <c r="D6998" t="str">
        <f t="shared" si="1531"/>
        <v>813</v>
      </c>
      <c r="E6998" t="str">
        <f t="shared" si="1532"/>
        <v>89301152</v>
      </c>
      <c r="F6998" t="str">
        <f t="shared" si="1536"/>
        <v>8551236210</v>
      </c>
      <c r="G6998" s="1">
        <v>44755</v>
      </c>
      <c r="H6998" t="str">
        <f>"91577"</f>
        <v>91577</v>
      </c>
      <c r="I6998">
        <v>1</v>
      </c>
      <c r="J6998">
        <v>396</v>
      </c>
      <c r="K6998">
        <v>0</v>
      </c>
      <c r="L6998">
        <v>308.88</v>
      </c>
    </row>
    <row r="6999" spans="1:12" x14ac:dyDescent="0.25">
      <c r="A6999" t="str">
        <f t="shared" si="1533"/>
        <v>89301000</v>
      </c>
      <c r="B6999" t="str">
        <f t="shared" si="1529"/>
        <v>72077000</v>
      </c>
      <c r="C6999" t="str">
        <f t="shared" si="1530"/>
        <v>72077001</v>
      </c>
      <c r="D6999" t="str">
        <f t="shared" si="1531"/>
        <v>813</v>
      </c>
      <c r="E6999" t="str">
        <f t="shared" si="1532"/>
        <v>89301152</v>
      </c>
      <c r="F6999" t="str">
        <f t="shared" si="1536"/>
        <v>8551236210</v>
      </c>
      <c r="G6999" s="1">
        <v>44756</v>
      </c>
      <c r="H6999" t="str">
        <f>"91175"</f>
        <v>91175</v>
      </c>
      <c r="I6999">
        <v>1</v>
      </c>
      <c r="J6999">
        <v>360</v>
      </c>
      <c r="K6999">
        <v>0</v>
      </c>
      <c r="L6999">
        <v>280.8</v>
      </c>
    </row>
    <row r="7000" spans="1:12" x14ac:dyDescent="0.25">
      <c r="A7000" t="str">
        <f t="shared" si="1533"/>
        <v>89301000</v>
      </c>
      <c r="B7000" t="str">
        <f t="shared" ref="B7000:B7016" si="1537">"72077000"</f>
        <v>72077000</v>
      </c>
      <c r="C7000" t="str">
        <f t="shared" ref="C7000:C7016" si="1538">"72077001"</f>
        <v>72077001</v>
      </c>
      <c r="D7000" t="str">
        <f t="shared" ref="D7000:D7016" si="1539">"813"</f>
        <v>813</v>
      </c>
      <c r="E7000" t="str">
        <f t="shared" ref="E7000:E7016" si="1540">"89301152"</f>
        <v>89301152</v>
      </c>
      <c r="F7000" t="str">
        <f t="shared" si="1536"/>
        <v>8551236210</v>
      </c>
      <c r="G7000" s="1">
        <v>44756</v>
      </c>
      <c r="H7000" t="str">
        <f>"91171"</f>
        <v>91171</v>
      </c>
      <c r="I7000">
        <v>1</v>
      </c>
      <c r="J7000">
        <v>360</v>
      </c>
      <c r="K7000">
        <v>0</v>
      </c>
      <c r="L7000">
        <v>280.8</v>
      </c>
    </row>
    <row r="7001" spans="1:12" x14ac:dyDescent="0.25">
      <c r="A7001" t="str">
        <f t="shared" si="1533"/>
        <v>89301000</v>
      </c>
      <c r="B7001" t="str">
        <f t="shared" si="1537"/>
        <v>72077000</v>
      </c>
      <c r="C7001" t="str">
        <f t="shared" si="1538"/>
        <v>72077001</v>
      </c>
      <c r="D7001" t="str">
        <f t="shared" si="1539"/>
        <v>813</v>
      </c>
      <c r="E7001" t="str">
        <f t="shared" si="1540"/>
        <v>89301152</v>
      </c>
      <c r="F7001" t="str">
        <f t="shared" si="1536"/>
        <v>8551236210</v>
      </c>
      <c r="G7001" s="1">
        <v>44757</v>
      </c>
      <c r="H7001" t="str">
        <f>"91485"</f>
        <v>91485</v>
      </c>
      <c r="I7001">
        <v>1</v>
      </c>
      <c r="J7001">
        <v>268</v>
      </c>
      <c r="K7001">
        <v>0</v>
      </c>
      <c r="L7001">
        <v>209.04</v>
      </c>
    </row>
    <row r="7002" spans="1:12" x14ac:dyDescent="0.25">
      <c r="A7002" t="str">
        <f t="shared" si="1533"/>
        <v>89301000</v>
      </c>
      <c r="B7002" t="str">
        <f t="shared" si="1537"/>
        <v>72077000</v>
      </c>
      <c r="C7002" t="str">
        <f t="shared" si="1538"/>
        <v>72077001</v>
      </c>
      <c r="D7002" t="str">
        <f t="shared" si="1539"/>
        <v>813</v>
      </c>
      <c r="E7002" t="str">
        <f t="shared" si="1540"/>
        <v>89301152</v>
      </c>
      <c r="F7002" t="str">
        <f>"8151225357"</f>
        <v>8151225357</v>
      </c>
      <c r="G7002" s="1">
        <v>44757</v>
      </c>
      <c r="H7002" t="str">
        <f>"91197"</f>
        <v>91197</v>
      </c>
      <c r="I7002">
        <v>1</v>
      </c>
      <c r="J7002">
        <v>1046</v>
      </c>
      <c r="K7002">
        <v>0</v>
      </c>
      <c r="L7002">
        <v>815.88</v>
      </c>
    </row>
    <row r="7003" spans="1:12" x14ac:dyDescent="0.25">
      <c r="A7003" t="str">
        <f t="shared" si="1533"/>
        <v>89301000</v>
      </c>
      <c r="B7003" t="str">
        <f t="shared" si="1537"/>
        <v>72077000</v>
      </c>
      <c r="C7003" t="str">
        <f t="shared" si="1538"/>
        <v>72077001</v>
      </c>
      <c r="D7003" t="str">
        <f t="shared" si="1539"/>
        <v>813</v>
      </c>
      <c r="E7003" t="str">
        <f t="shared" si="1540"/>
        <v>89301152</v>
      </c>
      <c r="F7003" t="str">
        <f>"8151225357"</f>
        <v>8151225357</v>
      </c>
      <c r="G7003" s="1">
        <v>44763</v>
      </c>
      <c r="H7003" t="str">
        <f>"91465"</f>
        <v>91465</v>
      </c>
      <c r="I7003">
        <v>1</v>
      </c>
      <c r="J7003">
        <v>1404</v>
      </c>
      <c r="K7003">
        <v>0</v>
      </c>
      <c r="L7003">
        <v>1095.1199999999999</v>
      </c>
    </row>
    <row r="7004" spans="1:12" x14ac:dyDescent="0.25">
      <c r="A7004" t="str">
        <f t="shared" si="1533"/>
        <v>89301000</v>
      </c>
      <c r="B7004" t="str">
        <f t="shared" si="1537"/>
        <v>72077000</v>
      </c>
      <c r="C7004" t="str">
        <f t="shared" si="1538"/>
        <v>72077001</v>
      </c>
      <c r="D7004" t="str">
        <f t="shared" si="1539"/>
        <v>813</v>
      </c>
      <c r="E7004" t="str">
        <f t="shared" si="1540"/>
        <v>89301152</v>
      </c>
      <c r="F7004" t="str">
        <f>"0061115725"</f>
        <v>0061115725</v>
      </c>
      <c r="G7004" s="1">
        <v>44761</v>
      </c>
      <c r="H7004" t="str">
        <f>"91219"</f>
        <v>91219</v>
      </c>
      <c r="I7004">
        <v>1</v>
      </c>
      <c r="J7004">
        <v>342</v>
      </c>
      <c r="K7004">
        <v>0</v>
      </c>
      <c r="L7004">
        <v>266.76</v>
      </c>
    </row>
    <row r="7005" spans="1:12" x14ac:dyDescent="0.25">
      <c r="A7005" t="str">
        <f t="shared" si="1533"/>
        <v>89301000</v>
      </c>
      <c r="B7005" t="str">
        <f t="shared" si="1537"/>
        <v>72077000</v>
      </c>
      <c r="C7005" t="str">
        <f t="shared" si="1538"/>
        <v>72077001</v>
      </c>
      <c r="D7005" t="str">
        <f t="shared" si="1539"/>
        <v>813</v>
      </c>
      <c r="E7005" t="str">
        <f t="shared" si="1540"/>
        <v>89301152</v>
      </c>
      <c r="F7005" t="str">
        <f>"0061115725"</f>
        <v>0061115725</v>
      </c>
      <c r="G7005" s="1">
        <v>44761</v>
      </c>
      <c r="H7005" t="str">
        <f>"91219"</f>
        <v>91219</v>
      </c>
      <c r="I7005">
        <v>1</v>
      </c>
      <c r="J7005">
        <v>342</v>
      </c>
      <c r="K7005">
        <v>0</v>
      </c>
      <c r="L7005">
        <v>266.76</v>
      </c>
    </row>
    <row r="7006" spans="1:12" x14ac:dyDescent="0.25">
      <c r="A7006" t="str">
        <f t="shared" si="1533"/>
        <v>89301000</v>
      </c>
      <c r="B7006" t="str">
        <f t="shared" si="1537"/>
        <v>72077000</v>
      </c>
      <c r="C7006" t="str">
        <f t="shared" si="1538"/>
        <v>72077001</v>
      </c>
      <c r="D7006" t="str">
        <f t="shared" si="1539"/>
        <v>813</v>
      </c>
      <c r="E7006" t="str">
        <f t="shared" si="1540"/>
        <v>89301152</v>
      </c>
      <c r="F7006" t="str">
        <f>"0061115725"</f>
        <v>0061115725</v>
      </c>
      <c r="G7006" s="1">
        <v>44761</v>
      </c>
      <c r="H7006" t="str">
        <f>"91219"</f>
        <v>91219</v>
      </c>
      <c r="I7006">
        <v>1</v>
      </c>
      <c r="J7006">
        <v>342</v>
      </c>
      <c r="K7006">
        <v>0</v>
      </c>
      <c r="L7006">
        <v>266.76</v>
      </c>
    </row>
    <row r="7007" spans="1:12" x14ac:dyDescent="0.25">
      <c r="A7007" t="str">
        <f t="shared" si="1533"/>
        <v>89301000</v>
      </c>
      <c r="B7007" t="str">
        <f t="shared" si="1537"/>
        <v>72077000</v>
      </c>
      <c r="C7007" t="str">
        <f t="shared" si="1538"/>
        <v>72077001</v>
      </c>
      <c r="D7007" t="str">
        <f t="shared" si="1539"/>
        <v>813</v>
      </c>
      <c r="E7007" t="str">
        <f t="shared" si="1540"/>
        <v>89301152</v>
      </c>
      <c r="F7007" t="str">
        <f>"0061115725"</f>
        <v>0061115725</v>
      </c>
      <c r="G7007" s="1">
        <v>44761</v>
      </c>
      <c r="H7007" t="str">
        <f>"91219"</f>
        <v>91219</v>
      </c>
      <c r="I7007">
        <v>1</v>
      </c>
      <c r="J7007">
        <v>342</v>
      </c>
      <c r="K7007">
        <v>0</v>
      </c>
      <c r="L7007">
        <v>266.76</v>
      </c>
    </row>
    <row r="7008" spans="1:12" x14ac:dyDescent="0.25">
      <c r="A7008" t="str">
        <f t="shared" si="1533"/>
        <v>89301000</v>
      </c>
      <c r="B7008" t="str">
        <f t="shared" si="1537"/>
        <v>72077000</v>
      </c>
      <c r="C7008" t="str">
        <f t="shared" si="1538"/>
        <v>72077001</v>
      </c>
      <c r="D7008" t="str">
        <f t="shared" si="1539"/>
        <v>813</v>
      </c>
      <c r="E7008" t="str">
        <f t="shared" si="1540"/>
        <v>89301152</v>
      </c>
      <c r="F7008" t="str">
        <f>"7556035344"</f>
        <v>7556035344</v>
      </c>
      <c r="G7008" s="1">
        <v>44764</v>
      </c>
      <c r="H7008" t="str">
        <f>"91197"</f>
        <v>91197</v>
      </c>
      <c r="I7008">
        <v>1</v>
      </c>
      <c r="J7008">
        <v>1046</v>
      </c>
      <c r="K7008">
        <v>0</v>
      </c>
      <c r="L7008">
        <v>815.88</v>
      </c>
    </row>
    <row r="7009" spans="1:12" x14ac:dyDescent="0.25">
      <c r="A7009" t="str">
        <f t="shared" si="1533"/>
        <v>89301000</v>
      </c>
      <c r="B7009" t="str">
        <f t="shared" si="1537"/>
        <v>72077000</v>
      </c>
      <c r="C7009" t="str">
        <f t="shared" si="1538"/>
        <v>72077001</v>
      </c>
      <c r="D7009" t="str">
        <f t="shared" si="1539"/>
        <v>813</v>
      </c>
      <c r="E7009" t="str">
        <f t="shared" si="1540"/>
        <v>89301152</v>
      </c>
      <c r="F7009" t="str">
        <f>"7556035344"</f>
        <v>7556035344</v>
      </c>
      <c r="G7009" s="1">
        <v>44771</v>
      </c>
      <c r="H7009" t="str">
        <f>"91465"</f>
        <v>91465</v>
      </c>
      <c r="I7009">
        <v>1</v>
      </c>
      <c r="J7009">
        <v>1404</v>
      </c>
      <c r="K7009">
        <v>0</v>
      </c>
      <c r="L7009">
        <v>1095.1199999999999</v>
      </c>
    </row>
    <row r="7010" spans="1:12" x14ac:dyDescent="0.25">
      <c r="A7010" t="str">
        <f t="shared" si="1533"/>
        <v>89301000</v>
      </c>
      <c r="B7010" t="str">
        <f t="shared" si="1537"/>
        <v>72077000</v>
      </c>
      <c r="C7010" t="str">
        <f t="shared" si="1538"/>
        <v>72077001</v>
      </c>
      <c r="D7010" t="str">
        <f t="shared" si="1539"/>
        <v>813</v>
      </c>
      <c r="E7010" t="str">
        <f t="shared" si="1540"/>
        <v>89301152</v>
      </c>
      <c r="F7010" t="str">
        <f>"7103265312"</f>
        <v>7103265312</v>
      </c>
      <c r="G7010" s="1">
        <v>44740</v>
      </c>
      <c r="H7010" t="str">
        <f>"91219"</f>
        <v>91219</v>
      </c>
      <c r="I7010">
        <v>1</v>
      </c>
      <c r="J7010">
        <v>342</v>
      </c>
      <c r="K7010">
        <v>0</v>
      </c>
      <c r="L7010">
        <v>266.76</v>
      </c>
    </row>
    <row r="7011" spans="1:12" x14ac:dyDescent="0.25">
      <c r="A7011" t="str">
        <f t="shared" si="1533"/>
        <v>89301000</v>
      </c>
      <c r="B7011" t="str">
        <f t="shared" si="1537"/>
        <v>72077000</v>
      </c>
      <c r="C7011" t="str">
        <f t="shared" si="1538"/>
        <v>72077001</v>
      </c>
      <c r="D7011" t="str">
        <f t="shared" si="1539"/>
        <v>813</v>
      </c>
      <c r="E7011" t="str">
        <f t="shared" si="1540"/>
        <v>89301152</v>
      </c>
      <c r="F7011" t="str">
        <f>"7103265312"</f>
        <v>7103265312</v>
      </c>
      <c r="G7011" s="1">
        <v>44740</v>
      </c>
      <c r="H7011" t="str">
        <f>"91219"</f>
        <v>91219</v>
      </c>
      <c r="I7011">
        <v>1</v>
      </c>
      <c r="J7011">
        <v>342</v>
      </c>
      <c r="K7011">
        <v>0</v>
      </c>
      <c r="L7011">
        <v>266.76</v>
      </c>
    </row>
    <row r="7012" spans="1:12" x14ac:dyDescent="0.25">
      <c r="A7012" t="str">
        <f t="shared" si="1533"/>
        <v>89301000</v>
      </c>
      <c r="B7012" t="str">
        <f t="shared" si="1537"/>
        <v>72077000</v>
      </c>
      <c r="C7012" t="str">
        <f t="shared" si="1538"/>
        <v>72077001</v>
      </c>
      <c r="D7012" t="str">
        <f t="shared" si="1539"/>
        <v>813</v>
      </c>
      <c r="E7012" t="str">
        <f t="shared" si="1540"/>
        <v>89301152</v>
      </c>
      <c r="F7012" t="str">
        <f>"7103265312"</f>
        <v>7103265312</v>
      </c>
      <c r="G7012" s="1">
        <v>44742</v>
      </c>
      <c r="H7012" t="str">
        <f>"91465"</f>
        <v>91465</v>
      </c>
      <c r="I7012">
        <v>1</v>
      </c>
      <c r="J7012">
        <v>1404</v>
      </c>
      <c r="K7012">
        <v>0</v>
      </c>
      <c r="L7012">
        <v>1095.1199999999999</v>
      </c>
    </row>
    <row r="7013" spans="1:12" x14ac:dyDescent="0.25">
      <c r="A7013" t="str">
        <f t="shared" si="1533"/>
        <v>89301000</v>
      </c>
      <c r="B7013" t="str">
        <f t="shared" si="1537"/>
        <v>72077000</v>
      </c>
      <c r="C7013" t="str">
        <f t="shared" si="1538"/>
        <v>72077001</v>
      </c>
      <c r="D7013" t="str">
        <f t="shared" si="1539"/>
        <v>813</v>
      </c>
      <c r="E7013" t="str">
        <f t="shared" si="1540"/>
        <v>89301152</v>
      </c>
      <c r="F7013" t="str">
        <f>"7103265312"</f>
        <v>7103265312</v>
      </c>
      <c r="G7013" s="1">
        <v>44742</v>
      </c>
      <c r="H7013" t="str">
        <f>"91197"</f>
        <v>91197</v>
      </c>
      <c r="I7013">
        <v>1</v>
      </c>
      <c r="J7013">
        <v>1046</v>
      </c>
      <c r="K7013">
        <v>0</v>
      </c>
      <c r="L7013">
        <v>815.88</v>
      </c>
    </row>
    <row r="7014" spans="1:12" x14ac:dyDescent="0.25">
      <c r="A7014" t="str">
        <f t="shared" si="1533"/>
        <v>89301000</v>
      </c>
      <c r="B7014" t="str">
        <f t="shared" si="1537"/>
        <v>72077000</v>
      </c>
      <c r="C7014" t="str">
        <f t="shared" si="1538"/>
        <v>72077001</v>
      </c>
      <c r="D7014" t="str">
        <f t="shared" si="1539"/>
        <v>813</v>
      </c>
      <c r="E7014" t="str">
        <f t="shared" si="1540"/>
        <v>89301152</v>
      </c>
      <c r="F7014" t="str">
        <f>"5954271323"</f>
        <v>5954271323</v>
      </c>
      <c r="G7014" s="1">
        <v>44741</v>
      </c>
      <c r="H7014" t="str">
        <f>"91171"</f>
        <v>91171</v>
      </c>
      <c r="I7014">
        <v>1</v>
      </c>
      <c r="J7014">
        <v>360</v>
      </c>
      <c r="K7014">
        <v>0</v>
      </c>
      <c r="L7014">
        <v>280.8</v>
      </c>
    </row>
    <row r="7015" spans="1:12" x14ac:dyDescent="0.25">
      <c r="A7015" t="str">
        <f t="shared" si="1533"/>
        <v>89301000</v>
      </c>
      <c r="B7015" t="str">
        <f t="shared" si="1537"/>
        <v>72077000</v>
      </c>
      <c r="C7015" t="str">
        <f t="shared" si="1538"/>
        <v>72077001</v>
      </c>
      <c r="D7015" t="str">
        <f t="shared" si="1539"/>
        <v>813</v>
      </c>
      <c r="E7015" t="str">
        <f t="shared" si="1540"/>
        <v>89301152</v>
      </c>
      <c r="F7015" t="str">
        <f>"5954271323"</f>
        <v>5954271323</v>
      </c>
      <c r="G7015" s="1">
        <v>44741</v>
      </c>
      <c r="H7015" t="str">
        <f>"91171"</f>
        <v>91171</v>
      </c>
      <c r="I7015">
        <v>1</v>
      </c>
      <c r="J7015">
        <v>360</v>
      </c>
      <c r="K7015">
        <v>0</v>
      </c>
      <c r="L7015">
        <v>280.8</v>
      </c>
    </row>
    <row r="7016" spans="1:12" x14ac:dyDescent="0.25">
      <c r="A7016" t="str">
        <f t="shared" si="1533"/>
        <v>89301000</v>
      </c>
      <c r="B7016" t="str">
        <f t="shared" si="1537"/>
        <v>72077000</v>
      </c>
      <c r="C7016" t="str">
        <f t="shared" si="1538"/>
        <v>72077001</v>
      </c>
      <c r="D7016" t="str">
        <f t="shared" si="1539"/>
        <v>813</v>
      </c>
      <c r="E7016" t="str">
        <f t="shared" si="1540"/>
        <v>89301152</v>
      </c>
      <c r="F7016" t="str">
        <f>"5954271323"</f>
        <v>5954271323</v>
      </c>
      <c r="G7016" s="1">
        <v>44741</v>
      </c>
      <c r="H7016" t="str">
        <f>"91171"</f>
        <v>91171</v>
      </c>
      <c r="I7016">
        <v>1</v>
      </c>
      <c r="J7016">
        <v>360</v>
      </c>
      <c r="K7016">
        <v>0</v>
      </c>
      <c r="L7016">
        <v>280.8</v>
      </c>
    </row>
    <row r="7017" spans="1:12" x14ac:dyDescent="0.25">
      <c r="A7017" t="str">
        <f t="shared" si="1533"/>
        <v>89301000</v>
      </c>
      <c r="B7017" t="str">
        <f t="shared" ref="B7017:C7033" si="1541">"87669000"</f>
        <v>87669000</v>
      </c>
      <c r="C7017" t="str">
        <f t="shared" si="1541"/>
        <v>87669000</v>
      </c>
      <c r="D7017" t="str">
        <f t="shared" ref="D7017:D7034" si="1542">"801"</f>
        <v>801</v>
      </c>
      <c r="E7017" t="str">
        <f t="shared" ref="E7017:E7034" si="1543">"89301167"</f>
        <v>89301167</v>
      </c>
      <c r="F7017" t="str">
        <f t="shared" ref="F7017:F7034" si="1544">"480710460"</f>
        <v>480710460</v>
      </c>
      <c r="G7017" s="1">
        <v>44770</v>
      </c>
      <c r="H7017" t="str">
        <f>"81329"</f>
        <v>81329</v>
      </c>
      <c r="I7017">
        <v>1</v>
      </c>
      <c r="J7017">
        <v>16</v>
      </c>
      <c r="K7017">
        <v>0</v>
      </c>
      <c r="L7017">
        <v>12.48</v>
      </c>
    </row>
    <row r="7018" spans="1:12" x14ac:dyDescent="0.25">
      <c r="A7018" t="str">
        <f t="shared" si="1533"/>
        <v>89301000</v>
      </c>
      <c r="B7018" t="str">
        <f t="shared" si="1541"/>
        <v>87669000</v>
      </c>
      <c r="C7018" t="str">
        <f t="shared" si="1541"/>
        <v>87669000</v>
      </c>
      <c r="D7018" t="str">
        <f t="shared" si="1542"/>
        <v>801</v>
      </c>
      <c r="E7018" t="str">
        <f t="shared" si="1543"/>
        <v>89301167</v>
      </c>
      <c r="F7018" t="str">
        <f t="shared" si="1544"/>
        <v>480710460</v>
      </c>
      <c r="G7018" s="1">
        <v>44770</v>
      </c>
      <c r="H7018" t="str">
        <f>"81337"</f>
        <v>81337</v>
      </c>
      <c r="I7018">
        <v>1</v>
      </c>
      <c r="J7018">
        <v>19</v>
      </c>
      <c r="K7018">
        <v>0</v>
      </c>
      <c r="L7018">
        <v>14.82</v>
      </c>
    </row>
    <row r="7019" spans="1:12" x14ac:dyDescent="0.25">
      <c r="A7019" t="str">
        <f t="shared" si="1533"/>
        <v>89301000</v>
      </c>
      <c r="B7019" t="str">
        <f t="shared" si="1541"/>
        <v>87669000</v>
      </c>
      <c r="C7019" t="str">
        <f t="shared" si="1541"/>
        <v>87669000</v>
      </c>
      <c r="D7019" t="str">
        <f t="shared" si="1542"/>
        <v>801</v>
      </c>
      <c r="E7019" t="str">
        <f t="shared" si="1543"/>
        <v>89301167</v>
      </c>
      <c r="F7019" t="str">
        <f t="shared" si="1544"/>
        <v>480710460</v>
      </c>
      <c r="G7019" s="1">
        <v>44770</v>
      </c>
      <c r="H7019" t="str">
        <f>"81357"</f>
        <v>81357</v>
      </c>
      <c r="I7019">
        <v>1</v>
      </c>
      <c r="J7019">
        <v>19</v>
      </c>
      <c r="K7019">
        <v>0</v>
      </c>
      <c r="L7019">
        <v>14.82</v>
      </c>
    </row>
    <row r="7020" spans="1:12" x14ac:dyDescent="0.25">
      <c r="A7020" t="str">
        <f t="shared" si="1533"/>
        <v>89301000</v>
      </c>
      <c r="B7020" t="str">
        <f t="shared" si="1541"/>
        <v>87669000</v>
      </c>
      <c r="C7020" t="str">
        <f t="shared" si="1541"/>
        <v>87669000</v>
      </c>
      <c r="D7020" t="str">
        <f t="shared" si="1542"/>
        <v>801</v>
      </c>
      <c r="E7020" t="str">
        <f t="shared" si="1543"/>
        <v>89301167</v>
      </c>
      <c r="F7020" t="str">
        <f t="shared" si="1544"/>
        <v>480710460</v>
      </c>
      <c r="G7020" s="1">
        <v>44770</v>
      </c>
      <c r="H7020" t="str">
        <f>"81361"</f>
        <v>81361</v>
      </c>
      <c r="I7020">
        <v>1</v>
      </c>
      <c r="J7020">
        <v>17</v>
      </c>
      <c r="K7020">
        <v>0</v>
      </c>
      <c r="L7020">
        <v>13.26</v>
      </c>
    </row>
    <row r="7021" spans="1:12" x14ac:dyDescent="0.25">
      <c r="A7021" t="str">
        <f t="shared" si="1533"/>
        <v>89301000</v>
      </c>
      <c r="B7021" t="str">
        <f t="shared" si="1541"/>
        <v>87669000</v>
      </c>
      <c r="C7021" t="str">
        <f t="shared" si="1541"/>
        <v>87669000</v>
      </c>
      <c r="D7021" t="str">
        <f t="shared" si="1542"/>
        <v>801</v>
      </c>
      <c r="E7021" t="str">
        <f t="shared" si="1543"/>
        <v>89301167</v>
      </c>
      <c r="F7021" t="str">
        <f t="shared" si="1544"/>
        <v>480710460</v>
      </c>
      <c r="G7021" s="1">
        <v>44770</v>
      </c>
      <c r="H7021" t="str">
        <f>"81365"</f>
        <v>81365</v>
      </c>
      <c r="I7021">
        <v>1</v>
      </c>
      <c r="J7021">
        <v>16</v>
      </c>
      <c r="K7021">
        <v>0</v>
      </c>
      <c r="L7021">
        <v>12.48</v>
      </c>
    </row>
    <row r="7022" spans="1:12" x14ac:dyDescent="0.25">
      <c r="A7022" t="str">
        <f t="shared" si="1533"/>
        <v>89301000</v>
      </c>
      <c r="B7022" t="str">
        <f t="shared" si="1541"/>
        <v>87669000</v>
      </c>
      <c r="C7022" t="str">
        <f t="shared" si="1541"/>
        <v>87669000</v>
      </c>
      <c r="D7022" t="str">
        <f t="shared" si="1542"/>
        <v>801</v>
      </c>
      <c r="E7022" t="str">
        <f t="shared" si="1543"/>
        <v>89301167</v>
      </c>
      <c r="F7022" t="str">
        <f t="shared" si="1544"/>
        <v>480710460</v>
      </c>
      <c r="G7022" s="1">
        <v>44770</v>
      </c>
      <c r="H7022" t="str">
        <f>"81393"</f>
        <v>81393</v>
      </c>
      <c r="I7022">
        <v>1</v>
      </c>
      <c r="J7022">
        <v>24</v>
      </c>
      <c r="K7022">
        <v>0</v>
      </c>
      <c r="L7022">
        <v>18.72</v>
      </c>
    </row>
    <row r="7023" spans="1:12" x14ac:dyDescent="0.25">
      <c r="A7023" t="str">
        <f t="shared" si="1533"/>
        <v>89301000</v>
      </c>
      <c r="B7023" t="str">
        <f t="shared" si="1541"/>
        <v>87669000</v>
      </c>
      <c r="C7023" t="str">
        <f t="shared" si="1541"/>
        <v>87669000</v>
      </c>
      <c r="D7023" t="str">
        <f t="shared" si="1542"/>
        <v>801</v>
      </c>
      <c r="E7023" t="str">
        <f t="shared" si="1543"/>
        <v>89301167</v>
      </c>
      <c r="F7023" t="str">
        <f t="shared" si="1544"/>
        <v>480710460</v>
      </c>
      <c r="G7023" s="1">
        <v>44770</v>
      </c>
      <c r="H7023" t="str">
        <f>"81421"</f>
        <v>81421</v>
      </c>
      <c r="I7023">
        <v>1</v>
      </c>
      <c r="J7023">
        <v>19</v>
      </c>
      <c r="K7023">
        <v>0</v>
      </c>
      <c r="L7023">
        <v>14.82</v>
      </c>
    </row>
    <row r="7024" spans="1:12" x14ac:dyDescent="0.25">
      <c r="A7024" t="str">
        <f t="shared" si="1533"/>
        <v>89301000</v>
      </c>
      <c r="B7024" t="str">
        <f t="shared" si="1541"/>
        <v>87669000</v>
      </c>
      <c r="C7024" t="str">
        <f t="shared" si="1541"/>
        <v>87669000</v>
      </c>
      <c r="D7024" t="str">
        <f t="shared" si="1542"/>
        <v>801</v>
      </c>
      <c r="E7024" t="str">
        <f t="shared" si="1543"/>
        <v>89301167</v>
      </c>
      <c r="F7024" t="str">
        <f t="shared" si="1544"/>
        <v>480710460</v>
      </c>
      <c r="G7024" s="1">
        <v>44770</v>
      </c>
      <c r="H7024" t="str">
        <f>"81435"</f>
        <v>81435</v>
      </c>
      <c r="I7024">
        <v>1</v>
      </c>
      <c r="J7024">
        <v>22</v>
      </c>
      <c r="K7024">
        <v>0</v>
      </c>
      <c r="L7024">
        <v>17.16</v>
      </c>
    </row>
    <row r="7025" spans="1:12" x14ac:dyDescent="0.25">
      <c r="A7025" t="str">
        <f t="shared" si="1533"/>
        <v>89301000</v>
      </c>
      <c r="B7025" t="str">
        <f t="shared" si="1541"/>
        <v>87669000</v>
      </c>
      <c r="C7025" t="str">
        <f t="shared" si="1541"/>
        <v>87669000</v>
      </c>
      <c r="D7025" t="str">
        <f t="shared" si="1542"/>
        <v>801</v>
      </c>
      <c r="E7025" t="str">
        <f t="shared" si="1543"/>
        <v>89301167</v>
      </c>
      <c r="F7025" t="str">
        <f t="shared" si="1544"/>
        <v>480710460</v>
      </c>
      <c r="G7025" s="1">
        <v>44770</v>
      </c>
      <c r="H7025" t="str">
        <f>"81439"</f>
        <v>81439</v>
      </c>
      <c r="I7025">
        <v>1</v>
      </c>
      <c r="J7025">
        <v>16</v>
      </c>
      <c r="K7025">
        <v>0</v>
      </c>
      <c r="L7025">
        <v>12.48</v>
      </c>
    </row>
    <row r="7026" spans="1:12" x14ac:dyDescent="0.25">
      <c r="A7026" t="str">
        <f t="shared" si="1533"/>
        <v>89301000</v>
      </c>
      <c r="B7026" t="str">
        <f t="shared" si="1541"/>
        <v>87669000</v>
      </c>
      <c r="C7026" t="str">
        <f t="shared" si="1541"/>
        <v>87669000</v>
      </c>
      <c r="D7026" t="str">
        <f t="shared" si="1542"/>
        <v>801</v>
      </c>
      <c r="E7026" t="str">
        <f t="shared" si="1543"/>
        <v>89301167</v>
      </c>
      <c r="F7026" t="str">
        <f t="shared" si="1544"/>
        <v>480710460</v>
      </c>
      <c r="G7026" s="1">
        <v>44770</v>
      </c>
      <c r="H7026" t="str">
        <f>"81469"</f>
        <v>81469</v>
      </c>
      <c r="I7026">
        <v>1</v>
      </c>
      <c r="J7026">
        <v>16</v>
      </c>
      <c r="K7026">
        <v>0</v>
      </c>
      <c r="L7026">
        <v>12.48</v>
      </c>
    </row>
    <row r="7027" spans="1:12" x14ac:dyDescent="0.25">
      <c r="A7027" t="str">
        <f t="shared" si="1533"/>
        <v>89301000</v>
      </c>
      <c r="B7027" t="str">
        <f t="shared" si="1541"/>
        <v>87669000</v>
      </c>
      <c r="C7027" t="str">
        <f t="shared" si="1541"/>
        <v>87669000</v>
      </c>
      <c r="D7027" t="str">
        <f t="shared" si="1542"/>
        <v>801</v>
      </c>
      <c r="E7027" t="str">
        <f t="shared" si="1543"/>
        <v>89301167</v>
      </c>
      <c r="F7027" t="str">
        <f t="shared" si="1544"/>
        <v>480710460</v>
      </c>
      <c r="G7027" s="1">
        <v>44770</v>
      </c>
      <c r="H7027" t="str">
        <f>"81499"</f>
        <v>81499</v>
      </c>
      <c r="I7027">
        <v>1</v>
      </c>
      <c r="J7027">
        <v>18</v>
      </c>
      <c r="K7027">
        <v>0</v>
      </c>
      <c r="L7027">
        <v>14.04</v>
      </c>
    </row>
    <row r="7028" spans="1:12" x14ac:dyDescent="0.25">
      <c r="A7028" t="str">
        <f t="shared" si="1533"/>
        <v>89301000</v>
      </c>
      <c r="B7028" t="str">
        <f t="shared" si="1541"/>
        <v>87669000</v>
      </c>
      <c r="C7028" t="str">
        <f t="shared" si="1541"/>
        <v>87669000</v>
      </c>
      <c r="D7028" t="str">
        <f t="shared" si="1542"/>
        <v>801</v>
      </c>
      <c r="E7028" t="str">
        <f t="shared" si="1543"/>
        <v>89301167</v>
      </c>
      <c r="F7028" t="str">
        <f t="shared" si="1544"/>
        <v>480710460</v>
      </c>
      <c r="G7028" s="1">
        <v>44770</v>
      </c>
      <c r="H7028" t="str">
        <f>"81593"</f>
        <v>81593</v>
      </c>
      <c r="I7028">
        <v>1</v>
      </c>
      <c r="J7028">
        <v>22</v>
      </c>
      <c r="K7028">
        <v>0</v>
      </c>
      <c r="L7028">
        <v>17.16</v>
      </c>
    </row>
    <row r="7029" spans="1:12" x14ac:dyDescent="0.25">
      <c r="A7029" t="str">
        <f t="shared" si="1533"/>
        <v>89301000</v>
      </c>
      <c r="B7029" t="str">
        <f t="shared" si="1541"/>
        <v>87669000</v>
      </c>
      <c r="C7029" t="str">
        <f t="shared" si="1541"/>
        <v>87669000</v>
      </c>
      <c r="D7029" t="str">
        <f t="shared" si="1542"/>
        <v>801</v>
      </c>
      <c r="E7029" t="str">
        <f t="shared" si="1543"/>
        <v>89301167</v>
      </c>
      <c r="F7029" t="str">
        <f t="shared" si="1544"/>
        <v>480710460</v>
      </c>
      <c r="G7029" s="1">
        <v>44770</v>
      </c>
      <c r="H7029" t="str">
        <f>"81621"</f>
        <v>81621</v>
      </c>
      <c r="I7029">
        <v>1</v>
      </c>
      <c r="J7029">
        <v>19</v>
      </c>
      <c r="K7029">
        <v>0</v>
      </c>
      <c r="L7029">
        <v>14.82</v>
      </c>
    </row>
    <row r="7030" spans="1:12" x14ac:dyDescent="0.25">
      <c r="A7030" t="str">
        <f t="shared" si="1533"/>
        <v>89301000</v>
      </c>
      <c r="B7030" t="str">
        <f t="shared" si="1541"/>
        <v>87669000</v>
      </c>
      <c r="C7030" t="str">
        <f t="shared" si="1541"/>
        <v>87669000</v>
      </c>
      <c r="D7030" t="str">
        <f t="shared" si="1542"/>
        <v>801</v>
      </c>
      <c r="E7030" t="str">
        <f t="shared" si="1543"/>
        <v>89301167</v>
      </c>
      <c r="F7030" t="str">
        <f t="shared" si="1544"/>
        <v>480710460</v>
      </c>
      <c r="G7030" s="1">
        <v>44770</v>
      </c>
      <c r="H7030" t="str">
        <f>"81625"</f>
        <v>81625</v>
      </c>
      <c r="I7030">
        <v>1</v>
      </c>
      <c r="J7030">
        <v>20</v>
      </c>
      <c r="K7030">
        <v>0</v>
      </c>
      <c r="L7030">
        <v>15.6</v>
      </c>
    </row>
    <row r="7031" spans="1:12" x14ac:dyDescent="0.25">
      <c r="A7031" t="str">
        <f t="shared" si="1533"/>
        <v>89301000</v>
      </c>
      <c r="B7031" t="str">
        <f t="shared" si="1541"/>
        <v>87669000</v>
      </c>
      <c r="C7031" t="str">
        <f t="shared" si="1541"/>
        <v>87669000</v>
      </c>
      <c r="D7031" t="str">
        <f t="shared" si="1542"/>
        <v>801</v>
      </c>
      <c r="E7031" t="str">
        <f t="shared" si="1543"/>
        <v>89301167</v>
      </c>
      <c r="F7031" t="str">
        <f t="shared" si="1544"/>
        <v>480710460</v>
      </c>
      <c r="G7031" s="1">
        <v>44770</v>
      </c>
      <c r="H7031" t="str">
        <f>"91153"</f>
        <v>91153</v>
      </c>
      <c r="I7031">
        <v>1</v>
      </c>
      <c r="J7031">
        <v>152</v>
      </c>
      <c r="K7031">
        <v>0</v>
      </c>
      <c r="L7031">
        <v>118.56</v>
      </c>
    </row>
    <row r="7032" spans="1:12" x14ac:dyDescent="0.25">
      <c r="A7032" t="str">
        <f t="shared" si="1533"/>
        <v>89301000</v>
      </c>
      <c r="B7032" t="str">
        <f t="shared" si="1541"/>
        <v>87669000</v>
      </c>
      <c r="C7032" t="str">
        <f t="shared" si="1541"/>
        <v>87669000</v>
      </c>
      <c r="D7032" t="str">
        <f t="shared" si="1542"/>
        <v>801</v>
      </c>
      <c r="E7032" t="str">
        <f t="shared" si="1543"/>
        <v>89301167</v>
      </c>
      <c r="F7032" t="str">
        <f t="shared" si="1544"/>
        <v>480710460</v>
      </c>
      <c r="G7032" s="1">
        <v>44770</v>
      </c>
      <c r="H7032" t="str">
        <f>"96167"</f>
        <v>96167</v>
      </c>
      <c r="I7032">
        <v>1</v>
      </c>
      <c r="J7032">
        <v>67</v>
      </c>
      <c r="K7032">
        <v>0</v>
      </c>
      <c r="L7032">
        <v>52.26</v>
      </c>
    </row>
    <row r="7033" spans="1:12" x14ac:dyDescent="0.25">
      <c r="A7033" t="str">
        <f t="shared" si="1533"/>
        <v>89301000</v>
      </c>
      <c r="B7033" t="str">
        <f t="shared" si="1541"/>
        <v>87669000</v>
      </c>
      <c r="C7033" t="str">
        <f t="shared" si="1541"/>
        <v>87669000</v>
      </c>
      <c r="D7033" t="str">
        <f t="shared" si="1542"/>
        <v>801</v>
      </c>
      <c r="E7033" t="str">
        <f t="shared" si="1543"/>
        <v>89301167</v>
      </c>
      <c r="F7033" t="str">
        <f t="shared" si="1544"/>
        <v>480710460</v>
      </c>
      <c r="G7033" s="1">
        <v>44770</v>
      </c>
      <c r="H7033" t="str">
        <f>"97111"</f>
        <v>97111</v>
      </c>
      <c r="I7033">
        <v>1</v>
      </c>
      <c r="J7033">
        <v>18</v>
      </c>
      <c r="K7033">
        <v>0</v>
      </c>
      <c r="L7033">
        <v>14.04</v>
      </c>
    </row>
    <row r="7034" spans="1:12" x14ac:dyDescent="0.25">
      <c r="A7034" t="str">
        <f t="shared" si="1533"/>
        <v>89301000</v>
      </c>
      <c r="B7034" t="str">
        <f>"91997900"</f>
        <v>91997900</v>
      </c>
      <c r="C7034" t="str">
        <f>"91997901"</f>
        <v>91997901</v>
      </c>
      <c r="D7034" t="str">
        <f t="shared" si="1542"/>
        <v>801</v>
      </c>
      <c r="E7034" t="str">
        <f t="shared" si="1543"/>
        <v>89301167</v>
      </c>
      <c r="F7034" t="str">
        <f t="shared" si="1544"/>
        <v>480710460</v>
      </c>
      <c r="G7034" s="1">
        <v>44770</v>
      </c>
      <c r="H7034" t="str">
        <f>"81383"</f>
        <v>81383</v>
      </c>
      <c r="I7034">
        <v>1</v>
      </c>
      <c r="J7034">
        <v>23</v>
      </c>
      <c r="K7034">
        <v>0</v>
      </c>
      <c r="L7034">
        <v>17.940000000000001</v>
      </c>
    </row>
    <row r="7035" spans="1:12" x14ac:dyDescent="0.25">
      <c r="A7035" t="str">
        <f t="shared" si="1533"/>
        <v>89301000</v>
      </c>
      <c r="B7035" t="str">
        <f t="shared" ref="B7035:B7055" si="1545">"88805000"</f>
        <v>88805000</v>
      </c>
      <c r="C7035" t="str">
        <f t="shared" ref="C7035:C7040" si="1546">"88805014"</f>
        <v>88805014</v>
      </c>
      <c r="D7035" t="str">
        <f t="shared" ref="D7035:D7040" si="1547">"816"</f>
        <v>816</v>
      </c>
      <c r="E7035" t="str">
        <f t="shared" ref="E7035:E7040" si="1548">"89301282"</f>
        <v>89301282</v>
      </c>
      <c r="F7035" t="str">
        <f>"8654274915"</f>
        <v>8654274915</v>
      </c>
      <c r="G7035" s="1">
        <v>44610</v>
      </c>
      <c r="H7035" t="str">
        <f>"94345"</f>
        <v>94345</v>
      </c>
      <c r="I7035">
        <v>2</v>
      </c>
      <c r="J7035">
        <v>9250</v>
      </c>
      <c r="K7035">
        <v>0</v>
      </c>
      <c r="L7035">
        <v>7862.5</v>
      </c>
    </row>
    <row r="7036" spans="1:12" x14ac:dyDescent="0.25">
      <c r="A7036" t="str">
        <f t="shared" si="1533"/>
        <v>89301000</v>
      </c>
      <c r="B7036" t="str">
        <f t="shared" si="1545"/>
        <v>88805000</v>
      </c>
      <c r="C7036" t="str">
        <f t="shared" si="1546"/>
        <v>88805014</v>
      </c>
      <c r="D7036" t="str">
        <f t="shared" si="1547"/>
        <v>816</v>
      </c>
      <c r="E7036" t="str">
        <f t="shared" si="1548"/>
        <v>89301282</v>
      </c>
      <c r="F7036" t="str">
        <f>"8654274915"</f>
        <v>8654274915</v>
      </c>
      <c r="G7036" s="1">
        <v>44610</v>
      </c>
      <c r="H7036" t="str">
        <f>"94948"</f>
        <v>94948</v>
      </c>
      <c r="I7036">
        <v>1</v>
      </c>
      <c r="J7036">
        <v>0</v>
      </c>
      <c r="K7036">
        <v>0</v>
      </c>
      <c r="L7036">
        <v>0</v>
      </c>
    </row>
    <row r="7037" spans="1:12" x14ac:dyDescent="0.25">
      <c r="A7037" t="str">
        <f t="shared" si="1533"/>
        <v>89301000</v>
      </c>
      <c r="B7037" t="str">
        <f t="shared" si="1545"/>
        <v>88805000</v>
      </c>
      <c r="C7037" t="str">
        <f t="shared" si="1546"/>
        <v>88805014</v>
      </c>
      <c r="D7037" t="str">
        <f t="shared" si="1547"/>
        <v>816</v>
      </c>
      <c r="E7037" t="str">
        <f t="shared" si="1548"/>
        <v>89301282</v>
      </c>
      <c r="F7037" t="str">
        <f>"8854284912"</f>
        <v>8854284912</v>
      </c>
      <c r="G7037" s="1">
        <v>44610</v>
      </c>
      <c r="H7037" t="str">
        <f>"94345"</f>
        <v>94345</v>
      </c>
      <c r="I7037">
        <v>2</v>
      </c>
      <c r="J7037">
        <v>9250</v>
      </c>
      <c r="K7037">
        <v>0</v>
      </c>
      <c r="L7037">
        <v>7862.5</v>
      </c>
    </row>
    <row r="7038" spans="1:12" x14ac:dyDescent="0.25">
      <c r="A7038" t="str">
        <f t="shared" si="1533"/>
        <v>89301000</v>
      </c>
      <c r="B7038" t="str">
        <f t="shared" si="1545"/>
        <v>88805000</v>
      </c>
      <c r="C7038" t="str">
        <f t="shared" si="1546"/>
        <v>88805014</v>
      </c>
      <c r="D7038" t="str">
        <f t="shared" si="1547"/>
        <v>816</v>
      </c>
      <c r="E7038" t="str">
        <f t="shared" si="1548"/>
        <v>89301282</v>
      </c>
      <c r="F7038" t="str">
        <f>"8854284912"</f>
        <v>8854284912</v>
      </c>
      <c r="G7038" s="1">
        <v>44610</v>
      </c>
      <c r="H7038" t="str">
        <f>"94948"</f>
        <v>94948</v>
      </c>
      <c r="I7038">
        <v>1</v>
      </c>
      <c r="J7038">
        <v>0</v>
      </c>
      <c r="K7038">
        <v>0</v>
      </c>
      <c r="L7038">
        <v>0</v>
      </c>
    </row>
    <row r="7039" spans="1:12" x14ac:dyDescent="0.25">
      <c r="A7039" t="str">
        <f t="shared" si="1533"/>
        <v>89301000</v>
      </c>
      <c r="B7039" t="str">
        <f t="shared" si="1545"/>
        <v>88805000</v>
      </c>
      <c r="C7039" t="str">
        <f t="shared" si="1546"/>
        <v>88805014</v>
      </c>
      <c r="D7039" t="str">
        <f t="shared" si="1547"/>
        <v>816</v>
      </c>
      <c r="E7039" t="str">
        <f t="shared" si="1548"/>
        <v>89301282</v>
      </c>
      <c r="F7039" t="str">
        <f>"9404205712"</f>
        <v>9404205712</v>
      </c>
      <c r="G7039" s="1">
        <v>44617</v>
      </c>
      <c r="H7039" t="str">
        <f>"94983"</f>
        <v>94983</v>
      </c>
      <c r="I7039">
        <v>1</v>
      </c>
      <c r="J7039">
        <v>0</v>
      </c>
      <c r="K7039">
        <v>39600</v>
      </c>
      <c r="L7039">
        <v>39600</v>
      </c>
    </row>
    <row r="7040" spans="1:12" x14ac:dyDescent="0.25">
      <c r="A7040" t="str">
        <f t="shared" si="1533"/>
        <v>89301000</v>
      </c>
      <c r="B7040" t="str">
        <f t="shared" si="1545"/>
        <v>88805000</v>
      </c>
      <c r="C7040" t="str">
        <f t="shared" si="1546"/>
        <v>88805014</v>
      </c>
      <c r="D7040" t="str">
        <f t="shared" si="1547"/>
        <v>816</v>
      </c>
      <c r="E7040" t="str">
        <f t="shared" si="1548"/>
        <v>89301282</v>
      </c>
      <c r="F7040" t="str">
        <f>"9404205712"</f>
        <v>9404205712</v>
      </c>
      <c r="G7040" s="1">
        <v>44617</v>
      </c>
      <c r="H7040" t="str">
        <f>"94996"</f>
        <v>94996</v>
      </c>
      <c r="I7040">
        <v>1</v>
      </c>
      <c r="J7040">
        <v>0</v>
      </c>
      <c r="K7040">
        <v>0</v>
      </c>
      <c r="L7040">
        <v>0</v>
      </c>
    </row>
    <row r="7041" spans="1:12" x14ac:dyDescent="0.25">
      <c r="A7041" t="str">
        <f t="shared" si="1533"/>
        <v>89301000</v>
      </c>
      <c r="B7041" t="str">
        <f t="shared" si="1545"/>
        <v>88805000</v>
      </c>
      <c r="C7041" t="str">
        <f>"88805001"</f>
        <v>88805001</v>
      </c>
      <c r="D7041" t="str">
        <f>"801"</f>
        <v>801</v>
      </c>
      <c r="E7041" t="str">
        <f>"89301082"</f>
        <v>89301082</v>
      </c>
      <c r="F7041" t="str">
        <f>"8360295273"</f>
        <v>8360295273</v>
      </c>
      <c r="G7041" s="1">
        <v>44746</v>
      </c>
      <c r="H7041" t="str">
        <f>"97111"</f>
        <v>97111</v>
      </c>
      <c r="I7041">
        <v>1</v>
      </c>
      <c r="J7041">
        <v>18</v>
      </c>
      <c r="K7041">
        <v>0</v>
      </c>
      <c r="L7041">
        <v>14.04</v>
      </c>
    </row>
    <row r="7042" spans="1:12" x14ac:dyDescent="0.25">
      <c r="A7042" t="str">
        <f t="shared" ref="A7042:A7105" si="1549">"89301000"</f>
        <v>89301000</v>
      </c>
      <c r="B7042" t="str">
        <f t="shared" si="1545"/>
        <v>88805000</v>
      </c>
      <c r="C7042" t="str">
        <f>"88805001"</f>
        <v>88805001</v>
      </c>
      <c r="D7042" t="str">
        <f>"801"</f>
        <v>801</v>
      </c>
      <c r="E7042" t="str">
        <f>"89301082"</f>
        <v>89301082</v>
      </c>
      <c r="F7042" t="str">
        <f>"8360295273"</f>
        <v>8360295273</v>
      </c>
      <c r="G7042" s="1">
        <v>44746</v>
      </c>
      <c r="H7042" t="str">
        <f>"93159"</f>
        <v>93159</v>
      </c>
      <c r="I7042">
        <v>1</v>
      </c>
      <c r="J7042">
        <v>195</v>
      </c>
      <c r="K7042">
        <v>0</v>
      </c>
      <c r="L7042">
        <v>152.1</v>
      </c>
    </row>
    <row r="7043" spans="1:12" x14ac:dyDescent="0.25">
      <c r="A7043" t="str">
        <f t="shared" si="1549"/>
        <v>89301000</v>
      </c>
      <c r="B7043" t="str">
        <f t="shared" si="1545"/>
        <v>88805000</v>
      </c>
      <c r="C7043" t="str">
        <f>"88805001"</f>
        <v>88805001</v>
      </c>
      <c r="D7043" t="str">
        <f>"801"</f>
        <v>801</v>
      </c>
      <c r="E7043" t="str">
        <f>"89301702"</f>
        <v>89301702</v>
      </c>
      <c r="F7043" t="str">
        <f>"1753210096"</f>
        <v>1753210096</v>
      </c>
      <c r="G7043" s="1">
        <v>44762</v>
      </c>
      <c r="H7043" t="str">
        <f>"81631"</f>
        <v>81631</v>
      </c>
      <c r="I7043">
        <v>1</v>
      </c>
      <c r="J7043">
        <v>294</v>
      </c>
      <c r="K7043">
        <v>0</v>
      </c>
      <c r="L7043">
        <v>229.32</v>
      </c>
    </row>
    <row r="7044" spans="1:12" x14ac:dyDescent="0.25">
      <c r="A7044" t="str">
        <f t="shared" si="1549"/>
        <v>89301000</v>
      </c>
      <c r="B7044" t="str">
        <f t="shared" si="1545"/>
        <v>88805000</v>
      </c>
      <c r="C7044" t="str">
        <f>"88805001"</f>
        <v>88805001</v>
      </c>
      <c r="D7044" t="str">
        <f>"801"</f>
        <v>801</v>
      </c>
      <c r="E7044" t="str">
        <f>"89301702"</f>
        <v>89301702</v>
      </c>
      <c r="F7044" t="str">
        <f>"1753210096"</f>
        <v>1753210096</v>
      </c>
      <c r="G7044" s="1">
        <v>44762</v>
      </c>
      <c r="H7044" t="str">
        <f>"92143"</f>
        <v>92143</v>
      </c>
      <c r="I7044">
        <v>1</v>
      </c>
      <c r="J7044">
        <v>1748</v>
      </c>
      <c r="K7044">
        <v>0</v>
      </c>
      <c r="L7044">
        <v>1363.44</v>
      </c>
    </row>
    <row r="7045" spans="1:12" x14ac:dyDescent="0.25">
      <c r="A7045" t="str">
        <f t="shared" si="1549"/>
        <v>89301000</v>
      </c>
      <c r="B7045" t="str">
        <f t="shared" si="1545"/>
        <v>88805000</v>
      </c>
      <c r="C7045" t="str">
        <f t="shared" ref="C7045:C7055" si="1550">"88805014"</f>
        <v>88805014</v>
      </c>
      <c r="D7045" t="str">
        <f t="shared" ref="D7045:D7055" si="1551">"816"</f>
        <v>816</v>
      </c>
      <c r="E7045" t="str">
        <f t="shared" ref="E7045:E7055" si="1552">"89301282"</f>
        <v>89301282</v>
      </c>
      <c r="F7045" t="str">
        <f>"9811104864"</f>
        <v>9811104864</v>
      </c>
      <c r="G7045" s="1">
        <v>44755</v>
      </c>
      <c r="H7045" t="str">
        <f>"94221"</f>
        <v>94221</v>
      </c>
      <c r="I7045">
        <v>1</v>
      </c>
      <c r="J7045">
        <v>2453</v>
      </c>
      <c r="K7045">
        <v>0</v>
      </c>
      <c r="L7045">
        <v>2085.0500000000002</v>
      </c>
    </row>
    <row r="7046" spans="1:12" x14ac:dyDescent="0.25">
      <c r="A7046" t="str">
        <f t="shared" si="1549"/>
        <v>89301000</v>
      </c>
      <c r="B7046" t="str">
        <f t="shared" si="1545"/>
        <v>88805000</v>
      </c>
      <c r="C7046" t="str">
        <f t="shared" si="1550"/>
        <v>88805014</v>
      </c>
      <c r="D7046" t="str">
        <f t="shared" si="1551"/>
        <v>816</v>
      </c>
      <c r="E7046" t="str">
        <f t="shared" si="1552"/>
        <v>89301282</v>
      </c>
      <c r="F7046" t="str">
        <f>"9811104864"</f>
        <v>9811104864</v>
      </c>
      <c r="G7046" s="1">
        <v>44755</v>
      </c>
      <c r="H7046" t="str">
        <f>"94227"</f>
        <v>94227</v>
      </c>
      <c r="I7046">
        <v>1</v>
      </c>
      <c r="J7046">
        <v>618</v>
      </c>
      <c r="K7046">
        <v>0</v>
      </c>
      <c r="L7046">
        <v>525.29999999999995</v>
      </c>
    </row>
    <row r="7047" spans="1:12" x14ac:dyDescent="0.25">
      <c r="A7047" t="str">
        <f t="shared" si="1549"/>
        <v>89301000</v>
      </c>
      <c r="B7047" t="str">
        <f t="shared" si="1545"/>
        <v>88805000</v>
      </c>
      <c r="C7047" t="str">
        <f t="shared" si="1550"/>
        <v>88805014</v>
      </c>
      <c r="D7047" t="str">
        <f t="shared" si="1551"/>
        <v>816</v>
      </c>
      <c r="E7047" t="str">
        <f t="shared" si="1552"/>
        <v>89301282</v>
      </c>
      <c r="F7047" t="str">
        <f>"9811104864"</f>
        <v>9811104864</v>
      </c>
      <c r="G7047" s="1">
        <v>44755</v>
      </c>
      <c r="H7047" t="str">
        <f>"94237"</f>
        <v>94237</v>
      </c>
      <c r="I7047">
        <v>1</v>
      </c>
      <c r="J7047">
        <v>3916</v>
      </c>
      <c r="K7047">
        <v>0</v>
      </c>
      <c r="L7047">
        <v>3328.6</v>
      </c>
    </row>
    <row r="7048" spans="1:12" x14ac:dyDescent="0.25">
      <c r="A7048" t="str">
        <f t="shared" si="1549"/>
        <v>89301000</v>
      </c>
      <c r="B7048" t="str">
        <f t="shared" si="1545"/>
        <v>88805000</v>
      </c>
      <c r="C7048" t="str">
        <f t="shared" si="1550"/>
        <v>88805014</v>
      </c>
      <c r="D7048" t="str">
        <f t="shared" si="1551"/>
        <v>816</v>
      </c>
      <c r="E7048" t="str">
        <f t="shared" si="1552"/>
        <v>89301282</v>
      </c>
      <c r="F7048" t="str">
        <f>"9811104864"</f>
        <v>9811104864</v>
      </c>
      <c r="G7048" s="1">
        <v>44755</v>
      </c>
      <c r="H7048" t="str">
        <f>"94331"</f>
        <v>94331</v>
      </c>
      <c r="I7048">
        <v>2</v>
      </c>
      <c r="J7048">
        <v>15556</v>
      </c>
      <c r="K7048">
        <v>0</v>
      </c>
      <c r="L7048">
        <v>13222.6</v>
      </c>
    </row>
    <row r="7049" spans="1:12" x14ac:dyDescent="0.25">
      <c r="A7049" t="str">
        <f t="shared" si="1549"/>
        <v>89301000</v>
      </c>
      <c r="B7049" t="str">
        <f t="shared" si="1545"/>
        <v>88805000</v>
      </c>
      <c r="C7049" t="str">
        <f t="shared" si="1550"/>
        <v>88805014</v>
      </c>
      <c r="D7049" t="str">
        <f t="shared" si="1551"/>
        <v>816</v>
      </c>
      <c r="E7049" t="str">
        <f t="shared" si="1552"/>
        <v>89301282</v>
      </c>
      <c r="F7049" t="str">
        <f>"9811104864"</f>
        <v>9811104864</v>
      </c>
      <c r="G7049" s="1">
        <v>44755</v>
      </c>
      <c r="H7049" t="str">
        <f>"94948"</f>
        <v>94948</v>
      </c>
      <c r="I7049">
        <v>1</v>
      </c>
      <c r="J7049">
        <v>0</v>
      </c>
      <c r="K7049">
        <v>0</v>
      </c>
      <c r="L7049">
        <v>0</v>
      </c>
    </row>
    <row r="7050" spans="1:12" x14ac:dyDescent="0.25">
      <c r="A7050" t="str">
        <f t="shared" si="1549"/>
        <v>89301000</v>
      </c>
      <c r="B7050" t="str">
        <f t="shared" si="1545"/>
        <v>88805000</v>
      </c>
      <c r="C7050" t="str">
        <f t="shared" si="1550"/>
        <v>88805014</v>
      </c>
      <c r="D7050" t="str">
        <f t="shared" si="1551"/>
        <v>816</v>
      </c>
      <c r="E7050" t="str">
        <f t="shared" si="1552"/>
        <v>89301282</v>
      </c>
      <c r="F7050" t="str">
        <f>"1510240248"</f>
        <v>1510240248</v>
      </c>
      <c r="G7050" s="1">
        <v>44757</v>
      </c>
      <c r="H7050" t="str">
        <f>"94982"</f>
        <v>94982</v>
      </c>
      <c r="I7050">
        <v>1</v>
      </c>
      <c r="J7050">
        <v>0</v>
      </c>
      <c r="K7050">
        <v>27500</v>
      </c>
      <c r="L7050">
        <v>27500</v>
      </c>
    </row>
    <row r="7051" spans="1:12" x14ac:dyDescent="0.25">
      <c r="A7051" t="str">
        <f t="shared" si="1549"/>
        <v>89301000</v>
      </c>
      <c r="B7051" t="str">
        <f t="shared" si="1545"/>
        <v>88805000</v>
      </c>
      <c r="C7051" t="str">
        <f t="shared" si="1550"/>
        <v>88805014</v>
      </c>
      <c r="D7051" t="str">
        <f t="shared" si="1551"/>
        <v>816</v>
      </c>
      <c r="E7051" t="str">
        <f t="shared" si="1552"/>
        <v>89301282</v>
      </c>
      <c r="F7051" t="str">
        <f>"1510240248"</f>
        <v>1510240248</v>
      </c>
      <c r="G7051" s="1">
        <v>44757</v>
      </c>
      <c r="H7051" t="str">
        <f>"94996"</f>
        <v>94996</v>
      </c>
      <c r="I7051">
        <v>1</v>
      </c>
      <c r="J7051">
        <v>0</v>
      </c>
      <c r="K7051">
        <v>0</v>
      </c>
      <c r="L7051">
        <v>0</v>
      </c>
    </row>
    <row r="7052" spans="1:12" x14ac:dyDescent="0.25">
      <c r="A7052" t="str">
        <f t="shared" si="1549"/>
        <v>89301000</v>
      </c>
      <c r="B7052" t="str">
        <f t="shared" si="1545"/>
        <v>88805000</v>
      </c>
      <c r="C7052" t="str">
        <f t="shared" si="1550"/>
        <v>88805014</v>
      </c>
      <c r="D7052" t="str">
        <f t="shared" si="1551"/>
        <v>816</v>
      </c>
      <c r="E7052" t="str">
        <f t="shared" si="1552"/>
        <v>89301282</v>
      </c>
      <c r="F7052" t="str">
        <f>"0711173232"</f>
        <v>0711173232</v>
      </c>
      <c r="G7052" s="1">
        <v>44761</v>
      </c>
      <c r="H7052" t="str">
        <f>"94982"</f>
        <v>94982</v>
      </c>
      <c r="I7052">
        <v>1</v>
      </c>
      <c r="J7052">
        <v>0</v>
      </c>
      <c r="K7052">
        <v>27500</v>
      </c>
      <c r="L7052">
        <v>27500</v>
      </c>
    </row>
    <row r="7053" spans="1:12" x14ac:dyDescent="0.25">
      <c r="A7053" t="str">
        <f t="shared" si="1549"/>
        <v>89301000</v>
      </c>
      <c r="B7053" t="str">
        <f t="shared" si="1545"/>
        <v>88805000</v>
      </c>
      <c r="C7053" t="str">
        <f t="shared" si="1550"/>
        <v>88805014</v>
      </c>
      <c r="D7053" t="str">
        <f t="shared" si="1551"/>
        <v>816</v>
      </c>
      <c r="E7053" t="str">
        <f t="shared" si="1552"/>
        <v>89301282</v>
      </c>
      <c r="F7053" t="str">
        <f>"0711173232"</f>
        <v>0711173232</v>
      </c>
      <c r="G7053" s="1">
        <v>44761</v>
      </c>
      <c r="H7053" t="str">
        <f>"94996"</f>
        <v>94996</v>
      </c>
      <c r="I7053">
        <v>1</v>
      </c>
      <c r="J7053">
        <v>0</v>
      </c>
      <c r="K7053">
        <v>0</v>
      </c>
      <c r="L7053">
        <v>0</v>
      </c>
    </row>
    <row r="7054" spans="1:12" x14ac:dyDescent="0.25">
      <c r="A7054" t="str">
        <f t="shared" si="1549"/>
        <v>89301000</v>
      </c>
      <c r="B7054" t="str">
        <f t="shared" si="1545"/>
        <v>88805000</v>
      </c>
      <c r="C7054" t="str">
        <f t="shared" si="1550"/>
        <v>88805014</v>
      </c>
      <c r="D7054" t="str">
        <f t="shared" si="1551"/>
        <v>816</v>
      </c>
      <c r="E7054" t="str">
        <f t="shared" si="1552"/>
        <v>89301282</v>
      </c>
      <c r="F7054" t="str">
        <f>"8152114498"</f>
        <v>8152114498</v>
      </c>
      <c r="G7054" s="1">
        <v>44750</v>
      </c>
      <c r="H7054" t="str">
        <f>"94982"</f>
        <v>94982</v>
      </c>
      <c r="I7054">
        <v>1</v>
      </c>
      <c r="J7054">
        <v>0</v>
      </c>
      <c r="K7054">
        <v>27500</v>
      </c>
      <c r="L7054">
        <v>27500</v>
      </c>
    </row>
    <row r="7055" spans="1:12" x14ac:dyDescent="0.25">
      <c r="A7055" t="str">
        <f t="shared" si="1549"/>
        <v>89301000</v>
      </c>
      <c r="B7055" t="str">
        <f t="shared" si="1545"/>
        <v>88805000</v>
      </c>
      <c r="C7055" t="str">
        <f t="shared" si="1550"/>
        <v>88805014</v>
      </c>
      <c r="D7055" t="str">
        <f t="shared" si="1551"/>
        <v>816</v>
      </c>
      <c r="E7055" t="str">
        <f t="shared" si="1552"/>
        <v>89301282</v>
      </c>
      <c r="F7055" t="str">
        <f>"8152114498"</f>
        <v>8152114498</v>
      </c>
      <c r="G7055" s="1">
        <v>44750</v>
      </c>
      <c r="H7055" t="str">
        <f>"94996"</f>
        <v>94996</v>
      </c>
      <c r="I7055">
        <v>1</v>
      </c>
      <c r="J7055">
        <v>0</v>
      </c>
      <c r="K7055">
        <v>0</v>
      </c>
      <c r="L7055">
        <v>0</v>
      </c>
    </row>
    <row r="7056" spans="1:12" x14ac:dyDescent="0.25">
      <c r="A7056" t="str">
        <f t="shared" si="1549"/>
        <v>89301000</v>
      </c>
      <c r="B7056" t="str">
        <f t="shared" ref="B7056:B7097" si="1553">"78051000"</f>
        <v>78051000</v>
      </c>
      <c r="C7056" t="str">
        <f t="shared" ref="C7056:C7090" si="1554">"78051004"</f>
        <v>78051004</v>
      </c>
      <c r="D7056" t="str">
        <f t="shared" ref="D7056:D7090" si="1555">"809"</f>
        <v>809</v>
      </c>
      <c r="E7056" t="str">
        <f t="shared" ref="E7056:E7100" si="1556">"89301062"</f>
        <v>89301062</v>
      </c>
      <c r="F7056" t="str">
        <f>"7609083009"</f>
        <v>7609083009</v>
      </c>
      <c r="G7056" s="1">
        <v>44743</v>
      </c>
      <c r="H7056" t="str">
        <f>"89311"</f>
        <v>89311</v>
      </c>
      <c r="I7056">
        <v>1</v>
      </c>
      <c r="J7056">
        <v>936</v>
      </c>
      <c r="K7056">
        <v>0</v>
      </c>
      <c r="L7056">
        <v>1310.4000000000001</v>
      </c>
    </row>
    <row r="7057" spans="1:12" x14ac:dyDescent="0.25">
      <c r="A7057" t="str">
        <f t="shared" si="1549"/>
        <v>89301000</v>
      </c>
      <c r="B7057" t="str">
        <f t="shared" si="1553"/>
        <v>78051000</v>
      </c>
      <c r="C7057" t="str">
        <f t="shared" si="1554"/>
        <v>78051004</v>
      </c>
      <c r="D7057" t="str">
        <f t="shared" si="1555"/>
        <v>809</v>
      </c>
      <c r="E7057" t="str">
        <f t="shared" si="1556"/>
        <v>89301062</v>
      </c>
      <c r="F7057" t="str">
        <f>"7609083009"</f>
        <v>7609083009</v>
      </c>
      <c r="G7057" s="1">
        <v>44743</v>
      </c>
      <c r="H7057" t="str">
        <f>"0090044"</f>
        <v>0090044</v>
      </c>
      <c r="I7057">
        <v>1</v>
      </c>
      <c r="K7057">
        <v>16.8</v>
      </c>
      <c r="L7057">
        <v>16.8</v>
      </c>
    </row>
    <row r="7058" spans="1:12" x14ac:dyDescent="0.25">
      <c r="A7058" t="str">
        <f t="shared" si="1549"/>
        <v>89301000</v>
      </c>
      <c r="B7058" t="str">
        <f t="shared" si="1553"/>
        <v>78051000</v>
      </c>
      <c r="C7058" t="str">
        <f t="shared" si="1554"/>
        <v>78051004</v>
      </c>
      <c r="D7058" t="str">
        <f t="shared" si="1555"/>
        <v>809</v>
      </c>
      <c r="E7058" t="str">
        <f t="shared" si="1556"/>
        <v>89301062</v>
      </c>
      <c r="F7058" t="str">
        <f>"7609083009"</f>
        <v>7609083009</v>
      </c>
      <c r="G7058" s="1">
        <v>44743</v>
      </c>
      <c r="H7058" t="str">
        <f>"0225891"</f>
        <v>0225891</v>
      </c>
      <c r="I7058">
        <v>0.2</v>
      </c>
      <c r="K7058">
        <v>73.540000000000006</v>
      </c>
      <c r="L7058">
        <v>73.540000000000006</v>
      </c>
    </row>
    <row r="7059" spans="1:12" x14ac:dyDescent="0.25">
      <c r="A7059" t="str">
        <f t="shared" si="1549"/>
        <v>89301000</v>
      </c>
      <c r="B7059" t="str">
        <f t="shared" si="1553"/>
        <v>78051000</v>
      </c>
      <c r="C7059" t="str">
        <f t="shared" si="1554"/>
        <v>78051004</v>
      </c>
      <c r="D7059" t="str">
        <f t="shared" si="1555"/>
        <v>809</v>
      </c>
      <c r="E7059" t="str">
        <f t="shared" si="1556"/>
        <v>89301062</v>
      </c>
      <c r="F7059" t="str">
        <f>"7609083009"</f>
        <v>7609083009</v>
      </c>
      <c r="G7059" s="1">
        <v>44743</v>
      </c>
      <c r="H7059" t="str">
        <f>"0096251"</f>
        <v>0096251</v>
      </c>
      <c r="I7059">
        <v>0.17</v>
      </c>
      <c r="K7059">
        <v>198.83</v>
      </c>
      <c r="L7059">
        <v>198.83</v>
      </c>
    </row>
    <row r="7060" spans="1:12" x14ac:dyDescent="0.25">
      <c r="A7060" t="str">
        <f t="shared" si="1549"/>
        <v>89301000</v>
      </c>
      <c r="B7060" t="str">
        <f t="shared" si="1553"/>
        <v>78051000</v>
      </c>
      <c r="C7060" t="str">
        <f t="shared" si="1554"/>
        <v>78051004</v>
      </c>
      <c r="D7060" t="str">
        <f t="shared" si="1555"/>
        <v>809</v>
      </c>
      <c r="E7060" t="str">
        <f t="shared" si="1556"/>
        <v>89301062</v>
      </c>
      <c r="F7060" t="str">
        <f>"7609083009"</f>
        <v>7609083009</v>
      </c>
      <c r="G7060" s="1">
        <v>44743</v>
      </c>
      <c r="H7060" t="str">
        <f>"0098943"</f>
        <v>0098943</v>
      </c>
      <c r="I7060">
        <v>1</v>
      </c>
      <c r="K7060">
        <v>293.81</v>
      </c>
      <c r="L7060">
        <v>293.81</v>
      </c>
    </row>
    <row r="7061" spans="1:12" x14ac:dyDescent="0.25">
      <c r="A7061" t="str">
        <f t="shared" si="1549"/>
        <v>89301000</v>
      </c>
      <c r="B7061" t="str">
        <f t="shared" si="1553"/>
        <v>78051000</v>
      </c>
      <c r="C7061" t="str">
        <f t="shared" si="1554"/>
        <v>78051004</v>
      </c>
      <c r="D7061" t="str">
        <f t="shared" si="1555"/>
        <v>809</v>
      </c>
      <c r="E7061" t="str">
        <f t="shared" si="1556"/>
        <v>89301062</v>
      </c>
      <c r="F7061" t="str">
        <f>"7702025309"</f>
        <v>7702025309</v>
      </c>
      <c r="G7061" s="1">
        <v>44743</v>
      </c>
      <c r="H7061" t="str">
        <f>"89311"</f>
        <v>89311</v>
      </c>
      <c r="I7061">
        <v>1</v>
      </c>
      <c r="J7061">
        <v>936</v>
      </c>
      <c r="K7061">
        <v>0</v>
      </c>
      <c r="L7061">
        <v>1310.4000000000001</v>
      </c>
    </row>
    <row r="7062" spans="1:12" x14ac:dyDescent="0.25">
      <c r="A7062" t="str">
        <f t="shared" si="1549"/>
        <v>89301000</v>
      </c>
      <c r="B7062" t="str">
        <f t="shared" si="1553"/>
        <v>78051000</v>
      </c>
      <c r="C7062" t="str">
        <f t="shared" si="1554"/>
        <v>78051004</v>
      </c>
      <c r="D7062" t="str">
        <f t="shared" si="1555"/>
        <v>809</v>
      </c>
      <c r="E7062" t="str">
        <f t="shared" si="1556"/>
        <v>89301062</v>
      </c>
      <c r="F7062" t="str">
        <f>"7702025309"</f>
        <v>7702025309</v>
      </c>
      <c r="G7062" s="1">
        <v>44743</v>
      </c>
      <c r="H7062" t="str">
        <f>"0090044"</f>
        <v>0090044</v>
      </c>
      <c r="I7062">
        <v>1</v>
      </c>
      <c r="K7062">
        <v>16.8</v>
      </c>
      <c r="L7062">
        <v>16.8</v>
      </c>
    </row>
    <row r="7063" spans="1:12" x14ac:dyDescent="0.25">
      <c r="A7063" t="str">
        <f t="shared" si="1549"/>
        <v>89301000</v>
      </c>
      <c r="B7063" t="str">
        <f t="shared" si="1553"/>
        <v>78051000</v>
      </c>
      <c r="C7063" t="str">
        <f t="shared" si="1554"/>
        <v>78051004</v>
      </c>
      <c r="D7063" t="str">
        <f t="shared" si="1555"/>
        <v>809</v>
      </c>
      <c r="E7063" t="str">
        <f t="shared" si="1556"/>
        <v>89301062</v>
      </c>
      <c r="F7063" t="str">
        <f>"7702025309"</f>
        <v>7702025309</v>
      </c>
      <c r="G7063" s="1">
        <v>44743</v>
      </c>
      <c r="H7063" t="str">
        <f>"0225891"</f>
        <v>0225891</v>
      </c>
      <c r="I7063">
        <v>0.2</v>
      </c>
      <c r="K7063">
        <v>73.540000000000006</v>
      </c>
      <c r="L7063">
        <v>73.540000000000006</v>
      </c>
    </row>
    <row r="7064" spans="1:12" x14ac:dyDescent="0.25">
      <c r="A7064" t="str">
        <f t="shared" si="1549"/>
        <v>89301000</v>
      </c>
      <c r="B7064" t="str">
        <f t="shared" si="1553"/>
        <v>78051000</v>
      </c>
      <c r="C7064" t="str">
        <f t="shared" si="1554"/>
        <v>78051004</v>
      </c>
      <c r="D7064" t="str">
        <f t="shared" si="1555"/>
        <v>809</v>
      </c>
      <c r="E7064" t="str">
        <f t="shared" si="1556"/>
        <v>89301062</v>
      </c>
      <c r="F7064" t="str">
        <f>"7702025309"</f>
        <v>7702025309</v>
      </c>
      <c r="G7064" s="1">
        <v>44743</v>
      </c>
      <c r="H7064" t="str">
        <f>"0096251"</f>
        <v>0096251</v>
      </c>
      <c r="I7064">
        <v>0.17</v>
      </c>
      <c r="K7064">
        <v>198.83</v>
      </c>
      <c r="L7064">
        <v>198.83</v>
      </c>
    </row>
    <row r="7065" spans="1:12" x14ac:dyDescent="0.25">
      <c r="A7065" t="str">
        <f t="shared" si="1549"/>
        <v>89301000</v>
      </c>
      <c r="B7065" t="str">
        <f t="shared" si="1553"/>
        <v>78051000</v>
      </c>
      <c r="C7065" t="str">
        <f t="shared" si="1554"/>
        <v>78051004</v>
      </c>
      <c r="D7065" t="str">
        <f t="shared" si="1555"/>
        <v>809</v>
      </c>
      <c r="E7065" t="str">
        <f t="shared" si="1556"/>
        <v>89301062</v>
      </c>
      <c r="F7065" t="str">
        <f>"7702025309"</f>
        <v>7702025309</v>
      </c>
      <c r="G7065" s="1">
        <v>44743</v>
      </c>
      <c r="H7065" t="str">
        <f>"0098943"</f>
        <v>0098943</v>
      </c>
      <c r="I7065">
        <v>1</v>
      </c>
      <c r="K7065">
        <v>293.81</v>
      </c>
      <c r="L7065">
        <v>293.81</v>
      </c>
    </row>
    <row r="7066" spans="1:12" x14ac:dyDescent="0.25">
      <c r="A7066" t="str">
        <f t="shared" si="1549"/>
        <v>89301000</v>
      </c>
      <c r="B7066" t="str">
        <f t="shared" si="1553"/>
        <v>78051000</v>
      </c>
      <c r="C7066" t="str">
        <f t="shared" si="1554"/>
        <v>78051004</v>
      </c>
      <c r="D7066" t="str">
        <f t="shared" si="1555"/>
        <v>809</v>
      </c>
      <c r="E7066" t="str">
        <f t="shared" si="1556"/>
        <v>89301062</v>
      </c>
      <c r="F7066" t="str">
        <f>"7152255341"</f>
        <v>7152255341</v>
      </c>
      <c r="G7066" s="1">
        <v>44743</v>
      </c>
      <c r="H7066" t="str">
        <f>"89311"</f>
        <v>89311</v>
      </c>
      <c r="I7066">
        <v>1</v>
      </c>
      <c r="J7066">
        <v>936</v>
      </c>
      <c r="K7066">
        <v>0</v>
      </c>
      <c r="L7066">
        <v>1310.4000000000001</v>
      </c>
    </row>
    <row r="7067" spans="1:12" x14ac:dyDescent="0.25">
      <c r="A7067" t="str">
        <f t="shared" si="1549"/>
        <v>89301000</v>
      </c>
      <c r="B7067" t="str">
        <f t="shared" si="1553"/>
        <v>78051000</v>
      </c>
      <c r="C7067" t="str">
        <f t="shared" si="1554"/>
        <v>78051004</v>
      </c>
      <c r="D7067" t="str">
        <f t="shared" si="1555"/>
        <v>809</v>
      </c>
      <c r="E7067" t="str">
        <f t="shared" si="1556"/>
        <v>89301062</v>
      </c>
      <c r="F7067" t="str">
        <f>"7152255341"</f>
        <v>7152255341</v>
      </c>
      <c r="G7067" s="1">
        <v>44743</v>
      </c>
      <c r="H7067" t="str">
        <f>"0090044"</f>
        <v>0090044</v>
      </c>
      <c r="I7067">
        <v>1</v>
      </c>
      <c r="K7067">
        <v>16.8</v>
      </c>
      <c r="L7067">
        <v>16.8</v>
      </c>
    </row>
    <row r="7068" spans="1:12" x14ac:dyDescent="0.25">
      <c r="A7068" t="str">
        <f t="shared" si="1549"/>
        <v>89301000</v>
      </c>
      <c r="B7068" t="str">
        <f t="shared" si="1553"/>
        <v>78051000</v>
      </c>
      <c r="C7068" t="str">
        <f t="shared" si="1554"/>
        <v>78051004</v>
      </c>
      <c r="D7068" t="str">
        <f t="shared" si="1555"/>
        <v>809</v>
      </c>
      <c r="E7068" t="str">
        <f t="shared" si="1556"/>
        <v>89301062</v>
      </c>
      <c r="F7068" t="str">
        <f>"7152255341"</f>
        <v>7152255341</v>
      </c>
      <c r="G7068" s="1">
        <v>44743</v>
      </c>
      <c r="H7068" t="str">
        <f>"0225891"</f>
        <v>0225891</v>
      </c>
      <c r="I7068">
        <v>0.2</v>
      </c>
      <c r="K7068">
        <v>73.540000000000006</v>
      </c>
      <c r="L7068">
        <v>73.540000000000006</v>
      </c>
    </row>
    <row r="7069" spans="1:12" x14ac:dyDescent="0.25">
      <c r="A7069" t="str">
        <f t="shared" si="1549"/>
        <v>89301000</v>
      </c>
      <c r="B7069" t="str">
        <f t="shared" si="1553"/>
        <v>78051000</v>
      </c>
      <c r="C7069" t="str">
        <f t="shared" si="1554"/>
        <v>78051004</v>
      </c>
      <c r="D7069" t="str">
        <f t="shared" si="1555"/>
        <v>809</v>
      </c>
      <c r="E7069" t="str">
        <f t="shared" si="1556"/>
        <v>89301062</v>
      </c>
      <c r="F7069" t="str">
        <f>"7152255341"</f>
        <v>7152255341</v>
      </c>
      <c r="G7069" s="1">
        <v>44743</v>
      </c>
      <c r="H7069" t="str">
        <f>"0096251"</f>
        <v>0096251</v>
      </c>
      <c r="I7069">
        <v>0.17</v>
      </c>
      <c r="K7069">
        <v>198.83</v>
      </c>
      <c r="L7069">
        <v>198.83</v>
      </c>
    </row>
    <row r="7070" spans="1:12" x14ac:dyDescent="0.25">
      <c r="A7070" t="str">
        <f t="shared" si="1549"/>
        <v>89301000</v>
      </c>
      <c r="B7070" t="str">
        <f t="shared" si="1553"/>
        <v>78051000</v>
      </c>
      <c r="C7070" t="str">
        <f t="shared" si="1554"/>
        <v>78051004</v>
      </c>
      <c r="D7070" t="str">
        <f t="shared" si="1555"/>
        <v>809</v>
      </c>
      <c r="E7070" t="str">
        <f t="shared" si="1556"/>
        <v>89301062</v>
      </c>
      <c r="F7070" t="str">
        <f>"7152255341"</f>
        <v>7152255341</v>
      </c>
      <c r="G7070" s="1">
        <v>44743</v>
      </c>
      <c r="H7070" t="str">
        <f>"0098943"</f>
        <v>0098943</v>
      </c>
      <c r="I7070">
        <v>1</v>
      </c>
      <c r="K7070">
        <v>293.81</v>
      </c>
      <c r="L7070">
        <v>293.81</v>
      </c>
    </row>
    <row r="7071" spans="1:12" x14ac:dyDescent="0.25">
      <c r="A7071" t="str">
        <f t="shared" si="1549"/>
        <v>89301000</v>
      </c>
      <c r="B7071" t="str">
        <f t="shared" si="1553"/>
        <v>78051000</v>
      </c>
      <c r="C7071" t="str">
        <f t="shared" si="1554"/>
        <v>78051004</v>
      </c>
      <c r="D7071" t="str">
        <f t="shared" si="1555"/>
        <v>809</v>
      </c>
      <c r="E7071" t="str">
        <f t="shared" si="1556"/>
        <v>89301062</v>
      </c>
      <c r="F7071" t="str">
        <f>"7653244456"</f>
        <v>7653244456</v>
      </c>
      <c r="G7071" s="1">
        <v>44755</v>
      </c>
      <c r="H7071" t="str">
        <f>"89311"</f>
        <v>89311</v>
      </c>
      <c r="I7071">
        <v>1</v>
      </c>
      <c r="J7071">
        <v>936</v>
      </c>
      <c r="K7071">
        <v>0</v>
      </c>
      <c r="L7071">
        <v>1310.4000000000001</v>
      </c>
    </row>
    <row r="7072" spans="1:12" x14ac:dyDescent="0.25">
      <c r="A7072" t="str">
        <f t="shared" si="1549"/>
        <v>89301000</v>
      </c>
      <c r="B7072" t="str">
        <f t="shared" si="1553"/>
        <v>78051000</v>
      </c>
      <c r="C7072" t="str">
        <f t="shared" si="1554"/>
        <v>78051004</v>
      </c>
      <c r="D7072" t="str">
        <f t="shared" si="1555"/>
        <v>809</v>
      </c>
      <c r="E7072" t="str">
        <f t="shared" si="1556"/>
        <v>89301062</v>
      </c>
      <c r="F7072" t="str">
        <f>"7653244456"</f>
        <v>7653244456</v>
      </c>
      <c r="G7072" s="1">
        <v>44755</v>
      </c>
      <c r="H7072" t="str">
        <f>"0090044"</f>
        <v>0090044</v>
      </c>
      <c r="I7072">
        <v>1</v>
      </c>
      <c r="K7072">
        <v>16.8</v>
      </c>
      <c r="L7072">
        <v>16.8</v>
      </c>
    </row>
    <row r="7073" spans="1:12" x14ac:dyDescent="0.25">
      <c r="A7073" t="str">
        <f t="shared" si="1549"/>
        <v>89301000</v>
      </c>
      <c r="B7073" t="str">
        <f t="shared" si="1553"/>
        <v>78051000</v>
      </c>
      <c r="C7073" t="str">
        <f t="shared" si="1554"/>
        <v>78051004</v>
      </c>
      <c r="D7073" t="str">
        <f t="shared" si="1555"/>
        <v>809</v>
      </c>
      <c r="E7073" t="str">
        <f t="shared" si="1556"/>
        <v>89301062</v>
      </c>
      <c r="F7073" t="str">
        <f>"7653244456"</f>
        <v>7653244456</v>
      </c>
      <c r="G7073" s="1">
        <v>44755</v>
      </c>
      <c r="H7073" t="str">
        <f>"0225891"</f>
        <v>0225891</v>
      </c>
      <c r="I7073">
        <v>0.2</v>
      </c>
      <c r="K7073">
        <v>73.540000000000006</v>
      </c>
      <c r="L7073">
        <v>73.540000000000006</v>
      </c>
    </row>
    <row r="7074" spans="1:12" x14ac:dyDescent="0.25">
      <c r="A7074" t="str">
        <f t="shared" si="1549"/>
        <v>89301000</v>
      </c>
      <c r="B7074" t="str">
        <f t="shared" si="1553"/>
        <v>78051000</v>
      </c>
      <c r="C7074" t="str">
        <f t="shared" si="1554"/>
        <v>78051004</v>
      </c>
      <c r="D7074" t="str">
        <f t="shared" si="1555"/>
        <v>809</v>
      </c>
      <c r="E7074" t="str">
        <f t="shared" si="1556"/>
        <v>89301062</v>
      </c>
      <c r="F7074" t="str">
        <f>"7653244456"</f>
        <v>7653244456</v>
      </c>
      <c r="G7074" s="1">
        <v>44755</v>
      </c>
      <c r="H7074" t="str">
        <f>"0096251"</f>
        <v>0096251</v>
      </c>
      <c r="I7074">
        <v>0.17</v>
      </c>
      <c r="K7074">
        <v>198.83</v>
      </c>
      <c r="L7074">
        <v>198.83</v>
      </c>
    </row>
    <row r="7075" spans="1:12" x14ac:dyDescent="0.25">
      <c r="A7075" t="str">
        <f t="shared" si="1549"/>
        <v>89301000</v>
      </c>
      <c r="B7075" t="str">
        <f t="shared" si="1553"/>
        <v>78051000</v>
      </c>
      <c r="C7075" t="str">
        <f t="shared" si="1554"/>
        <v>78051004</v>
      </c>
      <c r="D7075" t="str">
        <f t="shared" si="1555"/>
        <v>809</v>
      </c>
      <c r="E7075" t="str">
        <f t="shared" si="1556"/>
        <v>89301062</v>
      </c>
      <c r="F7075" t="str">
        <f>"7653244456"</f>
        <v>7653244456</v>
      </c>
      <c r="G7075" s="1">
        <v>44755</v>
      </c>
      <c r="H7075" t="str">
        <f>"0098943"</f>
        <v>0098943</v>
      </c>
      <c r="I7075">
        <v>1</v>
      </c>
      <c r="K7075">
        <v>293.81</v>
      </c>
      <c r="L7075">
        <v>293.81</v>
      </c>
    </row>
    <row r="7076" spans="1:12" x14ac:dyDescent="0.25">
      <c r="A7076" t="str">
        <f t="shared" si="1549"/>
        <v>89301000</v>
      </c>
      <c r="B7076" t="str">
        <f t="shared" si="1553"/>
        <v>78051000</v>
      </c>
      <c r="C7076" t="str">
        <f t="shared" si="1554"/>
        <v>78051004</v>
      </c>
      <c r="D7076" t="str">
        <f t="shared" si="1555"/>
        <v>809</v>
      </c>
      <c r="E7076" t="str">
        <f t="shared" si="1556"/>
        <v>89301062</v>
      </c>
      <c r="F7076" t="str">
        <f>"520801254"</f>
        <v>520801254</v>
      </c>
      <c r="G7076" s="1">
        <v>44762</v>
      </c>
      <c r="H7076" t="str">
        <f>"89311"</f>
        <v>89311</v>
      </c>
      <c r="I7076">
        <v>1</v>
      </c>
      <c r="J7076">
        <v>936</v>
      </c>
      <c r="K7076">
        <v>0</v>
      </c>
      <c r="L7076">
        <v>1310.4000000000001</v>
      </c>
    </row>
    <row r="7077" spans="1:12" x14ac:dyDescent="0.25">
      <c r="A7077" t="str">
        <f t="shared" si="1549"/>
        <v>89301000</v>
      </c>
      <c r="B7077" t="str">
        <f t="shared" si="1553"/>
        <v>78051000</v>
      </c>
      <c r="C7077" t="str">
        <f t="shared" si="1554"/>
        <v>78051004</v>
      </c>
      <c r="D7077" t="str">
        <f t="shared" si="1555"/>
        <v>809</v>
      </c>
      <c r="E7077" t="str">
        <f t="shared" si="1556"/>
        <v>89301062</v>
      </c>
      <c r="F7077" t="str">
        <f>"520801254"</f>
        <v>520801254</v>
      </c>
      <c r="G7077" s="1">
        <v>44762</v>
      </c>
      <c r="H7077" t="str">
        <f>"0090044"</f>
        <v>0090044</v>
      </c>
      <c r="I7077">
        <v>1</v>
      </c>
      <c r="K7077">
        <v>16.8</v>
      </c>
      <c r="L7077">
        <v>16.8</v>
      </c>
    </row>
    <row r="7078" spans="1:12" x14ac:dyDescent="0.25">
      <c r="A7078" t="str">
        <f t="shared" si="1549"/>
        <v>89301000</v>
      </c>
      <c r="B7078" t="str">
        <f t="shared" si="1553"/>
        <v>78051000</v>
      </c>
      <c r="C7078" t="str">
        <f t="shared" si="1554"/>
        <v>78051004</v>
      </c>
      <c r="D7078" t="str">
        <f t="shared" si="1555"/>
        <v>809</v>
      </c>
      <c r="E7078" t="str">
        <f t="shared" si="1556"/>
        <v>89301062</v>
      </c>
      <c r="F7078" t="str">
        <f>"520801254"</f>
        <v>520801254</v>
      </c>
      <c r="G7078" s="1">
        <v>44762</v>
      </c>
      <c r="H7078" t="str">
        <f>"0225891"</f>
        <v>0225891</v>
      </c>
      <c r="I7078">
        <v>0.2</v>
      </c>
      <c r="K7078">
        <v>73.540000000000006</v>
      </c>
      <c r="L7078">
        <v>73.540000000000006</v>
      </c>
    </row>
    <row r="7079" spans="1:12" x14ac:dyDescent="0.25">
      <c r="A7079" t="str">
        <f t="shared" si="1549"/>
        <v>89301000</v>
      </c>
      <c r="B7079" t="str">
        <f t="shared" si="1553"/>
        <v>78051000</v>
      </c>
      <c r="C7079" t="str">
        <f t="shared" si="1554"/>
        <v>78051004</v>
      </c>
      <c r="D7079" t="str">
        <f t="shared" si="1555"/>
        <v>809</v>
      </c>
      <c r="E7079" t="str">
        <f t="shared" si="1556"/>
        <v>89301062</v>
      </c>
      <c r="F7079" t="str">
        <f>"520801254"</f>
        <v>520801254</v>
      </c>
      <c r="G7079" s="1">
        <v>44762</v>
      </c>
      <c r="H7079" t="str">
        <f>"0096251"</f>
        <v>0096251</v>
      </c>
      <c r="I7079">
        <v>0.17</v>
      </c>
      <c r="K7079">
        <v>198.83</v>
      </c>
      <c r="L7079">
        <v>198.83</v>
      </c>
    </row>
    <row r="7080" spans="1:12" x14ac:dyDescent="0.25">
      <c r="A7080" t="str">
        <f t="shared" si="1549"/>
        <v>89301000</v>
      </c>
      <c r="B7080" t="str">
        <f t="shared" si="1553"/>
        <v>78051000</v>
      </c>
      <c r="C7080" t="str">
        <f t="shared" si="1554"/>
        <v>78051004</v>
      </c>
      <c r="D7080" t="str">
        <f t="shared" si="1555"/>
        <v>809</v>
      </c>
      <c r="E7080" t="str">
        <f t="shared" si="1556"/>
        <v>89301062</v>
      </c>
      <c r="F7080" t="str">
        <f>"520801254"</f>
        <v>520801254</v>
      </c>
      <c r="G7080" s="1">
        <v>44762</v>
      </c>
      <c r="H7080" t="str">
        <f>"0098943"</f>
        <v>0098943</v>
      </c>
      <c r="I7080">
        <v>1</v>
      </c>
      <c r="K7080">
        <v>293.81</v>
      </c>
      <c r="L7080">
        <v>293.81</v>
      </c>
    </row>
    <row r="7081" spans="1:12" x14ac:dyDescent="0.25">
      <c r="A7081" t="str">
        <f t="shared" si="1549"/>
        <v>89301000</v>
      </c>
      <c r="B7081" t="str">
        <f t="shared" si="1553"/>
        <v>78051000</v>
      </c>
      <c r="C7081" t="str">
        <f t="shared" si="1554"/>
        <v>78051004</v>
      </c>
      <c r="D7081" t="str">
        <f t="shared" si="1555"/>
        <v>809</v>
      </c>
      <c r="E7081" t="str">
        <f t="shared" si="1556"/>
        <v>89301062</v>
      </c>
      <c r="F7081" t="str">
        <f>"471102418"</f>
        <v>471102418</v>
      </c>
      <c r="G7081" s="1">
        <v>44762</v>
      </c>
      <c r="H7081" t="str">
        <f>"89311"</f>
        <v>89311</v>
      </c>
      <c r="I7081">
        <v>1</v>
      </c>
      <c r="J7081">
        <v>936</v>
      </c>
      <c r="K7081">
        <v>0</v>
      </c>
      <c r="L7081">
        <v>1310.4000000000001</v>
      </c>
    </row>
    <row r="7082" spans="1:12" x14ac:dyDescent="0.25">
      <c r="A7082" t="str">
        <f t="shared" si="1549"/>
        <v>89301000</v>
      </c>
      <c r="B7082" t="str">
        <f t="shared" si="1553"/>
        <v>78051000</v>
      </c>
      <c r="C7082" t="str">
        <f t="shared" si="1554"/>
        <v>78051004</v>
      </c>
      <c r="D7082" t="str">
        <f t="shared" si="1555"/>
        <v>809</v>
      </c>
      <c r="E7082" t="str">
        <f t="shared" si="1556"/>
        <v>89301062</v>
      </c>
      <c r="F7082" t="str">
        <f>"471102418"</f>
        <v>471102418</v>
      </c>
      <c r="G7082" s="1">
        <v>44762</v>
      </c>
      <c r="H7082" t="str">
        <f>"0090044"</f>
        <v>0090044</v>
      </c>
      <c r="I7082">
        <v>1</v>
      </c>
      <c r="K7082">
        <v>16.8</v>
      </c>
      <c r="L7082">
        <v>16.8</v>
      </c>
    </row>
    <row r="7083" spans="1:12" x14ac:dyDescent="0.25">
      <c r="A7083" t="str">
        <f t="shared" si="1549"/>
        <v>89301000</v>
      </c>
      <c r="B7083" t="str">
        <f t="shared" si="1553"/>
        <v>78051000</v>
      </c>
      <c r="C7083" t="str">
        <f t="shared" si="1554"/>
        <v>78051004</v>
      </c>
      <c r="D7083" t="str">
        <f t="shared" si="1555"/>
        <v>809</v>
      </c>
      <c r="E7083" t="str">
        <f t="shared" si="1556"/>
        <v>89301062</v>
      </c>
      <c r="F7083" t="str">
        <f>"471102418"</f>
        <v>471102418</v>
      </c>
      <c r="G7083" s="1">
        <v>44762</v>
      </c>
      <c r="H7083" t="str">
        <f>"0225891"</f>
        <v>0225891</v>
      </c>
      <c r="I7083">
        <v>0.2</v>
      </c>
      <c r="K7083">
        <v>73.540000000000006</v>
      </c>
      <c r="L7083">
        <v>73.540000000000006</v>
      </c>
    </row>
    <row r="7084" spans="1:12" x14ac:dyDescent="0.25">
      <c r="A7084" t="str">
        <f t="shared" si="1549"/>
        <v>89301000</v>
      </c>
      <c r="B7084" t="str">
        <f t="shared" si="1553"/>
        <v>78051000</v>
      </c>
      <c r="C7084" t="str">
        <f t="shared" si="1554"/>
        <v>78051004</v>
      </c>
      <c r="D7084" t="str">
        <f t="shared" si="1555"/>
        <v>809</v>
      </c>
      <c r="E7084" t="str">
        <f t="shared" si="1556"/>
        <v>89301062</v>
      </c>
      <c r="F7084" t="str">
        <f>"471102418"</f>
        <v>471102418</v>
      </c>
      <c r="G7084" s="1">
        <v>44762</v>
      </c>
      <c r="H7084" t="str">
        <f>"0096251"</f>
        <v>0096251</v>
      </c>
      <c r="I7084">
        <v>0.17</v>
      </c>
      <c r="K7084">
        <v>198.83</v>
      </c>
      <c r="L7084">
        <v>198.83</v>
      </c>
    </row>
    <row r="7085" spans="1:12" x14ac:dyDescent="0.25">
      <c r="A7085" t="str">
        <f t="shared" si="1549"/>
        <v>89301000</v>
      </c>
      <c r="B7085" t="str">
        <f t="shared" si="1553"/>
        <v>78051000</v>
      </c>
      <c r="C7085" t="str">
        <f t="shared" si="1554"/>
        <v>78051004</v>
      </c>
      <c r="D7085" t="str">
        <f t="shared" si="1555"/>
        <v>809</v>
      </c>
      <c r="E7085" t="str">
        <f t="shared" si="1556"/>
        <v>89301062</v>
      </c>
      <c r="F7085" t="str">
        <f>"471102418"</f>
        <v>471102418</v>
      </c>
      <c r="G7085" s="1">
        <v>44762</v>
      </c>
      <c r="H7085" t="str">
        <f>"0098943"</f>
        <v>0098943</v>
      </c>
      <c r="I7085">
        <v>1</v>
      </c>
      <c r="K7085">
        <v>293.81</v>
      </c>
      <c r="L7085">
        <v>293.81</v>
      </c>
    </row>
    <row r="7086" spans="1:12" x14ac:dyDescent="0.25">
      <c r="A7086" t="str">
        <f t="shared" si="1549"/>
        <v>89301000</v>
      </c>
      <c r="B7086" t="str">
        <f t="shared" si="1553"/>
        <v>78051000</v>
      </c>
      <c r="C7086" t="str">
        <f t="shared" si="1554"/>
        <v>78051004</v>
      </c>
      <c r="D7086" t="str">
        <f t="shared" si="1555"/>
        <v>809</v>
      </c>
      <c r="E7086" t="str">
        <f t="shared" si="1556"/>
        <v>89301062</v>
      </c>
      <c r="F7086" t="str">
        <f>"6758200152"</f>
        <v>6758200152</v>
      </c>
      <c r="G7086" s="1">
        <v>44762</v>
      </c>
      <c r="H7086" t="str">
        <f>"89311"</f>
        <v>89311</v>
      </c>
      <c r="I7086">
        <v>1</v>
      </c>
      <c r="J7086">
        <v>936</v>
      </c>
      <c r="K7086">
        <v>0</v>
      </c>
      <c r="L7086">
        <v>1310.4000000000001</v>
      </c>
    </row>
    <row r="7087" spans="1:12" x14ac:dyDescent="0.25">
      <c r="A7087" t="str">
        <f t="shared" si="1549"/>
        <v>89301000</v>
      </c>
      <c r="B7087" t="str">
        <f t="shared" si="1553"/>
        <v>78051000</v>
      </c>
      <c r="C7087" t="str">
        <f t="shared" si="1554"/>
        <v>78051004</v>
      </c>
      <c r="D7087" t="str">
        <f t="shared" si="1555"/>
        <v>809</v>
      </c>
      <c r="E7087" t="str">
        <f t="shared" si="1556"/>
        <v>89301062</v>
      </c>
      <c r="F7087" t="str">
        <f>"6758200152"</f>
        <v>6758200152</v>
      </c>
      <c r="G7087" s="1">
        <v>44762</v>
      </c>
      <c r="H7087" t="str">
        <f>"0090044"</f>
        <v>0090044</v>
      </c>
      <c r="I7087">
        <v>1</v>
      </c>
      <c r="K7087">
        <v>16.8</v>
      </c>
      <c r="L7087">
        <v>16.8</v>
      </c>
    </row>
    <row r="7088" spans="1:12" x14ac:dyDescent="0.25">
      <c r="A7088" t="str">
        <f t="shared" si="1549"/>
        <v>89301000</v>
      </c>
      <c r="B7088" t="str">
        <f t="shared" si="1553"/>
        <v>78051000</v>
      </c>
      <c r="C7088" t="str">
        <f t="shared" si="1554"/>
        <v>78051004</v>
      </c>
      <c r="D7088" t="str">
        <f t="shared" si="1555"/>
        <v>809</v>
      </c>
      <c r="E7088" t="str">
        <f t="shared" si="1556"/>
        <v>89301062</v>
      </c>
      <c r="F7088" t="str">
        <f>"6758200152"</f>
        <v>6758200152</v>
      </c>
      <c r="G7088" s="1">
        <v>44762</v>
      </c>
      <c r="H7088" t="str">
        <f>"0225891"</f>
        <v>0225891</v>
      </c>
      <c r="I7088">
        <v>1</v>
      </c>
      <c r="K7088">
        <v>367.7</v>
      </c>
      <c r="L7088">
        <v>367.7</v>
      </c>
    </row>
    <row r="7089" spans="1:12" x14ac:dyDescent="0.25">
      <c r="A7089" t="str">
        <f t="shared" si="1549"/>
        <v>89301000</v>
      </c>
      <c r="B7089" t="str">
        <f t="shared" si="1553"/>
        <v>78051000</v>
      </c>
      <c r="C7089" t="str">
        <f t="shared" si="1554"/>
        <v>78051004</v>
      </c>
      <c r="D7089" t="str">
        <f t="shared" si="1555"/>
        <v>809</v>
      </c>
      <c r="E7089" t="str">
        <f t="shared" si="1556"/>
        <v>89301062</v>
      </c>
      <c r="F7089" t="str">
        <f>"6758200152"</f>
        <v>6758200152</v>
      </c>
      <c r="G7089" s="1">
        <v>44762</v>
      </c>
      <c r="H7089" t="str">
        <f>"0096251"</f>
        <v>0096251</v>
      </c>
      <c r="I7089">
        <v>0.17</v>
      </c>
      <c r="K7089">
        <v>198.83</v>
      </c>
      <c r="L7089">
        <v>198.83</v>
      </c>
    </row>
    <row r="7090" spans="1:12" x14ac:dyDescent="0.25">
      <c r="A7090" t="str">
        <f t="shared" si="1549"/>
        <v>89301000</v>
      </c>
      <c r="B7090" t="str">
        <f t="shared" si="1553"/>
        <v>78051000</v>
      </c>
      <c r="C7090" t="str">
        <f t="shared" si="1554"/>
        <v>78051004</v>
      </c>
      <c r="D7090" t="str">
        <f t="shared" si="1555"/>
        <v>809</v>
      </c>
      <c r="E7090" t="str">
        <f t="shared" si="1556"/>
        <v>89301062</v>
      </c>
      <c r="F7090" t="str">
        <f>"6758200152"</f>
        <v>6758200152</v>
      </c>
      <c r="G7090" s="1">
        <v>44762</v>
      </c>
      <c r="H7090" t="str">
        <f>"0098943"</f>
        <v>0098943</v>
      </c>
      <c r="I7090">
        <v>1</v>
      </c>
      <c r="K7090">
        <v>293.81</v>
      </c>
      <c r="L7090">
        <v>293.81</v>
      </c>
    </row>
    <row r="7091" spans="1:12" x14ac:dyDescent="0.25">
      <c r="A7091" t="str">
        <f t="shared" si="1549"/>
        <v>89301000</v>
      </c>
      <c r="B7091" t="str">
        <f t="shared" si="1553"/>
        <v>78051000</v>
      </c>
      <c r="C7091" t="str">
        <f t="shared" ref="C7091:C7097" si="1557">"78051017"</f>
        <v>78051017</v>
      </c>
      <c r="D7091" t="str">
        <f t="shared" ref="D7091:D7097" si="1558">"810"</f>
        <v>810</v>
      </c>
      <c r="E7091" t="str">
        <f t="shared" si="1556"/>
        <v>89301062</v>
      </c>
      <c r="F7091" t="str">
        <f>"7609083009"</f>
        <v>7609083009</v>
      </c>
      <c r="G7091" s="1">
        <v>44743</v>
      </c>
      <c r="H7091" t="str">
        <f t="shared" ref="H7091:H7097" si="1559">"89615"</f>
        <v>89615</v>
      </c>
      <c r="I7091">
        <v>1</v>
      </c>
      <c r="J7091">
        <v>2170</v>
      </c>
      <c r="K7091">
        <v>0</v>
      </c>
      <c r="L7091">
        <v>1302</v>
      </c>
    </row>
    <row r="7092" spans="1:12" x14ac:dyDescent="0.25">
      <c r="A7092" t="str">
        <f t="shared" si="1549"/>
        <v>89301000</v>
      </c>
      <c r="B7092" t="str">
        <f t="shared" si="1553"/>
        <v>78051000</v>
      </c>
      <c r="C7092" t="str">
        <f t="shared" si="1557"/>
        <v>78051017</v>
      </c>
      <c r="D7092" t="str">
        <f t="shared" si="1558"/>
        <v>810</v>
      </c>
      <c r="E7092" t="str">
        <f t="shared" si="1556"/>
        <v>89301062</v>
      </c>
      <c r="F7092" t="str">
        <f>"7702025309"</f>
        <v>7702025309</v>
      </c>
      <c r="G7092" s="1">
        <v>44743</v>
      </c>
      <c r="H7092" t="str">
        <f t="shared" si="1559"/>
        <v>89615</v>
      </c>
      <c r="I7092">
        <v>1</v>
      </c>
      <c r="J7092">
        <v>2170</v>
      </c>
      <c r="K7092">
        <v>0</v>
      </c>
      <c r="L7092">
        <v>1302</v>
      </c>
    </row>
    <row r="7093" spans="1:12" x14ac:dyDescent="0.25">
      <c r="A7093" t="str">
        <f t="shared" si="1549"/>
        <v>89301000</v>
      </c>
      <c r="B7093" t="str">
        <f t="shared" si="1553"/>
        <v>78051000</v>
      </c>
      <c r="C7093" t="str">
        <f t="shared" si="1557"/>
        <v>78051017</v>
      </c>
      <c r="D7093" t="str">
        <f t="shared" si="1558"/>
        <v>810</v>
      </c>
      <c r="E7093" t="str">
        <f t="shared" si="1556"/>
        <v>89301062</v>
      </c>
      <c r="F7093" t="str">
        <f>"7152255341"</f>
        <v>7152255341</v>
      </c>
      <c r="G7093" s="1">
        <v>44743</v>
      </c>
      <c r="H7093" t="str">
        <f t="shared" si="1559"/>
        <v>89615</v>
      </c>
      <c r="I7093">
        <v>1</v>
      </c>
      <c r="J7093">
        <v>2170</v>
      </c>
      <c r="K7093">
        <v>0</v>
      </c>
      <c r="L7093">
        <v>1302</v>
      </c>
    </row>
    <row r="7094" spans="1:12" x14ac:dyDescent="0.25">
      <c r="A7094" t="str">
        <f t="shared" si="1549"/>
        <v>89301000</v>
      </c>
      <c r="B7094" t="str">
        <f t="shared" si="1553"/>
        <v>78051000</v>
      </c>
      <c r="C7094" t="str">
        <f t="shared" si="1557"/>
        <v>78051017</v>
      </c>
      <c r="D7094" t="str">
        <f t="shared" si="1558"/>
        <v>810</v>
      </c>
      <c r="E7094" t="str">
        <f t="shared" si="1556"/>
        <v>89301062</v>
      </c>
      <c r="F7094" t="str">
        <f>"7653244456"</f>
        <v>7653244456</v>
      </c>
      <c r="G7094" s="1">
        <v>44755</v>
      </c>
      <c r="H7094" t="str">
        <f t="shared" si="1559"/>
        <v>89615</v>
      </c>
      <c r="I7094">
        <v>1</v>
      </c>
      <c r="J7094">
        <v>2170</v>
      </c>
      <c r="K7094">
        <v>0</v>
      </c>
      <c r="L7094">
        <v>1302</v>
      </c>
    </row>
    <row r="7095" spans="1:12" x14ac:dyDescent="0.25">
      <c r="A7095" t="str">
        <f t="shared" si="1549"/>
        <v>89301000</v>
      </c>
      <c r="B7095" t="str">
        <f t="shared" si="1553"/>
        <v>78051000</v>
      </c>
      <c r="C7095" t="str">
        <f t="shared" si="1557"/>
        <v>78051017</v>
      </c>
      <c r="D7095" t="str">
        <f t="shared" si="1558"/>
        <v>810</v>
      </c>
      <c r="E7095" t="str">
        <f t="shared" si="1556"/>
        <v>89301062</v>
      </c>
      <c r="F7095" t="str">
        <f>"520801254"</f>
        <v>520801254</v>
      </c>
      <c r="G7095" s="1">
        <v>44762</v>
      </c>
      <c r="H7095" t="str">
        <f t="shared" si="1559"/>
        <v>89615</v>
      </c>
      <c r="I7095">
        <v>1</v>
      </c>
      <c r="J7095">
        <v>2170</v>
      </c>
      <c r="K7095">
        <v>0</v>
      </c>
      <c r="L7095">
        <v>1302</v>
      </c>
    </row>
    <row r="7096" spans="1:12" x14ac:dyDescent="0.25">
      <c r="A7096" t="str">
        <f t="shared" si="1549"/>
        <v>89301000</v>
      </c>
      <c r="B7096" t="str">
        <f t="shared" si="1553"/>
        <v>78051000</v>
      </c>
      <c r="C7096" t="str">
        <f t="shared" si="1557"/>
        <v>78051017</v>
      </c>
      <c r="D7096" t="str">
        <f t="shared" si="1558"/>
        <v>810</v>
      </c>
      <c r="E7096" t="str">
        <f t="shared" si="1556"/>
        <v>89301062</v>
      </c>
      <c r="F7096" t="str">
        <f>"471102418"</f>
        <v>471102418</v>
      </c>
      <c r="G7096" s="1">
        <v>44762</v>
      </c>
      <c r="H7096" t="str">
        <f t="shared" si="1559"/>
        <v>89615</v>
      </c>
      <c r="I7096">
        <v>1</v>
      </c>
      <c r="J7096">
        <v>2170</v>
      </c>
      <c r="K7096">
        <v>0</v>
      </c>
      <c r="L7096">
        <v>1302</v>
      </c>
    </row>
    <row r="7097" spans="1:12" x14ac:dyDescent="0.25">
      <c r="A7097" t="str">
        <f t="shared" si="1549"/>
        <v>89301000</v>
      </c>
      <c r="B7097" t="str">
        <f t="shared" si="1553"/>
        <v>78051000</v>
      </c>
      <c r="C7097" t="str">
        <f t="shared" si="1557"/>
        <v>78051017</v>
      </c>
      <c r="D7097" t="str">
        <f t="shared" si="1558"/>
        <v>810</v>
      </c>
      <c r="E7097" t="str">
        <f t="shared" si="1556"/>
        <v>89301062</v>
      </c>
      <c r="F7097" t="str">
        <f>"6758200152"</f>
        <v>6758200152</v>
      </c>
      <c r="G7097" s="1">
        <v>44762</v>
      </c>
      <c r="H7097" t="str">
        <f t="shared" si="1559"/>
        <v>89615</v>
      </c>
      <c r="I7097">
        <v>1</v>
      </c>
      <c r="J7097">
        <v>2170</v>
      </c>
      <c r="K7097">
        <v>0</v>
      </c>
      <c r="L7097">
        <v>1302</v>
      </c>
    </row>
    <row r="7098" spans="1:12" x14ac:dyDescent="0.25">
      <c r="A7098" t="str">
        <f t="shared" si="1549"/>
        <v>89301000</v>
      </c>
      <c r="B7098" t="str">
        <f>"86988400"</f>
        <v>86988400</v>
      </c>
      <c r="C7098" t="str">
        <f>"86988401"</f>
        <v>86988401</v>
      </c>
      <c r="D7098" t="str">
        <f t="shared" ref="D7098:D7111" si="1560">"809"</f>
        <v>809</v>
      </c>
      <c r="E7098" t="str">
        <f t="shared" si="1556"/>
        <v>89301062</v>
      </c>
      <c r="F7098" t="str">
        <f>"7812174964"</f>
        <v>7812174964</v>
      </c>
      <c r="G7098" s="1">
        <v>44770</v>
      </c>
      <c r="H7098" t="str">
        <f>"89713"</f>
        <v>89713</v>
      </c>
      <c r="I7098">
        <v>1</v>
      </c>
      <c r="J7098">
        <v>5362</v>
      </c>
      <c r="K7098">
        <v>0</v>
      </c>
      <c r="L7098">
        <v>3217.2</v>
      </c>
    </row>
    <row r="7099" spans="1:12" x14ac:dyDescent="0.25">
      <c r="A7099" t="str">
        <f t="shared" si="1549"/>
        <v>89301000</v>
      </c>
      <c r="B7099" t="str">
        <f>"86988400"</f>
        <v>86988400</v>
      </c>
      <c r="C7099" t="str">
        <f>"86988401"</f>
        <v>86988401</v>
      </c>
      <c r="D7099" t="str">
        <f t="shared" si="1560"/>
        <v>809</v>
      </c>
      <c r="E7099" t="str">
        <f t="shared" si="1556"/>
        <v>89301062</v>
      </c>
      <c r="F7099" t="str">
        <f>"7812174964"</f>
        <v>7812174964</v>
      </c>
      <c r="G7099" s="1">
        <v>44770</v>
      </c>
      <c r="H7099" t="str">
        <f>"89725"</f>
        <v>89725</v>
      </c>
      <c r="I7099">
        <v>1</v>
      </c>
      <c r="J7099">
        <v>2839</v>
      </c>
      <c r="K7099">
        <v>0</v>
      </c>
      <c r="L7099">
        <v>1703.4</v>
      </c>
    </row>
    <row r="7100" spans="1:12" x14ac:dyDescent="0.25">
      <c r="A7100" t="str">
        <f t="shared" si="1549"/>
        <v>89301000</v>
      </c>
      <c r="B7100" t="str">
        <f>"86988400"</f>
        <v>86988400</v>
      </c>
      <c r="C7100" t="str">
        <f>"86988401"</f>
        <v>86988401</v>
      </c>
      <c r="D7100" t="str">
        <f t="shared" si="1560"/>
        <v>809</v>
      </c>
      <c r="E7100" t="str">
        <f t="shared" si="1556"/>
        <v>89301062</v>
      </c>
      <c r="F7100" t="str">
        <f>"7812174964"</f>
        <v>7812174964</v>
      </c>
      <c r="G7100" s="1">
        <v>44770</v>
      </c>
      <c r="H7100" t="str">
        <f>"0054253"</f>
        <v>0054253</v>
      </c>
      <c r="I7100">
        <v>1</v>
      </c>
      <c r="K7100">
        <v>843.46</v>
      </c>
      <c r="L7100">
        <v>843.46</v>
      </c>
    </row>
    <row r="7101" spans="1:12" x14ac:dyDescent="0.25">
      <c r="A7101" t="str">
        <f t="shared" si="1549"/>
        <v>89301000</v>
      </c>
      <c r="B7101" t="str">
        <f>"91885222"</f>
        <v>91885222</v>
      </c>
      <c r="C7101" t="str">
        <f>"91885001"</f>
        <v>91885001</v>
      </c>
      <c r="D7101" t="str">
        <f t="shared" si="1560"/>
        <v>809</v>
      </c>
      <c r="E7101" t="str">
        <f>"89301212"</f>
        <v>89301212</v>
      </c>
      <c r="F7101" t="str">
        <f>"395918002"</f>
        <v>395918002</v>
      </c>
      <c r="G7101" s="1">
        <v>44769</v>
      </c>
      <c r="H7101" t="str">
        <f>"89131"</f>
        <v>89131</v>
      </c>
      <c r="I7101">
        <v>1</v>
      </c>
      <c r="J7101">
        <v>187</v>
      </c>
      <c r="K7101">
        <v>0</v>
      </c>
      <c r="L7101">
        <v>261.8</v>
      </c>
    </row>
    <row r="7102" spans="1:12" x14ac:dyDescent="0.25">
      <c r="A7102" t="str">
        <f t="shared" si="1549"/>
        <v>89301000</v>
      </c>
      <c r="B7102" t="str">
        <f t="shared" ref="B7102:B7114" si="1561">"93201000"</f>
        <v>93201000</v>
      </c>
      <c r="C7102" t="str">
        <f t="shared" ref="C7102:C7111" si="1562">"93201350"</f>
        <v>93201350</v>
      </c>
      <c r="D7102" t="str">
        <f t="shared" si="1560"/>
        <v>809</v>
      </c>
      <c r="E7102" t="str">
        <f t="shared" ref="E7102:E7108" si="1563">"89301215"</f>
        <v>89301215</v>
      </c>
      <c r="F7102" t="str">
        <f>"526124072"</f>
        <v>526124072</v>
      </c>
      <c r="G7102" s="1">
        <v>44760</v>
      </c>
      <c r="H7102" t="str">
        <f>"89513"</f>
        <v>89513</v>
      </c>
      <c r="I7102">
        <v>1</v>
      </c>
      <c r="J7102">
        <v>371</v>
      </c>
      <c r="K7102">
        <v>0</v>
      </c>
      <c r="L7102">
        <v>519.4</v>
      </c>
    </row>
    <row r="7103" spans="1:12" x14ac:dyDescent="0.25">
      <c r="A7103" t="str">
        <f t="shared" si="1549"/>
        <v>89301000</v>
      </c>
      <c r="B7103" t="str">
        <f t="shared" si="1561"/>
        <v>93201000</v>
      </c>
      <c r="C7103" t="str">
        <f t="shared" si="1562"/>
        <v>93201350</v>
      </c>
      <c r="D7103" t="str">
        <f t="shared" si="1560"/>
        <v>809</v>
      </c>
      <c r="E7103" t="str">
        <f t="shared" si="1563"/>
        <v>89301215</v>
      </c>
      <c r="F7103" t="str">
        <f>"526124072"</f>
        <v>526124072</v>
      </c>
      <c r="G7103" s="1">
        <v>44760</v>
      </c>
      <c r="H7103" t="str">
        <f>"89514"</f>
        <v>89514</v>
      </c>
      <c r="I7103">
        <v>1</v>
      </c>
      <c r="J7103">
        <v>371</v>
      </c>
      <c r="K7103">
        <v>0</v>
      </c>
      <c r="L7103">
        <v>519.4</v>
      </c>
    </row>
    <row r="7104" spans="1:12" x14ac:dyDescent="0.25">
      <c r="A7104" t="str">
        <f t="shared" si="1549"/>
        <v>89301000</v>
      </c>
      <c r="B7104" t="str">
        <f t="shared" si="1561"/>
        <v>93201000</v>
      </c>
      <c r="C7104" t="str">
        <f t="shared" si="1562"/>
        <v>93201350</v>
      </c>
      <c r="D7104" t="str">
        <f t="shared" si="1560"/>
        <v>809</v>
      </c>
      <c r="E7104" t="str">
        <f t="shared" si="1563"/>
        <v>89301215</v>
      </c>
      <c r="F7104" t="str">
        <f>"8801116225"</f>
        <v>8801116225</v>
      </c>
      <c r="G7104" s="1">
        <v>44760</v>
      </c>
      <c r="H7104" t="str">
        <f>"89513"</f>
        <v>89513</v>
      </c>
      <c r="I7104">
        <v>1</v>
      </c>
      <c r="J7104">
        <v>371</v>
      </c>
      <c r="K7104">
        <v>0</v>
      </c>
      <c r="L7104">
        <v>519.4</v>
      </c>
    </row>
    <row r="7105" spans="1:12" x14ac:dyDescent="0.25">
      <c r="A7105" t="str">
        <f t="shared" si="1549"/>
        <v>89301000</v>
      </c>
      <c r="B7105" t="str">
        <f t="shared" si="1561"/>
        <v>93201000</v>
      </c>
      <c r="C7105" t="str">
        <f t="shared" si="1562"/>
        <v>93201350</v>
      </c>
      <c r="D7105" t="str">
        <f t="shared" si="1560"/>
        <v>809</v>
      </c>
      <c r="E7105" t="str">
        <f t="shared" si="1563"/>
        <v>89301215</v>
      </c>
      <c r="F7105" t="str">
        <f>"8801116225"</f>
        <v>8801116225</v>
      </c>
      <c r="G7105" s="1">
        <v>44760</v>
      </c>
      <c r="H7105" t="str">
        <f>"89514"</f>
        <v>89514</v>
      </c>
      <c r="I7105">
        <v>1</v>
      </c>
      <c r="J7105">
        <v>371</v>
      </c>
      <c r="K7105">
        <v>0</v>
      </c>
      <c r="L7105">
        <v>519.4</v>
      </c>
    </row>
    <row r="7106" spans="1:12" x14ac:dyDescent="0.25">
      <c r="A7106" t="str">
        <f t="shared" ref="A7106:A7169" si="1564">"89301000"</f>
        <v>89301000</v>
      </c>
      <c r="B7106" t="str">
        <f t="shared" si="1561"/>
        <v>93201000</v>
      </c>
      <c r="C7106" t="str">
        <f t="shared" si="1562"/>
        <v>93201350</v>
      </c>
      <c r="D7106" t="str">
        <f t="shared" si="1560"/>
        <v>809</v>
      </c>
      <c r="E7106" t="str">
        <f t="shared" si="1563"/>
        <v>89301215</v>
      </c>
      <c r="F7106" t="str">
        <f>"8662296247"</f>
        <v>8662296247</v>
      </c>
      <c r="G7106" s="1">
        <v>44756</v>
      </c>
      <c r="H7106" t="str">
        <f>"89615"</f>
        <v>89615</v>
      </c>
      <c r="I7106">
        <v>1</v>
      </c>
      <c r="J7106">
        <v>2170</v>
      </c>
      <c r="K7106">
        <v>0</v>
      </c>
      <c r="L7106">
        <v>1302</v>
      </c>
    </row>
    <row r="7107" spans="1:12" x14ac:dyDescent="0.25">
      <c r="A7107" t="str">
        <f t="shared" si="1564"/>
        <v>89301000</v>
      </c>
      <c r="B7107" t="str">
        <f t="shared" si="1561"/>
        <v>93201000</v>
      </c>
      <c r="C7107" t="str">
        <f t="shared" si="1562"/>
        <v>93201350</v>
      </c>
      <c r="D7107" t="str">
        <f t="shared" si="1560"/>
        <v>809</v>
      </c>
      <c r="E7107" t="str">
        <f t="shared" si="1563"/>
        <v>89301215</v>
      </c>
      <c r="F7107" t="str">
        <f>"526124072"</f>
        <v>526124072</v>
      </c>
      <c r="G7107" s="1">
        <v>44760</v>
      </c>
      <c r="H7107" t="str">
        <f>"89180"</f>
        <v>89180</v>
      </c>
      <c r="I7107">
        <v>2</v>
      </c>
      <c r="J7107">
        <v>752</v>
      </c>
      <c r="K7107">
        <v>0</v>
      </c>
      <c r="L7107">
        <v>1052.8</v>
      </c>
    </row>
    <row r="7108" spans="1:12" x14ac:dyDescent="0.25">
      <c r="A7108" t="str">
        <f t="shared" si="1564"/>
        <v>89301000</v>
      </c>
      <c r="B7108" t="str">
        <f t="shared" si="1561"/>
        <v>93201000</v>
      </c>
      <c r="C7108" t="str">
        <f t="shared" si="1562"/>
        <v>93201350</v>
      </c>
      <c r="D7108" t="str">
        <f t="shared" si="1560"/>
        <v>809</v>
      </c>
      <c r="E7108" t="str">
        <f t="shared" si="1563"/>
        <v>89301215</v>
      </c>
      <c r="F7108" t="str">
        <f>"526124072"</f>
        <v>526124072</v>
      </c>
      <c r="G7108" s="1">
        <v>44760</v>
      </c>
      <c r="H7108" t="str">
        <f>"89512"</f>
        <v>89512</v>
      </c>
      <c r="I7108">
        <v>1</v>
      </c>
      <c r="J7108">
        <v>277</v>
      </c>
      <c r="K7108">
        <v>0</v>
      </c>
      <c r="L7108">
        <v>387.8</v>
      </c>
    </row>
    <row r="7109" spans="1:12" x14ac:dyDescent="0.25">
      <c r="A7109" t="str">
        <f t="shared" si="1564"/>
        <v>89301000</v>
      </c>
      <c r="B7109" t="str">
        <f t="shared" si="1561"/>
        <v>93201000</v>
      </c>
      <c r="C7109" t="str">
        <f t="shared" si="1562"/>
        <v>93201350</v>
      </c>
      <c r="D7109" t="str">
        <f t="shared" si="1560"/>
        <v>809</v>
      </c>
      <c r="E7109" t="str">
        <f>"89301212"</f>
        <v>89301212</v>
      </c>
      <c r="F7109" t="str">
        <f>"526009140"</f>
        <v>526009140</v>
      </c>
      <c r="G7109" s="1">
        <v>44768</v>
      </c>
      <c r="H7109" t="str">
        <f>"89180"</f>
        <v>89180</v>
      </c>
      <c r="I7109">
        <v>2</v>
      </c>
      <c r="J7109">
        <v>752</v>
      </c>
      <c r="K7109">
        <v>0</v>
      </c>
      <c r="L7109">
        <v>1052.8</v>
      </c>
    </row>
    <row r="7110" spans="1:12" x14ac:dyDescent="0.25">
      <c r="A7110" t="str">
        <f t="shared" si="1564"/>
        <v>89301000</v>
      </c>
      <c r="B7110" t="str">
        <f t="shared" si="1561"/>
        <v>93201000</v>
      </c>
      <c r="C7110" t="str">
        <f t="shared" si="1562"/>
        <v>93201350</v>
      </c>
      <c r="D7110" t="str">
        <f t="shared" si="1560"/>
        <v>809</v>
      </c>
      <c r="E7110" t="str">
        <f>"89301212"</f>
        <v>89301212</v>
      </c>
      <c r="F7110" t="str">
        <f>"7262225806"</f>
        <v>7262225806</v>
      </c>
      <c r="G7110" s="1">
        <v>44771</v>
      </c>
      <c r="H7110" t="str">
        <f>"89512"</f>
        <v>89512</v>
      </c>
      <c r="I7110">
        <v>1</v>
      </c>
      <c r="J7110">
        <v>277</v>
      </c>
      <c r="K7110">
        <v>0</v>
      </c>
      <c r="L7110">
        <v>387.8</v>
      </c>
    </row>
    <row r="7111" spans="1:12" x14ac:dyDescent="0.25">
      <c r="A7111" t="str">
        <f t="shared" si="1564"/>
        <v>89301000</v>
      </c>
      <c r="B7111" t="str">
        <f t="shared" si="1561"/>
        <v>93201000</v>
      </c>
      <c r="C7111" t="str">
        <f t="shared" si="1562"/>
        <v>93201350</v>
      </c>
      <c r="D7111" t="str">
        <f t="shared" si="1560"/>
        <v>809</v>
      </c>
      <c r="E7111" t="str">
        <f>"89301212"</f>
        <v>89301212</v>
      </c>
      <c r="F7111" t="str">
        <f>"7262225806"</f>
        <v>7262225806</v>
      </c>
      <c r="G7111" s="1">
        <v>44771</v>
      </c>
      <c r="H7111" t="str">
        <f>"89180"</f>
        <v>89180</v>
      </c>
      <c r="I7111">
        <v>2</v>
      </c>
      <c r="J7111">
        <v>752</v>
      </c>
      <c r="K7111">
        <v>0</v>
      </c>
      <c r="L7111">
        <v>1052.8</v>
      </c>
    </row>
    <row r="7112" spans="1:12" x14ac:dyDescent="0.25">
      <c r="A7112" t="str">
        <f t="shared" si="1564"/>
        <v>89301000</v>
      </c>
      <c r="B7112" t="str">
        <f t="shared" si="1561"/>
        <v>93201000</v>
      </c>
      <c r="C7112" t="str">
        <f>"93201355"</f>
        <v>93201355</v>
      </c>
      <c r="D7112" t="str">
        <f>"810"</f>
        <v>810</v>
      </c>
      <c r="E7112" t="str">
        <f>"89301172"</f>
        <v>89301172</v>
      </c>
      <c r="F7112" t="str">
        <f>"6961065771"</f>
        <v>6961065771</v>
      </c>
      <c r="G7112" s="1">
        <v>44767</v>
      </c>
      <c r="H7112" t="str">
        <f>"89713"</f>
        <v>89713</v>
      </c>
      <c r="I7112">
        <v>1</v>
      </c>
      <c r="J7112">
        <v>5362</v>
      </c>
      <c r="K7112">
        <v>0</v>
      </c>
      <c r="L7112">
        <v>3217.2</v>
      </c>
    </row>
    <row r="7113" spans="1:12" x14ac:dyDescent="0.25">
      <c r="A7113" t="str">
        <f t="shared" si="1564"/>
        <v>89301000</v>
      </c>
      <c r="B7113" t="str">
        <f t="shared" si="1561"/>
        <v>93201000</v>
      </c>
      <c r="C7113" t="str">
        <f>"93201355"</f>
        <v>93201355</v>
      </c>
      <c r="D7113" t="str">
        <f>"810"</f>
        <v>810</v>
      </c>
      <c r="E7113" t="str">
        <f>"89301062"</f>
        <v>89301062</v>
      </c>
      <c r="F7113" t="str">
        <f>"5606221104"</f>
        <v>5606221104</v>
      </c>
      <c r="G7113" s="1">
        <v>44746</v>
      </c>
      <c r="H7113" t="str">
        <f>"89713"</f>
        <v>89713</v>
      </c>
      <c r="I7113">
        <v>1</v>
      </c>
      <c r="J7113">
        <v>5362</v>
      </c>
      <c r="K7113">
        <v>0</v>
      </c>
      <c r="L7113">
        <v>3217.2</v>
      </c>
    </row>
    <row r="7114" spans="1:12" x14ac:dyDescent="0.25">
      <c r="A7114" t="str">
        <f t="shared" si="1564"/>
        <v>89301000</v>
      </c>
      <c r="B7114" t="str">
        <f t="shared" si="1561"/>
        <v>93201000</v>
      </c>
      <c r="C7114" t="str">
        <f>"93201355"</f>
        <v>93201355</v>
      </c>
      <c r="D7114" t="str">
        <f>"810"</f>
        <v>810</v>
      </c>
      <c r="E7114" t="str">
        <f>"89301062"</f>
        <v>89301062</v>
      </c>
      <c r="F7114" t="str">
        <f>"6304170092"</f>
        <v>6304170092</v>
      </c>
      <c r="G7114" s="1">
        <v>44760</v>
      </c>
      <c r="H7114" t="str">
        <f>"89713"</f>
        <v>89713</v>
      </c>
      <c r="I7114">
        <v>1</v>
      </c>
      <c r="J7114">
        <v>5362</v>
      </c>
      <c r="K7114">
        <v>0</v>
      </c>
      <c r="L7114">
        <v>3217.2</v>
      </c>
    </row>
    <row r="7115" spans="1:12" x14ac:dyDescent="0.25">
      <c r="A7115" t="str">
        <f t="shared" si="1564"/>
        <v>89301000</v>
      </c>
      <c r="B7115" t="str">
        <f t="shared" ref="B7115:B7122" si="1565">"95202000"</f>
        <v>95202000</v>
      </c>
      <c r="C7115" t="str">
        <f t="shared" ref="C7115:C7122" si="1566">"95202511"</f>
        <v>95202511</v>
      </c>
      <c r="D7115" t="str">
        <f t="shared" ref="D7115:D7146" si="1567">"809"</f>
        <v>809</v>
      </c>
      <c r="E7115" t="str">
        <f>"89301322"</f>
        <v>89301322</v>
      </c>
      <c r="F7115" t="str">
        <f>"440704425"</f>
        <v>440704425</v>
      </c>
      <c r="G7115" s="1">
        <v>44743</v>
      </c>
      <c r="H7115" t="str">
        <f>"89513"</f>
        <v>89513</v>
      </c>
      <c r="I7115">
        <v>1</v>
      </c>
      <c r="J7115">
        <v>371</v>
      </c>
      <c r="K7115">
        <v>0</v>
      </c>
      <c r="L7115">
        <v>519.4</v>
      </c>
    </row>
    <row r="7116" spans="1:12" x14ac:dyDescent="0.25">
      <c r="A7116" t="str">
        <f t="shared" si="1564"/>
        <v>89301000</v>
      </c>
      <c r="B7116" t="str">
        <f t="shared" si="1565"/>
        <v>95202000</v>
      </c>
      <c r="C7116" t="str">
        <f t="shared" si="1566"/>
        <v>95202511</v>
      </c>
      <c r="D7116" t="str">
        <f t="shared" si="1567"/>
        <v>809</v>
      </c>
      <c r="E7116" t="str">
        <f>"89301322"</f>
        <v>89301322</v>
      </c>
      <c r="F7116" t="str">
        <f>"440704425"</f>
        <v>440704425</v>
      </c>
      <c r="G7116" s="1">
        <v>44743</v>
      </c>
      <c r="H7116" t="str">
        <f>"89514"</f>
        <v>89514</v>
      </c>
      <c r="I7116">
        <v>1</v>
      </c>
      <c r="J7116">
        <v>371</v>
      </c>
      <c r="K7116">
        <v>0</v>
      </c>
      <c r="L7116">
        <v>519.4</v>
      </c>
    </row>
    <row r="7117" spans="1:12" x14ac:dyDescent="0.25">
      <c r="A7117" t="str">
        <f t="shared" si="1564"/>
        <v>89301000</v>
      </c>
      <c r="B7117" t="str">
        <f t="shared" si="1565"/>
        <v>95202000</v>
      </c>
      <c r="C7117" t="str">
        <f t="shared" si="1566"/>
        <v>95202511</v>
      </c>
      <c r="D7117" t="str">
        <f t="shared" si="1567"/>
        <v>809</v>
      </c>
      <c r="E7117" t="str">
        <f>"89301322"</f>
        <v>89301322</v>
      </c>
      <c r="F7117" t="str">
        <f>"440704425"</f>
        <v>440704425</v>
      </c>
      <c r="G7117" s="1">
        <v>44743</v>
      </c>
      <c r="H7117" t="str">
        <f>"09135"</f>
        <v>09135</v>
      </c>
      <c r="I7117">
        <v>1</v>
      </c>
      <c r="J7117">
        <v>174</v>
      </c>
      <c r="K7117">
        <v>0</v>
      </c>
      <c r="L7117">
        <v>243.6</v>
      </c>
    </row>
    <row r="7118" spans="1:12" x14ac:dyDescent="0.25">
      <c r="A7118" t="str">
        <f t="shared" si="1564"/>
        <v>89301000</v>
      </c>
      <c r="B7118" t="str">
        <f t="shared" si="1565"/>
        <v>95202000</v>
      </c>
      <c r="C7118" t="str">
        <f t="shared" si="1566"/>
        <v>95202511</v>
      </c>
      <c r="D7118" t="str">
        <f t="shared" si="1567"/>
        <v>809</v>
      </c>
      <c r="E7118" t="str">
        <f>"89301322"</f>
        <v>89301322</v>
      </c>
      <c r="F7118" t="str">
        <f>"440704425"</f>
        <v>440704425</v>
      </c>
      <c r="G7118" s="1">
        <v>44743</v>
      </c>
      <c r="H7118" t="str">
        <f>"09567"</f>
        <v>09567</v>
      </c>
      <c r="I7118">
        <v>1</v>
      </c>
      <c r="J7118">
        <v>0</v>
      </c>
      <c r="K7118">
        <v>0</v>
      </c>
      <c r="L7118">
        <v>0</v>
      </c>
    </row>
    <row r="7119" spans="1:12" x14ac:dyDescent="0.25">
      <c r="A7119" t="str">
        <f t="shared" si="1564"/>
        <v>89301000</v>
      </c>
      <c r="B7119" t="str">
        <f t="shared" si="1565"/>
        <v>95202000</v>
      </c>
      <c r="C7119" t="str">
        <f t="shared" si="1566"/>
        <v>95202511</v>
      </c>
      <c r="D7119" t="str">
        <f t="shared" si="1567"/>
        <v>809</v>
      </c>
      <c r="E7119" t="str">
        <f>"89301322"</f>
        <v>89301322</v>
      </c>
      <c r="F7119" t="str">
        <f>"440704425"</f>
        <v>440704425</v>
      </c>
      <c r="G7119" s="1">
        <v>44743</v>
      </c>
      <c r="H7119" t="str">
        <f>"09569"</f>
        <v>09569</v>
      </c>
      <c r="I7119">
        <v>1</v>
      </c>
      <c r="J7119">
        <v>0</v>
      </c>
      <c r="K7119">
        <v>0</v>
      </c>
      <c r="L7119">
        <v>0</v>
      </c>
    </row>
    <row r="7120" spans="1:12" x14ac:dyDescent="0.25">
      <c r="A7120" t="str">
        <f t="shared" si="1564"/>
        <v>89301000</v>
      </c>
      <c r="B7120" t="str">
        <f t="shared" si="1565"/>
        <v>95202000</v>
      </c>
      <c r="C7120" t="str">
        <f t="shared" si="1566"/>
        <v>95202511</v>
      </c>
      <c r="D7120" t="str">
        <f t="shared" si="1567"/>
        <v>809</v>
      </c>
      <c r="E7120" t="str">
        <f>"89301212"</f>
        <v>89301212</v>
      </c>
      <c r="F7120" t="str">
        <f>"486230409"</f>
        <v>486230409</v>
      </c>
      <c r="G7120" s="1">
        <v>44749</v>
      </c>
      <c r="H7120" t="str">
        <f>"89517"</f>
        <v>89517</v>
      </c>
      <c r="I7120">
        <v>1</v>
      </c>
      <c r="J7120">
        <v>970</v>
      </c>
      <c r="K7120">
        <v>0</v>
      </c>
      <c r="L7120">
        <v>1358</v>
      </c>
    </row>
    <row r="7121" spans="1:12" x14ac:dyDescent="0.25">
      <c r="A7121" t="str">
        <f t="shared" si="1564"/>
        <v>89301000</v>
      </c>
      <c r="B7121" t="str">
        <f t="shared" si="1565"/>
        <v>95202000</v>
      </c>
      <c r="C7121" t="str">
        <f t="shared" si="1566"/>
        <v>95202511</v>
      </c>
      <c r="D7121" t="str">
        <f t="shared" si="1567"/>
        <v>809</v>
      </c>
      <c r="E7121" t="str">
        <f>"89301212"</f>
        <v>89301212</v>
      </c>
      <c r="F7121" t="str">
        <f>"486230409"</f>
        <v>486230409</v>
      </c>
      <c r="G7121" s="1">
        <v>44749</v>
      </c>
      <c r="H7121" t="str">
        <f>"09569"</f>
        <v>09569</v>
      </c>
      <c r="I7121">
        <v>1</v>
      </c>
      <c r="J7121">
        <v>0</v>
      </c>
      <c r="K7121">
        <v>0</v>
      </c>
      <c r="L7121">
        <v>0</v>
      </c>
    </row>
    <row r="7122" spans="1:12" x14ac:dyDescent="0.25">
      <c r="A7122" t="str">
        <f t="shared" si="1564"/>
        <v>89301000</v>
      </c>
      <c r="B7122" t="str">
        <f t="shared" si="1565"/>
        <v>95202000</v>
      </c>
      <c r="C7122" t="str">
        <f t="shared" si="1566"/>
        <v>95202511</v>
      </c>
      <c r="D7122" t="str">
        <f t="shared" si="1567"/>
        <v>809</v>
      </c>
      <c r="E7122" t="str">
        <f>"89301062"</f>
        <v>89301062</v>
      </c>
      <c r="F7122" t="str">
        <f>"505906187"</f>
        <v>505906187</v>
      </c>
      <c r="G7122" s="1">
        <v>44769</v>
      </c>
      <c r="H7122" t="str">
        <f>"89615"</f>
        <v>89615</v>
      </c>
      <c r="I7122">
        <v>1</v>
      </c>
      <c r="J7122">
        <v>2170</v>
      </c>
      <c r="K7122">
        <v>0</v>
      </c>
      <c r="L7122">
        <v>1302</v>
      </c>
    </row>
    <row r="7123" spans="1:12" x14ac:dyDescent="0.25">
      <c r="A7123" t="str">
        <f t="shared" si="1564"/>
        <v>89301000</v>
      </c>
      <c r="B7123" t="str">
        <f>"89632000"</f>
        <v>89632000</v>
      </c>
      <c r="C7123" t="str">
        <f>"89632000"</f>
        <v>89632000</v>
      </c>
      <c r="D7123" t="str">
        <f t="shared" si="1567"/>
        <v>809</v>
      </c>
      <c r="E7123" t="str">
        <f t="shared" ref="E7123:E7132" si="1568">"89301212"</f>
        <v>89301212</v>
      </c>
      <c r="F7123" t="str">
        <f>"495101088"</f>
        <v>495101088</v>
      </c>
      <c r="G7123" s="1">
        <v>44749</v>
      </c>
      <c r="H7123" t="str">
        <f>"89513"</f>
        <v>89513</v>
      </c>
      <c r="I7123">
        <v>1</v>
      </c>
      <c r="J7123">
        <v>371</v>
      </c>
      <c r="K7123">
        <v>0</v>
      </c>
      <c r="L7123">
        <v>519.4</v>
      </c>
    </row>
    <row r="7124" spans="1:12" x14ac:dyDescent="0.25">
      <c r="A7124" t="str">
        <f t="shared" si="1564"/>
        <v>89301000</v>
      </c>
      <c r="B7124" t="str">
        <f>"89632000"</f>
        <v>89632000</v>
      </c>
      <c r="C7124" t="str">
        <f>"89632000"</f>
        <v>89632000</v>
      </c>
      <c r="D7124" t="str">
        <f t="shared" si="1567"/>
        <v>809</v>
      </c>
      <c r="E7124" t="str">
        <f t="shared" si="1568"/>
        <v>89301212</v>
      </c>
      <c r="F7124" t="str">
        <f>"495101088"</f>
        <v>495101088</v>
      </c>
      <c r="G7124" s="1">
        <v>44749</v>
      </c>
      <c r="H7124" t="str">
        <f>"89514"</f>
        <v>89514</v>
      </c>
      <c r="I7124">
        <v>1</v>
      </c>
      <c r="J7124">
        <v>371</v>
      </c>
      <c r="K7124">
        <v>0</v>
      </c>
      <c r="L7124">
        <v>519.4</v>
      </c>
    </row>
    <row r="7125" spans="1:12" x14ac:dyDescent="0.25">
      <c r="A7125" t="str">
        <f t="shared" si="1564"/>
        <v>89301000</v>
      </c>
      <c r="B7125" t="str">
        <f>"85200000"</f>
        <v>85200000</v>
      </c>
      <c r="C7125" t="str">
        <f>"85200315"</f>
        <v>85200315</v>
      </c>
      <c r="D7125" t="str">
        <f t="shared" si="1567"/>
        <v>809</v>
      </c>
      <c r="E7125" t="str">
        <f t="shared" si="1568"/>
        <v>89301212</v>
      </c>
      <c r="F7125" t="str">
        <f>"475321441"</f>
        <v>475321441</v>
      </c>
      <c r="G7125" s="1">
        <v>44762</v>
      </c>
      <c r="H7125" t="str">
        <f>"89513"</f>
        <v>89513</v>
      </c>
      <c r="I7125">
        <v>1</v>
      </c>
      <c r="J7125">
        <v>371</v>
      </c>
      <c r="K7125">
        <v>0</v>
      </c>
      <c r="L7125">
        <v>519.4</v>
      </c>
    </row>
    <row r="7126" spans="1:12" x14ac:dyDescent="0.25">
      <c r="A7126" t="str">
        <f t="shared" si="1564"/>
        <v>89301000</v>
      </c>
      <c r="B7126" t="str">
        <f>"85200000"</f>
        <v>85200000</v>
      </c>
      <c r="C7126" t="str">
        <f>"85200315"</f>
        <v>85200315</v>
      </c>
      <c r="D7126" t="str">
        <f t="shared" si="1567"/>
        <v>809</v>
      </c>
      <c r="E7126" t="str">
        <f t="shared" si="1568"/>
        <v>89301212</v>
      </c>
      <c r="F7126" t="str">
        <f>"475321441"</f>
        <v>475321441</v>
      </c>
      <c r="G7126" s="1">
        <v>44762</v>
      </c>
      <c r="H7126" t="str">
        <f>"89514"</f>
        <v>89514</v>
      </c>
      <c r="I7126">
        <v>1</v>
      </c>
      <c r="J7126">
        <v>371</v>
      </c>
      <c r="K7126">
        <v>0</v>
      </c>
      <c r="L7126">
        <v>519.4</v>
      </c>
    </row>
    <row r="7127" spans="1:12" x14ac:dyDescent="0.25">
      <c r="A7127" t="str">
        <f t="shared" si="1564"/>
        <v>89301000</v>
      </c>
      <c r="B7127" t="str">
        <f t="shared" ref="B7127:B7158" si="1569">"89383000"</f>
        <v>89383000</v>
      </c>
      <c r="C7127" t="str">
        <f t="shared" ref="C7127:C7158" si="1570">"89383002"</f>
        <v>89383002</v>
      </c>
      <c r="D7127" t="str">
        <f t="shared" si="1567"/>
        <v>809</v>
      </c>
      <c r="E7127" t="str">
        <f t="shared" si="1568"/>
        <v>89301212</v>
      </c>
      <c r="F7127" t="str">
        <f>"7357174473"</f>
        <v>7357174473</v>
      </c>
      <c r="G7127" s="1">
        <v>44743</v>
      </c>
      <c r="H7127" t="str">
        <f>"89180"</f>
        <v>89180</v>
      </c>
      <c r="I7127">
        <v>2</v>
      </c>
      <c r="J7127">
        <v>752</v>
      </c>
      <c r="K7127">
        <v>0</v>
      </c>
      <c r="L7127">
        <v>1052.8</v>
      </c>
    </row>
    <row r="7128" spans="1:12" x14ac:dyDescent="0.25">
      <c r="A7128" t="str">
        <f t="shared" si="1564"/>
        <v>89301000</v>
      </c>
      <c r="B7128" t="str">
        <f t="shared" si="1569"/>
        <v>89383000</v>
      </c>
      <c r="C7128" t="str">
        <f t="shared" si="1570"/>
        <v>89383002</v>
      </c>
      <c r="D7128" t="str">
        <f t="shared" si="1567"/>
        <v>809</v>
      </c>
      <c r="E7128" t="str">
        <f t="shared" si="1568"/>
        <v>89301212</v>
      </c>
      <c r="F7128" t="str">
        <f>"7357174473"</f>
        <v>7357174473</v>
      </c>
      <c r="G7128" s="1">
        <v>44743</v>
      </c>
      <c r="H7128" t="str">
        <f>"89512"</f>
        <v>89512</v>
      </c>
      <c r="I7128">
        <v>1</v>
      </c>
      <c r="J7128">
        <v>277</v>
      </c>
      <c r="K7128">
        <v>0</v>
      </c>
      <c r="L7128">
        <v>387.8</v>
      </c>
    </row>
    <row r="7129" spans="1:12" x14ac:dyDescent="0.25">
      <c r="A7129" t="str">
        <f t="shared" si="1564"/>
        <v>89301000</v>
      </c>
      <c r="B7129" t="str">
        <f t="shared" si="1569"/>
        <v>89383000</v>
      </c>
      <c r="C7129" t="str">
        <f t="shared" si="1570"/>
        <v>89383002</v>
      </c>
      <c r="D7129" t="str">
        <f t="shared" si="1567"/>
        <v>809</v>
      </c>
      <c r="E7129" t="str">
        <f t="shared" si="1568"/>
        <v>89301212</v>
      </c>
      <c r="F7129" t="str">
        <f>"7357174473"</f>
        <v>7357174473</v>
      </c>
      <c r="G7129" s="1">
        <v>44743</v>
      </c>
      <c r="H7129" t="str">
        <f>"89513"</f>
        <v>89513</v>
      </c>
      <c r="I7129">
        <v>1</v>
      </c>
      <c r="J7129">
        <v>371</v>
      </c>
      <c r="K7129">
        <v>0</v>
      </c>
      <c r="L7129">
        <v>519.4</v>
      </c>
    </row>
    <row r="7130" spans="1:12" x14ac:dyDescent="0.25">
      <c r="A7130" t="str">
        <f t="shared" si="1564"/>
        <v>89301000</v>
      </c>
      <c r="B7130" t="str">
        <f t="shared" si="1569"/>
        <v>89383000</v>
      </c>
      <c r="C7130" t="str">
        <f t="shared" si="1570"/>
        <v>89383002</v>
      </c>
      <c r="D7130" t="str">
        <f t="shared" si="1567"/>
        <v>809</v>
      </c>
      <c r="E7130" t="str">
        <f t="shared" si="1568"/>
        <v>89301212</v>
      </c>
      <c r="F7130" t="str">
        <f>"7357174473"</f>
        <v>7357174473</v>
      </c>
      <c r="G7130" s="1">
        <v>44743</v>
      </c>
      <c r="H7130" t="str">
        <f>"89514"</f>
        <v>89514</v>
      </c>
      <c r="I7130">
        <v>1</v>
      </c>
      <c r="J7130">
        <v>371</v>
      </c>
      <c r="K7130">
        <v>0</v>
      </c>
      <c r="L7130">
        <v>519.4</v>
      </c>
    </row>
    <row r="7131" spans="1:12" x14ac:dyDescent="0.25">
      <c r="A7131" t="str">
        <f t="shared" si="1564"/>
        <v>89301000</v>
      </c>
      <c r="B7131" t="str">
        <f t="shared" si="1569"/>
        <v>89383000</v>
      </c>
      <c r="C7131" t="str">
        <f t="shared" si="1570"/>
        <v>89383002</v>
      </c>
      <c r="D7131" t="str">
        <f t="shared" si="1567"/>
        <v>809</v>
      </c>
      <c r="E7131" t="str">
        <f t="shared" si="1568"/>
        <v>89301212</v>
      </c>
      <c r="F7131" t="str">
        <f>"7356115371"</f>
        <v>7356115371</v>
      </c>
      <c r="G7131" s="1">
        <v>44743</v>
      </c>
      <c r="H7131" t="str">
        <f>"89513"</f>
        <v>89513</v>
      </c>
      <c r="I7131">
        <v>1</v>
      </c>
      <c r="J7131">
        <v>371</v>
      </c>
      <c r="K7131">
        <v>0</v>
      </c>
      <c r="L7131">
        <v>519.4</v>
      </c>
    </row>
    <row r="7132" spans="1:12" x14ac:dyDescent="0.25">
      <c r="A7132" t="str">
        <f t="shared" si="1564"/>
        <v>89301000</v>
      </c>
      <c r="B7132" t="str">
        <f t="shared" si="1569"/>
        <v>89383000</v>
      </c>
      <c r="C7132" t="str">
        <f t="shared" si="1570"/>
        <v>89383002</v>
      </c>
      <c r="D7132" t="str">
        <f t="shared" si="1567"/>
        <v>809</v>
      </c>
      <c r="E7132" t="str">
        <f t="shared" si="1568"/>
        <v>89301212</v>
      </c>
      <c r="F7132" t="str">
        <f>"7356115371"</f>
        <v>7356115371</v>
      </c>
      <c r="G7132" s="1">
        <v>44743</v>
      </c>
      <c r="H7132" t="str">
        <f>"89514"</f>
        <v>89514</v>
      </c>
      <c r="I7132">
        <v>1</v>
      </c>
      <c r="J7132">
        <v>371</v>
      </c>
      <c r="K7132">
        <v>0</v>
      </c>
      <c r="L7132">
        <v>519.4</v>
      </c>
    </row>
    <row r="7133" spans="1:12" x14ac:dyDescent="0.25">
      <c r="A7133" t="str">
        <f t="shared" si="1564"/>
        <v>89301000</v>
      </c>
      <c r="B7133" t="str">
        <f t="shared" si="1569"/>
        <v>89383000</v>
      </c>
      <c r="C7133" t="str">
        <f t="shared" si="1570"/>
        <v>89383002</v>
      </c>
      <c r="D7133" t="str">
        <f t="shared" si="1567"/>
        <v>809</v>
      </c>
      <c r="E7133" t="str">
        <f>"89301215"</f>
        <v>89301215</v>
      </c>
      <c r="F7133" t="str">
        <f>"6453161198"</f>
        <v>6453161198</v>
      </c>
      <c r="G7133" s="1">
        <v>44743</v>
      </c>
      <c r="H7133" t="str">
        <f>"89512"</f>
        <v>89512</v>
      </c>
      <c r="I7133">
        <v>1</v>
      </c>
      <c r="J7133">
        <v>277</v>
      </c>
      <c r="K7133">
        <v>0</v>
      </c>
      <c r="L7133">
        <v>387.8</v>
      </c>
    </row>
    <row r="7134" spans="1:12" x14ac:dyDescent="0.25">
      <c r="A7134" t="str">
        <f t="shared" si="1564"/>
        <v>89301000</v>
      </c>
      <c r="B7134" t="str">
        <f t="shared" si="1569"/>
        <v>89383000</v>
      </c>
      <c r="C7134" t="str">
        <f t="shared" si="1570"/>
        <v>89383002</v>
      </c>
      <c r="D7134" t="str">
        <f t="shared" si="1567"/>
        <v>809</v>
      </c>
      <c r="E7134" t="str">
        <f t="shared" ref="E7134:E7142" si="1571">"89301212"</f>
        <v>89301212</v>
      </c>
      <c r="F7134" t="str">
        <f>"8156044468"</f>
        <v>8156044468</v>
      </c>
      <c r="G7134" s="1">
        <v>44746</v>
      </c>
      <c r="H7134" t="str">
        <f>"89180"</f>
        <v>89180</v>
      </c>
      <c r="I7134">
        <v>2</v>
      </c>
      <c r="J7134">
        <v>752</v>
      </c>
      <c r="K7134">
        <v>0</v>
      </c>
      <c r="L7134">
        <v>1052.8</v>
      </c>
    </row>
    <row r="7135" spans="1:12" x14ac:dyDescent="0.25">
      <c r="A7135" t="str">
        <f t="shared" si="1564"/>
        <v>89301000</v>
      </c>
      <c r="B7135" t="str">
        <f t="shared" si="1569"/>
        <v>89383000</v>
      </c>
      <c r="C7135" t="str">
        <f t="shared" si="1570"/>
        <v>89383002</v>
      </c>
      <c r="D7135" t="str">
        <f t="shared" si="1567"/>
        <v>809</v>
      </c>
      <c r="E7135" t="str">
        <f t="shared" si="1571"/>
        <v>89301212</v>
      </c>
      <c r="F7135" t="str">
        <f>"8156044468"</f>
        <v>8156044468</v>
      </c>
      <c r="G7135" s="1">
        <v>44746</v>
      </c>
      <c r="H7135" t="str">
        <f>"89512"</f>
        <v>89512</v>
      </c>
      <c r="I7135">
        <v>1</v>
      </c>
      <c r="J7135">
        <v>277</v>
      </c>
      <c r="K7135">
        <v>0</v>
      </c>
      <c r="L7135">
        <v>387.8</v>
      </c>
    </row>
    <row r="7136" spans="1:12" x14ac:dyDescent="0.25">
      <c r="A7136" t="str">
        <f t="shared" si="1564"/>
        <v>89301000</v>
      </c>
      <c r="B7136" t="str">
        <f t="shared" si="1569"/>
        <v>89383000</v>
      </c>
      <c r="C7136" t="str">
        <f t="shared" si="1570"/>
        <v>89383002</v>
      </c>
      <c r="D7136" t="str">
        <f t="shared" si="1567"/>
        <v>809</v>
      </c>
      <c r="E7136" t="str">
        <f t="shared" si="1571"/>
        <v>89301212</v>
      </c>
      <c r="F7136" t="str">
        <f>"8156044468"</f>
        <v>8156044468</v>
      </c>
      <c r="G7136" s="1">
        <v>44746</v>
      </c>
      <c r="H7136" t="str">
        <f>"89513"</f>
        <v>89513</v>
      </c>
      <c r="I7136">
        <v>1</v>
      </c>
      <c r="J7136">
        <v>371</v>
      </c>
      <c r="K7136">
        <v>0</v>
      </c>
      <c r="L7136">
        <v>519.4</v>
      </c>
    </row>
    <row r="7137" spans="1:12" x14ac:dyDescent="0.25">
      <c r="A7137" t="str">
        <f t="shared" si="1564"/>
        <v>89301000</v>
      </c>
      <c r="B7137" t="str">
        <f t="shared" si="1569"/>
        <v>89383000</v>
      </c>
      <c r="C7137" t="str">
        <f t="shared" si="1570"/>
        <v>89383002</v>
      </c>
      <c r="D7137" t="str">
        <f t="shared" si="1567"/>
        <v>809</v>
      </c>
      <c r="E7137" t="str">
        <f t="shared" si="1571"/>
        <v>89301212</v>
      </c>
      <c r="F7137" t="str">
        <f>"8156044468"</f>
        <v>8156044468</v>
      </c>
      <c r="G7137" s="1">
        <v>44746</v>
      </c>
      <c r="H7137" t="str">
        <f>"89514"</f>
        <v>89514</v>
      </c>
      <c r="I7137">
        <v>1</v>
      </c>
      <c r="J7137">
        <v>371</v>
      </c>
      <c r="K7137">
        <v>0</v>
      </c>
      <c r="L7137">
        <v>519.4</v>
      </c>
    </row>
    <row r="7138" spans="1:12" x14ac:dyDescent="0.25">
      <c r="A7138" t="str">
        <f t="shared" si="1564"/>
        <v>89301000</v>
      </c>
      <c r="B7138" t="str">
        <f t="shared" si="1569"/>
        <v>89383000</v>
      </c>
      <c r="C7138" t="str">
        <f t="shared" si="1570"/>
        <v>89383002</v>
      </c>
      <c r="D7138" t="str">
        <f t="shared" si="1567"/>
        <v>809</v>
      </c>
      <c r="E7138" t="str">
        <f t="shared" si="1571"/>
        <v>89301212</v>
      </c>
      <c r="F7138" t="str">
        <f>"475410445"</f>
        <v>475410445</v>
      </c>
      <c r="G7138" s="1">
        <v>44746</v>
      </c>
      <c r="H7138" t="str">
        <f>"89513"</f>
        <v>89513</v>
      </c>
      <c r="I7138">
        <v>1</v>
      </c>
      <c r="J7138">
        <v>371</v>
      </c>
      <c r="K7138">
        <v>0</v>
      </c>
      <c r="L7138">
        <v>519.4</v>
      </c>
    </row>
    <row r="7139" spans="1:12" x14ac:dyDescent="0.25">
      <c r="A7139" t="str">
        <f t="shared" si="1564"/>
        <v>89301000</v>
      </c>
      <c r="B7139" t="str">
        <f t="shared" si="1569"/>
        <v>89383000</v>
      </c>
      <c r="C7139" t="str">
        <f t="shared" si="1570"/>
        <v>89383002</v>
      </c>
      <c r="D7139" t="str">
        <f t="shared" si="1567"/>
        <v>809</v>
      </c>
      <c r="E7139" t="str">
        <f t="shared" si="1571"/>
        <v>89301212</v>
      </c>
      <c r="F7139" t="str">
        <f>"475410445"</f>
        <v>475410445</v>
      </c>
      <c r="G7139" s="1">
        <v>44746</v>
      </c>
      <c r="H7139" t="str">
        <f>"89514"</f>
        <v>89514</v>
      </c>
      <c r="I7139">
        <v>1</v>
      </c>
      <c r="J7139">
        <v>371</v>
      </c>
      <c r="K7139">
        <v>0</v>
      </c>
      <c r="L7139">
        <v>519.4</v>
      </c>
    </row>
    <row r="7140" spans="1:12" x14ac:dyDescent="0.25">
      <c r="A7140" t="str">
        <f t="shared" si="1564"/>
        <v>89301000</v>
      </c>
      <c r="B7140" t="str">
        <f t="shared" si="1569"/>
        <v>89383000</v>
      </c>
      <c r="C7140" t="str">
        <f t="shared" si="1570"/>
        <v>89383002</v>
      </c>
      <c r="D7140" t="str">
        <f t="shared" si="1567"/>
        <v>809</v>
      </c>
      <c r="E7140" t="str">
        <f t="shared" si="1571"/>
        <v>89301212</v>
      </c>
      <c r="F7140" t="str">
        <f>"6053030896"</f>
        <v>6053030896</v>
      </c>
      <c r="G7140" s="1">
        <v>44749</v>
      </c>
      <c r="H7140" t="str">
        <f>"89512"</f>
        <v>89512</v>
      </c>
      <c r="I7140">
        <v>1</v>
      </c>
      <c r="J7140">
        <v>277</v>
      </c>
      <c r="K7140">
        <v>0</v>
      </c>
      <c r="L7140">
        <v>387.8</v>
      </c>
    </row>
    <row r="7141" spans="1:12" x14ac:dyDescent="0.25">
      <c r="A7141" t="str">
        <f t="shared" si="1564"/>
        <v>89301000</v>
      </c>
      <c r="B7141" t="str">
        <f t="shared" si="1569"/>
        <v>89383000</v>
      </c>
      <c r="C7141" t="str">
        <f t="shared" si="1570"/>
        <v>89383002</v>
      </c>
      <c r="D7141" t="str">
        <f t="shared" si="1567"/>
        <v>809</v>
      </c>
      <c r="E7141" t="str">
        <f t="shared" si="1571"/>
        <v>89301212</v>
      </c>
      <c r="F7141" t="str">
        <f>"6053030896"</f>
        <v>6053030896</v>
      </c>
      <c r="G7141" s="1">
        <v>44749</v>
      </c>
      <c r="H7141" t="str">
        <f>"89513"</f>
        <v>89513</v>
      </c>
      <c r="I7141">
        <v>1</v>
      </c>
      <c r="J7141">
        <v>371</v>
      </c>
      <c r="K7141">
        <v>0</v>
      </c>
      <c r="L7141">
        <v>519.4</v>
      </c>
    </row>
    <row r="7142" spans="1:12" x14ac:dyDescent="0.25">
      <c r="A7142" t="str">
        <f t="shared" si="1564"/>
        <v>89301000</v>
      </c>
      <c r="B7142" t="str">
        <f t="shared" si="1569"/>
        <v>89383000</v>
      </c>
      <c r="C7142" t="str">
        <f t="shared" si="1570"/>
        <v>89383002</v>
      </c>
      <c r="D7142" t="str">
        <f t="shared" si="1567"/>
        <v>809</v>
      </c>
      <c r="E7142" t="str">
        <f t="shared" si="1571"/>
        <v>89301212</v>
      </c>
      <c r="F7142" t="str">
        <f>"6053030896"</f>
        <v>6053030896</v>
      </c>
      <c r="G7142" s="1">
        <v>44749</v>
      </c>
      <c r="H7142" t="str">
        <f>"89514"</f>
        <v>89514</v>
      </c>
      <c r="I7142">
        <v>1</v>
      </c>
      <c r="J7142">
        <v>371</v>
      </c>
      <c r="K7142">
        <v>0</v>
      </c>
      <c r="L7142">
        <v>519.4</v>
      </c>
    </row>
    <row r="7143" spans="1:12" x14ac:dyDescent="0.25">
      <c r="A7143" t="str">
        <f t="shared" si="1564"/>
        <v>89301000</v>
      </c>
      <c r="B7143" t="str">
        <f t="shared" si="1569"/>
        <v>89383000</v>
      </c>
      <c r="C7143" t="str">
        <f t="shared" si="1570"/>
        <v>89383002</v>
      </c>
      <c r="D7143" t="str">
        <f t="shared" si="1567"/>
        <v>809</v>
      </c>
      <c r="E7143" t="str">
        <f>"89301042"</f>
        <v>89301042</v>
      </c>
      <c r="F7143" t="str">
        <f>"525528085"</f>
        <v>525528085</v>
      </c>
      <c r="G7143" s="1">
        <v>44749</v>
      </c>
      <c r="H7143" t="str">
        <f>"89512"</f>
        <v>89512</v>
      </c>
      <c r="I7143">
        <v>1</v>
      </c>
      <c r="J7143">
        <v>277</v>
      </c>
      <c r="K7143">
        <v>0</v>
      </c>
      <c r="L7143">
        <v>387.8</v>
      </c>
    </row>
    <row r="7144" spans="1:12" x14ac:dyDescent="0.25">
      <c r="A7144" t="str">
        <f t="shared" si="1564"/>
        <v>89301000</v>
      </c>
      <c r="B7144" t="str">
        <f t="shared" si="1569"/>
        <v>89383000</v>
      </c>
      <c r="C7144" t="str">
        <f t="shared" si="1570"/>
        <v>89383002</v>
      </c>
      <c r="D7144" t="str">
        <f t="shared" si="1567"/>
        <v>809</v>
      </c>
      <c r="E7144" t="str">
        <f>"89301212"</f>
        <v>89301212</v>
      </c>
      <c r="F7144" t="str">
        <f>"8659135771"</f>
        <v>8659135771</v>
      </c>
      <c r="G7144" s="1">
        <v>44750</v>
      </c>
      <c r="H7144" t="str">
        <f>"89180"</f>
        <v>89180</v>
      </c>
      <c r="I7144">
        <v>2</v>
      </c>
      <c r="J7144">
        <v>752</v>
      </c>
      <c r="K7144">
        <v>0</v>
      </c>
      <c r="L7144">
        <v>1052.8</v>
      </c>
    </row>
    <row r="7145" spans="1:12" x14ac:dyDescent="0.25">
      <c r="A7145" t="str">
        <f t="shared" si="1564"/>
        <v>89301000</v>
      </c>
      <c r="B7145" t="str">
        <f t="shared" si="1569"/>
        <v>89383000</v>
      </c>
      <c r="C7145" t="str">
        <f t="shared" si="1570"/>
        <v>89383002</v>
      </c>
      <c r="D7145" t="str">
        <f t="shared" si="1567"/>
        <v>809</v>
      </c>
      <c r="E7145" t="str">
        <f>"89301212"</f>
        <v>89301212</v>
      </c>
      <c r="F7145" t="str">
        <f>"8659135771"</f>
        <v>8659135771</v>
      </c>
      <c r="G7145" s="1">
        <v>44750</v>
      </c>
      <c r="H7145" t="str">
        <f>"89512"</f>
        <v>89512</v>
      </c>
      <c r="I7145">
        <v>1</v>
      </c>
      <c r="J7145">
        <v>277</v>
      </c>
      <c r="K7145">
        <v>0</v>
      </c>
      <c r="L7145">
        <v>387.8</v>
      </c>
    </row>
    <row r="7146" spans="1:12" x14ac:dyDescent="0.25">
      <c r="A7146" t="str">
        <f t="shared" si="1564"/>
        <v>89301000</v>
      </c>
      <c r="B7146" t="str">
        <f t="shared" si="1569"/>
        <v>89383000</v>
      </c>
      <c r="C7146" t="str">
        <f t="shared" si="1570"/>
        <v>89383002</v>
      </c>
      <c r="D7146" t="str">
        <f t="shared" si="1567"/>
        <v>809</v>
      </c>
      <c r="E7146" t="str">
        <f>"89301042"</f>
        <v>89301042</v>
      </c>
      <c r="F7146" t="str">
        <f>"8251145342"</f>
        <v>8251145342</v>
      </c>
      <c r="G7146" s="1">
        <v>44754</v>
      </c>
      <c r="H7146" t="str">
        <f>"89813"</f>
        <v>89813</v>
      </c>
      <c r="I7146">
        <v>1</v>
      </c>
      <c r="J7146">
        <v>130</v>
      </c>
      <c r="K7146">
        <v>0</v>
      </c>
      <c r="L7146">
        <v>182</v>
      </c>
    </row>
    <row r="7147" spans="1:12" x14ac:dyDescent="0.25">
      <c r="A7147" t="str">
        <f t="shared" si="1564"/>
        <v>89301000</v>
      </c>
      <c r="B7147" t="str">
        <f t="shared" si="1569"/>
        <v>89383000</v>
      </c>
      <c r="C7147" t="str">
        <f t="shared" si="1570"/>
        <v>89383002</v>
      </c>
      <c r="D7147" t="str">
        <f t="shared" ref="D7147:D7176" si="1572">"809"</f>
        <v>809</v>
      </c>
      <c r="E7147" t="str">
        <f>"89301212"</f>
        <v>89301212</v>
      </c>
      <c r="F7147" t="str">
        <f>"5855021117"</f>
        <v>5855021117</v>
      </c>
      <c r="G7147" s="1">
        <v>44755</v>
      </c>
      <c r="H7147" t="str">
        <f>"89512"</f>
        <v>89512</v>
      </c>
      <c r="I7147">
        <v>1</v>
      </c>
      <c r="J7147">
        <v>277</v>
      </c>
      <c r="K7147">
        <v>0</v>
      </c>
      <c r="L7147">
        <v>387.8</v>
      </c>
    </row>
    <row r="7148" spans="1:12" x14ac:dyDescent="0.25">
      <c r="A7148" t="str">
        <f t="shared" si="1564"/>
        <v>89301000</v>
      </c>
      <c r="B7148" t="str">
        <f t="shared" si="1569"/>
        <v>89383000</v>
      </c>
      <c r="C7148" t="str">
        <f t="shared" si="1570"/>
        <v>89383002</v>
      </c>
      <c r="D7148" t="str">
        <f t="shared" si="1572"/>
        <v>809</v>
      </c>
      <c r="E7148" t="str">
        <f>"89301042"</f>
        <v>89301042</v>
      </c>
      <c r="F7148" t="str">
        <f>"8251145342"</f>
        <v>8251145342</v>
      </c>
      <c r="G7148" s="1">
        <v>44755</v>
      </c>
      <c r="H7148" t="str">
        <f>"89335"</f>
        <v>89335</v>
      </c>
      <c r="I7148">
        <v>1</v>
      </c>
      <c r="J7148">
        <v>180</v>
      </c>
      <c r="K7148">
        <v>0</v>
      </c>
      <c r="L7148">
        <v>252</v>
      </c>
    </row>
    <row r="7149" spans="1:12" x14ac:dyDescent="0.25">
      <c r="A7149" t="str">
        <f t="shared" si="1564"/>
        <v>89301000</v>
      </c>
      <c r="B7149" t="str">
        <f t="shared" si="1569"/>
        <v>89383000</v>
      </c>
      <c r="C7149" t="str">
        <f t="shared" si="1570"/>
        <v>89383002</v>
      </c>
      <c r="D7149" t="str">
        <f t="shared" si="1572"/>
        <v>809</v>
      </c>
      <c r="E7149" t="str">
        <f>"89301042"</f>
        <v>89301042</v>
      </c>
      <c r="F7149" t="str">
        <f>"8251145342"</f>
        <v>8251145342</v>
      </c>
      <c r="G7149" s="1">
        <v>44755</v>
      </c>
      <c r="H7149" t="str">
        <f>"89512"</f>
        <v>89512</v>
      </c>
      <c r="I7149">
        <v>1</v>
      </c>
      <c r="J7149">
        <v>277</v>
      </c>
      <c r="K7149">
        <v>0</v>
      </c>
      <c r="L7149">
        <v>387.8</v>
      </c>
    </row>
    <row r="7150" spans="1:12" x14ac:dyDescent="0.25">
      <c r="A7150" t="str">
        <f t="shared" si="1564"/>
        <v>89301000</v>
      </c>
      <c r="B7150" t="str">
        <f t="shared" si="1569"/>
        <v>89383000</v>
      </c>
      <c r="C7150" t="str">
        <f t="shared" si="1570"/>
        <v>89383002</v>
      </c>
      <c r="D7150" t="str">
        <f t="shared" si="1572"/>
        <v>809</v>
      </c>
      <c r="E7150" t="str">
        <f t="shared" ref="E7150:E7156" si="1573">"89301212"</f>
        <v>89301212</v>
      </c>
      <c r="F7150" t="str">
        <f>"8251115378"</f>
        <v>8251115378</v>
      </c>
      <c r="G7150" s="1">
        <v>44756</v>
      </c>
      <c r="H7150" t="str">
        <f>"89512"</f>
        <v>89512</v>
      </c>
      <c r="I7150">
        <v>1</v>
      </c>
      <c r="J7150">
        <v>277</v>
      </c>
      <c r="K7150">
        <v>0</v>
      </c>
      <c r="L7150">
        <v>387.8</v>
      </c>
    </row>
    <row r="7151" spans="1:12" x14ac:dyDescent="0.25">
      <c r="A7151" t="str">
        <f t="shared" si="1564"/>
        <v>89301000</v>
      </c>
      <c r="B7151" t="str">
        <f t="shared" si="1569"/>
        <v>89383000</v>
      </c>
      <c r="C7151" t="str">
        <f t="shared" si="1570"/>
        <v>89383002</v>
      </c>
      <c r="D7151" t="str">
        <f t="shared" si="1572"/>
        <v>809</v>
      </c>
      <c r="E7151" t="str">
        <f t="shared" si="1573"/>
        <v>89301212</v>
      </c>
      <c r="F7151" t="str">
        <f>"5855021117"</f>
        <v>5855021117</v>
      </c>
      <c r="G7151" s="1">
        <v>44761</v>
      </c>
      <c r="H7151" t="str">
        <f>"89813"</f>
        <v>89813</v>
      </c>
      <c r="I7151">
        <v>1</v>
      </c>
      <c r="J7151">
        <v>130</v>
      </c>
      <c r="K7151">
        <v>0</v>
      </c>
      <c r="L7151">
        <v>182</v>
      </c>
    </row>
    <row r="7152" spans="1:12" x14ac:dyDescent="0.25">
      <c r="A7152" t="str">
        <f t="shared" si="1564"/>
        <v>89301000</v>
      </c>
      <c r="B7152" t="str">
        <f t="shared" si="1569"/>
        <v>89383000</v>
      </c>
      <c r="C7152" t="str">
        <f t="shared" si="1570"/>
        <v>89383002</v>
      </c>
      <c r="D7152" t="str">
        <f t="shared" si="1572"/>
        <v>809</v>
      </c>
      <c r="E7152" t="str">
        <f t="shared" si="1573"/>
        <v>89301212</v>
      </c>
      <c r="F7152" t="str">
        <f>"7360265242"</f>
        <v>7360265242</v>
      </c>
      <c r="G7152" s="1">
        <v>44761</v>
      </c>
      <c r="H7152" t="str">
        <f>"89512"</f>
        <v>89512</v>
      </c>
      <c r="I7152">
        <v>1</v>
      </c>
      <c r="J7152">
        <v>277</v>
      </c>
      <c r="K7152">
        <v>0</v>
      </c>
      <c r="L7152">
        <v>387.8</v>
      </c>
    </row>
    <row r="7153" spans="1:12" x14ac:dyDescent="0.25">
      <c r="A7153" t="str">
        <f t="shared" si="1564"/>
        <v>89301000</v>
      </c>
      <c r="B7153" t="str">
        <f t="shared" si="1569"/>
        <v>89383000</v>
      </c>
      <c r="C7153" t="str">
        <f t="shared" si="1570"/>
        <v>89383002</v>
      </c>
      <c r="D7153" t="str">
        <f t="shared" si="1572"/>
        <v>809</v>
      </c>
      <c r="E7153" t="str">
        <f t="shared" si="1573"/>
        <v>89301212</v>
      </c>
      <c r="F7153" t="str">
        <f>"7360265242"</f>
        <v>7360265242</v>
      </c>
      <c r="G7153" s="1">
        <v>44761</v>
      </c>
      <c r="H7153" t="str">
        <f>"89180"</f>
        <v>89180</v>
      </c>
      <c r="I7153">
        <v>2</v>
      </c>
      <c r="J7153">
        <v>752</v>
      </c>
      <c r="K7153">
        <v>0</v>
      </c>
      <c r="L7153">
        <v>1052.8</v>
      </c>
    </row>
    <row r="7154" spans="1:12" x14ac:dyDescent="0.25">
      <c r="A7154" t="str">
        <f t="shared" si="1564"/>
        <v>89301000</v>
      </c>
      <c r="B7154" t="str">
        <f t="shared" si="1569"/>
        <v>89383000</v>
      </c>
      <c r="C7154" t="str">
        <f t="shared" si="1570"/>
        <v>89383002</v>
      </c>
      <c r="D7154" t="str">
        <f t="shared" si="1572"/>
        <v>809</v>
      </c>
      <c r="E7154" t="str">
        <f t="shared" si="1573"/>
        <v>89301212</v>
      </c>
      <c r="F7154" t="str">
        <f>"6356121695"</f>
        <v>6356121695</v>
      </c>
      <c r="G7154" s="1">
        <v>44763</v>
      </c>
      <c r="H7154" t="str">
        <f>"89512"</f>
        <v>89512</v>
      </c>
      <c r="I7154">
        <v>1</v>
      </c>
      <c r="J7154">
        <v>277</v>
      </c>
      <c r="K7154">
        <v>0</v>
      </c>
      <c r="L7154">
        <v>387.8</v>
      </c>
    </row>
    <row r="7155" spans="1:12" x14ac:dyDescent="0.25">
      <c r="A7155" t="str">
        <f t="shared" si="1564"/>
        <v>89301000</v>
      </c>
      <c r="B7155" t="str">
        <f t="shared" si="1569"/>
        <v>89383000</v>
      </c>
      <c r="C7155" t="str">
        <f t="shared" si="1570"/>
        <v>89383002</v>
      </c>
      <c r="D7155" t="str">
        <f t="shared" si="1572"/>
        <v>809</v>
      </c>
      <c r="E7155" t="str">
        <f t="shared" si="1573"/>
        <v>89301212</v>
      </c>
      <c r="F7155" t="str">
        <f>"7660255339"</f>
        <v>7660255339</v>
      </c>
      <c r="G7155" s="1">
        <v>44763</v>
      </c>
      <c r="H7155" t="str">
        <f>"89180"</f>
        <v>89180</v>
      </c>
      <c r="I7155">
        <v>2</v>
      </c>
      <c r="J7155">
        <v>752</v>
      </c>
      <c r="K7155">
        <v>0</v>
      </c>
      <c r="L7155">
        <v>1052.8</v>
      </c>
    </row>
    <row r="7156" spans="1:12" x14ac:dyDescent="0.25">
      <c r="A7156" t="str">
        <f t="shared" si="1564"/>
        <v>89301000</v>
      </c>
      <c r="B7156" t="str">
        <f t="shared" si="1569"/>
        <v>89383000</v>
      </c>
      <c r="C7156" t="str">
        <f t="shared" si="1570"/>
        <v>89383002</v>
      </c>
      <c r="D7156" t="str">
        <f t="shared" si="1572"/>
        <v>809</v>
      </c>
      <c r="E7156" t="str">
        <f t="shared" si="1573"/>
        <v>89301212</v>
      </c>
      <c r="F7156" t="str">
        <f>"7660255339"</f>
        <v>7660255339</v>
      </c>
      <c r="G7156" s="1">
        <v>44763</v>
      </c>
      <c r="H7156" t="str">
        <f>"89512"</f>
        <v>89512</v>
      </c>
      <c r="I7156">
        <v>1</v>
      </c>
      <c r="J7156">
        <v>277</v>
      </c>
      <c r="K7156">
        <v>0</v>
      </c>
      <c r="L7156">
        <v>387.8</v>
      </c>
    </row>
    <row r="7157" spans="1:12" x14ac:dyDescent="0.25">
      <c r="A7157" t="str">
        <f t="shared" si="1564"/>
        <v>89301000</v>
      </c>
      <c r="B7157" t="str">
        <f t="shared" si="1569"/>
        <v>89383000</v>
      </c>
      <c r="C7157" t="str">
        <f t="shared" si="1570"/>
        <v>89383002</v>
      </c>
      <c r="D7157" t="str">
        <f t="shared" si="1572"/>
        <v>809</v>
      </c>
      <c r="E7157" t="str">
        <f>"89301045"</f>
        <v>89301045</v>
      </c>
      <c r="F7157" t="str">
        <f>"7555265366"</f>
        <v>7555265366</v>
      </c>
      <c r="G7157" s="1">
        <v>44763</v>
      </c>
      <c r="H7157" t="str">
        <f>"89513"</f>
        <v>89513</v>
      </c>
      <c r="I7157">
        <v>1</v>
      </c>
      <c r="J7157">
        <v>371</v>
      </c>
      <c r="K7157">
        <v>0</v>
      </c>
      <c r="L7157">
        <v>519.4</v>
      </c>
    </row>
    <row r="7158" spans="1:12" x14ac:dyDescent="0.25">
      <c r="A7158" t="str">
        <f t="shared" si="1564"/>
        <v>89301000</v>
      </c>
      <c r="B7158" t="str">
        <f t="shared" si="1569"/>
        <v>89383000</v>
      </c>
      <c r="C7158" t="str">
        <f t="shared" si="1570"/>
        <v>89383002</v>
      </c>
      <c r="D7158" t="str">
        <f t="shared" si="1572"/>
        <v>809</v>
      </c>
      <c r="E7158" t="str">
        <f>"89301045"</f>
        <v>89301045</v>
      </c>
      <c r="F7158" t="str">
        <f>"7555265366"</f>
        <v>7555265366</v>
      </c>
      <c r="G7158" s="1">
        <v>44763</v>
      </c>
      <c r="H7158" t="str">
        <f>"89514"</f>
        <v>89514</v>
      </c>
      <c r="I7158">
        <v>1</v>
      </c>
      <c r="J7158">
        <v>371</v>
      </c>
      <c r="K7158">
        <v>0</v>
      </c>
      <c r="L7158">
        <v>519.4</v>
      </c>
    </row>
    <row r="7159" spans="1:12" x14ac:dyDescent="0.25">
      <c r="A7159" t="str">
        <f t="shared" si="1564"/>
        <v>89301000</v>
      </c>
      <c r="B7159" t="str">
        <f t="shared" ref="B7159:B7176" si="1574">"89383000"</f>
        <v>89383000</v>
      </c>
      <c r="C7159" t="str">
        <f t="shared" ref="C7159:C7176" si="1575">"89383002"</f>
        <v>89383002</v>
      </c>
      <c r="D7159" t="str">
        <f t="shared" si="1572"/>
        <v>809</v>
      </c>
      <c r="E7159" t="str">
        <f t="shared" ref="E7159:E7176" si="1576">"89301212"</f>
        <v>89301212</v>
      </c>
      <c r="F7159" t="str">
        <f>"7053225333"</f>
        <v>7053225333</v>
      </c>
      <c r="G7159" s="1">
        <v>44764</v>
      </c>
      <c r="H7159" t="str">
        <f>"89513"</f>
        <v>89513</v>
      </c>
      <c r="I7159">
        <v>1</v>
      </c>
      <c r="J7159">
        <v>371</v>
      </c>
      <c r="K7159">
        <v>0</v>
      </c>
      <c r="L7159">
        <v>519.4</v>
      </c>
    </row>
    <row r="7160" spans="1:12" x14ac:dyDescent="0.25">
      <c r="A7160" t="str">
        <f t="shared" si="1564"/>
        <v>89301000</v>
      </c>
      <c r="B7160" t="str">
        <f t="shared" si="1574"/>
        <v>89383000</v>
      </c>
      <c r="C7160" t="str">
        <f t="shared" si="1575"/>
        <v>89383002</v>
      </c>
      <c r="D7160" t="str">
        <f t="shared" si="1572"/>
        <v>809</v>
      </c>
      <c r="E7160" t="str">
        <f t="shared" si="1576"/>
        <v>89301212</v>
      </c>
      <c r="F7160" t="str">
        <f>"7053225333"</f>
        <v>7053225333</v>
      </c>
      <c r="G7160" s="1">
        <v>44764</v>
      </c>
      <c r="H7160" t="str">
        <f>"89514"</f>
        <v>89514</v>
      </c>
      <c r="I7160">
        <v>1</v>
      </c>
      <c r="J7160">
        <v>371</v>
      </c>
      <c r="K7160">
        <v>0</v>
      </c>
      <c r="L7160">
        <v>519.4</v>
      </c>
    </row>
    <row r="7161" spans="1:12" x14ac:dyDescent="0.25">
      <c r="A7161" t="str">
        <f t="shared" si="1564"/>
        <v>89301000</v>
      </c>
      <c r="B7161" t="str">
        <f t="shared" si="1574"/>
        <v>89383000</v>
      </c>
      <c r="C7161" t="str">
        <f t="shared" si="1575"/>
        <v>89383002</v>
      </c>
      <c r="D7161" t="str">
        <f t="shared" si="1572"/>
        <v>809</v>
      </c>
      <c r="E7161" t="str">
        <f t="shared" si="1576"/>
        <v>89301212</v>
      </c>
      <c r="F7161" t="str">
        <f>"7855023616"</f>
        <v>7855023616</v>
      </c>
      <c r="G7161" s="1">
        <v>44764</v>
      </c>
      <c r="H7161" t="str">
        <f>"89180"</f>
        <v>89180</v>
      </c>
      <c r="I7161">
        <v>2</v>
      </c>
      <c r="J7161">
        <v>752</v>
      </c>
      <c r="K7161">
        <v>0</v>
      </c>
      <c r="L7161">
        <v>1052.8</v>
      </c>
    </row>
    <row r="7162" spans="1:12" x14ac:dyDescent="0.25">
      <c r="A7162" t="str">
        <f t="shared" si="1564"/>
        <v>89301000</v>
      </c>
      <c r="B7162" t="str">
        <f t="shared" si="1574"/>
        <v>89383000</v>
      </c>
      <c r="C7162" t="str">
        <f t="shared" si="1575"/>
        <v>89383002</v>
      </c>
      <c r="D7162" t="str">
        <f t="shared" si="1572"/>
        <v>809</v>
      </c>
      <c r="E7162" t="str">
        <f t="shared" si="1576"/>
        <v>89301212</v>
      </c>
      <c r="F7162" t="str">
        <f>"7855023616"</f>
        <v>7855023616</v>
      </c>
      <c r="G7162" s="1">
        <v>44764</v>
      </c>
      <c r="H7162" t="str">
        <f>"89512"</f>
        <v>89512</v>
      </c>
      <c r="I7162">
        <v>1</v>
      </c>
      <c r="J7162">
        <v>277</v>
      </c>
      <c r="K7162">
        <v>0</v>
      </c>
      <c r="L7162">
        <v>387.8</v>
      </c>
    </row>
    <row r="7163" spans="1:12" x14ac:dyDescent="0.25">
      <c r="A7163" t="str">
        <f t="shared" si="1564"/>
        <v>89301000</v>
      </c>
      <c r="B7163" t="str">
        <f t="shared" si="1574"/>
        <v>89383000</v>
      </c>
      <c r="C7163" t="str">
        <f t="shared" si="1575"/>
        <v>89383002</v>
      </c>
      <c r="D7163" t="str">
        <f t="shared" si="1572"/>
        <v>809</v>
      </c>
      <c r="E7163" t="str">
        <f t="shared" si="1576"/>
        <v>89301212</v>
      </c>
      <c r="F7163" t="str">
        <f>"7159195560"</f>
        <v>7159195560</v>
      </c>
      <c r="G7163" s="1">
        <v>44769</v>
      </c>
      <c r="H7163" t="str">
        <f>"89180"</f>
        <v>89180</v>
      </c>
      <c r="I7163">
        <v>1</v>
      </c>
      <c r="J7163">
        <v>376</v>
      </c>
      <c r="K7163">
        <v>0</v>
      </c>
      <c r="L7163">
        <v>526.4</v>
      </c>
    </row>
    <row r="7164" spans="1:12" x14ac:dyDescent="0.25">
      <c r="A7164" t="str">
        <f t="shared" si="1564"/>
        <v>89301000</v>
      </c>
      <c r="B7164" t="str">
        <f t="shared" si="1574"/>
        <v>89383000</v>
      </c>
      <c r="C7164" t="str">
        <f t="shared" si="1575"/>
        <v>89383002</v>
      </c>
      <c r="D7164" t="str">
        <f t="shared" si="1572"/>
        <v>809</v>
      </c>
      <c r="E7164" t="str">
        <f t="shared" si="1576"/>
        <v>89301212</v>
      </c>
      <c r="F7164" t="str">
        <f>"7159195560"</f>
        <v>7159195560</v>
      </c>
      <c r="G7164" s="1">
        <v>44769</v>
      </c>
      <c r="H7164" t="str">
        <f>"89512"</f>
        <v>89512</v>
      </c>
      <c r="I7164">
        <v>1</v>
      </c>
      <c r="J7164">
        <v>277</v>
      </c>
      <c r="K7164">
        <v>0</v>
      </c>
      <c r="L7164">
        <v>387.8</v>
      </c>
    </row>
    <row r="7165" spans="1:12" x14ac:dyDescent="0.25">
      <c r="A7165" t="str">
        <f t="shared" si="1564"/>
        <v>89301000</v>
      </c>
      <c r="B7165" t="str">
        <f t="shared" si="1574"/>
        <v>89383000</v>
      </c>
      <c r="C7165" t="str">
        <f t="shared" si="1575"/>
        <v>89383002</v>
      </c>
      <c r="D7165" t="str">
        <f t="shared" si="1572"/>
        <v>809</v>
      </c>
      <c r="E7165" t="str">
        <f t="shared" si="1576"/>
        <v>89301212</v>
      </c>
      <c r="F7165" t="str">
        <f>"7159195560"</f>
        <v>7159195560</v>
      </c>
      <c r="G7165" s="1">
        <v>44769</v>
      </c>
      <c r="H7165" t="str">
        <f>"89513"</f>
        <v>89513</v>
      </c>
      <c r="I7165">
        <v>1</v>
      </c>
      <c r="J7165">
        <v>371</v>
      </c>
      <c r="K7165">
        <v>0</v>
      </c>
      <c r="L7165">
        <v>519.4</v>
      </c>
    </row>
    <row r="7166" spans="1:12" x14ac:dyDescent="0.25">
      <c r="A7166" t="str">
        <f t="shared" si="1564"/>
        <v>89301000</v>
      </c>
      <c r="B7166" t="str">
        <f t="shared" si="1574"/>
        <v>89383000</v>
      </c>
      <c r="C7166" t="str">
        <f t="shared" si="1575"/>
        <v>89383002</v>
      </c>
      <c r="D7166" t="str">
        <f t="shared" si="1572"/>
        <v>809</v>
      </c>
      <c r="E7166" t="str">
        <f t="shared" si="1576"/>
        <v>89301212</v>
      </c>
      <c r="F7166" t="str">
        <f>"7159195560"</f>
        <v>7159195560</v>
      </c>
      <c r="G7166" s="1">
        <v>44769</v>
      </c>
      <c r="H7166" t="str">
        <f>"89514"</f>
        <v>89514</v>
      </c>
      <c r="I7166">
        <v>1</v>
      </c>
      <c r="J7166">
        <v>371</v>
      </c>
      <c r="K7166">
        <v>0</v>
      </c>
      <c r="L7166">
        <v>519.4</v>
      </c>
    </row>
    <row r="7167" spans="1:12" x14ac:dyDescent="0.25">
      <c r="A7167" t="str">
        <f t="shared" si="1564"/>
        <v>89301000</v>
      </c>
      <c r="B7167" t="str">
        <f t="shared" si="1574"/>
        <v>89383000</v>
      </c>
      <c r="C7167" t="str">
        <f t="shared" si="1575"/>
        <v>89383002</v>
      </c>
      <c r="D7167" t="str">
        <f t="shared" si="1572"/>
        <v>809</v>
      </c>
      <c r="E7167" t="str">
        <f t="shared" si="1576"/>
        <v>89301212</v>
      </c>
      <c r="F7167" t="str">
        <f t="shared" ref="F7167:F7174" si="1577">"7958025361"</f>
        <v>7958025361</v>
      </c>
      <c r="G7167" s="1">
        <v>44770</v>
      </c>
      <c r="H7167" t="str">
        <f>"89313"</f>
        <v>89313</v>
      </c>
      <c r="I7167">
        <v>1</v>
      </c>
      <c r="J7167">
        <v>406</v>
      </c>
      <c r="K7167">
        <v>0</v>
      </c>
      <c r="L7167">
        <v>568.4</v>
      </c>
    </row>
    <row r="7168" spans="1:12" x14ac:dyDescent="0.25">
      <c r="A7168" t="str">
        <f t="shared" si="1564"/>
        <v>89301000</v>
      </c>
      <c r="B7168" t="str">
        <f t="shared" si="1574"/>
        <v>89383000</v>
      </c>
      <c r="C7168" t="str">
        <f t="shared" si="1575"/>
        <v>89383002</v>
      </c>
      <c r="D7168" t="str">
        <f t="shared" si="1572"/>
        <v>809</v>
      </c>
      <c r="E7168" t="str">
        <f t="shared" si="1576"/>
        <v>89301212</v>
      </c>
      <c r="F7168" t="str">
        <f t="shared" si="1577"/>
        <v>7958025361</v>
      </c>
      <c r="G7168" s="1">
        <v>44770</v>
      </c>
      <c r="H7168" t="str">
        <f>"09233"</f>
        <v>09233</v>
      </c>
      <c r="I7168">
        <v>1</v>
      </c>
      <c r="J7168">
        <v>99</v>
      </c>
      <c r="K7168">
        <v>0</v>
      </c>
      <c r="L7168">
        <v>138.6</v>
      </c>
    </row>
    <row r="7169" spans="1:12" x14ac:dyDescent="0.25">
      <c r="A7169" t="str">
        <f t="shared" si="1564"/>
        <v>89301000</v>
      </c>
      <c r="B7169" t="str">
        <f t="shared" si="1574"/>
        <v>89383000</v>
      </c>
      <c r="C7169" t="str">
        <f t="shared" si="1575"/>
        <v>89383002</v>
      </c>
      <c r="D7169" t="str">
        <f t="shared" si="1572"/>
        <v>809</v>
      </c>
      <c r="E7169" t="str">
        <f t="shared" si="1576"/>
        <v>89301212</v>
      </c>
      <c r="F7169" t="str">
        <f t="shared" si="1577"/>
        <v>7958025361</v>
      </c>
      <c r="G7169" s="1">
        <v>44770</v>
      </c>
      <c r="H7169" t="str">
        <f>"89515"</f>
        <v>89515</v>
      </c>
      <c r="I7169">
        <v>1</v>
      </c>
      <c r="J7169">
        <v>339</v>
      </c>
      <c r="K7169">
        <v>0</v>
      </c>
      <c r="L7169">
        <v>474.6</v>
      </c>
    </row>
    <row r="7170" spans="1:12" x14ac:dyDescent="0.25">
      <c r="A7170" t="str">
        <f t="shared" ref="A7170:A7233" si="1578">"89301000"</f>
        <v>89301000</v>
      </c>
      <c r="B7170" t="str">
        <f t="shared" si="1574"/>
        <v>89383000</v>
      </c>
      <c r="C7170" t="str">
        <f t="shared" si="1575"/>
        <v>89383002</v>
      </c>
      <c r="D7170" t="str">
        <f t="shared" si="1572"/>
        <v>809</v>
      </c>
      <c r="E7170" t="str">
        <f t="shared" si="1576"/>
        <v>89301212</v>
      </c>
      <c r="F7170" t="str">
        <f t="shared" si="1577"/>
        <v>7958025361</v>
      </c>
      <c r="G7170" s="1">
        <v>44770</v>
      </c>
      <c r="H7170" t="str">
        <f>"89512"</f>
        <v>89512</v>
      </c>
      <c r="I7170">
        <v>1</v>
      </c>
      <c r="J7170">
        <v>277</v>
      </c>
      <c r="K7170">
        <v>0</v>
      </c>
      <c r="L7170">
        <v>387.8</v>
      </c>
    </row>
    <row r="7171" spans="1:12" x14ac:dyDescent="0.25">
      <c r="A7171" t="str">
        <f t="shared" si="1578"/>
        <v>89301000</v>
      </c>
      <c r="B7171" t="str">
        <f t="shared" si="1574"/>
        <v>89383000</v>
      </c>
      <c r="C7171" t="str">
        <f t="shared" si="1575"/>
        <v>89383002</v>
      </c>
      <c r="D7171" t="str">
        <f t="shared" si="1572"/>
        <v>809</v>
      </c>
      <c r="E7171" t="str">
        <f t="shared" si="1576"/>
        <v>89301212</v>
      </c>
      <c r="F7171" t="str">
        <f t="shared" si="1577"/>
        <v>7958025361</v>
      </c>
      <c r="G7171" s="1">
        <v>44770</v>
      </c>
      <c r="H7171" t="str">
        <f>"89180"</f>
        <v>89180</v>
      </c>
      <c r="I7171">
        <v>1</v>
      </c>
      <c r="J7171">
        <v>376</v>
      </c>
      <c r="K7171">
        <v>0</v>
      </c>
      <c r="L7171">
        <v>526.4</v>
      </c>
    </row>
    <row r="7172" spans="1:12" x14ac:dyDescent="0.25">
      <c r="A7172" t="str">
        <f t="shared" si="1578"/>
        <v>89301000</v>
      </c>
      <c r="B7172" t="str">
        <f t="shared" si="1574"/>
        <v>89383000</v>
      </c>
      <c r="C7172" t="str">
        <f t="shared" si="1575"/>
        <v>89383002</v>
      </c>
      <c r="D7172" t="str">
        <f t="shared" si="1572"/>
        <v>809</v>
      </c>
      <c r="E7172" t="str">
        <f t="shared" si="1576"/>
        <v>89301212</v>
      </c>
      <c r="F7172" t="str">
        <f t="shared" si="1577"/>
        <v>7958025361</v>
      </c>
      <c r="G7172" s="1">
        <v>44770</v>
      </c>
      <c r="H7172" t="str">
        <f>"0225891"</f>
        <v>0225891</v>
      </c>
      <c r="I7172">
        <v>0.05</v>
      </c>
      <c r="K7172">
        <v>18.39</v>
      </c>
      <c r="L7172">
        <v>18.39</v>
      </c>
    </row>
    <row r="7173" spans="1:12" x14ac:dyDescent="0.25">
      <c r="A7173" t="str">
        <f t="shared" si="1578"/>
        <v>89301000</v>
      </c>
      <c r="B7173" t="str">
        <f t="shared" si="1574"/>
        <v>89383000</v>
      </c>
      <c r="C7173" t="str">
        <f t="shared" si="1575"/>
        <v>89383002</v>
      </c>
      <c r="D7173" t="str">
        <f t="shared" si="1572"/>
        <v>809</v>
      </c>
      <c r="E7173" t="str">
        <f t="shared" si="1576"/>
        <v>89301212</v>
      </c>
      <c r="F7173" t="str">
        <f t="shared" si="1577"/>
        <v>7958025361</v>
      </c>
      <c r="G7173" s="1">
        <v>44770</v>
      </c>
      <c r="H7173" t="str">
        <f>"0142908"</f>
        <v>0142908</v>
      </c>
      <c r="I7173">
        <v>1</v>
      </c>
      <c r="K7173">
        <v>910</v>
      </c>
      <c r="L7173">
        <v>910</v>
      </c>
    </row>
    <row r="7174" spans="1:12" x14ac:dyDescent="0.25">
      <c r="A7174" t="str">
        <f t="shared" si="1578"/>
        <v>89301000</v>
      </c>
      <c r="B7174" t="str">
        <f t="shared" si="1574"/>
        <v>89383000</v>
      </c>
      <c r="C7174" t="str">
        <f t="shared" si="1575"/>
        <v>89383002</v>
      </c>
      <c r="D7174" t="str">
        <f t="shared" si="1572"/>
        <v>809</v>
      </c>
      <c r="E7174" t="str">
        <f t="shared" si="1576"/>
        <v>89301212</v>
      </c>
      <c r="F7174" t="str">
        <f t="shared" si="1577"/>
        <v>7958025361</v>
      </c>
      <c r="G7174" s="1">
        <v>44770</v>
      </c>
      <c r="H7174" t="str">
        <f>"0082502"</f>
        <v>0082502</v>
      </c>
      <c r="I7174">
        <v>1</v>
      </c>
      <c r="K7174">
        <v>2093</v>
      </c>
      <c r="L7174">
        <v>2093</v>
      </c>
    </row>
    <row r="7175" spans="1:12" x14ac:dyDescent="0.25">
      <c r="A7175" t="str">
        <f t="shared" si="1578"/>
        <v>89301000</v>
      </c>
      <c r="B7175" t="str">
        <f t="shared" si="1574"/>
        <v>89383000</v>
      </c>
      <c r="C7175" t="str">
        <f t="shared" si="1575"/>
        <v>89383002</v>
      </c>
      <c r="D7175" t="str">
        <f t="shared" si="1572"/>
        <v>809</v>
      </c>
      <c r="E7175" t="str">
        <f t="shared" si="1576"/>
        <v>89301212</v>
      </c>
      <c r="F7175" t="str">
        <f>"496202160"</f>
        <v>496202160</v>
      </c>
      <c r="G7175" s="1">
        <v>44771</v>
      </c>
      <c r="H7175" t="str">
        <f>"89513"</f>
        <v>89513</v>
      </c>
      <c r="I7175">
        <v>1</v>
      </c>
      <c r="J7175">
        <v>371</v>
      </c>
      <c r="K7175">
        <v>0</v>
      </c>
      <c r="L7175">
        <v>519.4</v>
      </c>
    </row>
    <row r="7176" spans="1:12" x14ac:dyDescent="0.25">
      <c r="A7176" t="str">
        <f t="shared" si="1578"/>
        <v>89301000</v>
      </c>
      <c r="B7176" t="str">
        <f t="shared" si="1574"/>
        <v>89383000</v>
      </c>
      <c r="C7176" t="str">
        <f t="shared" si="1575"/>
        <v>89383002</v>
      </c>
      <c r="D7176" t="str">
        <f t="shared" si="1572"/>
        <v>809</v>
      </c>
      <c r="E7176" t="str">
        <f t="shared" si="1576"/>
        <v>89301212</v>
      </c>
      <c r="F7176" t="str">
        <f>"496202160"</f>
        <v>496202160</v>
      </c>
      <c r="G7176" s="1">
        <v>44771</v>
      </c>
      <c r="H7176" t="str">
        <f>"89514"</f>
        <v>89514</v>
      </c>
      <c r="I7176">
        <v>1</v>
      </c>
      <c r="J7176">
        <v>371</v>
      </c>
      <c r="K7176">
        <v>0</v>
      </c>
      <c r="L7176">
        <v>519.4</v>
      </c>
    </row>
    <row r="7177" spans="1:12" x14ac:dyDescent="0.25">
      <c r="A7177" t="str">
        <f t="shared" si="1578"/>
        <v>89301000</v>
      </c>
      <c r="B7177" t="str">
        <f>"87013000"</f>
        <v>87013000</v>
      </c>
      <c r="C7177" t="str">
        <f>"87013880"</f>
        <v>87013880</v>
      </c>
      <c r="D7177" t="str">
        <f>"810"</f>
        <v>810</v>
      </c>
      <c r="E7177" t="str">
        <f>"89301062"</f>
        <v>89301062</v>
      </c>
      <c r="F7177" t="str">
        <f>"7255215572"</f>
        <v>7255215572</v>
      </c>
      <c r="G7177" s="1">
        <v>44761</v>
      </c>
      <c r="H7177" t="str">
        <f>"89713"</f>
        <v>89713</v>
      </c>
      <c r="I7177">
        <v>1</v>
      </c>
      <c r="J7177">
        <v>5362</v>
      </c>
      <c r="K7177">
        <v>0</v>
      </c>
      <c r="L7177">
        <v>3217.2</v>
      </c>
    </row>
    <row r="7178" spans="1:12" x14ac:dyDescent="0.25">
      <c r="A7178" t="str">
        <f t="shared" si="1578"/>
        <v>89301000</v>
      </c>
      <c r="B7178" t="str">
        <f>"87013000"</f>
        <v>87013000</v>
      </c>
      <c r="C7178" t="str">
        <f>"87013880"</f>
        <v>87013880</v>
      </c>
      <c r="D7178" t="str">
        <f>"810"</f>
        <v>810</v>
      </c>
      <c r="E7178" t="str">
        <f>"89301062"</f>
        <v>89301062</v>
      </c>
      <c r="F7178" t="str">
        <f>"7255215572"</f>
        <v>7255215572</v>
      </c>
      <c r="G7178" s="1">
        <v>44761</v>
      </c>
      <c r="H7178" t="str">
        <f>"89725"</f>
        <v>89725</v>
      </c>
      <c r="I7178">
        <v>1</v>
      </c>
      <c r="J7178">
        <v>2839</v>
      </c>
      <c r="K7178">
        <v>0</v>
      </c>
      <c r="L7178">
        <v>1703.4</v>
      </c>
    </row>
    <row r="7179" spans="1:12" x14ac:dyDescent="0.25">
      <c r="A7179" t="str">
        <f t="shared" si="1578"/>
        <v>89301000</v>
      </c>
      <c r="B7179" t="str">
        <f>"72100000"</f>
        <v>72100000</v>
      </c>
      <c r="C7179" t="str">
        <f>"72100632"</f>
        <v>72100632</v>
      </c>
      <c r="D7179" t="str">
        <f>"816"</f>
        <v>816</v>
      </c>
      <c r="E7179" t="str">
        <f>"89301091"</f>
        <v>89301091</v>
      </c>
      <c r="F7179" t="str">
        <f>"2255240064"</f>
        <v>2255240064</v>
      </c>
      <c r="G7179" s="1">
        <v>44712</v>
      </c>
      <c r="H7179" t="str">
        <f>"94297"</f>
        <v>94297</v>
      </c>
      <c r="I7179">
        <v>1</v>
      </c>
      <c r="J7179">
        <v>298</v>
      </c>
      <c r="K7179">
        <v>0</v>
      </c>
      <c r="L7179">
        <v>366.54</v>
      </c>
    </row>
    <row r="7180" spans="1:12" x14ac:dyDescent="0.25">
      <c r="A7180" t="str">
        <f t="shared" si="1578"/>
        <v>89301000</v>
      </c>
      <c r="B7180" t="str">
        <f>"72100000"</f>
        <v>72100000</v>
      </c>
      <c r="C7180" t="str">
        <f>"72100632"</f>
        <v>72100632</v>
      </c>
      <c r="D7180" t="str">
        <f>"816"</f>
        <v>816</v>
      </c>
      <c r="E7180" t="str">
        <f>"89301091"</f>
        <v>89301091</v>
      </c>
      <c r="F7180" t="str">
        <f>"2255240537"</f>
        <v>2255240537</v>
      </c>
      <c r="G7180" s="1">
        <v>44712</v>
      </c>
      <c r="H7180" t="str">
        <f>"94297"</f>
        <v>94297</v>
      </c>
      <c r="I7180">
        <v>1</v>
      </c>
      <c r="J7180">
        <v>298</v>
      </c>
      <c r="K7180">
        <v>0</v>
      </c>
      <c r="L7180">
        <v>366.54</v>
      </c>
    </row>
    <row r="7181" spans="1:12" x14ac:dyDescent="0.25">
      <c r="A7181" t="str">
        <f t="shared" si="1578"/>
        <v>89301000</v>
      </c>
      <c r="B7181" t="str">
        <f>"72100000"</f>
        <v>72100000</v>
      </c>
      <c r="C7181" t="str">
        <f>"72100632"</f>
        <v>72100632</v>
      </c>
      <c r="D7181" t="str">
        <f>"816"</f>
        <v>816</v>
      </c>
      <c r="E7181" t="str">
        <f>"89301091"</f>
        <v>89301091</v>
      </c>
      <c r="F7181" t="str">
        <f>"2255240559"</f>
        <v>2255240559</v>
      </c>
      <c r="G7181" s="1">
        <v>44712</v>
      </c>
      <c r="H7181" t="str">
        <f>"94297"</f>
        <v>94297</v>
      </c>
      <c r="I7181">
        <v>1</v>
      </c>
      <c r="J7181">
        <v>298</v>
      </c>
      <c r="K7181">
        <v>0</v>
      </c>
      <c r="L7181">
        <v>366.54</v>
      </c>
    </row>
    <row r="7182" spans="1:12" x14ac:dyDescent="0.25">
      <c r="A7182" t="str">
        <f t="shared" si="1578"/>
        <v>89301000</v>
      </c>
      <c r="B7182" t="str">
        <f>"72100000"</f>
        <v>72100000</v>
      </c>
      <c r="C7182" t="str">
        <f>"72100632"</f>
        <v>72100632</v>
      </c>
      <c r="D7182" t="str">
        <f>"816"</f>
        <v>816</v>
      </c>
      <c r="E7182" t="str">
        <f>"89301091"</f>
        <v>89301091</v>
      </c>
      <c r="F7182" t="str">
        <f>"2255240570"</f>
        <v>2255240570</v>
      </c>
      <c r="G7182" s="1">
        <v>44712</v>
      </c>
      <c r="H7182" t="str">
        <f>"94297"</f>
        <v>94297</v>
      </c>
      <c r="I7182">
        <v>1</v>
      </c>
      <c r="J7182">
        <v>298</v>
      </c>
      <c r="K7182">
        <v>0</v>
      </c>
      <c r="L7182">
        <v>366.54</v>
      </c>
    </row>
    <row r="7183" spans="1:12" x14ac:dyDescent="0.25">
      <c r="A7183" t="str">
        <f t="shared" si="1578"/>
        <v>89301000</v>
      </c>
      <c r="B7183" t="str">
        <f>"72100000"</f>
        <v>72100000</v>
      </c>
      <c r="C7183" t="str">
        <f>"72100632"</f>
        <v>72100632</v>
      </c>
      <c r="D7183" t="str">
        <f>"816"</f>
        <v>816</v>
      </c>
      <c r="E7183" t="str">
        <f>"89301282"</f>
        <v>89301282</v>
      </c>
      <c r="F7183" t="str">
        <f>"1504240518"</f>
        <v>1504240518</v>
      </c>
      <c r="G7183" s="1">
        <v>44678</v>
      </c>
      <c r="H7183" t="str">
        <f>"94221"</f>
        <v>94221</v>
      </c>
      <c r="I7183">
        <v>1</v>
      </c>
      <c r="J7183">
        <v>2453</v>
      </c>
      <c r="K7183">
        <v>0</v>
      </c>
      <c r="L7183">
        <v>2085.0500000000002</v>
      </c>
    </row>
    <row r="7184" spans="1:12" x14ac:dyDescent="0.25">
      <c r="A7184" t="str">
        <f t="shared" si="1578"/>
        <v>89301000</v>
      </c>
      <c r="B7184" t="str">
        <f t="shared" ref="B7184:B7215" si="1579">"10510000"</f>
        <v>10510000</v>
      </c>
      <c r="C7184" t="str">
        <f t="shared" ref="C7184:C7215" si="1580">"10510001"</f>
        <v>10510001</v>
      </c>
      <c r="D7184" t="str">
        <f t="shared" ref="D7184:D7215" si="1581">"802"</f>
        <v>802</v>
      </c>
      <c r="E7184" t="str">
        <f t="shared" ref="E7184:E7213" si="1582">"89301202"</f>
        <v>89301202</v>
      </c>
      <c r="F7184" t="str">
        <f>"2204270750"</f>
        <v>2204270750</v>
      </c>
      <c r="G7184" s="1">
        <v>44746</v>
      </c>
      <c r="H7184" t="str">
        <f>"82111"</f>
        <v>82111</v>
      </c>
      <c r="I7184">
        <v>1</v>
      </c>
      <c r="J7184">
        <v>36</v>
      </c>
      <c r="K7184">
        <v>0</v>
      </c>
      <c r="L7184">
        <v>32.76</v>
      </c>
    </row>
    <row r="7185" spans="1:12" x14ac:dyDescent="0.25">
      <c r="A7185" t="str">
        <f t="shared" si="1578"/>
        <v>89301000</v>
      </c>
      <c r="B7185" t="str">
        <f t="shared" si="1579"/>
        <v>10510000</v>
      </c>
      <c r="C7185" t="str">
        <f t="shared" si="1580"/>
        <v>10510001</v>
      </c>
      <c r="D7185" t="str">
        <f t="shared" si="1581"/>
        <v>802</v>
      </c>
      <c r="E7185" t="str">
        <f t="shared" si="1582"/>
        <v>89301202</v>
      </c>
      <c r="F7185" t="str">
        <f>"2204270750"</f>
        <v>2204270750</v>
      </c>
      <c r="G7185" s="1">
        <v>44746</v>
      </c>
      <c r="H7185" t="str">
        <f>"82145"</f>
        <v>82145</v>
      </c>
      <c r="I7185">
        <v>1</v>
      </c>
      <c r="J7185">
        <v>57</v>
      </c>
      <c r="K7185">
        <v>0</v>
      </c>
      <c r="L7185">
        <v>51.87</v>
      </c>
    </row>
    <row r="7186" spans="1:12" x14ac:dyDescent="0.25">
      <c r="A7186" t="str">
        <f t="shared" si="1578"/>
        <v>89301000</v>
      </c>
      <c r="B7186" t="str">
        <f t="shared" si="1579"/>
        <v>10510000</v>
      </c>
      <c r="C7186" t="str">
        <f t="shared" si="1580"/>
        <v>10510001</v>
      </c>
      <c r="D7186" t="str">
        <f t="shared" si="1581"/>
        <v>802</v>
      </c>
      <c r="E7186" t="str">
        <f t="shared" si="1582"/>
        <v>89301202</v>
      </c>
      <c r="F7186" t="str">
        <f>"2204270750"</f>
        <v>2204270750</v>
      </c>
      <c r="G7186" s="1">
        <v>44746</v>
      </c>
      <c r="H7186" t="str">
        <f>"82079"</f>
        <v>82079</v>
      </c>
      <c r="I7186">
        <v>1</v>
      </c>
      <c r="J7186">
        <v>332</v>
      </c>
      <c r="K7186">
        <v>0</v>
      </c>
      <c r="L7186">
        <v>302.12</v>
      </c>
    </row>
    <row r="7187" spans="1:12" x14ac:dyDescent="0.25">
      <c r="A7187" t="str">
        <f t="shared" si="1578"/>
        <v>89301000</v>
      </c>
      <c r="B7187" t="str">
        <f t="shared" si="1579"/>
        <v>10510000</v>
      </c>
      <c r="C7187" t="str">
        <f t="shared" si="1580"/>
        <v>10510001</v>
      </c>
      <c r="D7187" t="str">
        <f t="shared" si="1581"/>
        <v>802</v>
      </c>
      <c r="E7187" t="str">
        <f t="shared" si="1582"/>
        <v>89301202</v>
      </c>
      <c r="F7187" t="str">
        <f>"2204270750"</f>
        <v>2204270750</v>
      </c>
      <c r="G7187" s="1">
        <v>44746</v>
      </c>
      <c r="H7187" t="str">
        <f>"82113"</f>
        <v>82113</v>
      </c>
      <c r="I7187">
        <v>1</v>
      </c>
      <c r="J7187">
        <v>362</v>
      </c>
      <c r="K7187">
        <v>0</v>
      </c>
      <c r="L7187">
        <v>329.42</v>
      </c>
    </row>
    <row r="7188" spans="1:12" x14ac:dyDescent="0.25">
      <c r="A7188" t="str">
        <f t="shared" si="1578"/>
        <v>89301000</v>
      </c>
      <c r="B7188" t="str">
        <f t="shared" si="1579"/>
        <v>10510000</v>
      </c>
      <c r="C7188" t="str">
        <f t="shared" si="1580"/>
        <v>10510001</v>
      </c>
      <c r="D7188" t="str">
        <f t="shared" si="1581"/>
        <v>802</v>
      </c>
      <c r="E7188" t="str">
        <f t="shared" si="1582"/>
        <v>89301202</v>
      </c>
      <c r="F7188" t="str">
        <f>"2204270750"</f>
        <v>2204270750</v>
      </c>
      <c r="G7188" s="1">
        <v>44743</v>
      </c>
      <c r="H7188" t="str">
        <f>"97111"</f>
        <v>97111</v>
      </c>
      <c r="I7188">
        <v>1</v>
      </c>
      <c r="J7188">
        <v>18</v>
      </c>
      <c r="K7188">
        <v>0</v>
      </c>
      <c r="L7188">
        <v>16.38</v>
      </c>
    </row>
    <row r="7189" spans="1:12" x14ac:dyDescent="0.25">
      <c r="A7189" t="str">
        <f t="shared" si="1578"/>
        <v>89301000</v>
      </c>
      <c r="B7189" t="str">
        <f t="shared" si="1579"/>
        <v>10510000</v>
      </c>
      <c r="C7189" t="str">
        <f t="shared" si="1580"/>
        <v>10510001</v>
      </c>
      <c r="D7189" t="str">
        <f t="shared" si="1581"/>
        <v>802</v>
      </c>
      <c r="E7189" t="str">
        <f t="shared" si="1582"/>
        <v>89301202</v>
      </c>
      <c r="F7189" t="str">
        <f>"8009055340"</f>
        <v>8009055340</v>
      </c>
      <c r="G7189" s="1">
        <v>44743</v>
      </c>
      <c r="H7189" t="str">
        <f>"97111"</f>
        <v>97111</v>
      </c>
      <c r="I7189">
        <v>1</v>
      </c>
      <c r="J7189">
        <v>18</v>
      </c>
      <c r="K7189">
        <v>0</v>
      </c>
      <c r="L7189">
        <v>16.38</v>
      </c>
    </row>
    <row r="7190" spans="1:12" x14ac:dyDescent="0.25">
      <c r="A7190" t="str">
        <f t="shared" si="1578"/>
        <v>89301000</v>
      </c>
      <c r="B7190" t="str">
        <f t="shared" si="1579"/>
        <v>10510000</v>
      </c>
      <c r="C7190" t="str">
        <f t="shared" si="1580"/>
        <v>10510001</v>
      </c>
      <c r="D7190" t="str">
        <f t="shared" si="1581"/>
        <v>802</v>
      </c>
      <c r="E7190" t="str">
        <f t="shared" si="1582"/>
        <v>89301202</v>
      </c>
      <c r="F7190" t="str">
        <f>"8009055340"</f>
        <v>8009055340</v>
      </c>
      <c r="G7190" s="1">
        <v>44746</v>
      </c>
      <c r="H7190" t="str">
        <f>"82113"</f>
        <v>82113</v>
      </c>
      <c r="I7190">
        <v>1</v>
      </c>
      <c r="J7190">
        <v>362</v>
      </c>
      <c r="K7190">
        <v>0</v>
      </c>
      <c r="L7190">
        <v>329.42</v>
      </c>
    </row>
    <row r="7191" spans="1:12" x14ac:dyDescent="0.25">
      <c r="A7191" t="str">
        <f t="shared" si="1578"/>
        <v>89301000</v>
      </c>
      <c r="B7191" t="str">
        <f t="shared" si="1579"/>
        <v>10510000</v>
      </c>
      <c r="C7191" t="str">
        <f t="shared" si="1580"/>
        <v>10510001</v>
      </c>
      <c r="D7191" t="str">
        <f t="shared" si="1581"/>
        <v>802</v>
      </c>
      <c r="E7191" t="str">
        <f t="shared" si="1582"/>
        <v>89301202</v>
      </c>
      <c r="F7191" t="str">
        <f>"8009055340"</f>
        <v>8009055340</v>
      </c>
      <c r="G7191" s="1">
        <v>44746</v>
      </c>
      <c r="H7191" t="str">
        <f>"82079"</f>
        <v>82079</v>
      </c>
      <c r="I7191">
        <v>1</v>
      </c>
      <c r="J7191">
        <v>332</v>
      </c>
      <c r="K7191">
        <v>0</v>
      </c>
      <c r="L7191">
        <v>302.12</v>
      </c>
    </row>
    <row r="7192" spans="1:12" x14ac:dyDescent="0.25">
      <c r="A7192" t="str">
        <f t="shared" si="1578"/>
        <v>89301000</v>
      </c>
      <c r="B7192" t="str">
        <f t="shared" si="1579"/>
        <v>10510000</v>
      </c>
      <c r="C7192" t="str">
        <f t="shared" si="1580"/>
        <v>10510001</v>
      </c>
      <c r="D7192" t="str">
        <f t="shared" si="1581"/>
        <v>802</v>
      </c>
      <c r="E7192" t="str">
        <f t="shared" si="1582"/>
        <v>89301202</v>
      </c>
      <c r="F7192" t="str">
        <f>"8009055340"</f>
        <v>8009055340</v>
      </c>
      <c r="G7192" s="1">
        <v>44746</v>
      </c>
      <c r="H7192" t="str">
        <f>"82145"</f>
        <v>82145</v>
      </c>
      <c r="I7192">
        <v>1</v>
      </c>
      <c r="J7192">
        <v>57</v>
      </c>
      <c r="K7192">
        <v>0</v>
      </c>
      <c r="L7192">
        <v>51.87</v>
      </c>
    </row>
    <row r="7193" spans="1:12" x14ac:dyDescent="0.25">
      <c r="A7193" t="str">
        <f t="shared" si="1578"/>
        <v>89301000</v>
      </c>
      <c r="B7193" t="str">
        <f t="shared" si="1579"/>
        <v>10510000</v>
      </c>
      <c r="C7193" t="str">
        <f t="shared" si="1580"/>
        <v>10510001</v>
      </c>
      <c r="D7193" t="str">
        <f t="shared" si="1581"/>
        <v>802</v>
      </c>
      <c r="E7193" t="str">
        <f t="shared" si="1582"/>
        <v>89301202</v>
      </c>
      <c r="F7193" t="str">
        <f>"8009055340"</f>
        <v>8009055340</v>
      </c>
      <c r="G7193" s="1">
        <v>44746</v>
      </c>
      <c r="H7193" t="str">
        <f>"82111"</f>
        <v>82111</v>
      </c>
      <c r="I7193">
        <v>1</v>
      </c>
      <c r="J7193">
        <v>36</v>
      </c>
      <c r="K7193">
        <v>0</v>
      </c>
      <c r="L7193">
        <v>32.76</v>
      </c>
    </row>
    <row r="7194" spans="1:12" x14ac:dyDescent="0.25">
      <c r="A7194" t="str">
        <f t="shared" si="1578"/>
        <v>89301000</v>
      </c>
      <c r="B7194" t="str">
        <f t="shared" si="1579"/>
        <v>10510000</v>
      </c>
      <c r="C7194" t="str">
        <f t="shared" si="1580"/>
        <v>10510001</v>
      </c>
      <c r="D7194" t="str">
        <f t="shared" si="1581"/>
        <v>802</v>
      </c>
      <c r="E7194" t="str">
        <f t="shared" si="1582"/>
        <v>89301202</v>
      </c>
      <c r="F7194" t="str">
        <f>"8859155767"</f>
        <v>8859155767</v>
      </c>
      <c r="G7194" s="1">
        <v>44753</v>
      </c>
      <c r="H7194" t="str">
        <f>"82111"</f>
        <v>82111</v>
      </c>
      <c r="I7194">
        <v>1</v>
      </c>
      <c r="J7194">
        <v>36</v>
      </c>
      <c r="K7194">
        <v>0</v>
      </c>
      <c r="L7194">
        <v>32.76</v>
      </c>
    </row>
    <row r="7195" spans="1:12" x14ac:dyDescent="0.25">
      <c r="A7195" t="str">
        <f t="shared" si="1578"/>
        <v>89301000</v>
      </c>
      <c r="B7195" t="str">
        <f t="shared" si="1579"/>
        <v>10510000</v>
      </c>
      <c r="C7195" t="str">
        <f t="shared" si="1580"/>
        <v>10510001</v>
      </c>
      <c r="D7195" t="str">
        <f t="shared" si="1581"/>
        <v>802</v>
      </c>
      <c r="E7195" t="str">
        <f t="shared" si="1582"/>
        <v>89301202</v>
      </c>
      <c r="F7195" t="str">
        <f>"8859155767"</f>
        <v>8859155767</v>
      </c>
      <c r="G7195" s="1">
        <v>44753</v>
      </c>
      <c r="H7195" t="str">
        <f>"82145"</f>
        <v>82145</v>
      </c>
      <c r="I7195">
        <v>1</v>
      </c>
      <c r="J7195">
        <v>57</v>
      </c>
      <c r="K7195">
        <v>0</v>
      </c>
      <c r="L7195">
        <v>51.87</v>
      </c>
    </row>
    <row r="7196" spans="1:12" x14ac:dyDescent="0.25">
      <c r="A7196" t="str">
        <f t="shared" si="1578"/>
        <v>89301000</v>
      </c>
      <c r="B7196" t="str">
        <f t="shared" si="1579"/>
        <v>10510000</v>
      </c>
      <c r="C7196" t="str">
        <f t="shared" si="1580"/>
        <v>10510001</v>
      </c>
      <c r="D7196" t="str">
        <f t="shared" si="1581"/>
        <v>802</v>
      </c>
      <c r="E7196" t="str">
        <f t="shared" si="1582"/>
        <v>89301202</v>
      </c>
      <c r="F7196" t="str">
        <f>"8859155767"</f>
        <v>8859155767</v>
      </c>
      <c r="G7196" s="1">
        <v>44753</v>
      </c>
      <c r="H7196" t="str">
        <f>"82079"</f>
        <v>82079</v>
      </c>
      <c r="I7196">
        <v>1</v>
      </c>
      <c r="J7196">
        <v>332</v>
      </c>
      <c r="K7196">
        <v>0</v>
      </c>
      <c r="L7196">
        <v>302.12</v>
      </c>
    </row>
    <row r="7197" spans="1:12" x14ac:dyDescent="0.25">
      <c r="A7197" t="str">
        <f t="shared" si="1578"/>
        <v>89301000</v>
      </c>
      <c r="B7197" t="str">
        <f t="shared" si="1579"/>
        <v>10510000</v>
      </c>
      <c r="C7197" t="str">
        <f t="shared" si="1580"/>
        <v>10510001</v>
      </c>
      <c r="D7197" t="str">
        <f t="shared" si="1581"/>
        <v>802</v>
      </c>
      <c r="E7197" t="str">
        <f t="shared" si="1582"/>
        <v>89301202</v>
      </c>
      <c r="F7197" t="str">
        <f>"8859155767"</f>
        <v>8859155767</v>
      </c>
      <c r="G7197" s="1">
        <v>44753</v>
      </c>
      <c r="H7197" t="str">
        <f>"82113"</f>
        <v>82113</v>
      </c>
      <c r="I7197">
        <v>1</v>
      </c>
      <c r="J7197">
        <v>362</v>
      </c>
      <c r="K7197">
        <v>0</v>
      </c>
      <c r="L7197">
        <v>329.42</v>
      </c>
    </row>
    <row r="7198" spans="1:12" x14ac:dyDescent="0.25">
      <c r="A7198" t="str">
        <f t="shared" si="1578"/>
        <v>89301000</v>
      </c>
      <c r="B7198" t="str">
        <f t="shared" si="1579"/>
        <v>10510000</v>
      </c>
      <c r="C7198" t="str">
        <f t="shared" si="1580"/>
        <v>10510001</v>
      </c>
      <c r="D7198" t="str">
        <f t="shared" si="1581"/>
        <v>802</v>
      </c>
      <c r="E7198" t="str">
        <f t="shared" si="1582"/>
        <v>89301202</v>
      </c>
      <c r="F7198" t="str">
        <f>"8859155767"</f>
        <v>8859155767</v>
      </c>
      <c r="G7198" s="1">
        <v>44750</v>
      </c>
      <c r="H7198" t="str">
        <f>"97111"</f>
        <v>97111</v>
      </c>
      <c r="I7198">
        <v>1</v>
      </c>
      <c r="J7198">
        <v>18</v>
      </c>
      <c r="K7198">
        <v>0</v>
      </c>
      <c r="L7198">
        <v>16.38</v>
      </c>
    </row>
    <row r="7199" spans="1:12" x14ac:dyDescent="0.25">
      <c r="A7199" t="str">
        <f t="shared" si="1578"/>
        <v>89301000</v>
      </c>
      <c r="B7199" t="str">
        <f t="shared" si="1579"/>
        <v>10510000</v>
      </c>
      <c r="C7199" t="str">
        <f t="shared" si="1580"/>
        <v>10510001</v>
      </c>
      <c r="D7199" t="str">
        <f t="shared" si="1581"/>
        <v>802</v>
      </c>
      <c r="E7199" t="str">
        <f t="shared" si="1582"/>
        <v>89301202</v>
      </c>
      <c r="F7199" t="str">
        <f>"2254121870"</f>
        <v>2254121870</v>
      </c>
      <c r="G7199" s="1">
        <v>44760</v>
      </c>
      <c r="H7199" t="str">
        <f>"82113"</f>
        <v>82113</v>
      </c>
      <c r="I7199">
        <v>1</v>
      </c>
      <c r="J7199">
        <v>362</v>
      </c>
      <c r="K7199">
        <v>0</v>
      </c>
      <c r="L7199">
        <v>329.42</v>
      </c>
    </row>
    <row r="7200" spans="1:12" x14ac:dyDescent="0.25">
      <c r="A7200" t="str">
        <f t="shared" si="1578"/>
        <v>89301000</v>
      </c>
      <c r="B7200" t="str">
        <f t="shared" si="1579"/>
        <v>10510000</v>
      </c>
      <c r="C7200" t="str">
        <f t="shared" si="1580"/>
        <v>10510001</v>
      </c>
      <c r="D7200" t="str">
        <f t="shared" si="1581"/>
        <v>802</v>
      </c>
      <c r="E7200" t="str">
        <f t="shared" si="1582"/>
        <v>89301202</v>
      </c>
      <c r="F7200" t="str">
        <f>"2254121870"</f>
        <v>2254121870</v>
      </c>
      <c r="G7200" s="1">
        <v>44757</v>
      </c>
      <c r="H7200" t="str">
        <f>"97111"</f>
        <v>97111</v>
      </c>
      <c r="I7200">
        <v>1</v>
      </c>
      <c r="J7200">
        <v>18</v>
      </c>
      <c r="K7200">
        <v>0</v>
      </c>
      <c r="L7200">
        <v>16.38</v>
      </c>
    </row>
    <row r="7201" spans="1:12" x14ac:dyDescent="0.25">
      <c r="A7201" t="str">
        <f t="shared" si="1578"/>
        <v>89301000</v>
      </c>
      <c r="B7201" t="str">
        <f t="shared" si="1579"/>
        <v>10510000</v>
      </c>
      <c r="C7201" t="str">
        <f t="shared" si="1580"/>
        <v>10510001</v>
      </c>
      <c r="D7201" t="str">
        <f t="shared" si="1581"/>
        <v>802</v>
      </c>
      <c r="E7201" t="str">
        <f t="shared" si="1582"/>
        <v>89301202</v>
      </c>
      <c r="F7201" t="str">
        <f>"2254121870"</f>
        <v>2254121870</v>
      </c>
      <c r="G7201" s="1">
        <v>44760</v>
      </c>
      <c r="H7201" t="str">
        <f>"82079"</f>
        <v>82079</v>
      </c>
      <c r="I7201">
        <v>1</v>
      </c>
      <c r="J7201">
        <v>332</v>
      </c>
      <c r="K7201">
        <v>0</v>
      </c>
      <c r="L7201">
        <v>302.12</v>
      </c>
    </row>
    <row r="7202" spans="1:12" x14ac:dyDescent="0.25">
      <c r="A7202" t="str">
        <f t="shared" si="1578"/>
        <v>89301000</v>
      </c>
      <c r="B7202" t="str">
        <f t="shared" si="1579"/>
        <v>10510000</v>
      </c>
      <c r="C7202" t="str">
        <f t="shared" si="1580"/>
        <v>10510001</v>
      </c>
      <c r="D7202" t="str">
        <f t="shared" si="1581"/>
        <v>802</v>
      </c>
      <c r="E7202" t="str">
        <f t="shared" si="1582"/>
        <v>89301202</v>
      </c>
      <c r="F7202" t="str">
        <f>"2254121870"</f>
        <v>2254121870</v>
      </c>
      <c r="G7202" s="1">
        <v>44760</v>
      </c>
      <c r="H7202" t="str">
        <f>"82111"</f>
        <v>82111</v>
      </c>
      <c r="I7202">
        <v>1</v>
      </c>
      <c r="J7202">
        <v>36</v>
      </c>
      <c r="K7202">
        <v>0</v>
      </c>
      <c r="L7202">
        <v>32.76</v>
      </c>
    </row>
    <row r="7203" spans="1:12" x14ac:dyDescent="0.25">
      <c r="A7203" t="str">
        <f t="shared" si="1578"/>
        <v>89301000</v>
      </c>
      <c r="B7203" t="str">
        <f t="shared" si="1579"/>
        <v>10510000</v>
      </c>
      <c r="C7203" t="str">
        <f t="shared" si="1580"/>
        <v>10510001</v>
      </c>
      <c r="D7203" t="str">
        <f t="shared" si="1581"/>
        <v>802</v>
      </c>
      <c r="E7203" t="str">
        <f t="shared" si="1582"/>
        <v>89301202</v>
      </c>
      <c r="F7203" t="str">
        <f>"2254121870"</f>
        <v>2254121870</v>
      </c>
      <c r="G7203" s="1">
        <v>44760</v>
      </c>
      <c r="H7203" t="str">
        <f>"82145"</f>
        <v>82145</v>
      </c>
      <c r="I7203">
        <v>1</v>
      </c>
      <c r="J7203">
        <v>57</v>
      </c>
      <c r="K7203">
        <v>0</v>
      </c>
      <c r="L7203">
        <v>51.87</v>
      </c>
    </row>
    <row r="7204" spans="1:12" x14ac:dyDescent="0.25">
      <c r="A7204" t="str">
        <f t="shared" si="1578"/>
        <v>89301000</v>
      </c>
      <c r="B7204" t="str">
        <f t="shared" si="1579"/>
        <v>10510000</v>
      </c>
      <c r="C7204" t="str">
        <f t="shared" si="1580"/>
        <v>10510001</v>
      </c>
      <c r="D7204" t="str">
        <f t="shared" si="1581"/>
        <v>802</v>
      </c>
      <c r="E7204" t="str">
        <f t="shared" si="1582"/>
        <v>89301202</v>
      </c>
      <c r="F7204" t="str">
        <f>"9404095734"</f>
        <v>9404095734</v>
      </c>
      <c r="G7204" s="1">
        <v>44761</v>
      </c>
      <c r="H7204" t="str">
        <f>"82113"</f>
        <v>82113</v>
      </c>
      <c r="I7204">
        <v>1</v>
      </c>
      <c r="J7204">
        <v>362</v>
      </c>
      <c r="K7204">
        <v>0</v>
      </c>
      <c r="L7204">
        <v>329.42</v>
      </c>
    </row>
    <row r="7205" spans="1:12" x14ac:dyDescent="0.25">
      <c r="A7205" t="str">
        <f t="shared" si="1578"/>
        <v>89301000</v>
      </c>
      <c r="B7205" t="str">
        <f t="shared" si="1579"/>
        <v>10510000</v>
      </c>
      <c r="C7205" t="str">
        <f t="shared" si="1580"/>
        <v>10510001</v>
      </c>
      <c r="D7205" t="str">
        <f t="shared" si="1581"/>
        <v>802</v>
      </c>
      <c r="E7205" t="str">
        <f t="shared" si="1582"/>
        <v>89301202</v>
      </c>
      <c r="F7205" t="str">
        <f>"9404095734"</f>
        <v>9404095734</v>
      </c>
      <c r="G7205" s="1">
        <v>44760</v>
      </c>
      <c r="H7205" t="str">
        <f>"97111"</f>
        <v>97111</v>
      </c>
      <c r="I7205">
        <v>1</v>
      </c>
      <c r="J7205">
        <v>18</v>
      </c>
      <c r="K7205">
        <v>0</v>
      </c>
      <c r="L7205">
        <v>16.38</v>
      </c>
    </row>
    <row r="7206" spans="1:12" x14ac:dyDescent="0.25">
      <c r="A7206" t="str">
        <f t="shared" si="1578"/>
        <v>89301000</v>
      </c>
      <c r="B7206" t="str">
        <f t="shared" si="1579"/>
        <v>10510000</v>
      </c>
      <c r="C7206" t="str">
        <f t="shared" si="1580"/>
        <v>10510001</v>
      </c>
      <c r="D7206" t="str">
        <f t="shared" si="1581"/>
        <v>802</v>
      </c>
      <c r="E7206" t="str">
        <f t="shared" si="1582"/>
        <v>89301202</v>
      </c>
      <c r="F7206" t="str">
        <f>"9404095734"</f>
        <v>9404095734</v>
      </c>
      <c r="G7206" s="1">
        <v>44761</v>
      </c>
      <c r="H7206" t="str">
        <f>"82079"</f>
        <v>82079</v>
      </c>
      <c r="I7206">
        <v>1</v>
      </c>
      <c r="J7206">
        <v>332</v>
      </c>
      <c r="K7206">
        <v>0</v>
      </c>
      <c r="L7206">
        <v>302.12</v>
      </c>
    </row>
    <row r="7207" spans="1:12" x14ac:dyDescent="0.25">
      <c r="A7207" t="str">
        <f t="shared" si="1578"/>
        <v>89301000</v>
      </c>
      <c r="B7207" t="str">
        <f t="shared" si="1579"/>
        <v>10510000</v>
      </c>
      <c r="C7207" t="str">
        <f t="shared" si="1580"/>
        <v>10510001</v>
      </c>
      <c r="D7207" t="str">
        <f t="shared" si="1581"/>
        <v>802</v>
      </c>
      <c r="E7207" t="str">
        <f t="shared" si="1582"/>
        <v>89301202</v>
      </c>
      <c r="F7207" t="str">
        <f>"9404095734"</f>
        <v>9404095734</v>
      </c>
      <c r="G7207" s="1">
        <v>44761</v>
      </c>
      <c r="H7207" t="str">
        <f>"82111"</f>
        <v>82111</v>
      </c>
      <c r="I7207">
        <v>1</v>
      </c>
      <c r="J7207">
        <v>36</v>
      </c>
      <c r="K7207">
        <v>0</v>
      </c>
      <c r="L7207">
        <v>32.76</v>
      </c>
    </row>
    <row r="7208" spans="1:12" x14ac:dyDescent="0.25">
      <c r="A7208" t="str">
        <f t="shared" si="1578"/>
        <v>89301000</v>
      </c>
      <c r="B7208" t="str">
        <f t="shared" si="1579"/>
        <v>10510000</v>
      </c>
      <c r="C7208" t="str">
        <f t="shared" si="1580"/>
        <v>10510001</v>
      </c>
      <c r="D7208" t="str">
        <f t="shared" si="1581"/>
        <v>802</v>
      </c>
      <c r="E7208" t="str">
        <f t="shared" si="1582"/>
        <v>89301202</v>
      </c>
      <c r="F7208" t="str">
        <f>"9404095734"</f>
        <v>9404095734</v>
      </c>
      <c r="G7208" s="1">
        <v>44761</v>
      </c>
      <c r="H7208" t="str">
        <f>"82145"</f>
        <v>82145</v>
      </c>
      <c r="I7208">
        <v>1</v>
      </c>
      <c r="J7208">
        <v>57</v>
      </c>
      <c r="K7208">
        <v>0</v>
      </c>
      <c r="L7208">
        <v>51.87</v>
      </c>
    </row>
    <row r="7209" spans="1:12" x14ac:dyDescent="0.25">
      <c r="A7209" t="str">
        <f t="shared" si="1578"/>
        <v>89301000</v>
      </c>
      <c r="B7209" t="str">
        <f t="shared" si="1579"/>
        <v>10510000</v>
      </c>
      <c r="C7209" t="str">
        <f t="shared" si="1580"/>
        <v>10510001</v>
      </c>
      <c r="D7209" t="str">
        <f t="shared" si="1581"/>
        <v>802</v>
      </c>
      <c r="E7209" t="str">
        <f t="shared" si="1582"/>
        <v>89301202</v>
      </c>
      <c r="F7209" t="str">
        <f>"2256101804"</f>
        <v>2256101804</v>
      </c>
      <c r="G7209" s="1">
        <v>44767</v>
      </c>
      <c r="H7209" t="str">
        <f>"97111"</f>
        <v>97111</v>
      </c>
      <c r="I7209">
        <v>1</v>
      </c>
      <c r="J7209">
        <v>18</v>
      </c>
      <c r="K7209">
        <v>0</v>
      </c>
      <c r="L7209">
        <v>16.38</v>
      </c>
    </row>
    <row r="7210" spans="1:12" x14ac:dyDescent="0.25">
      <c r="A7210" t="str">
        <f t="shared" si="1578"/>
        <v>89301000</v>
      </c>
      <c r="B7210" t="str">
        <f t="shared" si="1579"/>
        <v>10510000</v>
      </c>
      <c r="C7210" t="str">
        <f t="shared" si="1580"/>
        <v>10510001</v>
      </c>
      <c r="D7210" t="str">
        <f t="shared" si="1581"/>
        <v>802</v>
      </c>
      <c r="E7210" t="str">
        <f t="shared" si="1582"/>
        <v>89301202</v>
      </c>
      <c r="F7210" t="str">
        <f>"2256101804"</f>
        <v>2256101804</v>
      </c>
      <c r="G7210" s="1">
        <v>44768</v>
      </c>
      <c r="H7210" t="str">
        <f>"82113"</f>
        <v>82113</v>
      </c>
      <c r="I7210">
        <v>1</v>
      </c>
      <c r="J7210">
        <v>362</v>
      </c>
      <c r="K7210">
        <v>0</v>
      </c>
      <c r="L7210">
        <v>329.42</v>
      </c>
    </row>
    <row r="7211" spans="1:12" x14ac:dyDescent="0.25">
      <c r="A7211" t="str">
        <f t="shared" si="1578"/>
        <v>89301000</v>
      </c>
      <c r="B7211" t="str">
        <f t="shared" si="1579"/>
        <v>10510000</v>
      </c>
      <c r="C7211" t="str">
        <f t="shared" si="1580"/>
        <v>10510001</v>
      </c>
      <c r="D7211" t="str">
        <f t="shared" si="1581"/>
        <v>802</v>
      </c>
      <c r="E7211" t="str">
        <f t="shared" si="1582"/>
        <v>89301202</v>
      </c>
      <c r="F7211" t="str">
        <f>"2256101804"</f>
        <v>2256101804</v>
      </c>
      <c r="G7211" s="1">
        <v>44768</v>
      </c>
      <c r="H7211" t="str">
        <f>"82111"</f>
        <v>82111</v>
      </c>
      <c r="I7211">
        <v>1</v>
      </c>
      <c r="J7211">
        <v>36</v>
      </c>
      <c r="K7211">
        <v>0</v>
      </c>
      <c r="L7211">
        <v>32.76</v>
      </c>
    </row>
    <row r="7212" spans="1:12" x14ac:dyDescent="0.25">
      <c r="A7212" t="str">
        <f t="shared" si="1578"/>
        <v>89301000</v>
      </c>
      <c r="B7212" t="str">
        <f t="shared" si="1579"/>
        <v>10510000</v>
      </c>
      <c r="C7212" t="str">
        <f t="shared" si="1580"/>
        <v>10510001</v>
      </c>
      <c r="D7212" t="str">
        <f t="shared" si="1581"/>
        <v>802</v>
      </c>
      <c r="E7212" t="str">
        <f t="shared" si="1582"/>
        <v>89301202</v>
      </c>
      <c r="F7212" t="str">
        <f>"2256101804"</f>
        <v>2256101804</v>
      </c>
      <c r="G7212" s="1">
        <v>44768</v>
      </c>
      <c r="H7212" t="str">
        <f>"82079"</f>
        <v>82079</v>
      </c>
      <c r="I7212">
        <v>1</v>
      </c>
      <c r="J7212">
        <v>332</v>
      </c>
      <c r="K7212">
        <v>0</v>
      </c>
      <c r="L7212">
        <v>302.12</v>
      </c>
    </row>
    <row r="7213" spans="1:12" x14ac:dyDescent="0.25">
      <c r="A7213" t="str">
        <f t="shared" si="1578"/>
        <v>89301000</v>
      </c>
      <c r="B7213" t="str">
        <f t="shared" si="1579"/>
        <v>10510000</v>
      </c>
      <c r="C7213" t="str">
        <f t="shared" si="1580"/>
        <v>10510001</v>
      </c>
      <c r="D7213" t="str">
        <f t="shared" si="1581"/>
        <v>802</v>
      </c>
      <c r="E7213" t="str">
        <f t="shared" si="1582"/>
        <v>89301202</v>
      </c>
      <c r="F7213" t="str">
        <f>"2256101804"</f>
        <v>2256101804</v>
      </c>
      <c r="G7213" s="1">
        <v>44768</v>
      </c>
      <c r="H7213" t="str">
        <f>"82145"</f>
        <v>82145</v>
      </c>
      <c r="I7213">
        <v>1</v>
      </c>
      <c r="J7213">
        <v>57</v>
      </c>
      <c r="K7213">
        <v>0</v>
      </c>
      <c r="L7213">
        <v>51.87</v>
      </c>
    </row>
    <row r="7214" spans="1:12" x14ac:dyDescent="0.25">
      <c r="A7214" t="str">
        <f t="shared" si="1578"/>
        <v>89301000</v>
      </c>
      <c r="B7214" t="str">
        <f t="shared" si="1579"/>
        <v>10510000</v>
      </c>
      <c r="C7214" t="str">
        <f t="shared" si="1580"/>
        <v>10510001</v>
      </c>
      <c r="D7214" t="str">
        <f t="shared" si="1581"/>
        <v>802</v>
      </c>
      <c r="E7214" t="str">
        <f t="shared" ref="E7214:E7225" si="1583">"89301171"</f>
        <v>89301171</v>
      </c>
      <c r="F7214" t="str">
        <f>"6653092215"</f>
        <v>6653092215</v>
      </c>
      <c r="G7214" s="1">
        <v>44749</v>
      </c>
      <c r="H7214" t="str">
        <f>"82041"</f>
        <v>82041</v>
      </c>
      <c r="I7214">
        <v>1</v>
      </c>
      <c r="J7214">
        <v>1090</v>
      </c>
      <c r="K7214">
        <v>0</v>
      </c>
      <c r="L7214">
        <v>991.9</v>
      </c>
    </row>
    <row r="7215" spans="1:12" x14ac:dyDescent="0.25">
      <c r="A7215" t="str">
        <f t="shared" si="1578"/>
        <v>89301000</v>
      </c>
      <c r="B7215" t="str">
        <f t="shared" si="1579"/>
        <v>10510000</v>
      </c>
      <c r="C7215" t="str">
        <f t="shared" si="1580"/>
        <v>10510001</v>
      </c>
      <c r="D7215" t="str">
        <f t="shared" si="1581"/>
        <v>802</v>
      </c>
      <c r="E7215" t="str">
        <f t="shared" si="1583"/>
        <v>89301171</v>
      </c>
      <c r="F7215" t="str">
        <f>"6653092215"</f>
        <v>6653092215</v>
      </c>
      <c r="G7215" s="1">
        <v>44749</v>
      </c>
      <c r="H7215" t="str">
        <f>"82041"</f>
        <v>82041</v>
      </c>
      <c r="I7215">
        <v>1</v>
      </c>
      <c r="J7215">
        <v>1090</v>
      </c>
      <c r="K7215">
        <v>0</v>
      </c>
      <c r="L7215">
        <v>991.9</v>
      </c>
    </row>
    <row r="7216" spans="1:12" x14ac:dyDescent="0.25">
      <c r="A7216" t="str">
        <f t="shared" si="1578"/>
        <v>89301000</v>
      </c>
      <c r="B7216" t="str">
        <f t="shared" ref="B7216:B7249" si="1584">"10510000"</f>
        <v>10510000</v>
      </c>
      <c r="C7216" t="str">
        <f t="shared" ref="C7216:C7249" si="1585">"10510001"</f>
        <v>10510001</v>
      </c>
      <c r="D7216" t="str">
        <f t="shared" ref="D7216:D7249" si="1586">"802"</f>
        <v>802</v>
      </c>
      <c r="E7216" t="str">
        <f t="shared" si="1583"/>
        <v>89301171</v>
      </c>
      <c r="F7216" t="str">
        <f>"6653092215"</f>
        <v>6653092215</v>
      </c>
      <c r="G7216" s="1">
        <v>44749</v>
      </c>
      <c r="H7216" t="str">
        <f>"82034"</f>
        <v>82034</v>
      </c>
      <c r="I7216">
        <v>1</v>
      </c>
      <c r="J7216">
        <v>348</v>
      </c>
      <c r="K7216">
        <v>0</v>
      </c>
      <c r="L7216">
        <v>316.68</v>
      </c>
    </row>
    <row r="7217" spans="1:12" x14ac:dyDescent="0.25">
      <c r="A7217" t="str">
        <f t="shared" si="1578"/>
        <v>89301000</v>
      </c>
      <c r="B7217" t="str">
        <f t="shared" si="1584"/>
        <v>10510000</v>
      </c>
      <c r="C7217" t="str">
        <f t="shared" si="1585"/>
        <v>10510001</v>
      </c>
      <c r="D7217" t="str">
        <f t="shared" si="1586"/>
        <v>802</v>
      </c>
      <c r="E7217" t="str">
        <f t="shared" si="1583"/>
        <v>89301171</v>
      </c>
      <c r="F7217" t="str">
        <f>"6208151400"</f>
        <v>6208151400</v>
      </c>
      <c r="G7217" s="1">
        <v>44749</v>
      </c>
      <c r="H7217" t="str">
        <f>"82041"</f>
        <v>82041</v>
      </c>
      <c r="I7217">
        <v>1</v>
      </c>
      <c r="J7217">
        <v>1090</v>
      </c>
      <c r="K7217">
        <v>0</v>
      </c>
      <c r="L7217">
        <v>991.9</v>
      </c>
    </row>
    <row r="7218" spans="1:12" x14ac:dyDescent="0.25">
      <c r="A7218" t="str">
        <f t="shared" si="1578"/>
        <v>89301000</v>
      </c>
      <c r="B7218" t="str">
        <f t="shared" si="1584"/>
        <v>10510000</v>
      </c>
      <c r="C7218" t="str">
        <f t="shared" si="1585"/>
        <v>10510001</v>
      </c>
      <c r="D7218" t="str">
        <f t="shared" si="1586"/>
        <v>802</v>
      </c>
      <c r="E7218" t="str">
        <f t="shared" si="1583"/>
        <v>89301171</v>
      </c>
      <c r="F7218" t="str">
        <f>"6208151400"</f>
        <v>6208151400</v>
      </c>
      <c r="G7218" s="1">
        <v>44749</v>
      </c>
      <c r="H7218" t="str">
        <f>"82041"</f>
        <v>82041</v>
      </c>
      <c r="I7218">
        <v>1</v>
      </c>
      <c r="J7218">
        <v>1090</v>
      </c>
      <c r="K7218">
        <v>0</v>
      </c>
      <c r="L7218">
        <v>991.9</v>
      </c>
    </row>
    <row r="7219" spans="1:12" x14ac:dyDescent="0.25">
      <c r="A7219" t="str">
        <f t="shared" si="1578"/>
        <v>89301000</v>
      </c>
      <c r="B7219" t="str">
        <f t="shared" si="1584"/>
        <v>10510000</v>
      </c>
      <c r="C7219" t="str">
        <f t="shared" si="1585"/>
        <v>10510001</v>
      </c>
      <c r="D7219" t="str">
        <f t="shared" si="1586"/>
        <v>802</v>
      </c>
      <c r="E7219" t="str">
        <f t="shared" si="1583"/>
        <v>89301171</v>
      </c>
      <c r="F7219" t="str">
        <f>"6208151400"</f>
        <v>6208151400</v>
      </c>
      <c r="G7219" s="1">
        <v>44749</v>
      </c>
      <c r="H7219" t="str">
        <f>"82034"</f>
        <v>82034</v>
      </c>
      <c r="I7219">
        <v>1</v>
      </c>
      <c r="J7219">
        <v>348</v>
      </c>
      <c r="K7219">
        <v>0</v>
      </c>
      <c r="L7219">
        <v>316.68</v>
      </c>
    </row>
    <row r="7220" spans="1:12" x14ac:dyDescent="0.25">
      <c r="A7220" t="str">
        <f t="shared" si="1578"/>
        <v>89301000</v>
      </c>
      <c r="B7220" t="str">
        <f t="shared" si="1584"/>
        <v>10510000</v>
      </c>
      <c r="C7220" t="str">
        <f t="shared" si="1585"/>
        <v>10510001</v>
      </c>
      <c r="D7220" t="str">
        <f t="shared" si="1586"/>
        <v>802</v>
      </c>
      <c r="E7220" t="str">
        <f t="shared" si="1583"/>
        <v>89301171</v>
      </c>
      <c r="F7220" t="str">
        <f>"6158110332"</f>
        <v>6158110332</v>
      </c>
      <c r="G7220" s="1">
        <v>44749</v>
      </c>
      <c r="H7220" t="str">
        <f>"82034"</f>
        <v>82034</v>
      </c>
      <c r="I7220">
        <v>1</v>
      </c>
      <c r="J7220">
        <v>348</v>
      </c>
      <c r="K7220">
        <v>0</v>
      </c>
      <c r="L7220">
        <v>316.68</v>
      </c>
    </row>
    <row r="7221" spans="1:12" x14ac:dyDescent="0.25">
      <c r="A7221" t="str">
        <f t="shared" si="1578"/>
        <v>89301000</v>
      </c>
      <c r="B7221" t="str">
        <f t="shared" si="1584"/>
        <v>10510000</v>
      </c>
      <c r="C7221" t="str">
        <f t="shared" si="1585"/>
        <v>10510001</v>
      </c>
      <c r="D7221" t="str">
        <f t="shared" si="1586"/>
        <v>802</v>
      </c>
      <c r="E7221" t="str">
        <f t="shared" si="1583"/>
        <v>89301171</v>
      </c>
      <c r="F7221" t="str">
        <f>"6158110332"</f>
        <v>6158110332</v>
      </c>
      <c r="G7221" s="1">
        <v>44749</v>
      </c>
      <c r="H7221" t="str">
        <f>"82041"</f>
        <v>82041</v>
      </c>
      <c r="I7221">
        <v>1</v>
      </c>
      <c r="J7221">
        <v>1090</v>
      </c>
      <c r="K7221">
        <v>0</v>
      </c>
      <c r="L7221">
        <v>991.9</v>
      </c>
    </row>
    <row r="7222" spans="1:12" x14ac:dyDescent="0.25">
      <c r="A7222" t="str">
        <f t="shared" si="1578"/>
        <v>89301000</v>
      </c>
      <c r="B7222" t="str">
        <f t="shared" si="1584"/>
        <v>10510000</v>
      </c>
      <c r="C7222" t="str">
        <f t="shared" si="1585"/>
        <v>10510001</v>
      </c>
      <c r="D7222" t="str">
        <f t="shared" si="1586"/>
        <v>802</v>
      </c>
      <c r="E7222" t="str">
        <f t="shared" si="1583"/>
        <v>89301171</v>
      </c>
      <c r="F7222" t="str">
        <f>"6158110332"</f>
        <v>6158110332</v>
      </c>
      <c r="G7222" s="1">
        <v>44749</v>
      </c>
      <c r="H7222" t="str">
        <f>"82041"</f>
        <v>82041</v>
      </c>
      <c r="I7222">
        <v>1</v>
      </c>
      <c r="J7222">
        <v>1090</v>
      </c>
      <c r="K7222">
        <v>0</v>
      </c>
      <c r="L7222">
        <v>991.9</v>
      </c>
    </row>
    <row r="7223" spans="1:12" x14ac:dyDescent="0.25">
      <c r="A7223" t="str">
        <f t="shared" si="1578"/>
        <v>89301000</v>
      </c>
      <c r="B7223" t="str">
        <f t="shared" si="1584"/>
        <v>10510000</v>
      </c>
      <c r="C7223" t="str">
        <f t="shared" si="1585"/>
        <v>10510001</v>
      </c>
      <c r="D7223" t="str">
        <f t="shared" si="1586"/>
        <v>802</v>
      </c>
      <c r="E7223" t="str">
        <f t="shared" si="1583"/>
        <v>89301171</v>
      </c>
      <c r="F7223" t="str">
        <f>"6853012221"</f>
        <v>6853012221</v>
      </c>
      <c r="G7223" s="1">
        <v>44756</v>
      </c>
      <c r="H7223" t="str">
        <f>"82041"</f>
        <v>82041</v>
      </c>
      <c r="I7223">
        <v>1</v>
      </c>
      <c r="J7223">
        <v>1090</v>
      </c>
      <c r="K7223">
        <v>0</v>
      </c>
      <c r="L7223">
        <v>991.9</v>
      </c>
    </row>
    <row r="7224" spans="1:12" x14ac:dyDescent="0.25">
      <c r="A7224" t="str">
        <f t="shared" si="1578"/>
        <v>89301000</v>
      </c>
      <c r="B7224" t="str">
        <f t="shared" si="1584"/>
        <v>10510000</v>
      </c>
      <c r="C7224" t="str">
        <f t="shared" si="1585"/>
        <v>10510001</v>
      </c>
      <c r="D7224" t="str">
        <f t="shared" si="1586"/>
        <v>802</v>
      </c>
      <c r="E7224" t="str">
        <f t="shared" si="1583"/>
        <v>89301171</v>
      </c>
      <c r="F7224" t="str">
        <f>"6853012221"</f>
        <v>6853012221</v>
      </c>
      <c r="G7224" s="1">
        <v>44756</v>
      </c>
      <c r="H7224" t="str">
        <f>"82041"</f>
        <v>82041</v>
      </c>
      <c r="I7224">
        <v>1</v>
      </c>
      <c r="J7224">
        <v>1090</v>
      </c>
      <c r="K7224">
        <v>0</v>
      </c>
      <c r="L7224">
        <v>991.9</v>
      </c>
    </row>
    <row r="7225" spans="1:12" x14ac:dyDescent="0.25">
      <c r="A7225" t="str">
        <f t="shared" si="1578"/>
        <v>89301000</v>
      </c>
      <c r="B7225" t="str">
        <f t="shared" si="1584"/>
        <v>10510000</v>
      </c>
      <c r="C7225" t="str">
        <f t="shared" si="1585"/>
        <v>10510001</v>
      </c>
      <c r="D7225" t="str">
        <f t="shared" si="1586"/>
        <v>802</v>
      </c>
      <c r="E7225" t="str">
        <f t="shared" si="1583"/>
        <v>89301171</v>
      </c>
      <c r="F7225" t="str">
        <f>"6853012221"</f>
        <v>6853012221</v>
      </c>
      <c r="G7225" s="1">
        <v>44756</v>
      </c>
      <c r="H7225" t="str">
        <f>"82034"</f>
        <v>82034</v>
      </c>
      <c r="I7225">
        <v>1</v>
      </c>
      <c r="J7225">
        <v>348</v>
      </c>
      <c r="K7225">
        <v>0</v>
      </c>
      <c r="L7225">
        <v>316.68</v>
      </c>
    </row>
    <row r="7226" spans="1:12" x14ac:dyDescent="0.25">
      <c r="A7226" t="str">
        <f t="shared" si="1578"/>
        <v>89301000</v>
      </c>
      <c r="B7226" t="str">
        <f t="shared" si="1584"/>
        <v>10510000</v>
      </c>
      <c r="C7226" t="str">
        <f t="shared" si="1585"/>
        <v>10510001</v>
      </c>
      <c r="D7226" t="str">
        <f t="shared" si="1586"/>
        <v>802</v>
      </c>
      <c r="E7226" t="str">
        <f>"89301172"</f>
        <v>89301172</v>
      </c>
      <c r="F7226" t="str">
        <f>"7408205772"</f>
        <v>7408205772</v>
      </c>
      <c r="G7226" s="1">
        <v>44761</v>
      </c>
      <c r="H7226" t="str">
        <f>"82034"</f>
        <v>82034</v>
      </c>
      <c r="I7226">
        <v>1</v>
      </c>
      <c r="J7226">
        <v>348</v>
      </c>
      <c r="K7226">
        <v>0</v>
      </c>
      <c r="L7226">
        <v>316.68</v>
      </c>
    </row>
    <row r="7227" spans="1:12" x14ac:dyDescent="0.25">
      <c r="A7227" t="str">
        <f t="shared" si="1578"/>
        <v>89301000</v>
      </c>
      <c r="B7227" t="str">
        <f t="shared" si="1584"/>
        <v>10510000</v>
      </c>
      <c r="C7227" t="str">
        <f t="shared" si="1585"/>
        <v>10510001</v>
      </c>
      <c r="D7227" t="str">
        <f t="shared" si="1586"/>
        <v>802</v>
      </c>
      <c r="E7227" t="str">
        <f>"89301172"</f>
        <v>89301172</v>
      </c>
      <c r="F7227" t="str">
        <f>"7408205772"</f>
        <v>7408205772</v>
      </c>
      <c r="G7227" s="1">
        <v>44761</v>
      </c>
      <c r="H7227" t="str">
        <f>"82041"</f>
        <v>82041</v>
      </c>
      <c r="I7227">
        <v>1</v>
      </c>
      <c r="J7227">
        <v>1090</v>
      </c>
      <c r="K7227">
        <v>0</v>
      </c>
      <c r="L7227">
        <v>991.9</v>
      </c>
    </row>
    <row r="7228" spans="1:12" x14ac:dyDescent="0.25">
      <c r="A7228" t="str">
        <f t="shared" si="1578"/>
        <v>89301000</v>
      </c>
      <c r="B7228" t="str">
        <f t="shared" si="1584"/>
        <v>10510000</v>
      </c>
      <c r="C7228" t="str">
        <f t="shared" si="1585"/>
        <v>10510001</v>
      </c>
      <c r="D7228" t="str">
        <f t="shared" si="1586"/>
        <v>802</v>
      </c>
      <c r="E7228" t="str">
        <f>"89301172"</f>
        <v>89301172</v>
      </c>
      <c r="F7228" t="str">
        <f>"7408205772"</f>
        <v>7408205772</v>
      </c>
      <c r="G7228" s="1">
        <v>44761</v>
      </c>
      <c r="H7228" t="str">
        <f>"82041"</f>
        <v>82041</v>
      </c>
      <c r="I7228">
        <v>1</v>
      </c>
      <c r="J7228">
        <v>1090</v>
      </c>
      <c r="K7228">
        <v>0</v>
      </c>
      <c r="L7228">
        <v>991.9</v>
      </c>
    </row>
    <row r="7229" spans="1:12" x14ac:dyDescent="0.25">
      <c r="A7229" t="str">
        <f t="shared" si="1578"/>
        <v>89301000</v>
      </c>
      <c r="B7229" t="str">
        <f t="shared" si="1584"/>
        <v>10510000</v>
      </c>
      <c r="C7229" t="str">
        <f t="shared" si="1585"/>
        <v>10510001</v>
      </c>
      <c r="D7229" t="str">
        <f t="shared" si="1586"/>
        <v>802</v>
      </c>
      <c r="E7229" t="str">
        <f t="shared" ref="E7229:E7234" si="1587">"89301171"</f>
        <v>89301171</v>
      </c>
      <c r="F7229" t="str">
        <f>"7751155852"</f>
        <v>7751155852</v>
      </c>
      <c r="G7229" s="1">
        <v>44761</v>
      </c>
      <c r="H7229" t="str">
        <f>"82034"</f>
        <v>82034</v>
      </c>
      <c r="I7229">
        <v>1</v>
      </c>
      <c r="J7229">
        <v>348</v>
      </c>
      <c r="K7229">
        <v>0</v>
      </c>
      <c r="L7229">
        <v>316.68</v>
      </c>
    </row>
    <row r="7230" spans="1:12" x14ac:dyDescent="0.25">
      <c r="A7230" t="str">
        <f t="shared" si="1578"/>
        <v>89301000</v>
      </c>
      <c r="B7230" t="str">
        <f t="shared" si="1584"/>
        <v>10510000</v>
      </c>
      <c r="C7230" t="str">
        <f t="shared" si="1585"/>
        <v>10510001</v>
      </c>
      <c r="D7230" t="str">
        <f t="shared" si="1586"/>
        <v>802</v>
      </c>
      <c r="E7230" t="str">
        <f t="shared" si="1587"/>
        <v>89301171</v>
      </c>
      <c r="F7230" t="str">
        <f>"7751155852"</f>
        <v>7751155852</v>
      </c>
      <c r="G7230" s="1">
        <v>44761</v>
      </c>
      <c r="H7230" t="str">
        <f>"82041"</f>
        <v>82041</v>
      </c>
      <c r="I7230">
        <v>1</v>
      </c>
      <c r="J7230">
        <v>1090</v>
      </c>
      <c r="K7230">
        <v>0</v>
      </c>
      <c r="L7230">
        <v>991.9</v>
      </c>
    </row>
    <row r="7231" spans="1:12" x14ac:dyDescent="0.25">
      <c r="A7231" t="str">
        <f t="shared" si="1578"/>
        <v>89301000</v>
      </c>
      <c r="B7231" t="str">
        <f t="shared" si="1584"/>
        <v>10510000</v>
      </c>
      <c r="C7231" t="str">
        <f t="shared" si="1585"/>
        <v>10510001</v>
      </c>
      <c r="D7231" t="str">
        <f t="shared" si="1586"/>
        <v>802</v>
      </c>
      <c r="E7231" t="str">
        <f t="shared" si="1587"/>
        <v>89301171</v>
      </c>
      <c r="F7231" t="str">
        <f>"7751155852"</f>
        <v>7751155852</v>
      </c>
      <c r="G7231" s="1">
        <v>44761</v>
      </c>
      <c r="H7231" t="str">
        <f>"82041"</f>
        <v>82041</v>
      </c>
      <c r="I7231">
        <v>1</v>
      </c>
      <c r="J7231">
        <v>1090</v>
      </c>
      <c r="K7231">
        <v>0</v>
      </c>
      <c r="L7231">
        <v>991.9</v>
      </c>
    </row>
    <row r="7232" spans="1:12" x14ac:dyDescent="0.25">
      <c r="A7232" t="str">
        <f t="shared" si="1578"/>
        <v>89301000</v>
      </c>
      <c r="B7232" t="str">
        <f t="shared" si="1584"/>
        <v>10510000</v>
      </c>
      <c r="C7232" t="str">
        <f t="shared" si="1585"/>
        <v>10510001</v>
      </c>
      <c r="D7232" t="str">
        <f t="shared" si="1586"/>
        <v>802</v>
      </c>
      <c r="E7232" t="str">
        <f t="shared" si="1587"/>
        <v>89301171</v>
      </c>
      <c r="F7232" t="str">
        <f>"455610434"</f>
        <v>455610434</v>
      </c>
      <c r="G7232" s="1">
        <v>44768</v>
      </c>
      <c r="H7232" t="str">
        <f>"82034"</f>
        <v>82034</v>
      </c>
      <c r="I7232">
        <v>1</v>
      </c>
      <c r="J7232">
        <v>348</v>
      </c>
      <c r="K7232">
        <v>0</v>
      </c>
      <c r="L7232">
        <v>316.68</v>
      </c>
    </row>
    <row r="7233" spans="1:12" x14ac:dyDescent="0.25">
      <c r="A7233" t="str">
        <f t="shared" si="1578"/>
        <v>89301000</v>
      </c>
      <c r="B7233" t="str">
        <f t="shared" si="1584"/>
        <v>10510000</v>
      </c>
      <c r="C7233" t="str">
        <f t="shared" si="1585"/>
        <v>10510001</v>
      </c>
      <c r="D7233" t="str">
        <f t="shared" si="1586"/>
        <v>802</v>
      </c>
      <c r="E7233" t="str">
        <f t="shared" si="1587"/>
        <v>89301171</v>
      </c>
      <c r="F7233" t="str">
        <f>"455610434"</f>
        <v>455610434</v>
      </c>
      <c r="G7233" s="1">
        <v>44768</v>
      </c>
      <c r="H7233" t="str">
        <f>"82041"</f>
        <v>82041</v>
      </c>
      <c r="I7233">
        <v>1</v>
      </c>
      <c r="J7233">
        <v>1090</v>
      </c>
      <c r="K7233">
        <v>0</v>
      </c>
      <c r="L7233">
        <v>991.9</v>
      </c>
    </row>
    <row r="7234" spans="1:12" x14ac:dyDescent="0.25">
      <c r="A7234" t="str">
        <f t="shared" ref="A7234:A7297" si="1588">"89301000"</f>
        <v>89301000</v>
      </c>
      <c r="B7234" t="str">
        <f t="shared" si="1584"/>
        <v>10510000</v>
      </c>
      <c r="C7234" t="str">
        <f t="shared" si="1585"/>
        <v>10510001</v>
      </c>
      <c r="D7234" t="str">
        <f t="shared" si="1586"/>
        <v>802</v>
      </c>
      <c r="E7234" t="str">
        <f t="shared" si="1587"/>
        <v>89301171</v>
      </c>
      <c r="F7234" t="str">
        <f>"455610434"</f>
        <v>455610434</v>
      </c>
      <c r="G7234" s="1">
        <v>44768</v>
      </c>
      <c r="H7234" t="str">
        <f>"82041"</f>
        <v>82041</v>
      </c>
      <c r="I7234">
        <v>1</v>
      </c>
      <c r="J7234">
        <v>1090</v>
      </c>
      <c r="K7234">
        <v>0</v>
      </c>
      <c r="L7234">
        <v>991.9</v>
      </c>
    </row>
    <row r="7235" spans="1:12" x14ac:dyDescent="0.25">
      <c r="A7235" t="str">
        <f t="shared" si="1588"/>
        <v>89301000</v>
      </c>
      <c r="B7235" t="str">
        <f t="shared" si="1584"/>
        <v>10510000</v>
      </c>
      <c r="C7235" t="str">
        <f t="shared" si="1585"/>
        <v>10510001</v>
      </c>
      <c r="D7235" t="str">
        <f t="shared" si="1586"/>
        <v>802</v>
      </c>
      <c r="E7235" t="str">
        <f t="shared" ref="E7235:E7249" si="1589">"89301202"</f>
        <v>89301202</v>
      </c>
      <c r="F7235" t="str">
        <f>"8760245373"</f>
        <v>8760245373</v>
      </c>
      <c r="G7235" s="1">
        <v>44715</v>
      </c>
      <c r="H7235" t="str">
        <f>"82145"</f>
        <v>82145</v>
      </c>
      <c r="I7235">
        <v>1</v>
      </c>
      <c r="J7235">
        <v>57</v>
      </c>
      <c r="K7235">
        <v>0</v>
      </c>
      <c r="L7235">
        <v>51.87</v>
      </c>
    </row>
    <row r="7236" spans="1:12" x14ac:dyDescent="0.25">
      <c r="A7236" t="str">
        <f t="shared" si="1588"/>
        <v>89301000</v>
      </c>
      <c r="B7236" t="str">
        <f t="shared" si="1584"/>
        <v>10510000</v>
      </c>
      <c r="C7236" t="str">
        <f t="shared" si="1585"/>
        <v>10510001</v>
      </c>
      <c r="D7236" t="str">
        <f t="shared" si="1586"/>
        <v>802</v>
      </c>
      <c r="E7236" t="str">
        <f t="shared" si="1589"/>
        <v>89301202</v>
      </c>
      <c r="F7236" t="str">
        <f>"8760245373"</f>
        <v>8760245373</v>
      </c>
      <c r="G7236" s="1">
        <v>44715</v>
      </c>
      <c r="H7236" t="str">
        <f>"82111"</f>
        <v>82111</v>
      </c>
      <c r="I7236">
        <v>1</v>
      </c>
      <c r="J7236">
        <v>36</v>
      </c>
      <c r="K7236">
        <v>0</v>
      </c>
      <c r="L7236">
        <v>32.76</v>
      </c>
    </row>
    <row r="7237" spans="1:12" x14ac:dyDescent="0.25">
      <c r="A7237" t="str">
        <f t="shared" si="1588"/>
        <v>89301000</v>
      </c>
      <c r="B7237" t="str">
        <f t="shared" si="1584"/>
        <v>10510000</v>
      </c>
      <c r="C7237" t="str">
        <f t="shared" si="1585"/>
        <v>10510001</v>
      </c>
      <c r="D7237" t="str">
        <f t="shared" si="1586"/>
        <v>802</v>
      </c>
      <c r="E7237" t="str">
        <f t="shared" si="1589"/>
        <v>89301202</v>
      </c>
      <c r="F7237" t="str">
        <f>"8760245373"</f>
        <v>8760245373</v>
      </c>
      <c r="G7237" s="1">
        <v>44715</v>
      </c>
      <c r="H7237" t="str">
        <f>"82079"</f>
        <v>82079</v>
      </c>
      <c r="I7237">
        <v>1</v>
      </c>
      <c r="J7237">
        <v>332</v>
      </c>
      <c r="K7237">
        <v>0</v>
      </c>
      <c r="L7237">
        <v>302.12</v>
      </c>
    </row>
    <row r="7238" spans="1:12" x14ac:dyDescent="0.25">
      <c r="A7238" t="str">
        <f t="shared" si="1588"/>
        <v>89301000</v>
      </c>
      <c r="B7238" t="str">
        <f t="shared" si="1584"/>
        <v>10510000</v>
      </c>
      <c r="C7238" t="str">
        <f t="shared" si="1585"/>
        <v>10510001</v>
      </c>
      <c r="D7238" t="str">
        <f t="shared" si="1586"/>
        <v>802</v>
      </c>
      <c r="E7238" t="str">
        <f t="shared" si="1589"/>
        <v>89301202</v>
      </c>
      <c r="F7238" t="str">
        <f>"8760245373"</f>
        <v>8760245373</v>
      </c>
      <c r="G7238" s="1">
        <v>44715</v>
      </c>
      <c r="H7238" t="str">
        <f>"82113"</f>
        <v>82113</v>
      </c>
      <c r="I7238">
        <v>1</v>
      </c>
      <c r="J7238">
        <v>362</v>
      </c>
      <c r="K7238">
        <v>0</v>
      </c>
      <c r="L7238">
        <v>329.42</v>
      </c>
    </row>
    <row r="7239" spans="1:12" x14ac:dyDescent="0.25">
      <c r="A7239" t="str">
        <f t="shared" si="1588"/>
        <v>89301000</v>
      </c>
      <c r="B7239" t="str">
        <f t="shared" si="1584"/>
        <v>10510000</v>
      </c>
      <c r="C7239" t="str">
        <f t="shared" si="1585"/>
        <v>10510001</v>
      </c>
      <c r="D7239" t="str">
        <f t="shared" si="1586"/>
        <v>802</v>
      </c>
      <c r="E7239" t="str">
        <f t="shared" si="1589"/>
        <v>89301202</v>
      </c>
      <c r="F7239" t="str">
        <f>"8760245373"</f>
        <v>8760245373</v>
      </c>
      <c r="G7239" s="1">
        <v>44714</v>
      </c>
      <c r="H7239" t="str">
        <f>"97111"</f>
        <v>97111</v>
      </c>
      <c r="I7239">
        <v>1</v>
      </c>
      <c r="J7239">
        <v>18</v>
      </c>
      <c r="K7239">
        <v>0</v>
      </c>
      <c r="L7239">
        <v>16.38</v>
      </c>
    </row>
    <row r="7240" spans="1:12" x14ac:dyDescent="0.25">
      <c r="A7240" t="str">
        <f t="shared" si="1588"/>
        <v>89301000</v>
      </c>
      <c r="B7240" t="str">
        <f t="shared" si="1584"/>
        <v>10510000</v>
      </c>
      <c r="C7240" t="str">
        <f t="shared" si="1585"/>
        <v>10510001</v>
      </c>
      <c r="D7240" t="str">
        <f t="shared" si="1586"/>
        <v>802</v>
      </c>
      <c r="E7240" t="str">
        <f t="shared" si="1589"/>
        <v>89301202</v>
      </c>
      <c r="F7240" t="str">
        <f>"2204270750"</f>
        <v>2204270750</v>
      </c>
      <c r="G7240" s="1">
        <v>44725</v>
      </c>
      <c r="H7240" t="str">
        <f>"97111"</f>
        <v>97111</v>
      </c>
      <c r="I7240">
        <v>1</v>
      </c>
      <c r="J7240">
        <v>18</v>
      </c>
      <c r="K7240">
        <v>0</v>
      </c>
      <c r="L7240">
        <v>16.38</v>
      </c>
    </row>
    <row r="7241" spans="1:12" x14ac:dyDescent="0.25">
      <c r="A7241" t="str">
        <f t="shared" si="1588"/>
        <v>89301000</v>
      </c>
      <c r="B7241" t="str">
        <f t="shared" si="1584"/>
        <v>10510000</v>
      </c>
      <c r="C7241" t="str">
        <f t="shared" si="1585"/>
        <v>10510001</v>
      </c>
      <c r="D7241" t="str">
        <f t="shared" si="1586"/>
        <v>802</v>
      </c>
      <c r="E7241" t="str">
        <f t="shared" si="1589"/>
        <v>89301202</v>
      </c>
      <c r="F7241" t="str">
        <f>"2204270750"</f>
        <v>2204270750</v>
      </c>
      <c r="G7241" s="1">
        <v>44726</v>
      </c>
      <c r="H7241" t="str">
        <f>"82113"</f>
        <v>82113</v>
      </c>
      <c r="I7241">
        <v>1</v>
      </c>
      <c r="J7241">
        <v>362</v>
      </c>
      <c r="K7241">
        <v>0</v>
      </c>
      <c r="L7241">
        <v>329.42</v>
      </c>
    </row>
    <row r="7242" spans="1:12" x14ac:dyDescent="0.25">
      <c r="A7242" t="str">
        <f t="shared" si="1588"/>
        <v>89301000</v>
      </c>
      <c r="B7242" t="str">
        <f t="shared" si="1584"/>
        <v>10510000</v>
      </c>
      <c r="C7242" t="str">
        <f t="shared" si="1585"/>
        <v>10510001</v>
      </c>
      <c r="D7242" t="str">
        <f t="shared" si="1586"/>
        <v>802</v>
      </c>
      <c r="E7242" t="str">
        <f t="shared" si="1589"/>
        <v>89301202</v>
      </c>
      <c r="F7242" t="str">
        <f>"2204270750"</f>
        <v>2204270750</v>
      </c>
      <c r="G7242" s="1">
        <v>44726</v>
      </c>
      <c r="H7242" t="str">
        <f>"82079"</f>
        <v>82079</v>
      </c>
      <c r="I7242">
        <v>1</v>
      </c>
      <c r="J7242">
        <v>332</v>
      </c>
      <c r="K7242">
        <v>0</v>
      </c>
      <c r="L7242">
        <v>302.12</v>
      </c>
    </row>
    <row r="7243" spans="1:12" x14ac:dyDescent="0.25">
      <c r="A7243" t="str">
        <f t="shared" si="1588"/>
        <v>89301000</v>
      </c>
      <c r="B7243" t="str">
        <f t="shared" si="1584"/>
        <v>10510000</v>
      </c>
      <c r="C7243" t="str">
        <f t="shared" si="1585"/>
        <v>10510001</v>
      </c>
      <c r="D7243" t="str">
        <f t="shared" si="1586"/>
        <v>802</v>
      </c>
      <c r="E7243" t="str">
        <f t="shared" si="1589"/>
        <v>89301202</v>
      </c>
      <c r="F7243" t="str">
        <f>"2204270750"</f>
        <v>2204270750</v>
      </c>
      <c r="G7243" s="1">
        <v>44726</v>
      </c>
      <c r="H7243" t="str">
        <f>"82111"</f>
        <v>82111</v>
      </c>
      <c r="I7243">
        <v>1</v>
      </c>
      <c r="J7243">
        <v>36</v>
      </c>
      <c r="K7243">
        <v>0</v>
      </c>
      <c r="L7243">
        <v>32.76</v>
      </c>
    </row>
    <row r="7244" spans="1:12" x14ac:dyDescent="0.25">
      <c r="A7244" t="str">
        <f t="shared" si="1588"/>
        <v>89301000</v>
      </c>
      <c r="B7244" t="str">
        <f t="shared" si="1584"/>
        <v>10510000</v>
      </c>
      <c r="C7244" t="str">
        <f t="shared" si="1585"/>
        <v>10510001</v>
      </c>
      <c r="D7244" t="str">
        <f t="shared" si="1586"/>
        <v>802</v>
      </c>
      <c r="E7244" t="str">
        <f t="shared" si="1589"/>
        <v>89301202</v>
      </c>
      <c r="F7244" t="str">
        <f>"2204270750"</f>
        <v>2204270750</v>
      </c>
      <c r="G7244" s="1">
        <v>44726</v>
      </c>
      <c r="H7244" t="str">
        <f>"82145"</f>
        <v>82145</v>
      </c>
      <c r="I7244">
        <v>1</v>
      </c>
      <c r="J7244">
        <v>57</v>
      </c>
      <c r="K7244">
        <v>0</v>
      </c>
      <c r="L7244">
        <v>51.87</v>
      </c>
    </row>
    <row r="7245" spans="1:12" x14ac:dyDescent="0.25">
      <c r="A7245" t="str">
        <f t="shared" si="1588"/>
        <v>89301000</v>
      </c>
      <c r="B7245" t="str">
        <f t="shared" si="1584"/>
        <v>10510000</v>
      </c>
      <c r="C7245" t="str">
        <f t="shared" si="1585"/>
        <v>10510001</v>
      </c>
      <c r="D7245" t="str">
        <f t="shared" si="1586"/>
        <v>802</v>
      </c>
      <c r="E7245" t="str">
        <f t="shared" si="1589"/>
        <v>89301202</v>
      </c>
      <c r="F7245" t="str">
        <f>"2254121870"</f>
        <v>2254121870</v>
      </c>
      <c r="G7245" s="1">
        <v>44736</v>
      </c>
      <c r="H7245" t="str">
        <f>"82111"</f>
        <v>82111</v>
      </c>
      <c r="I7245">
        <v>1</v>
      </c>
      <c r="J7245">
        <v>36</v>
      </c>
      <c r="K7245">
        <v>0</v>
      </c>
      <c r="L7245">
        <v>32.76</v>
      </c>
    </row>
    <row r="7246" spans="1:12" x14ac:dyDescent="0.25">
      <c r="A7246" t="str">
        <f t="shared" si="1588"/>
        <v>89301000</v>
      </c>
      <c r="B7246" t="str">
        <f t="shared" si="1584"/>
        <v>10510000</v>
      </c>
      <c r="C7246" t="str">
        <f t="shared" si="1585"/>
        <v>10510001</v>
      </c>
      <c r="D7246" t="str">
        <f t="shared" si="1586"/>
        <v>802</v>
      </c>
      <c r="E7246" t="str">
        <f t="shared" si="1589"/>
        <v>89301202</v>
      </c>
      <c r="F7246" t="str">
        <f>"2254121870"</f>
        <v>2254121870</v>
      </c>
      <c r="G7246" s="1">
        <v>44736</v>
      </c>
      <c r="H7246" t="str">
        <f>"82145"</f>
        <v>82145</v>
      </c>
      <c r="I7246">
        <v>1</v>
      </c>
      <c r="J7246">
        <v>57</v>
      </c>
      <c r="K7246">
        <v>0</v>
      </c>
      <c r="L7246">
        <v>51.87</v>
      </c>
    </row>
    <row r="7247" spans="1:12" x14ac:dyDescent="0.25">
      <c r="A7247" t="str">
        <f t="shared" si="1588"/>
        <v>89301000</v>
      </c>
      <c r="B7247" t="str">
        <f t="shared" si="1584"/>
        <v>10510000</v>
      </c>
      <c r="C7247" t="str">
        <f t="shared" si="1585"/>
        <v>10510001</v>
      </c>
      <c r="D7247" t="str">
        <f t="shared" si="1586"/>
        <v>802</v>
      </c>
      <c r="E7247" t="str">
        <f t="shared" si="1589"/>
        <v>89301202</v>
      </c>
      <c r="F7247" t="str">
        <f>"2254121870"</f>
        <v>2254121870</v>
      </c>
      <c r="G7247" s="1">
        <v>44736</v>
      </c>
      <c r="H7247" t="str">
        <f>"82079"</f>
        <v>82079</v>
      </c>
      <c r="I7247">
        <v>1</v>
      </c>
      <c r="J7247">
        <v>332</v>
      </c>
      <c r="K7247">
        <v>0</v>
      </c>
      <c r="L7247">
        <v>302.12</v>
      </c>
    </row>
    <row r="7248" spans="1:12" x14ac:dyDescent="0.25">
      <c r="A7248" t="str">
        <f t="shared" si="1588"/>
        <v>89301000</v>
      </c>
      <c r="B7248" t="str">
        <f t="shared" si="1584"/>
        <v>10510000</v>
      </c>
      <c r="C7248" t="str">
        <f t="shared" si="1585"/>
        <v>10510001</v>
      </c>
      <c r="D7248" t="str">
        <f t="shared" si="1586"/>
        <v>802</v>
      </c>
      <c r="E7248" t="str">
        <f t="shared" si="1589"/>
        <v>89301202</v>
      </c>
      <c r="F7248" t="str">
        <f>"2254121870"</f>
        <v>2254121870</v>
      </c>
      <c r="G7248" s="1">
        <v>44736</v>
      </c>
      <c r="H7248" t="str">
        <f>"82113"</f>
        <v>82113</v>
      </c>
      <c r="I7248">
        <v>1</v>
      </c>
      <c r="J7248">
        <v>362</v>
      </c>
      <c r="K7248">
        <v>0</v>
      </c>
      <c r="L7248">
        <v>329.42</v>
      </c>
    </row>
    <row r="7249" spans="1:12" x14ac:dyDescent="0.25">
      <c r="A7249" t="str">
        <f t="shared" si="1588"/>
        <v>89301000</v>
      </c>
      <c r="B7249" t="str">
        <f t="shared" si="1584"/>
        <v>10510000</v>
      </c>
      <c r="C7249" t="str">
        <f t="shared" si="1585"/>
        <v>10510001</v>
      </c>
      <c r="D7249" t="str">
        <f t="shared" si="1586"/>
        <v>802</v>
      </c>
      <c r="E7249" t="str">
        <f t="shared" si="1589"/>
        <v>89301202</v>
      </c>
      <c r="F7249" t="str">
        <f>"2254121870"</f>
        <v>2254121870</v>
      </c>
      <c r="G7249" s="1">
        <v>44735</v>
      </c>
      <c r="H7249" t="str">
        <f>"97111"</f>
        <v>97111</v>
      </c>
      <c r="I7249">
        <v>1</v>
      </c>
      <c r="J7249">
        <v>18</v>
      </c>
      <c r="K7249">
        <v>0</v>
      </c>
      <c r="L7249">
        <v>16.38</v>
      </c>
    </row>
    <row r="7250" spans="1:12" x14ac:dyDescent="0.25">
      <c r="A7250" t="str">
        <f t="shared" si="1588"/>
        <v>89301000</v>
      </c>
      <c r="B7250" t="str">
        <f t="shared" ref="B7250:B7313" si="1590">"06539000"</f>
        <v>06539000</v>
      </c>
      <c r="C7250" t="str">
        <f>"06539001"</f>
        <v>06539001</v>
      </c>
      <c r="D7250" t="str">
        <f>"801"</f>
        <v>801</v>
      </c>
      <c r="E7250" t="str">
        <f t="shared" ref="E7250:E7281" si="1591">"89301172"</f>
        <v>89301172</v>
      </c>
      <c r="F7250" t="str">
        <f t="shared" ref="F7250:F7291" si="1592">"9862195706"</f>
        <v>9862195706</v>
      </c>
      <c r="G7250" s="1">
        <v>44729</v>
      </c>
      <c r="H7250" t="str">
        <f>"81329"</f>
        <v>81329</v>
      </c>
      <c r="I7250">
        <v>1</v>
      </c>
      <c r="J7250">
        <v>16</v>
      </c>
      <c r="K7250">
        <v>0</v>
      </c>
      <c r="L7250">
        <v>12.48</v>
      </c>
    </row>
    <row r="7251" spans="1:12" x14ac:dyDescent="0.25">
      <c r="A7251" t="str">
        <f t="shared" si="1588"/>
        <v>89301000</v>
      </c>
      <c r="B7251" t="str">
        <f t="shared" si="1590"/>
        <v>06539000</v>
      </c>
      <c r="C7251" t="str">
        <f>"06539001"</f>
        <v>06539001</v>
      </c>
      <c r="D7251" t="str">
        <f>"801"</f>
        <v>801</v>
      </c>
      <c r="E7251" t="str">
        <f t="shared" si="1591"/>
        <v>89301172</v>
      </c>
      <c r="F7251" t="str">
        <f t="shared" si="1592"/>
        <v>9862195706</v>
      </c>
      <c r="G7251" s="1">
        <v>44729</v>
      </c>
      <c r="H7251" t="str">
        <f>"81331"</f>
        <v>81331</v>
      </c>
      <c r="I7251">
        <v>1</v>
      </c>
      <c r="J7251">
        <v>193</v>
      </c>
      <c r="K7251">
        <v>0</v>
      </c>
      <c r="L7251">
        <v>150.54</v>
      </c>
    </row>
    <row r="7252" spans="1:12" x14ac:dyDescent="0.25">
      <c r="A7252" t="str">
        <f t="shared" si="1588"/>
        <v>89301000</v>
      </c>
      <c r="B7252" t="str">
        <f t="shared" si="1590"/>
        <v>06539000</v>
      </c>
      <c r="C7252" t="str">
        <f t="shared" ref="C7252:C7259" si="1593">"06539002"</f>
        <v>06539002</v>
      </c>
      <c r="D7252" t="str">
        <f t="shared" ref="D7252:D7259" si="1594">"802"</f>
        <v>802</v>
      </c>
      <c r="E7252" t="str">
        <f t="shared" si="1591"/>
        <v>89301172</v>
      </c>
      <c r="F7252" t="str">
        <f t="shared" si="1592"/>
        <v>9862195706</v>
      </c>
      <c r="G7252" s="1">
        <v>44729</v>
      </c>
      <c r="H7252" t="str">
        <f t="shared" ref="H7252:H7259" si="1595">"82097"</f>
        <v>82097</v>
      </c>
      <c r="I7252">
        <v>1</v>
      </c>
      <c r="J7252">
        <v>380</v>
      </c>
      <c r="K7252">
        <v>0</v>
      </c>
      <c r="L7252">
        <v>345.8</v>
      </c>
    </row>
    <row r="7253" spans="1:12" x14ac:dyDescent="0.25">
      <c r="A7253" t="str">
        <f t="shared" si="1588"/>
        <v>89301000</v>
      </c>
      <c r="B7253" t="str">
        <f t="shared" si="1590"/>
        <v>06539000</v>
      </c>
      <c r="C7253" t="str">
        <f t="shared" si="1593"/>
        <v>06539002</v>
      </c>
      <c r="D7253" t="str">
        <f t="shared" si="1594"/>
        <v>802</v>
      </c>
      <c r="E7253" t="str">
        <f t="shared" si="1591"/>
        <v>89301172</v>
      </c>
      <c r="F7253" t="str">
        <f t="shared" si="1592"/>
        <v>9862195706</v>
      </c>
      <c r="G7253" s="1">
        <v>44729</v>
      </c>
      <c r="H7253" t="str">
        <f t="shared" si="1595"/>
        <v>82097</v>
      </c>
      <c r="I7253">
        <v>1</v>
      </c>
      <c r="J7253">
        <v>380</v>
      </c>
      <c r="K7253">
        <v>0</v>
      </c>
      <c r="L7253">
        <v>345.8</v>
      </c>
    </row>
    <row r="7254" spans="1:12" x14ac:dyDescent="0.25">
      <c r="A7254" t="str">
        <f t="shared" si="1588"/>
        <v>89301000</v>
      </c>
      <c r="B7254" t="str">
        <f t="shared" si="1590"/>
        <v>06539000</v>
      </c>
      <c r="C7254" t="str">
        <f t="shared" si="1593"/>
        <v>06539002</v>
      </c>
      <c r="D7254" t="str">
        <f t="shared" si="1594"/>
        <v>802</v>
      </c>
      <c r="E7254" t="str">
        <f t="shared" si="1591"/>
        <v>89301172</v>
      </c>
      <c r="F7254" t="str">
        <f t="shared" si="1592"/>
        <v>9862195706</v>
      </c>
      <c r="G7254" s="1">
        <v>44729</v>
      </c>
      <c r="H7254" t="str">
        <f t="shared" si="1595"/>
        <v>82097</v>
      </c>
      <c r="I7254">
        <v>1</v>
      </c>
      <c r="J7254">
        <v>380</v>
      </c>
      <c r="K7254">
        <v>0</v>
      </c>
      <c r="L7254">
        <v>345.8</v>
      </c>
    </row>
    <row r="7255" spans="1:12" x14ac:dyDescent="0.25">
      <c r="A7255" t="str">
        <f t="shared" si="1588"/>
        <v>89301000</v>
      </c>
      <c r="B7255" t="str">
        <f t="shared" si="1590"/>
        <v>06539000</v>
      </c>
      <c r="C7255" t="str">
        <f t="shared" si="1593"/>
        <v>06539002</v>
      </c>
      <c r="D7255" t="str">
        <f t="shared" si="1594"/>
        <v>802</v>
      </c>
      <c r="E7255" t="str">
        <f t="shared" si="1591"/>
        <v>89301172</v>
      </c>
      <c r="F7255" t="str">
        <f t="shared" si="1592"/>
        <v>9862195706</v>
      </c>
      <c r="G7255" s="1">
        <v>44729</v>
      </c>
      <c r="H7255" t="str">
        <f t="shared" si="1595"/>
        <v>82097</v>
      </c>
      <c r="I7255">
        <v>1</v>
      </c>
      <c r="J7255">
        <v>380</v>
      </c>
      <c r="K7255">
        <v>0</v>
      </c>
      <c r="L7255">
        <v>345.8</v>
      </c>
    </row>
    <row r="7256" spans="1:12" x14ac:dyDescent="0.25">
      <c r="A7256" t="str">
        <f t="shared" si="1588"/>
        <v>89301000</v>
      </c>
      <c r="B7256" t="str">
        <f t="shared" si="1590"/>
        <v>06539000</v>
      </c>
      <c r="C7256" t="str">
        <f t="shared" si="1593"/>
        <v>06539002</v>
      </c>
      <c r="D7256" t="str">
        <f t="shared" si="1594"/>
        <v>802</v>
      </c>
      <c r="E7256" t="str">
        <f t="shared" si="1591"/>
        <v>89301172</v>
      </c>
      <c r="F7256" t="str">
        <f t="shared" si="1592"/>
        <v>9862195706</v>
      </c>
      <c r="G7256" s="1">
        <v>44729</v>
      </c>
      <c r="H7256" t="str">
        <f t="shared" si="1595"/>
        <v>82097</v>
      </c>
      <c r="I7256">
        <v>1</v>
      </c>
      <c r="J7256">
        <v>380</v>
      </c>
      <c r="K7256">
        <v>0</v>
      </c>
      <c r="L7256">
        <v>345.8</v>
      </c>
    </row>
    <row r="7257" spans="1:12" x14ac:dyDescent="0.25">
      <c r="A7257" t="str">
        <f t="shared" si="1588"/>
        <v>89301000</v>
      </c>
      <c r="B7257" t="str">
        <f t="shared" si="1590"/>
        <v>06539000</v>
      </c>
      <c r="C7257" t="str">
        <f t="shared" si="1593"/>
        <v>06539002</v>
      </c>
      <c r="D7257" t="str">
        <f t="shared" si="1594"/>
        <v>802</v>
      </c>
      <c r="E7257" t="str">
        <f t="shared" si="1591"/>
        <v>89301172</v>
      </c>
      <c r="F7257" t="str">
        <f t="shared" si="1592"/>
        <v>9862195706</v>
      </c>
      <c r="G7257" s="1">
        <v>44729</v>
      </c>
      <c r="H7257" t="str">
        <f t="shared" si="1595"/>
        <v>82097</v>
      </c>
      <c r="I7257">
        <v>1</v>
      </c>
      <c r="J7257">
        <v>380</v>
      </c>
      <c r="K7257">
        <v>0</v>
      </c>
      <c r="L7257">
        <v>345.8</v>
      </c>
    </row>
    <row r="7258" spans="1:12" x14ac:dyDescent="0.25">
      <c r="A7258" t="str">
        <f t="shared" si="1588"/>
        <v>89301000</v>
      </c>
      <c r="B7258" t="str">
        <f t="shared" si="1590"/>
        <v>06539000</v>
      </c>
      <c r="C7258" t="str">
        <f t="shared" si="1593"/>
        <v>06539002</v>
      </c>
      <c r="D7258" t="str">
        <f t="shared" si="1594"/>
        <v>802</v>
      </c>
      <c r="E7258" t="str">
        <f t="shared" si="1591"/>
        <v>89301172</v>
      </c>
      <c r="F7258" t="str">
        <f t="shared" si="1592"/>
        <v>9862195706</v>
      </c>
      <c r="G7258" s="1">
        <v>44729</v>
      </c>
      <c r="H7258" t="str">
        <f t="shared" si="1595"/>
        <v>82097</v>
      </c>
      <c r="I7258">
        <v>1</v>
      </c>
      <c r="J7258">
        <v>380</v>
      </c>
      <c r="K7258">
        <v>0</v>
      </c>
      <c r="L7258">
        <v>345.8</v>
      </c>
    </row>
    <row r="7259" spans="1:12" x14ac:dyDescent="0.25">
      <c r="A7259" t="str">
        <f t="shared" si="1588"/>
        <v>89301000</v>
      </c>
      <c r="B7259" t="str">
        <f t="shared" si="1590"/>
        <v>06539000</v>
      </c>
      <c r="C7259" t="str">
        <f t="shared" si="1593"/>
        <v>06539002</v>
      </c>
      <c r="D7259" t="str">
        <f t="shared" si="1594"/>
        <v>802</v>
      </c>
      <c r="E7259" t="str">
        <f t="shared" si="1591"/>
        <v>89301172</v>
      </c>
      <c r="F7259" t="str">
        <f t="shared" si="1592"/>
        <v>9862195706</v>
      </c>
      <c r="G7259" s="1">
        <v>44729</v>
      </c>
      <c r="H7259" t="str">
        <f t="shared" si="1595"/>
        <v>82097</v>
      </c>
      <c r="I7259">
        <v>1</v>
      </c>
      <c r="J7259">
        <v>380</v>
      </c>
      <c r="K7259">
        <v>0</v>
      </c>
      <c r="L7259">
        <v>345.8</v>
      </c>
    </row>
    <row r="7260" spans="1:12" x14ac:dyDescent="0.25">
      <c r="A7260" t="str">
        <f t="shared" si="1588"/>
        <v>89301000</v>
      </c>
      <c r="B7260" t="str">
        <f t="shared" si="1590"/>
        <v>06539000</v>
      </c>
      <c r="C7260" t="str">
        <f t="shared" ref="C7260:C7291" si="1596">"06539003"</f>
        <v>06539003</v>
      </c>
      <c r="D7260" t="str">
        <f t="shared" ref="D7260:D7291" si="1597">"813"</f>
        <v>813</v>
      </c>
      <c r="E7260" t="str">
        <f t="shared" si="1591"/>
        <v>89301172</v>
      </c>
      <c r="F7260" t="str">
        <f t="shared" si="1592"/>
        <v>9862195706</v>
      </c>
      <c r="G7260" s="1">
        <v>44734</v>
      </c>
      <c r="H7260" t="str">
        <f t="shared" ref="H7260:H7269" si="1598">"91413"</f>
        <v>91413</v>
      </c>
      <c r="I7260">
        <v>1</v>
      </c>
      <c r="J7260">
        <v>853</v>
      </c>
      <c r="K7260">
        <v>0</v>
      </c>
      <c r="L7260">
        <v>665.34</v>
      </c>
    </row>
    <row r="7261" spans="1:12" x14ac:dyDescent="0.25">
      <c r="A7261" t="str">
        <f t="shared" si="1588"/>
        <v>89301000</v>
      </c>
      <c r="B7261" t="str">
        <f t="shared" si="1590"/>
        <v>06539000</v>
      </c>
      <c r="C7261" t="str">
        <f t="shared" si="1596"/>
        <v>06539003</v>
      </c>
      <c r="D7261" t="str">
        <f t="shared" si="1597"/>
        <v>813</v>
      </c>
      <c r="E7261" t="str">
        <f t="shared" si="1591"/>
        <v>89301172</v>
      </c>
      <c r="F7261" t="str">
        <f t="shared" si="1592"/>
        <v>9862195706</v>
      </c>
      <c r="G7261" s="1">
        <v>44734</v>
      </c>
      <c r="H7261" t="str">
        <f t="shared" si="1598"/>
        <v>91413</v>
      </c>
      <c r="I7261">
        <v>1</v>
      </c>
      <c r="J7261">
        <v>853</v>
      </c>
      <c r="K7261">
        <v>0</v>
      </c>
      <c r="L7261">
        <v>665.34</v>
      </c>
    </row>
    <row r="7262" spans="1:12" x14ac:dyDescent="0.25">
      <c r="A7262" t="str">
        <f t="shared" si="1588"/>
        <v>89301000</v>
      </c>
      <c r="B7262" t="str">
        <f t="shared" si="1590"/>
        <v>06539000</v>
      </c>
      <c r="C7262" t="str">
        <f t="shared" si="1596"/>
        <v>06539003</v>
      </c>
      <c r="D7262" t="str">
        <f t="shared" si="1597"/>
        <v>813</v>
      </c>
      <c r="E7262" t="str">
        <f t="shared" si="1591"/>
        <v>89301172</v>
      </c>
      <c r="F7262" t="str">
        <f t="shared" si="1592"/>
        <v>9862195706</v>
      </c>
      <c r="G7262" s="1">
        <v>44743</v>
      </c>
      <c r="H7262" t="str">
        <f t="shared" si="1598"/>
        <v>91413</v>
      </c>
      <c r="I7262">
        <v>1</v>
      </c>
      <c r="J7262">
        <v>853</v>
      </c>
      <c r="K7262">
        <v>0</v>
      </c>
      <c r="L7262">
        <v>665.34</v>
      </c>
    </row>
    <row r="7263" spans="1:12" x14ac:dyDescent="0.25">
      <c r="A7263" t="str">
        <f t="shared" si="1588"/>
        <v>89301000</v>
      </c>
      <c r="B7263" t="str">
        <f t="shared" si="1590"/>
        <v>06539000</v>
      </c>
      <c r="C7263" t="str">
        <f t="shared" si="1596"/>
        <v>06539003</v>
      </c>
      <c r="D7263" t="str">
        <f t="shared" si="1597"/>
        <v>813</v>
      </c>
      <c r="E7263" t="str">
        <f t="shared" si="1591"/>
        <v>89301172</v>
      </c>
      <c r="F7263" t="str">
        <f t="shared" si="1592"/>
        <v>9862195706</v>
      </c>
      <c r="G7263" s="1">
        <v>44743</v>
      </c>
      <c r="H7263" t="str">
        <f t="shared" si="1598"/>
        <v>91413</v>
      </c>
      <c r="I7263">
        <v>1</v>
      </c>
      <c r="J7263">
        <v>853</v>
      </c>
      <c r="K7263">
        <v>0</v>
      </c>
      <c r="L7263">
        <v>665.34</v>
      </c>
    </row>
    <row r="7264" spans="1:12" x14ac:dyDescent="0.25">
      <c r="A7264" t="str">
        <f t="shared" si="1588"/>
        <v>89301000</v>
      </c>
      <c r="B7264" t="str">
        <f t="shared" si="1590"/>
        <v>06539000</v>
      </c>
      <c r="C7264" t="str">
        <f t="shared" si="1596"/>
        <v>06539003</v>
      </c>
      <c r="D7264" t="str">
        <f t="shared" si="1597"/>
        <v>813</v>
      </c>
      <c r="E7264" t="str">
        <f t="shared" si="1591"/>
        <v>89301172</v>
      </c>
      <c r="F7264" t="str">
        <f t="shared" si="1592"/>
        <v>9862195706</v>
      </c>
      <c r="G7264" s="1">
        <v>44742</v>
      </c>
      <c r="H7264" t="str">
        <f t="shared" si="1598"/>
        <v>91413</v>
      </c>
      <c r="I7264">
        <v>1</v>
      </c>
      <c r="J7264">
        <v>853</v>
      </c>
      <c r="K7264">
        <v>0</v>
      </c>
      <c r="L7264">
        <v>665.34</v>
      </c>
    </row>
    <row r="7265" spans="1:12" x14ac:dyDescent="0.25">
      <c r="A7265" t="str">
        <f t="shared" si="1588"/>
        <v>89301000</v>
      </c>
      <c r="B7265" t="str">
        <f t="shared" si="1590"/>
        <v>06539000</v>
      </c>
      <c r="C7265" t="str">
        <f t="shared" si="1596"/>
        <v>06539003</v>
      </c>
      <c r="D7265" t="str">
        <f t="shared" si="1597"/>
        <v>813</v>
      </c>
      <c r="E7265" t="str">
        <f t="shared" si="1591"/>
        <v>89301172</v>
      </c>
      <c r="F7265" t="str">
        <f t="shared" si="1592"/>
        <v>9862195706</v>
      </c>
      <c r="G7265" s="1">
        <v>44742</v>
      </c>
      <c r="H7265" t="str">
        <f t="shared" si="1598"/>
        <v>91413</v>
      </c>
      <c r="I7265">
        <v>1</v>
      </c>
      <c r="J7265">
        <v>853</v>
      </c>
      <c r="K7265">
        <v>0</v>
      </c>
      <c r="L7265">
        <v>665.34</v>
      </c>
    </row>
    <row r="7266" spans="1:12" x14ac:dyDescent="0.25">
      <c r="A7266" t="str">
        <f t="shared" si="1588"/>
        <v>89301000</v>
      </c>
      <c r="B7266" t="str">
        <f t="shared" si="1590"/>
        <v>06539000</v>
      </c>
      <c r="C7266" t="str">
        <f t="shared" si="1596"/>
        <v>06539003</v>
      </c>
      <c r="D7266" t="str">
        <f t="shared" si="1597"/>
        <v>813</v>
      </c>
      <c r="E7266" t="str">
        <f t="shared" si="1591"/>
        <v>89301172</v>
      </c>
      <c r="F7266" t="str">
        <f t="shared" si="1592"/>
        <v>9862195706</v>
      </c>
      <c r="G7266" s="1">
        <v>44743</v>
      </c>
      <c r="H7266" t="str">
        <f t="shared" si="1598"/>
        <v>91413</v>
      </c>
      <c r="I7266">
        <v>1</v>
      </c>
      <c r="J7266">
        <v>853</v>
      </c>
      <c r="K7266">
        <v>0</v>
      </c>
      <c r="L7266">
        <v>665.34</v>
      </c>
    </row>
    <row r="7267" spans="1:12" x14ac:dyDescent="0.25">
      <c r="A7267" t="str">
        <f t="shared" si="1588"/>
        <v>89301000</v>
      </c>
      <c r="B7267" t="str">
        <f t="shared" si="1590"/>
        <v>06539000</v>
      </c>
      <c r="C7267" t="str">
        <f t="shared" si="1596"/>
        <v>06539003</v>
      </c>
      <c r="D7267" t="str">
        <f t="shared" si="1597"/>
        <v>813</v>
      </c>
      <c r="E7267" t="str">
        <f t="shared" si="1591"/>
        <v>89301172</v>
      </c>
      <c r="F7267" t="str">
        <f t="shared" si="1592"/>
        <v>9862195706</v>
      </c>
      <c r="G7267" s="1">
        <v>44743</v>
      </c>
      <c r="H7267" t="str">
        <f t="shared" si="1598"/>
        <v>91413</v>
      </c>
      <c r="I7267">
        <v>1</v>
      </c>
      <c r="J7267">
        <v>853</v>
      </c>
      <c r="K7267">
        <v>0</v>
      </c>
      <c r="L7267">
        <v>665.34</v>
      </c>
    </row>
    <row r="7268" spans="1:12" x14ac:dyDescent="0.25">
      <c r="A7268" t="str">
        <f t="shared" si="1588"/>
        <v>89301000</v>
      </c>
      <c r="B7268" t="str">
        <f t="shared" si="1590"/>
        <v>06539000</v>
      </c>
      <c r="C7268" t="str">
        <f t="shared" si="1596"/>
        <v>06539003</v>
      </c>
      <c r="D7268" t="str">
        <f t="shared" si="1597"/>
        <v>813</v>
      </c>
      <c r="E7268" t="str">
        <f t="shared" si="1591"/>
        <v>89301172</v>
      </c>
      <c r="F7268" t="str">
        <f t="shared" si="1592"/>
        <v>9862195706</v>
      </c>
      <c r="G7268" s="1">
        <v>44743</v>
      </c>
      <c r="H7268" t="str">
        <f t="shared" si="1598"/>
        <v>91413</v>
      </c>
      <c r="I7268">
        <v>1</v>
      </c>
      <c r="J7268">
        <v>853</v>
      </c>
      <c r="K7268">
        <v>0</v>
      </c>
      <c r="L7268">
        <v>665.34</v>
      </c>
    </row>
    <row r="7269" spans="1:12" x14ac:dyDescent="0.25">
      <c r="A7269" t="str">
        <f t="shared" si="1588"/>
        <v>89301000</v>
      </c>
      <c r="B7269" t="str">
        <f t="shared" si="1590"/>
        <v>06539000</v>
      </c>
      <c r="C7269" t="str">
        <f t="shared" si="1596"/>
        <v>06539003</v>
      </c>
      <c r="D7269" t="str">
        <f t="shared" si="1597"/>
        <v>813</v>
      </c>
      <c r="E7269" t="str">
        <f t="shared" si="1591"/>
        <v>89301172</v>
      </c>
      <c r="F7269" t="str">
        <f t="shared" si="1592"/>
        <v>9862195706</v>
      </c>
      <c r="G7269" s="1">
        <v>44743</v>
      </c>
      <c r="H7269" t="str">
        <f t="shared" si="1598"/>
        <v>91413</v>
      </c>
      <c r="I7269">
        <v>1</v>
      </c>
      <c r="J7269">
        <v>853</v>
      </c>
      <c r="K7269">
        <v>0</v>
      </c>
      <c r="L7269">
        <v>665.34</v>
      </c>
    </row>
    <row r="7270" spans="1:12" x14ac:dyDescent="0.25">
      <c r="A7270" t="str">
        <f t="shared" si="1588"/>
        <v>89301000</v>
      </c>
      <c r="B7270" t="str">
        <f t="shared" si="1590"/>
        <v>06539000</v>
      </c>
      <c r="C7270" t="str">
        <f t="shared" si="1596"/>
        <v>06539003</v>
      </c>
      <c r="D7270" t="str">
        <f t="shared" si="1597"/>
        <v>813</v>
      </c>
      <c r="E7270" t="str">
        <f t="shared" si="1591"/>
        <v>89301172</v>
      </c>
      <c r="F7270" t="str">
        <f t="shared" si="1592"/>
        <v>9862195706</v>
      </c>
      <c r="G7270" s="1">
        <v>44729</v>
      </c>
      <c r="H7270" t="str">
        <f t="shared" ref="H7270:H7276" si="1599">"91197"</f>
        <v>91197</v>
      </c>
      <c r="I7270">
        <v>1</v>
      </c>
      <c r="J7270">
        <v>1046</v>
      </c>
      <c r="K7270">
        <v>0</v>
      </c>
      <c r="L7270">
        <v>815.88</v>
      </c>
    </row>
    <row r="7271" spans="1:12" x14ac:dyDescent="0.25">
      <c r="A7271" t="str">
        <f t="shared" si="1588"/>
        <v>89301000</v>
      </c>
      <c r="B7271" t="str">
        <f t="shared" si="1590"/>
        <v>06539000</v>
      </c>
      <c r="C7271" t="str">
        <f t="shared" si="1596"/>
        <v>06539003</v>
      </c>
      <c r="D7271" t="str">
        <f t="shared" si="1597"/>
        <v>813</v>
      </c>
      <c r="E7271" t="str">
        <f t="shared" si="1591"/>
        <v>89301172</v>
      </c>
      <c r="F7271" t="str">
        <f t="shared" si="1592"/>
        <v>9862195706</v>
      </c>
      <c r="G7271" s="1">
        <v>44732</v>
      </c>
      <c r="H7271" t="str">
        <f t="shared" si="1599"/>
        <v>91197</v>
      </c>
      <c r="I7271">
        <v>1</v>
      </c>
      <c r="J7271">
        <v>1046</v>
      </c>
      <c r="K7271">
        <v>0</v>
      </c>
      <c r="L7271">
        <v>815.88</v>
      </c>
    </row>
    <row r="7272" spans="1:12" x14ac:dyDescent="0.25">
      <c r="A7272" t="str">
        <f t="shared" si="1588"/>
        <v>89301000</v>
      </c>
      <c r="B7272" t="str">
        <f t="shared" si="1590"/>
        <v>06539000</v>
      </c>
      <c r="C7272" t="str">
        <f t="shared" si="1596"/>
        <v>06539003</v>
      </c>
      <c r="D7272" t="str">
        <f t="shared" si="1597"/>
        <v>813</v>
      </c>
      <c r="E7272" t="str">
        <f t="shared" si="1591"/>
        <v>89301172</v>
      </c>
      <c r="F7272" t="str">
        <f t="shared" si="1592"/>
        <v>9862195706</v>
      </c>
      <c r="G7272" s="1">
        <v>44732</v>
      </c>
      <c r="H7272" t="str">
        <f t="shared" si="1599"/>
        <v>91197</v>
      </c>
      <c r="I7272">
        <v>1</v>
      </c>
      <c r="J7272">
        <v>1046</v>
      </c>
      <c r="K7272">
        <v>0</v>
      </c>
      <c r="L7272">
        <v>815.88</v>
      </c>
    </row>
    <row r="7273" spans="1:12" x14ac:dyDescent="0.25">
      <c r="A7273" t="str">
        <f t="shared" si="1588"/>
        <v>89301000</v>
      </c>
      <c r="B7273" t="str">
        <f t="shared" si="1590"/>
        <v>06539000</v>
      </c>
      <c r="C7273" t="str">
        <f t="shared" si="1596"/>
        <v>06539003</v>
      </c>
      <c r="D7273" t="str">
        <f t="shared" si="1597"/>
        <v>813</v>
      </c>
      <c r="E7273" t="str">
        <f t="shared" si="1591"/>
        <v>89301172</v>
      </c>
      <c r="F7273" t="str">
        <f t="shared" si="1592"/>
        <v>9862195706</v>
      </c>
      <c r="G7273" s="1">
        <v>44731</v>
      </c>
      <c r="H7273" t="str">
        <f t="shared" si="1599"/>
        <v>91197</v>
      </c>
      <c r="I7273">
        <v>1</v>
      </c>
      <c r="J7273">
        <v>1046</v>
      </c>
      <c r="K7273">
        <v>0</v>
      </c>
      <c r="L7273">
        <v>815.88</v>
      </c>
    </row>
    <row r="7274" spans="1:12" x14ac:dyDescent="0.25">
      <c r="A7274" t="str">
        <f t="shared" si="1588"/>
        <v>89301000</v>
      </c>
      <c r="B7274" t="str">
        <f t="shared" si="1590"/>
        <v>06539000</v>
      </c>
      <c r="C7274" t="str">
        <f t="shared" si="1596"/>
        <v>06539003</v>
      </c>
      <c r="D7274" t="str">
        <f t="shared" si="1597"/>
        <v>813</v>
      </c>
      <c r="E7274" t="str">
        <f t="shared" si="1591"/>
        <v>89301172</v>
      </c>
      <c r="F7274" t="str">
        <f t="shared" si="1592"/>
        <v>9862195706</v>
      </c>
      <c r="G7274" s="1">
        <v>44731</v>
      </c>
      <c r="H7274" t="str">
        <f t="shared" si="1599"/>
        <v>91197</v>
      </c>
      <c r="I7274">
        <v>1</v>
      </c>
      <c r="J7274">
        <v>1046</v>
      </c>
      <c r="K7274">
        <v>0</v>
      </c>
      <c r="L7274">
        <v>815.88</v>
      </c>
    </row>
    <row r="7275" spans="1:12" x14ac:dyDescent="0.25">
      <c r="A7275" t="str">
        <f t="shared" si="1588"/>
        <v>89301000</v>
      </c>
      <c r="B7275" t="str">
        <f t="shared" si="1590"/>
        <v>06539000</v>
      </c>
      <c r="C7275" t="str">
        <f t="shared" si="1596"/>
        <v>06539003</v>
      </c>
      <c r="D7275" t="str">
        <f t="shared" si="1597"/>
        <v>813</v>
      </c>
      <c r="E7275" t="str">
        <f t="shared" si="1591"/>
        <v>89301172</v>
      </c>
      <c r="F7275" t="str">
        <f t="shared" si="1592"/>
        <v>9862195706</v>
      </c>
      <c r="G7275" s="1">
        <v>44730</v>
      </c>
      <c r="H7275" t="str">
        <f t="shared" si="1599"/>
        <v>91197</v>
      </c>
      <c r="I7275">
        <v>1</v>
      </c>
      <c r="J7275">
        <v>1046</v>
      </c>
      <c r="K7275">
        <v>0</v>
      </c>
      <c r="L7275">
        <v>815.88</v>
      </c>
    </row>
    <row r="7276" spans="1:12" x14ac:dyDescent="0.25">
      <c r="A7276" t="str">
        <f t="shared" si="1588"/>
        <v>89301000</v>
      </c>
      <c r="B7276" t="str">
        <f t="shared" si="1590"/>
        <v>06539000</v>
      </c>
      <c r="C7276" t="str">
        <f t="shared" si="1596"/>
        <v>06539003</v>
      </c>
      <c r="D7276" t="str">
        <f t="shared" si="1597"/>
        <v>813</v>
      </c>
      <c r="E7276" t="str">
        <f t="shared" si="1591"/>
        <v>89301172</v>
      </c>
      <c r="F7276" t="str">
        <f t="shared" si="1592"/>
        <v>9862195706</v>
      </c>
      <c r="G7276" s="1">
        <v>44730</v>
      </c>
      <c r="H7276" t="str">
        <f t="shared" si="1599"/>
        <v>91197</v>
      </c>
      <c r="I7276">
        <v>1</v>
      </c>
      <c r="J7276">
        <v>1046</v>
      </c>
      <c r="K7276">
        <v>0</v>
      </c>
      <c r="L7276">
        <v>815.88</v>
      </c>
    </row>
    <row r="7277" spans="1:12" x14ac:dyDescent="0.25">
      <c r="A7277" t="str">
        <f t="shared" si="1588"/>
        <v>89301000</v>
      </c>
      <c r="B7277" t="str">
        <f t="shared" si="1590"/>
        <v>06539000</v>
      </c>
      <c r="C7277" t="str">
        <f t="shared" si="1596"/>
        <v>06539003</v>
      </c>
      <c r="D7277" t="str">
        <f t="shared" si="1597"/>
        <v>813</v>
      </c>
      <c r="E7277" t="str">
        <f t="shared" si="1591"/>
        <v>89301172</v>
      </c>
      <c r="F7277" t="str">
        <f t="shared" si="1592"/>
        <v>9862195706</v>
      </c>
      <c r="G7277" s="1">
        <v>44743</v>
      </c>
      <c r="H7277" t="str">
        <f>"91329"</f>
        <v>91329</v>
      </c>
      <c r="I7277">
        <v>2</v>
      </c>
      <c r="J7277">
        <v>428</v>
      </c>
      <c r="K7277">
        <v>0</v>
      </c>
      <c r="L7277">
        <v>333.84</v>
      </c>
    </row>
    <row r="7278" spans="1:12" x14ac:dyDescent="0.25">
      <c r="A7278" t="str">
        <f t="shared" si="1588"/>
        <v>89301000</v>
      </c>
      <c r="B7278" t="str">
        <f t="shared" si="1590"/>
        <v>06539000</v>
      </c>
      <c r="C7278" t="str">
        <f t="shared" si="1596"/>
        <v>06539003</v>
      </c>
      <c r="D7278" t="str">
        <f t="shared" si="1597"/>
        <v>813</v>
      </c>
      <c r="E7278" t="str">
        <f t="shared" si="1591"/>
        <v>89301172</v>
      </c>
      <c r="F7278" t="str">
        <f t="shared" si="1592"/>
        <v>9862195706</v>
      </c>
      <c r="G7278" s="1">
        <v>44743</v>
      </c>
      <c r="H7278" t="str">
        <f>"91329"</f>
        <v>91329</v>
      </c>
      <c r="I7278">
        <v>2</v>
      </c>
      <c r="J7278">
        <v>428</v>
      </c>
      <c r="K7278">
        <v>0</v>
      </c>
      <c r="L7278">
        <v>333.84</v>
      </c>
    </row>
    <row r="7279" spans="1:12" x14ac:dyDescent="0.25">
      <c r="A7279" t="str">
        <f t="shared" si="1588"/>
        <v>89301000</v>
      </c>
      <c r="B7279" t="str">
        <f t="shared" si="1590"/>
        <v>06539000</v>
      </c>
      <c r="C7279" t="str">
        <f t="shared" si="1596"/>
        <v>06539003</v>
      </c>
      <c r="D7279" t="str">
        <f t="shared" si="1597"/>
        <v>813</v>
      </c>
      <c r="E7279" t="str">
        <f t="shared" si="1591"/>
        <v>89301172</v>
      </c>
      <c r="F7279" t="str">
        <f t="shared" si="1592"/>
        <v>9862195706</v>
      </c>
      <c r="G7279" s="1">
        <v>44743</v>
      </c>
      <c r="H7279" t="str">
        <f>"91329"</f>
        <v>91329</v>
      </c>
      <c r="I7279">
        <v>2</v>
      </c>
      <c r="J7279">
        <v>428</v>
      </c>
      <c r="K7279">
        <v>0</v>
      </c>
      <c r="L7279">
        <v>333.84</v>
      </c>
    </row>
    <row r="7280" spans="1:12" x14ac:dyDescent="0.25">
      <c r="A7280" t="str">
        <f t="shared" si="1588"/>
        <v>89301000</v>
      </c>
      <c r="B7280" t="str">
        <f t="shared" si="1590"/>
        <v>06539000</v>
      </c>
      <c r="C7280" t="str">
        <f t="shared" si="1596"/>
        <v>06539003</v>
      </c>
      <c r="D7280" t="str">
        <f t="shared" si="1597"/>
        <v>813</v>
      </c>
      <c r="E7280" t="str">
        <f t="shared" si="1591"/>
        <v>89301172</v>
      </c>
      <c r="F7280" t="str">
        <f t="shared" si="1592"/>
        <v>9862195706</v>
      </c>
      <c r="G7280" s="1">
        <v>44732</v>
      </c>
      <c r="H7280" t="str">
        <f>"91329"</f>
        <v>91329</v>
      </c>
      <c r="I7280">
        <v>2</v>
      </c>
      <c r="J7280">
        <v>428</v>
      </c>
      <c r="K7280">
        <v>0</v>
      </c>
      <c r="L7280">
        <v>333.84</v>
      </c>
    </row>
    <row r="7281" spans="1:12" x14ac:dyDescent="0.25">
      <c r="A7281" t="str">
        <f t="shared" si="1588"/>
        <v>89301000</v>
      </c>
      <c r="B7281" t="str">
        <f t="shared" si="1590"/>
        <v>06539000</v>
      </c>
      <c r="C7281" t="str">
        <f t="shared" si="1596"/>
        <v>06539003</v>
      </c>
      <c r="D7281" t="str">
        <f t="shared" si="1597"/>
        <v>813</v>
      </c>
      <c r="E7281" t="str">
        <f t="shared" si="1591"/>
        <v>89301172</v>
      </c>
      <c r="F7281" t="str">
        <f t="shared" si="1592"/>
        <v>9862195706</v>
      </c>
      <c r="G7281" s="1">
        <v>44729</v>
      </c>
      <c r="H7281" t="str">
        <f>"91129"</f>
        <v>91129</v>
      </c>
      <c r="I7281">
        <v>1</v>
      </c>
      <c r="J7281">
        <v>174</v>
      </c>
      <c r="K7281">
        <v>0</v>
      </c>
      <c r="L7281">
        <v>135.72</v>
      </c>
    </row>
    <row r="7282" spans="1:12" x14ac:dyDescent="0.25">
      <c r="A7282" t="str">
        <f t="shared" si="1588"/>
        <v>89301000</v>
      </c>
      <c r="B7282" t="str">
        <f t="shared" si="1590"/>
        <v>06539000</v>
      </c>
      <c r="C7282" t="str">
        <f t="shared" si="1596"/>
        <v>06539003</v>
      </c>
      <c r="D7282" t="str">
        <f t="shared" si="1597"/>
        <v>813</v>
      </c>
      <c r="E7282" t="str">
        <f t="shared" ref="E7282:E7313" si="1600">"89301172"</f>
        <v>89301172</v>
      </c>
      <c r="F7282" t="str">
        <f t="shared" si="1592"/>
        <v>9862195706</v>
      </c>
      <c r="G7282" s="1">
        <v>44729</v>
      </c>
      <c r="H7282" t="str">
        <f>"91131"</f>
        <v>91131</v>
      </c>
      <c r="I7282">
        <v>1</v>
      </c>
      <c r="J7282">
        <v>171</v>
      </c>
      <c r="K7282">
        <v>0</v>
      </c>
      <c r="L7282">
        <v>133.38</v>
      </c>
    </row>
    <row r="7283" spans="1:12" x14ac:dyDescent="0.25">
      <c r="A7283" t="str">
        <f t="shared" si="1588"/>
        <v>89301000</v>
      </c>
      <c r="B7283" t="str">
        <f t="shared" si="1590"/>
        <v>06539000</v>
      </c>
      <c r="C7283" t="str">
        <f t="shared" si="1596"/>
        <v>06539003</v>
      </c>
      <c r="D7283" t="str">
        <f t="shared" si="1597"/>
        <v>813</v>
      </c>
      <c r="E7283" t="str">
        <f t="shared" si="1600"/>
        <v>89301172</v>
      </c>
      <c r="F7283" t="str">
        <f t="shared" si="1592"/>
        <v>9862195706</v>
      </c>
      <c r="G7283" s="1">
        <v>44729</v>
      </c>
      <c r="H7283" t="str">
        <f>"91133"</f>
        <v>91133</v>
      </c>
      <c r="I7283">
        <v>1</v>
      </c>
      <c r="J7283">
        <v>176</v>
      </c>
      <c r="K7283">
        <v>0</v>
      </c>
      <c r="L7283">
        <v>137.28</v>
      </c>
    </row>
    <row r="7284" spans="1:12" x14ac:dyDescent="0.25">
      <c r="A7284" t="str">
        <f t="shared" si="1588"/>
        <v>89301000</v>
      </c>
      <c r="B7284" t="str">
        <f t="shared" si="1590"/>
        <v>06539000</v>
      </c>
      <c r="C7284" t="str">
        <f t="shared" si="1596"/>
        <v>06539003</v>
      </c>
      <c r="D7284" t="str">
        <f t="shared" si="1597"/>
        <v>813</v>
      </c>
      <c r="E7284" t="str">
        <f t="shared" si="1600"/>
        <v>89301172</v>
      </c>
      <c r="F7284" t="str">
        <f t="shared" si="1592"/>
        <v>9862195706</v>
      </c>
      <c r="G7284" s="1">
        <v>44729</v>
      </c>
      <c r="H7284" t="str">
        <f>"91171"</f>
        <v>91171</v>
      </c>
      <c r="I7284">
        <v>1</v>
      </c>
      <c r="J7284">
        <v>360</v>
      </c>
      <c r="K7284">
        <v>0</v>
      </c>
      <c r="L7284">
        <v>280.8</v>
      </c>
    </row>
    <row r="7285" spans="1:12" x14ac:dyDescent="0.25">
      <c r="A7285" t="str">
        <f t="shared" si="1588"/>
        <v>89301000</v>
      </c>
      <c r="B7285" t="str">
        <f t="shared" si="1590"/>
        <v>06539000</v>
      </c>
      <c r="C7285" t="str">
        <f t="shared" si="1596"/>
        <v>06539003</v>
      </c>
      <c r="D7285" t="str">
        <f t="shared" si="1597"/>
        <v>813</v>
      </c>
      <c r="E7285" t="str">
        <f t="shared" si="1600"/>
        <v>89301172</v>
      </c>
      <c r="F7285" t="str">
        <f t="shared" si="1592"/>
        <v>9862195706</v>
      </c>
      <c r="G7285" s="1">
        <v>44729</v>
      </c>
      <c r="H7285" t="str">
        <f>"91173"</f>
        <v>91173</v>
      </c>
      <c r="I7285">
        <v>1</v>
      </c>
      <c r="J7285">
        <v>335</v>
      </c>
      <c r="K7285">
        <v>0</v>
      </c>
      <c r="L7285">
        <v>261.3</v>
      </c>
    </row>
    <row r="7286" spans="1:12" x14ac:dyDescent="0.25">
      <c r="A7286" t="str">
        <f t="shared" si="1588"/>
        <v>89301000</v>
      </c>
      <c r="B7286" t="str">
        <f t="shared" si="1590"/>
        <v>06539000</v>
      </c>
      <c r="C7286" t="str">
        <f t="shared" si="1596"/>
        <v>06539003</v>
      </c>
      <c r="D7286" t="str">
        <f t="shared" si="1597"/>
        <v>813</v>
      </c>
      <c r="E7286" t="str">
        <f t="shared" si="1600"/>
        <v>89301172</v>
      </c>
      <c r="F7286" t="str">
        <f t="shared" si="1592"/>
        <v>9862195706</v>
      </c>
      <c r="G7286" s="1">
        <v>44729</v>
      </c>
      <c r="H7286" t="str">
        <f>"91175"</f>
        <v>91175</v>
      </c>
      <c r="I7286">
        <v>1</v>
      </c>
      <c r="J7286">
        <v>360</v>
      </c>
      <c r="K7286">
        <v>0</v>
      </c>
      <c r="L7286">
        <v>280.8</v>
      </c>
    </row>
    <row r="7287" spans="1:12" x14ac:dyDescent="0.25">
      <c r="A7287" t="str">
        <f t="shared" si="1588"/>
        <v>89301000</v>
      </c>
      <c r="B7287" t="str">
        <f t="shared" si="1590"/>
        <v>06539000</v>
      </c>
      <c r="C7287" t="str">
        <f t="shared" si="1596"/>
        <v>06539003</v>
      </c>
      <c r="D7287" t="str">
        <f t="shared" si="1597"/>
        <v>813</v>
      </c>
      <c r="E7287" t="str">
        <f t="shared" si="1600"/>
        <v>89301172</v>
      </c>
      <c r="F7287" t="str">
        <f t="shared" si="1592"/>
        <v>9862195706</v>
      </c>
      <c r="G7287" s="1">
        <v>44730</v>
      </c>
      <c r="H7287" t="str">
        <f>"91167"</f>
        <v>91167</v>
      </c>
      <c r="I7287">
        <v>1</v>
      </c>
      <c r="J7287">
        <v>425</v>
      </c>
      <c r="K7287">
        <v>0</v>
      </c>
      <c r="L7287">
        <v>331.5</v>
      </c>
    </row>
    <row r="7288" spans="1:12" x14ac:dyDescent="0.25">
      <c r="A7288" t="str">
        <f t="shared" si="1588"/>
        <v>89301000</v>
      </c>
      <c r="B7288" t="str">
        <f t="shared" si="1590"/>
        <v>06539000</v>
      </c>
      <c r="C7288" t="str">
        <f t="shared" si="1596"/>
        <v>06539003</v>
      </c>
      <c r="D7288" t="str">
        <f t="shared" si="1597"/>
        <v>813</v>
      </c>
      <c r="E7288" t="str">
        <f t="shared" si="1600"/>
        <v>89301172</v>
      </c>
      <c r="F7288" t="str">
        <f t="shared" si="1592"/>
        <v>9862195706</v>
      </c>
      <c r="G7288" s="1">
        <v>44730</v>
      </c>
      <c r="H7288" t="str">
        <f>"91169"</f>
        <v>91169</v>
      </c>
      <c r="I7288">
        <v>1</v>
      </c>
      <c r="J7288">
        <v>425</v>
      </c>
      <c r="K7288">
        <v>0</v>
      </c>
      <c r="L7288">
        <v>331.5</v>
      </c>
    </row>
    <row r="7289" spans="1:12" x14ac:dyDescent="0.25">
      <c r="A7289" t="str">
        <f t="shared" si="1588"/>
        <v>89301000</v>
      </c>
      <c r="B7289" t="str">
        <f t="shared" si="1590"/>
        <v>06539000</v>
      </c>
      <c r="C7289" t="str">
        <f t="shared" si="1596"/>
        <v>06539003</v>
      </c>
      <c r="D7289" t="str">
        <f t="shared" si="1597"/>
        <v>813</v>
      </c>
      <c r="E7289" t="str">
        <f t="shared" si="1600"/>
        <v>89301172</v>
      </c>
      <c r="F7289" t="str">
        <f t="shared" si="1592"/>
        <v>9862195706</v>
      </c>
      <c r="G7289" s="1">
        <v>44729</v>
      </c>
      <c r="H7289" t="str">
        <f>"91167"</f>
        <v>91167</v>
      </c>
      <c r="I7289">
        <v>1</v>
      </c>
      <c r="J7289">
        <v>425</v>
      </c>
      <c r="K7289">
        <v>0</v>
      </c>
      <c r="L7289">
        <v>331.5</v>
      </c>
    </row>
    <row r="7290" spans="1:12" x14ac:dyDescent="0.25">
      <c r="A7290" t="str">
        <f t="shared" si="1588"/>
        <v>89301000</v>
      </c>
      <c r="B7290" t="str">
        <f t="shared" si="1590"/>
        <v>06539000</v>
      </c>
      <c r="C7290" t="str">
        <f t="shared" si="1596"/>
        <v>06539003</v>
      </c>
      <c r="D7290" t="str">
        <f t="shared" si="1597"/>
        <v>813</v>
      </c>
      <c r="E7290" t="str">
        <f t="shared" si="1600"/>
        <v>89301172</v>
      </c>
      <c r="F7290" t="str">
        <f t="shared" si="1592"/>
        <v>9862195706</v>
      </c>
      <c r="G7290" s="1">
        <v>44729</v>
      </c>
      <c r="H7290" t="str">
        <f>"91169"</f>
        <v>91169</v>
      </c>
      <c r="I7290">
        <v>1</v>
      </c>
      <c r="J7290">
        <v>425</v>
      </c>
      <c r="K7290">
        <v>0</v>
      </c>
      <c r="L7290">
        <v>331.5</v>
      </c>
    </row>
    <row r="7291" spans="1:12" x14ac:dyDescent="0.25">
      <c r="A7291" t="str">
        <f t="shared" si="1588"/>
        <v>89301000</v>
      </c>
      <c r="B7291" t="str">
        <f t="shared" si="1590"/>
        <v>06539000</v>
      </c>
      <c r="C7291" t="str">
        <f t="shared" si="1596"/>
        <v>06539003</v>
      </c>
      <c r="D7291" t="str">
        <f t="shared" si="1597"/>
        <v>813</v>
      </c>
      <c r="E7291" t="str">
        <f t="shared" si="1600"/>
        <v>89301172</v>
      </c>
      <c r="F7291" t="str">
        <f t="shared" si="1592"/>
        <v>9862195706</v>
      </c>
      <c r="G7291" s="1">
        <v>44729</v>
      </c>
      <c r="H7291" t="str">
        <f>"91475"</f>
        <v>91475</v>
      </c>
      <c r="I7291">
        <v>1</v>
      </c>
      <c r="J7291">
        <v>206</v>
      </c>
      <c r="K7291">
        <v>0</v>
      </c>
      <c r="L7291">
        <v>160.68</v>
      </c>
    </row>
    <row r="7292" spans="1:12" x14ac:dyDescent="0.25">
      <c r="A7292" t="str">
        <f t="shared" si="1588"/>
        <v>89301000</v>
      </c>
      <c r="B7292" t="str">
        <f t="shared" si="1590"/>
        <v>06539000</v>
      </c>
      <c r="C7292" t="str">
        <f>"06539001"</f>
        <v>06539001</v>
      </c>
      <c r="D7292" t="str">
        <f>"801"</f>
        <v>801</v>
      </c>
      <c r="E7292" t="str">
        <f t="shared" si="1600"/>
        <v>89301172</v>
      </c>
      <c r="F7292" t="str">
        <f t="shared" ref="F7292:F7327" si="1601">"530730068"</f>
        <v>530730068</v>
      </c>
      <c r="G7292" s="1">
        <v>44729</v>
      </c>
      <c r="H7292" t="str">
        <f>"81329"</f>
        <v>81329</v>
      </c>
      <c r="I7292">
        <v>1</v>
      </c>
      <c r="J7292">
        <v>16</v>
      </c>
      <c r="K7292">
        <v>0</v>
      </c>
      <c r="L7292">
        <v>12.48</v>
      </c>
    </row>
    <row r="7293" spans="1:12" x14ac:dyDescent="0.25">
      <c r="A7293" t="str">
        <f t="shared" si="1588"/>
        <v>89301000</v>
      </c>
      <c r="B7293" t="str">
        <f t="shared" si="1590"/>
        <v>06539000</v>
      </c>
      <c r="C7293" t="str">
        <f>"06539001"</f>
        <v>06539001</v>
      </c>
      <c r="D7293" t="str">
        <f>"801"</f>
        <v>801</v>
      </c>
      <c r="E7293" t="str">
        <f t="shared" si="1600"/>
        <v>89301172</v>
      </c>
      <c r="F7293" t="str">
        <f t="shared" si="1601"/>
        <v>530730068</v>
      </c>
      <c r="G7293" s="1">
        <v>44729</v>
      </c>
      <c r="H7293" t="str">
        <f>"81331"</f>
        <v>81331</v>
      </c>
      <c r="I7293">
        <v>1</v>
      </c>
      <c r="J7293">
        <v>193</v>
      </c>
      <c r="K7293">
        <v>0</v>
      </c>
      <c r="L7293">
        <v>150.54</v>
      </c>
    </row>
    <row r="7294" spans="1:12" x14ac:dyDescent="0.25">
      <c r="A7294" t="str">
        <f t="shared" si="1588"/>
        <v>89301000</v>
      </c>
      <c r="B7294" t="str">
        <f t="shared" si="1590"/>
        <v>06539000</v>
      </c>
      <c r="C7294" t="str">
        <f t="shared" ref="C7294:C7322" si="1602">"06539002"</f>
        <v>06539002</v>
      </c>
      <c r="D7294" t="str">
        <f t="shared" ref="D7294:D7322" si="1603">"802"</f>
        <v>802</v>
      </c>
      <c r="E7294" t="str">
        <f t="shared" si="1600"/>
        <v>89301172</v>
      </c>
      <c r="F7294" t="str">
        <f t="shared" si="1601"/>
        <v>530730068</v>
      </c>
      <c r="G7294" s="1">
        <v>44729</v>
      </c>
      <c r="H7294" t="str">
        <f>"82097"</f>
        <v>82097</v>
      </c>
      <c r="I7294">
        <v>1</v>
      </c>
      <c r="J7294">
        <v>380</v>
      </c>
      <c r="K7294">
        <v>0</v>
      </c>
      <c r="L7294">
        <v>345.8</v>
      </c>
    </row>
    <row r="7295" spans="1:12" x14ac:dyDescent="0.25">
      <c r="A7295" t="str">
        <f t="shared" si="1588"/>
        <v>89301000</v>
      </c>
      <c r="B7295" t="str">
        <f t="shared" si="1590"/>
        <v>06539000</v>
      </c>
      <c r="C7295" t="str">
        <f t="shared" si="1602"/>
        <v>06539002</v>
      </c>
      <c r="D7295" t="str">
        <f t="shared" si="1603"/>
        <v>802</v>
      </c>
      <c r="E7295" t="str">
        <f t="shared" si="1600"/>
        <v>89301172</v>
      </c>
      <c r="F7295" t="str">
        <f t="shared" si="1601"/>
        <v>530730068</v>
      </c>
      <c r="G7295" s="1">
        <v>44729</v>
      </c>
      <c r="H7295" t="str">
        <f>"82097"</f>
        <v>82097</v>
      </c>
      <c r="I7295">
        <v>1</v>
      </c>
      <c r="J7295">
        <v>380</v>
      </c>
      <c r="K7295">
        <v>0</v>
      </c>
      <c r="L7295">
        <v>345.8</v>
      </c>
    </row>
    <row r="7296" spans="1:12" x14ac:dyDescent="0.25">
      <c r="A7296" t="str">
        <f t="shared" si="1588"/>
        <v>89301000</v>
      </c>
      <c r="B7296" t="str">
        <f t="shared" si="1590"/>
        <v>06539000</v>
      </c>
      <c r="C7296" t="str">
        <f t="shared" si="1602"/>
        <v>06539002</v>
      </c>
      <c r="D7296" t="str">
        <f t="shared" si="1603"/>
        <v>802</v>
      </c>
      <c r="E7296" t="str">
        <f t="shared" si="1600"/>
        <v>89301172</v>
      </c>
      <c r="F7296" t="str">
        <f t="shared" si="1601"/>
        <v>530730068</v>
      </c>
      <c r="G7296" s="1">
        <v>44729</v>
      </c>
      <c r="H7296" t="str">
        <f>"82041"</f>
        <v>82041</v>
      </c>
      <c r="I7296">
        <v>1</v>
      </c>
      <c r="J7296">
        <v>1090</v>
      </c>
      <c r="K7296">
        <v>0</v>
      </c>
      <c r="L7296">
        <v>991.9</v>
      </c>
    </row>
    <row r="7297" spans="1:12" x14ac:dyDescent="0.25">
      <c r="A7297" t="str">
        <f t="shared" si="1588"/>
        <v>89301000</v>
      </c>
      <c r="B7297" t="str">
        <f t="shared" si="1590"/>
        <v>06539000</v>
      </c>
      <c r="C7297" t="str">
        <f t="shared" si="1602"/>
        <v>06539002</v>
      </c>
      <c r="D7297" t="str">
        <f t="shared" si="1603"/>
        <v>802</v>
      </c>
      <c r="E7297" t="str">
        <f t="shared" si="1600"/>
        <v>89301172</v>
      </c>
      <c r="F7297" t="str">
        <f t="shared" si="1601"/>
        <v>530730068</v>
      </c>
      <c r="G7297" s="1">
        <v>44729</v>
      </c>
      <c r="H7297" t="str">
        <f>"82034"</f>
        <v>82034</v>
      </c>
      <c r="I7297">
        <v>1</v>
      </c>
      <c r="J7297">
        <v>348</v>
      </c>
      <c r="K7297">
        <v>0</v>
      </c>
      <c r="L7297">
        <v>316.68</v>
      </c>
    </row>
    <row r="7298" spans="1:12" x14ac:dyDescent="0.25">
      <c r="A7298" t="str">
        <f t="shared" ref="A7298:A7361" si="1604">"89301000"</f>
        <v>89301000</v>
      </c>
      <c r="B7298" t="str">
        <f t="shared" si="1590"/>
        <v>06539000</v>
      </c>
      <c r="C7298" t="str">
        <f t="shared" si="1602"/>
        <v>06539002</v>
      </c>
      <c r="D7298" t="str">
        <f t="shared" si="1603"/>
        <v>802</v>
      </c>
      <c r="E7298" t="str">
        <f t="shared" si="1600"/>
        <v>89301172</v>
      </c>
      <c r="F7298" t="str">
        <f t="shared" si="1601"/>
        <v>530730068</v>
      </c>
      <c r="G7298" s="1">
        <v>44729</v>
      </c>
      <c r="H7298" t="str">
        <f t="shared" ref="H7298:H7303" si="1605">"82097"</f>
        <v>82097</v>
      </c>
      <c r="I7298">
        <v>1</v>
      </c>
      <c r="J7298">
        <v>380</v>
      </c>
      <c r="K7298">
        <v>0</v>
      </c>
      <c r="L7298">
        <v>345.8</v>
      </c>
    </row>
    <row r="7299" spans="1:12" x14ac:dyDescent="0.25">
      <c r="A7299" t="str">
        <f t="shared" si="1604"/>
        <v>89301000</v>
      </c>
      <c r="B7299" t="str">
        <f t="shared" si="1590"/>
        <v>06539000</v>
      </c>
      <c r="C7299" t="str">
        <f t="shared" si="1602"/>
        <v>06539002</v>
      </c>
      <c r="D7299" t="str">
        <f t="shared" si="1603"/>
        <v>802</v>
      </c>
      <c r="E7299" t="str">
        <f t="shared" si="1600"/>
        <v>89301172</v>
      </c>
      <c r="F7299" t="str">
        <f t="shared" si="1601"/>
        <v>530730068</v>
      </c>
      <c r="G7299" s="1">
        <v>44729</v>
      </c>
      <c r="H7299" t="str">
        <f t="shared" si="1605"/>
        <v>82097</v>
      </c>
      <c r="I7299">
        <v>1</v>
      </c>
      <c r="J7299">
        <v>380</v>
      </c>
      <c r="K7299">
        <v>0</v>
      </c>
      <c r="L7299">
        <v>345.8</v>
      </c>
    </row>
    <row r="7300" spans="1:12" x14ac:dyDescent="0.25">
      <c r="A7300" t="str">
        <f t="shared" si="1604"/>
        <v>89301000</v>
      </c>
      <c r="B7300" t="str">
        <f t="shared" si="1590"/>
        <v>06539000</v>
      </c>
      <c r="C7300" t="str">
        <f t="shared" si="1602"/>
        <v>06539002</v>
      </c>
      <c r="D7300" t="str">
        <f t="shared" si="1603"/>
        <v>802</v>
      </c>
      <c r="E7300" t="str">
        <f t="shared" si="1600"/>
        <v>89301172</v>
      </c>
      <c r="F7300" t="str">
        <f t="shared" si="1601"/>
        <v>530730068</v>
      </c>
      <c r="G7300" s="1">
        <v>44729</v>
      </c>
      <c r="H7300" t="str">
        <f t="shared" si="1605"/>
        <v>82097</v>
      </c>
      <c r="I7300">
        <v>1</v>
      </c>
      <c r="J7300">
        <v>380</v>
      </c>
      <c r="K7300">
        <v>0</v>
      </c>
      <c r="L7300">
        <v>345.8</v>
      </c>
    </row>
    <row r="7301" spans="1:12" x14ac:dyDescent="0.25">
      <c r="A7301" t="str">
        <f t="shared" si="1604"/>
        <v>89301000</v>
      </c>
      <c r="B7301" t="str">
        <f t="shared" si="1590"/>
        <v>06539000</v>
      </c>
      <c r="C7301" t="str">
        <f t="shared" si="1602"/>
        <v>06539002</v>
      </c>
      <c r="D7301" t="str">
        <f t="shared" si="1603"/>
        <v>802</v>
      </c>
      <c r="E7301" t="str">
        <f t="shared" si="1600"/>
        <v>89301172</v>
      </c>
      <c r="F7301" t="str">
        <f t="shared" si="1601"/>
        <v>530730068</v>
      </c>
      <c r="G7301" s="1">
        <v>44729</v>
      </c>
      <c r="H7301" t="str">
        <f t="shared" si="1605"/>
        <v>82097</v>
      </c>
      <c r="I7301">
        <v>1</v>
      </c>
      <c r="J7301">
        <v>380</v>
      </c>
      <c r="K7301">
        <v>0</v>
      </c>
      <c r="L7301">
        <v>345.8</v>
      </c>
    </row>
    <row r="7302" spans="1:12" x14ac:dyDescent="0.25">
      <c r="A7302" t="str">
        <f t="shared" si="1604"/>
        <v>89301000</v>
      </c>
      <c r="B7302" t="str">
        <f t="shared" si="1590"/>
        <v>06539000</v>
      </c>
      <c r="C7302" t="str">
        <f t="shared" si="1602"/>
        <v>06539002</v>
      </c>
      <c r="D7302" t="str">
        <f t="shared" si="1603"/>
        <v>802</v>
      </c>
      <c r="E7302" t="str">
        <f t="shared" si="1600"/>
        <v>89301172</v>
      </c>
      <c r="F7302" t="str">
        <f t="shared" si="1601"/>
        <v>530730068</v>
      </c>
      <c r="G7302" s="1">
        <v>44729</v>
      </c>
      <c r="H7302" t="str">
        <f t="shared" si="1605"/>
        <v>82097</v>
      </c>
      <c r="I7302">
        <v>1</v>
      </c>
      <c r="J7302">
        <v>380</v>
      </c>
      <c r="K7302">
        <v>0</v>
      </c>
      <c r="L7302">
        <v>345.8</v>
      </c>
    </row>
    <row r="7303" spans="1:12" x14ac:dyDescent="0.25">
      <c r="A7303" t="str">
        <f t="shared" si="1604"/>
        <v>89301000</v>
      </c>
      <c r="B7303" t="str">
        <f t="shared" si="1590"/>
        <v>06539000</v>
      </c>
      <c r="C7303" t="str">
        <f t="shared" si="1602"/>
        <v>06539002</v>
      </c>
      <c r="D7303" t="str">
        <f t="shared" si="1603"/>
        <v>802</v>
      </c>
      <c r="E7303" t="str">
        <f t="shared" si="1600"/>
        <v>89301172</v>
      </c>
      <c r="F7303" t="str">
        <f t="shared" si="1601"/>
        <v>530730068</v>
      </c>
      <c r="G7303" s="1">
        <v>44729</v>
      </c>
      <c r="H7303" t="str">
        <f t="shared" si="1605"/>
        <v>82097</v>
      </c>
      <c r="I7303">
        <v>1</v>
      </c>
      <c r="J7303">
        <v>380</v>
      </c>
      <c r="K7303">
        <v>0</v>
      </c>
      <c r="L7303">
        <v>345.8</v>
      </c>
    </row>
    <row r="7304" spans="1:12" x14ac:dyDescent="0.25">
      <c r="A7304" t="str">
        <f t="shared" si="1604"/>
        <v>89301000</v>
      </c>
      <c r="B7304" t="str">
        <f t="shared" si="1590"/>
        <v>06539000</v>
      </c>
      <c r="C7304" t="str">
        <f t="shared" si="1602"/>
        <v>06539002</v>
      </c>
      <c r="D7304" t="str">
        <f t="shared" si="1603"/>
        <v>802</v>
      </c>
      <c r="E7304" t="str">
        <f t="shared" si="1600"/>
        <v>89301172</v>
      </c>
      <c r="F7304" t="str">
        <f t="shared" si="1601"/>
        <v>530730068</v>
      </c>
      <c r="G7304" s="1">
        <v>44729</v>
      </c>
      <c r="H7304" t="str">
        <f>"82041"</f>
        <v>82041</v>
      </c>
      <c r="I7304">
        <v>1</v>
      </c>
      <c r="J7304">
        <v>1090</v>
      </c>
      <c r="K7304">
        <v>0</v>
      </c>
      <c r="L7304">
        <v>991.9</v>
      </c>
    </row>
    <row r="7305" spans="1:12" x14ac:dyDescent="0.25">
      <c r="A7305" t="str">
        <f t="shared" si="1604"/>
        <v>89301000</v>
      </c>
      <c r="B7305" t="str">
        <f t="shared" si="1590"/>
        <v>06539000</v>
      </c>
      <c r="C7305" t="str">
        <f t="shared" si="1602"/>
        <v>06539002</v>
      </c>
      <c r="D7305" t="str">
        <f t="shared" si="1603"/>
        <v>802</v>
      </c>
      <c r="E7305" t="str">
        <f t="shared" si="1600"/>
        <v>89301172</v>
      </c>
      <c r="F7305" t="str">
        <f t="shared" si="1601"/>
        <v>530730068</v>
      </c>
      <c r="G7305" s="1">
        <v>44729</v>
      </c>
      <c r="H7305" t="str">
        <f>"82034"</f>
        <v>82034</v>
      </c>
      <c r="I7305">
        <v>1</v>
      </c>
      <c r="J7305">
        <v>348</v>
      </c>
      <c r="K7305">
        <v>0</v>
      </c>
      <c r="L7305">
        <v>316.68</v>
      </c>
    </row>
    <row r="7306" spans="1:12" x14ac:dyDescent="0.25">
      <c r="A7306" t="str">
        <f t="shared" si="1604"/>
        <v>89301000</v>
      </c>
      <c r="B7306" t="str">
        <f t="shared" si="1590"/>
        <v>06539000</v>
      </c>
      <c r="C7306" t="str">
        <f t="shared" si="1602"/>
        <v>06539002</v>
      </c>
      <c r="D7306" t="str">
        <f t="shared" si="1603"/>
        <v>802</v>
      </c>
      <c r="E7306" t="str">
        <f t="shared" si="1600"/>
        <v>89301172</v>
      </c>
      <c r="F7306" t="str">
        <f t="shared" si="1601"/>
        <v>530730068</v>
      </c>
      <c r="G7306" s="1">
        <v>44730</v>
      </c>
      <c r="H7306" t="str">
        <f>"82041"</f>
        <v>82041</v>
      </c>
      <c r="I7306">
        <v>1</v>
      </c>
      <c r="J7306">
        <v>1090</v>
      </c>
      <c r="K7306">
        <v>0</v>
      </c>
      <c r="L7306">
        <v>991.9</v>
      </c>
    </row>
    <row r="7307" spans="1:12" x14ac:dyDescent="0.25">
      <c r="A7307" t="str">
        <f t="shared" si="1604"/>
        <v>89301000</v>
      </c>
      <c r="B7307" t="str">
        <f t="shared" si="1590"/>
        <v>06539000</v>
      </c>
      <c r="C7307" t="str">
        <f t="shared" si="1602"/>
        <v>06539002</v>
      </c>
      <c r="D7307" t="str">
        <f t="shared" si="1603"/>
        <v>802</v>
      </c>
      <c r="E7307" t="str">
        <f t="shared" si="1600"/>
        <v>89301172</v>
      </c>
      <c r="F7307" t="str">
        <f t="shared" si="1601"/>
        <v>530730068</v>
      </c>
      <c r="G7307" s="1">
        <v>44730</v>
      </c>
      <c r="H7307" t="str">
        <f>"82041"</f>
        <v>82041</v>
      </c>
      <c r="I7307">
        <v>1</v>
      </c>
      <c r="J7307">
        <v>1090</v>
      </c>
      <c r="K7307">
        <v>0</v>
      </c>
      <c r="L7307">
        <v>991.9</v>
      </c>
    </row>
    <row r="7308" spans="1:12" x14ac:dyDescent="0.25">
      <c r="A7308" t="str">
        <f t="shared" si="1604"/>
        <v>89301000</v>
      </c>
      <c r="B7308" t="str">
        <f t="shared" si="1590"/>
        <v>06539000</v>
      </c>
      <c r="C7308" t="str">
        <f t="shared" si="1602"/>
        <v>06539002</v>
      </c>
      <c r="D7308" t="str">
        <f t="shared" si="1603"/>
        <v>802</v>
      </c>
      <c r="E7308" t="str">
        <f t="shared" si="1600"/>
        <v>89301172</v>
      </c>
      <c r="F7308" t="str">
        <f t="shared" si="1601"/>
        <v>530730068</v>
      </c>
      <c r="G7308" s="1">
        <v>44730</v>
      </c>
      <c r="H7308" t="str">
        <f>"82034"</f>
        <v>82034</v>
      </c>
      <c r="I7308">
        <v>1</v>
      </c>
      <c r="J7308">
        <v>348</v>
      </c>
      <c r="K7308">
        <v>0</v>
      </c>
      <c r="L7308">
        <v>316.68</v>
      </c>
    </row>
    <row r="7309" spans="1:12" x14ac:dyDescent="0.25">
      <c r="A7309" t="str">
        <f t="shared" si="1604"/>
        <v>89301000</v>
      </c>
      <c r="B7309" t="str">
        <f t="shared" si="1590"/>
        <v>06539000</v>
      </c>
      <c r="C7309" t="str">
        <f t="shared" si="1602"/>
        <v>06539002</v>
      </c>
      <c r="D7309" t="str">
        <f t="shared" si="1603"/>
        <v>802</v>
      </c>
      <c r="E7309" t="str">
        <f t="shared" si="1600"/>
        <v>89301172</v>
      </c>
      <c r="F7309" t="str">
        <f t="shared" si="1601"/>
        <v>530730068</v>
      </c>
      <c r="G7309" s="1">
        <v>44730</v>
      </c>
      <c r="H7309" t="str">
        <f>"82041"</f>
        <v>82041</v>
      </c>
      <c r="I7309">
        <v>1</v>
      </c>
      <c r="J7309">
        <v>1090</v>
      </c>
      <c r="K7309">
        <v>0</v>
      </c>
      <c r="L7309">
        <v>991.9</v>
      </c>
    </row>
    <row r="7310" spans="1:12" x14ac:dyDescent="0.25">
      <c r="A7310" t="str">
        <f t="shared" si="1604"/>
        <v>89301000</v>
      </c>
      <c r="B7310" t="str">
        <f t="shared" si="1590"/>
        <v>06539000</v>
      </c>
      <c r="C7310" t="str">
        <f t="shared" si="1602"/>
        <v>06539002</v>
      </c>
      <c r="D7310" t="str">
        <f t="shared" si="1603"/>
        <v>802</v>
      </c>
      <c r="E7310" t="str">
        <f t="shared" si="1600"/>
        <v>89301172</v>
      </c>
      <c r="F7310" t="str">
        <f t="shared" si="1601"/>
        <v>530730068</v>
      </c>
      <c r="G7310" s="1">
        <v>44730</v>
      </c>
      <c r="H7310" t="str">
        <f>"82034"</f>
        <v>82034</v>
      </c>
      <c r="I7310">
        <v>1</v>
      </c>
      <c r="J7310">
        <v>348</v>
      </c>
      <c r="K7310">
        <v>0</v>
      </c>
      <c r="L7310">
        <v>316.68</v>
      </c>
    </row>
    <row r="7311" spans="1:12" x14ac:dyDescent="0.25">
      <c r="A7311" t="str">
        <f t="shared" si="1604"/>
        <v>89301000</v>
      </c>
      <c r="B7311" t="str">
        <f t="shared" si="1590"/>
        <v>06539000</v>
      </c>
      <c r="C7311" t="str">
        <f t="shared" si="1602"/>
        <v>06539002</v>
      </c>
      <c r="D7311" t="str">
        <f t="shared" si="1603"/>
        <v>802</v>
      </c>
      <c r="E7311" t="str">
        <f t="shared" si="1600"/>
        <v>89301172</v>
      </c>
      <c r="F7311" t="str">
        <f t="shared" si="1601"/>
        <v>530730068</v>
      </c>
      <c r="G7311" s="1">
        <v>44729</v>
      </c>
      <c r="H7311" t="str">
        <f t="shared" ref="H7311:H7322" si="1606">"82097"</f>
        <v>82097</v>
      </c>
      <c r="I7311">
        <v>1</v>
      </c>
      <c r="J7311">
        <v>380</v>
      </c>
      <c r="K7311">
        <v>0</v>
      </c>
      <c r="L7311">
        <v>345.8</v>
      </c>
    </row>
    <row r="7312" spans="1:12" x14ac:dyDescent="0.25">
      <c r="A7312" t="str">
        <f t="shared" si="1604"/>
        <v>89301000</v>
      </c>
      <c r="B7312" t="str">
        <f t="shared" si="1590"/>
        <v>06539000</v>
      </c>
      <c r="C7312" t="str">
        <f t="shared" si="1602"/>
        <v>06539002</v>
      </c>
      <c r="D7312" t="str">
        <f t="shared" si="1603"/>
        <v>802</v>
      </c>
      <c r="E7312" t="str">
        <f t="shared" si="1600"/>
        <v>89301172</v>
      </c>
      <c r="F7312" t="str">
        <f t="shared" si="1601"/>
        <v>530730068</v>
      </c>
      <c r="G7312" s="1">
        <v>44729</v>
      </c>
      <c r="H7312" t="str">
        <f t="shared" si="1606"/>
        <v>82097</v>
      </c>
      <c r="I7312">
        <v>1</v>
      </c>
      <c r="J7312">
        <v>380</v>
      </c>
      <c r="K7312">
        <v>0</v>
      </c>
      <c r="L7312">
        <v>345.8</v>
      </c>
    </row>
    <row r="7313" spans="1:12" x14ac:dyDescent="0.25">
      <c r="A7313" t="str">
        <f t="shared" si="1604"/>
        <v>89301000</v>
      </c>
      <c r="B7313" t="str">
        <f t="shared" si="1590"/>
        <v>06539000</v>
      </c>
      <c r="C7313" t="str">
        <f t="shared" si="1602"/>
        <v>06539002</v>
      </c>
      <c r="D7313" t="str">
        <f t="shared" si="1603"/>
        <v>802</v>
      </c>
      <c r="E7313" t="str">
        <f t="shared" si="1600"/>
        <v>89301172</v>
      </c>
      <c r="F7313" t="str">
        <f t="shared" si="1601"/>
        <v>530730068</v>
      </c>
      <c r="G7313" s="1">
        <v>44729</v>
      </c>
      <c r="H7313" t="str">
        <f t="shared" si="1606"/>
        <v>82097</v>
      </c>
      <c r="I7313">
        <v>1</v>
      </c>
      <c r="J7313">
        <v>380</v>
      </c>
      <c r="K7313">
        <v>0</v>
      </c>
      <c r="L7313">
        <v>345.8</v>
      </c>
    </row>
    <row r="7314" spans="1:12" x14ac:dyDescent="0.25">
      <c r="A7314" t="str">
        <f t="shared" si="1604"/>
        <v>89301000</v>
      </c>
      <c r="B7314" t="str">
        <f t="shared" ref="B7314:B7377" si="1607">"06539000"</f>
        <v>06539000</v>
      </c>
      <c r="C7314" t="str">
        <f t="shared" si="1602"/>
        <v>06539002</v>
      </c>
      <c r="D7314" t="str">
        <f t="shared" si="1603"/>
        <v>802</v>
      </c>
      <c r="E7314" t="str">
        <f t="shared" ref="E7314:E7327" si="1608">"89301172"</f>
        <v>89301172</v>
      </c>
      <c r="F7314" t="str">
        <f t="shared" si="1601"/>
        <v>530730068</v>
      </c>
      <c r="G7314" s="1">
        <v>44729</v>
      </c>
      <c r="H7314" t="str">
        <f t="shared" si="1606"/>
        <v>82097</v>
      </c>
      <c r="I7314">
        <v>1</v>
      </c>
      <c r="J7314">
        <v>380</v>
      </c>
      <c r="K7314">
        <v>0</v>
      </c>
      <c r="L7314">
        <v>345.8</v>
      </c>
    </row>
    <row r="7315" spans="1:12" x14ac:dyDescent="0.25">
      <c r="A7315" t="str">
        <f t="shared" si="1604"/>
        <v>89301000</v>
      </c>
      <c r="B7315" t="str">
        <f t="shared" si="1607"/>
        <v>06539000</v>
      </c>
      <c r="C7315" t="str">
        <f t="shared" si="1602"/>
        <v>06539002</v>
      </c>
      <c r="D7315" t="str">
        <f t="shared" si="1603"/>
        <v>802</v>
      </c>
      <c r="E7315" t="str">
        <f t="shared" si="1608"/>
        <v>89301172</v>
      </c>
      <c r="F7315" t="str">
        <f t="shared" si="1601"/>
        <v>530730068</v>
      </c>
      <c r="G7315" s="1">
        <v>44729</v>
      </c>
      <c r="H7315" t="str">
        <f t="shared" si="1606"/>
        <v>82097</v>
      </c>
      <c r="I7315">
        <v>1</v>
      </c>
      <c r="J7315">
        <v>380</v>
      </c>
      <c r="K7315">
        <v>0</v>
      </c>
      <c r="L7315">
        <v>345.8</v>
      </c>
    </row>
    <row r="7316" spans="1:12" x14ac:dyDescent="0.25">
      <c r="A7316" t="str">
        <f t="shared" si="1604"/>
        <v>89301000</v>
      </c>
      <c r="B7316" t="str">
        <f t="shared" si="1607"/>
        <v>06539000</v>
      </c>
      <c r="C7316" t="str">
        <f t="shared" si="1602"/>
        <v>06539002</v>
      </c>
      <c r="D7316" t="str">
        <f t="shared" si="1603"/>
        <v>802</v>
      </c>
      <c r="E7316" t="str">
        <f t="shared" si="1608"/>
        <v>89301172</v>
      </c>
      <c r="F7316" t="str">
        <f t="shared" si="1601"/>
        <v>530730068</v>
      </c>
      <c r="G7316" s="1">
        <v>44729</v>
      </c>
      <c r="H7316" t="str">
        <f t="shared" si="1606"/>
        <v>82097</v>
      </c>
      <c r="I7316">
        <v>1</v>
      </c>
      <c r="J7316">
        <v>380</v>
      </c>
      <c r="K7316">
        <v>0</v>
      </c>
      <c r="L7316">
        <v>345.8</v>
      </c>
    </row>
    <row r="7317" spans="1:12" x14ac:dyDescent="0.25">
      <c r="A7317" t="str">
        <f t="shared" si="1604"/>
        <v>89301000</v>
      </c>
      <c r="B7317" t="str">
        <f t="shared" si="1607"/>
        <v>06539000</v>
      </c>
      <c r="C7317" t="str">
        <f t="shared" si="1602"/>
        <v>06539002</v>
      </c>
      <c r="D7317" t="str">
        <f t="shared" si="1603"/>
        <v>802</v>
      </c>
      <c r="E7317" t="str">
        <f t="shared" si="1608"/>
        <v>89301172</v>
      </c>
      <c r="F7317" t="str">
        <f t="shared" si="1601"/>
        <v>530730068</v>
      </c>
      <c r="G7317" s="1">
        <v>44729</v>
      </c>
      <c r="H7317" t="str">
        <f t="shared" si="1606"/>
        <v>82097</v>
      </c>
      <c r="I7317">
        <v>1</v>
      </c>
      <c r="J7317">
        <v>380</v>
      </c>
      <c r="K7317">
        <v>0</v>
      </c>
      <c r="L7317">
        <v>345.8</v>
      </c>
    </row>
    <row r="7318" spans="1:12" x14ac:dyDescent="0.25">
      <c r="A7318" t="str">
        <f t="shared" si="1604"/>
        <v>89301000</v>
      </c>
      <c r="B7318" t="str">
        <f t="shared" si="1607"/>
        <v>06539000</v>
      </c>
      <c r="C7318" t="str">
        <f t="shared" si="1602"/>
        <v>06539002</v>
      </c>
      <c r="D7318" t="str">
        <f t="shared" si="1603"/>
        <v>802</v>
      </c>
      <c r="E7318" t="str">
        <f t="shared" si="1608"/>
        <v>89301172</v>
      </c>
      <c r="F7318" t="str">
        <f t="shared" si="1601"/>
        <v>530730068</v>
      </c>
      <c r="G7318" s="1">
        <v>44729</v>
      </c>
      <c r="H7318" t="str">
        <f t="shared" si="1606"/>
        <v>82097</v>
      </c>
      <c r="I7318">
        <v>1</v>
      </c>
      <c r="J7318">
        <v>380</v>
      </c>
      <c r="K7318">
        <v>0</v>
      </c>
      <c r="L7318">
        <v>345.8</v>
      </c>
    </row>
    <row r="7319" spans="1:12" x14ac:dyDescent="0.25">
      <c r="A7319" t="str">
        <f t="shared" si="1604"/>
        <v>89301000</v>
      </c>
      <c r="B7319" t="str">
        <f t="shared" si="1607"/>
        <v>06539000</v>
      </c>
      <c r="C7319" t="str">
        <f t="shared" si="1602"/>
        <v>06539002</v>
      </c>
      <c r="D7319" t="str">
        <f t="shared" si="1603"/>
        <v>802</v>
      </c>
      <c r="E7319" t="str">
        <f t="shared" si="1608"/>
        <v>89301172</v>
      </c>
      <c r="F7319" t="str">
        <f t="shared" si="1601"/>
        <v>530730068</v>
      </c>
      <c r="G7319" s="1">
        <v>44729</v>
      </c>
      <c r="H7319" t="str">
        <f t="shared" si="1606"/>
        <v>82097</v>
      </c>
      <c r="I7319">
        <v>1</v>
      </c>
      <c r="J7319">
        <v>380</v>
      </c>
      <c r="K7319">
        <v>0</v>
      </c>
      <c r="L7319">
        <v>345.8</v>
      </c>
    </row>
    <row r="7320" spans="1:12" x14ac:dyDescent="0.25">
      <c r="A7320" t="str">
        <f t="shared" si="1604"/>
        <v>89301000</v>
      </c>
      <c r="B7320" t="str">
        <f t="shared" si="1607"/>
        <v>06539000</v>
      </c>
      <c r="C7320" t="str">
        <f t="shared" si="1602"/>
        <v>06539002</v>
      </c>
      <c r="D7320" t="str">
        <f t="shared" si="1603"/>
        <v>802</v>
      </c>
      <c r="E7320" t="str">
        <f t="shared" si="1608"/>
        <v>89301172</v>
      </c>
      <c r="F7320" t="str">
        <f t="shared" si="1601"/>
        <v>530730068</v>
      </c>
      <c r="G7320" s="1">
        <v>44729</v>
      </c>
      <c r="H7320" t="str">
        <f t="shared" si="1606"/>
        <v>82097</v>
      </c>
      <c r="I7320">
        <v>1</v>
      </c>
      <c r="J7320">
        <v>380</v>
      </c>
      <c r="K7320">
        <v>0</v>
      </c>
      <c r="L7320">
        <v>345.8</v>
      </c>
    </row>
    <row r="7321" spans="1:12" x14ac:dyDescent="0.25">
      <c r="A7321" t="str">
        <f t="shared" si="1604"/>
        <v>89301000</v>
      </c>
      <c r="B7321" t="str">
        <f t="shared" si="1607"/>
        <v>06539000</v>
      </c>
      <c r="C7321" t="str">
        <f t="shared" si="1602"/>
        <v>06539002</v>
      </c>
      <c r="D7321" t="str">
        <f t="shared" si="1603"/>
        <v>802</v>
      </c>
      <c r="E7321" t="str">
        <f t="shared" si="1608"/>
        <v>89301172</v>
      </c>
      <c r="F7321" t="str">
        <f t="shared" si="1601"/>
        <v>530730068</v>
      </c>
      <c r="G7321" s="1">
        <v>44729</v>
      </c>
      <c r="H7321" t="str">
        <f t="shared" si="1606"/>
        <v>82097</v>
      </c>
      <c r="I7321">
        <v>1</v>
      </c>
      <c r="J7321">
        <v>380</v>
      </c>
      <c r="K7321">
        <v>0</v>
      </c>
      <c r="L7321">
        <v>345.8</v>
      </c>
    </row>
    <row r="7322" spans="1:12" x14ac:dyDescent="0.25">
      <c r="A7322" t="str">
        <f t="shared" si="1604"/>
        <v>89301000</v>
      </c>
      <c r="B7322" t="str">
        <f t="shared" si="1607"/>
        <v>06539000</v>
      </c>
      <c r="C7322" t="str">
        <f t="shared" si="1602"/>
        <v>06539002</v>
      </c>
      <c r="D7322" t="str">
        <f t="shared" si="1603"/>
        <v>802</v>
      </c>
      <c r="E7322" t="str">
        <f t="shared" si="1608"/>
        <v>89301172</v>
      </c>
      <c r="F7322" t="str">
        <f t="shared" si="1601"/>
        <v>530730068</v>
      </c>
      <c r="G7322" s="1">
        <v>44729</v>
      </c>
      <c r="H7322" t="str">
        <f t="shared" si="1606"/>
        <v>82097</v>
      </c>
      <c r="I7322">
        <v>1</v>
      </c>
      <c r="J7322">
        <v>380</v>
      </c>
      <c r="K7322">
        <v>0</v>
      </c>
      <c r="L7322">
        <v>345.8</v>
      </c>
    </row>
    <row r="7323" spans="1:12" x14ac:dyDescent="0.25">
      <c r="A7323" t="str">
        <f t="shared" si="1604"/>
        <v>89301000</v>
      </c>
      <c r="B7323" t="str">
        <f t="shared" si="1607"/>
        <v>06539000</v>
      </c>
      <c r="C7323" t="str">
        <f>"06539003"</f>
        <v>06539003</v>
      </c>
      <c r="D7323" t="str">
        <f>"813"</f>
        <v>813</v>
      </c>
      <c r="E7323" t="str">
        <f t="shared" si="1608"/>
        <v>89301172</v>
      </c>
      <c r="F7323" t="str">
        <f t="shared" si="1601"/>
        <v>530730068</v>
      </c>
      <c r="G7323" s="1">
        <v>44729</v>
      </c>
      <c r="H7323" t="str">
        <f>"91129"</f>
        <v>91129</v>
      </c>
      <c r="I7323">
        <v>1</v>
      </c>
      <c r="J7323">
        <v>174</v>
      </c>
      <c r="K7323">
        <v>0</v>
      </c>
      <c r="L7323">
        <v>135.72</v>
      </c>
    </row>
    <row r="7324" spans="1:12" x14ac:dyDescent="0.25">
      <c r="A7324" t="str">
        <f t="shared" si="1604"/>
        <v>89301000</v>
      </c>
      <c r="B7324" t="str">
        <f t="shared" si="1607"/>
        <v>06539000</v>
      </c>
      <c r="C7324" t="str">
        <f>"06539003"</f>
        <v>06539003</v>
      </c>
      <c r="D7324" t="str">
        <f>"813"</f>
        <v>813</v>
      </c>
      <c r="E7324" t="str">
        <f t="shared" si="1608"/>
        <v>89301172</v>
      </c>
      <c r="F7324" t="str">
        <f t="shared" si="1601"/>
        <v>530730068</v>
      </c>
      <c r="G7324" s="1">
        <v>44729</v>
      </c>
      <c r="H7324" t="str">
        <f>"91133"</f>
        <v>91133</v>
      </c>
      <c r="I7324">
        <v>1</v>
      </c>
      <c r="J7324">
        <v>176</v>
      </c>
      <c r="K7324">
        <v>0</v>
      </c>
      <c r="L7324">
        <v>137.28</v>
      </c>
    </row>
    <row r="7325" spans="1:12" x14ac:dyDescent="0.25">
      <c r="A7325" t="str">
        <f t="shared" si="1604"/>
        <v>89301000</v>
      </c>
      <c r="B7325" t="str">
        <f t="shared" si="1607"/>
        <v>06539000</v>
      </c>
      <c r="C7325" t="str">
        <f>"06539003"</f>
        <v>06539003</v>
      </c>
      <c r="D7325" t="str">
        <f>"813"</f>
        <v>813</v>
      </c>
      <c r="E7325" t="str">
        <f t="shared" si="1608"/>
        <v>89301172</v>
      </c>
      <c r="F7325" t="str">
        <f t="shared" si="1601"/>
        <v>530730068</v>
      </c>
      <c r="G7325" s="1">
        <v>44729</v>
      </c>
      <c r="H7325" t="str">
        <f>"91171"</f>
        <v>91171</v>
      </c>
      <c r="I7325">
        <v>1</v>
      </c>
      <c r="J7325">
        <v>360</v>
      </c>
      <c r="K7325">
        <v>0</v>
      </c>
      <c r="L7325">
        <v>280.8</v>
      </c>
    </row>
    <row r="7326" spans="1:12" x14ac:dyDescent="0.25">
      <c r="A7326" t="str">
        <f t="shared" si="1604"/>
        <v>89301000</v>
      </c>
      <c r="B7326" t="str">
        <f t="shared" si="1607"/>
        <v>06539000</v>
      </c>
      <c r="C7326" t="str">
        <f>"06539003"</f>
        <v>06539003</v>
      </c>
      <c r="D7326" t="str">
        <f>"813"</f>
        <v>813</v>
      </c>
      <c r="E7326" t="str">
        <f t="shared" si="1608"/>
        <v>89301172</v>
      </c>
      <c r="F7326" t="str">
        <f t="shared" si="1601"/>
        <v>530730068</v>
      </c>
      <c r="G7326" s="1">
        <v>44729</v>
      </c>
      <c r="H7326" t="str">
        <f>"91175"</f>
        <v>91175</v>
      </c>
      <c r="I7326">
        <v>1</v>
      </c>
      <c r="J7326">
        <v>360</v>
      </c>
      <c r="K7326">
        <v>0</v>
      </c>
      <c r="L7326">
        <v>280.8</v>
      </c>
    </row>
    <row r="7327" spans="1:12" x14ac:dyDescent="0.25">
      <c r="A7327" t="str">
        <f t="shared" si="1604"/>
        <v>89301000</v>
      </c>
      <c r="B7327" t="str">
        <f t="shared" si="1607"/>
        <v>06539000</v>
      </c>
      <c r="C7327" t="str">
        <f>"06539003"</f>
        <v>06539003</v>
      </c>
      <c r="D7327" t="str">
        <f>"813"</f>
        <v>813</v>
      </c>
      <c r="E7327" t="str">
        <f t="shared" si="1608"/>
        <v>89301172</v>
      </c>
      <c r="F7327" t="str">
        <f t="shared" si="1601"/>
        <v>530730068</v>
      </c>
      <c r="G7327" s="1">
        <v>44729</v>
      </c>
      <c r="H7327" t="str">
        <f>"91475"</f>
        <v>91475</v>
      </c>
      <c r="I7327">
        <v>1</v>
      </c>
      <c r="J7327">
        <v>206</v>
      </c>
      <c r="K7327">
        <v>0</v>
      </c>
      <c r="L7327">
        <v>160.68</v>
      </c>
    </row>
    <row r="7328" spans="1:12" x14ac:dyDescent="0.25">
      <c r="A7328" t="str">
        <f t="shared" si="1604"/>
        <v>89301000</v>
      </c>
      <c r="B7328" t="str">
        <f t="shared" si="1607"/>
        <v>06539000</v>
      </c>
      <c r="C7328" t="str">
        <f>"06539001"</f>
        <v>06539001</v>
      </c>
      <c r="D7328" t="str">
        <f>"801"</f>
        <v>801</v>
      </c>
      <c r="E7328" t="str">
        <f t="shared" ref="E7328:E7359" si="1609">"89301171"</f>
        <v>89301171</v>
      </c>
      <c r="F7328" t="str">
        <f>"0361165706"</f>
        <v>0361165706</v>
      </c>
      <c r="G7328" s="1">
        <v>44729</v>
      </c>
      <c r="H7328" t="str">
        <f>"81329"</f>
        <v>81329</v>
      </c>
      <c r="I7328">
        <v>1</v>
      </c>
      <c r="J7328">
        <v>16</v>
      </c>
      <c r="K7328">
        <v>0</v>
      </c>
      <c r="L7328">
        <v>12.48</v>
      </c>
    </row>
    <row r="7329" spans="1:12" x14ac:dyDescent="0.25">
      <c r="A7329" t="str">
        <f t="shared" si="1604"/>
        <v>89301000</v>
      </c>
      <c r="B7329" t="str">
        <f t="shared" si="1607"/>
        <v>06539000</v>
      </c>
      <c r="C7329" t="str">
        <f>"06539001"</f>
        <v>06539001</v>
      </c>
      <c r="D7329" t="str">
        <f>"801"</f>
        <v>801</v>
      </c>
      <c r="E7329" t="str">
        <f t="shared" si="1609"/>
        <v>89301171</v>
      </c>
      <c r="F7329" t="str">
        <f>"0361165706"</f>
        <v>0361165706</v>
      </c>
      <c r="G7329" s="1">
        <v>44729</v>
      </c>
      <c r="H7329" t="str">
        <f>"81331"</f>
        <v>81331</v>
      </c>
      <c r="I7329">
        <v>1</v>
      </c>
      <c r="J7329">
        <v>193</v>
      </c>
      <c r="K7329">
        <v>0</v>
      </c>
      <c r="L7329">
        <v>150.54</v>
      </c>
    </row>
    <row r="7330" spans="1:12" x14ac:dyDescent="0.25">
      <c r="A7330" t="str">
        <f t="shared" si="1604"/>
        <v>89301000</v>
      </c>
      <c r="B7330" t="str">
        <f t="shared" si="1607"/>
        <v>06539000</v>
      </c>
      <c r="C7330" t="str">
        <f>"06539001"</f>
        <v>06539001</v>
      </c>
      <c r="D7330" t="str">
        <f>"801"</f>
        <v>801</v>
      </c>
      <c r="E7330" t="str">
        <f t="shared" si="1609"/>
        <v>89301171</v>
      </c>
      <c r="F7330" t="str">
        <f t="shared" ref="F7330:F7376" si="1610">"7154254481"</f>
        <v>7154254481</v>
      </c>
      <c r="G7330" s="1">
        <v>44736</v>
      </c>
      <c r="H7330" t="str">
        <f>"81329"</f>
        <v>81329</v>
      </c>
      <c r="I7330">
        <v>1</v>
      </c>
      <c r="J7330">
        <v>16</v>
      </c>
      <c r="K7330">
        <v>0</v>
      </c>
      <c r="L7330">
        <v>12.48</v>
      </c>
    </row>
    <row r="7331" spans="1:12" x14ac:dyDescent="0.25">
      <c r="A7331" t="str">
        <f t="shared" si="1604"/>
        <v>89301000</v>
      </c>
      <c r="B7331" t="str">
        <f t="shared" si="1607"/>
        <v>06539000</v>
      </c>
      <c r="C7331" t="str">
        <f>"06539001"</f>
        <v>06539001</v>
      </c>
      <c r="D7331" t="str">
        <f>"801"</f>
        <v>801</v>
      </c>
      <c r="E7331" t="str">
        <f t="shared" si="1609"/>
        <v>89301171</v>
      </c>
      <c r="F7331" t="str">
        <f t="shared" si="1610"/>
        <v>7154254481</v>
      </c>
      <c r="G7331" s="1">
        <v>44736</v>
      </c>
      <c r="H7331" t="str">
        <f>"81331"</f>
        <v>81331</v>
      </c>
      <c r="I7331">
        <v>1</v>
      </c>
      <c r="J7331">
        <v>193</v>
      </c>
      <c r="K7331">
        <v>0</v>
      </c>
      <c r="L7331">
        <v>150.54</v>
      </c>
    </row>
    <row r="7332" spans="1:12" x14ac:dyDescent="0.25">
      <c r="A7332" t="str">
        <f t="shared" si="1604"/>
        <v>89301000</v>
      </c>
      <c r="B7332" t="str">
        <f t="shared" si="1607"/>
        <v>06539000</v>
      </c>
      <c r="C7332" t="str">
        <f t="shared" ref="C7332:C7339" si="1611">"06539002"</f>
        <v>06539002</v>
      </c>
      <c r="D7332" t="str">
        <f t="shared" ref="D7332:D7339" si="1612">"802"</f>
        <v>802</v>
      </c>
      <c r="E7332" t="str">
        <f t="shared" si="1609"/>
        <v>89301171</v>
      </c>
      <c r="F7332" t="str">
        <f t="shared" si="1610"/>
        <v>7154254481</v>
      </c>
      <c r="G7332" s="1">
        <v>44736</v>
      </c>
      <c r="H7332" t="str">
        <f t="shared" ref="H7332:H7339" si="1613">"82097"</f>
        <v>82097</v>
      </c>
      <c r="I7332">
        <v>1</v>
      </c>
      <c r="J7332">
        <v>380</v>
      </c>
      <c r="K7332">
        <v>0</v>
      </c>
      <c r="L7332">
        <v>345.8</v>
      </c>
    </row>
    <row r="7333" spans="1:12" x14ac:dyDescent="0.25">
      <c r="A7333" t="str">
        <f t="shared" si="1604"/>
        <v>89301000</v>
      </c>
      <c r="B7333" t="str">
        <f t="shared" si="1607"/>
        <v>06539000</v>
      </c>
      <c r="C7333" t="str">
        <f t="shared" si="1611"/>
        <v>06539002</v>
      </c>
      <c r="D7333" t="str">
        <f t="shared" si="1612"/>
        <v>802</v>
      </c>
      <c r="E7333" t="str">
        <f t="shared" si="1609"/>
        <v>89301171</v>
      </c>
      <c r="F7333" t="str">
        <f t="shared" si="1610"/>
        <v>7154254481</v>
      </c>
      <c r="G7333" s="1">
        <v>44736</v>
      </c>
      <c r="H7333" t="str">
        <f t="shared" si="1613"/>
        <v>82097</v>
      </c>
      <c r="I7333">
        <v>1</v>
      </c>
      <c r="J7333">
        <v>380</v>
      </c>
      <c r="K7333">
        <v>0</v>
      </c>
      <c r="L7333">
        <v>345.8</v>
      </c>
    </row>
    <row r="7334" spans="1:12" x14ac:dyDescent="0.25">
      <c r="A7334" t="str">
        <f t="shared" si="1604"/>
        <v>89301000</v>
      </c>
      <c r="B7334" t="str">
        <f t="shared" si="1607"/>
        <v>06539000</v>
      </c>
      <c r="C7334" t="str">
        <f t="shared" si="1611"/>
        <v>06539002</v>
      </c>
      <c r="D7334" t="str">
        <f t="shared" si="1612"/>
        <v>802</v>
      </c>
      <c r="E7334" t="str">
        <f t="shared" si="1609"/>
        <v>89301171</v>
      </c>
      <c r="F7334" t="str">
        <f t="shared" si="1610"/>
        <v>7154254481</v>
      </c>
      <c r="G7334" s="1">
        <v>44736</v>
      </c>
      <c r="H7334" t="str">
        <f t="shared" si="1613"/>
        <v>82097</v>
      </c>
      <c r="I7334">
        <v>1</v>
      </c>
      <c r="J7334">
        <v>380</v>
      </c>
      <c r="K7334">
        <v>0</v>
      </c>
      <c r="L7334">
        <v>345.8</v>
      </c>
    </row>
    <row r="7335" spans="1:12" x14ac:dyDescent="0.25">
      <c r="A7335" t="str">
        <f t="shared" si="1604"/>
        <v>89301000</v>
      </c>
      <c r="B7335" t="str">
        <f t="shared" si="1607"/>
        <v>06539000</v>
      </c>
      <c r="C7335" t="str">
        <f t="shared" si="1611"/>
        <v>06539002</v>
      </c>
      <c r="D7335" t="str">
        <f t="shared" si="1612"/>
        <v>802</v>
      </c>
      <c r="E7335" t="str">
        <f t="shared" si="1609"/>
        <v>89301171</v>
      </c>
      <c r="F7335" t="str">
        <f t="shared" si="1610"/>
        <v>7154254481</v>
      </c>
      <c r="G7335" s="1">
        <v>44736</v>
      </c>
      <c r="H7335" t="str">
        <f t="shared" si="1613"/>
        <v>82097</v>
      </c>
      <c r="I7335">
        <v>1</v>
      </c>
      <c r="J7335">
        <v>380</v>
      </c>
      <c r="K7335">
        <v>0</v>
      </c>
      <c r="L7335">
        <v>345.8</v>
      </c>
    </row>
    <row r="7336" spans="1:12" x14ac:dyDescent="0.25">
      <c r="A7336" t="str">
        <f t="shared" si="1604"/>
        <v>89301000</v>
      </c>
      <c r="B7336" t="str">
        <f t="shared" si="1607"/>
        <v>06539000</v>
      </c>
      <c r="C7336" t="str">
        <f t="shared" si="1611"/>
        <v>06539002</v>
      </c>
      <c r="D7336" t="str">
        <f t="shared" si="1612"/>
        <v>802</v>
      </c>
      <c r="E7336" t="str">
        <f t="shared" si="1609"/>
        <v>89301171</v>
      </c>
      <c r="F7336" t="str">
        <f t="shared" si="1610"/>
        <v>7154254481</v>
      </c>
      <c r="G7336" s="1">
        <v>44736</v>
      </c>
      <c r="H7336" t="str">
        <f t="shared" si="1613"/>
        <v>82097</v>
      </c>
      <c r="I7336">
        <v>1</v>
      </c>
      <c r="J7336">
        <v>380</v>
      </c>
      <c r="K7336">
        <v>0</v>
      </c>
      <c r="L7336">
        <v>345.8</v>
      </c>
    </row>
    <row r="7337" spans="1:12" x14ac:dyDescent="0.25">
      <c r="A7337" t="str">
        <f t="shared" si="1604"/>
        <v>89301000</v>
      </c>
      <c r="B7337" t="str">
        <f t="shared" si="1607"/>
        <v>06539000</v>
      </c>
      <c r="C7337" t="str">
        <f t="shared" si="1611"/>
        <v>06539002</v>
      </c>
      <c r="D7337" t="str">
        <f t="shared" si="1612"/>
        <v>802</v>
      </c>
      <c r="E7337" t="str">
        <f t="shared" si="1609"/>
        <v>89301171</v>
      </c>
      <c r="F7337" t="str">
        <f t="shared" si="1610"/>
        <v>7154254481</v>
      </c>
      <c r="G7337" s="1">
        <v>44736</v>
      </c>
      <c r="H7337" t="str">
        <f t="shared" si="1613"/>
        <v>82097</v>
      </c>
      <c r="I7337">
        <v>1</v>
      </c>
      <c r="J7337">
        <v>380</v>
      </c>
      <c r="K7337">
        <v>0</v>
      </c>
      <c r="L7337">
        <v>345.8</v>
      </c>
    </row>
    <row r="7338" spans="1:12" x14ac:dyDescent="0.25">
      <c r="A7338" t="str">
        <f t="shared" si="1604"/>
        <v>89301000</v>
      </c>
      <c r="B7338" t="str">
        <f t="shared" si="1607"/>
        <v>06539000</v>
      </c>
      <c r="C7338" t="str">
        <f t="shared" si="1611"/>
        <v>06539002</v>
      </c>
      <c r="D7338" t="str">
        <f t="shared" si="1612"/>
        <v>802</v>
      </c>
      <c r="E7338" t="str">
        <f t="shared" si="1609"/>
        <v>89301171</v>
      </c>
      <c r="F7338" t="str">
        <f t="shared" si="1610"/>
        <v>7154254481</v>
      </c>
      <c r="G7338" s="1">
        <v>44736</v>
      </c>
      <c r="H7338" t="str">
        <f t="shared" si="1613"/>
        <v>82097</v>
      </c>
      <c r="I7338">
        <v>1</v>
      </c>
      <c r="J7338">
        <v>380</v>
      </c>
      <c r="K7338">
        <v>0</v>
      </c>
      <c r="L7338">
        <v>345.8</v>
      </c>
    </row>
    <row r="7339" spans="1:12" x14ac:dyDescent="0.25">
      <c r="A7339" t="str">
        <f t="shared" si="1604"/>
        <v>89301000</v>
      </c>
      <c r="B7339" t="str">
        <f t="shared" si="1607"/>
        <v>06539000</v>
      </c>
      <c r="C7339" t="str">
        <f t="shared" si="1611"/>
        <v>06539002</v>
      </c>
      <c r="D7339" t="str">
        <f t="shared" si="1612"/>
        <v>802</v>
      </c>
      <c r="E7339" t="str">
        <f t="shared" si="1609"/>
        <v>89301171</v>
      </c>
      <c r="F7339" t="str">
        <f t="shared" si="1610"/>
        <v>7154254481</v>
      </c>
      <c r="G7339" s="1">
        <v>44736</v>
      </c>
      <c r="H7339" t="str">
        <f t="shared" si="1613"/>
        <v>82097</v>
      </c>
      <c r="I7339">
        <v>1</v>
      </c>
      <c r="J7339">
        <v>380</v>
      </c>
      <c r="K7339">
        <v>0</v>
      </c>
      <c r="L7339">
        <v>345.8</v>
      </c>
    </row>
    <row r="7340" spans="1:12" x14ac:dyDescent="0.25">
      <c r="A7340" t="str">
        <f t="shared" si="1604"/>
        <v>89301000</v>
      </c>
      <c r="B7340" t="str">
        <f t="shared" si="1607"/>
        <v>06539000</v>
      </c>
      <c r="C7340" t="str">
        <f t="shared" ref="C7340:C7376" si="1614">"06539003"</f>
        <v>06539003</v>
      </c>
      <c r="D7340" t="str">
        <f t="shared" ref="D7340:D7376" si="1615">"813"</f>
        <v>813</v>
      </c>
      <c r="E7340" t="str">
        <f t="shared" si="1609"/>
        <v>89301171</v>
      </c>
      <c r="F7340" t="str">
        <f t="shared" si="1610"/>
        <v>7154254481</v>
      </c>
      <c r="G7340" s="1">
        <v>44739</v>
      </c>
      <c r="H7340" t="str">
        <f>"91439"</f>
        <v>91439</v>
      </c>
      <c r="I7340">
        <v>2</v>
      </c>
      <c r="J7340">
        <v>712</v>
      </c>
      <c r="K7340">
        <v>0</v>
      </c>
      <c r="L7340">
        <v>555.36</v>
      </c>
    </row>
    <row r="7341" spans="1:12" x14ac:dyDescent="0.25">
      <c r="A7341" t="str">
        <f t="shared" si="1604"/>
        <v>89301000</v>
      </c>
      <c r="B7341" t="str">
        <f t="shared" si="1607"/>
        <v>06539000</v>
      </c>
      <c r="C7341" t="str">
        <f t="shared" si="1614"/>
        <v>06539003</v>
      </c>
      <c r="D7341" t="str">
        <f t="shared" si="1615"/>
        <v>813</v>
      </c>
      <c r="E7341" t="str">
        <f t="shared" si="1609"/>
        <v>89301171</v>
      </c>
      <c r="F7341" t="str">
        <f t="shared" si="1610"/>
        <v>7154254481</v>
      </c>
      <c r="G7341" s="1">
        <v>44739</v>
      </c>
      <c r="H7341" t="str">
        <f>"91439"</f>
        <v>91439</v>
      </c>
      <c r="I7341">
        <v>1</v>
      </c>
      <c r="J7341">
        <v>356</v>
      </c>
      <c r="K7341">
        <v>0</v>
      </c>
      <c r="L7341">
        <v>277.68</v>
      </c>
    </row>
    <row r="7342" spans="1:12" x14ac:dyDescent="0.25">
      <c r="A7342" t="str">
        <f t="shared" si="1604"/>
        <v>89301000</v>
      </c>
      <c r="B7342" t="str">
        <f t="shared" si="1607"/>
        <v>06539000</v>
      </c>
      <c r="C7342" t="str">
        <f t="shared" si="1614"/>
        <v>06539003</v>
      </c>
      <c r="D7342" t="str">
        <f t="shared" si="1615"/>
        <v>813</v>
      </c>
      <c r="E7342" t="str">
        <f t="shared" si="1609"/>
        <v>89301171</v>
      </c>
      <c r="F7342" t="str">
        <f t="shared" si="1610"/>
        <v>7154254481</v>
      </c>
      <c r="G7342" s="1">
        <v>44739</v>
      </c>
      <c r="H7342" t="str">
        <f>"91439"</f>
        <v>91439</v>
      </c>
      <c r="I7342">
        <v>1</v>
      </c>
      <c r="J7342">
        <v>356</v>
      </c>
      <c r="K7342">
        <v>0</v>
      </c>
      <c r="L7342">
        <v>277.68</v>
      </c>
    </row>
    <row r="7343" spans="1:12" x14ac:dyDescent="0.25">
      <c r="A7343" t="str">
        <f t="shared" si="1604"/>
        <v>89301000</v>
      </c>
      <c r="B7343" t="str">
        <f t="shared" si="1607"/>
        <v>06539000</v>
      </c>
      <c r="C7343" t="str">
        <f t="shared" si="1614"/>
        <v>06539003</v>
      </c>
      <c r="D7343" t="str">
        <f t="shared" si="1615"/>
        <v>813</v>
      </c>
      <c r="E7343" t="str">
        <f t="shared" si="1609"/>
        <v>89301171</v>
      </c>
      <c r="F7343" t="str">
        <f t="shared" si="1610"/>
        <v>7154254481</v>
      </c>
      <c r="G7343" s="1">
        <v>44739</v>
      </c>
      <c r="H7343" t="str">
        <f>"91439"</f>
        <v>91439</v>
      </c>
      <c r="I7343">
        <v>1</v>
      </c>
      <c r="J7343">
        <v>356</v>
      </c>
      <c r="K7343">
        <v>0</v>
      </c>
      <c r="L7343">
        <v>277.68</v>
      </c>
    </row>
    <row r="7344" spans="1:12" x14ac:dyDescent="0.25">
      <c r="A7344" t="str">
        <f t="shared" si="1604"/>
        <v>89301000</v>
      </c>
      <c r="B7344" t="str">
        <f t="shared" si="1607"/>
        <v>06539000</v>
      </c>
      <c r="C7344" t="str">
        <f t="shared" si="1614"/>
        <v>06539003</v>
      </c>
      <c r="D7344" t="str">
        <f t="shared" si="1615"/>
        <v>813</v>
      </c>
      <c r="E7344" t="str">
        <f t="shared" si="1609"/>
        <v>89301171</v>
      </c>
      <c r="F7344" t="str">
        <f t="shared" si="1610"/>
        <v>7154254481</v>
      </c>
      <c r="G7344" s="1">
        <v>44739</v>
      </c>
      <c r="H7344" t="str">
        <f>"91439"</f>
        <v>91439</v>
      </c>
      <c r="I7344">
        <v>1</v>
      </c>
      <c r="J7344">
        <v>356</v>
      </c>
      <c r="K7344">
        <v>0</v>
      </c>
      <c r="L7344">
        <v>277.68</v>
      </c>
    </row>
    <row r="7345" spans="1:12" x14ac:dyDescent="0.25">
      <c r="A7345" t="str">
        <f t="shared" si="1604"/>
        <v>89301000</v>
      </c>
      <c r="B7345" t="str">
        <f t="shared" si="1607"/>
        <v>06539000</v>
      </c>
      <c r="C7345" t="str">
        <f t="shared" si="1614"/>
        <v>06539003</v>
      </c>
      <c r="D7345" t="str">
        <f t="shared" si="1615"/>
        <v>813</v>
      </c>
      <c r="E7345" t="str">
        <f t="shared" si="1609"/>
        <v>89301171</v>
      </c>
      <c r="F7345" t="str">
        <f t="shared" si="1610"/>
        <v>7154254481</v>
      </c>
      <c r="G7345" s="1">
        <v>44739</v>
      </c>
      <c r="H7345" t="str">
        <f t="shared" ref="H7345:H7354" si="1616">"91413"</f>
        <v>91413</v>
      </c>
      <c r="I7345">
        <v>1</v>
      </c>
      <c r="J7345">
        <v>853</v>
      </c>
      <c r="K7345">
        <v>0</v>
      </c>
      <c r="L7345">
        <v>665.34</v>
      </c>
    </row>
    <row r="7346" spans="1:12" x14ac:dyDescent="0.25">
      <c r="A7346" t="str">
        <f t="shared" si="1604"/>
        <v>89301000</v>
      </c>
      <c r="B7346" t="str">
        <f t="shared" si="1607"/>
        <v>06539000</v>
      </c>
      <c r="C7346" t="str">
        <f t="shared" si="1614"/>
        <v>06539003</v>
      </c>
      <c r="D7346" t="str">
        <f t="shared" si="1615"/>
        <v>813</v>
      </c>
      <c r="E7346" t="str">
        <f t="shared" si="1609"/>
        <v>89301171</v>
      </c>
      <c r="F7346" t="str">
        <f t="shared" si="1610"/>
        <v>7154254481</v>
      </c>
      <c r="G7346" s="1">
        <v>44739</v>
      </c>
      <c r="H7346" t="str">
        <f t="shared" si="1616"/>
        <v>91413</v>
      </c>
      <c r="I7346">
        <v>1</v>
      </c>
      <c r="J7346">
        <v>853</v>
      </c>
      <c r="K7346">
        <v>0</v>
      </c>
      <c r="L7346">
        <v>665.34</v>
      </c>
    </row>
    <row r="7347" spans="1:12" x14ac:dyDescent="0.25">
      <c r="A7347" t="str">
        <f t="shared" si="1604"/>
        <v>89301000</v>
      </c>
      <c r="B7347" t="str">
        <f t="shared" si="1607"/>
        <v>06539000</v>
      </c>
      <c r="C7347" t="str">
        <f t="shared" si="1614"/>
        <v>06539003</v>
      </c>
      <c r="D7347" t="str">
        <f t="shared" si="1615"/>
        <v>813</v>
      </c>
      <c r="E7347" t="str">
        <f t="shared" si="1609"/>
        <v>89301171</v>
      </c>
      <c r="F7347" t="str">
        <f t="shared" si="1610"/>
        <v>7154254481</v>
      </c>
      <c r="G7347" s="1">
        <v>44754</v>
      </c>
      <c r="H7347" t="str">
        <f t="shared" si="1616"/>
        <v>91413</v>
      </c>
      <c r="I7347">
        <v>1</v>
      </c>
      <c r="J7347">
        <v>853</v>
      </c>
      <c r="K7347">
        <v>0</v>
      </c>
      <c r="L7347">
        <v>665.34</v>
      </c>
    </row>
    <row r="7348" spans="1:12" x14ac:dyDescent="0.25">
      <c r="A7348" t="str">
        <f t="shared" si="1604"/>
        <v>89301000</v>
      </c>
      <c r="B7348" t="str">
        <f t="shared" si="1607"/>
        <v>06539000</v>
      </c>
      <c r="C7348" t="str">
        <f t="shared" si="1614"/>
        <v>06539003</v>
      </c>
      <c r="D7348" t="str">
        <f t="shared" si="1615"/>
        <v>813</v>
      </c>
      <c r="E7348" t="str">
        <f t="shared" si="1609"/>
        <v>89301171</v>
      </c>
      <c r="F7348" t="str">
        <f t="shared" si="1610"/>
        <v>7154254481</v>
      </c>
      <c r="G7348" s="1">
        <v>44754</v>
      </c>
      <c r="H7348" t="str">
        <f t="shared" si="1616"/>
        <v>91413</v>
      </c>
      <c r="I7348">
        <v>1</v>
      </c>
      <c r="J7348">
        <v>853</v>
      </c>
      <c r="K7348">
        <v>0</v>
      </c>
      <c r="L7348">
        <v>665.34</v>
      </c>
    </row>
    <row r="7349" spans="1:12" x14ac:dyDescent="0.25">
      <c r="A7349" t="str">
        <f t="shared" si="1604"/>
        <v>89301000</v>
      </c>
      <c r="B7349" t="str">
        <f t="shared" si="1607"/>
        <v>06539000</v>
      </c>
      <c r="C7349" t="str">
        <f t="shared" si="1614"/>
        <v>06539003</v>
      </c>
      <c r="D7349" t="str">
        <f t="shared" si="1615"/>
        <v>813</v>
      </c>
      <c r="E7349" t="str">
        <f t="shared" si="1609"/>
        <v>89301171</v>
      </c>
      <c r="F7349" t="str">
        <f t="shared" si="1610"/>
        <v>7154254481</v>
      </c>
      <c r="G7349" s="1">
        <v>44753</v>
      </c>
      <c r="H7349" t="str">
        <f t="shared" si="1616"/>
        <v>91413</v>
      </c>
      <c r="I7349">
        <v>1</v>
      </c>
      <c r="J7349">
        <v>853</v>
      </c>
      <c r="K7349">
        <v>0</v>
      </c>
      <c r="L7349">
        <v>665.34</v>
      </c>
    </row>
    <row r="7350" spans="1:12" x14ac:dyDescent="0.25">
      <c r="A7350" t="str">
        <f t="shared" si="1604"/>
        <v>89301000</v>
      </c>
      <c r="B7350" t="str">
        <f t="shared" si="1607"/>
        <v>06539000</v>
      </c>
      <c r="C7350" t="str">
        <f t="shared" si="1614"/>
        <v>06539003</v>
      </c>
      <c r="D7350" t="str">
        <f t="shared" si="1615"/>
        <v>813</v>
      </c>
      <c r="E7350" t="str">
        <f t="shared" si="1609"/>
        <v>89301171</v>
      </c>
      <c r="F7350" t="str">
        <f t="shared" si="1610"/>
        <v>7154254481</v>
      </c>
      <c r="G7350" s="1">
        <v>44753</v>
      </c>
      <c r="H7350" t="str">
        <f t="shared" si="1616"/>
        <v>91413</v>
      </c>
      <c r="I7350">
        <v>1</v>
      </c>
      <c r="J7350">
        <v>853</v>
      </c>
      <c r="K7350">
        <v>0</v>
      </c>
      <c r="L7350">
        <v>665.34</v>
      </c>
    </row>
    <row r="7351" spans="1:12" x14ac:dyDescent="0.25">
      <c r="A7351" t="str">
        <f t="shared" si="1604"/>
        <v>89301000</v>
      </c>
      <c r="B7351" t="str">
        <f t="shared" si="1607"/>
        <v>06539000</v>
      </c>
      <c r="C7351" t="str">
        <f t="shared" si="1614"/>
        <v>06539003</v>
      </c>
      <c r="D7351" t="str">
        <f t="shared" si="1615"/>
        <v>813</v>
      </c>
      <c r="E7351" t="str">
        <f t="shared" si="1609"/>
        <v>89301171</v>
      </c>
      <c r="F7351" t="str">
        <f t="shared" si="1610"/>
        <v>7154254481</v>
      </c>
      <c r="G7351" s="1">
        <v>44754</v>
      </c>
      <c r="H7351" t="str">
        <f t="shared" si="1616"/>
        <v>91413</v>
      </c>
      <c r="I7351">
        <v>1</v>
      </c>
      <c r="J7351">
        <v>853</v>
      </c>
      <c r="K7351">
        <v>0</v>
      </c>
      <c r="L7351">
        <v>665.34</v>
      </c>
    </row>
    <row r="7352" spans="1:12" x14ac:dyDescent="0.25">
      <c r="A7352" t="str">
        <f t="shared" si="1604"/>
        <v>89301000</v>
      </c>
      <c r="B7352" t="str">
        <f t="shared" si="1607"/>
        <v>06539000</v>
      </c>
      <c r="C7352" t="str">
        <f t="shared" si="1614"/>
        <v>06539003</v>
      </c>
      <c r="D7352" t="str">
        <f t="shared" si="1615"/>
        <v>813</v>
      </c>
      <c r="E7352" t="str">
        <f t="shared" si="1609"/>
        <v>89301171</v>
      </c>
      <c r="F7352" t="str">
        <f t="shared" si="1610"/>
        <v>7154254481</v>
      </c>
      <c r="G7352" s="1">
        <v>44754</v>
      </c>
      <c r="H7352" t="str">
        <f t="shared" si="1616"/>
        <v>91413</v>
      </c>
      <c r="I7352">
        <v>1</v>
      </c>
      <c r="J7352">
        <v>853</v>
      </c>
      <c r="K7352">
        <v>0</v>
      </c>
      <c r="L7352">
        <v>665.34</v>
      </c>
    </row>
    <row r="7353" spans="1:12" x14ac:dyDescent="0.25">
      <c r="A7353" t="str">
        <f t="shared" si="1604"/>
        <v>89301000</v>
      </c>
      <c r="B7353" t="str">
        <f t="shared" si="1607"/>
        <v>06539000</v>
      </c>
      <c r="C7353" t="str">
        <f t="shared" si="1614"/>
        <v>06539003</v>
      </c>
      <c r="D7353" t="str">
        <f t="shared" si="1615"/>
        <v>813</v>
      </c>
      <c r="E7353" t="str">
        <f t="shared" si="1609"/>
        <v>89301171</v>
      </c>
      <c r="F7353" t="str">
        <f t="shared" si="1610"/>
        <v>7154254481</v>
      </c>
      <c r="G7353" s="1">
        <v>44754</v>
      </c>
      <c r="H7353" t="str">
        <f t="shared" si="1616"/>
        <v>91413</v>
      </c>
      <c r="I7353">
        <v>1</v>
      </c>
      <c r="J7353">
        <v>853</v>
      </c>
      <c r="K7353">
        <v>0</v>
      </c>
      <c r="L7353">
        <v>665.34</v>
      </c>
    </row>
    <row r="7354" spans="1:12" x14ac:dyDescent="0.25">
      <c r="A7354" t="str">
        <f t="shared" si="1604"/>
        <v>89301000</v>
      </c>
      <c r="B7354" t="str">
        <f t="shared" si="1607"/>
        <v>06539000</v>
      </c>
      <c r="C7354" t="str">
        <f t="shared" si="1614"/>
        <v>06539003</v>
      </c>
      <c r="D7354" t="str">
        <f t="shared" si="1615"/>
        <v>813</v>
      </c>
      <c r="E7354" t="str">
        <f t="shared" si="1609"/>
        <v>89301171</v>
      </c>
      <c r="F7354" t="str">
        <f t="shared" si="1610"/>
        <v>7154254481</v>
      </c>
      <c r="G7354" s="1">
        <v>44754</v>
      </c>
      <c r="H7354" t="str">
        <f t="shared" si="1616"/>
        <v>91413</v>
      </c>
      <c r="I7354">
        <v>1</v>
      </c>
      <c r="J7354">
        <v>853</v>
      </c>
      <c r="K7354">
        <v>0</v>
      </c>
      <c r="L7354">
        <v>665.34</v>
      </c>
    </row>
    <row r="7355" spans="1:12" x14ac:dyDescent="0.25">
      <c r="A7355" t="str">
        <f t="shared" si="1604"/>
        <v>89301000</v>
      </c>
      <c r="B7355" t="str">
        <f t="shared" si="1607"/>
        <v>06539000</v>
      </c>
      <c r="C7355" t="str">
        <f t="shared" si="1614"/>
        <v>06539003</v>
      </c>
      <c r="D7355" t="str">
        <f t="shared" si="1615"/>
        <v>813</v>
      </c>
      <c r="E7355" t="str">
        <f t="shared" si="1609"/>
        <v>89301171</v>
      </c>
      <c r="F7355" t="str">
        <f t="shared" si="1610"/>
        <v>7154254481</v>
      </c>
      <c r="G7355" s="1">
        <v>44736</v>
      </c>
      <c r="H7355" t="str">
        <f t="shared" ref="H7355:H7361" si="1617">"91197"</f>
        <v>91197</v>
      </c>
      <c r="I7355">
        <v>1</v>
      </c>
      <c r="J7355">
        <v>1046</v>
      </c>
      <c r="K7355">
        <v>0</v>
      </c>
      <c r="L7355">
        <v>815.88</v>
      </c>
    </row>
    <row r="7356" spans="1:12" x14ac:dyDescent="0.25">
      <c r="A7356" t="str">
        <f t="shared" si="1604"/>
        <v>89301000</v>
      </c>
      <c r="B7356" t="str">
        <f t="shared" si="1607"/>
        <v>06539000</v>
      </c>
      <c r="C7356" t="str">
        <f t="shared" si="1614"/>
        <v>06539003</v>
      </c>
      <c r="D7356" t="str">
        <f t="shared" si="1615"/>
        <v>813</v>
      </c>
      <c r="E7356" t="str">
        <f t="shared" si="1609"/>
        <v>89301171</v>
      </c>
      <c r="F7356" t="str">
        <f t="shared" si="1610"/>
        <v>7154254481</v>
      </c>
      <c r="G7356" s="1">
        <v>44739</v>
      </c>
      <c r="H7356" t="str">
        <f t="shared" si="1617"/>
        <v>91197</v>
      </c>
      <c r="I7356">
        <v>1</v>
      </c>
      <c r="J7356">
        <v>1046</v>
      </c>
      <c r="K7356">
        <v>0</v>
      </c>
      <c r="L7356">
        <v>815.88</v>
      </c>
    </row>
    <row r="7357" spans="1:12" x14ac:dyDescent="0.25">
      <c r="A7357" t="str">
        <f t="shared" si="1604"/>
        <v>89301000</v>
      </c>
      <c r="B7357" t="str">
        <f t="shared" si="1607"/>
        <v>06539000</v>
      </c>
      <c r="C7357" t="str">
        <f t="shared" si="1614"/>
        <v>06539003</v>
      </c>
      <c r="D7357" t="str">
        <f t="shared" si="1615"/>
        <v>813</v>
      </c>
      <c r="E7357" t="str">
        <f t="shared" si="1609"/>
        <v>89301171</v>
      </c>
      <c r="F7357" t="str">
        <f t="shared" si="1610"/>
        <v>7154254481</v>
      </c>
      <c r="G7357" s="1">
        <v>44739</v>
      </c>
      <c r="H7357" t="str">
        <f t="shared" si="1617"/>
        <v>91197</v>
      </c>
      <c r="I7357">
        <v>1</v>
      </c>
      <c r="J7357">
        <v>1046</v>
      </c>
      <c r="K7357">
        <v>0</v>
      </c>
      <c r="L7357">
        <v>815.88</v>
      </c>
    </row>
    <row r="7358" spans="1:12" x14ac:dyDescent="0.25">
      <c r="A7358" t="str">
        <f t="shared" si="1604"/>
        <v>89301000</v>
      </c>
      <c r="B7358" t="str">
        <f t="shared" si="1607"/>
        <v>06539000</v>
      </c>
      <c r="C7358" t="str">
        <f t="shared" si="1614"/>
        <v>06539003</v>
      </c>
      <c r="D7358" t="str">
        <f t="shared" si="1615"/>
        <v>813</v>
      </c>
      <c r="E7358" t="str">
        <f t="shared" si="1609"/>
        <v>89301171</v>
      </c>
      <c r="F7358" t="str">
        <f t="shared" si="1610"/>
        <v>7154254481</v>
      </c>
      <c r="G7358" s="1">
        <v>44738</v>
      </c>
      <c r="H7358" t="str">
        <f t="shared" si="1617"/>
        <v>91197</v>
      </c>
      <c r="I7358">
        <v>1</v>
      </c>
      <c r="J7358">
        <v>1046</v>
      </c>
      <c r="K7358">
        <v>0</v>
      </c>
      <c r="L7358">
        <v>815.88</v>
      </c>
    </row>
    <row r="7359" spans="1:12" x14ac:dyDescent="0.25">
      <c r="A7359" t="str">
        <f t="shared" si="1604"/>
        <v>89301000</v>
      </c>
      <c r="B7359" t="str">
        <f t="shared" si="1607"/>
        <v>06539000</v>
      </c>
      <c r="C7359" t="str">
        <f t="shared" si="1614"/>
        <v>06539003</v>
      </c>
      <c r="D7359" t="str">
        <f t="shared" si="1615"/>
        <v>813</v>
      </c>
      <c r="E7359" t="str">
        <f t="shared" si="1609"/>
        <v>89301171</v>
      </c>
      <c r="F7359" t="str">
        <f t="shared" si="1610"/>
        <v>7154254481</v>
      </c>
      <c r="G7359" s="1">
        <v>44738</v>
      </c>
      <c r="H7359" t="str">
        <f t="shared" si="1617"/>
        <v>91197</v>
      </c>
      <c r="I7359">
        <v>1</v>
      </c>
      <c r="J7359">
        <v>1046</v>
      </c>
      <c r="K7359">
        <v>0</v>
      </c>
      <c r="L7359">
        <v>815.88</v>
      </c>
    </row>
    <row r="7360" spans="1:12" x14ac:dyDescent="0.25">
      <c r="A7360" t="str">
        <f t="shared" si="1604"/>
        <v>89301000</v>
      </c>
      <c r="B7360" t="str">
        <f t="shared" si="1607"/>
        <v>06539000</v>
      </c>
      <c r="C7360" t="str">
        <f t="shared" si="1614"/>
        <v>06539003</v>
      </c>
      <c r="D7360" t="str">
        <f t="shared" si="1615"/>
        <v>813</v>
      </c>
      <c r="E7360" t="str">
        <f t="shared" ref="E7360:E7376" si="1618">"89301171"</f>
        <v>89301171</v>
      </c>
      <c r="F7360" t="str">
        <f t="shared" si="1610"/>
        <v>7154254481</v>
      </c>
      <c r="G7360" s="1">
        <v>44737</v>
      </c>
      <c r="H7360" t="str">
        <f t="shared" si="1617"/>
        <v>91197</v>
      </c>
      <c r="I7360">
        <v>1</v>
      </c>
      <c r="J7360">
        <v>1046</v>
      </c>
      <c r="K7360">
        <v>0</v>
      </c>
      <c r="L7360">
        <v>815.88</v>
      </c>
    </row>
    <row r="7361" spans="1:12" x14ac:dyDescent="0.25">
      <c r="A7361" t="str">
        <f t="shared" si="1604"/>
        <v>89301000</v>
      </c>
      <c r="B7361" t="str">
        <f t="shared" si="1607"/>
        <v>06539000</v>
      </c>
      <c r="C7361" t="str">
        <f t="shared" si="1614"/>
        <v>06539003</v>
      </c>
      <c r="D7361" t="str">
        <f t="shared" si="1615"/>
        <v>813</v>
      </c>
      <c r="E7361" t="str">
        <f t="shared" si="1618"/>
        <v>89301171</v>
      </c>
      <c r="F7361" t="str">
        <f t="shared" si="1610"/>
        <v>7154254481</v>
      </c>
      <c r="G7361" s="1">
        <v>44737</v>
      </c>
      <c r="H7361" t="str">
        <f t="shared" si="1617"/>
        <v>91197</v>
      </c>
      <c r="I7361">
        <v>1</v>
      </c>
      <c r="J7361">
        <v>1046</v>
      </c>
      <c r="K7361">
        <v>0</v>
      </c>
      <c r="L7361">
        <v>815.88</v>
      </c>
    </row>
    <row r="7362" spans="1:12" x14ac:dyDescent="0.25">
      <c r="A7362" t="str">
        <f t="shared" ref="A7362:A7425" si="1619">"89301000"</f>
        <v>89301000</v>
      </c>
      <c r="B7362" t="str">
        <f t="shared" si="1607"/>
        <v>06539000</v>
      </c>
      <c r="C7362" t="str">
        <f t="shared" si="1614"/>
        <v>06539003</v>
      </c>
      <c r="D7362" t="str">
        <f t="shared" si="1615"/>
        <v>813</v>
      </c>
      <c r="E7362" t="str">
        <f t="shared" si="1618"/>
        <v>89301171</v>
      </c>
      <c r="F7362" t="str">
        <f t="shared" si="1610"/>
        <v>7154254481</v>
      </c>
      <c r="G7362" s="1">
        <v>44739</v>
      </c>
      <c r="H7362" t="str">
        <f>"91329"</f>
        <v>91329</v>
      </c>
      <c r="I7362">
        <v>2</v>
      </c>
      <c r="J7362">
        <v>428</v>
      </c>
      <c r="K7362">
        <v>0</v>
      </c>
      <c r="L7362">
        <v>333.84</v>
      </c>
    </row>
    <row r="7363" spans="1:12" x14ac:dyDescent="0.25">
      <c r="A7363" t="str">
        <f t="shared" si="1619"/>
        <v>89301000</v>
      </c>
      <c r="B7363" t="str">
        <f t="shared" si="1607"/>
        <v>06539000</v>
      </c>
      <c r="C7363" t="str">
        <f t="shared" si="1614"/>
        <v>06539003</v>
      </c>
      <c r="D7363" t="str">
        <f t="shared" si="1615"/>
        <v>813</v>
      </c>
      <c r="E7363" t="str">
        <f t="shared" si="1618"/>
        <v>89301171</v>
      </c>
      <c r="F7363" t="str">
        <f t="shared" si="1610"/>
        <v>7154254481</v>
      </c>
      <c r="G7363" s="1">
        <v>44739</v>
      </c>
      <c r="H7363" t="str">
        <f>"91329"</f>
        <v>91329</v>
      </c>
      <c r="I7363">
        <v>2</v>
      </c>
      <c r="J7363">
        <v>428</v>
      </c>
      <c r="K7363">
        <v>0</v>
      </c>
      <c r="L7363">
        <v>333.84</v>
      </c>
    </row>
    <row r="7364" spans="1:12" x14ac:dyDescent="0.25">
      <c r="A7364" t="str">
        <f t="shared" si="1619"/>
        <v>89301000</v>
      </c>
      <c r="B7364" t="str">
        <f t="shared" si="1607"/>
        <v>06539000</v>
      </c>
      <c r="C7364" t="str">
        <f t="shared" si="1614"/>
        <v>06539003</v>
      </c>
      <c r="D7364" t="str">
        <f t="shared" si="1615"/>
        <v>813</v>
      </c>
      <c r="E7364" t="str">
        <f t="shared" si="1618"/>
        <v>89301171</v>
      </c>
      <c r="F7364" t="str">
        <f t="shared" si="1610"/>
        <v>7154254481</v>
      </c>
      <c r="G7364" s="1">
        <v>44739</v>
      </c>
      <c r="H7364" t="str">
        <f>"91329"</f>
        <v>91329</v>
      </c>
      <c r="I7364">
        <v>2</v>
      </c>
      <c r="J7364">
        <v>428</v>
      </c>
      <c r="K7364">
        <v>0</v>
      </c>
      <c r="L7364">
        <v>333.84</v>
      </c>
    </row>
    <row r="7365" spans="1:12" x14ac:dyDescent="0.25">
      <c r="A7365" t="str">
        <f t="shared" si="1619"/>
        <v>89301000</v>
      </c>
      <c r="B7365" t="str">
        <f t="shared" si="1607"/>
        <v>06539000</v>
      </c>
      <c r="C7365" t="str">
        <f t="shared" si="1614"/>
        <v>06539003</v>
      </c>
      <c r="D7365" t="str">
        <f t="shared" si="1615"/>
        <v>813</v>
      </c>
      <c r="E7365" t="str">
        <f t="shared" si="1618"/>
        <v>89301171</v>
      </c>
      <c r="F7365" t="str">
        <f t="shared" si="1610"/>
        <v>7154254481</v>
      </c>
      <c r="G7365" s="1">
        <v>44739</v>
      </c>
      <c r="H7365" t="str">
        <f>"91329"</f>
        <v>91329</v>
      </c>
      <c r="I7365">
        <v>2</v>
      </c>
      <c r="J7365">
        <v>428</v>
      </c>
      <c r="K7365">
        <v>0</v>
      </c>
      <c r="L7365">
        <v>333.84</v>
      </c>
    </row>
    <row r="7366" spans="1:12" x14ac:dyDescent="0.25">
      <c r="A7366" t="str">
        <f t="shared" si="1619"/>
        <v>89301000</v>
      </c>
      <c r="B7366" t="str">
        <f t="shared" si="1607"/>
        <v>06539000</v>
      </c>
      <c r="C7366" t="str">
        <f t="shared" si="1614"/>
        <v>06539003</v>
      </c>
      <c r="D7366" t="str">
        <f t="shared" si="1615"/>
        <v>813</v>
      </c>
      <c r="E7366" t="str">
        <f t="shared" si="1618"/>
        <v>89301171</v>
      </c>
      <c r="F7366" t="str">
        <f t="shared" si="1610"/>
        <v>7154254481</v>
      </c>
      <c r="G7366" s="1">
        <v>44736</v>
      </c>
      <c r="H7366" t="str">
        <f>"91129"</f>
        <v>91129</v>
      </c>
      <c r="I7366">
        <v>1</v>
      </c>
      <c r="J7366">
        <v>174</v>
      </c>
      <c r="K7366">
        <v>0</v>
      </c>
      <c r="L7366">
        <v>135.72</v>
      </c>
    </row>
    <row r="7367" spans="1:12" x14ac:dyDescent="0.25">
      <c r="A7367" t="str">
        <f t="shared" si="1619"/>
        <v>89301000</v>
      </c>
      <c r="B7367" t="str">
        <f t="shared" si="1607"/>
        <v>06539000</v>
      </c>
      <c r="C7367" t="str">
        <f t="shared" si="1614"/>
        <v>06539003</v>
      </c>
      <c r="D7367" t="str">
        <f t="shared" si="1615"/>
        <v>813</v>
      </c>
      <c r="E7367" t="str">
        <f t="shared" si="1618"/>
        <v>89301171</v>
      </c>
      <c r="F7367" t="str">
        <f t="shared" si="1610"/>
        <v>7154254481</v>
      </c>
      <c r="G7367" s="1">
        <v>44736</v>
      </c>
      <c r="H7367" t="str">
        <f>"91131"</f>
        <v>91131</v>
      </c>
      <c r="I7367">
        <v>1</v>
      </c>
      <c r="J7367">
        <v>171</v>
      </c>
      <c r="K7367">
        <v>0</v>
      </c>
      <c r="L7367">
        <v>133.38</v>
      </c>
    </row>
    <row r="7368" spans="1:12" x14ac:dyDescent="0.25">
      <c r="A7368" t="str">
        <f t="shared" si="1619"/>
        <v>89301000</v>
      </c>
      <c r="B7368" t="str">
        <f t="shared" si="1607"/>
        <v>06539000</v>
      </c>
      <c r="C7368" t="str">
        <f t="shared" si="1614"/>
        <v>06539003</v>
      </c>
      <c r="D7368" t="str">
        <f t="shared" si="1615"/>
        <v>813</v>
      </c>
      <c r="E7368" t="str">
        <f t="shared" si="1618"/>
        <v>89301171</v>
      </c>
      <c r="F7368" t="str">
        <f t="shared" si="1610"/>
        <v>7154254481</v>
      </c>
      <c r="G7368" s="1">
        <v>44736</v>
      </c>
      <c r="H7368" t="str">
        <f>"91133"</f>
        <v>91133</v>
      </c>
      <c r="I7368">
        <v>1</v>
      </c>
      <c r="J7368">
        <v>176</v>
      </c>
      <c r="K7368">
        <v>0</v>
      </c>
      <c r="L7368">
        <v>137.28</v>
      </c>
    </row>
    <row r="7369" spans="1:12" x14ac:dyDescent="0.25">
      <c r="A7369" t="str">
        <f t="shared" si="1619"/>
        <v>89301000</v>
      </c>
      <c r="B7369" t="str">
        <f t="shared" si="1607"/>
        <v>06539000</v>
      </c>
      <c r="C7369" t="str">
        <f t="shared" si="1614"/>
        <v>06539003</v>
      </c>
      <c r="D7369" t="str">
        <f t="shared" si="1615"/>
        <v>813</v>
      </c>
      <c r="E7369" t="str">
        <f t="shared" si="1618"/>
        <v>89301171</v>
      </c>
      <c r="F7369" t="str">
        <f t="shared" si="1610"/>
        <v>7154254481</v>
      </c>
      <c r="G7369" s="1">
        <v>44736</v>
      </c>
      <c r="H7369" t="str">
        <f>"91171"</f>
        <v>91171</v>
      </c>
      <c r="I7369">
        <v>1</v>
      </c>
      <c r="J7369">
        <v>360</v>
      </c>
      <c r="K7369">
        <v>0</v>
      </c>
      <c r="L7369">
        <v>280.8</v>
      </c>
    </row>
    <row r="7370" spans="1:12" x14ac:dyDescent="0.25">
      <c r="A7370" t="str">
        <f t="shared" si="1619"/>
        <v>89301000</v>
      </c>
      <c r="B7370" t="str">
        <f t="shared" si="1607"/>
        <v>06539000</v>
      </c>
      <c r="C7370" t="str">
        <f t="shared" si="1614"/>
        <v>06539003</v>
      </c>
      <c r="D7370" t="str">
        <f t="shared" si="1615"/>
        <v>813</v>
      </c>
      <c r="E7370" t="str">
        <f t="shared" si="1618"/>
        <v>89301171</v>
      </c>
      <c r="F7370" t="str">
        <f t="shared" si="1610"/>
        <v>7154254481</v>
      </c>
      <c r="G7370" s="1">
        <v>44736</v>
      </c>
      <c r="H7370" t="str">
        <f>"91173"</f>
        <v>91173</v>
      </c>
      <c r="I7370">
        <v>1</v>
      </c>
      <c r="J7370">
        <v>335</v>
      </c>
      <c r="K7370">
        <v>0</v>
      </c>
      <c r="L7370">
        <v>261.3</v>
      </c>
    </row>
    <row r="7371" spans="1:12" x14ac:dyDescent="0.25">
      <c r="A7371" t="str">
        <f t="shared" si="1619"/>
        <v>89301000</v>
      </c>
      <c r="B7371" t="str">
        <f t="shared" si="1607"/>
        <v>06539000</v>
      </c>
      <c r="C7371" t="str">
        <f t="shared" si="1614"/>
        <v>06539003</v>
      </c>
      <c r="D7371" t="str">
        <f t="shared" si="1615"/>
        <v>813</v>
      </c>
      <c r="E7371" t="str">
        <f t="shared" si="1618"/>
        <v>89301171</v>
      </c>
      <c r="F7371" t="str">
        <f t="shared" si="1610"/>
        <v>7154254481</v>
      </c>
      <c r="G7371" s="1">
        <v>44736</v>
      </c>
      <c r="H7371" t="str">
        <f>"91175"</f>
        <v>91175</v>
      </c>
      <c r="I7371">
        <v>1</v>
      </c>
      <c r="J7371">
        <v>360</v>
      </c>
      <c r="K7371">
        <v>0</v>
      </c>
      <c r="L7371">
        <v>280.8</v>
      </c>
    </row>
    <row r="7372" spans="1:12" x14ac:dyDescent="0.25">
      <c r="A7372" t="str">
        <f t="shared" si="1619"/>
        <v>89301000</v>
      </c>
      <c r="B7372" t="str">
        <f t="shared" si="1607"/>
        <v>06539000</v>
      </c>
      <c r="C7372" t="str">
        <f t="shared" si="1614"/>
        <v>06539003</v>
      </c>
      <c r="D7372" t="str">
        <f t="shared" si="1615"/>
        <v>813</v>
      </c>
      <c r="E7372" t="str">
        <f t="shared" si="1618"/>
        <v>89301171</v>
      </c>
      <c r="F7372" t="str">
        <f t="shared" si="1610"/>
        <v>7154254481</v>
      </c>
      <c r="G7372" s="1">
        <v>44737</v>
      </c>
      <c r="H7372" t="str">
        <f>"91167"</f>
        <v>91167</v>
      </c>
      <c r="I7372">
        <v>1</v>
      </c>
      <c r="J7372">
        <v>425</v>
      </c>
      <c r="K7372">
        <v>0</v>
      </c>
      <c r="L7372">
        <v>331.5</v>
      </c>
    </row>
    <row r="7373" spans="1:12" x14ac:dyDescent="0.25">
      <c r="A7373" t="str">
        <f t="shared" si="1619"/>
        <v>89301000</v>
      </c>
      <c r="B7373" t="str">
        <f t="shared" si="1607"/>
        <v>06539000</v>
      </c>
      <c r="C7373" t="str">
        <f t="shared" si="1614"/>
        <v>06539003</v>
      </c>
      <c r="D7373" t="str">
        <f t="shared" si="1615"/>
        <v>813</v>
      </c>
      <c r="E7373" t="str">
        <f t="shared" si="1618"/>
        <v>89301171</v>
      </c>
      <c r="F7373" t="str">
        <f t="shared" si="1610"/>
        <v>7154254481</v>
      </c>
      <c r="G7373" s="1">
        <v>44737</v>
      </c>
      <c r="H7373" t="str">
        <f>"91169"</f>
        <v>91169</v>
      </c>
      <c r="I7373">
        <v>1</v>
      </c>
      <c r="J7373">
        <v>425</v>
      </c>
      <c r="K7373">
        <v>0</v>
      </c>
      <c r="L7373">
        <v>331.5</v>
      </c>
    </row>
    <row r="7374" spans="1:12" x14ac:dyDescent="0.25">
      <c r="A7374" t="str">
        <f t="shared" si="1619"/>
        <v>89301000</v>
      </c>
      <c r="B7374" t="str">
        <f t="shared" si="1607"/>
        <v>06539000</v>
      </c>
      <c r="C7374" t="str">
        <f t="shared" si="1614"/>
        <v>06539003</v>
      </c>
      <c r="D7374" t="str">
        <f t="shared" si="1615"/>
        <v>813</v>
      </c>
      <c r="E7374" t="str">
        <f t="shared" si="1618"/>
        <v>89301171</v>
      </c>
      <c r="F7374" t="str">
        <f t="shared" si="1610"/>
        <v>7154254481</v>
      </c>
      <c r="G7374" s="1">
        <v>44736</v>
      </c>
      <c r="H7374" t="str">
        <f>"91167"</f>
        <v>91167</v>
      </c>
      <c r="I7374">
        <v>1</v>
      </c>
      <c r="J7374">
        <v>425</v>
      </c>
      <c r="K7374">
        <v>0</v>
      </c>
      <c r="L7374">
        <v>331.5</v>
      </c>
    </row>
    <row r="7375" spans="1:12" x14ac:dyDescent="0.25">
      <c r="A7375" t="str">
        <f t="shared" si="1619"/>
        <v>89301000</v>
      </c>
      <c r="B7375" t="str">
        <f t="shared" si="1607"/>
        <v>06539000</v>
      </c>
      <c r="C7375" t="str">
        <f t="shared" si="1614"/>
        <v>06539003</v>
      </c>
      <c r="D7375" t="str">
        <f t="shared" si="1615"/>
        <v>813</v>
      </c>
      <c r="E7375" t="str">
        <f t="shared" si="1618"/>
        <v>89301171</v>
      </c>
      <c r="F7375" t="str">
        <f t="shared" si="1610"/>
        <v>7154254481</v>
      </c>
      <c r="G7375" s="1">
        <v>44736</v>
      </c>
      <c r="H7375" t="str">
        <f>"91169"</f>
        <v>91169</v>
      </c>
      <c r="I7375">
        <v>1</v>
      </c>
      <c r="J7375">
        <v>425</v>
      </c>
      <c r="K7375">
        <v>0</v>
      </c>
      <c r="L7375">
        <v>331.5</v>
      </c>
    </row>
    <row r="7376" spans="1:12" x14ac:dyDescent="0.25">
      <c r="A7376" t="str">
        <f t="shared" si="1619"/>
        <v>89301000</v>
      </c>
      <c r="B7376" t="str">
        <f t="shared" si="1607"/>
        <v>06539000</v>
      </c>
      <c r="C7376" t="str">
        <f t="shared" si="1614"/>
        <v>06539003</v>
      </c>
      <c r="D7376" t="str">
        <f t="shared" si="1615"/>
        <v>813</v>
      </c>
      <c r="E7376" t="str">
        <f t="shared" si="1618"/>
        <v>89301171</v>
      </c>
      <c r="F7376" t="str">
        <f t="shared" si="1610"/>
        <v>7154254481</v>
      </c>
      <c r="G7376" s="1">
        <v>44736</v>
      </c>
      <c r="H7376" t="str">
        <f>"91475"</f>
        <v>91475</v>
      </c>
      <c r="I7376">
        <v>1</v>
      </c>
      <c r="J7376">
        <v>206</v>
      </c>
      <c r="K7376">
        <v>0</v>
      </c>
      <c r="L7376">
        <v>160.68</v>
      </c>
    </row>
    <row r="7377" spans="1:12" x14ac:dyDescent="0.25">
      <c r="A7377" t="str">
        <f t="shared" si="1619"/>
        <v>89301000</v>
      </c>
      <c r="B7377" t="str">
        <f t="shared" si="1607"/>
        <v>06539000</v>
      </c>
      <c r="C7377" t="str">
        <f>"06539001"</f>
        <v>06539001</v>
      </c>
      <c r="D7377" t="str">
        <f>"801"</f>
        <v>801</v>
      </c>
      <c r="E7377" t="str">
        <f t="shared" ref="E7377:E7423" si="1620">"89301031"</f>
        <v>89301031</v>
      </c>
      <c r="F7377" t="str">
        <f t="shared" ref="F7377:F7423" si="1621">"6955045779"</f>
        <v>6955045779</v>
      </c>
      <c r="G7377" s="1">
        <v>44736</v>
      </c>
      <c r="H7377" t="str">
        <f>"81329"</f>
        <v>81329</v>
      </c>
      <c r="I7377">
        <v>1</v>
      </c>
      <c r="J7377">
        <v>16</v>
      </c>
      <c r="K7377">
        <v>0</v>
      </c>
      <c r="L7377">
        <v>12.48</v>
      </c>
    </row>
    <row r="7378" spans="1:12" x14ac:dyDescent="0.25">
      <c r="A7378" t="str">
        <f t="shared" si="1619"/>
        <v>89301000</v>
      </c>
      <c r="B7378" t="str">
        <f t="shared" ref="B7378:B7441" si="1622">"06539000"</f>
        <v>06539000</v>
      </c>
      <c r="C7378" t="str">
        <f>"06539001"</f>
        <v>06539001</v>
      </c>
      <c r="D7378" t="str">
        <f>"801"</f>
        <v>801</v>
      </c>
      <c r="E7378" t="str">
        <f t="shared" si="1620"/>
        <v>89301031</v>
      </c>
      <c r="F7378" t="str">
        <f t="shared" si="1621"/>
        <v>6955045779</v>
      </c>
      <c r="G7378" s="1">
        <v>44736</v>
      </c>
      <c r="H7378" t="str">
        <f>"81331"</f>
        <v>81331</v>
      </c>
      <c r="I7378">
        <v>1</v>
      </c>
      <c r="J7378">
        <v>193</v>
      </c>
      <c r="K7378">
        <v>0</v>
      </c>
      <c r="L7378">
        <v>150.54</v>
      </c>
    </row>
    <row r="7379" spans="1:12" x14ac:dyDescent="0.25">
      <c r="A7379" t="str">
        <f t="shared" si="1619"/>
        <v>89301000</v>
      </c>
      <c r="B7379" t="str">
        <f t="shared" si="1622"/>
        <v>06539000</v>
      </c>
      <c r="C7379" t="str">
        <f t="shared" ref="C7379:C7386" si="1623">"06539002"</f>
        <v>06539002</v>
      </c>
      <c r="D7379" t="str">
        <f t="shared" ref="D7379:D7386" si="1624">"802"</f>
        <v>802</v>
      </c>
      <c r="E7379" t="str">
        <f t="shared" si="1620"/>
        <v>89301031</v>
      </c>
      <c r="F7379" t="str">
        <f t="shared" si="1621"/>
        <v>6955045779</v>
      </c>
      <c r="G7379" s="1">
        <v>44736</v>
      </c>
      <c r="H7379" t="str">
        <f t="shared" ref="H7379:H7386" si="1625">"82097"</f>
        <v>82097</v>
      </c>
      <c r="I7379">
        <v>1</v>
      </c>
      <c r="J7379">
        <v>380</v>
      </c>
      <c r="K7379">
        <v>0</v>
      </c>
      <c r="L7379">
        <v>345.8</v>
      </c>
    </row>
    <row r="7380" spans="1:12" x14ac:dyDescent="0.25">
      <c r="A7380" t="str">
        <f t="shared" si="1619"/>
        <v>89301000</v>
      </c>
      <c r="B7380" t="str">
        <f t="shared" si="1622"/>
        <v>06539000</v>
      </c>
      <c r="C7380" t="str">
        <f t="shared" si="1623"/>
        <v>06539002</v>
      </c>
      <c r="D7380" t="str">
        <f t="shared" si="1624"/>
        <v>802</v>
      </c>
      <c r="E7380" t="str">
        <f t="shared" si="1620"/>
        <v>89301031</v>
      </c>
      <c r="F7380" t="str">
        <f t="shared" si="1621"/>
        <v>6955045779</v>
      </c>
      <c r="G7380" s="1">
        <v>44736</v>
      </c>
      <c r="H7380" t="str">
        <f t="shared" si="1625"/>
        <v>82097</v>
      </c>
      <c r="I7380">
        <v>1</v>
      </c>
      <c r="J7380">
        <v>380</v>
      </c>
      <c r="K7380">
        <v>0</v>
      </c>
      <c r="L7380">
        <v>345.8</v>
      </c>
    </row>
    <row r="7381" spans="1:12" x14ac:dyDescent="0.25">
      <c r="A7381" t="str">
        <f t="shared" si="1619"/>
        <v>89301000</v>
      </c>
      <c r="B7381" t="str">
        <f t="shared" si="1622"/>
        <v>06539000</v>
      </c>
      <c r="C7381" t="str">
        <f t="shared" si="1623"/>
        <v>06539002</v>
      </c>
      <c r="D7381" t="str">
        <f t="shared" si="1624"/>
        <v>802</v>
      </c>
      <c r="E7381" t="str">
        <f t="shared" si="1620"/>
        <v>89301031</v>
      </c>
      <c r="F7381" t="str">
        <f t="shared" si="1621"/>
        <v>6955045779</v>
      </c>
      <c r="G7381" s="1">
        <v>44736</v>
      </c>
      <c r="H7381" t="str">
        <f t="shared" si="1625"/>
        <v>82097</v>
      </c>
      <c r="I7381">
        <v>1</v>
      </c>
      <c r="J7381">
        <v>380</v>
      </c>
      <c r="K7381">
        <v>0</v>
      </c>
      <c r="L7381">
        <v>345.8</v>
      </c>
    </row>
    <row r="7382" spans="1:12" x14ac:dyDescent="0.25">
      <c r="A7382" t="str">
        <f t="shared" si="1619"/>
        <v>89301000</v>
      </c>
      <c r="B7382" t="str">
        <f t="shared" si="1622"/>
        <v>06539000</v>
      </c>
      <c r="C7382" t="str">
        <f t="shared" si="1623"/>
        <v>06539002</v>
      </c>
      <c r="D7382" t="str">
        <f t="shared" si="1624"/>
        <v>802</v>
      </c>
      <c r="E7382" t="str">
        <f t="shared" si="1620"/>
        <v>89301031</v>
      </c>
      <c r="F7382" t="str">
        <f t="shared" si="1621"/>
        <v>6955045779</v>
      </c>
      <c r="G7382" s="1">
        <v>44736</v>
      </c>
      <c r="H7382" t="str">
        <f t="shared" si="1625"/>
        <v>82097</v>
      </c>
      <c r="I7382">
        <v>1</v>
      </c>
      <c r="J7382">
        <v>380</v>
      </c>
      <c r="K7382">
        <v>0</v>
      </c>
      <c r="L7382">
        <v>345.8</v>
      </c>
    </row>
    <row r="7383" spans="1:12" x14ac:dyDescent="0.25">
      <c r="A7383" t="str">
        <f t="shared" si="1619"/>
        <v>89301000</v>
      </c>
      <c r="B7383" t="str">
        <f t="shared" si="1622"/>
        <v>06539000</v>
      </c>
      <c r="C7383" t="str">
        <f t="shared" si="1623"/>
        <v>06539002</v>
      </c>
      <c r="D7383" t="str">
        <f t="shared" si="1624"/>
        <v>802</v>
      </c>
      <c r="E7383" t="str">
        <f t="shared" si="1620"/>
        <v>89301031</v>
      </c>
      <c r="F7383" t="str">
        <f t="shared" si="1621"/>
        <v>6955045779</v>
      </c>
      <c r="G7383" s="1">
        <v>44736</v>
      </c>
      <c r="H7383" t="str">
        <f t="shared" si="1625"/>
        <v>82097</v>
      </c>
      <c r="I7383">
        <v>1</v>
      </c>
      <c r="J7383">
        <v>380</v>
      </c>
      <c r="K7383">
        <v>0</v>
      </c>
      <c r="L7383">
        <v>345.8</v>
      </c>
    </row>
    <row r="7384" spans="1:12" x14ac:dyDescent="0.25">
      <c r="A7384" t="str">
        <f t="shared" si="1619"/>
        <v>89301000</v>
      </c>
      <c r="B7384" t="str">
        <f t="shared" si="1622"/>
        <v>06539000</v>
      </c>
      <c r="C7384" t="str">
        <f t="shared" si="1623"/>
        <v>06539002</v>
      </c>
      <c r="D7384" t="str">
        <f t="shared" si="1624"/>
        <v>802</v>
      </c>
      <c r="E7384" t="str">
        <f t="shared" si="1620"/>
        <v>89301031</v>
      </c>
      <c r="F7384" t="str">
        <f t="shared" si="1621"/>
        <v>6955045779</v>
      </c>
      <c r="G7384" s="1">
        <v>44736</v>
      </c>
      <c r="H7384" t="str">
        <f t="shared" si="1625"/>
        <v>82097</v>
      </c>
      <c r="I7384">
        <v>1</v>
      </c>
      <c r="J7384">
        <v>380</v>
      </c>
      <c r="K7384">
        <v>0</v>
      </c>
      <c r="L7384">
        <v>345.8</v>
      </c>
    </row>
    <row r="7385" spans="1:12" x14ac:dyDescent="0.25">
      <c r="A7385" t="str">
        <f t="shared" si="1619"/>
        <v>89301000</v>
      </c>
      <c r="B7385" t="str">
        <f t="shared" si="1622"/>
        <v>06539000</v>
      </c>
      <c r="C7385" t="str">
        <f t="shared" si="1623"/>
        <v>06539002</v>
      </c>
      <c r="D7385" t="str">
        <f t="shared" si="1624"/>
        <v>802</v>
      </c>
      <c r="E7385" t="str">
        <f t="shared" si="1620"/>
        <v>89301031</v>
      </c>
      <c r="F7385" t="str">
        <f t="shared" si="1621"/>
        <v>6955045779</v>
      </c>
      <c r="G7385" s="1">
        <v>44736</v>
      </c>
      <c r="H7385" t="str">
        <f t="shared" si="1625"/>
        <v>82097</v>
      </c>
      <c r="I7385">
        <v>1</v>
      </c>
      <c r="J7385">
        <v>380</v>
      </c>
      <c r="K7385">
        <v>0</v>
      </c>
      <c r="L7385">
        <v>345.8</v>
      </c>
    </row>
    <row r="7386" spans="1:12" x14ac:dyDescent="0.25">
      <c r="A7386" t="str">
        <f t="shared" si="1619"/>
        <v>89301000</v>
      </c>
      <c r="B7386" t="str">
        <f t="shared" si="1622"/>
        <v>06539000</v>
      </c>
      <c r="C7386" t="str">
        <f t="shared" si="1623"/>
        <v>06539002</v>
      </c>
      <c r="D7386" t="str">
        <f t="shared" si="1624"/>
        <v>802</v>
      </c>
      <c r="E7386" t="str">
        <f t="shared" si="1620"/>
        <v>89301031</v>
      </c>
      <c r="F7386" t="str">
        <f t="shared" si="1621"/>
        <v>6955045779</v>
      </c>
      <c r="G7386" s="1">
        <v>44736</v>
      </c>
      <c r="H7386" t="str">
        <f t="shared" si="1625"/>
        <v>82097</v>
      </c>
      <c r="I7386">
        <v>1</v>
      </c>
      <c r="J7386">
        <v>380</v>
      </c>
      <c r="K7386">
        <v>0</v>
      </c>
      <c r="L7386">
        <v>345.8</v>
      </c>
    </row>
    <row r="7387" spans="1:12" x14ac:dyDescent="0.25">
      <c r="A7387" t="str">
        <f t="shared" si="1619"/>
        <v>89301000</v>
      </c>
      <c r="B7387" t="str">
        <f t="shared" si="1622"/>
        <v>06539000</v>
      </c>
      <c r="C7387" t="str">
        <f t="shared" ref="C7387:C7423" si="1626">"06539003"</f>
        <v>06539003</v>
      </c>
      <c r="D7387" t="str">
        <f t="shared" ref="D7387:D7423" si="1627">"813"</f>
        <v>813</v>
      </c>
      <c r="E7387" t="str">
        <f t="shared" si="1620"/>
        <v>89301031</v>
      </c>
      <c r="F7387" t="str">
        <f t="shared" si="1621"/>
        <v>6955045779</v>
      </c>
      <c r="G7387" s="1">
        <v>44739</v>
      </c>
      <c r="H7387" t="str">
        <f>"91439"</f>
        <v>91439</v>
      </c>
      <c r="I7387">
        <v>1</v>
      </c>
      <c r="J7387">
        <v>356</v>
      </c>
      <c r="K7387">
        <v>0</v>
      </c>
      <c r="L7387">
        <v>277.68</v>
      </c>
    </row>
    <row r="7388" spans="1:12" x14ac:dyDescent="0.25">
      <c r="A7388" t="str">
        <f t="shared" si="1619"/>
        <v>89301000</v>
      </c>
      <c r="B7388" t="str">
        <f t="shared" si="1622"/>
        <v>06539000</v>
      </c>
      <c r="C7388" t="str">
        <f t="shared" si="1626"/>
        <v>06539003</v>
      </c>
      <c r="D7388" t="str">
        <f t="shared" si="1627"/>
        <v>813</v>
      </c>
      <c r="E7388" t="str">
        <f t="shared" si="1620"/>
        <v>89301031</v>
      </c>
      <c r="F7388" t="str">
        <f t="shared" si="1621"/>
        <v>6955045779</v>
      </c>
      <c r="G7388" s="1">
        <v>44739</v>
      </c>
      <c r="H7388" t="str">
        <f>"91439"</f>
        <v>91439</v>
      </c>
      <c r="I7388">
        <v>1</v>
      </c>
      <c r="J7388">
        <v>356</v>
      </c>
      <c r="K7388">
        <v>0</v>
      </c>
      <c r="L7388">
        <v>277.68</v>
      </c>
    </row>
    <row r="7389" spans="1:12" x14ac:dyDescent="0.25">
      <c r="A7389" t="str">
        <f t="shared" si="1619"/>
        <v>89301000</v>
      </c>
      <c r="B7389" t="str">
        <f t="shared" si="1622"/>
        <v>06539000</v>
      </c>
      <c r="C7389" t="str">
        <f t="shared" si="1626"/>
        <v>06539003</v>
      </c>
      <c r="D7389" t="str">
        <f t="shared" si="1627"/>
        <v>813</v>
      </c>
      <c r="E7389" t="str">
        <f t="shared" si="1620"/>
        <v>89301031</v>
      </c>
      <c r="F7389" t="str">
        <f t="shared" si="1621"/>
        <v>6955045779</v>
      </c>
      <c r="G7389" s="1">
        <v>44739</v>
      </c>
      <c r="H7389" t="str">
        <f>"91439"</f>
        <v>91439</v>
      </c>
      <c r="I7389">
        <v>1</v>
      </c>
      <c r="J7389">
        <v>356</v>
      </c>
      <c r="K7389">
        <v>0</v>
      </c>
      <c r="L7389">
        <v>277.68</v>
      </c>
    </row>
    <row r="7390" spans="1:12" x14ac:dyDescent="0.25">
      <c r="A7390" t="str">
        <f t="shared" si="1619"/>
        <v>89301000</v>
      </c>
      <c r="B7390" t="str">
        <f t="shared" si="1622"/>
        <v>06539000</v>
      </c>
      <c r="C7390" t="str">
        <f t="shared" si="1626"/>
        <v>06539003</v>
      </c>
      <c r="D7390" t="str">
        <f t="shared" si="1627"/>
        <v>813</v>
      </c>
      <c r="E7390" t="str">
        <f t="shared" si="1620"/>
        <v>89301031</v>
      </c>
      <c r="F7390" t="str">
        <f t="shared" si="1621"/>
        <v>6955045779</v>
      </c>
      <c r="G7390" s="1">
        <v>44739</v>
      </c>
      <c r="H7390" t="str">
        <f>"91439"</f>
        <v>91439</v>
      </c>
      <c r="I7390">
        <v>1</v>
      </c>
      <c r="J7390">
        <v>356</v>
      </c>
      <c r="K7390">
        <v>0</v>
      </c>
      <c r="L7390">
        <v>277.68</v>
      </c>
    </row>
    <row r="7391" spans="1:12" x14ac:dyDescent="0.25">
      <c r="A7391" t="str">
        <f t="shared" si="1619"/>
        <v>89301000</v>
      </c>
      <c r="B7391" t="str">
        <f t="shared" si="1622"/>
        <v>06539000</v>
      </c>
      <c r="C7391" t="str">
        <f t="shared" si="1626"/>
        <v>06539003</v>
      </c>
      <c r="D7391" t="str">
        <f t="shared" si="1627"/>
        <v>813</v>
      </c>
      <c r="E7391" t="str">
        <f t="shared" si="1620"/>
        <v>89301031</v>
      </c>
      <c r="F7391" t="str">
        <f t="shared" si="1621"/>
        <v>6955045779</v>
      </c>
      <c r="G7391" s="1">
        <v>44739</v>
      </c>
      <c r="H7391" t="str">
        <f>"91439"</f>
        <v>91439</v>
      </c>
      <c r="I7391">
        <v>2</v>
      </c>
      <c r="J7391">
        <v>712</v>
      </c>
      <c r="K7391">
        <v>0</v>
      </c>
      <c r="L7391">
        <v>555.36</v>
      </c>
    </row>
    <row r="7392" spans="1:12" x14ac:dyDescent="0.25">
      <c r="A7392" t="str">
        <f t="shared" si="1619"/>
        <v>89301000</v>
      </c>
      <c r="B7392" t="str">
        <f t="shared" si="1622"/>
        <v>06539000</v>
      </c>
      <c r="C7392" t="str">
        <f t="shared" si="1626"/>
        <v>06539003</v>
      </c>
      <c r="D7392" t="str">
        <f t="shared" si="1627"/>
        <v>813</v>
      </c>
      <c r="E7392" t="str">
        <f t="shared" si="1620"/>
        <v>89301031</v>
      </c>
      <c r="F7392" t="str">
        <f t="shared" si="1621"/>
        <v>6955045779</v>
      </c>
      <c r="G7392" s="1">
        <v>44741</v>
      </c>
      <c r="H7392" t="str">
        <f t="shared" ref="H7392:H7401" si="1628">"91413"</f>
        <v>91413</v>
      </c>
      <c r="I7392">
        <v>1</v>
      </c>
      <c r="J7392">
        <v>853</v>
      </c>
      <c r="K7392">
        <v>0</v>
      </c>
      <c r="L7392">
        <v>665.34</v>
      </c>
    </row>
    <row r="7393" spans="1:12" x14ac:dyDescent="0.25">
      <c r="A7393" t="str">
        <f t="shared" si="1619"/>
        <v>89301000</v>
      </c>
      <c r="B7393" t="str">
        <f t="shared" si="1622"/>
        <v>06539000</v>
      </c>
      <c r="C7393" t="str">
        <f t="shared" si="1626"/>
        <v>06539003</v>
      </c>
      <c r="D7393" t="str">
        <f t="shared" si="1627"/>
        <v>813</v>
      </c>
      <c r="E7393" t="str">
        <f t="shared" si="1620"/>
        <v>89301031</v>
      </c>
      <c r="F7393" t="str">
        <f t="shared" si="1621"/>
        <v>6955045779</v>
      </c>
      <c r="G7393" s="1">
        <v>44741</v>
      </c>
      <c r="H7393" t="str">
        <f t="shared" si="1628"/>
        <v>91413</v>
      </c>
      <c r="I7393">
        <v>1</v>
      </c>
      <c r="J7393">
        <v>853</v>
      </c>
      <c r="K7393">
        <v>0</v>
      </c>
      <c r="L7393">
        <v>665.34</v>
      </c>
    </row>
    <row r="7394" spans="1:12" x14ac:dyDescent="0.25">
      <c r="A7394" t="str">
        <f t="shared" si="1619"/>
        <v>89301000</v>
      </c>
      <c r="B7394" t="str">
        <f t="shared" si="1622"/>
        <v>06539000</v>
      </c>
      <c r="C7394" t="str">
        <f t="shared" si="1626"/>
        <v>06539003</v>
      </c>
      <c r="D7394" t="str">
        <f t="shared" si="1627"/>
        <v>813</v>
      </c>
      <c r="E7394" t="str">
        <f t="shared" si="1620"/>
        <v>89301031</v>
      </c>
      <c r="F7394" t="str">
        <f t="shared" si="1621"/>
        <v>6955045779</v>
      </c>
      <c r="G7394" s="1">
        <v>44754</v>
      </c>
      <c r="H7394" t="str">
        <f t="shared" si="1628"/>
        <v>91413</v>
      </c>
      <c r="I7394">
        <v>1</v>
      </c>
      <c r="J7394">
        <v>853</v>
      </c>
      <c r="K7394">
        <v>0</v>
      </c>
      <c r="L7394">
        <v>665.34</v>
      </c>
    </row>
    <row r="7395" spans="1:12" x14ac:dyDescent="0.25">
      <c r="A7395" t="str">
        <f t="shared" si="1619"/>
        <v>89301000</v>
      </c>
      <c r="B7395" t="str">
        <f t="shared" si="1622"/>
        <v>06539000</v>
      </c>
      <c r="C7395" t="str">
        <f t="shared" si="1626"/>
        <v>06539003</v>
      </c>
      <c r="D7395" t="str">
        <f t="shared" si="1627"/>
        <v>813</v>
      </c>
      <c r="E7395" t="str">
        <f t="shared" si="1620"/>
        <v>89301031</v>
      </c>
      <c r="F7395" t="str">
        <f t="shared" si="1621"/>
        <v>6955045779</v>
      </c>
      <c r="G7395" s="1">
        <v>44754</v>
      </c>
      <c r="H7395" t="str">
        <f t="shared" si="1628"/>
        <v>91413</v>
      </c>
      <c r="I7395">
        <v>1</v>
      </c>
      <c r="J7395">
        <v>853</v>
      </c>
      <c r="K7395">
        <v>0</v>
      </c>
      <c r="L7395">
        <v>665.34</v>
      </c>
    </row>
    <row r="7396" spans="1:12" x14ac:dyDescent="0.25">
      <c r="A7396" t="str">
        <f t="shared" si="1619"/>
        <v>89301000</v>
      </c>
      <c r="B7396" t="str">
        <f t="shared" si="1622"/>
        <v>06539000</v>
      </c>
      <c r="C7396" t="str">
        <f t="shared" si="1626"/>
        <v>06539003</v>
      </c>
      <c r="D7396" t="str">
        <f t="shared" si="1627"/>
        <v>813</v>
      </c>
      <c r="E7396" t="str">
        <f t="shared" si="1620"/>
        <v>89301031</v>
      </c>
      <c r="F7396" t="str">
        <f t="shared" si="1621"/>
        <v>6955045779</v>
      </c>
      <c r="G7396" s="1">
        <v>44753</v>
      </c>
      <c r="H7396" t="str">
        <f t="shared" si="1628"/>
        <v>91413</v>
      </c>
      <c r="I7396">
        <v>1</v>
      </c>
      <c r="J7396">
        <v>853</v>
      </c>
      <c r="K7396">
        <v>0</v>
      </c>
      <c r="L7396">
        <v>665.34</v>
      </c>
    </row>
    <row r="7397" spans="1:12" x14ac:dyDescent="0.25">
      <c r="A7397" t="str">
        <f t="shared" si="1619"/>
        <v>89301000</v>
      </c>
      <c r="B7397" t="str">
        <f t="shared" si="1622"/>
        <v>06539000</v>
      </c>
      <c r="C7397" t="str">
        <f t="shared" si="1626"/>
        <v>06539003</v>
      </c>
      <c r="D7397" t="str">
        <f t="shared" si="1627"/>
        <v>813</v>
      </c>
      <c r="E7397" t="str">
        <f t="shared" si="1620"/>
        <v>89301031</v>
      </c>
      <c r="F7397" t="str">
        <f t="shared" si="1621"/>
        <v>6955045779</v>
      </c>
      <c r="G7397" s="1">
        <v>44753</v>
      </c>
      <c r="H7397" t="str">
        <f t="shared" si="1628"/>
        <v>91413</v>
      </c>
      <c r="I7397">
        <v>1</v>
      </c>
      <c r="J7397">
        <v>853</v>
      </c>
      <c r="K7397">
        <v>0</v>
      </c>
      <c r="L7397">
        <v>665.34</v>
      </c>
    </row>
    <row r="7398" spans="1:12" x14ac:dyDescent="0.25">
      <c r="A7398" t="str">
        <f t="shared" si="1619"/>
        <v>89301000</v>
      </c>
      <c r="B7398" t="str">
        <f t="shared" si="1622"/>
        <v>06539000</v>
      </c>
      <c r="C7398" t="str">
        <f t="shared" si="1626"/>
        <v>06539003</v>
      </c>
      <c r="D7398" t="str">
        <f t="shared" si="1627"/>
        <v>813</v>
      </c>
      <c r="E7398" t="str">
        <f t="shared" si="1620"/>
        <v>89301031</v>
      </c>
      <c r="F7398" t="str">
        <f t="shared" si="1621"/>
        <v>6955045779</v>
      </c>
      <c r="G7398" s="1">
        <v>44754</v>
      </c>
      <c r="H7398" t="str">
        <f t="shared" si="1628"/>
        <v>91413</v>
      </c>
      <c r="I7398">
        <v>1</v>
      </c>
      <c r="J7398">
        <v>853</v>
      </c>
      <c r="K7398">
        <v>0</v>
      </c>
      <c r="L7398">
        <v>665.34</v>
      </c>
    </row>
    <row r="7399" spans="1:12" x14ac:dyDescent="0.25">
      <c r="A7399" t="str">
        <f t="shared" si="1619"/>
        <v>89301000</v>
      </c>
      <c r="B7399" t="str">
        <f t="shared" si="1622"/>
        <v>06539000</v>
      </c>
      <c r="C7399" t="str">
        <f t="shared" si="1626"/>
        <v>06539003</v>
      </c>
      <c r="D7399" t="str">
        <f t="shared" si="1627"/>
        <v>813</v>
      </c>
      <c r="E7399" t="str">
        <f t="shared" si="1620"/>
        <v>89301031</v>
      </c>
      <c r="F7399" t="str">
        <f t="shared" si="1621"/>
        <v>6955045779</v>
      </c>
      <c r="G7399" s="1">
        <v>44754</v>
      </c>
      <c r="H7399" t="str">
        <f t="shared" si="1628"/>
        <v>91413</v>
      </c>
      <c r="I7399">
        <v>1</v>
      </c>
      <c r="J7399">
        <v>853</v>
      </c>
      <c r="K7399">
        <v>0</v>
      </c>
      <c r="L7399">
        <v>665.34</v>
      </c>
    </row>
    <row r="7400" spans="1:12" x14ac:dyDescent="0.25">
      <c r="A7400" t="str">
        <f t="shared" si="1619"/>
        <v>89301000</v>
      </c>
      <c r="B7400" t="str">
        <f t="shared" si="1622"/>
        <v>06539000</v>
      </c>
      <c r="C7400" t="str">
        <f t="shared" si="1626"/>
        <v>06539003</v>
      </c>
      <c r="D7400" t="str">
        <f t="shared" si="1627"/>
        <v>813</v>
      </c>
      <c r="E7400" t="str">
        <f t="shared" si="1620"/>
        <v>89301031</v>
      </c>
      <c r="F7400" t="str">
        <f t="shared" si="1621"/>
        <v>6955045779</v>
      </c>
      <c r="G7400" s="1">
        <v>44754</v>
      </c>
      <c r="H7400" t="str">
        <f t="shared" si="1628"/>
        <v>91413</v>
      </c>
      <c r="I7400">
        <v>1</v>
      </c>
      <c r="J7400">
        <v>853</v>
      </c>
      <c r="K7400">
        <v>0</v>
      </c>
      <c r="L7400">
        <v>665.34</v>
      </c>
    </row>
    <row r="7401" spans="1:12" x14ac:dyDescent="0.25">
      <c r="A7401" t="str">
        <f t="shared" si="1619"/>
        <v>89301000</v>
      </c>
      <c r="B7401" t="str">
        <f t="shared" si="1622"/>
        <v>06539000</v>
      </c>
      <c r="C7401" t="str">
        <f t="shared" si="1626"/>
        <v>06539003</v>
      </c>
      <c r="D7401" t="str">
        <f t="shared" si="1627"/>
        <v>813</v>
      </c>
      <c r="E7401" t="str">
        <f t="shared" si="1620"/>
        <v>89301031</v>
      </c>
      <c r="F7401" t="str">
        <f t="shared" si="1621"/>
        <v>6955045779</v>
      </c>
      <c r="G7401" s="1">
        <v>44754</v>
      </c>
      <c r="H7401" t="str">
        <f t="shared" si="1628"/>
        <v>91413</v>
      </c>
      <c r="I7401">
        <v>1</v>
      </c>
      <c r="J7401">
        <v>853</v>
      </c>
      <c r="K7401">
        <v>0</v>
      </c>
      <c r="L7401">
        <v>665.34</v>
      </c>
    </row>
    <row r="7402" spans="1:12" x14ac:dyDescent="0.25">
      <c r="A7402" t="str">
        <f t="shared" si="1619"/>
        <v>89301000</v>
      </c>
      <c r="B7402" t="str">
        <f t="shared" si="1622"/>
        <v>06539000</v>
      </c>
      <c r="C7402" t="str">
        <f t="shared" si="1626"/>
        <v>06539003</v>
      </c>
      <c r="D7402" t="str">
        <f t="shared" si="1627"/>
        <v>813</v>
      </c>
      <c r="E7402" t="str">
        <f t="shared" si="1620"/>
        <v>89301031</v>
      </c>
      <c r="F7402" t="str">
        <f t="shared" si="1621"/>
        <v>6955045779</v>
      </c>
      <c r="G7402" s="1">
        <v>44736</v>
      </c>
      <c r="H7402" t="str">
        <f t="shared" ref="H7402:H7408" si="1629">"91197"</f>
        <v>91197</v>
      </c>
      <c r="I7402">
        <v>1</v>
      </c>
      <c r="J7402">
        <v>1046</v>
      </c>
      <c r="K7402">
        <v>0</v>
      </c>
      <c r="L7402">
        <v>815.88</v>
      </c>
    </row>
    <row r="7403" spans="1:12" x14ac:dyDescent="0.25">
      <c r="A7403" t="str">
        <f t="shared" si="1619"/>
        <v>89301000</v>
      </c>
      <c r="B7403" t="str">
        <f t="shared" si="1622"/>
        <v>06539000</v>
      </c>
      <c r="C7403" t="str">
        <f t="shared" si="1626"/>
        <v>06539003</v>
      </c>
      <c r="D7403" t="str">
        <f t="shared" si="1627"/>
        <v>813</v>
      </c>
      <c r="E7403" t="str">
        <f t="shared" si="1620"/>
        <v>89301031</v>
      </c>
      <c r="F7403" t="str">
        <f t="shared" si="1621"/>
        <v>6955045779</v>
      </c>
      <c r="G7403" s="1">
        <v>44739</v>
      </c>
      <c r="H7403" t="str">
        <f t="shared" si="1629"/>
        <v>91197</v>
      </c>
      <c r="I7403">
        <v>1</v>
      </c>
      <c r="J7403">
        <v>1046</v>
      </c>
      <c r="K7403">
        <v>0</v>
      </c>
      <c r="L7403">
        <v>815.88</v>
      </c>
    </row>
    <row r="7404" spans="1:12" x14ac:dyDescent="0.25">
      <c r="A7404" t="str">
        <f t="shared" si="1619"/>
        <v>89301000</v>
      </c>
      <c r="B7404" t="str">
        <f t="shared" si="1622"/>
        <v>06539000</v>
      </c>
      <c r="C7404" t="str">
        <f t="shared" si="1626"/>
        <v>06539003</v>
      </c>
      <c r="D7404" t="str">
        <f t="shared" si="1627"/>
        <v>813</v>
      </c>
      <c r="E7404" t="str">
        <f t="shared" si="1620"/>
        <v>89301031</v>
      </c>
      <c r="F7404" t="str">
        <f t="shared" si="1621"/>
        <v>6955045779</v>
      </c>
      <c r="G7404" s="1">
        <v>44739</v>
      </c>
      <c r="H7404" t="str">
        <f t="shared" si="1629"/>
        <v>91197</v>
      </c>
      <c r="I7404">
        <v>1</v>
      </c>
      <c r="J7404">
        <v>1046</v>
      </c>
      <c r="K7404">
        <v>0</v>
      </c>
      <c r="L7404">
        <v>815.88</v>
      </c>
    </row>
    <row r="7405" spans="1:12" x14ac:dyDescent="0.25">
      <c r="A7405" t="str">
        <f t="shared" si="1619"/>
        <v>89301000</v>
      </c>
      <c r="B7405" t="str">
        <f t="shared" si="1622"/>
        <v>06539000</v>
      </c>
      <c r="C7405" t="str">
        <f t="shared" si="1626"/>
        <v>06539003</v>
      </c>
      <c r="D7405" t="str">
        <f t="shared" si="1627"/>
        <v>813</v>
      </c>
      <c r="E7405" t="str">
        <f t="shared" si="1620"/>
        <v>89301031</v>
      </c>
      <c r="F7405" t="str">
        <f t="shared" si="1621"/>
        <v>6955045779</v>
      </c>
      <c r="G7405" s="1">
        <v>44738</v>
      </c>
      <c r="H7405" t="str">
        <f t="shared" si="1629"/>
        <v>91197</v>
      </c>
      <c r="I7405">
        <v>1</v>
      </c>
      <c r="J7405">
        <v>1046</v>
      </c>
      <c r="K7405">
        <v>0</v>
      </c>
      <c r="L7405">
        <v>815.88</v>
      </c>
    </row>
    <row r="7406" spans="1:12" x14ac:dyDescent="0.25">
      <c r="A7406" t="str">
        <f t="shared" si="1619"/>
        <v>89301000</v>
      </c>
      <c r="B7406" t="str">
        <f t="shared" si="1622"/>
        <v>06539000</v>
      </c>
      <c r="C7406" t="str">
        <f t="shared" si="1626"/>
        <v>06539003</v>
      </c>
      <c r="D7406" t="str">
        <f t="shared" si="1627"/>
        <v>813</v>
      </c>
      <c r="E7406" t="str">
        <f t="shared" si="1620"/>
        <v>89301031</v>
      </c>
      <c r="F7406" t="str">
        <f t="shared" si="1621"/>
        <v>6955045779</v>
      </c>
      <c r="G7406" s="1">
        <v>44738</v>
      </c>
      <c r="H7406" t="str">
        <f t="shared" si="1629"/>
        <v>91197</v>
      </c>
      <c r="I7406">
        <v>1</v>
      </c>
      <c r="J7406">
        <v>1046</v>
      </c>
      <c r="K7406">
        <v>0</v>
      </c>
      <c r="L7406">
        <v>815.88</v>
      </c>
    </row>
    <row r="7407" spans="1:12" x14ac:dyDescent="0.25">
      <c r="A7407" t="str">
        <f t="shared" si="1619"/>
        <v>89301000</v>
      </c>
      <c r="B7407" t="str">
        <f t="shared" si="1622"/>
        <v>06539000</v>
      </c>
      <c r="C7407" t="str">
        <f t="shared" si="1626"/>
        <v>06539003</v>
      </c>
      <c r="D7407" t="str">
        <f t="shared" si="1627"/>
        <v>813</v>
      </c>
      <c r="E7407" t="str">
        <f t="shared" si="1620"/>
        <v>89301031</v>
      </c>
      <c r="F7407" t="str">
        <f t="shared" si="1621"/>
        <v>6955045779</v>
      </c>
      <c r="G7407" s="1">
        <v>44737</v>
      </c>
      <c r="H7407" t="str">
        <f t="shared" si="1629"/>
        <v>91197</v>
      </c>
      <c r="I7407">
        <v>1</v>
      </c>
      <c r="J7407">
        <v>1046</v>
      </c>
      <c r="K7407">
        <v>0</v>
      </c>
      <c r="L7407">
        <v>815.88</v>
      </c>
    </row>
    <row r="7408" spans="1:12" x14ac:dyDescent="0.25">
      <c r="A7408" t="str">
        <f t="shared" si="1619"/>
        <v>89301000</v>
      </c>
      <c r="B7408" t="str">
        <f t="shared" si="1622"/>
        <v>06539000</v>
      </c>
      <c r="C7408" t="str">
        <f t="shared" si="1626"/>
        <v>06539003</v>
      </c>
      <c r="D7408" t="str">
        <f t="shared" si="1627"/>
        <v>813</v>
      </c>
      <c r="E7408" t="str">
        <f t="shared" si="1620"/>
        <v>89301031</v>
      </c>
      <c r="F7408" t="str">
        <f t="shared" si="1621"/>
        <v>6955045779</v>
      </c>
      <c r="G7408" s="1">
        <v>44737</v>
      </c>
      <c r="H7408" t="str">
        <f t="shared" si="1629"/>
        <v>91197</v>
      </c>
      <c r="I7408">
        <v>1</v>
      </c>
      <c r="J7408">
        <v>1046</v>
      </c>
      <c r="K7408">
        <v>0</v>
      </c>
      <c r="L7408">
        <v>815.88</v>
      </c>
    </row>
    <row r="7409" spans="1:12" x14ac:dyDescent="0.25">
      <c r="A7409" t="str">
        <f t="shared" si="1619"/>
        <v>89301000</v>
      </c>
      <c r="B7409" t="str">
        <f t="shared" si="1622"/>
        <v>06539000</v>
      </c>
      <c r="C7409" t="str">
        <f t="shared" si="1626"/>
        <v>06539003</v>
      </c>
      <c r="D7409" t="str">
        <f t="shared" si="1627"/>
        <v>813</v>
      </c>
      <c r="E7409" t="str">
        <f t="shared" si="1620"/>
        <v>89301031</v>
      </c>
      <c r="F7409" t="str">
        <f t="shared" si="1621"/>
        <v>6955045779</v>
      </c>
      <c r="G7409" s="1">
        <v>44739</v>
      </c>
      <c r="H7409" t="str">
        <f>"91329"</f>
        <v>91329</v>
      </c>
      <c r="I7409">
        <v>2</v>
      </c>
      <c r="J7409">
        <v>428</v>
      </c>
      <c r="K7409">
        <v>0</v>
      </c>
      <c r="L7409">
        <v>333.84</v>
      </c>
    </row>
    <row r="7410" spans="1:12" x14ac:dyDescent="0.25">
      <c r="A7410" t="str">
        <f t="shared" si="1619"/>
        <v>89301000</v>
      </c>
      <c r="B7410" t="str">
        <f t="shared" si="1622"/>
        <v>06539000</v>
      </c>
      <c r="C7410" t="str">
        <f t="shared" si="1626"/>
        <v>06539003</v>
      </c>
      <c r="D7410" t="str">
        <f t="shared" si="1627"/>
        <v>813</v>
      </c>
      <c r="E7410" t="str">
        <f t="shared" si="1620"/>
        <v>89301031</v>
      </c>
      <c r="F7410" t="str">
        <f t="shared" si="1621"/>
        <v>6955045779</v>
      </c>
      <c r="G7410" s="1">
        <v>44739</v>
      </c>
      <c r="H7410" t="str">
        <f>"91329"</f>
        <v>91329</v>
      </c>
      <c r="I7410">
        <v>2</v>
      </c>
      <c r="J7410">
        <v>428</v>
      </c>
      <c r="K7410">
        <v>0</v>
      </c>
      <c r="L7410">
        <v>333.84</v>
      </c>
    </row>
    <row r="7411" spans="1:12" x14ac:dyDescent="0.25">
      <c r="A7411" t="str">
        <f t="shared" si="1619"/>
        <v>89301000</v>
      </c>
      <c r="B7411" t="str">
        <f t="shared" si="1622"/>
        <v>06539000</v>
      </c>
      <c r="C7411" t="str">
        <f t="shared" si="1626"/>
        <v>06539003</v>
      </c>
      <c r="D7411" t="str">
        <f t="shared" si="1627"/>
        <v>813</v>
      </c>
      <c r="E7411" t="str">
        <f t="shared" si="1620"/>
        <v>89301031</v>
      </c>
      <c r="F7411" t="str">
        <f t="shared" si="1621"/>
        <v>6955045779</v>
      </c>
      <c r="G7411" s="1">
        <v>44739</v>
      </c>
      <c r="H7411" t="str">
        <f>"91329"</f>
        <v>91329</v>
      </c>
      <c r="I7411">
        <v>2</v>
      </c>
      <c r="J7411">
        <v>428</v>
      </c>
      <c r="K7411">
        <v>0</v>
      </c>
      <c r="L7411">
        <v>333.84</v>
      </c>
    </row>
    <row r="7412" spans="1:12" x14ac:dyDescent="0.25">
      <c r="A7412" t="str">
        <f t="shared" si="1619"/>
        <v>89301000</v>
      </c>
      <c r="B7412" t="str">
        <f t="shared" si="1622"/>
        <v>06539000</v>
      </c>
      <c r="C7412" t="str">
        <f t="shared" si="1626"/>
        <v>06539003</v>
      </c>
      <c r="D7412" t="str">
        <f t="shared" si="1627"/>
        <v>813</v>
      </c>
      <c r="E7412" t="str">
        <f t="shared" si="1620"/>
        <v>89301031</v>
      </c>
      <c r="F7412" t="str">
        <f t="shared" si="1621"/>
        <v>6955045779</v>
      </c>
      <c r="G7412" s="1">
        <v>44739</v>
      </c>
      <c r="H7412" t="str">
        <f>"91329"</f>
        <v>91329</v>
      </c>
      <c r="I7412">
        <v>2</v>
      </c>
      <c r="J7412">
        <v>428</v>
      </c>
      <c r="K7412">
        <v>0</v>
      </c>
      <c r="L7412">
        <v>333.84</v>
      </c>
    </row>
    <row r="7413" spans="1:12" x14ac:dyDescent="0.25">
      <c r="A7413" t="str">
        <f t="shared" si="1619"/>
        <v>89301000</v>
      </c>
      <c r="B7413" t="str">
        <f t="shared" si="1622"/>
        <v>06539000</v>
      </c>
      <c r="C7413" t="str">
        <f t="shared" si="1626"/>
        <v>06539003</v>
      </c>
      <c r="D7413" t="str">
        <f t="shared" si="1627"/>
        <v>813</v>
      </c>
      <c r="E7413" t="str">
        <f t="shared" si="1620"/>
        <v>89301031</v>
      </c>
      <c r="F7413" t="str">
        <f t="shared" si="1621"/>
        <v>6955045779</v>
      </c>
      <c r="G7413" s="1">
        <v>44736</v>
      </c>
      <c r="H7413" t="str">
        <f>"91129"</f>
        <v>91129</v>
      </c>
      <c r="I7413">
        <v>1</v>
      </c>
      <c r="J7413">
        <v>174</v>
      </c>
      <c r="K7413">
        <v>0</v>
      </c>
      <c r="L7413">
        <v>135.72</v>
      </c>
    </row>
    <row r="7414" spans="1:12" x14ac:dyDescent="0.25">
      <c r="A7414" t="str">
        <f t="shared" si="1619"/>
        <v>89301000</v>
      </c>
      <c r="B7414" t="str">
        <f t="shared" si="1622"/>
        <v>06539000</v>
      </c>
      <c r="C7414" t="str">
        <f t="shared" si="1626"/>
        <v>06539003</v>
      </c>
      <c r="D7414" t="str">
        <f t="shared" si="1627"/>
        <v>813</v>
      </c>
      <c r="E7414" t="str">
        <f t="shared" si="1620"/>
        <v>89301031</v>
      </c>
      <c r="F7414" t="str">
        <f t="shared" si="1621"/>
        <v>6955045779</v>
      </c>
      <c r="G7414" s="1">
        <v>44736</v>
      </c>
      <c r="H7414" t="str">
        <f>"91131"</f>
        <v>91131</v>
      </c>
      <c r="I7414">
        <v>1</v>
      </c>
      <c r="J7414">
        <v>171</v>
      </c>
      <c r="K7414">
        <v>0</v>
      </c>
      <c r="L7414">
        <v>133.38</v>
      </c>
    </row>
    <row r="7415" spans="1:12" x14ac:dyDescent="0.25">
      <c r="A7415" t="str">
        <f t="shared" si="1619"/>
        <v>89301000</v>
      </c>
      <c r="B7415" t="str">
        <f t="shared" si="1622"/>
        <v>06539000</v>
      </c>
      <c r="C7415" t="str">
        <f t="shared" si="1626"/>
        <v>06539003</v>
      </c>
      <c r="D7415" t="str">
        <f t="shared" si="1627"/>
        <v>813</v>
      </c>
      <c r="E7415" t="str">
        <f t="shared" si="1620"/>
        <v>89301031</v>
      </c>
      <c r="F7415" t="str">
        <f t="shared" si="1621"/>
        <v>6955045779</v>
      </c>
      <c r="G7415" s="1">
        <v>44736</v>
      </c>
      <c r="H7415" t="str">
        <f>"91133"</f>
        <v>91133</v>
      </c>
      <c r="I7415">
        <v>1</v>
      </c>
      <c r="J7415">
        <v>176</v>
      </c>
      <c r="K7415">
        <v>0</v>
      </c>
      <c r="L7415">
        <v>137.28</v>
      </c>
    </row>
    <row r="7416" spans="1:12" x14ac:dyDescent="0.25">
      <c r="A7416" t="str">
        <f t="shared" si="1619"/>
        <v>89301000</v>
      </c>
      <c r="B7416" t="str">
        <f t="shared" si="1622"/>
        <v>06539000</v>
      </c>
      <c r="C7416" t="str">
        <f t="shared" si="1626"/>
        <v>06539003</v>
      </c>
      <c r="D7416" t="str">
        <f t="shared" si="1627"/>
        <v>813</v>
      </c>
      <c r="E7416" t="str">
        <f t="shared" si="1620"/>
        <v>89301031</v>
      </c>
      <c r="F7416" t="str">
        <f t="shared" si="1621"/>
        <v>6955045779</v>
      </c>
      <c r="G7416" s="1">
        <v>44736</v>
      </c>
      <c r="H7416" t="str">
        <f>"91171"</f>
        <v>91171</v>
      </c>
      <c r="I7416">
        <v>1</v>
      </c>
      <c r="J7416">
        <v>360</v>
      </c>
      <c r="K7416">
        <v>0</v>
      </c>
      <c r="L7416">
        <v>280.8</v>
      </c>
    </row>
    <row r="7417" spans="1:12" x14ac:dyDescent="0.25">
      <c r="A7417" t="str">
        <f t="shared" si="1619"/>
        <v>89301000</v>
      </c>
      <c r="B7417" t="str">
        <f t="shared" si="1622"/>
        <v>06539000</v>
      </c>
      <c r="C7417" t="str">
        <f t="shared" si="1626"/>
        <v>06539003</v>
      </c>
      <c r="D7417" t="str">
        <f t="shared" si="1627"/>
        <v>813</v>
      </c>
      <c r="E7417" t="str">
        <f t="shared" si="1620"/>
        <v>89301031</v>
      </c>
      <c r="F7417" t="str">
        <f t="shared" si="1621"/>
        <v>6955045779</v>
      </c>
      <c r="G7417" s="1">
        <v>44736</v>
      </c>
      <c r="H7417" t="str">
        <f>"91173"</f>
        <v>91173</v>
      </c>
      <c r="I7417">
        <v>1</v>
      </c>
      <c r="J7417">
        <v>335</v>
      </c>
      <c r="K7417">
        <v>0</v>
      </c>
      <c r="L7417">
        <v>261.3</v>
      </c>
    </row>
    <row r="7418" spans="1:12" x14ac:dyDescent="0.25">
      <c r="A7418" t="str">
        <f t="shared" si="1619"/>
        <v>89301000</v>
      </c>
      <c r="B7418" t="str">
        <f t="shared" si="1622"/>
        <v>06539000</v>
      </c>
      <c r="C7418" t="str">
        <f t="shared" si="1626"/>
        <v>06539003</v>
      </c>
      <c r="D7418" t="str">
        <f t="shared" si="1627"/>
        <v>813</v>
      </c>
      <c r="E7418" t="str">
        <f t="shared" si="1620"/>
        <v>89301031</v>
      </c>
      <c r="F7418" t="str">
        <f t="shared" si="1621"/>
        <v>6955045779</v>
      </c>
      <c r="G7418" s="1">
        <v>44736</v>
      </c>
      <c r="H7418" t="str">
        <f>"91175"</f>
        <v>91175</v>
      </c>
      <c r="I7418">
        <v>1</v>
      </c>
      <c r="J7418">
        <v>360</v>
      </c>
      <c r="K7418">
        <v>0</v>
      </c>
      <c r="L7418">
        <v>280.8</v>
      </c>
    </row>
    <row r="7419" spans="1:12" x14ac:dyDescent="0.25">
      <c r="A7419" t="str">
        <f t="shared" si="1619"/>
        <v>89301000</v>
      </c>
      <c r="B7419" t="str">
        <f t="shared" si="1622"/>
        <v>06539000</v>
      </c>
      <c r="C7419" t="str">
        <f t="shared" si="1626"/>
        <v>06539003</v>
      </c>
      <c r="D7419" t="str">
        <f t="shared" si="1627"/>
        <v>813</v>
      </c>
      <c r="E7419" t="str">
        <f t="shared" si="1620"/>
        <v>89301031</v>
      </c>
      <c r="F7419" t="str">
        <f t="shared" si="1621"/>
        <v>6955045779</v>
      </c>
      <c r="G7419" s="1">
        <v>44737</v>
      </c>
      <c r="H7419" t="str">
        <f>"91167"</f>
        <v>91167</v>
      </c>
      <c r="I7419">
        <v>1</v>
      </c>
      <c r="J7419">
        <v>425</v>
      </c>
      <c r="K7419">
        <v>0</v>
      </c>
      <c r="L7419">
        <v>331.5</v>
      </c>
    </row>
    <row r="7420" spans="1:12" x14ac:dyDescent="0.25">
      <c r="A7420" t="str">
        <f t="shared" si="1619"/>
        <v>89301000</v>
      </c>
      <c r="B7420" t="str">
        <f t="shared" si="1622"/>
        <v>06539000</v>
      </c>
      <c r="C7420" t="str">
        <f t="shared" si="1626"/>
        <v>06539003</v>
      </c>
      <c r="D7420" t="str">
        <f t="shared" si="1627"/>
        <v>813</v>
      </c>
      <c r="E7420" t="str">
        <f t="shared" si="1620"/>
        <v>89301031</v>
      </c>
      <c r="F7420" t="str">
        <f t="shared" si="1621"/>
        <v>6955045779</v>
      </c>
      <c r="G7420" s="1">
        <v>44737</v>
      </c>
      <c r="H7420" t="str">
        <f>"91169"</f>
        <v>91169</v>
      </c>
      <c r="I7420">
        <v>1</v>
      </c>
      <c r="J7420">
        <v>425</v>
      </c>
      <c r="K7420">
        <v>0</v>
      </c>
      <c r="L7420">
        <v>331.5</v>
      </c>
    </row>
    <row r="7421" spans="1:12" x14ac:dyDescent="0.25">
      <c r="A7421" t="str">
        <f t="shared" si="1619"/>
        <v>89301000</v>
      </c>
      <c r="B7421" t="str">
        <f t="shared" si="1622"/>
        <v>06539000</v>
      </c>
      <c r="C7421" t="str">
        <f t="shared" si="1626"/>
        <v>06539003</v>
      </c>
      <c r="D7421" t="str">
        <f t="shared" si="1627"/>
        <v>813</v>
      </c>
      <c r="E7421" t="str">
        <f t="shared" si="1620"/>
        <v>89301031</v>
      </c>
      <c r="F7421" t="str">
        <f t="shared" si="1621"/>
        <v>6955045779</v>
      </c>
      <c r="G7421" s="1">
        <v>44736</v>
      </c>
      <c r="H7421" t="str">
        <f>"91167"</f>
        <v>91167</v>
      </c>
      <c r="I7421">
        <v>1</v>
      </c>
      <c r="J7421">
        <v>425</v>
      </c>
      <c r="K7421">
        <v>0</v>
      </c>
      <c r="L7421">
        <v>331.5</v>
      </c>
    </row>
    <row r="7422" spans="1:12" x14ac:dyDescent="0.25">
      <c r="A7422" t="str">
        <f t="shared" si="1619"/>
        <v>89301000</v>
      </c>
      <c r="B7422" t="str">
        <f t="shared" si="1622"/>
        <v>06539000</v>
      </c>
      <c r="C7422" t="str">
        <f t="shared" si="1626"/>
        <v>06539003</v>
      </c>
      <c r="D7422" t="str">
        <f t="shared" si="1627"/>
        <v>813</v>
      </c>
      <c r="E7422" t="str">
        <f t="shared" si="1620"/>
        <v>89301031</v>
      </c>
      <c r="F7422" t="str">
        <f t="shared" si="1621"/>
        <v>6955045779</v>
      </c>
      <c r="G7422" s="1">
        <v>44736</v>
      </c>
      <c r="H7422" t="str">
        <f>"91169"</f>
        <v>91169</v>
      </c>
      <c r="I7422">
        <v>1</v>
      </c>
      <c r="J7422">
        <v>425</v>
      </c>
      <c r="K7422">
        <v>0</v>
      </c>
      <c r="L7422">
        <v>331.5</v>
      </c>
    </row>
    <row r="7423" spans="1:12" x14ac:dyDescent="0.25">
      <c r="A7423" t="str">
        <f t="shared" si="1619"/>
        <v>89301000</v>
      </c>
      <c r="B7423" t="str">
        <f t="shared" si="1622"/>
        <v>06539000</v>
      </c>
      <c r="C7423" t="str">
        <f t="shared" si="1626"/>
        <v>06539003</v>
      </c>
      <c r="D7423" t="str">
        <f t="shared" si="1627"/>
        <v>813</v>
      </c>
      <c r="E7423" t="str">
        <f t="shared" si="1620"/>
        <v>89301031</v>
      </c>
      <c r="F7423" t="str">
        <f t="shared" si="1621"/>
        <v>6955045779</v>
      </c>
      <c r="G7423" s="1">
        <v>44736</v>
      </c>
      <c r="H7423" t="str">
        <f>"91475"</f>
        <v>91475</v>
      </c>
      <c r="I7423">
        <v>1</v>
      </c>
      <c r="J7423">
        <v>206</v>
      </c>
      <c r="K7423">
        <v>0</v>
      </c>
      <c r="L7423">
        <v>160.68</v>
      </c>
    </row>
    <row r="7424" spans="1:12" x14ac:dyDescent="0.25">
      <c r="A7424" t="str">
        <f t="shared" si="1619"/>
        <v>89301000</v>
      </c>
      <c r="B7424" t="str">
        <f t="shared" si="1622"/>
        <v>06539000</v>
      </c>
      <c r="C7424" t="str">
        <f>"06539001"</f>
        <v>06539001</v>
      </c>
      <c r="D7424" t="str">
        <f>"801"</f>
        <v>801</v>
      </c>
      <c r="E7424" t="str">
        <f t="shared" ref="E7424:E7455" si="1630">"89301171"</f>
        <v>89301171</v>
      </c>
      <c r="F7424" t="str">
        <f t="shared" ref="F7424:F7455" si="1631">"6853012221"</f>
        <v>6853012221</v>
      </c>
      <c r="G7424" s="1">
        <v>44746</v>
      </c>
      <c r="H7424" t="str">
        <f>"81705"</f>
        <v>81705</v>
      </c>
      <c r="I7424">
        <v>1</v>
      </c>
      <c r="J7424">
        <v>346</v>
      </c>
      <c r="K7424">
        <v>0</v>
      </c>
      <c r="L7424">
        <v>269.88</v>
      </c>
    </row>
    <row r="7425" spans="1:12" x14ac:dyDescent="0.25">
      <c r="A7425" t="str">
        <f t="shared" si="1619"/>
        <v>89301000</v>
      </c>
      <c r="B7425" t="str">
        <f t="shared" si="1622"/>
        <v>06539000</v>
      </c>
      <c r="C7425" t="str">
        <f>"06539001"</f>
        <v>06539001</v>
      </c>
      <c r="D7425" t="str">
        <f>"801"</f>
        <v>801</v>
      </c>
      <c r="E7425" t="str">
        <f t="shared" si="1630"/>
        <v>89301171</v>
      </c>
      <c r="F7425" t="str">
        <f t="shared" si="1631"/>
        <v>6853012221</v>
      </c>
      <c r="G7425" s="1">
        <v>44746</v>
      </c>
      <c r="H7425" t="str">
        <f>"81705"</f>
        <v>81705</v>
      </c>
      <c r="I7425">
        <v>1</v>
      </c>
      <c r="J7425">
        <v>346</v>
      </c>
      <c r="K7425">
        <v>0</v>
      </c>
      <c r="L7425">
        <v>269.88</v>
      </c>
    </row>
    <row r="7426" spans="1:12" x14ac:dyDescent="0.25">
      <c r="A7426" t="str">
        <f t="shared" ref="A7426:A7489" si="1632">"89301000"</f>
        <v>89301000</v>
      </c>
      <c r="B7426" t="str">
        <f t="shared" si="1622"/>
        <v>06539000</v>
      </c>
      <c r="C7426" t="str">
        <f t="shared" ref="C7426:C7433" si="1633">"06539003"</f>
        <v>06539003</v>
      </c>
      <c r="D7426" t="str">
        <f t="shared" ref="D7426:D7433" si="1634">"813"</f>
        <v>813</v>
      </c>
      <c r="E7426" t="str">
        <f t="shared" si="1630"/>
        <v>89301171</v>
      </c>
      <c r="F7426" t="str">
        <f t="shared" si="1631"/>
        <v>6853012221</v>
      </c>
      <c r="G7426" s="1">
        <v>44746</v>
      </c>
      <c r="H7426" t="str">
        <f t="shared" ref="H7426:H7433" si="1635">"91329"</f>
        <v>91329</v>
      </c>
      <c r="I7426">
        <v>2</v>
      </c>
      <c r="J7426">
        <v>428</v>
      </c>
      <c r="K7426">
        <v>0</v>
      </c>
      <c r="L7426">
        <v>333.84</v>
      </c>
    </row>
    <row r="7427" spans="1:12" x14ac:dyDescent="0.25">
      <c r="A7427" t="str">
        <f t="shared" si="1632"/>
        <v>89301000</v>
      </c>
      <c r="B7427" t="str">
        <f t="shared" si="1622"/>
        <v>06539000</v>
      </c>
      <c r="C7427" t="str">
        <f t="shared" si="1633"/>
        <v>06539003</v>
      </c>
      <c r="D7427" t="str">
        <f t="shared" si="1634"/>
        <v>813</v>
      </c>
      <c r="E7427" t="str">
        <f t="shared" si="1630"/>
        <v>89301171</v>
      </c>
      <c r="F7427" t="str">
        <f t="shared" si="1631"/>
        <v>6853012221</v>
      </c>
      <c r="G7427" s="1">
        <v>44746</v>
      </c>
      <c r="H7427" t="str">
        <f t="shared" si="1635"/>
        <v>91329</v>
      </c>
      <c r="I7427">
        <v>2</v>
      </c>
      <c r="J7427">
        <v>428</v>
      </c>
      <c r="K7427">
        <v>0</v>
      </c>
      <c r="L7427">
        <v>333.84</v>
      </c>
    </row>
    <row r="7428" spans="1:12" x14ac:dyDescent="0.25">
      <c r="A7428" t="str">
        <f t="shared" si="1632"/>
        <v>89301000</v>
      </c>
      <c r="B7428" t="str">
        <f t="shared" si="1622"/>
        <v>06539000</v>
      </c>
      <c r="C7428" t="str">
        <f t="shared" si="1633"/>
        <v>06539003</v>
      </c>
      <c r="D7428" t="str">
        <f t="shared" si="1634"/>
        <v>813</v>
      </c>
      <c r="E7428" t="str">
        <f t="shared" si="1630"/>
        <v>89301171</v>
      </c>
      <c r="F7428" t="str">
        <f t="shared" si="1631"/>
        <v>6853012221</v>
      </c>
      <c r="G7428" s="1">
        <v>44746</v>
      </c>
      <c r="H7428" t="str">
        <f t="shared" si="1635"/>
        <v>91329</v>
      </c>
      <c r="I7428">
        <v>2</v>
      </c>
      <c r="J7428">
        <v>428</v>
      </c>
      <c r="K7428">
        <v>0</v>
      </c>
      <c r="L7428">
        <v>333.84</v>
      </c>
    </row>
    <row r="7429" spans="1:12" x14ac:dyDescent="0.25">
      <c r="A7429" t="str">
        <f t="shared" si="1632"/>
        <v>89301000</v>
      </c>
      <c r="B7429" t="str">
        <f t="shared" si="1622"/>
        <v>06539000</v>
      </c>
      <c r="C7429" t="str">
        <f t="shared" si="1633"/>
        <v>06539003</v>
      </c>
      <c r="D7429" t="str">
        <f t="shared" si="1634"/>
        <v>813</v>
      </c>
      <c r="E7429" t="str">
        <f t="shared" si="1630"/>
        <v>89301171</v>
      </c>
      <c r="F7429" t="str">
        <f t="shared" si="1631"/>
        <v>6853012221</v>
      </c>
      <c r="G7429" s="1">
        <v>44746</v>
      </c>
      <c r="H7429" t="str">
        <f t="shared" si="1635"/>
        <v>91329</v>
      </c>
      <c r="I7429">
        <v>2</v>
      </c>
      <c r="J7429">
        <v>428</v>
      </c>
      <c r="K7429">
        <v>0</v>
      </c>
      <c r="L7429">
        <v>333.84</v>
      </c>
    </row>
    <row r="7430" spans="1:12" x14ac:dyDescent="0.25">
      <c r="A7430" t="str">
        <f t="shared" si="1632"/>
        <v>89301000</v>
      </c>
      <c r="B7430" t="str">
        <f t="shared" si="1622"/>
        <v>06539000</v>
      </c>
      <c r="C7430" t="str">
        <f t="shared" si="1633"/>
        <v>06539003</v>
      </c>
      <c r="D7430" t="str">
        <f t="shared" si="1634"/>
        <v>813</v>
      </c>
      <c r="E7430" t="str">
        <f t="shared" si="1630"/>
        <v>89301171</v>
      </c>
      <c r="F7430" t="str">
        <f t="shared" si="1631"/>
        <v>6853012221</v>
      </c>
      <c r="G7430" s="1">
        <v>44746</v>
      </c>
      <c r="H7430" t="str">
        <f t="shared" si="1635"/>
        <v>91329</v>
      </c>
      <c r="I7430">
        <v>2</v>
      </c>
      <c r="J7430">
        <v>428</v>
      </c>
      <c r="K7430">
        <v>0</v>
      </c>
      <c r="L7430">
        <v>333.84</v>
      </c>
    </row>
    <row r="7431" spans="1:12" x14ac:dyDescent="0.25">
      <c r="A7431" t="str">
        <f t="shared" si="1632"/>
        <v>89301000</v>
      </c>
      <c r="B7431" t="str">
        <f t="shared" si="1622"/>
        <v>06539000</v>
      </c>
      <c r="C7431" t="str">
        <f t="shared" si="1633"/>
        <v>06539003</v>
      </c>
      <c r="D7431" t="str">
        <f t="shared" si="1634"/>
        <v>813</v>
      </c>
      <c r="E7431" t="str">
        <f t="shared" si="1630"/>
        <v>89301171</v>
      </c>
      <c r="F7431" t="str">
        <f t="shared" si="1631"/>
        <v>6853012221</v>
      </c>
      <c r="G7431" s="1">
        <v>44746</v>
      </c>
      <c r="H7431" t="str">
        <f t="shared" si="1635"/>
        <v>91329</v>
      </c>
      <c r="I7431">
        <v>2</v>
      </c>
      <c r="J7431">
        <v>428</v>
      </c>
      <c r="K7431">
        <v>0</v>
      </c>
      <c r="L7431">
        <v>333.84</v>
      </c>
    </row>
    <row r="7432" spans="1:12" x14ac:dyDescent="0.25">
      <c r="A7432" t="str">
        <f t="shared" si="1632"/>
        <v>89301000</v>
      </c>
      <c r="B7432" t="str">
        <f t="shared" si="1622"/>
        <v>06539000</v>
      </c>
      <c r="C7432" t="str">
        <f t="shared" si="1633"/>
        <v>06539003</v>
      </c>
      <c r="D7432" t="str">
        <f t="shared" si="1634"/>
        <v>813</v>
      </c>
      <c r="E7432" t="str">
        <f t="shared" si="1630"/>
        <v>89301171</v>
      </c>
      <c r="F7432" t="str">
        <f t="shared" si="1631"/>
        <v>6853012221</v>
      </c>
      <c r="G7432" s="1">
        <v>44746</v>
      </c>
      <c r="H7432" t="str">
        <f t="shared" si="1635"/>
        <v>91329</v>
      </c>
      <c r="I7432">
        <v>2</v>
      </c>
      <c r="J7432">
        <v>428</v>
      </c>
      <c r="K7432">
        <v>0</v>
      </c>
      <c r="L7432">
        <v>333.84</v>
      </c>
    </row>
    <row r="7433" spans="1:12" x14ac:dyDescent="0.25">
      <c r="A7433" t="str">
        <f t="shared" si="1632"/>
        <v>89301000</v>
      </c>
      <c r="B7433" t="str">
        <f t="shared" si="1622"/>
        <v>06539000</v>
      </c>
      <c r="C7433" t="str">
        <f t="shared" si="1633"/>
        <v>06539003</v>
      </c>
      <c r="D7433" t="str">
        <f t="shared" si="1634"/>
        <v>813</v>
      </c>
      <c r="E7433" t="str">
        <f t="shared" si="1630"/>
        <v>89301171</v>
      </c>
      <c r="F7433" t="str">
        <f t="shared" si="1631"/>
        <v>6853012221</v>
      </c>
      <c r="G7433" s="1">
        <v>44746</v>
      </c>
      <c r="H7433" t="str">
        <f t="shared" si="1635"/>
        <v>91329</v>
      </c>
      <c r="I7433">
        <v>2</v>
      </c>
      <c r="J7433">
        <v>428</v>
      </c>
      <c r="K7433">
        <v>0</v>
      </c>
      <c r="L7433">
        <v>333.84</v>
      </c>
    </row>
    <row r="7434" spans="1:12" x14ac:dyDescent="0.25">
      <c r="A7434" t="str">
        <f t="shared" si="1632"/>
        <v>89301000</v>
      </c>
      <c r="B7434" t="str">
        <f t="shared" si="1622"/>
        <v>06539000</v>
      </c>
      <c r="C7434" t="str">
        <f>"06539001"</f>
        <v>06539001</v>
      </c>
      <c r="D7434" t="str">
        <f>"801"</f>
        <v>801</v>
      </c>
      <c r="E7434" t="str">
        <f t="shared" si="1630"/>
        <v>89301171</v>
      </c>
      <c r="F7434" t="str">
        <f t="shared" si="1631"/>
        <v>6853012221</v>
      </c>
      <c r="G7434" s="1">
        <v>44750</v>
      </c>
      <c r="H7434" t="str">
        <f>"81329"</f>
        <v>81329</v>
      </c>
      <c r="I7434">
        <v>1</v>
      </c>
      <c r="J7434">
        <v>16</v>
      </c>
      <c r="K7434">
        <v>0</v>
      </c>
      <c r="L7434">
        <v>12.48</v>
      </c>
    </row>
    <row r="7435" spans="1:12" x14ac:dyDescent="0.25">
      <c r="A7435" t="str">
        <f t="shared" si="1632"/>
        <v>89301000</v>
      </c>
      <c r="B7435" t="str">
        <f t="shared" si="1622"/>
        <v>06539000</v>
      </c>
      <c r="C7435" t="str">
        <f>"06539001"</f>
        <v>06539001</v>
      </c>
      <c r="D7435" t="str">
        <f>"801"</f>
        <v>801</v>
      </c>
      <c r="E7435" t="str">
        <f t="shared" si="1630"/>
        <v>89301171</v>
      </c>
      <c r="F7435" t="str">
        <f t="shared" si="1631"/>
        <v>6853012221</v>
      </c>
      <c r="G7435" s="1">
        <v>44750</v>
      </c>
      <c r="H7435" t="str">
        <f>"81331"</f>
        <v>81331</v>
      </c>
      <c r="I7435">
        <v>1</v>
      </c>
      <c r="J7435">
        <v>193</v>
      </c>
      <c r="K7435">
        <v>0</v>
      </c>
      <c r="L7435">
        <v>150.54</v>
      </c>
    </row>
    <row r="7436" spans="1:12" x14ac:dyDescent="0.25">
      <c r="A7436" t="str">
        <f t="shared" si="1632"/>
        <v>89301000</v>
      </c>
      <c r="B7436" t="str">
        <f t="shared" si="1622"/>
        <v>06539000</v>
      </c>
      <c r="C7436" t="str">
        <f t="shared" ref="C7436:C7443" si="1636">"06539002"</f>
        <v>06539002</v>
      </c>
      <c r="D7436" t="str">
        <f t="shared" ref="D7436:D7443" si="1637">"802"</f>
        <v>802</v>
      </c>
      <c r="E7436" t="str">
        <f t="shared" si="1630"/>
        <v>89301171</v>
      </c>
      <c r="F7436" t="str">
        <f t="shared" si="1631"/>
        <v>6853012221</v>
      </c>
      <c r="G7436" s="1">
        <v>44750</v>
      </c>
      <c r="H7436" t="str">
        <f t="shared" ref="H7436:H7443" si="1638">"82097"</f>
        <v>82097</v>
      </c>
      <c r="I7436">
        <v>1</v>
      </c>
      <c r="J7436">
        <v>380</v>
      </c>
      <c r="K7436">
        <v>0</v>
      </c>
      <c r="L7436">
        <v>345.8</v>
      </c>
    </row>
    <row r="7437" spans="1:12" x14ac:dyDescent="0.25">
      <c r="A7437" t="str">
        <f t="shared" si="1632"/>
        <v>89301000</v>
      </c>
      <c r="B7437" t="str">
        <f t="shared" si="1622"/>
        <v>06539000</v>
      </c>
      <c r="C7437" t="str">
        <f t="shared" si="1636"/>
        <v>06539002</v>
      </c>
      <c r="D7437" t="str">
        <f t="shared" si="1637"/>
        <v>802</v>
      </c>
      <c r="E7437" t="str">
        <f t="shared" si="1630"/>
        <v>89301171</v>
      </c>
      <c r="F7437" t="str">
        <f t="shared" si="1631"/>
        <v>6853012221</v>
      </c>
      <c r="G7437" s="1">
        <v>44750</v>
      </c>
      <c r="H7437" t="str">
        <f t="shared" si="1638"/>
        <v>82097</v>
      </c>
      <c r="I7437">
        <v>1</v>
      </c>
      <c r="J7437">
        <v>380</v>
      </c>
      <c r="K7437">
        <v>0</v>
      </c>
      <c r="L7437">
        <v>345.8</v>
      </c>
    </row>
    <row r="7438" spans="1:12" x14ac:dyDescent="0.25">
      <c r="A7438" t="str">
        <f t="shared" si="1632"/>
        <v>89301000</v>
      </c>
      <c r="B7438" t="str">
        <f t="shared" si="1622"/>
        <v>06539000</v>
      </c>
      <c r="C7438" t="str">
        <f t="shared" si="1636"/>
        <v>06539002</v>
      </c>
      <c r="D7438" t="str">
        <f t="shared" si="1637"/>
        <v>802</v>
      </c>
      <c r="E7438" t="str">
        <f t="shared" si="1630"/>
        <v>89301171</v>
      </c>
      <c r="F7438" t="str">
        <f t="shared" si="1631"/>
        <v>6853012221</v>
      </c>
      <c r="G7438" s="1">
        <v>44750</v>
      </c>
      <c r="H7438" t="str">
        <f t="shared" si="1638"/>
        <v>82097</v>
      </c>
      <c r="I7438">
        <v>1</v>
      </c>
      <c r="J7438">
        <v>380</v>
      </c>
      <c r="K7438">
        <v>0</v>
      </c>
      <c r="L7438">
        <v>345.8</v>
      </c>
    </row>
    <row r="7439" spans="1:12" x14ac:dyDescent="0.25">
      <c r="A7439" t="str">
        <f t="shared" si="1632"/>
        <v>89301000</v>
      </c>
      <c r="B7439" t="str">
        <f t="shared" si="1622"/>
        <v>06539000</v>
      </c>
      <c r="C7439" t="str">
        <f t="shared" si="1636"/>
        <v>06539002</v>
      </c>
      <c r="D7439" t="str">
        <f t="shared" si="1637"/>
        <v>802</v>
      </c>
      <c r="E7439" t="str">
        <f t="shared" si="1630"/>
        <v>89301171</v>
      </c>
      <c r="F7439" t="str">
        <f t="shared" si="1631"/>
        <v>6853012221</v>
      </c>
      <c r="G7439" s="1">
        <v>44750</v>
      </c>
      <c r="H7439" t="str">
        <f t="shared" si="1638"/>
        <v>82097</v>
      </c>
      <c r="I7439">
        <v>1</v>
      </c>
      <c r="J7439">
        <v>380</v>
      </c>
      <c r="K7439">
        <v>0</v>
      </c>
      <c r="L7439">
        <v>345.8</v>
      </c>
    </row>
    <row r="7440" spans="1:12" x14ac:dyDescent="0.25">
      <c r="A7440" t="str">
        <f t="shared" si="1632"/>
        <v>89301000</v>
      </c>
      <c r="B7440" t="str">
        <f t="shared" si="1622"/>
        <v>06539000</v>
      </c>
      <c r="C7440" t="str">
        <f t="shared" si="1636"/>
        <v>06539002</v>
      </c>
      <c r="D7440" t="str">
        <f t="shared" si="1637"/>
        <v>802</v>
      </c>
      <c r="E7440" t="str">
        <f t="shared" si="1630"/>
        <v>89301171</v>
      </c>
      <c r="F7440" t="str">
        <f t="shared" si="1631"/>
        <v>6853012221</v>
      </c>
      <c r="G7440" s="1">
        <v>44750</v>
      </c>
      <c r="H7440" t="str">
        <f t="shared" si="1638"/>
        <v>82097</v>
      </c>
      <c r="I7440">
        <v>1</v>
      </c>
      <c r="J7440">
        <v>380</v>
      </c>
      <c r="K7440">
        <v>0</v>
      </c>
      <c r="L7440">
        <v>345.8</v>
      </c>
    </row>
    <row r="7441" spans="1:12" x14ac:dyDescent="0.25">
      <c r="A7441" t="str">
        <f t="shared" si="1632"/>
        <v>89301000</v>
      </c>
      <c r="B7441" t="str">
        <f t="shared" si="1622"/>
        <v>06539000</v>
      </c>
      <c r="C7441" t="str">
        <f t="shared" si="1636"/>
        <v>06539002</v>
      </c>
      <c r="D7441" t="str">
        <f t="shared" si="1637"/>
        <v>802</v>
      </c>
      <c r="E7441" t="str">
        <f t="shared" si="1630"/>
        <v>89301171</v>
      </c>
      <c r="F7441" t="str">
        <f t="shared" si="1631"/>
        <v>6853012221</v>
      </c>
      <c r="G7441" s="1">
        <v>44750</v>
      </c>
      <c r="H7441" t="str">
        <f t="shared" si="1638"/>
        <v>82097</v>
      </c>
      <c r="I7441">
        <v>1</v>
      </c>
      <c r="J7441">
        <v>380</v>
      </c>
      <c r="K7441">
        <v>0</v>
      </c>
      <c r="L7441">
        <v>345.8</v>
      </c>
    </row>
    <row r="7442" spans="1:12" x14ac:dyDescent="0.25">
      <c r="A7442" t="str">
        <f t="shared" si="1632"/>
        <v>89301000</v>
      </c>
      <c r="B7442" t="str">
        <f t="shared" ref="B7442:B7505" si="1639">"06539000"</f>
        <v>06539000</v>
      </c>
      <c r="C7442" t="str">
        <f t="shared" si="1636"/>
        <v>06539002</v>
      </c>
      <c r="D7442" t="str">
        <f t="shared" si="1637"/>
        <v>802</v>
      </c>
      <c r="E7442" t="str">
        <f t="shared" si="1630"/>
        <v>89301171</v>
      </c>
      <c r="F7442" t="str">
        <f t="shared" si="1631"/>
        <v>6853012221</v>
      </c>
      <c r="G7442" s="1">
        <v>44750</v>
      </c>
      <c r="H7442" t="str">
        <f t="shared" si="1638"/>
        <v>82097</v>
      </c>
      <c r="I7442">
        <v>1</v>
      </c>
      <c r="J7442">
        <v>380</v>
      </c>
      <c r="K7442">
        <v>0</v>
      </c>
      <c r="L7442">
        <v>345.8</v>
      </c>
    </row>
    <row r="7443" spans="1:12" x14ac:dyDescent="0.25">
      <c r="A7443" t="str">
        <f t="shared" si="1632"/>
        <v>89301000</v>
      </c>
      <c r="B7443" t="str">
        <f t="shared" si="1639"/>
        <v>06539000</v>
      </c>
      <c r="C7443" t="str">
        <f t="shared" si="1636"/>
        <v>06539002</v>
      </c>
      <c r="D7443" t="str">
        <f t="shared" si="1637"/>
        <v>802</v>
      </c>
      <c r="E7443" t="str">
        <f t="shared" si="1630"/>
        <v>89301171</v>
      </c>
      <c r="F7443" t="str">
        <f t="shared" si="1631"/>
        <v>6853012221</v>
      </c>
      <c r="G7443" s="1">
        <v>44750</v>
      </c>
      <c r="H7443" t="str">
        <f t="shared" si="1638"/>
        <v>82097</v>
      </c>
      <c r="I7443">
        <v>1</v>
      </c>
      <c r="J7443">
        <v>380</v>
      </c>
      <c r="K7443">
        <v>0</v>
      </c>
      <c r="L7443">
        <v>345.8</v>
      </c>
    </row>
    <row r="7444" spans="1:12" x14ac:dyDescent="0.25">
      <c r="A7444" t="str">
        <f t="shared" si="1632"/>
        <v>89301000</v>
      </c>
      <c r="B7444" t="str">
        <f t="shared" si="1639"/>
        <v>06539000</v>
      </c>
      <c r="C7444" t="str">
        <f t="shared" ref="C7444:C7485" si="1640">"06539003"</f>
        <v>06539003</v>
      </c>
      <c r="D7444" t="str">
        <f t="shared" ref="D7444:D7485" si="1641">"813"</f>
        <v>813</v>
      </c>
      <c r="E7444" t="str">
        <f t="shared" si="1630"/>
        <v>89301171</v>
      </c>
      <c r="F7444" t="str">
        <f t="shared" si="1631"/>
        <v>6853012221</v>
      </c>
      <c r="G7444" s="1">
        <v>44753</v>
      </c>
      <c r="H7444" t="str">
        <f>"91439"</f>
        <v>91439</v>
      </c>
      <c r="I7444">
        <v>1</v>
      </c>
      <c r="J7444">
        <v>356</v>
      </c>
      <c r="K7444">
        <v>0</v>
      </c>
      <c r="L7444">
        <v>277.68</v>
      </c>
    </row>
    <row r="7445" spans="1:12" x14ac:dyDescent="0.25">
      <c r="A7445" t="str">
        <f t="shared" si="1632"/>
        <v>89301000</v>
      </c>
      <c r="B7445" t="str">
        <f t="shared" si="1639"/>
        <v>06539000</v>
      </c>
      <c r="C7445" t="str">
        <f t="shared" si="1640"/>
        <v>06539003</v>
      </c>
      <c r="D7445" t="str">
        <f t="shared" si="1641"/>
        <v>813</v>
      </c>
      <c r="E7445" t="str">
        <f t="shared" si="1630"/>
        <v>89301171</v>
      </c>
      <c r="F7445" t="str">
        <f t="shared" si="1631"/>
        <v>6853012221</v>
      </c>
      <c r="G7445" s="1">
        <v>44753</v>
      </c>
      <c r="H7445" t="str">
        <f>"91439"</f>
        <v>91439</v>
      </c>
      <c r="I7445">
        <v>1</v>
      </c>
      <c r="J7445">
        <v>356</v>
      </c>
      <c r="K7445">
        <v>0</v>
      </c>
      <c r="L7445">
        <v>277.68</v>
      </c>
    </row>
    <row r="7446" spans="1:12" x14ac:dyDescent="0.25">
      <c r="A7446" t="str">
        <f t="shared" si="1632"/>
        <v>89301000</v>
      </c>
      <c r="B7446" t="str">
        <f t="shared" si="1639"/>
        <v>06539000</v>
      </c>
      <c r="C7446" t="str">
        <f t="shared" si="1640"/>
        <v>06539003</v>
      </c>
      <c r="D7446" t="str">
        <f t="shared" si="1641"/>
        <v>813</v>
      </c>
      <c r="E7446" t="str">
        <f t="shared" si="1630"/>
        <v>89301171</v>
      </c>
      <c r="F7446" t="str">
        <f t="shared" si="1631"/>
        <v>6853012221</v>
      </c>
      <c r="G7446" s="1">
        <v>44753</v>
      </c>
      <c r="H7446" t="str">
        <f>"91439"</f>
        <v>91439</v>
      </c>
      <c r="I7446">
        <v>1</v>
      </c>
      <c r="J7446">
        <v>356</v>
      </c>
      <c r="K7446">
        <v>0</v>
      </c>
      <c r="L7446">
        <v>277.68</v>
      </c>
    </row>
    <row r="7447" spans="1:12" x14ac:dyDescent="0.25">
      <c r="A7447" t="str">
        <f t="shared" si="1632"/>
        <v>89301000</v>
      </c>
      <c r="B7447" t="str">
        <f t="shared" si="1639"/>
        <v>06539000</v>
      </c>
      <c r="C7447" t="str">
        <f t="shared" si="1640"/>
        <v>06539003</v>
      </c>
      <c r="D7447" t="str">
        <f t="shared" si="1641"/>
        <v>813</v>
      </c>
      <c r="E7447" t="str">
        <f t="shared" si="1630"/>
        <v>89301171</v>
      </c>
      <c r="F7447" t="str">
        <f t="shared" si="1631"/>
        <v>6853012221</v>
      </c>
      <c r="G7447" s="1">
        <v>44753</v>
      </c>
      <c r="H7447" t="str">
        <f>"91439"</f>
        <v>91439</v>
      </c>
      <c r="I7447">
        <v>1</v>
      </c>
      <c r="J7447">
        <v>356</v>
      </c>
      <c r="K7447">
        <v>0</v>
      </c>
      <c r="L7447">
        <v>277.68</v>
      </c>
    </row>
    <row r="7448" spans="1:12" x14ac:dyDescent="0.25">
      <c r="A7448" t="str">
        <f t="shared" si="1632"/>
        <v>89301000</v>
      </c>
      <c r="B7448" t="str">
        <f t="shared" si="1639"/>
        <v>06539000</v>
      </c>
      <c r="C7448" t="str">
        <f t="shared" si="1640"/>
        <v>06539003</v>
      </c>
      <c r="D7448" t="str">
        <f t="shared" si="1641"/>
        <v>813</v>
      </c>
      <c r="E7448" t="str">
        <f t="shared" si="1630"/>
        <v>89301171</v>
      </c>
      <c r="F7448" t="str">
        <f t="shared" si="1631"/>
        <v>6853012221</v>
      </c>
      <c r="G7448" s="1">
        <v>44753</v>
      </c>
      <c r="H7448" t="str">
        <f>"91439"</f>
        <v>91439</v>
      </c>
      <c r="I7448">
        <v>2</v>
      </c>
      <c r="J7448">
        <v>712</v>
      </c>
      <c r="K7448">
        <v>0</v>
      </c>
      <c r="L7448">
        <v>555.36</v>
      </c>
    </row>
    <row r="7449" spans="1:12" x14ac:dyDescent="0.25">
      <c r="A7449" t="str">
        <f t="shared" si="1632"/>
        <v>89301000</v>
      </c>
      <c r="B7449" t="str">
        <f t="shared" si="1639"/>
        <v>06539000</v>
      </c>
      <c r="C7449" t="str">
        <f t="shared" si="1640"/>
        <v>06539003</v>
      </c>
      <c r="D7449" t="str">
        <f t="shared" si="1641"/>
        <v>813</v>
      </c>
      <c r="E7449" t="str">
        <f t="shared" si="1630"/>
        <v>89301171</v>
      </c>
      <c r="F7449" t="str">
        <f t="shared" si="1631"/>
        <v>6853012221</v>
      </c>
      <c r="G7449" s="1">
        <v>44753</v>
      </c>
      <c r="H7449" t="str">
        <f t="shared" ref="H7449:H7458" si="1642">"91413"</f>
        <v>91413</v>
      </c>
      <c r="I7449">
        <v>1</v>
      </c>
      <c r="J7449">
        <v>853</v>
      </c>
      <c r="K7449">
        <v>0</v>
      </c>
      <c r="L7449">
        <v>665.34</v>
      </c>
    </row>
    <row r="7450" spans="1:12" x14ac:dyDescent="0.25">
      <c r="A7450" t="str">
        <f t="shared" si="1632"/>
        <v>89301000</v>
      </c>
      <c r="B7450" t="str">
        <f t="shared" si="1639"/>
        <v>06539000</v>
      </c>
      <c r="C7450" t="str">
        <f t="shared" si="1640"/>
        <v>06539003</v>
      </c>
      <c r="D7450" t="str">
        <f t="shared" si="1641"/>
        <v>813</v>
      </c>
      <c r="E7450" t="str">
        <f t="shared" si="1630"/>
        <v>89301171</v>
      </c>
      <c r="F7450" t="str">
        <f t="shared" si="1631"/>
        <v>6853012221</v>
      </c>
      <c r="G7450" s="1">
        <v>44753</v>
      </c>
      <c r="H7450" t="str">
        <f t="shared" si="1642"/>
        <v>91413</v>
      </c>
      <c r="I7450">
        <v>1</v>
      </c>
      <c r="J7450">
        <v>853</v>
      </c>
      <c r="K7450">
        <v>0</v>
      </c>
      <c r="L7450">
        <v>665.34</v>
      </c>
    </row>
    <row r="7451" spans="1:12" x14ac:dyDescent="0.25">
      <c r="A7451" t="str">
        <f t="shared" si="1632"/>
        <v>89301000</v>
      </c>
      <c r="B7451" t="str">
        <f t="shared" si="1639"/>
        <v>06539000</v>
      </c>
      <c r="C7451" t="str">
        <f t="shared" si="1640"/>
        <v>06539003</v>
      </c>
      <c r="D7451" t="str">
        <f t="shared" si="1641"/>
        <v>813</v>
      </c>
      <c r="E7451" t="str">
        <f t="shared" si="1630"/>
        <v>89301171</v>
      </c>
      <c r="F7451" t="str">
        <f t="shared" si="1631"/>
        <v>6853012221</v>
      </c>
      <c r="G7451" s="1">
        <v>44762</v>
      </c>
      <c r="H7451" t="str">
        <f t="shared" si="1642"/>
        <v>91413</v>
      </c>
      <c r="I7451">
        <v>1</v>
      </c>
      <c r="J7451">
        <v>853</v>
      </c>
      <c r="K7451">
        <v>0</v>
      </c>
      <c r="L7451">
        <v>665.34</v>
      </c>
    </row>
    <row r="7452" spans="1:12" x14ac:dyDescent="0.25">
      <c r="A7452" t="str">
        <f t="shared" si="1632"/>
        <v>89301000</v>
      </c>
      <c r="B7452" t="str">
        <f t="shared" si="1639"/>
        <v>06539000</v>
      </c>
      <c r="C7452" t="str">
        <f t="shared" si="1640"/>
        <v>06539003</v>
      </c>
      <c r="D7452" t="str">
        <f t="shared" si="1641"/>
        <v>813</v>
      </c>
      <c r="E7452" t="str">
        <f t="shared" si="1630"/>
        <v>89301171</v>
      </c>
      <c r="F7452" t="str">
        <f t="shared" si="1631"/>
        <v>6853012221</v>
      </c>
      <c r="G7452" s="1">
        <v>44762</v>
      </c>
      <c r="H7452" t="str">
        <f t="shared" si="1642"/>
        <v>91413</v>
      </c>
      <c r="I7452">
        <v>1</v>
      </c>
      <c r="J7452">
        <v>853</v>
      </c>
      <c r="K7452">
        <v>0</v>
      </c>
      <c r="L7452">
        <v>665.34</v>
      </c>
    </row>
    <row r="7453" spans="1:12" x14ac:dyDescent="0.25">
      <c r="A7453" t="str">
        <f t="shared" si="1632"/>
        <v>89301000</v>
      </c>
      <c r="B7453" t="str">
        <f t="shared" si="1639"/>
        <v>06539000</v>
      </c>
      <c r="C7453" t="str">
        <f t="shared" si="1640"/>
        <v>06539003</v>
      </c>
      <c r="D7453" t="str">
        <f t="shared" si="1641"/>
        <v>813</v>
      </c>
      <c r="E7453" t="str">
        <f t="shared" si="1630"/>
        <v>89301171</v>
      </c>
      <c r="F7453" t="str">
        <f t="shared" si="1631"/>
        <v>6853012221</v>
      </c>
      <c r="G7453" s="1">
        <v>44762</v>
      </c>
      <c r="H7453" t="str">
        <f t="shared" si="1642"/>
        <v>91413</v>
      </c>
      <c r="I7453">
        <v>1</v>
      </c>
      <c r="J7453">
        <v>853</v>
      </c>
      <c r="K7453">
        <v>0</v>
      </c>
      <c r="L7453">
        <v>665.34</v>
      </c>
    </row>
    <row r="7454" spans="1:12" x14ac:dyDescent="0.25">
      <c r="A7454" t="str">
        <f t="shared" si="1632"/>
        <v>89301000</v>
      </c>
      <c r="B7454" t="str">
        <f t="shared" si="1639"/>
        <v>06539000</v>
      </c>
      <c r="C7454" t="str">
        <f t="shared" si="1640"/>
        <v>06539003</v>
      </c>
      <c r="D7454" t="str">
        <f t="shared" si="1641"/>
        <v>813</v>
      </c>
      <c r="E7454" t="str">
        <f t="shared" si="1630"/>
        <v>89301171</v>
      </c>
      <c r="F7454" t="str">
        <f t="shared" si="1631"/>
        <v>6853012221</v>
      </c>
      <c r="G7454" s="1">
        <v>44762</v>
      </c>
      <c r="H7454" t="str">
        <f t="shared" si="1642"/>
        <v>91413</v>
      </c>
      <c r="I7454">
        <v>1</v>
      </c>
      <c r="J7454">
        <v>853</v>
      </c>
      <c r="K7454">
        <v>0</v>
      </c>
      <c r="L7454">
        <v>665.34</v>
      </c>
    </row>
    <row r="7455" spans="1:12" x14ac:dyDescent="0.25">
      <c r="A7455" t="str">
        <f t="shared" si="1632"/>
        <v>89301000</v>
      </c>
      <c r="B7455" t="str">
        <f t="shared" si="1639"/>
        <v>06539000</v>
      </c>
      <c r="C7455" t="str">
        <f t="shared" si="1640"/>
        <v>06539003</v>
      </c>
      <c r="D7455" t="str">
        <f t="shared" si="1641"/>
        <v>813</v>
      </c>
      <c r="E7455" t="str">
        <f t="shared" si="1630"/>
        <v>89301171</v>
      </c>
      <c r="F7455" t="str">
        <f t="shared" si="1631"/>
        <v>6853012221</v>
      </c>
      <c r="G7455" s="1">
        <v>44762</v>
      </c>
      <c r="H7455" t="str">
        <f t="shared" si="1642"/>
        <v>91413</v>
      </c>
      <c r="I7455">
        <v>1</v>
      </c>
      <c r="J7455">
        <v>853</v>
      </c>
      <c r="K7455">
        <v>0</v>
      </c>
      <c r="L7455">
        <v>665.34</v>
      </c>
    </row>
    <row r="7456" spans="1:12" x14ac:dyDescent="0.25">
      <c r="A7456" t="str">
        <f t="shared" si="1632"/>
        <v>89301000</v>
      </c>
      <c r="B7456" t="str">
        <f t="shared" si="1639"/>
        <v>06539000</v>
      </c>
      <c r="C7456" t="str">
        <f t="shared" si="1640"/>
        <v>06539003</v>
      </c>
      <c r="D7456" t="str">
        <f t="shared" si="1641"/>
        <v>813</v>
      </c>
      <c r="E7456" t="str">
        <f t="shared" ref="E7456:E7480" si="1643">"89301171"</f>
        <v>89301171</v>
      </c>
      <c r="F7456" t="str">
        <f t="shared" ref="F7456:F7480" si="1644">"6853012221"</f>
        <v>6853012221</v>
      </c>
      <c r="G7456" s="1">
        <v>44762</v>
      </c>
      <c r="H7456" t="str">
        <f t="shared" si="1642"/>
        <v>91413</v>
      </c>
      <c r="I7456">
        <v>1</v>
      </c>
      <c r="J7456">
        <v>853</v>
      </c>
      <c r="K7456">
        <v>0</v>
      </c>
      <c r="L7456">
        <v>665.34</v>
      </c>
    </row>
    <row r="7457" spans="1:12" x14ac:dyDescent="0.25">
      <c r="A7457" t="str">
        <f t="shared" si="1632"/>
        <v>89301000</v>
      </c>
      <c r="B7457" t="str">
        <f t="shared" si="1639"/>
        <v>06539000</v>
      </c>
      <c r="C7457" t="str">
        <f t="shared" si="1640"/>
        <v>06539003</v>
      </c>
      <c r="D7457" t="str">
        <f t="shared" si="1641"/>
        <v>813</v>
      </c>
      <c r="E7457" t="str">
        <f t="shared" si="1643"/>
        <v>89301171</v>
      </c>
      <c r="F7457" t="str">
        <f t="shared" si="1644"/>
        <v>6853012221</v>
      </c>
      <c r="G7457" s="1">
        <v>44762</v>
      </c>
      <c r="H7457" t="str">
        <f t="shared" si="1642"/>
        <v>91413</v>
      </c>
      <c r="I7457">
        <v>1</v>
      </c>
      <c r="J7457">
        <v>853</v>
      </c>
      <c r="K7457">
        <v>0</v>
      </c>
      <c r="L7457">
        <v>665.34</v>
      </c>
    </row>
    <row r="7458" spans="1:12" x14ac:dyDescent="0.25">
      <c r="A7458" t="str">
        <f t="shared" si="1632"/>
        <v>89301000</v>
      </c>
      <c r="B7458" t="str">
        <f t="shared" si="1639"/>
        <v>06539000</v>
      </c>
      <c r="C7458" t="str">
        <f t="shared" si="1640"/>
        <v>06539003</v>
      </c>
      <c r="D7458" t="str">
        <f t="shared" si="1641"/>
        <v>813</v>
      </c>
      <c r="E7458" t="str">
        <f t="shared" si="1643"/>
        <v>89301171</v>
      </c>
      <c r="F7458" t="str">
        <f t="shared" si="1644"/>
        <v>6853012221</v>
      </c>
      <c r="G7458" s="1">
        <v>44762</v>
      </c>
      <c r="H7458" t="str">
        <f t="shared" si="1642"/>
        <v>91413</v>
      </c>
      <c r="I7458">
        <v>1</v>
      </c>
      <c r="J7458">
        <v>853</v>
      </c>
      <c r="K7458">
        <v>0</v>
      </c>
      <c r="L7458">
        <v>665.34</v>
      </c>
    </row>
    <row r="7459" spans="1:12" x14ac:dyDescent="0.25">
      <c r="A7459" t="str">
        <f t="shared" si="1632"/>
        <v>89301000</v>
      </c>
      <c r="B7459" t="str">
        <f t="shared" si="1639"/>
        <v>06539000</v>
      </c>
      <c r="C7459" t="str">
        <f t="shared" si="1640"/>
        <v>06539003</v>
      </c>
      <c r="D7459" t="str">
        <f t="shared" si="1641"/>
        <v>813</v>
      </c>
      <c r="E7459" t="str">
        <f t="shared" si="1643"/>
        <v>89301171</v>
      </c>
      <c r="F7459" t="str">
        <f t="shared" si="1644"/>
        <v>6853012221</v>
      </c>
      <c r="G7459" s="1">
        <v>44750</v>
      </c>
      <c r="H7459" t="str">
        <f t="shared" ref="H7459:H7465" si="1645">"91197"</f>
        <v>91197</v>
      </c>
      <c r="I7459">
        <v>1</v>
      </c>
      <c r="J7459">
        <v>1046</v>
      </c>
      <c r="K7459">
        <v>0</v>
      </c>
      <c r="L7459">
        <v>815.88</v>
      </c>
    </row>
    <row r="7460" spans="1:12" x14ac:dyDescent="0.25">
      <c r="A7460" t="str">
        <f t="shared" si="1632"/>
        <v>89301000</v>
      </c>
      <c r="B7460" t="str">
        <f t="shared" si="1639"/>
        <v>06539000</v>
      </c>
      <c r="C7460" t="str">
        <f t="shared" si="1640"/>
        <v>06539003</v>
      </c>
      <c r="D7460" t="str">
        <f t="shared" si="1641"/>
        <v>813</v>
      </c>
      <c r="E7460" t="str">
        <f t="shared" si="1643"/>
        <v>89301171</v>
      </c>
      <c r="F7460" t="str">
        <f t="shared" si="1644"/>
        <v>6853012221</v>
      </c>
      <c r="G7460" s="1">
        <v>44753</v>
      </c>
      <c r="H7460" t="str">
        <f t="shared" si="1645"/>
        <v>91197</v>
      </c>
      <c r="I7460">
        <v>1</v>
      </c>
      <c r="J7460">
        <v>1046</v>
      </c>
      <c r="K7460">
        <v>0</v>
      </c>
      <c r="L7460">
        <v>815.88</v>
      </c>
    </row>
    <row r="7461" spans="1:12" x14ac:dyDescent="0.25">
      <c r="A7461" t="str">
        <f t="shared" si="1632"/>
        <v>89301000</v>
      </c>
      <c r="B7461" t="str">
        <f t="shared" si="1639"/>
        <v>06539000</v>
      </c>
      <c r="C7461" t="str">
        <f t="shared" si="1640"/>
        <v>06539003</v>
      </c>
      <c r="D7461" t="str">
        <f t="shared" si="1641"/>
        <v>813</v>
      </c>
      <c r="E7461" t="str">
        <f t="shared" si="1643"/>
        <v>89301171</v>
      </c>
      <c r="F7461" t="str">
        <f t="shared" si="1644"/>
        <v>6853012221</v>
      </c>
      <c r="G7461" s="1">
        <v>44753</v>
      </c>
      <c r="H7461" t="str">
        <f t="shared" si="1645"/>
        <v>91197</v>
      </c>
      <c r="I7461">
        <v>1</v>
      </c>
      <c r="J7461">
        <v>1046</v>
      </c>
      <c r="K7461">
        <v>0</v>
      </c>
      <c r="L7461">
        <v>815.88</v>
      </c>
    </row>
    <row r="7462" spans="1:12" x14ac:dyDescent="0.25">
      <c r="A7462" t="str">
        <f t="shared" si="1632"/>
        <v>89301000</v>
      </c>
      <c r="B7462" t="str">
        <f t="shared" si="1639"/>
        <v>06539000</v>
      </c>
      <c r="C7462" t="str">
        <f t="shared" si="1640"/>
        <v>06539003</v>
      </c>
      <c r="D7462" t="str">
        <f t="shared" si="1641"/>
        <v>813</v>
      </c>
      <c r="E7462" t="str">
        <f t="shared" si="1643"/>
        <v>89301171</v>
      </c>
      <c r="F7462" t="str">
        <f t="shared" si="1644"/>
        <v>6853012221</v>
      </c>
      <c r="G7462" s="1">
        <v>44752</v>
      </c>
      <c r="H7462" t="str">
        <f t="shared" si="1645"/>
        <v>91197</v>
      </c>
      <c r="I7462">
        <v>1</v>
      </c>
      <c r="J7462">
        <v>1046</v>
      </c>
      <c r="K7462">
        <v>0</v>
      </c>
      <c r="L7462">
        <v>815.88</v>
      </c>
    </row>
    <row r="7463" spans="1:12" x14ac:dyDescent="0.25">
      <c r="A7463" t="str">
        <f t="shared" si="1632"/>
        <v>89301000</v>
      </c>
      <c r="B7463" t="str">
        <f t="shared" si="1639"/>
        <v>06539000</v>
      </c>
      <c r="C7463" t="str">
        <f t="shared" si="1640"/>
        <v>06539003</v>
      </c>
      <c r="D7463" t="str">
        <f t="shared" si="1641"/>
        <v>813</v>
      </c>
      <c r="E7463" t="str">
        <f t="shared" si="1643"/>
        <v>89301171</v>
      </c>
      <c r="F7463" t="str">
        <f t="shared" si="1644"/>
        <v>6853012221</v>
      </c>
      <c r="G7463" s="1">
        <v>44752</v>
      </c>
      <c r="H7463" t="str">
        <f t="shared" si="1645"/>
        <v>91197</v>
      </c>
      <c r="I7463">
        <v>1</v>
      </c>
      <c r="J7463">
        <v>1046</v>
      </c>
      <c r="K7463">
        <v>0</v>
      </c>
      <c r="L7463">
        <v>815.88</v>
      </c>
    </row>
    <row r="7464" spans="1:12" x14ac:dyDescent="0.25">
      <c r="A7464" t="str">
        <f t="shared" si="1632"/>
        <v>89301000</v>
      </c>
      <c r="B7464" t="str">
        <f t="shared" si="1639"/>
        <v>06539000</v>
      </c>
      <c r="C7464" t="str">
        <f t="shared" si="1640"/>
        <v>06539003</v>
      </c>
      <c r="D7464" t="str">
        <f t="shared" si="1641"/>
        <v>813</v>
      </c>
      <c r="E7464" t="str">
        <f t="shared" si="1643"/>
        <v>89301171</v>
      </c>
      <c r="F7464" t="str">
        <f t="shared" si="1644"/>
        <v>6853012221</v>
      </c>
      <c r="G7464" s="1">
        <v>44751</v>
      </c>
      <c r="H7464" t="str">
        <f t="shared" si="1645"/>
        <v>91197</v>
      </c>
      <c r="I7464">
        <v>1</v>
      </c>
      <c r="J7464">
        <v>1046</v>
      </c>
      <c r="K7464">
        <v>0</v>
      </c>
      <c r="L7464">
        <v>815.88</v>
      </c>
    </row>
    <row r="7465" spans="1:12" x14ac:dyDescent="0.25">
      <c r="A7465" t="str">
        <f t="shared" si="1632"/>
        <v>89301000</v>
      </c>
      <c r="B7465" t="str">
        <f t="shared" si="1639"/>
        <v>06539000</v>
      </c>
      <c r="C7465" t="str">
        <f t="shared" si="1640"/>
        <v>06539003</v>
      </c>
      <c r="D7465" t="str">
        <f t="shared" si="1641"/>
        <v>813</v>
      </c>
      <c r="E7465" t="str">
        <f t="shared" si="1643"/>
        <v>89301171</v>
      </c>
      <c r="F7465" t="str">
        <f t="shared" si="1644"/>
        <v>6853012221</v>
      </c>
      <c r="G7465" s="1">
        <v>44751</v>
      </c>
      <c r="H7465" t="str">
        <f t="shared" si="1645"/>
        <v>91197</v>
      </c>
      <c r="I7465">
        <v>1</v>
      </c>
      <c r="J7465">
        <v>1046</v>
      </c>
      <c r="K7465">
        <v>0</v>
      </c>
      <c r="L7465">
        <v>815.88</v>
      </c>
    </row>
    <row r="7466" spans="1:12" x14ac:dyDescent="0.25">
      <c r="A7466" t="str">
        <f t="shared" si="1632"/>
        <v>89301000</v>
      </c>
      <c r="B7466" t="str">
        <f t="shared" si="1639"/>
        <v>06539000</v>
      </c>
      <c r="C7466" t="str">
        <f t="shared" si="1640"/>
        <v>06539003</v>
      </c>
      <c r="D7466" t="str">
        <f t="shared" si="1641"/>
        <v>813</v>
      </c>
      <c r="E7466" t="str">
        <f t="shared" si="1643"/>
        <v>89301171</v>
      </c>
      <c r="F7466" t="str">
        <f t="shared" si="1644"/>
        <v>6853012221</v>
      </c>
      <c r="G7466" s="1">
        <v>44762</v>
      </c>
      <c r="H7466" t="str">
        <f>"91329"</f>
        <v>91329</v>
      </c>
      <c r="I7466">
        <v>2</v>
      </c>
      <c r="J7466">
        <v>428</v>
      </c>
      <c r="K7466">
        <v>0</v>
      </c>
      <c r="L7466">
        <v>333.84</v>
      </c>
    </row>
    <row r="7467" spans="1:12" x14ac:dyDescent="0.25">
      <c r="A7467" t="str">
        <f t="shared" si="1632"/>
        <v>89301000</v>
      </c>
      <c r="B7467" t="str">
        <f t="shared" si="1639"/>
        <v>06539000</v>
      </c>
      <c r="C7467" t="str">
        <f t="shared" si="1640"/>
        <v>06539003</v>
      </c>
      <c r="D7467" t="str">
        <f t="shared" si="1641"/>
        <v>813</v>
      </c>
      <c r="E7467" t="str">
        <f t="shared" si="1643"/>
        <v>89301171</v>
      </c>
      <c r="F7467" t="str">
        <f t="shared" si="1644"/>
        <v>6853012221</v>
      </c>
      <c r="G7467" s="1">
        <v>44762</v>
      </c>
      <c r="H7467" t="str">
        <f>"91329"</f>
        <v>91329</v>
      </c>
      <c r="I7467">
        <v>2</v>
      </c>
      <c r="J7467">
        <v>428</v>
      </c>
      <c r="K7467">
        <v>0</v>
      </c>
      <c r="L7467">
        <v>333.84</v>
      </c>
    </row>
    <row r="7468" spans="1:12" x14ac:dyDescent="0.25">
      <c r="A7468" t="str">
        <f t="shared" si="1632"/>
        <v>89301000</v>
      </c>
      <c r="B7468" t="str">
        <f t="shared" si="1639"/>
        <v>06539000</v>
      </c>
      <c r="C7468" t="str">
        <f t="shared" si="1640"/>
        <v>06539003</v>
      </c>
      <c r="D7468" t="str">
        <f t="shared" si="1641"/>
        <v>813</v>
      </c>
      <c r="E7468" t="str">
        <f t="shared" si="1643"/>
        <v>89301171</v>
      </c>
      <c r="F7468" t="str">
        <f t="shared" si="1644"/>
        <v>6853012221</v>
      </c>
      <c r="G7468" s="1">
        <v>44762</v>
      </c>
      <c r="H7468" t="str">
        <f>"91329"</f>
        <v>91329</v>
      </c>
      <c r="I7468">
        <v>2</v>
      </c>
      <c r="J7468">
        <v>428</v>
      </c>
      <c r="K7468">
        <v>0</v>
      </c>
      <c r="L7468">
        <v>333.84</v>
      </c>
    </row>
    <row r="7469" spans="1:12" x14ac:dyDescent="0.25">
      <c r="A7469" t="str">
        <f t="shared" si="1632"/>
        <v>89301000</v>
      </c>
      <c r="B7469" t="str">
        <f t="shared" si="1639"/>
        <v>06539000</v>
      </c>
      <c r="C7469" t="str">
        <f t="shared" si="1640"/>
        <v>06539003</v>
      </c>
      <c r="D7469" t="str">
        <f t="shared" si="1641"/>
        <v>813</v>
      </c>
      <c r="E7469" t="str">
        <f t="shared" si="1643"/>
        <v>89301171</v>
      </c>
      <c r="F7469" t="str">
        <f t="shared" si="1644"/>
        <v>6853012221</v>
      </c>
      <c r="G7469" s="1">
        <v>44762</v>
      </c>
      <c r="H7469" t="str">
        <f>"91329"</f>
        <v>91329</v>
      </c>
      <c r="I7469">
        <v>2</v>
      </c>
      <c r="J7469">
        <v>428</v>
      </c>
      <c r="K7469">
        <v>0</v>
      </c>
      <c r="L7469">
        <v>333.84</v>
      </c>
    </row>
    <row r="7470" spans="1:12" x14ac:dyDescent="0.25">
      <c r="A7470" t="str">
        <f t="shared" si="1632"/>
        <v>89301000</v>
      </c>
      <c r="B7470" t="str">
        <f t="shared" si="1639"/>
        <v>06539000</v>
      </c>
      <c r="C7470" t="str">
        <f t="shared" si="1640"/>
        <v>06539003</v>
      </c>
      <c r="D7470" t="str">
        <f t="shared" si="1641"/>
        <v>813</v>
      </c>
      <c r="E7470" t="str">
        <f t="shared" si="1643"/>
        <v>89301171</v>
      </c>
      <c r="F7470" t="str">
        <f t="shared" si="1644"/>
        <v>6853012221</v>
      </c>
      <c r="G7470" s="1">
        <v>44750</v>
      </c>
      <c r="H7470" t="str">
        <f>"91129"</f>
        <v>91129</v>
      </c>
      <c r="I7470">
        <v>1</v>
      </c>
      <c r="J7470">
        <v>174</v>
      </c>
      <c r="K7470">
        <v>0</v>
      </c>
      <c r="L7470">
        <v>135.72</v>
      </c>
    </row>
    <row r="7471" spans="1:12" x14ac:dyDescent="0.25">
      <c r="A7471" t="str">
        <f t="shared" si="1632"/>
        <v>89301000</v>
      </c>
      <c r="B7471" t="str">
        <f t="shared" si="1639"/>
        <v>06539000</v>
      </c>
      <c r="C7471" t="str">
        <f t="shared" si="1640"/>
        <v>06539003</v>
      </c>
      <c r="D7471" t="str">
        <f t="shared" si="1641"/>
        <v>813</v>
      </c>
      <c r="E7471" t="str">
        <f t="shared" si="1643"/>
        <v>89301171</v>
      </c>
      <c r="F7471" t="str">
        <f t="shared" si="1644"/>
        <v>6853012221</v>
      </c>
      <c r="G7471" s="1">
        <v>44750</v>
      </c>
      <c r="H7471" t="str">
        <f>"91131"</f>
        <v>91131</v>
      </c>
      <c r="I7471">
        <v>1</v>
      </c>
      <c r="J7471">
        <v>171</v>
      </c>
      <c r="K7471">
        <v>0</v>
      </c>
      <c r="L7471">
        <v>133.38</v>
      </c>
    </row>
    <row r="7472" spans="1:12" x14ac:dyDescent="0.25">
      <c r="A7472" t="str">
        <f t="shared" si="1632"/>
        <v>89301000</v>
      </c>
      <c r="B7472" t="str">
        <f t="shared" si="1639"/>
        <v>06539000</v>
      </c>
      <c r="C7472" t="str">
        <f t="shared" si="1640"/>
        <v>06539003</v>
      </c>
      <c r="D7472" t="str">
        <f t="shared" si="1641"/>
        <v>813</v>
      </c>
      <c r="E7472" t="str">
        <f t="shared" si="1643"/>
        <v>89301171</v>
      </c>
      <c r="F7472" t="str">
        <f t="shared" si="1644"/>
        <v>6853012221</v>
      </c>
      <c r="G7472" s="1">
        <v>44750</v>
      </c>
      <c r="H7472" t="str">
        <f>"91133"</f>
        <v>91133</v>
      </c>
      <c r="I7472">
        <v>1</v>
      </c>
      <c r="J7472">
        <v>176</v>
      </c>
      <c r="K7472">
        <v>0</v>
      </c>
      <c r="L7472">
        <v>137.28</v>
      </c>
    </row>
    <row r="7473" spans="1:12" x14ac:dyDescent="0.25">
      <c r="A7473" t="str">
        <f t="shared" si="1632"/>
        <v>89301000</v>
      </c>
      <c r="B7473" t="str">
        <f t="shared" si="1639"/>
        <v>06539000</v>
      </c>
      <c r="C7473" t="str">
        <f t="shared" si="1640"/>
        <v>06539003</v>
      </c>
      <c r="D7473" t="str">
        <f t="shared" si="1641"/>
        <v>813</v>
      </c>
      <c r="E7473" t="str">
        <f t="shared" si="1643"/>
        <v>89301171</v>
      </c>
      <c r="F7473" t="str">
        <f t="shared" si="1644"/>
        <v>6853012221</v>
      </c>
      <c r="G7473" s="1">
        <v>44750</v>
      </c>
      <c r="H7473" t="str">
        <f>"91171"</f>
        <v>91171</v>
      </c>
      <c r="I7473">
        <v>1</v>
      </c>
      <c r="J7473">
        <v>360</v>
      </c>
      <c r="K7473">
        <v>0</v>
      </c>
      <c r="L7473">
        <v>280.8</v>
      </c>
    </row>
    <row r="7474" spans="1:12" x14ac:dyDescent="0.25">
      <c r="A7474" t="str">
        <f t="shared" si="1632"/>
        <v>89301000</v>
      </c>
      <c r="B7474" t="str">
        <f t="shared" si="1639"/>
        <v>06539000</v>
      </c>
      <c r="C7474" t="str">
        <f t="shared" si="1640"/>
        <v>06539003</v>
      </c>
      <c r="D7474" t="str">
        <f t="shared" si="1641"/>
        <v>813</v>
      </c>
      <c r="E7474" t="str">
        <f t="shared" si="1643"/>
        <v>89301171</v>
      </c>
      <c r="F7474" t="str">
        <f t="shared" si="1644"/>
        <v>6853012221</v>
      </c>
      <c r="G7474" s="1">
        <v>44750</v>
      </c>
      <c r="H7474" t="str">
        <f>"91173"</f>
        <v>91173</v>
      </c>
      <c r="I7474">
        <v>1</v>
      </c>
      <c r="J7474">
        <v>335</v>
      </c>
      <c r="K7474">
        <v>0</v>
      </c>
      <c r="L7474">
        <v>261.3</v>
      </c>
    </row>
    <row r="7475" spans="1:12" x14ac:dyDescent="0.25">
      <c r="A7475" t="str">
        <f t="shared" si="1632"/>
        <v>89301000</v>
      </c>
      <c r="B7475" t="str">
        <f t="shared" si="1639"/>
        <v>06539000</v>
      </c>
      <c r="C7475" t="str">
        <f t="shared" si="1640"/>
        <v>06539003</v>
      </c>
      <c r="D7475" t="str">
        <f t="shared" si="1641"/>
        <v>813</v>
      </c>
      <c r="E7475" t="str">
        <f t="shared" si="1643"/>
        <v>89301171</v>
      </c>
      <c r="F7475" t="str">
        <f t="shared" si="1644"/>
        <v>6853012221</v>
      </c>
      <c r="G7475" s="1">
        <v>44750</v>
      </c>
      <c r="H7475" t="str">
        <f>"91175"</f>
        <v>91175</v>
      </c>
      <c r="I7475">
        <v>1</v>
      </c>
      <c r="J7475">
        <v>360</v>
      </c>
      <c r="K7475">
        <v>0</v>
      </c>
      <c r="L7475">
        <v>280.8</v>
      </c>
    </row>
    <row r="7476" spans="1:12" x14ac:dyDescent="0.25">
      <c r="A7476" t="str">
        <f t="shared" si="1632"/>
        <v>89301000</v>
      </c>
      <c r="B7476" t="str">
        <f t="shared" si="1639"/>
        <v>06539000</v>
      </c>
      <c r="C7476" t="str">
        <f t="shared" si="1640"/>
        <v>06539003</v>
      </c>
      <c r="D7476" t="str">
        <f t="shared" si="1641"/>
        <v>813</v>
      </c>
      <c r="E7476" t="str">
        <f t="shared" si="1643"/>
        <v>89301171</v>
      </c>
      <c r="F7476" t="str">
        <f t="shared" si="1644"/>
        <v>6853012221</v>
      </c>
      <c r="G7476" s="1">
        <v>44751</v>
      </c>
      <c r="H7476" t="str">
        <f>"91167"</f>
        <v>91167</v>
      </c>
      <c r="I7476">
        <v>1</v>
      </c>
      <c r="J7476">
        <v>425</v>
      </c>
      <c r="K7476">
        <v>0</v>
      </c>
      <c r="L7476">
        <v>331.5</v>
      </c>
    </row>
    <row r="7477" spans="1:12" x14ac:dyDescent="0.25">
      <c r="A7477" t="str">
        <f t="shared" si="1632"/>
        <v>89301000</v>
      </c>
      <c r="B7477" t="str">
        <f t="shared" si="1639"/>
        <v>06539000</v>
      </c>
      <c r="C7477" t="str">
        <f t="shared" si="1640"/>
        <v>06539003</v>
      </c>
      <c r="D7477" t="str">
        <f t="shared" si="1641"/>
        <v>813</v>
      </c>
      <c r="E7477" t="str">
        <f t="shared" si="1643"/>
        <v>89301171</v>
      </c>
      <c r="F7477" t="str">
        <f t="shared" si="1644"/>
        <v>6853012221</v>
      </c>
      <c r="G7477" s="1">
        <v>44751</v>
      </c>
      <c r="H7477" t="str">
        <f>"91169"</f>
        <v>91169</v>
      </c>
      <c r="I7477">
        <v>1</v>
      </c>
      <c r="J7477">
        <v>425</v>
      </c>
      <c r="K7477">
        <v>0</v>
      </c>
      <c r="L7477">
        <v>331.5</v>
      </c>
    </row>
    <row r="7478" spans="1:12" x14ac:dyDescent="0.25">
      <c r="A7478" t="str">
        <f t="shared" si="1632"/>
        <v>89301000</v>
      </c>
      <c r="B7478" t="str">
        <f t="shared" si="1639"/>
        <v>06539000</v>
      </c>
      <c r="C7478" t="str">
        <f t="shared" si="1640"/>
        <v>06539003</v>
      </c>
      <c r="D7478" t="str">
        <f t="shared" si="1641"/>
        <v>813</v>
      </c>
      <c r="E7478" t="str">
        <f t="shared" si="1643"/>
        <v>89301171</v>
      </c>
      <c r="F7478" t="str">
        <f t="shared" si="1644"/>
        <v>6853012221</v>
      </c>
      <c r="G7478" s="1">
        <v>44750</v>
      </c>
      <c r="H7478" t="str">
        <f>"91167"</f>
        <v>91167</v>
      </c>
      <c r="I7478">
        <v>1</v>
      </c>
      <c r="J7478">
        <v>425</v>
      </c>
      <c r="K7478">
        <v>0</v>
      </c>
      <c r="L7478">
        <v>331.5</v>
      </c>
    </row>
    <row r="7479" spans="1:12" x14ac:dyDescent="0.25">
      <c r="A7479" t="str">
        <f t="shared" si="1632"/>
        <v>89301000</v>
      </c>
      <c r="B7479" t="str">
        <f t="shared" si="1639"/>
        <v>06539000</v>
      </c>
      <c r="C7479" t="str">
        <f t="shared" si="1640"/>
        <v>06539003</v>
      </c>
      <c r="D7479" t="str">
        <f t="shared" si="1641"/>
        <v>813</v>
      </c>
      <c r="E7479" t="str">
        <f t="shared" si="1643"/>
        <v>89301171</v>
      </c>
      <c r="F7479" t="str">
        <f t="shared" si="1644"/>
        <v>6853012221</v>
      </c>
      <c r="G7479" s="1">
        <v>44750</v>
      </c>
      <c r="H7479" t="str">
        <f>"91169"</f>
        <v>91169</v>
      </c>
      <c r="I7479">
        <v>1</v>
      </c>
      <c r="J7479">
        <v>425</v>
      </c>
      <c r="K7479">
        <v>0</v>
      </c>
      <c r="L7479">
        <v>331.5</v>
      </c>
    </row>
    <row r="7480" spans="1:12" x14ac:dyDescent="0.25">
      <c r="A7480" t="str">
        <f t="shared" si="1632"/>
        <v>89301000</v>
      </c>
      <c r="B7480" t="str">
        <f t="shared" si="1639"/>
        <v>06539000</v>
      </c>
      <c r="C7480" t="str">
        <f t="shared" si="1640"/>
        <v>06539003</v>
      </c>
      <c r="D7480" t="str">
        <f t="shared" si="1641"/>
        <v>813</v>
      </c>
      <c r="E7480" t="str">
        <f t="shared" si="1643"/>
        <v>89301171</v>
      </c>
      <c r="F7480" t="str">
        <f t="shared" si="1644"/>
        <v>6853012221</v>
      </c>
      <c r="G7480" s="1">
        <v>44750</v>
      </c>
      <c r="H7480" t="str">
        <f>"91475"</f>
        <v>91475</v>
      </c>
      <c r="I7480">
        <v>1</v>
      </c>
      <c r="J7480">
        <v>206</v>
      </c>
      <c r="K7480">
        <v>0</v>
      </c>
      <c r="L7480">
        <v>160.68</v>
      </c>
    </row>
    <row r="7481" spans="1:12" x14ac:dyDescent="0.25">
      <c r="A7481" t="str">
        <f t="shared" si="1632"/>
        <v>89301000</v>
      </c>
      <c r="B7481" t="str">
        <f t="shared" si="1639"/>
        <v>06539000</v>
      </c>
      <c r="C7481" t="str">
        <f t="shared" si="1640"/>
        <v>06539003</v>
      </c>
      <c r="D7481" t="str">
        <f t="shared" si="1641"/>
        <v>813</v>
      </c>
      <c r="E7481" t="str">
        <f>"89301172"</f>
        <v>89301172</v>
      </c>
      <c r="F7481" t="str">
        <f>"9307146156"</f>
        <v>9307146156</v>
      </c>
      <c r="G7481" s="1">
        <v>44753</v>
      </c>
      <c r="H7481" t="str">
        <f>"91329"</f>
        <v>91329</v>
      </c>
      <c r="I7481">
        <v>2</v>
      </c>
      <c r="J7481">
        <v>428</v>
      </c>
      <c r="K7481">
        <v>0</v>
      </c>
      <c r="L7481">
        <v>333.84</v>
      </c>
    </row>
    <row r="7482" spans="1:12" x14ac:dyDescent="0.25">
      <c r="A7482" t="str">
        <f t="shared" si="1632"/>
        <v>89301000</v>
      </c>
      <c r="B7482" t="str">
        <f t="shared" si="1639"/>
        <v>06539000</v>
      </c>
      <c r="C7482" t="str">
        <f t="shared" si="1640"/>
        <v>06539003</v>
      </c>
      <c r="D7482" t="str">
        <f t="shared" si="1641"/>
        <v>813</v>
      </c>
      <c r="E7482" t="str">
        <f>"89301172"</f>
        <v>89301172</v>
      </c>
      <c r="F7482" t="str">
        <f>"9307146156"</f>
        <v>9307146156</v>
      </c>
      <c r="G7482" s="1">
        <v>44753</v>
      </c>
      <c r="H7482" t="str">
        <f>"91329"</f>
        <v>91329</v>
      </c>
      <c r="I7482">
        <v>2</v>
      </c>
      <c r="J7482">
        <v>428</v>
      </c>
      <c r="K7482">
        <v>0</v>
      </c>
      <c r="L7482">
        <v>333.84</v>
      </c>
    </row>
    <row r="7483" spans="1:12" x14ac:dyDescent="0.25">
      <c r="A7483" t="str">
        <f t="shared" si="1632"/>
        <v>89301000</v>
      </c>
      <c r="B7483" t="str">
        <f t="shared" si="1639"/>
        <v>06539000</v>
      </c>
      <c r="C7483" t="str">
        <f t="shared" si="1640"/>
        <v>06539003</v>
      </c>
      <c r="D7483" t="str">
        <f t="shared" si="1641"/>
        <v>813</v>
      </c>
      <c r="E7483" t="str">
        <f>"89301172"</f>
        <v>89301172</v>
      </c>
      <c r="F7483" t="str">
        <f>"9307146156"</f>
        <v>9307146156</v>
      </c>
      <c r="G7483" s="1">
        <v>44753</v>
      </c>
      <c r="H7483" t="str">
        <f>"91329"</f>
        <v>91329</v>
      </c>
      <c r="I7483">
        <v>2</v>
      </c>
      <c r="J7483">
        <v>428</v>
      </c>
      <c r="K7483">
        <v>0</v>
      </c>
      <c r="L7483">
        <v>333.84</v>
      </c>
    </row>
    <row r="7484" spans="1:12" x14ac:dyDescent="0.25">
      <c r="A7484" t="str">
        <f t="shared" si="1632"/>
        <v>89301000</v>
      </c>
      <c r="B7484" t="str">
        <f t="shared" si="1639"/>
        <v>06539000</v>
      </c>
      <c r="C7484" t="str">
        <f t="shared" si="1640"/>
        <v>06539003</v>
      </c>
      <c r="D7484" t="str">
        <f t="shared" si="1641"/>
        <v>813</v>
      </c>
      <c r="E7484" t="str">
        <f>"89301172"</f>
        <v>89301172</v>
      </c>
      <c r="F7484" t="str">
        <f>"9307146156"</f>
        <v>9307146156</v>
      </c>
      <c r="G7484" s="1">
        <v>44753</v>
      </c>
      <c r="H7484" t="str">
        <f>"91329"</f>
        <v>91329</v>
      </c>
      <c r="I7484">
        <v>2</v>
      </c>
      <c r="J7484">
        <v>428</v>
      </c>
      <c r="K7484">
        <v>0</v>
      </c>
      <c r="L7484">
        <v>333.84</v>
      </c>
    </row>
    <row r="7485" spans="1:12" x14ac:dyDescent="0.25">
      <c r="A7485" t="str">
        <f t="shared" si="1632"/>
        <v>89301000</v>
      </c>
      <c r="B7485" t="str">
        <f t="shared" si="1639"/>
        <v>06539000</v>
      </c>
      <c r="C7485" t="str">
        <f t="shared" si="1640"/>
        <v>06539003</v>
      </c>
      <c r="D7485" t="str">
        <f t="shared" si="1641"/>
        <v>813</v>
      </c>
      <c r="E7485" t="str">
        <f>"89301172"</f>
        <v>89301172</v>
      </c>
      <c r="F7485" t="str">
        <f>"9307146156"</f>
        <v>9307146156</v>
      </c>
      <c r="G7485" s="1">
        <v>44750</v>
      </c>
      <c r="H7485" t="str">
        <f>"91475"</f>
        <v>91475</v>
      </c>
      <c r="I7485">
        <v>1</v>
      </c>
      <c r="J7485">
        <v>206</v>
      </c>
      <c r="K7485">
        <v>0</v>
      </c>
      <c r="L7485">
        <v>160.68</v>
      </c>
    </row>
    <row r="7486" spans="1:12" x14ac:dyDescent="0.25">
      <c r="A7486" t="str">
        <f t="shared" si="1632"/>
        <v>89301000</v>
      </c>
      <c r="B7486" t="str">
        <f t="shared" si="1639"/>
        <v>06539000</v>
      </c>
      <c r="C7486" t="str">
        <f>"06539001"</f>
        <v>06539001</v>
      </c>
      <c r="D7486" t="str">
        <f>"801"</f>
        <v>801</v>
      </c>
      <c r="E7486" t="str">
        <f t="shared" ref="E7486:E7532" si="1646">"89301171"</f>
        <v>89301171</v>
      </c>
      <c r="F7486" t="str">
        <f t="shared" ref="F7486:F7532" si="1647">"7751155852"</f>
        <v>7751155852</v>
      </c>
      <c r="G7486" s="1">
        <v>44757</v>
      </c>
      <c r="H7486" t="str">
        <f>"81329"</f>
        <v>81329</v>
      </c>
      <c r="I7486">
        <v>1</v>
      </c>
      <c r="J7486">
        <v>16</v>
      </c>
      <c r="K7486">
        <v>0</v>
      </c>
      <c r="L7486">
        <v>12.48</v>
      </c>
    </row>
    <row r="7487" spans="1:12" x14ac:dyDescent="0.25">
      <c r="A7487" t="str">
        <f t="shared" si="1632"/>
        <v>89301000</v>
      </c>
      <c r="B7487" t="str">
        <f t="shared" si="1639"/>
        <v>06539000</v>
      </c>
      <c r="C7487" t="str">
        <f>"06539001"</f>
        <v>06539001</v>
      </c>
      <c r="D7487" t="str">
        <f>"801"</f>
        <v>801</v>
      </c>
      <c r="E7487" t="str">
        <f t="shared" si="1646"/>
        <v>89301171</v>
      </c>
      <c r="F7487" t="str">
        <f t="shared" si="1647"/>
        <v>7751155852</v>
      </c>
      <c r="G7487" s="1">
        <v>44757</v>
      </c>
      <c r="H7487" t="str">
        <f>"81331"</f>
        <v>81331</v>
      </c>
      <c r="I7487">
        <v>1</v>
      </c>
      <c r="J7487">
        <v>193</v>
      </c>
      <c r="K7487">
        <v>0</v>
      </c>
      <c r="L7487">
        <v>150.54</v>
      </c>
    </row>
    <row r="7488" spans="1:12" x14ac:dyDescent="0.25">
      <c r="A7488" t="str">
        <f t="shared" si="1632"/>
        <v>89301000</v>
      </c>
      <c r="B7488" t="str">
        <f t="shared" si="1639"/>
        <v>06539000</v>
      </c>
      <c r="C7488" t="str">
        <f t="shared" ref="C7488:C7495" si="1648">"06539002"</f>
        <v>06539002</v>
      </c>
      <c r="D7488" t="str">
        <f t="shared" ref="D7488:D7495" si="1649">"802"</f>
        <v>802</v>
      </c>
      <c r="E7488" t="str">
        <f t="shared" si="1646"/>
        <v>89301171</v>
      </c>
      <c r="F7488" t="str">
        <f t="shared" si="1647"/>
        <v>7751155852</v>
      </c>
      <c r="G7488" s="1">
        <v>44757</v>
      </c>
      <c r="H7488" t="str">
        <f t="shared" ref="H7488:H7495" si="1650">"82097"</f>
        <v>82097</v>
      </c>
      <c r="I7488">
        <v>1</v>
      </c>
      <c r="J7488">
        <v>380</v>
      </c>
      <c r="K7488">
        <v>0</v>
      </c>
      <c r="L7488">
        <v>345.8</v>
      </c>
    </row>
    <row r="7489" spans="1:12" x14ac:dyDescent="0.25">
      <c r="A7489" t="str">
        <f t="shared" si="1632"/>
        <v>89301000</v>
      </c>
      <c r="B7489" t="str">
        <f t="shared" si="1639"/>
        <v>06539000</v>
      </c>
      <c r="C7489" t="str">
        <f t="shared" si="1648"/>
        <v>06539002</v>
      </c>
      <c r="D7489" t="str">
        <f t="shared" si="1649"/>
        <v>802</v>
      </c>
      <c r="E7489" t="str">
        <f t="shared" si="1646"/>
        <v>89301171</v>
      </c>
      <c r="F7489" t="str">
        <f t="shared" si="1647"/>
        <v>7751155852</v>
      </c>
      <c r="G7489" s="1">
        <v>44757</v>
      </c>
      <c r="H7489" t="str">
        <f t="shared" si="1650"/>
        <v>82097</v>
      </c>
      <c r="I7489">
        <v>1</v>
      </c>
      <c r="J7489">
        <v>380</v>
      </c>
      <c r="K7489">
        <v>0</v>
      </c>
      <c r="L7489">
        <v>345.8</v>
      </c>
    </row>
    <row r="7490" spans="1:12" x14ac:dyDescent="0.25">
      <c r="A7490" t="str">
        <f t="shared" ref="A7490:A7553" si="1651">"89301000"</f>
        <v>89301000</v>
      </c>
      <c r="B7490" t="str">
        <f t="shared" si="1639"/>
        <v>06539000</v>
      </c>
      <c r="C7490" t="str">
        <f t="shared" si="1648"/>
        <v>06539002</v>
      </c>
      <c r="D7490" t="str">
        <f t="shared" si="1649"/>
        <v>802</v>
      </c>
      <c r="E7490" t="str">
        <f t="shared" si="1646"/>
        <v>89301171</v>
      </c>
      <c r="F7490" t="str">
        <f t="shared" si="1647"/>
        <v>7751155852</v>
      </c>
      <c r="G7490" s="1">
        <v>44757</v>
      </c>
      <c r="H7490" t="str">
        <f t="shared" si="1650"/>
        <v>82097</v>
      </c>
      <c r="I7490">
        <v>1</v>
      </c>
      <c r="J7490">
        <v>380</v>
      </c>
      <c r="K7490">
        <v>0</v>
      </c>
      <c r="L7490">
        <v>345.8</v>
      </c>
    </row>
    <row r="7491" spans="1:12" x14ac:dyDescent="0.25">
      <c r="A7491" t="str">
        <f t="shared" si="1651"/>
        <v>89301000</v>
      </c>
      <c r="B7491" t="str">
        <f t="shared" si="1639"/>
        <v>06539000</v>
      </c>
      <c r="C7491" t="str">
        <f t="shared" si="1648"/>
        <v>06539002</v>
      </c>
      <c r="D7491" t="str">
        <f t="shared" si="1649"/>
        <v>802</v>
      </c>
      <c r="E7491" t="str">
        <f t="shared" si="1646"/>
        <v>89301171</v>
      </c>
      <c r="F7491" t="str">
        <f t="shared" si="1647"/>
        <v>7751155852</v>
      </c>
      <c r="G7491" s="1">
        <v>44757</v>
      </c>
      <c r="H7491" t="str">
        <f t="shared" si="1650"/>
        <v>82097</v>
      </c>
      <c r="I7491">
        <v>1</v>
      </c>
      <c r="J7491">
        <v>380</v>
      </c>
      <c r="K7491">
        <v>0</v>
      </c>
      <c r="L7491">
        <v>345.8</v>
      </c>
    </row>
    <row r="7492" spans="1:12" x14ac:dyDescent="0.25">
      <c r="A7492" t="str">
        <f t="shared" si="1651"/>
        <v>89301000</v>
      </c>
      <c r="B7492" t="str">
        <f t="shared" si="1639"/>
        <v>06539000</v>
      </c>
      <c r="C7492" t="str">
        <f t="shared" si="1648"/>
        <v>06539002</v>
      </c>
      <c r="D7492" t="str">
        <f t="shared" si="1649"/>
        <v>802</v>
      </c>
      <c r="E7492" t="str">
        <f t="shared" si="1646"/>
        <v>89301171</v>
      </c>
      <c r="F7492" t="str">
        <f t="shared" si="1647"/>
        <v>7751155852</v>
      </c>
      <c r="G7492" s="1">
        <v>44757</v>
      </c>
      <c r="H7492" t="str">
        <f t="shared" si="1650"/>
        <v>82097</v>
      </c>
      <c r="I7492">
        <v>1</v>
      </c>
      <c r="J7492">
        <v>380</v>
      </c>
      <c r="K7492">
        <v>0</v>
      </c>
      <c r="L7492">
        <v>345.8</v>
      </c>
    </row>
    <row r="7493" spans="1:12" x14ac:dyDescent="0.25">
      <c r="A7493" t="str">
        <f t="shared" si="1651"/>
        <v>89301000</v>
      </c>
      <c r="B7493" t="str">
        <f t="shared" si="1639"/>
        <v>06539000</v>
      </c>
      <c r="C7493" t="str">
        <f t="shared" si="1648"/>
        <v>06539002</v>
      </c>
      <c r="D7493" t="str">
        <f t="shared" si="1649"/>
        <v>802</v>
      </c>
      <c r="E7493" t="str">
        <f t="shared" si="1646"/>
        <v>89301171</v>
      </c>
      <c r="F7493" t="str">
        <f t="shared" si="1647"/>
        <v>7751155852</v>
      </c>
      <c r="G7493" s="1">
        <v>44757</v>
      </c>
      <c r="H7493" t="str">
        <f t="shared" si="1650"/>
        <v>82097</v>
      </c>
      <c r="I7493">
        <v>1</v>
      </c>
      <c r="J7493">
        <v>380</v>
      </c>
      <c r="K7493">
        <v>0</v>
      </c>
      <c r="L7493">
        <v>345.8</v>
      </c>
    </row>
    <row r="7494" spans="1:12" x14ac:dyDescent="0.25">
      <c r="A7494" t="str">
        <f t="shared" si="1651"/>
        <v>89301000</v>
      </c>
      <c r="B7494" t="str">
        <f t="shared" si="1639"/>
        <v>06539000</v>
      </c>
      <c r="C7494" t="str">
        <f t="shared" si="1648"/>
        <v>06539002</v>
      </c>
      <c r="D7494" t="str">
        <f t="shared" si="1649"/>
        <v>802</v>
      </c>
      <c r="E7494" t="str">
        <f t="shared" si="1646"/>
        <v>89301171</v>
      </c>
      <c r="F7494" t="str">
        <f t="shared" si="1647"/>
        <v>7751155852</v>
      </c>
      <c r="G7494" s="1">
        <v>44757</v>
      </c>
      <c r="H7494" t="str">
        <f t="shared" si="1650"/>
        <v>82097</v>
      </c>
      <c r="I7494">
        <v>1</v>
      </c>
      <c r="J7494">
        <v>380</v>
      </c>
      <c r="K7494">
        <v>0</v>
      </c>
      <c r="L7494">
        <v>345.8</v>
      </c>
    </row>
    <row r="7495" spans="1:12" x14ac:dyDescent="0.25">
      <c r="A7495" t="str">
        <f t="shared" si="1651"/>
        <v>89301000</v>
      </c>
      <c r="B7495" t="str">
        <f t="shared" si="1639"/>
        <v>06539000</v>
      </c>
      <c r="C7495" t="str">
        <f t="shared" si="1648"/>
        <v>06539002</v>
      </c>
      <c r="D7495" t="str">
        <f t="shared" si="1649"/>
        <v>802</v>
      </c>
      <c r="E7495" t="str">
        <f t="shared" si="1646"/>
        <v>89301171</v>
      </c>
      <c r="F7495" t="str">
        <f t="shared" si="1647"/>
        <v>7751155852</v>
      </c>
      <c r="G7495" s="1">
        <v>44757</v>
      </c>
      <c r="H7495" t="str">
        <f t="shared" si="1650"/>
        <v>82097</v>
      </c>
      <c r="I7495">
        <v>1</v>
      </c>
      <c r="J7495">
        <v>380</v>
      </c>
      <c r="K7495">
        <v>0</v>
      </c>
      <c r="L7495">
        <v>345.8</v>
      </c>
    </row>
    <row r="7496" spans="1:12" x14ac:dyDescent="0.25">
      <c r="A7496" t="str">
        <f t="shared" si="1651"/>
        <v>89301000</v>
      </c>
      <c r="B7496" t="str">
        <f t="shared" si="1639"/>
        <v>06539000</v>
      </c>
      <c r="C7496" t="str">
        <f t="shared" ref="C7496:C7532" si="1652">"06539003"</f>
        <v>06539003</v>
      </c>
      <c r="D7496" t="str">
        <f t="shared" ref="D7496:D7532" si="1653">"813"</f>
        <v>813</v>
      </c>
      <c r="E7496" t="str">
        <f t="shared" si="1646"/>
        <v>89301171</v>
      </c>
      <c r="F7496" t="str">
        <f t="shared" si="1647"/>
        <v>7751155852</v>
      </c>
      <c r="G7496" s="1">
        <v>44761</v>
      </c>
      <c r="H7496" t="str">
        <f>"91439"</f>
        <v>91439</v>
      </c>
      <c r="I7496">
        <v>1</v>
      </c>
      <c r="J7496">
        <v>356</v>
      </c>
      <c r="K7496">
        <v>0</v>
      </c>
      <c r="L7496">
        <v>277.68</v>
      </c>
    </row>
    <row r="7497" spans="1:12" x14ac:dyDescent="0.25">
      <c r="A7497" t="str">
        <f t="shared" si="1651"/>
        <v>89301000</v>
      </c>
      <c r="B7497" t="str">
        <f t="shared" si="1639"/>
        <v>06539000</v>
      </c>
      <c r="C7497" t="str">
        <f t="shared" si="1652"/>
        <v>06539003</v>
      </c>
      <c r="D7497" t="str">
        <f t="shared" si="1653"/>
        <v>813</v>
      </c>
      <c r="E7497" t="str">
        <f t="shared" si="1646"/>
        <v>89301171</v>
      </c>
      <c r="F7497" t="str">
        <f t="shared" si="1647"/>
        <v>7751155852</v>
      </c>
      <c r="G7497" s="1">
        <v>44761</v>
      </c>
      <c r="H7497" t="str">
        <f>"91439"</f>
        <v>91439</v>
      </c>
      <c r="I7497">
        <v>1</v>
      </c>
      <c r="J7497">
        <v>356</v>
      </c>
      <c r="K7497">
        <v>0</v>
      </c>
      <c r="L7497">
        <v>277.68</v>
      </c>
    </row>
    <row r="7498" spans="1:12" x14ac:dyDescent="0.25">
      <c r="A7498" t="str">
        <f t="shared" si="1651"/>
        <v>89301000</v>
      </c>
      <c r="B7498" t="str">
        <f t="shared" si="1639"/>
        <v>06539000</v>
      </c>
      <c r="C7498" t="str">
        <f t="shared" si="1652"/>
        <v>06539003</v>
      </c>
      <c r="D7498" t="str">
        <f t="shared" si="1653"/>
        <v>813</v>
      </c>
      <c r="E7498" t="str">
        <f t="shared" si="1646"/>
        <v>89301171</v>
      </c>
      <c r="F7498" t="str">
        <f t="shared" si="1647"/>
        <v>7751155852</v>
      </c>
      <c r="G7498" s="1">
        <v>44761</v>
      </c>
      <c r="H7498" t="str">
        <f>"91439"</f>
        <v>91439</v>
      </c>
      <c r="I7498">
        <v>1</v>
      </c>
      <c r="J7498">
        <v>356</v>
      </c>
      <c r="K7498">
        <v>0</v>
      </c>
      <c r="L7498">
        <v>277.68</v>
      </c>
    </row>
    <row r="7499" spans="1:12" x14ac:dyDescent="0.25">
      <c r="A7499" t="str">
        <f t="shared" si="1651"/>
        <v>89301000</v>
      </c>
      <c r="B7499" t="str">
        <f t="shared" si="1639"/>
        <v>06539000</v>
      </c>
      <c r="C7499" t="str">
        <f t="shared" si="1652"/>
        <v>06539003</v>
      </c>
      <c r="D7499" t="str">
        <f t="shared" si="1653"/>
        <v>813</v>
      </c>
      <c r="E7499" t="str">
        <f t="shared" si="1646"/>
        <v>89301171</v>
      </c>
      <c r="F7499" t="str">
        <f t="shared" si="1647"/>
        <v>7751155852</v>
      </c>
      <c r="G7499" s="1">
        <v>44761</v>
      </c>
      <c r="H7499" t="str">
        <f>"91439"</f>
        <v>91439</v>
      </c>
      <c r="I7499">
        <v>1</v>
      </c>
      <c r="J7499">
        <v>356</v>
      </c>
      <c r="K7499">
        <v>0</v>
      </c>
      <c r="L7499">
        <v>277.68</v>
      </c>
    </row>
    <row r="7500" spans="1:12" x14ac:dyDescent="0.25">
      <c r="A7500" t="str">
        <f t="shared" si="1651"/>
        <v>89301000</v>
      </c>
      <c r="B7500" t="str">
        <f t="shared" si="1639"/>
        <v>06539000</v>
      </c>
      <c r="C7500" t="str">
        <f t="shared" si="1652"/>
        <v>06539003</v>
      </c>
      <c r="D7500" t="str">
        <f t="shared" si="1653"/>
        <v>813</v>
      </c>
      <c r="E7500" t="str">
        <f t="shared" si="1646"/>
        <v>89301171</v>
      </c>
      <c r="F7500" t="str">
        <f t="shared" si="1647"/>
        <v>7751155852</v>
      </c>
      <c r="G7500" s="1">
        <v>44761</v>
      </c>
      <c r="H7500" t="str">
        <f>"91439"</f>
        <v>91439</v>
      </c>
      <c r="I7500">
        <v>2</v>
      </c>
      <c r="J7500">
        <v>712</v>
      </c>
      <c r="K7500">
        <v>0</v>
      </c>
      <c r="L7500">
        <v>555.36</v>
      </c>
    </row>
    <row r="7501" spans="1:12" x14ac:dyDescent="0.25">
      <c r="A7501" t="str">
        <f t="shared" si="1651"/>
        <v>89301000</v>
      </c>
      <c r="B7501" t="str">
        <f t="shared" si="1639"/>
        <v>06539000</v>
      </c>
      <c r="C7501" t="str">
        <f t="shared" si="1652"/>
        <v>06539003</v>
      </c>
      <c r="D7501" t="str">
        <f t="shared" si="1653"/>
        <v>813</v>
      </c>
      <c r="E7501" t="str">
        <f t="shared" si="1646"/>
        <v>89301171</v>
      </c>
      <c r="F7501" t="str">
        <f t="shared" si="1647"/>
        <v>7751155852</v>
      </c>
      <c r="G7501" s="1">
        <v>44760</v>
      </c>
      <c r="H7501" t="str">
        <f t="shared" ref="H7501:H7510" si="1654">"91413"</f>
        <v>91413</v>
      </c>
      <c r="I7501">
        <v>1</v>
      </c>
      <c r="J7501">
        <v>853</v>
      </c>
      <c r="K7501">
        <v>0</v>
      </c>
      <c r="L7501">
        <v>665.34</v>
      </c>
    </row>
    <row r="7502" spans="1:12" x14ac:dyDescent="0.25">
      <c r="A7502" t="str">
        <f t="shared" si="1651"/>
        <v>89301000</v>
      </c>
      <c r="B7502" t="str">
        <f t="shared" si="1639"/>
        <v>06539000</v>
      </c>
      <c r="C7502" t="str">
        <f t="shared" si="1652"/>
        <v>06539003</v>
      </c>
      <c r="D7502" t="str">
        <f t="shared" si="1653"/>
        <v>813</v>
      </c>
      <c r="E7502" t="str">
        <f t="shared" si="1646"/>
        <v>89301171</v>
      </c>
      <c r="F7502" t="str">
        <f t="shared" si="1647"/>
        <v>7751155852</v>
      </c>
      <c r="G7502" s="1">
        <v>44760</v>
      </c>
      <c r="H7502" t="str">
        <f t="shared" si="1654"/>
        <v>91413</v>
      </c>
      <c r="I7502">
        <v>1</v>
      </c>
      <c r="J7502">
        <v>853</v>
      </c>
      <c r="K7502">
        <v>0</v>
      </c>
      <c r="L7502">
        <v>665.34</v>
      </c>
    </row>
    <row r="7503" spans="1:12" x14ac:dyDescent="0.25">
      <c r="A7503" t="str">
        <f t="shared" si="1651"/>
        <v>89301000</v>
      </c>
      <c r="B7503" t="str">
        <f t="shared" si="1639"/>
        <v>06539000</v>
      </c>
      <c r="C7503" t="str">
        <f t="shared" si="1652"/>
        <v>06539003</v>
      </c>
      <c r="D7503" t="str">
        <f t="shared" si="1653"/>
        <v>813</v>
      </c>
      <c r="E7503" t="str">
        <f t="shared" si="1646"/>
        <v>89301171</v>
      </c>
      <c r="F7503" t="str">
        <f t="shared" si="1647"/>
        <v>7751155852</v>
      </c>
      <c r="G7503" s="1">
        <v>44769</v>
      </c>
      <c r="H7503" t="str">
        <f t="shared" si="1654"/>
        <v>91413</v>
      </c>
      <c r="I7503">
        <v>1</v>
      </c>
      <c r="J7503">
        <v>853</v>
      </c>
      <c r="K7503">
        <v>0</v>
      </c>
      <c r="L7503">
        <v>665.34</v>
      </c>
    </row>
    <row r="7504" spans="1:12" x14ac:dyDescent="0.25">
      <c r="A7504" t="str">
        <f t="shared" si="1651"/>
        <v>89301000</v>
      </c>
      <c r="B7504" t="str">
        <f t="shared" si="1639"/>
        <v>06539000</v>
      </c>
      <c r="C7504" t="str">
        <f t="shared" si="1652"/>
        <v>06539003</v>
      </c>
      <c r="D7504" t="str">
        <f t="shared" si="1653"/>
        <v>813</v>
      </c>
      <c r="E7504" t="str">
        <f t="shared" si="1646"/>
        <v>89301171</v>
      </c>
      <c r="F7504" t="str">
        <f t="shared" si="1647"/>
        <v>7751155852</v>
      </c>
      <c r="G7504" s="1">
        <v>44769</v>
      </c>
      <c r="H7504" t="str">
        <f t="shared" si="1654"/>
        <v>91413</v>
      </c>
      <c r="I7504">
        <v>1</v>
      </c>
      <c r="J7504">
        <v>853</v>
      </c>
      <c r="K7504">
        <v>0</v>
      </c>
      <c r="L7504">
        <v>665.34</v>
      </c>
    </row>
    <row r="7505" spans="1:12" x14ac:dyDescent="0.25">
      <c r="A7505" t="str">
        <f t="shared" si="1651"/>
        <v>89301000</v>
      </c>
      <c r="B7505" t="str">
        <f t="shared" si="1639"/>
        <v>06539000</v>
      </c>
      <c r="C7505" t="str">
        <f t="shared" si="1652"/>
        <v>06539003</v>
      </c>
      <c r="D7505" t="str">
        <f t="shared" si="1653"/>
        <v>813</v>
      </c>
      <c r="E7505" t="str">
        <f t="shared" si="1646"/>
        <v>89301171</v>
      </c>
      <c r="F7505" t="str">
        <f t="shared" si="1647"/>
        <v>7751155852</v>
      </c>
      <c r="G7505" s="1">
        <v>44770</v>
      </c>
      <c r="H7505" t="str">
        <f t="shared" si="1654"/>
        <v>91413</v>
      </c>
      <c r="I7505">
        <v>1</v>
      </c>
      <c r="J7505">
        <v>853</v>
      </c>
      <c r="K7505">
        <v>0</v>
      </c>
      <c r="L7505">
        <v>665.34</v>
      </c>
    </row>
    <row r="7506" spans="1:12" x14ac:dyDescent="0.25">
      <c r="A7506" t="str">
        <f t="shared" si="1651"/>
        <v>89301000</v>
      </c>
      <c r="B7506" t="str">
        <f t="shared" ref="B7506:B7532" si="1655">"06539000"</f>
        <v>06539000</v>
      </c>
      <c r="C7506" t="str">
        <f t="shared" si="1652"/>
        <v>06539003</v>
      </c>
      <c r="D7506" t="str">
        <f t="shared" si="1653"/>
        <v>813</v>
      </c>
      <c r="E7506" t="str">
        <f t="shared" si="1646"/>
        <v>89301171</v>
      </c>
      <c r="F7506" t="str">
        <f t="shared" si="1647"/>
        <v>7751155852</v>
      </c>
      <c r="G7506" s="1">
        <v>44770</v>
      </c>
      <c r="H7506" t="str">
        <f t="shared" si="1654"/>
        <v>91413</v>
      </c>
      <c r="I7506">
        <v>1</v>
      </c>
      <c r="J7506">
        <v>853</v>
      </c>
      <c r="K7506">
        <v>0</v>
      </c>
      <c r="L7506">
        <v>665.34</v>
      </c>
    </row>
    <row r="7507" spans="1:12" x14ac:dyDescent="0.25">
      <c r="A7507" t="str">
        <f t="shared" si="1651"/>
        <v>89301000</v>
      </c>
      <c r="B7507" t="str">
        <f t="shared" si="1655"/>
        <v>06539000</v>
      </c>
      <c r="C7507" t="str">
        <f t="shared" si="1652"/>
        <v>06539003</v>
      </c>
      <c r="D7507" t="str">
        <f t="shared" si="1653"/>
        <v>813</v>
      </c>
      <c r="E7507" t="str">
        <f t="shared" si="1646"/>
        <v>89301171</v>
      </c>
      <c r="F7507" t="str">
        <f t="shared" si="1647"/>
        <v>7751155852</v>
      </c>
      <c r="G7507" s="1">
        <v>44769</v>
      </c>
      <c r="H7507" t="str">
        <f t="shared" si="1654"/>
        <v>91413</v>
      </c>
      <c r="I7507">
        <v>1</v>
      </c>
      <c r="J7507">
        <v>853</v>
      </c>
      <c r="K7507">
        <v>0</v>
      </c>
      <c r="L7507">
        <v>665.34</v>
      </c>
    </row>
    <row r="7508" spans="1:12" x14ac:dyDescent="0.25">
      <c r="A7508" t="str">
        <f t="shared" si="1651"/>
        <v>89301000</v>
      </c>
      <c r="B7508" t="str">
        <f t="shared" si="1655"/>
        <v>06539000</v>
      </c>
      <c r="C7508" t="str">
        <f t="shared" si="1652"/>
        <v>06539003</v>
      </c>
      <c r="D7508" t="str">
        <f t="shared" si="1653"/>
        <v>813</v>
      </c>
      <c r="E7508" t="str">
        <f t="shared" si="1646"/>
        <v>89301171</v>
      </c>
      <c r="F7508" t="str">
        <f t="shared" si="1647"/>
        <v>7751155852</v>
      </c>
      <c r="G7508" s="1">
        <v>44769</v>
      </c>
      <c r="H7508" t="str">
        <f t="shared" si="1654"/>
        <v>91413</v>
      </c>
      <c r="I7508">
        <v>1</v>
      </c>
      <c r="J7508">
        <v>853</v>
      </c>
      <c r="K7508">
        <v>0</v>
      </c>
      <c r="L7508">
        <v>665.34</v>
      </c>
    </row>
    <row r="7509" spans="1:12" x14ac:dyDescent="0.25">
      <c r="A7509" t="str">
        <f t="shared" si="1651"/>
        <v>89301000</v>
      </c>
      <c r="B7509" t="str">
        <f t="shared" si="1655"/>
        <v>06539000</v>
      </c>
      <c r="C7509" t="str">
        <f t="shared" si="1652"/>
        <v>06539003</v>
      </c>
      <c r="D7509" t="str">
        <f t="shared" si="1653"/>
        <v>813</v>
      </c>
      <c r="E7509" t="str">
        <f t="shared" si="1646"/>
        <v>89301171</v>
      </c>
      <c r="F7509" t="str">
        <f t="shared" si="1647"/>
        <v>7751155852</v>
      </c>
      <c r="G7509" s="1">
        <v>44769</v>
      </c>
      <c r="H7509" t="str">
        <f t="shared" si="1654"/>
        <v>91413</v>
      </c>
      <c r="I7509">
        <v>1</v>
      </c>
      <c r="J7509">
        <v>853</v>
      </c>
      <c r="K7509">
        <v>0</v>
      </c>
      <c r="L7509">
        <v>665.34</v>
      </c>
    </row>
    <row r="7510" spans="1:12" x14ac:dyDescent="0.25">
      <c r="A7510" t="str">
        <f t="shared" si="1651"/>
        <v>89301000</v>
      </c>
      <c r="B7510" t="str">
        <f t="shared" si="1655"/>
        <v>06539000</v>
      </c>
      <c r="C7510" t="str">
        <f t="shared" si="1652"/>
        <v>06539003</v>
      </c>
      <c r="D7510" t="str">
        <f t="shared" si="1653"/>
        <v>813</v>
      </c>
      <c r="E7510" t="str">
        <f t="shared" si="1646"/>
        <v>89301171</v>
      </c>
      <c r="F7510" t="str">
        <f t="shared" si="1647"/>
        <v>7751155852</v>
      </c>
      <c r="G7510" s="1">
        <v>44769</v>
      </c>
      <c r="H7510" t="str">
        <f t="shared" si="1654"/>
        <v>91413</v>
      </c>
      <c r="I7510">
        <v>1</v>
      </c>
      <c r="J7510">
        <v>853</v>
      </c>
      <c r="K7510">
        <v>0</v>
      </c>
      <c r="L7510">
        <v>665.34</v>
      </c>
    </row>
    <row r="7511" spans="1:12" x14ac:dyDescent="0.25">
      <c r="A7511" t="str">
        <f t="shared" si="1651"/>
        <v>89301000</v>
      </c>
      <c r="B7511" t="str">
        <f t="shared" si="1655"/>
        <v>06539000</v>
      </c>
      <c r="C7511" t="str">
        <f t="shared" si="1652"/>
        <v>06539003</v>
      </c>
      <c r="D7511" t="str">
        <f t="shared" si="1653"/>
        <v>813</v>
      </c>
      <c r="E7511" t="str">
        <f t="shared" si="1646"/>
        <v>89301171</v>
      </c>
      <c r="F7511" t="str">
        <f t="shared" si="1647"/>
        <v>7751155852</v>
      </c>
      <c r="G7511" s="1">
        <v>44757</v>
      </c>
      <c r="H7511" t="str">
        <f t="shared" ref="H7511:H7517" si="1656">"91197"</f>
        <v>91197</v>
      </c>
      <c r="I7511">
        <v>1</v>
      </c>
      <c r="J7511">
        <v>1046</v>
      </c>
      <c r="K7511">
        <v>0</v>
      </c>
      <c r="L7511">
        <v>815.88</v>
      </c>
    </row>
    <row r="7512" spans="1:12" x14ac:dyDescent="0.25">
      <c r="A7512" t="str">
        <f t="shared" si="1651"/>
        <v>89301000</v>
      </c>
      <c r="B7512" t="str">
        <f t="shared" si="1655"/>
        <v>06539000</v>
      </c>
      <c r="C7512" t="str">
        <f t="shared" si="1652"/>
        <v>06539003</v>
      </c>
      <c r="D7512" t="str">
        <f t="shared" si="1653"/>
        <v>813</v>
      </c>
      <c r="E7512" t="str">
        <f t="shared" si="1646"/>
        <v>89301171</v>
      </c>
      <c r="F7512" t="str">
        <f t="shared" si="1647"/>
        <v>7751155852</v>
      </c>
      <c r="G7512" s="1">
        <v>44760</v>
      </c>
      <c r="H7512" t="str">
        <f t="shared" si="1656"/>
        <v>91197</v>
      </c>
      <c r="I7512">
        <v>1</v>
      </c>
      <c r="J7512">
        <v>1046</v>
      </c>
      <c r="K7512">
        <v>0</v>
      </c>
      <c r="L7512">
        <v>815.88</v>
      </c>
    </row>
    <row r="7513" spans="1:12" x14ac:dyDescent="0.25">
      <c r="A7513" t="str">
        <f t="shared" si="1651"/>
        <v>89301000</v>
      </c>
      <c r="B7513" t="str">
        <f t="shared" si="1655"/>
        <v>06539000</v>
      </c>
      <c r="C7513" t="str">
        <f t="shared" si="1652"/>
        <v>06539003</v>
      </c>
      <c r="D7513" t="str">
        <f t="shared" si="1653"/>
        <v>813</v>
      </c>
      <c r="E7513" t="str">
        <f t="shared" si="1646"/>
        <v>89301171</v>
      </c>
      <c r="F7513" t="str">
        <f t="shared" si="1647"/>
        <v>7751155852</v>
      </c>
      <c r="G7513" s="1">
        <v>44760</v>
      </c>
      <c r="H7513" t="str">
        <f t="shared" si="1656"/>
        <v>91197</v>
      </c>
      <c r="I7513">
        <v>1</v>
      </c>
      <c r="J7513">
        <v>1046</v>
      </c>
      <c r="K7513">
        <v>0</v>
      </c>
      <c r="L7513">
        <v>815.88</v>
      </c>
    </row>
    <row r="7514" spans="1:12" x14ac:dyDescent="0.25">
      <c r="A7514" t="str">
        <f t="shared" si="1651"/>
        <v>89301000</v>
      </c>
      <c r="B7514" t="str">
        <f t="shared" si="1655"/>
        <v>06539000</v>
      </c>
      <c r="C7514" t="str">
        <f t="shared" si="1652"/>
        <v>06539003</v>
      </c>
      <c r="D7514" t="str">
        <f t="shared" si="1653"/>
        <v>813</v>
      </c>
      <c r="E7514" t="str">
        <f t="shared" si="1646"/>
        <v>89301171</v>
      </c>
      <c r="F7514" t="str">
        <f t="shared" si="1647"/>
        <v>7751155852</v>
      </c>
      <c r="G7514" s="1">
        <v>44759</v>
      </c>
      <c r="H7514" t="str">
        <f t="shared" si="1656"/>
        <v>91197</v>
      </c>
      <c r="I7514">
        <v>1</v>
      </c>
      <c r="J7514">
        <v>1046</v>
      </c>
      <c r="K7514">
        <v>0</v>
      </c>
      <c r="L7514">
        <v>815.88</v>
      </c>
    </row>
    <row r="7515" spans="1:12" x14ac:dyDescent="0.25">
      <c r="A7515" t="str">
        <f t="shared" si="1651"/>
        <v>89301000</v>
      </c>
      <c r="B7515" t="str">
        <f t="shared" si="1655"/>
        <v>06539000</v>
      </c>
      <c r="C7515" t="str">
        <f t="shared" si="1652"/>
        <v>06539003</v>
      </c>
      <c r="D7515" t="str">
        <f t="shared" si="1653"/>
        <v>813</v>
      </c>
      <c r="E7515" t="str">
        <f t="shared" si="1646"/>
        <v>89301171</v>
      </c>
      <c r="F7515" t="str">
        <f t="shared" si="1647"/>
        <v>7751155852</v>
      </c>
      <c r="G7515" s="1">
        <v>44759</v>
      </c>
      <c r="H7515" t="str">
        <f t="shared" si="1656"/>
        <v>91197</v>
      </c>
      <c r="I7515">
        <v>1</v>
      </c>
      <c r="J7515">
        <v>1046</v>
      </c>
      <c r="K7515">
        <v>0</v>
      </c>
      <c r="L7515">
        <v>815.88</v>
      </c>
    </row>
    <row r="7516" spans="1:12" x14ac:dyDescent="0.25">
      <c r="A7516" t="str">
        <f t="shared" si="1651"/>
        <v>89301000</v>
      </c>
      <c r="B7516" t="str">
        <f t="shared" si="1655"/>
        <v>06539000</v>
      </c>
      <c r="C7516" t="str">
        <f t="shared" si="1652"/>
        <v>06539003</v>
      </c>
      <c r="D7516" t="str">
        <f t="shared" si="1653"/>
        <v>813</v>
      </c>
      <c r="E7516" t="str">
        <f t="shared" si="1646"/>
        <v>89301171</v>
      </c>
      <c r="F7516" t="str">
        <f t="shared" si="1647"/>
        <v>7751155852</v>
      </c>
      <c r="G7516" s="1">
        <v>44758</v>
      </c>
      <c r="H7516" t="str">
        <f t="shared" si="1656"/>
        <v>91197</v>
      </c>
      <c r="I7516">
        <v>1</v>
      </c>
      <c r="J7516">
        <v>1046</v>
      </c>
      <c r="K7516">
        <v>0</v>
      </c>
      <c r="L7516">
        <v>815.88</v>
      </c>
    </row>
    <row r="7517" spans="1:12" x14ac:dyDescent="0.25">
      <c r="A7517" t="str">
        <f t="shared" si="1651"/>
        <v>89301000</v>
      </c>
      <c r="B7517" t="str">
        <f t="shared" si="1655"/>
        <v>06539000</v>
      </c>
      <c r="C7517" t="str">
        <f t="shared" si="1652"/>
        <v>06539003</v>
      </c>
      <c r="D7517" t="str">
        <f t="shared" si="1653"/>
        <v>813</v>
      </c>
      <c r="E7517" t="str">
        <f t="shared" si="1646"/>
        <v>89301171</v>
      </c>
      <c r="F7517" t="str">
        <f t="shared" si="1647"/>
        <v>7751155852</v>
      </c>
      <c r="G7517" s="1">
        <v>44758</v>
      </c>
      <c r="H7517" t="str">
        <f t="shared" si="1656"/>
        <v>91197</v>
      </c>
      <c r="I7517">
        <v>1</v>
      </c>
      <c r="J7517">
        <v>1046</v>
      </c>
      <c r="K7517">
        <v>0</v>
      </c>
      <c r="L7517">
        <v>815.88</v>
      </c>
    </row>
    <row r="7518" spans="1:12" x14ac:dyDescent="0.25">
      <c r="A7518" t="str">
        <f t="shared" si="1651"/>
        <v>89301000</v>
      </c>
      <c r="B7518" t="str">
        <f t="shared" si="1655"/>
        <v>06539000</v>
      </c>
      <c r="C7518" t="str">
        <f t="shared" si="1652"/>
        <v>06539003</v>
      </c>
      <c r="D7518" t="str">
        <f t="shared" si="1653"/>
        <v>813</v>
      </c>
      <c r="E7518" t="str">
        <f t="shared" si="1646"/>
        <v>89301171</v>
      </c>
      <c r="F7518" t="str">
        <f t="shared" si="1647"/>
        <v>7751155852</v>
      </c>
      <c r="G7518" s="1">
        <v>44769</v>
      </c>
      <c r="H7518" t="str">
        <f>"91329"</f>
        <v>91329</v>
      </c>
      <c r="I7518">
        <v>2</v>
      </c>
      <c r="J7518">
        <v>428</v>
      </c>
      <c r="K7518">
        <v>0</v>
      </c>
      <c r="L7518">
        <v>333.84</v>
      </c>
    </row>
    <row r="7519" spans="1:12" x14ac:dyDescent="0.25">
      <c r="A7519" t="str">
        <f t="shared" si="1651"/>
        <v>89301000</v>
      </c>
      <c r="B7519" t="str">
        <f t="shared" si="1655"/>
        <v>06539000</v>
      </c>
      <c r="C7519" t="str">
        <f t="shared" si="1652"/>
        <v>06539003</v>
      </c>
      <c r="D7519" t="str">
        <f t="shared" si="1653"/>
        <v>813</v>
      </c>
      <c r="E7519" t="str">
        <f t="shared" si="1646"/>
        <v>89301171</v>
      </c>
      <c r="F7519" t="str">
        <f t="shared" si="1647"/>
        <v>7751155852</v>
      </c>
      <c r="G7519" s="1">
        <v>44769</v>
      </c>
      <c r="H7519" t="str">
        <f>"91329"</f>
        <v>91329</v>
      </c>
      <c r="I7519">
        <v>2</v>
      </c>
      <c r="J7519">
        <v>428</v>
      </c>
      <c r="K7519">
        <v>0</v>
      </c>
      <c r="L7519">
        <v>333.84</v>
      </c>
    </row>
    <row r="7520" spans="1:12" x14ac:dyDescent="0.25">
      <c r="A7520" t="str">
        <f t="shared" si="1651"/>
        <v>89301000</v>
      </c>
      <c r="B7520" t="str">
        <f t="shared" si="1655"/>
        <v>06539000</v>
      </c>
      <c r="C7520" t="str">
        <f t="shared" si="1652"/>
        <v>06539003</v>
      </c>
      <c r="D7520" t="str">
        <f t="shared" si="1653"/>
        <v>813</v>
      </c>
      <c r="E7520" t="str">
        <f t="shared" si="1646"/>
        <v>89301171</v>
      </c>
      <c r="F7520" t="str">
        <f t="shared" si="1647"/>
        <v>7751155852</v>
      </c>
      <c r="G7520" s="1">
        <v>44769</v>
      </c>
      <c r="H7520" t="str">
        <f>"91329"</f>
        <v>91329</v>
      </c>
      <c r="I7520">
        <v>2</v>
      </c>
      <c r="J7520">
        <v>428</v>
      </c>
      <c r="K7520">
        <v>0</v>
      </c>
      <c r="L7520">
        <v>333.84</v>
      </c>
    </row>
    <row r="7521" spans="1:12" x14ac:dyDescent="0.25">
      <c r="A7521" t="str">
        <f t="shared" si="1651"/>
        <v>89301000</v>
      </c>
      <c r="B7521" t="str">
        <f t="shared" si="1655"/>
        <v>06539000</v>
      </c>
      <c r="C7521" t="str">
        <f t="shared" si="1652"/>
        <v>06539003</v>
      </c>
      <c r="D7521" t="str">
        <f t="shared" si="1653"/>
        <v>813</v>
      </c>
      <c r="E7521" t="str">
        <f t="shared" si="1646"/>
        <v>89301171</v>
      </c>
      <c r="F7521" t="str">
        <f t="shared" si="1647"/>
        <v>7751155852</v>
      </c>
      <c r="G7521" s="1">
        <v>44769</v>
      </c>
      <c r="H7521" t="str">
        <f>"91329"</f>
        <v>91329</v>
      </c>
      <c r="I7521">
        <v>2</v>
      </c>
      <c r="J7521">
        <v>428</v>
      </c>
      <c r="K7521">
        <v>0</v>
      </c>
      <c r="L7521">
        <v>333.84</v>
      </c>
    </row>
    <row r="7522" spans="1:12" x14ac:dyDescent="0.25">
      <c r="A7522" t="str">
        <f t="shared" si="1651"/>
        <v>89301000</v>
      </c>
      <c r="B7522" t="str">
        <f t="shared" si="1655"/>
        <v>06539000</v>
      </c>
      <c r="C7522" t="str">
        <f t="shared" si="1652"/>
        <v>06539003</v>
      </c>
      <c r="D7522" t="str">
        <f t="shared" si="1653"/>
        <v>813</v>
      </c>
      <c r="E7522" t="str">
        <f t="shared" si="1646"/>
        <v>89301171</v>
      </c>
      <c r="F7522" t="str">
        <f t="shared" si="1647"/>
        <v>7751155852</v>
      </c>
      <c r="G7522" s="1">
        <v>44759</v>
      </c>
      <c r="H7522" t="str">
        <f>"91129"</f>
        <v>91129</v>
      </c>
      <c r="I7522">
        <v>1</v>
      </c>
      <c r="J7522">
        <v>174</v>
      </c>
      <c r="K7522">
        <v>0</v>
      </c>
      <c r="L7522">
        <v>135.72</v>
      </c>
    </row>
    <row r="7523" spans="1:12" x14ac:dyDescent="0.25">
      <c r="A7523" t="str">
        <f t="shared" si="1651"/>
        <v>89301000</v>
      </c>
      <c r="B7523" t="str">
        <f t="shared" si="1655"/>
        <v>06539000</v>
      </c>
      <c r="C7523" t="str">
        <f t="shared" si="1652"/>
        <v>06539003</v>
      </c>
      <c r="D7523" t="str">
        <f t="shared" si="1653"/>
        <v>813</v>
      </c>
      <c r="E7523" t="str">
        <f t="shared" si="1646"/>
        <v>89301171</v>
      </c>
      <c r="F7523" t="str">
        <f t="shared" si="1647"/>
        <v>7751155852</v>
      </c>
      <c r="G7523" s="1">
        <v>44759</v>
      </c>
      <c r="H7523" t="str">
        <f>"91131"</f>
        <v>91131</v>
      </c>
      <c r="I7523">
        <v>1</v>
      </c>
      <c r="J7523">
        <v>171</v>
      </c>
      <c r="K7523">
        <v>0</v>
      </c>
      <c r="L7523">
        <v>133.38</v>
      </c>
    </row>
    <row r="7524" spans="1:12" x14ac:dyDescent="0.25">
      <c r="A7524" t="str">
        <f t="shared" si="1651"/>
        <v>89301000</v>
      </c>
      <c r="B7524" t="str">
        <f t="shared" si="1655"/>
        <v>06539000</v>
      </c>
      <c r="C7524" t="str">
        <f t="shared" si="1652"/>
        <v>06539003</v>
      </c>
      <c r="D7524" t="str">
        <f t="shared" si="1653"/>
        <v>813</v>
      </c>
      <c r="E7524" t="str">
        <f t="shared" si="1646"/>
        <v>89301171</v>
      </c>
      <c r="F7524" t="str">
        <f t="shared" si="1647"/>
        <v>7751155852</v>
      </c>
      <c r="G7524" s="1">
        <v>44759</v>
      </c>
      <c r="H7524" t="str">
        <f>"91133"</f>
        <v>91133</v>
      </c>
      <c r="I7524">
        <v>1</v>
      </c>
      <c r="J7524">
        <v>176</v>
      </c>
      <c r="K7524">
        <v>0</v>
      </c>
      <c r="L7524">
        <v>137.28</v>
      </c>
    </row>
    <row r="7525" spans="1:12" x14ac:dyDescent="0.25">
      <c r="A7525" t="str">
        <f t="shared" si="1651"/>
        <v>89301000</v>
      </c>
      <c r="B7525" t="str">
        <f t="shared" si="1655"/>
        <v>06539000</v>
      </c>
      <c r="C7525" t="str">
        <f t="shared" si="1652"/>
        <v>06539003</v>
      </c>
      <c r="D7525" t="str">
        <f t="shared" si="1653"/>
        <v>813</v>
      </c>
      <c r="E7525" t="str">
        <f t="shared" si="1646"/>
        <v>89301171</v>
      </c>
      <c r="F7525" t="str">
        <f t="shared" si="1647"/>
        <v>7751155852</v>
      </c>
      <c r="G7525" s="1">
        <v>44759</v>
      </c>
      <c r="H7525" t="str">
        <f>"91171"</f>
        <v>91171</v>
      </c>
      <c r="I7525">
        <v>1</v>
      </c>
      <c r="J7525">
        <v>360</v>
      </c>
      <c r="K7525">
        <v>0</v>
      </c>
      <c r="L7525">
        <v>280.8</v>
      </c>
    </row>
    <row r="7526" spans="1:12" x14ac:dyDescent="0.25">
      <c r="A7526" t="str">
        <f t="shared" si="1651"/>
        <v>89301000</v>
      </c>
      <c r="B7526" t="str">
        <f t="shared" si="1655"/>
        <v>06539000</v>
      </c>
      <c r="C7526" t="str">
        <f t="shared" si="1652"/>
        <v>06539003</v>
      </c>
      <c r="D7526" t="str">
        <f t="shared" si="1653"/>
        <v>813</v>
      </c>
      <c r="E7526" t="str">
        <f t="shared" si="1646"/>
        <v>89301171</v>
      </c>
      <c r="F7526" t="str">
        <f t="shared" si="1647"/>
        <v>7751155852</v>
      </c>
      <c r="G7526" s="1">
        <v>44757</v>
      </c>
      <c r="H7526" t="str">
        <f>"91173"</f>
        <v>91173</v>
      </c>
      <c r="I7526">
        <v>1</v>
      </c>
      <c r="J7526">
        <v>335</v>
      </c>
      <c r="K7526">
        <v>0</v>
      </c>
      <c r="L7526">
        <v>261.3</v>
      </c>
    </row>
    <row r="7527" spans="1:12" x14ac:dyDescent="0.25">
      <c r="A7527" t="str">
        <f t="shared" si="1651"/>
        <v>89301000</v>
      </c>
      <c r="B7527" t="str">
        <f t="shared" si="1655"/>
        <v>06539000</v>
      </c>
      <c r="C7527" t="str">
        <f t="shared" si="1652"/>
        <v>06539003</v>
      </c>
      <c r="D7527" t="str">
        <f t="shared" si="1653"/>
        <v>813</v>
      </c>
      <c r="E7527" t="str">
        <f t="shared" si="1646"/>
        <v>89301171</v>
      </c>
      <c r="F7527" t="str">
        <f t="shared" si="1647"/>
        <v>7751155852</v>
      </c>
      <c r="G7527" s="1">
        <v>44759</v>
      </c>
      <c r="H7527" t="str">
        <f>"91175"</f>
        <v>91175</v>
      </c>
      <c r="I7527">
        <v>1</v>
      </c>
      <c r="J7527">
        <v>360</v>
      </c>
      <c r="K7527">
        <v>0</v>
      </c>
      <c r="L7527">
        <v>280.8</v>
      </c>
    </row>
    <row r="7528" spans="1:12" x14ac:dyDescent="0.25">
      <c r="A7528" t="str">
        <f t="shared" si="1651"/>
        <v>89301000</v>
      </c>
      <c r="B7528" t="str">
        <f t="shared" si="1655"/>
        <v>06539000</v>
      </c>
      <c r="C7528" t="str">
        <f t="shared" si="1652"/>
        <v>06539003</v>
      </c>
      <c r="D7528" t="str">
        <f t="shared" si="1653"/>
        <v>813</v>
      </c>
      <c r="E7528" t="str">
        <f t="shared" si="1646"/>
        <v>89301171</v>
      </c>
      <c r="F7528" t="str">
        <f t="shared" si="1647"/>
        <v>7751155852</v>
      </c>
      <c r="G7528" s="1">
        <v>44758</v>
      </c>
      <c r="H7528" t="str">
        <f>"91167"</f>
        <v>91167</v>
      </c>
      <c r="I7528">
        <v>1</v>
      </c>
      <c r="J7528">
        <v>425</v>
      </c>
      <c r="K7528">
        <v>0</v>
      </c>
      <c r="L7528">
        <v>331.5</v>
      </c>
    </row>
    <row r="7529" spans="1:12" x14ac:dyDescent="0.25">
      <c r="A7529" t="str">
        <f t="shared" si="1651"/>
        <v>89301000</v>
      </c>
      <c r="B7529" t="str">
        <f t="shared" si="1655"/>
        <v>06539000</v>
      </c>
      <c r="C7529" t="str">
        <f t="shared" si="1652"/>
        <v>06539003</v>
      </c>
      <c r="D7529" t="str">
        <f t="shared" si="1653"/>
        <v>813</v>
      </c>
      <c r="E7529" t="str">
        <f t="shared" si="1646"/>
        <v>89301171</v>
      </c>
      <c r="F7529" t="str">
        <f t="shared" si="1647"/>
        <v>7751155852</v>
      </c>
      <c r="G7529" s="1">
        <v>44758</v>
      </c>
      <c r="H7529" t="str">
        <f>"91169"</f>
        <v>91169</v>
      </c>
      <c r="I7529">
        <v>1</v>
      </c>
      <c r="J7529">
        <v>425</v>
      </c>
      <c r="K7529">
        <v>0</v>
      </c>
      <c r="L7529">
        <v>331.5</v>
      </c>
    </row>
    <row r="7530" spans="1:12" x14ac:dyDescent="0.25">
      <c r="A7530" t="str">
        <f t="shared" si="1651"/>
        <v>89301000</v>
      </c>
      <c r="B7530" t="str">
        <f t="shared" si="1655"/>
        <v>06539000</v>
      </c>
      <c r="C7530" t="str">
        <f t="shared" si="1652"/>
        <v>06539003</v>
      </c>
      <c r="D7530" t="str">
        <f t="shared" si="1653"/>
        <v>813</v>
      </c>
      <c r="E7530" t="str">
        <f t="shared" si="1646"/>
        <v>89301171</v>
      </c>
      <c r="F7530" t="str">
        <f t="shared" si="1647"/>
        <v>7751155852</v>
      </c>
      <c r="G7530" s="1">
        <v>44757</v>
      </c>
      <c r="H7530" t="str">
        <f>"91167"</f>
        <v>91167</v>
      </c>
      <c r="I7530">
        <v>1</v>
      </c>
      <c r="J7530">
        <v>425</v>
      </c>
      <c r="K7530">
        <v>0</v>
      </c>
      <c r="L7530">
        <v>331.5</v>
      </c>
    </row>
    <row r="7531" spans="1:12" x14ac:dyDescent="0.25">
      <c r="A7531" t="str">
        <f t="shared" si="1651"/>
        <v>89301000</v>
      </c>
      <c r="B7531" t="str">
        <f t="shared" si="1655"/>
        <v>06539000</v>
      </c>
      <c r="C7531" t="str">
        <f t="shared" si="1652"/>
        <v>06539003</v>
      </c>
      <c r="D7531" t="str">
        <f t="shared" si="1653"/>
        <v>813</v>
      </c>
      <c r="E7531" t="str">
        <f t="shared" si="1646"/>
        <v>89301171</v>
      </c>
      <c r="F7531" t="str">
        <f t="shared" si="1647"/>
        <v>7751155852</v>
      </c>
      <c r="G7531" s="1">
        <v>44757</v>
      </c>
      <c r="H7531" t="str">
        <f>"91169"</f>
        <v>91169</v>
      </c>
      <c r="I7531">
        <v>1</v>
      </c>
      <c r="J7531">
        <v>425</v>
      </c>
      <c r="K7531">
        <v>0</v>
      </c>
      <c r="L7531">
        <v>331.5</v>
      </c>
    </row>
    <row r="7532" spans="1:12" x14ac:dyDescent="0.25">
      <c r="A7532" t="str">
        <f t="shared" si="1651"/>
        <v>89301000</v>
      </c>
      <c r="B7532" t="str">
        <f t="shared" si="1655"/>
        <v>06539000</v>
      </c>
      <c r="C7532" t="str">
        <f t="shared" si="1652"/>
        <v>06539003</v>
      </c>
      <c r="D7532" t="str">
        <f t="shared" si="1653"/>
        <v>813</v>
      </c>
      <c r="E7532" t="str">
        <f t="shared" si="1646"/>
        <v>89301171</v>
      </c>
      <c r="F7532" t="str">
        <f t="shared" si="1647"/>
        <v>7751155852</v>
      </c>
      <c r="G7532" s="1">
        <v>44757</v>
      </c>
      <c r="H7532" t="str">
        <f>"91475"</f>
        <v>91475</v>
      </c>
      <c r="I7532">
        <v>1</v>
      </c>
      <c r="J7532">
        <v>206</v>
      </c>
      <c r="K7532">
        <v>0</v>
      </c>
      <c r="L7532">
        <v>160.68</v>
      </c>
    </row>
    <row r="7533" spans="1:12" x14ac:dyDescent="0.25">
      <c r="A7533" t="str">
        <f t="shared" si="1651"/>
        <v>89301000</v>
      </c>
      <c r="B7533" t="str">
        <f>"02002000"</f>
        <v>02002000</v>
      </c>
      <c r="C7533" t="str">
        <f>"02002303"</f>
        <v>02002303</v>
      </c>
      <c r="D7533" t="str">
        <f>"816"</f>
        <v>816</v>
      </c>
      <c r="E7533" t="str">
        <f>"89301102"</f>
        <v>89301102</v>
      </c>
      <c r="F7533" t="str">
        <f>"1008150352"</f>
        <v>1008150352</v>
      </c>
      <c r="G7533" s="1">
        <v>44763</v>
      </c>
      <c r="H7533" t="str">
        <f>"86243"</f>
        <v>86243</v>
      </c>
      <c r="I7533">
        <v>1</v>
      </c>
      <c r="J7533">
        <v>387</v>
      </c>
      <c r="K7533">
        <v>0</v>
      </c>
      <c r="L7533">
        <v>328.95</v>
      </c>
    </row>
    <row r="7534" spans="1:12" x14ac:dyDescent="0.25">
      <c r="A7534" t="str">
        <f t="shared" si="1651"/>
        <v>89301000</v>
      </c>
      <c r="B7534" t="str">
        <f>"02002000"</f>
        <v>02002000</v>
      </c>
      <c r="C7534" t="str">
        <f>"02002303"</f>
        <v>02002303</v>
      </c>
      <c r="D7534" t="str">
        <f>"816"</f>
        <v>816</v>
      </c>
      <c r="E7534" t="str">
        <f>"89301102"</f>
        <v>89301102</v>
      </c>
      <c r="F7534" t="str">
        <f>"1008150352"</f>
        <v>1008150352</v>
      </c>
      <c r="G7534" s="1">
        <v>44763</v>
      </c>
      <c r="H7534" t="str">
        <f>"91581"</f>
        <v>91581</v>
      </c>
      <c r="I7534">
        <v>6</v>
      </c>
      <c r="J7534">
        <v>95358</v>
      </c>
      <c r="K7534">
        <v>0</v>
      </c>
      <c r="L7534">
        <v>81054.3</v>
      </c>
    </row>
    <row r="7535" spans="1:12" x14ac:dyDescent="0.25">
      <c r="A7535" t="str">
        <f t="shared" si="1651"/>
        <v>89301000</v>
      </c>
      <c r="B7535" t="str">
        <f t="shared" ref="B7535:B7567" si="1657">"78006000"</f>
        <v>78006000</v>
      </c>
      <c r="C7535" t="str">
        <f>"78006207"</f>
        <v>78006207</v>
      </c>
      <c r="D7535" t="str">
        <f>"813"</f>
        <v>813</v>
      </c>
      <c r="E7535" t="str">
        <f>"89301171"</f>
        <v>89301171</v>
      </c>
      <c r="F7535" t="str">
        <f>"7552114394"</f>
        <v>7552114394</v>
      </c>
      <c r="G7535" s="1">
        <v>44695</v>
      </c>
      <c r="H7535" t="str">
        <f>"91197"</f>
        <v>91197</v>
      </c>
      <c r="I7535">
        <v>2</v>
      </c>
      <c r="J7535">
        <v>2092</v>
      </c>
      <c r="K7535">
        <v>0</v>
      </c>
      <c r="L7535">
        <v>1631.76</v>
      </c>
    </row>
    <row r="7536" spans="1:12" x14ac:dyDescent="0.25">
      <c r="A7536" t="str">
        <f t="shared" si="1651"/>
        <v>89301000</v>
      </c>
      <c r="B7536" t="str">
        <f t="shared" si="1657"/>
        <v>78006000</v>
      </c>
      <c r="C7536" t="str">
        <f>"78006207"</f>
        <v>78006207</v>
      </c>
      <c r="D7536" t="str">
        <f>"813"</f>
        <v>813</v>
      </c>
      <c r="E7536" t="str">
        <f>"89301171"</f>
        <v>89301171</v>
      </c>
      <c r="F7536" t="str">
        <f>"7552114394"</f>
        <v>7552114394</v>
      </c>
      <c r="G7536" s="1">
        <v>44696</v>
      </c>
      <c r="H7536" t="str">
        <f>"91197"</f>
        <v>91197</v>
      </c>
      <c r="I7536">
        <v>2</v>
      </c>
      <c r="J7536">
        <v>2092</v>
      </c>
      <c r="K7536">
        <v>0</v>
      </c>
      <c r="L7536">
        <v>1631.76</v>
      </c>
    </row>
    <row r="7537" spans="1:12" x14ac:dyDescent="0.25">
      <c r="A7537" t="str">
        <f t="shared" si="1651"/>
        <v>89301000</v>
      </c>
      <c r="B7537" t="str">
        <f t="shared" si="1657"/>
        <v>78006000</v>
      </c>
      <c r="C7537" t="str">
        <f>"78006207"</f>
        <v>78006207</v>
      </c>
      <c r="D7537" t="str">
        <f>"813"</f>
        <v>813</v>
      </c>
      <c r="E7537" t="str">
        <f>"89301171"</f>
        <v>89301171</v>
      </c>
      <c r="F7537" t="str">
        <f>"7552114394"</f>
        <v>7552114394</v>
      </c>
      <c r="G7537" s="1">
        <v>44697</v>
      </c>
      <c r="H7537" t="str">
        <f>"91197"</f>
        <v>91197</v>
      </c>
      <c r="I7537">
        <v>2</v>
      </c>
      <c r="J7537">
        <v>2092</v>
      </c>
      <c r="K7537">
        <v>0</v>
      </c>
      <c r="L7537">
        <v>1631.76</v>
      </c>
    </row>
    <row r="7538" spans="1:12" x14ac:dyDescent="0.25">
      <c r="A7538" t="str">
        <f t="shared" si="1651"/>
        <v>89301000</v>
      </c>
      <c r="B7538" t="str">
        <f t="shared" si="1657"/>
        <v>78006000</v>
      </c>
      <c r="C7538" t="str">
        <f>"78006831"</f>
        <v>78006831</v>
      </c>
      <c r="D7538" t="str">
        <f>"809"</f>
        <v>809</v>
      </c>
      <c r="E7538" t="str">
        <f>"89301062"</f>
        <v>89301062</v>
      </c>
      <c r="F7538" t="str">
        <f>"415801428"</f>
        <v>415801428</v>
      </c>
      <c r="G7538" s="1">
        <v>44750</v>
      </c>
      <c r="H7538" t="str">
        <f>"89615"</f>
        <v>89615</v>
      </c>
      <c r="I7538">
        <v>1</v>
      </c>
      <c r="J7538">
        <v>2170</v>
      </c>
      <c r="K7538">
        <v>0</v>
      </c>
      <c r="L7538">
        <v>1302</v>
      </c>
    </row>
    <row r="7539" spans="1:12" x14ac:dyDescent="0.25">
      <c r="A7539" t="str">
        <f t="shared" si="1651"/>
        <v>89301000</v>
      </c>
      <c r="B7539" t="str">
        <f t="shared" si="1657"/>
        <v>78006000</v>
      </c>
      <c r="C7539" t="str">
        <f>"78006831"</f>
        <v>78006831</v>
      </c>
      <c r="D7539" t="str">
        <f>"809"</f>
        <v>809</v>
      </c>
      <c r="E7539" t="str">
        <f>"89301132"</f>
        <v>89301132</v>
      </c>
      <c r="F7539" t="str">
        <f>"535922254"</f>
        <v>535922254</v>
      </c>
      <c r="G7539" s="1">
        <v>44757</v>
      </c>
      <c r="H7539" t="str">
        <f>"89611"</f>
        <v>89611</v>
      </c>
      <c r="I7539">
        <v>1</v>
      </c>
      <c r="J7539">
        <v>2241</v>
      </c>
      <c r="K7539">
        <v>0</v>
      </c>
      <c r="L7539">
        <v>1344.6</v>
      </c>
    </row>
    <row r="7540" spans="1:12" x14ac:dyDescent="0.25">
      <c r="A7540" t="str">
        <f t="shared" si="1651"/>
        <v>89301000</v>
      </c>
      <c r="B7540" t="str">
        <f t="shared" si="1657"/>
        <v>78006000</v>
      </c>
      <c r="C7540" t="str">
        <f>"78006831"</f>
        <v>78006831</v>
      </c>
      <c r="D7540" t="str">
        <f>"809"</f>
        <v>809</v>
      </c>
      <c r="E7540" t="str">
        <f>"89301132"</f>
        <v>89301132</v>
      </c>
      <c r="F7540" t="str">
        <f>"535922254"</f>
        <v>535922254</v>
      </c>
      <c r="G7540" s="1">
        <v>44757</v>
      </c>
      <c r="H7540" t="str">
        <f>"0137480"</f>
        <v>0137480</v>
      </c>
      <c r="I7540">
        <v>0.1</v>
      </c>
      <c r="K7540">
        <v>502.41</v>
      </c>
      <c r="L7540">
        <v>502.41</v>
      </c>
    </row>
    <row r="7541" spans="1:12" x14ac:dyDescent="0.25">
      <c r="A7541" t="str">
        <f t="shared" si="1651"/>
        <v>89301000</v>
      </c>
      <c r="B7541" t="str">
        <f t="shared" si="1657"/>
        <v>78006000</v>
      </c>
      <c r="C7541" t="str">
        <f>"78006205"</f>
        <v>78006205</v>
      </c>
      <c r="D7541" t="str">
        <f>"818"</f>
        <v>818</v>
      </c>
      <c r="E7541" t="str">
        <f>"89301167"</f>
        <v>89301167</v>
      </c>
      <c r="F7541" t="str">
        <f>"6459211253"</f>
        <v>6459211253</v>
      </c>
      <c r="G7541" s="1">
        <v>44771</v>
      </c>
      <c r="H7541" t="str">
        <f>"96857"</f>
        <v>96857</v>
      </c>
      <c r="I7541">
        <v>1</v>
      </c>
      <c r="J7541">
        <v>67</v>
      </c>
      <c r="K7541">
        <v>0</v>
      </c>
      <c r="L7541">
        <v>60.97</v>
      </c>
    </row>
    <row r="7542" spans="1:12" x14ac:dyDescent="0.25">
      <c r="A7542" t="str">
        <f t="shared" si="1651"/>
        <v>89301000</v>
      </c>
      <c r="B7542" t="str">
        <f t="shared" si="1657"/>
        <v>78006000</v>
      </c>
      <c r="C7542" t="str">
        <f t="shared" ref="C7542:C7548" si="1658">"78006231"</f>
        <v>78006231</v>
      </c>
      <c r="D7542" t="str">
        <f t="shared" ref="D7542:D7548" si="1659">"809"</f>
        <v>809</v>
      </c>
      <c r="E7542" t="str">
        <f>"89301062"</f>
        <v>89301062</v>
      </c>
      <c r="F7542" t="str">
        <f>"8903164765"</f>
        <v>8903164765</v>
      </c>
      <c r="G7542" s="1">
        <v>44757</v>
      </c>
      <c r="H7542" t="str">
        <f>"89615"</f>
        <v>89615</v>
      </c>
      <c r="I7542">
        <v>1</v>
      </c>
      <c r="J7542">
        <v>2170</v>
      </c>
      <c r="K7542">
        <v>0</v>
      </c>
      <c r="L7542">
        <v>1302</v>
      </c>
    </row>
    <row r="7543" spans="1:12" x14ac:dyDescent="0.25">
      <c r="A7543" t="str">
        <f t="shared" si="1651"/>
        <v>89301000</v>
      </c>
      <c r="B7543" t="str">
        <f t="shared" si="1657"/>
        <v>78006000</v>
      </c>
      <c r="C7543" t="str">
        <f t="shared" si="1658"/>
        <v>78006231</v>
      </c>
      <c r="D7543" t="str">
        <f t="shared" si="1659"/>
        <v>809</v>
      </c>
      <c r="E7543" t="str">
        <f t="shared" ref="E7543:E7548" si="1660">"89301212"</f>
        <v>89301212</v>
      </c>
      <c r="F7543" t="str">
        <f>"5652012410"</f>
        <v>5652012410</v>
      </c>
      <c r="G7543" s="1">
        <v>44762</v>
      </c>
      <c r="H7543" t="str">
        <f>"89617"</f>
        <v>89617</v>
      </c>
      <c r="I7543">
        <v>1</v>
      </c>
      <c r="J7543">
        <v>1332</v>
      </c>
      <c r="K7543">
        <v>0</v>
      </c>
      <c r="L7543">
        <v>799.2</v>
      </c>
    </row>
    <row r="7544" spans="1:12" x14ac:dyDescent="0.25">
      <c r="A7544" t="str">
        <f t="shared" si="1651"/>
        <v>89301000</v>
      </c>
      <c r="B7544" t="str">
        <f t="shared" si="1657"/>
        <v>78006000</v>
      </c>
      <c r="C7544" t="str">
        <f t="shared" si="1658"/>
        <v>78006231</v>
      </c>
      <c r="D7544" t="str">
        <f t="shared" si="1659"/>
        <v>809</v>
      </c>
      <c r="E7544" t="str">
        <f t="shared" si="1660"/>
        <v>89301212</v>
      </c>
      <c r="F7544" t="str">
        <f>"5652012410"</f>
        <v>5652012410</v>
      </c>
      <c r="G7544" s="1">
        <v>44762</v>
      </c>
      <c r="H7544" t="str">
        <f>"0022075"</f>
        <v>0022075</v>
      </c>
      <c r="I7544">
        <v>1</v>
      </c>
      <c r="K7544">
        <v>1004.83</v>
      </c>
      <c r="L7544">
        <v>1004.83</v>
      </c>
    </row>
    <row r="7545" spans="1:12" x14ac:dyDescent="0.25">
      <c r="A7545" t="str">
        <f t="shared" si="1651"/>
        <v>89301000</v>
      </c>
      <c r="B7545" t="str">
        <f t="shared" si="1657"/>
        <v>78006000</v>
      </c>
      <c r="C7545" t="str">
        <f t="shared" si="1658"/>
        <v>78006231</v>
      </c>
      <c r="D7545" t="str">
        <f t="shared" si="1659"/>
        <v>809</v>
      </c>
      <c r="E7545" t="str">
        <f t="shared" si="1660"/>
        <v>89301212</v>
      </c>
      <c r="F7545" t="str">
        <f>"6451301417"</f>
        <v>6451301417</v>
      </c>
      <c r="G7545" s="1">
        <v>44753</v>
      </c>
      <c r="H7545" t="str">
        <f>"89131"</f>
        <v>89131</v>
      </c>
      <c r="I7545">
        <v>1</v>
      </c>
      <c r="J7545">
        <v>187</v>
      </c>
      <c r="K7545">
        <v>0</v>
      </c>
      <c r="L7545">
        <v>261.8</v>
      </c>
    </row>
    <row r="7546" spans="1:12" x14ac:dyDescent="0.25">
      <c r="A7546" t="str">
        <f t="shared" si="1651"/>
        <v>89301000</v>
      </c>
      <c r="B7546" t="str">
        <f t="shared" si="1657"/>
        <v>78006000</v>
      </c>
      <c r="C7546" t="str">
        <f t="shared" si="1658"/>
        <v>78006231</v>
      </c>
      <c r="D7546" t="str">
        <f t="shared" si="1659"/>
        <v>809</v>
      </c>
      <c r="E7546" t="str">
        <f t="shared" si="1660"/>
        <v>89301212</v>
      </c>
      <c r="F7546" t="str">
        <f>"5652012410"</f>
        <v>5652012410</v>
      </c>
      <c r="G7546" s="1">
        <v>44762</v>
      </c>
      <c r="H7546" t="str">
        <f>"89131"</f>
        <v>89131</v>
      </c>
      <c r="I7546">
        <v>1</v>
      </c>
      <c r="J7546">
        <v>187</v>
      </c>
      <c r="K7546">
        <v>0</v>
      </c>
      <c r="L7546">
        <v>261.8</v>
      </c>
    </row>
    <row r="7547" spans="1:12" x14ac:dyDescent="0.25">
      <c r="A7547" t="str">
        <f t="shared" si="1651"/>
        <v>89301000</v>
      </c>
      <c r="B7547" t="str">
        <f t="shared" si="1657"/>
        <v>78006000</v>
      </c>
      <c r="C7547" t="str">
        <f t="shared" si="1658"/>
        <v>78006231</v>
      </c>
      <c r="D7547" t="str">
        <f t="shared" si="1659"/>
        <v>809</v>
      </c>
      <c r="E7547" t="str">
        <f t="shared" si="1660"/>
        <v>89301212</v>
      </c>
      <c r="F7547" t="str">
        <f>"485106414"</f>
        <v>485106414</v>
      </c>
      <c r="G7547" s="1">
        <v>44769</v>
      </c>
      <c r="H7547" t="str">
        <f>"89513"</f>
        <v>89513</v>
      </c>
      <c r="I7547">
        <v>1</v>
      </c>
      <c r="J7547">
        <v>371</v>
      </c>
      <c r="K7547">
        <v>0</v>
      </c>
      <c r="L7547">
        <v>519.4</v>
      </c>
    </row>
    <row r="7548" spans="1:12" x14ac:dyDescent="0.25">
      <c r="A7548" t="str">
        <f t="shared" si="1651"/>
        <v>89301000</v>
      </c>
      <c r="B7548" t="str">
        <f t="shared" si="1657"/>
        <v>78006000</v>
      </c>
      <c r="C7548" t="str">
        <f t="shared" si="1658"/>
        <v>78006231</v>
      </c>
      <c r="D7548" t="str">
        <f t="shared" si="1659"/>
        <v>809</v>
      </c>
      <c r="E7548" t="str">
        <f t="shared" si="1660"/>
        <v>89301212</v>
      </c>
      <c r="F7548" t="str">
        <f>"485106414"</f>
        <v>485106414</v>
      </c>
      <c r="G7548" s="1">
        <v>44769</v>
      </c>
      <c r="H7548" t="str">
        <f>"89514"</f>
        <v>89514</v>
      </c>
      <c r="I7548">
        <v>1</v>
      </c>
      <c r="J7548">
        <v>371</v>
      </c>
      <c r="K7548">
        <v>0</v>
      </c>
      <c r="L7548">
        <v>519.4</v>
      </c>
    </row>
    <row r="7549" spans="1:12" x14ac:dyDescent="0.25">
      <c r="A7549" t="str">
        <f t="shared" si="1651"/>
        <v>89301000</v>
      </c>
      <c r="B7549" t="str">
        <f t="shared" si="1657"/>
        <v>78006000</v>
      </c>
      <c r="C7549" t="str">
        <f t="shared" ref="C7549:C7555" si="1661">"78006201"</f>
        <v>78006201</v>
      </c>
      <c r="D7549" t="str">
        <f t="shared" ref="D7549:D7555" si="1662">"801"</f>
        <v>801</v>
      </c>
      <c r="E7549" t="str">
        <f>"89301167"</f>
        <v>89301167</v>
      </c>
      <c r="F7549" t="str">
        <f>"6459211253"</f>
        <v>6459211253</v>
      </c>
      <c r="G7549" s="1">
        <v>44771</v>
      </c>
      <c r="H7549" t="str">
        <f>"81329"</f>
        <v>81329</v>
      </c>
      <c r="I7549">
        <v>1</v>
      </c>
      <c r="J7549">
        <v>16</v>
      </c>
      <c r="K7549">
        <v>0</v>
      </c>
      <c r="L7549">
        <v>12.48</v>
      </c>
    </row>
    <row r="7550" spans="1:12" x14ac:dyDescent="0.25">
      <c r="A7550" t="str">
        <f t="shared" si="1651"/>
        <v>89301000</v>
      </c>
      <c r="B7550" t="str">
        <f t="shared" si="1657"/>
        <v>78006000</v>
      </c>
      <c r="C7550" t="str">
        <f t="shared" si="1661"/>
        <v>78006201</v>
      </c>
      <c r="D7550" t="str">
        <f t="shared" si="1662"/>
        <v>801</v>
      </c>
      <c r="E7550" t="str">
        <f>"89301167"</f>
        <v>89301167</v>
      </c>
      <c r="F7550" t="str">
        <f>"6459211253"</f>
        <v>6459211253</v>
      </c>
      <c r="G7550" s="1">
        <v>44771</v>
      </c>
      <c r="H7550" t="str">
        <f>"81383"</f>
        <v>81383</v>
      </c>
      <c r="I7550">
        <v>1</v>
      </c>
      <c r="J7550">
        <v>23</v>
      </c>
      <c r="K7550">
        <v>0</v>
      </c>
      <c r="L7550">
        <v>17.940000000000001</v>
      </c>
    </row>
    <row r="7551" spans="1:12" x14ac:dyDescent="0.25">
      <c r="A7551" t="str">
        <f t="shared" si="1651"/>
        <v>89301000</v>
      </c>
      <c r="B7551" t="str">
        <f t="shared" si="1657"/>
        <v>78006000</v>
      </c>
      <c r="C7551" t="str">
        <f t="shared" si="1661"/>
        <v>78006201</v>
      </c>
      <c r="D7551" t="str">
        <f t="shared" si="1662"/>
        <v>801</v>
      </c>
      <c r="E7551" t="str">
        <f>"89301167"</f>
        <v>89301167</v>
      </c>
      <c r="F7551" t="str">
        <f>"6459211253"</f>
        <v>6459211253</v>
      </c>
      <c r="G7551" s="1">
        <v>44771</v>
      </c>
      <c r="H7551" t="str">
        <f>"81625"</f>
        <v>81625</v>
      </c>
      <c r="I7551">
        <v>1</v>
      </c>
      <c r="J7551">
        <v>20</v>
      </c>
      <c r="K7551">
        <v>0</v>
      </c>
      <c r="L7551">
        <v>15.6</v>
      </c>
    </row>
    <row r="7552" spans="1:12" x14ac:dyDescent="0.25">
      <c r="A7552" t="str">
        <f t="shared" si="1651"/>
        <v>89301000</v>
      </c>
      <c r="B7552" t="str">
        <f t="shared" si="1657"/>
        <v>78006000</v>
      </c>
      <c r="C7552" t="str">
        <f t="shared" si="1661"/>
        <v>78006201</v>
      </c>
      <c r="D7552" t="str">
        <f t="shared" si="1662"/>
        <v>801</v>
      </c>
      <c r="E7552" t="str">
        <f>"89301167"</f>
        <v>89301167</v>
      </c>
      <c r="F7552" t="str">
        <f>"6459211253"</f>
        <v>6459211253</v>
      </c>
      <c r="G7552" s="1">
        <v>44771</v>
      </c>
      <c r="H7552" t="str">
        <f>"97111"</f>
        <v>97111</v>
      </c>
      <c r="I7552">
        <v>1</v>
      </c>
      <c r="J7552">
        <v>18</v>
      </c>
      <c r="K7552">
        <v>0</v>
      </c>
      <c r="L7552">
        <v>14.04</v>
      </c>
    </row>
    <row r="7553" spans="1:12" x14ac:dyDescent="0.25">
      <c r="A7553" t="str">
        <f t="shared" si="1651"/>
        <v>89301000</v>
      </c>
      <c r="B7553" t="str">
        <f t="shared" si="1657"/>
        <v>78006000</v>
      </c>
      <c r="C7553" t="str">
        <f t="shared" si="1661"/>
        <v>78006201</v>
      </c>
      <c r="D7553" t="str">
        <f t="shared" si="1662"/>
        <v>801</v>
      </c>
      <c r="E7553" t="str">
        <f>"89301171"</f>
        <v>89301171</v>
      </c>
      <c r="F7553" t="str">
        <f>"7751155852"</f>
        <v>7751155852</v>
      </c>
      <c r="G7553" s="1">
        <v>44757</v>
      </c>
      <c r="H7553" t="str">
        <f>"81703"</f>
        <v>81703</v>
      </c>
      <c r="I7553">
        <v>2</v>
      </c>
      <c r="J7553">
        <v>556</v>
      </c>
      <c r="K7553">
        <v>0</v>
      </c>
      <c r="L7553">
        <v>433.68</v>
      </c>
    </row>
    <row r="7554" spans="1:12" x14ac:dyDescent="0.25">
      <c r="A7554" t="str">
        <f t="shared" ref="A7554:A7617" si="1663">"89301000"</f>
        <v>89301000</v>
      </c>
      <c r="B7554" t="str">
        <f t="shared" si="1657"/>
        <v>78006000</v>
      </c>
      <c r="C7554" t="str">
        <f t="shared" si="1661"/>
        <v>78006201</v>
      </c>
      <c r="D7554" t="str">
        <f t="shared" si="1662"/>
        <v>801</v>
      </c>
      <c r="E7554" t="str">
        <f>"89301171"</f>
        <v>89301171</v>
      </c>
      <c r="F7554" t="str">
        <f>"6853012221"</f>
        <v>6853012221</v>
      </c>
      <c r="G7554" s="1">
        <v>44746</v>
      </c>
      <c r="H7554" t="str">
        <f>"81703"</f>
        <v>81703</v>
      </c>
      <c r="I7554">
        <v>2</v>
      </c>
      <c r="J7554">
        <v>556</v>
      </c>
      <c r="K7554">
        <v>0</v>
      </c>
      <c r="L7554">
        <v>433.68</v>
      </c>
    </row>
    <row r="7555" spans="1:12" x14ac:dyDescent="0.25">
      <c r="A7555" t="str">
        <f t="shared" si="1663"/>
        <v>89301000</v>
      </c>
      <c r="B7555" t="str">
        <f t="shared" si="1657"/>
        <v>78006000</v>
      </c>
      <c r="C7555" t="str">
        <f t="shared" si="1661"/>
        <v>78006201</v>
      </c>
      <c r="D7555" t="str">
        <f t="shared" si="1662"/>
        <v>801</v>
      </c>
      <c r="E7555" t="str">
        <f>"89301171"</f>
        <v>89301171</v>
      </c>
      <c r="F7555" t="str">
        <f>"8262215346"</f>
        <v>8262215346</v>
      </c>
      <c r="G7555" s="1">
        <v>44770</v>
      </c>
      <c r="H7555" t="str">
        <f>"81703"</f>
        <v>81703</v>
      </c>
      <c r="I7555">
        <v>2</v>
      </c>
      <c r="J7555">
        <v>556</v>
      </c>
      <c r="K7555">
        <v>0</v>
      </c>
      <c r="L7555">
        <v>433.68</v>
      </c>
    </row>
    <row r="7556" spans="1:12" x14ac:dyDescent="0.25">
      <c r="A7556" t="str">
        <f t="shared" si="1663"/>
        <v>89301000</v>
      </c>
      <c r="B7556" t="str">
        <f t="shared" si="1657"/>
        <v>78006000</v>
      </c>
      <c r="C7556" t="str">
        <f>"78006233"</f>
        <v>78006233</v>
      </c>
      <c r="D7556" t="str">
        <f>"810"</f>
        <v>810</v>
      </c>
      <c r="E7556" t="str">
        <f>"89301172"</f>
        <v>89301172</v>
      </c>
      <c r="F7556" t="str">
        <f>"8812205182"</f>
        <v>8812205182</v>
      </c>
      <c r="G7556" s="1">
        <v>44755</v>
      </c>
      <c r="H7556" t="str">
        <f>"89713"</f>
        <v>89713</v>
      </c>
      <c r="I7556">
        <v>1</v>
      </c>
      <c r="J7556">
        <v>5362</v>
      </c>
      <c r="K7556">
        <v>0</v>
      </c>
      <c r="L7556">
        <v>3217.2</v>
      </c>
    </row>
    <row r="7557" spans="1:12" x14ac:dyDescent="0.25">
      <c r="A7557" t="str">
        <f t="shared" si="1663"/>
        <v>89301000</v>
      </c>
      <c r="B7557" t="str">
        <f t="shared" si="1657"/>
        <v>78006000</v>
      </c>
      <c r="C7557" t="str">
        <f>"78006233"</f>
        <v>78006233</v>
      </c>
      <c r="D7557" t="str">
        <f>"810"</f>
        <v>810</v>
      </c>
      <c r="E7557" t="str">
        <f>"89301172"</f>
        <v>89301172</v>
      </c>
      <c r="F7557" t="str">
        <f>"8812205182"</f>
        <v>8812205182</v>
      </c>
      <c r="G7557" s="1">
        <v>44755</v>
      </c>
      <c r="H7557" t="str">
        <f>"89713"</f>
        <v>89713</v>
      </c>
      <c r="I7557">
        <v>1</v>
      </c>
      <c r="J7557">
        <v>5362</v>
      </c>
      <c r="K7557">
        <v>0</v>
      </c>
      <c r="L7557">
        <v>3217.2</v>
      </c>
    </row>
    <row r="7558" spans="1:12" x14ac:dyDescent="0.25">
      <c r="A7558" t="str">
        <f t="shared" si="1663"/>
        <v>89301000</v>
      </c>
      <c r="B7558" t="str">
        <f t="shared" si="1657"/>
        <v>78006000</v>
      </c>
      <c r="C7558" t="str">
        <f>"78006233"</f>
        <v>78006233</v>
      </c>
      <c r="D7558" t="str">
        <f>"810"</f>
        <v>810</v>
      </c>
      <c r="E7558" t="str">
        <f>"89301172"</f>
        <v>89301172</v>
      </c>
      <c r="F7558" t="str">
        <f>"8812205182"</f>
        <v>8812205182</v>
      </c>
      <c r="G7558" s="1">
        <v>44755</v>
      </c>
      <c r="H7558" t="str">
        <f>"89725"</f>
        <v>89725</v>
      </c>
      <c r="I7558">
        <v>1</v>
      </c>
      <c r="J7558">
        <v>2839</v>
      </c>
      <c r="K7558">
        <v>0</v>
      </c>
      <c r="L7558">
        <v>1703.4</v>
      </c>
    </row>
    <row r="7559" spans="1:12" x14ac:dyDescent="0.25">
      <c r="A7559" t="str">
        <f t="shared" si="1663"/>
        <v>89301000</v>
      </c>
      <c r="B7559" t="str">
        <f t="shared" si="1657"/>
        <v>78006000</v>
      </c>
      <c r="C7559" t="str">
        <f>"78006233"</f>
        <v>78006233</v>
      </c>
      <c r="D7559" t="str">
        <f>"810"</f>
        <v>810</v>
      </c>
      <c r="E7559" t="str">
        <f>"89301172"</f>
        <v>89301172</v>
      </c>
      <c r="F7559" t="str">
        <f>"8812205182"</f>
        <v>8812205182</v>
      </c>
      <c r="G7559" s="1">
        <v>44755</v>
      </c>
      <c r="H7559" t="str">
        <f>"0207746"</f>
        <v>0207746</v>
      </c>
      <c r="I7559">
        <v>0.4</v>
      </c>
      <c r="K7559">
        <v>3454.04</v>
      </c>
      <c r="L7559">
        <v>3454.04</v>
      </c>
    </row>
    <row r="7560" spans="1:12" x14ac:dyDescent="0.25">
      <c r="A7560" t="str">
        <f t="shared" si="1663"/>
        <v>89301000</v>
      </c>
      <c r="B7560" t="str">
        <f t="shared" si="1657"/>
        <v>78006000</v>
      </c>
      <c r="C7560" t="str">
        <f>"78006207"</f>
        <v>78006207</v>
      </c>
      <c r="D7560" t="str">
        <f>"813"</f>
        <v>813</v>
      </c>
      <c r="E7560" t="str">
        <f>"89301171"</f>
        <v>89301171</v>
      </c>
      <c r="F7560" t="str">
        <f>"7154254481"</f>
        <v>7154254481</v>
      </c>
      <c r="G7560" s="1">
        <v>44762</v>
      </c>
      <c r="H7560" t="str">
        <f>"91197"</f>
        <v>91197</v>
      </c>
      <c r="I7560">
        <v>6</v>
      </c>
      <c r="J7560">
        <v>6276</v>
      </c>
      <c r="K7560">
        <v>0</v>
      </c>
      <c r="L7560">
        <v>4895.28</v>
      </c>
    </row>
    <row r="7561" spans="1:12" x14ac:dyDescent="0.25">
      <c r="A7561" t="str">
        <f t="shared" si="1663"/>
        <v>89301000</v>
      </c>
      <c r="B7561" t="str">
        <f t="shared" si="1657"/>
        <v>78006000</v>
      </c>
      <c r="C7561" t="str">
        <f>"78006207"</f>
        <v>78006207</v>
      </c>
      <c r="D7561" t="str">
        <f>"813"</f>
        <v>813</v>
      </c>
      <c r="E7561" t="str">
        <f>"89301171"</f>
        <v>89301171</v>
      </c>
      <c r="F7561" t="str">
        <f>"6853012221"</f>
        <v>6853012221</v>
      </c>
      <c r="G7561" s="1">
        <v>44762</v>
      </c>
      <c r="H7561" t="str">
        <f>"91197"</f>
        <v>91197</v>
      </c>
      <c r="I7561">
        <v>6</v>
      </c>
      <c r="J7561">
        <v>6276</v>
      </c>
      <c r="K7561">
        <v>0</v>
      </c>
      <c r="L7561">
        <v>4895.28</v>
      </c>
    </row>
    <row r="7562" spans="1:12" x14ac:dyDescent="0.25">
      <c r="A7562" t="str">
        <f t="shared" si="1663"/>
        <v>89301000</v>
      </c>
      <c r="B7562" t="str">
        <f t="shared" si="1657"/>
        <v>78006000</v>
      </c>
      <c r="C7562" t="str">
        <f>"78006831"</f>
        <v>78006831</v>
      </c>
      <c r="D7562" t="str">
        <f>"809"</f>
        <v>809</v>
      </c>
      <c r="E7562" t="str">
        <f>"89301322"</f>
        <v>89301322</v>
      </c>
      <c r="F7562" t="str">
        <f>"485609408"</f>
        <v>485609408</v>
      </c>
      <c r="G7562" s="1">
        <v>44757</v>
      </c>
      <c r="H7562" t="str">
        <f>"89513"</f>
        <v>89513</v>
      </c>
      <c r="I7562">
        <v>1</v>
      </c>
      <c r="J7562">
        <v>371</v>
      </c>
      <c r="K7562">
        <v>0</v>
      </c>
      <c r="L7562">
        <v>519.4</v>
      </c>
    </row>
    <row r="7563" spans="1:12" x14ac:dyDescent="0.25">
      <c r="A7563" t="str">
        <f t="shared" si="1663"/>
        <v>89301000</v>
      </c>
      <c r="B7563" t="str">
        <f t="shared" si="1657"/>
        <v>78006000</v>
      </c>
      <c r="C7563" t="str">
        <f>"78006831"</f>
        <v>78006831</v>
      </c>
      <c r="D7563" t="str">
        <f>"809"</f>
        <v>809</v>
      </c>
      <c r="E7563" t="str">
        <f>"89301322"</f>
        <v>89301322</v>
      </c>
      <c r="F7563" t="str">
        <f>"485609408"</f>
        <v>485609408</v>
      </c>
      <c r="G7563" s="1">
        <v>44757</v>
      </c>
      <c r="H7563" t="str">
        <f>"89514"</f>
        <v>89514</v>
      </c>
      <c r="I7563">
        <v>1</v>
      </c>
      <c r="J7563">
        <v>371</v>
      </c>
      <c r="K7563">
        <v>0</v>
      </c>
      <c r="L7563">
        <v>519.4</v>
      </c>
    </row>
    <row r="7564" spans="1:12" x14ac:dyDescent="0.25">
      <c r="A7564" t="str">
        <f t="shared" si="1663"/>
        <v>89301000</v>
      </c>
      <c r="B7564" t="str">
        <f t="shared" si="1657"/>
        <v>78006000</v>
      </c>
      <c r="C7564" t="str">
        <f>"78006831"</f>
        <v>78006831</v>
      </c>
      <c r="D7564" t="str">
        <f>"809"</f>
        <v>809</v>
      </c>
      <c r="E7564" t="str">
        <f>"89301322"</f>
        <v>89301322</v>
      </c>
      <c r="F7564" t="str">
        <f>"485609408"</f>
        <v>485609408</v>
      </c>
      <c r="G7564" s="1">
        <v>44757</v>
      </c>
      <c r="H7564" t="str">
        <f>"09135"</f>
        <v>09135</v>
      </c>
      <c r="I7564">
        <v>1</v>
      </c>
      <c r="J7564">
        <v>174</v>
      </c>
      <c r="K7564">
        <v>0</v>
      </c>
      <c r="L7564">
        <v>243.6</v>
      </c>
    </row>
    <row r="7565" spans="1:12" x14ac:dyDescent="0.25">
      <c r="A7565" t="str">
        <f t="shared" si="1663"/>
        <v>89301000</v>
      </c>
      <c r="B7565" t="str">
        <f t="shared" si="1657"/>
        <v>78006000</v>
      </c>
      <c r="C7565" t="str">
        <f>"78006831"</f>
        <v>78006831</v>
      </c>
      <c r="D7565" t="str">
        <f>"809"</f>
        <v>809</v>
      </c>
      <c r="E7565" t="str">
        <f>"89301212"</f>
        <v>89301212</v>
      </c>
      <c r="F7565" t="str">
        <f>"486114401"</f>
        <v>486114401</v>
      </c>
      <c r="G7565" s="1">
        <v>44750</v>
      </c>
      <c r="H7565" t="str">
        <f>"89513"</f>
        <v>89513</v>
      </c>
      <c r="I7565">
        <v>1</v>
      </c>
      <c r="J7565">
        <v>371</v>
      </c>
      <c r="K7565">
        <v>0</v>
      </c>
      <c r="L7565">
        <v>519.4</v>
      </c>
    </row>
    <row r="7566" spans="1:12" x14ac:dyDescent="0.25">
      <c r="A7566" t="str">
        <f t="shared" si="1663"/>
        <v>89301000</v>
      </c>
      <c r="B7566" t="str">
        <f t="shared" si="1657"/>
        <v>78006000</v>
      </c>
      <c r="C7566" t="str">
        <f>"78006831"</f>
        <v>78006831</v>
      </c>
      <c r="D7566" t="str">
        <f>"809"</f>
        <v>809</v>
      </c>
      <c r="E7566" t="str">
        <f>"89301212"</f>
        <v>89301212</v>
      </c>
      <c r="F7566" t="str">
        <f>"486114401"</f>
        <v>486114401</v>
      </c>
      <c r="G7566" s="1">
        <v>44750</v>
      </c>
      <c r="H7566" t="str">
        <f>"89514"</f>
        <v>89514</v>
      </c>
      <c r="I7566">
        <v>1</v>
      </c>
      <c r="J7566">
        <v>371</v>
      </c>
      <c r="K7566">
        <v>0</v>
      </c>
      <c r="L7566">
        <v>519.4</v>
      </c>
    </row>
    <row r="7567" spans="1:12" x14ac:dyDescent="0.25">
      <c r="A7567" t="str">
        <f t="shared" si="1663"/>
        <v>89301000</v>
      </c>
      <c r="B7567" t="str">
        <f t="shared" si="1657"/>
        <v>78006000</v>
      </c>
      <c r="C7567" t="str">
        <f>"78006207"</f>
        <v>78006207</v>
      </c>
      <c r="D7567" t="str">
        <f>"813"</f>
        <v>813</v>
      </c>
      <c r="E7567" t="str">
        <f>"89301167"</f>
        <v>89301167</v>
      </c>
      <c r="F7567" t="str">
        <f>"6459211253"</f>
        <v>6459211253</v>
      </c>
      <c r="G7567" s="1">
        <v>44771</v>
      </c>
      <c r="H7567" t="str">
        <f>"91153"</f>
        <v>91153</v>
      </c>
      <c r="I7567">
        <v>1</v>
      </c>
      <c r="J7567">
        <v>152</v>
      </c>
      <c r="K7567">
        <v>0</v>
      </c>
      <c r="L7567">
        <v>118.56</v>
      </c>
    </row>
    <row r="7568" spans="1:12" x14ac:dyDescent="0.25">
      <c r="A7568" t="str">
        <f t="shared" si="1663"/>
        <v>89301000</v>
      </c>
      <c r="B7568" t="str">
        <f>"02001000"</f>
        <v>02001000</v>
      </c>
      <c r="C7568" t="str">
        <f>"02001171"</f>
        <v>02001171</v>
      </c>
      <c r="D7568" t="str">
        <f>"813"</f>
        <v>813</v>
      </c>
      <c r="E7568" t="str">
        <f>"89301034"</f>
        <v>89301034</v>
      </c>
      <c r="F7568" t="str">
        <f>"6454241629"</f>
        <v>6454241629</v>
      </c>
      <c r="G7568" s="1">
        <v>44754</v>
      </c>
      <c r="H7568" t="str">
        <f>"91197"</f>
        <v>91197</v>
      </c>
      <c r="I7568">
        <v>1</v>
      </c>
      <c r="J7568">
        <v>1046</v>
      </c>
      <c r="K7568">
        <v>0</v>
      </c>
      <c r="L7568">
        <v>815.88</v>
      </c>
    </row>
    <row r="7569" spans="1:12" x14ac:dyDescent="0.25">
      <c r="A7569" t="str">
        <f t="shared" si="1663"/>
        <v>89301000</v>
      </c>
      <c r="B7569" t="str">
        <f t="shared" ref="B7569:B7591" si="1664">"02004000"</f>
        <v>02004000</v>
      </c>
      <c r="C7569" t="str">
        <f>"02004545"</f>
        <v>02004545</v>
      </c>
      <c r="D7569" t="str">
        <f>"816"</f>
        <v>816</v>
      </c>
      <c r="E7569" t="str">
        <f>"89301322"</f>
        <v>89301322</v>
      </c>
      <c r="F7569" t="str">
        <f>"8951285717"</f>
        <v>8951285717</v>
      </c>
      <c r="G7569" s="1">
        <v>44739</v>
      </c>
      <c r="H7569" t="str">
        <f>"94221"</f>
        <v>94221</v>
      </c>
      <c r="I7569">
        <v>9</v>
      </c>
      <c r="J7569">
        <v>22077</v>
      </c>
      <c r="K7569">
        <v>0</v>
      </c>
      <c r="L7569">
        <v>18765.45</v>
      </c>
    </row>
    <row r="7570" spans="1:12" x14ac:dyDescent="0.25">
      <c r="A7570" t="str">
        <f t="shared" si="1663"/>
        <v>89301000</v>
      </c>
      <c r="B7570" t="str">
        <f t="shared" si="1664"/>
        <v>02004000</v>
      </c>
      <c r="C7570" t="str">
        <f>"02004545"</f>
        <v>02004545</v>
      </c>
      <c r="D7570" t="str">
        <f>"816"</f>
        <v>816</v>
      </c>
      <c r="E7570" t="str">
        <f>"89301322"</f>
        <v>89301322</v>
      </c>
      <c r="F7570" t="str">
        <f>"8951285717"</f>
        <v>8951285717</v>
      </c>
      <c r="G7570" s="1">
        <v>44739</v>
      </c>
      <c r="H7570" t="str">
        <f>"94221"</f>
        <v>94221</v>
      </c>
      <c r="I7570">
        <v>1</v>
      </c>
      <c r="J7570">
        <v>2453</v>
      </c>
      <c r="K7570">
        <v>0</v>
      </c>
      <c r="L7570">
        <v>2085.0500000000002</v>
      </c>
    </row>
    <row r="7571" spans="1:12" x14ac:dyDescent="0.25">
      <c r="A7571" t="str">
        <f t="shared" si="1663"/>
        <v>89301000</v>
      </c>
      <c r="B7571" t="str">
        <f t="shared" si="1664"/>
        <v>02004000</v>
      </c>
      <c r="C7571" t="str">
        <f t="shared" ref="C7571:C7582" si="1665">"02004556"</f>
        <v>02004556</v>
      </c>
      <c r="D7571" t="str">
        <f t="shared" ref="D7571:D7582" si="1666">"813"</f>
        <v>813</v>
      </c>
      <c r="E7571" t="str">
        <f>"89301102"</f>
        <v>89301102</v>
      </c>
      <c r="F7571" t="str">
        <f>"0606161380"</f>
        <v>0606161380</v>
      </c>
      <c r="G7571" s="1">
        <v>44736</v>
      </c>
      <c r="H7571" t="str">
        <f>"91249"</f>
        <v>91249</v>
      </c>
      <c r="I7571">
        <v>1</v>
      </c>
      <c r="J7571">
        <v>1489</v>
      </c>
      <c r="K7571">
        <v>0</v>
      </c>
      <c r="L7571">
        <v>1161.42</v>
      </c>
    </row>
    <row r="7572" spans="1:12" x14ac:dyDescent="0.25">
      <c r="A7572" t="str">
        <f t="shared" si="1663"/>
        <v>89301000</v>
      </c>
      <c r="B7572" t="str">
        <f t="shared" si="1664"/>
        <v>02004000</v>
      </c>
      <c r="C7572" t="str">
        <f t="shared" si="1665"/>
        <v>02004556</v>
      </c>
      <c r="D7572" t="str">
        <f t="shared" si="1666"/>
        <v>813</v>
      </c>
      <c r="E7572" t="str">
        <f>"89301102"</f>
        <v>89301102</v>
      </c>
      <c r="F7572" t="str">
        <f>"0606161380"</f>
        <v>0606161380</v>
      </c>
      <c r="G7572" s="1">
        <v>44736</v>
      </c>
      <c r="H7572" t="str">
        <f>"91251"</f>
        <v>91251</v>
      </c>
      <c r="I7572">
        <v>1</v>
      </c>
      <c r="J7572">
        <v>1489</v>
      </c>
      <c r="K7572">
        <v>0</v>
      </c>
      <c r="L7572">
        <v>1161.42</v>
      </c>
    </row>
    <row r="7573" spans="1:12" x14ac:dyDescent="0.25">
      <c r="A7573" t="str">
        <f t="shared" si="1663"/>
        <v>89301000</v>
      </c>
      <c r="B7573" t="str">
        <f t="shared" si="1664"/>
        <v>02004000</v>
      </c>
      <c r="C7573" t="str">
        <f t="shared" si="1665"/>
        <v>02004556</v>
      </c>
      <c r="D7573" t="str">
        <f t="shared" si="1666"/>
        <v>813</v>
      </c>
      <c r="E7573" t="str">
        <f>"89301702"</f>
        <v>89301702</v>
      </c>
      <c r="F7573" t="str">
        <f>"0756083383"</f>
        <v>0756083383</v>
      </c>
      <c r="G7573" s="1">
        <v>44728</v>
      </c>
      <c r="H7573" t="str">
        <f>"91249"</f>
        <v>91249</v>
      </c>
      <c r="I7573">
        <v>1</v>
      </c>
      <c r="J7573">
        <v>1489</v>
      </c>
      <c r="K7573">
        <v>0</v>
      </c>
      <c r="L7573">
        <v>1161.42</v>
      </c>
    </row>
    <row r="7574" spans="1:12" x14ac:dyDescent="0.25">
      <c r="A7574" t="str">
        <f t="shared" si="1663"/>
        <v>89301000</v>
      </c>
      <c r="B7574" t="str">
        <f t="shared" si="1664"/>
        <v>02004000</v>
      </c>
      <c r="C7574" t="str">
        <f t="shared" si="1665"/>
        <v>02004556</v>
      </c>
      <c r="D7574" t="str">
        <f t="shared" si="1666"/>
        <v>813</v>
      </c>
      <c r="E7574" t="str">
        <f>"89301702"</f>
        <v>89301702</v>
      </c>
      <c r="F7574" t="str">
        <f>"0756083383"</f>
        <v>0756083383</v>
      </c>
      <c r="G7574" s="1">
        <v>44728</v>
      </c>
      <c r="H7574" t="str">
        <f>"91251"</f>
        <v>91251</v>
      </c>
      <c r="I7574">
        <v>1</v>
      </c>
      <c r="J7574">
        <v>1489</v>
      </c>
      <c r="K7574">
        <v>0</v>
      </c>
      <c r="L7574">
        <v>1161.42</v>
      </c>
    </row>
    <row r="7575" spans="1:12" x14ac:dyDescent="0.25">
      <c r="A7575" t="str">
        <f t="shared" si="1663"/>
        <v>89301000</v>
      </c>
      <c r="B7575" t="str">
        <f t="shared" si="1664"/>
        <v>02004000</v>
      </c>
      <c r="C7575" t="str">
        <f t="shared" si="1665"/>
        <v>02004556</v>
      </c>
      <c r="D7575" t="str">
        <f t="shared" si="1666"/>
        <v>813</v>
      </c>
      <c r="E7575" t="str">
        <f t="shared" ref="E7575:E7580" si="1667">"89301028"</f>
        <v>89301028</v>
      </c>
      <c r="F7575" t="str">
        <f>"0060196147"</f>
        <v>0060196147</v>
      </c>
      <c r="G7575" s="1">
        <v>44728</v>
      </c>
      <c r="H7575" t="str">
        <f>"91249"</f>
        <v>91249</v>
      </c>
      <c r="I7575">
        <v>1</v>
      </c>
      <c r="J7575">
        <v>1489</v>
      </c>
      <c r="K7575">
        <v>0</v>
      </c>
      <c r="L7575">
        <v>1161.42</v>
      </c>
    </row>
    <row r="7576" spans="1:12" x14ac:dyDescent="0.25">
      <c r="A7576" t="str">
        <f t="shared" si="1663"/>
        <v>89301000</v>
      </c>
      <c r="B7576" t="str">
        <f t="shared" si="1664"/>
        <v>02004000</v>
      </c>
      <c r="C7576" t="str">
        <f t="shared" si="1665"/>
        <v>02004556</v>
      </c>
      <c r="D7576" t="str">
        <f t="shared" si="1666"/>
        <v>813</v>
      </c>
      <c r="E7576" t="str">
        <f t="shared" si="1667"/>
        <v>89301028</v>
      </c>
      <c r="F7576" t="str">
        <f>"0060196147"</f>
        <v>0060196147</v>
      </c>
      <c r="G7576" s="1">
        <v>44728</v>
      </c>
      <c r="H7576" t="str">
        <f>"91251"</f>
        <v>91251</v>
      </c>
      <c r="I7576">
        <v>1</v>
      </c>
      <c r="J7576">
        <v>1489</v>
      </c>
      <c r="K7576">
        <v>0</v>
      </c>
      <c r="L7576">
        <v>1161.42</v>
      </c>
    </row>
    <row r="7577" spans="1:12" x14ac:dyDescent="0.25">
      <c r="A7577" t="str">
        <f t="shared" si="1663"/>
        <v>89301000</v>
      </c>
      <c r="B7577" t="str">
        <f t="shared" si="1664"/>
        <v>02004000</v>
      </c>
      <c r="C7577" t="str">
        <f t="shared" si="1665"/>
        <v>02004556</v>
      </c>
      <c r="D7577" t="str">
        <f t="shared" si="1666"/>
        <v>813</v>
      </c>
      <c r="E7577" t="str">
        <f t="shared" si="1667"/>
        <v>89301028</v>
      </c>
      <c r="F7577" t="str">
        <f>"8853075814"</f>
        <v>8853075814</v>
      </c>
      <c r="G7577" s="1">
        <v>44736</v>
      </c>
      <c r="H7577" t="str">
        <f>"91249"</f>
        <v>91249</v>
      </c>
      <c r="I7577">
        <v>1</v>
      </c>
      <c r="J7577">
        <v>1489</v>
      </c>
      <c r="K7577">
        <v>0</v>
      </c>
      <c r="L7577">
        <v>1161.42</v>
      </c>
    </row>
    <row r="7578" spans="1:12" x14ac:dyDescent="0.25">
      <c r="A7578" t="str">
        <f t="shared" si="1663"/>
        <v>89301000</v>
      </c>
      <c r="B7578" t="str">
        <f t="shared" si="1664"/>
        <v>02004000</v>
      </c>
      <c r="C7578" t="str">
        <f t="shared" si="1665"/>
        <v>02004556</v>
      </c>
      <c r="D7578" t="str">
        <f t="shared" si="1666"/>
        <v>813</v>
      </c>
      <c r="E7578" t="str">
        <f t="shared" si="1667"/>
        <v>89301028</v>
      </c>
      <c r="F7578" t="str">
        <f>"8853075814"</f>
        <v>8853075814</v>
      </c>
      <c r="G7578" s="1">
        <v>44736</v>
      </c>
      <c r="H7578" t="str">
        <f>"91251"</f>
        <v>91251</v>
      </c>
      <c r="I7578">
        <v>1</v>
      </c>
      <c r="J7578">
        <v>1489</v>
      </c>
      <c r="K7578">
        <v>0</v>
      </c>
      <c r="L7578">
        <v>1161.42</v>
      </c>
    </row>
    <row r="7579" spans="1:12" x14ac:dyDescent="0.25">
      <c r="A7579" t="str">
        <f t="shared" si="1663"/>
        <v>89301000</v>
      </c>
      <c r="B7579" t="str">
        <f t="shared" si="1664"/>
        <v>02004000</v>
      </c>
      <c r="C7579" t="str">
        <f t="shared" si="1665"/>
        <v>02004556</v>
      </c>
      <c r="D7579" t="str">
        <f t="shared" si="1666"/>
        <v>813</v>
      </c>
      <c r="E7579" t="str">
        <f t="shared" si="1667"/>
        <v>89301028</v>
      </c>
      <c r="F7579" t="str">
        <f>"8954126203"</f>
        <v>8954126203</v>
      </c>
      <c r="G7579" s="1">
        <v>44741</v>
      </c>
      <c r="H7579" t="str">
        <f>"91249"</f>
        <v>91249</v>
      </c>
      <c r="I7579">
        <v>1</v>
      </c>
      <c r="J7579">
        <v>1489</v>
      </c>
      <c r="K7579">
        <v>0</v>
      </c>
      <c r="L7579">
        <v>1161.42</v>
      </c>
    </row>
    <row r="7580" spans="1:12" x14ac:dyDescent="0.25">
      <c r="A7580" t="str">
        <f t="shared" si="1663"/>
        <v>89301000</v>
      </c>
      <c r="B7580" t="str">
        <f t="shared" si="1664"/>
        <v>02004000</v>
      </c>
      <c r="C7580" t="str">
        <f t="shared" si="1665"/>
        <v>02004556</v>
      </c>
      <c r="D7580" t="str">
        <f t="shared" si="1666"/>
        <v>813</v>
      </c>
      <c r="E7580" t="str">
        <f t="shared" si="1667"/>
        <v>89301028</v>
      </c>
      <c r="F7580" t="str">
        <f>"8954126203"</f>
        <v>8954126203</v>
      </c>
      <c r="G7580" s="1">
        <v>44741</v>
      </c>
      <c r="H7580" t="str">
        <f>"91251"</f>
        <v>91251</v>
      </c>
      <c r="I7580">
        <v>1</v>
      </c>
      <c r="J7580">
        <v>1489</v>
      </c>
      <c r="K7580">
        <v>0</v>
      </c>
      <c r="L7580">
        <v>1161.42</v>
      </c>
    </row>
    <row r="7581" spans="1:12" x14ac:dyDescent="0.25">
      <c r="A7581" t="str">
        <f t="shared" si="1663"/>
        <v>89301000</v>
      </c>
      <c r="B7581" t="str">
        <f t="shared" si="1664"/>
        <v>02004000</v>
      </c>
      <c r="C7581" t="str">
        <f t="shared" si="1665"/>
        <v>02004556</v>
      </c>
      <c r="D7581" t="str">
        <f t="shared" si="1666"/>
        <v>813</v>
      </c>
      <c r="E7581" t="str">
        <f>"89301102"</f>
        <v>89301102</v>
      </c>
      <c r="F7581" t="str">
        <f>"0309275703"</f>
        <v>0309275703</v>
      </c>
      <c r="G7581" s="1">
        <v>44726</v>
      </c>
      <c r="H7581" t="str">
        <f>"91249"</f>
        <v>91249</v>
      </c>
      <c r="I7581">
        <v>1</v>
      </c>
      <c r="J7581">
        <v>1489</v>
      </c>
      <c r="K7581">
        <v>0</v>
      </c>
      <c r="L7581">
        <v>1161.42</v>
      </c>
    </row>
    <row r="7582" spans="1:12" x14ac:dyDescent="0.25">
      <c r="A7582" t="str">
        <f t="shared" si="1663"/>
        <v>89301000</v>
      </c>
      <c r="B7582" t="str">
        <f t="shared" si="1664"/>
        <v>02004000</v>
      </c>
      <c r="C7582" t="str">
        <f t="shared" si="1665"/>
        <v>02004556</v>
      </c>
      <c r="D7582" t="str">
        <f t="shared" si="1666"/>
        <v>813</v>
      </c>
      <c r="E7582" t="str">
        <f>"89301102"</f>
        <v>89301102</v>
      </c>
      <c r="F7582" t="str">
        <f>"0309275703"</f>
        <v>0309275703</v>
      </c>
      <c r="G7582" s="1">
        <v>44726</v>
      </c>
      <c r="H7582" t="str">
        <f>"91251"</f>
        <v>91251</v>
      </c>
      <c r="I7582">
        <v>1</v>
      </c>
      <c r="J7582">
        <v>1489</v>
      </c>
      <c r="K7582">
        <v>0</v>
      </c>
      <c r="L7582">
        <v>1161.42</v>
      </c>
    </row>
    <row r="7583" spans="1:12" x14ac:dyDescent="0.25">
      <c r="A7583" t="str">
        <f t="shared" si="1663"/>
        <v>89301000</v>
      </c>
      <c r="B7583" t="str">
        <f t="shared" si="1664"/>
        <v>02004000</v>
      </c>
      <c r="C7583" t="str">
        <f>"02004561"</f>
        <v>02004561</v>
      </c>
      <c r="D7583" t="str">
        <f>"801"</f>
        <v>801</v>
      </c>
      <c r="E7583" t="str">
        <f>"89301702"</f>
        <v>89301702</v>
      </c>
      <c r="F7583" t="str">
        <f>"2157040215"</f>
        <v>2157040215</v>
      </c>
      <c r="G7583" s="1">
        <v>44699</v>
      </c>
      <c r="H7583" t="str">
        <f>"81655"</f>
        <v>81655</v>
      </c>
      <c r="I7583">
        <v>2</v>
      </c>
      <c r="J7583">
        <v>1144</v>
      </c>
      <c r="K7583">
        <v>0</v>
      </c>
      <c r="L7583">
        <v>892.32</v>
      </c>
    </row>
    <row r="7584" spans="1:12" x14ac:dyDescent="0.25">
      <c r="A7584" t="str">
        <f t="shared" si="1663"/>
        <v>89301000</v>
      </c>
      <c r="B7584" t="str">
        <f t="shared" si="1664"/>
        <v>02004000</v>
      </c>
      <c r="C7584" t="str">
        <f>"02004153"</f>
        <v>02004153</v>
      </c>
      <c r="D7584" t="str">
        <f>"816"</f>
        <v>816</v>
      </c>
      <c r="E7584" t="str">
        <f>"89301322"</f>
        <v>89301322</v>
      </c>
      <c r="F7584" t="str">
        <f>"8256145315"</f>
        <v>8256145315</v>
      </c>
      <c r="G7584" s="1">
        <v>44753</v>
      </c>
      <c r="H7584" t="str">
        <f>"94221"</f>
        <v>94221</v>
      </c>
      <c r="I7584">
        <v>1</v>
      </c>
      <c r="J7584">
        <v>2453</v>
      </c>
      <c r="K7584">
        <v>0</v>
      </c>
      <c r="L7584">
        <v>2085.0500000000002</v>
      </c>
    </row>
    <row r="7585" spans="1:12" x14ac:dyDescent="0.25">
      <c r="A7585" t="str">
        <f t="shared" si="1663"/>
        <v>89301000</v>
      </c>
      <c r="B7585" t="str">
        <f t="shared" si="1664"/>
        <v>02004000</v>
      </c>
      <c r="C7585" t="str">
        <f>"02004153"</f>
        <v>02004153</v>
      </c>
      <c r="D7585" t="str">
        <f>"816"</f>
        <v>816</v>
      </c>
      <c r="E7585" t="str">
        <f>"89301322"</f>
        <v>89301322</v>
      </c>
      <c r="F7585" t="str">
        <f>"8256145315"</f>
        <v>8256145315</v>
      </c>
      <c r="G7585" s="1">
        <v>44753</v>
      </c>
      <c r="H7585" t="str">
        <f>"94225"</f>
        <v>94225</v>
      </c>
      <c r="I7585">
        <v>1</v>
      </c>
      <c r="J7585">
        <v>1187</v>
      </c>
      <c r="K7585">
        <v>0</v>
      </c>
      <c r="L7585">
        <v>1008.95</v>
      </c>
    </row>
    <row r="7586" spans="1:12" x14ac:dyDescent="0.25">
      <c r="A7586" t="str">
        <f t="shared" si="1663"/>
        <v>89301000</v>
      </c>
      <c r="B7586" t="str">
        <f t="shared" si="1664"/>
        <v>02004000</v>
      </c>
      <c r="C7586" t="str">
        <f t="shared" ref="C7586:C7591" si="1668">"02004556"</f>
        <v>02004556</v>
      </c>
      <c r="D7586" t="str">
        <f t="shared" ref="D7586:D7591" si="1669">"813"</f>
        <v>813</v>
      </c>
      <c r="E7586" t="str">
        <f t="shared" ref="E7586:E7591" si="1670">"89301102"</f>
        <v>89301102</v>
      </c>
      <c r="F7586" t="str">
        <f>"0658303239"</f>
        <v>0658303239</v>
      </c>
      <c r="G7586" s="1">
        <v>44743</v>
      </c>
      <c r="H7586" t="str">
        <f>"91249"</f>
        <v>91249</v>
      </c>
      <c r="I7586">
        <v>1</v>
      </c>
      <c r="J7586">
        <v>1489</v>
      </c>
      <c r="K7586">
        <v>0</v>
      </c>
      <c r="L7586">
        <v>1161.42</v>
      </c>
    </row>
    <row r="7587" spans="1:12" x14ac:dyDescent="0.25">
      <c r="A7587" t="str">
        <f t="shared" si="1663"/>
        <v>89301000</v>
      </c>
      <c r="B7587" t="str">
        <f t="shared" si="1664"/>
        <v>02004000</v>
      </c>
      <c r="C7587" t="str">
        <f t="shared" si="1668"/>
        <v>02004556</v>
      </c>
      <c r="D7587" t="str">
        <f t="shared" si="1669"/>
        <v>813</v>
      </c>
      <c r="E7587" t="str">
        <f t="shared" si="1670"/>
        <v>89301102</v>
      </c>
      <c r="F7587" t="str">
        <f>"0658303239"</f>
        <v>0658303239</v>
      </c>
      <c r="G7587" s="1">
        <v>44743</v>
      </c>
      <c r="H7587" t="str">
        <f>"91251"</f>
        <v>91251</v>
      </c>
      <c r="I7587">
        <v>1</v>
      </c>
      <c r="J7587">
        <v>1489</v>
      </c>
      <c r="K7587">
        <v>0</v>
      </c>
      <c r="L7587">
        <v>1161.42</v>
      </c>
    </row>
    <row r="7588" spans="1:12" x14ac:dyDescent="0.25">
      <c r="A7588" t="str">
        <f t="shared" si="1663"/>
        <v>89301000</v>
      </c>
      <c r="B7588" t="str">
        <f t="shared" si="1664"/>
        <v>02004000</v>
      </c>
      <c r="C7588" t="str">
        <f t="shared" si="1668"/>
        <v>02004556</v>
      </c>
      <c r="D7588" t="str">
        <f t="shared" si="1669"/>
        <v>813</v>
      </c>
      <c r="E7588" t="str">
        <f t="shared" si="1670"/>
        <v>89301102</v>
      </c>
      <c r="F7588" t="str">
        <f>"0309275703"</f>
        <v>0309275703</v>
      </c>
      <c r="G7588" s="1">
        <v>44754</v>
      </c>
      <c r="H7588" t="str">
        <f>"91249"</f>
        <v>91249</v>
      </c>
      <c r="I7588">
        <v>1</v>
      </c>
      <c r="J7588">
        <v>1489</v>
      </c>
      <c r="K7588">
        <v>0</v>
      </c>
      <c r="L7588">
        <v>1161.42</v>
      </c>
    </row>
    <row r="7589" spans="1:12" x14ac:dyDescent="0.25">
      <c r="A7589" t="str">
        <f t="shared" si="1663"/>
        <v>89301000</v>
      </c>
      <c r="B7589" t="str">
        <f t="shared" si="1664"/>
        <v>02004000</v>
      </c>
      <c r="C7589" t="str">
        <f t="shared" si="1668"/>
        <v>02004556</v>
      </c>
      <c r="D7589" t="str">
        <f t="shared" si="1669"/>
        <v>813</v>
      </c>
      <c r="E7589" t="str">
        <f t="shared" si="1670"/>
        <v>89301102</v>
      </c>
      <c r="F7589" t="str">
        <f>"0309275703"</f>
        <v>0309275703</v>
      </c>
      <c r="G7589" s="1">
        <v>44754</v>
      </c>
      <c r="H7589" t="str">
        <f>"91251"</f>
        <v>91251</v>
      </c>
      <c r="I7589">
        <v>1</v>
      </c>
      <c r="J7589">
        <v>1489</v>
      </c>
      <c r="K7589">
        <v>0</v>
      </c>
      <c r="L7589">
        <v>1161.42</v>
      </c>
    </row>
    <row r="7590" spans="1:12" x14ac:dyDescent="0.25">
      <c r="A7590" t="str">
        <f t="shared" si="1663"/>
        <v>89301000</v>
      </c>
      <c r="B7590" t="str">
        <f t="shared" si="1664"/>
        <v>02004000</v>
      </c>
      <c r="C7590" t="str">
        <f t="shared" si="1668"/>
        <v>02004556</v>
      </c>
      <c r="D7590" t="str">
        <f t="shared" si="1669"/>
        <v>813</v>
      </c>
      <c r="E7590" t="str">
        <f t="shared" si="1670"/>
        <v>89301102</v>
      </c>
      <c r="F7590" t="str">
        <f>"1754070054"</f>
        <v>1754070054</v>
      </c>
      <c r="G7590" s="1">
        <v>44749</v>
      </c>
      <c r="H7590" t="str">
        <f>"91249"</f>
        <v>91249</v>
      </c>
      <c r="I7590">
        <v>1</v>
      </c>
      <c r="J7590">
        <v>1489</v>
      </c>
      <c r="K7590">
        <v>0</v>
      </c>
      <c r="L7590">
        <v>1161.42</v>
      </c>
    </row>
    <row r="7591" spans="1:12" x14ac:dyDescent="0.25">
      <c r="A7591" t="str">
        <f t="shared" si="1663"/>
        <v>89301000</v>
      </c>
      <c r="B7591" t="str">
        <f t="shared" si="1664"/>
        <v>02004000</v>
      </c>
      <c r="C7591" t="str">
        <f t="shared" si="1668"/>
        <v>02004556</v>
      </c>
      <c r="D7591" t="str">
        <f t="shared" si="1669"/>
        <v>813</v>
      </c>
      <c r="E7591" t="str">
        <f t="shared" si="1670"/>
        <v>89301102</v>
      </c>
      <c r="F7591" t="str">
        <f>"1754070054"</f>
        <v>1754070054</v>
      </c>
      <c r="G7591" s="1">
        <v>44749</v>
      </c>
      <c r="H7591" t="str">
        <f>"91251"</f>
        <v>91251</v>
      </c>
      <c r="I7591">
        <v>1</v>
      </c>
      <c r="J7591">
        <v>1489</v>
      </c>
      <c r="K7591">
        <v>0</v>
      </c>
      <c r="L7591">
        <v>1161.42</v>
      </c>
    </row>
    <row r="7592" spans="1:12" x14ac:dyDescent="0.25">
      <c r="A7592" t="str">
        <f t="shared" si="1663"/>
        <v>89301000</v>
      </c>
      <c r="B7592" t="str">
        <f t="shared" ref="B7592:B7604" si="1671">"91009000"</f>
        <v>91009000</v>
      </c>
      <c r="C7592" t="str">
        <f>"91009132"</f>
        <v>91009132</v>
      </c>
      <c r="D7592" t="str">
        <f>"812"</f>
        <v>812</v>
      </c>
      <c r="E7592" t="str">
        <f>"89301212"</f>
        <v>89301212</v>
      </c>
      <c r="F7592" t="str">
        <f>"8556125776"</f>
        <v>8556125776</v>
      </c>
      <c r="G7592" s="1">
        <v>44768</v>
      </c>
      <c r="H7592" t="str">
        <f>"92157"</f>
        <v>92157</v>
      </c>
      <c r="I7592">
        <v>1</v>
      </c>
      <c r="J7592">
        <v>1754</v>
      </c>
      <c r="K7592">
        <v>0</v>
      </c>
      <c r="L7592">
        <v>1368.12</v>
      </c>
    </row>
    <row r="7593" spans="1:12" x14ac:dyDescent="0.25">
      <c r="A7593" t="str">
        <f t="shared" si="1663"/>
        <v>89301000</v>
      </c>
      <c r="B7593" t="str">
        <f t="shared" si="1671"/>
        <v>91009000</v>
      </c>
      <c r="C7593" t="str">
        <f>"91009132"</f>
        <v>91009132</v>
      </c>
      <c r="D7593" t="str">
        <f>"812"</f>
        <v>812</v>
      </c>
      <c r="E7593" t="str">
        <f>"89301212"</f>
        <v>89301212</v>
      </c>
      <c r="F7593" t="str">
        <f>"8556125776"</f>
        <v>8556125776</v>
      </c>
      <c r="G7593" s="1">
        <v>44768</v>
      </c>
      <c r="H7593" t="str">
        <f>"99111"</f>
        <v>99111</v>
      </c>
      <c r="I7593">
        <v>1</v>
      </c>
      <c r="J7593">
        <v>206</v>
      </c>
      <c r="K7593">
        <v>0</v>
      </c>
      <c r="L7593">
        <v>160.68</v>
      </c>
    </row>
    <row r="7594" spans="1:12" x14ac:dyDescent="0.25">
      <c r="A7594" t="str">
        <f t="shared" si="1663"/>
        <v>89301000</v>
      </c>
      <c r="B7594" t="str">
        <f t="shared" si="1671"/>
        <v>91009000</v>
      </c>
      <c r="C7594" t="str">
        <f>"91009522"</f>
        <v>91009522</v>
      </c>
      <c r="D7594" t="str">
        <f>"816"</f>
        <v>816</v>
      </c>
      <c r="E7594" t="str">
        <f>"89301282"</f>
        <v>89301282</v>
      </c>
      <c r="F7594" t="str">
        <f>"0759146069"</f>
        <v>0759146069</v>
      </c>
      <c r="G7594" s="1">
        <v>44743</v>
      </c>
      <c r="H7594" t="str">
        <f>"94948"</f>
        <v>94948</v>
      </c>
      <c r="I7594">
        <v>2</v>
      </c>
      <c r="J7594">
        <v>0</v>
      </c>
      <c r="K7594">
        <v>0</v>
      </c>
      <c r="L7594">
        <v>0</v>
      </c>
    </row>
    <row r="7595" spans="1:12" x14ac:dyDescent="0.25">
      <c r="A7595" t="str">
        <f t="shared" si="1663"/>
        <v>89301000</v>
      </c>
      <c r="B7595" t="str">
        <f t="shared" si="1671"/>
        <v>91009000</v>
      </c>
      <c r="C7595" t="str">
        <f>"91009522"</f>
        <v>91009522</v>
      </c>
      <c r="D7595" t="str">
        <f>"816"</f>
        <v>816</v>
      </c>
      <c r="E7595" t="str">
        <f>"89301282"</f>
        <v>89301282</v>
      </c>
      <c r="F7595" t="str">
        <f>"0759146069"</f>
        <v>0759146069</v>
      </c>
      <c r="G7595" s="1">
        <v>44743</v>
      </c>
      <c r="H7595" t="str">
        <f>"94982"</f>
        <v>94982</v>
      </c>
      <c r="I7595">
        <v>1</v>
      </c>
      <c r="J7595">
        <v>0</v>
      </c>
      <c r="K7595">
        <v>27500</v>
      </c>
      <c r="L7595">
        <v>27500</v>
      </c>
    </row>
    <row r="7596" spans="1:12" x14ac:dyDescent="0.25">
      <c r="A7596" t="str">
        <f t="shared" si="1663"/>
        <v>89301000</v>
      </c>
      <c r="B7596" t="str">
        <f t="shared" si="1671"/>
        <v>91009000</v>
      </c>
      <c r="C7596" t="str">
        <f>"91009522"</f>
        <v>91009522</v>
      </c>
      <c r="D7596" t="str">
        <f>"816"</f>
        <v>816</v>
      </c>
      <c r="E7596" t="str">
        <f>"89301282"</f>
        <v>89301282</v>
      </c>
      <c r="F7596" t="str">
        <f>"0759146069"</f>
        <v>0759146069</v>
      </c>
      <c r="G7596" s="1">
        <v>44743</v>
      </c>
      <c r="H7596" t="str">
        <f>"94996"</f>
        <v>94996</v>
      </c>
      <c r="I7596">
        <v>1</v>
      </c>
      <c r="J7596">
        <v>0</v>
      </c>
      <c r="K7596">
        <v>0</v>
      </c>
      <c r="L7596">
        <v>0</v>
      </c>
    </row>
    <row r="7597" spans="1:12" x14ac:dyDescent="0.25">
      <c r="A7597" t="str">
        <f t="shared" si="1663"/>
        <v>89301000</v>
      </c>
      <c r="B7597" t="str">
        <f t="shared" si="1671"/>
        <v>91009000</v>
      </c>
      <c r="C7597" t="str">
        <f>"91009581"</f>
        <v>91009581</v>
      </c>
      <c r="D7597" t="str">
        <f>"801"</f>
        <v>801</v>
      </c>
      <c r="E7597" t="str">
        <f>"89301212"</f>
        <v>89301212</v>
      </c>
      <c r="F7597" t="str">
        <f>"8556125776"</f>
        <v>8556125776</v>
      </c>
      <c r="G7597" s="1">
        <v>44768</v>
      </c>
      <c r="H7597" t="str">
        <f>"97111"</f>
        <v>97111</v>
      </c>
      <c r="I7597">
        <v>1</v>
      </c>
      <c r="J7597">
        <v>18</v>
      </c>
      <c r="K7597">
        <v>0</v>
      </c>
      <c r="L7597">
        <v>14.04</v>
      </c>
    </row>
    <row r="7598" spans="1:12" x14ac:dyDescent="0.25">
      <c r="A7598" t="str">
        <f t="shared" si="1663"/>
        <v>89301000</v>
      </c>
      <c r="B7598" t="str">
        <f t="shared" si="1671"/>
        <v>91009000</v>
      </c>
      <c r="C7598" t="str">
        <f t="shared" ref="C7598:C7603" si="1672">"91009605"</f>
        <v>91009605</v>
      </c>
      <c r="D7598" t="str">
        <f t="shared" ref="D7598:D7603" si="1673">"818"</f>
        <v>818</v>
      </c>
      <c r="E7598" t="str">
        <f>"89301031"</f>
        <v>89301031</v>
      </c>
      <c r="F7598" t="str">
        <f>"5856221833"</f>
        <v>5856221833</v>
      </c>
      <c r="G7598" s="1">
        <v>44772</v>
      </c>
      <c r="H7598" t="str">
        <f>"86423"</f>
        <v>86423</v>
      </c>
      <c r="I7598">
        <v>1</v>
      </c>
      <c r="J7598">
        <v>1290</v>
      </c>
      <c r="K7598">
        <v>0</v>
      </c>
      <c r="L7598">
        <v>1173.9000000000001</v>
      </c>
    </row>
    <row r="7599" spans="1:12" x14ac:dyDescent="0.25">
      <c r="A7599" t="str">
        <f t="shared" si="1663"/>
        <v>89301000</v>
      </c>
      <c r="B7599" t="str">
        <f t="shared" si="1671"/>
        <v>91009000</v>
      </c>
      <c r="C7599" t="str">
        <f t="shared" si="1672"/>
        <v>91009605</v>
      </c>
      <c r="D7599" t="str">
        <f t="shared" si="1673"/>
        <v>818</v>
      </c>
      <c r="E7599" t="str">
        <f>"89301031"</f>
        <v>89301031</v>
      </c>
      <c r="F7599" t="str">
        <f>"5856221833"</f>
        <v>5856221833</v>
      </c>
      <c r="G7599" s="1">
        <v>44772</v>
      </c>
      <c r="H7599" t="str">
        <f>"91431"</f>
        <v>91431</v>
      </c>
      <c r="I7599">
        <v>1</v>
      </c>
      <c r="J7599">
        <v>535</v>
      </c>
      <c r="K7599">
        <v>0</v>
      </c>
      <c r="L7599">
        <v>486.85</v>
      </c>
    </row>
    <row r="7600" spans="1:12" x14ac:dyDescent="0.25">
      <c r="A7600" t="str">
        <f t="shared" si="1663"/>
        <v>89301000</v>
      </c>
      <c r="B7600" t="str">
        <f t="shared" si="1671"/>
        <v>91009000</v>
      </c>
      <c r="C7600" t="str">
        <f t="shared" si="1672"/>
        <v>91009605</v>
      </c>
      <c r="D7600" t="str">
        <f t="shared" si="1673"/>
        <v>818</v>
      </c>
      <c r="E7600" t="str">
        <f>"89301322"</f>
        <v>89301322</v>
      </c>
      <c r="F7600" t="str">
        <f>"7551165677"</f>
        <v>7551165677</v>
      </c>
      <c r="G7600" s="1">
        <v>44768</v>
      </c>
      <c r="H7600" t="str">
        <f>"91431"</f>
        <v>91431</v>
      </c>
      <c r="I7600">
        <v>1</v>
      </c>
      <c r="J7600">
        <v>535</v>
      </c>
      <c r="K7600">
        <v>0</v>
      </c>
      <c r="L7600">
        <v>486.85</v>
      </c>
    </row>
    <row r="7601" spans="1:12" x14ac:dyDescent="0.25">
      <c r="A7601" t="str">
        <f t="shared" si="1663"/>
        <v>89301000</v>
      </c>
      <c r="B7601" t="str">
        <f t="shared" si="1671"/>
        <v>91009000</v>
      </c>
      <c r="C7601" t="str">
        <f t="shared" si="1672"/>
        <v>91009605</v>
      </c>
      <c r="D7601" t="str">
        <f t="shared" si="1673"/>
        <v>818</v>
      </c>
      <c r="E7601" t="str">
        <f>"89301322"</f>
        <v>89301322</v>
      </c>
      <c r="F7601" t="str">
        <f>"7551165677"</f>
        <v>7551165677</v>
      </c>
      <c r="G7601" s="1">
        <v>44768</v>
      </c>
      <c r="H7601" t="str">
        <f>"97111"</f>
        <v>97111</v>
      </c>
      <c r="I7601">
        <v>1</v>
      </c>
      <c r="J7601">
        <v>18</v>
      </c>
      <c r="K7601">
        <v>0</v>
      </c>
      <c r="L7601">
        <v>16.38</v>
      </c>
    </row>
    <row r="7602" spans="1:12" x14ac:dyDescent="0.25">
      <c r="A7602" t="str">
        <f t="shared" si="1663"/>
        <v>89301000</v>
      </c>
      <c r="B7602" t="str">
        <f t="shared" si="1671"/>
        <v>91009000</v>
      </c>
      <c r="C7602" t="str">
        <f t="shared" si="1672"/>
        <v>91009605</v>
      </c>
      <c r="D7602" t="str">
        <f t="shared" si="1673"/>
        <v>818</v>
      </c>
      <c r="E7602" t="str">
        <f>"89301322"</f>
        <v>89301322</v>
      </c>
      <c r="F7602" t="str">
        <f>"7551165677"</f>
        <v>7551165677</v>
      </c>
      <c r="G7602" s="1">
        <v>44770</v>
      </c>
      <c r="H7602" t="str">
        <f>"22123"</f>
        <v>22123</v>
      </c>
      <c r="I7602">
        <v>1</v>
      </c>
      <c r="J7602">
        <v>322</v>
      </c>
      <c r="K7602">
        <v>0</v>
      </c>
      <c r="L7602">
        <v>293.02</v>
      </c>
    </row>
    <row r="7603" spans="1:12" x14ac:dyDescent="0.25">
      <c r="A7603" t="str">
        <f t="shared" si="1663"/>
        <v>89301000</v>
      </c>
      <c r="B7603" t="str">
        <f t="shared" si="1671"/>
        <v>91009000</v>
      </c>
      <c r="C7603" t="str">
        <f t="shared" si="1672"/>
        <v>91009605</v>
      </c>
      <c r="D7603" t="str">
        <f t="shared" si="1673"/>
        <v>818</v>
      </c>
      <c r="E7603" t="str">
        <f>"89301322"</f>
        <v>89301322</v>
      </c>
      <c r="F7603" t="str">
        <f>"7551165677"</f>
        <v>7551165677</v>
      </c>
      <c r="G7603" s="1">
        <v>44770</v>
      </c>
      <c r="H7603" t="str">
        <f>"22127"</f>
        <v>22127</v>
      </c>
      <c r="I7603">
        <v>1</v>
      </c>
      <c r="J7603">
        <v>330</v>
      </c>
      <c r="K7603">
        <v>0</v>
      </c>
      <c r="L7603">
        <v>300.3</v>
      </c>
    </row>
    <row r="7604" spans="1:12" x14ac:dyDescent="0.25">
      <c r="A7604" t="str">
        <f t="shared" si="1663"/>
        <v>89301000</v>
      </c>
      <c r="B7604" t="str">
        <f t="shared" si="1671"/>
        <v>91009000</v>
      </c>
      <c r="C7604" t="str">
        <f>"91009132"</f>
        <v>91009132</v>
      </c>
      <c r="D7604" t="str">
        <f>"812"</f>
        <v>812</v>
      </c>
      <c r="E7604" t="str">
        <f>"89301212"</f>
        <v>89301212</v>
      </c>
      <c r="F7604" t="str">
        <f>"8556125776"</f>
        <v>8556125776</v>
      </c>
      <c r="G7604" s="1">
        <v>44733</v>
      </c>
      <c r="H7604" t="str">
        <f>"99111"</f>
        <v>99111</v>
      </c>
      <c r="I7604">
        <v>1</v>
      </c>
      <c r="J7604">
        <v>206</v>
      </c>
      <c r="K7604">
        <v>0</v>
      </c>
      <c r="L7604">
        <v>160.68</v>
      </c>
    </row>
    <row r="7605" spans="1:12" x14ac:dyDescent="0.25">
      <c r="A7605" t="str">
        <f t="shared" si="1663"/>
        <v>89301000</v>
      </c>
      <c r="B7605" t="str">
        <f t="shared" ref="B7605:B7612" si="1674">"72001000"</f>
        <v>72001000</v>
      </c>
      <c r="C7605" t="str">
        <f t="shared" ref="C7605:C7612" si="1675">"72001847"</f>
        <v>72001847</v>
      </c>
      <c r="D7605" t="str">
        <f t="shared" ref="D7605:D7612" si="1676">"802"</f>
        <v>802</v>
      </c>
      <c r="E7605" t="str">
        <f t="shared" ref="E7605:E7612" si="1677">"89301202"</f>
        <v>89301202</v>
      </c>
      <c r="F7605" t="str">
        <f t="shared" ref="F7605:F7612" si="1678">"6252010017"</f>
        <v>6252010017</v>
      </c>
      <c r="G7605" s="1">
        <v>44739</v>
      </c>
      <c r="H7605" t="str">
        <f>"82075"</f>
        <v>82075</v>
      </c>
      <c r="I7605">
        <v>1</v>
      </c>
      <c r="J7605">
        <v>486</v>
      </c>
      <c r="K7605">
        <v>0</v>
      </c>
      <c r="L7605">
        <v>442.26</v>
      </c>
    </row>
    <row r="7606" spans="1:12" x14ac:dyDescent="0.25">
      <c r="A7606" t="str">
        <f t="shared" si="1663"/>
        <v>89301000</v>
      </c>
      <c r="B7606" t="str">
        <f t="shared" si="1674"/>
        <v>72001000</v>
      </c>
      <c r="C7606" t="str">
        <f t="shared" si="1675"/>
        <v>72001847</v>
      </c>
      <c r="D7606" t="str">
        <f t="shared" si="1676"/>
        <v>802</v>
      </c>
      <c r="E7606" t="str">
        <f t="shared" si="1677"/>
        <v>89301202</v>
      </c>
      <c r="F7606" t="str">
        <f t="shared" si="1678"/>
        <v>6252010017</v>
      </c>
      <c r="G7606" s="1">
        <v>44739</v>
      </c>
      <c r="H7606" t="str">
        <f>"82075"</f>
        <v>82075</v>
      </c>
      <c r="I7606">
        <v>1</v>
      </c>
      <c r="J7606">
        <v>486</v>
      </c>
      <c r="K7606">
        <v>0</v>
      </c>
      <c r="L7606">
        <v>442.26</v>
      </c>
    </row>
    <row r="7607" spans="1:12" x14ac:dyDescent="0.25">
      <c r="A7607" t="str">
        <f t="shared" si="1663"/>
        <v>89301000</v>
      </c>
      <c r="B7607" t="str">
        <f t="shared" si="1674"/>
        <v>72001000</v>
      </c>
      <c r="C7607" t="str">
        <f t="shared" si="1675"/>
        <v>72001847</v>
      </c>
      <c r="D7607" t="str">
        <f t="shared" si="1676"/>
        <v>802</v>
      </c>
      <c r="E7607" t="str">
        <f t="shared" si="1677"/>
        <v>89301202</v>
      </c>
      <c r="F7607" t="str">
        <f t="shared" si="1678"/>
        <v>6252010017</v>
      </c>
      <c r="G7607" s="1">
        <v>44739</v>
      </c>
      <c r="H7607" t="str">
        <f>"82079"</f>
        <v>82079</v>
      </c>
      <c r="I7607">
        <v>1</v>
      </c>
      <c r="J7607">
        <v>332</v>
      </c>
      <c r="K7607">
        <v>0</v>
      </c>
      <c r="L7607">
        <v>302.12</v>
      </c>
    </row>
    <row r="7608" spans="1:12" x14ac:dyDescent="0.25">
      <c r="A7608" t="str">
        <f t="shared" si="1663"/>
        <v>89301000</v>
      </c>
      <c r="B7608" t="str">
        <f t="shared" si="1674"/>
        <v>72001000</v>
      </c>
      <c r="C7608" t="str">
        <f t="shared" si="1675"/>
        <v>72001847</v>
      </c>
      <c r="D7608" t="str">
        <f t="shared" si="1676"/>
        <v>802</v>
      </c>
      <c r="E7608" t="str">
        <f t="shared" si="1677"/>
        <v>89301202</v>
      </c>
      <c r="F7608" t="str">
        <f t="shared" si="1678"/>
        <v>6252010017</v>
      </c>
      <c r="G7608" s="1">
        <v>44739</v>
      </c>
      <c r="H7608" t="str">
        <f>"82079"</f>
        <v>82079</v>
      </c>
      <c r="I7608">
        <v>1</v>
      </c>
      <c r="J7608">
        <v>332</v>
      </c>
      <c r="K7608">
        <v>0</v>
      </c>
      <c r="L7608">
        <v>302.12</v>
      </c>
    </row>
    <row r="7609" spans="1:12" x14ac:dyDescent="0.25">
      <c r="A7609" t="str">
        <f t="shared" si="1663"/>
        <v>89301000</v>
      </c>
      <c r="B7609" t="str">
        <f t="shared" si="1674"/>
        <v>72001000</v>
      </c>
      <c r="C7609" t="str">
        <f t="shared" si="1675"/>
        <v>72001847</v>
      </c>
      <c r="D7609" t="str">
        <f t="shared" si="1676"/>
        <v>802</v>
      </c>
      <c r="E7609" t="str">
        <f t="shared" si="1677"/>
        <v>89301202</v>
      </c>
      <c r="F7609" t="str">
        <f t="shared" si="1678"/>
        <v>6252010017</v>
      </c>
      <c r="G7609" s="1">
        <v>44739</v>
      </c>
      <c r="H7609" t="str">
        <f>"82097"</f>
        <v>82097</v>
      </c>
      <c r="I7609">
        <v>1</v>
      </c>
      <c r="J7609">
        <v>380</v>
      </c>
      <c r="K7609">
        <v>0</v>
      </c>
      <c r="L7609">
        <v>345.8</v>
      </c>
    </row>
    <row r="7610" spans="1:12" x14ac:dyDescent="0.25">
      <c r="A7610" t="str">
        <f t="shared" si="1663"/>
        <v>89301000</v>
      </c>
      <c r="B7610" t="str">
        <f t="shared" si="1674"/>
        <v>72001000</v>
      </c>
      <c r="C7610" t="str">
        <f t="shared" si="1675"/>
        <v>72001847</v>
      </c>
      <c r="D7610" t="str">
        <f t="shared" si="1676"/>
        <v>802</v>
      </c>
      <c r="E7610" t="str">
        <f t="shared" si="1677"/>
        <v>89301202</v>
      </c>
      <c r="F7610" t="str">
        <f t="shared" si="1678"/>
        <v>6252010017</v>
      </c>
      <c r="G7610" s="1">
        <v>44739</v>
      </c>
      <c r="H7610" t="str">
        <f>"82113"</f>
        <v>82113</v>
      </c>
      <c r="I7610">
        <v>1</v>
      </c>
      <c r="J7610">
        <v>362</v>
      </c>
      <c r="K7610">
        <v>0</v>
      </c>
      <c r="L7610">
        <v>329.42</v>
      </c>
    </row>
    <row r="7611" spans="1:12" x14ac:dyDescent="0.25">
      <c r="A7611" t="str">
        <f t="shared" si="1663"/>
        <v>89301000</v>
      </c>
      <c r="B7611" t="str">
        <f t="shared" si="1674"/>
        <v>72001000</v>
      </c>
      <c r="C7611" t="str">
        <f t="shared" si="1675"/>
        <v>72001847</v>
      </c>
      <c r="D7611" t="str">
        <f t="shared" si="1676"/>
        <v>802</v>
      </c>
      <c r="E7611" t="str">
        <f t="shared" si="1677"/>
        <v>89301202</v>
      </c>
      <c r="F7611" t="str">
        <f t="shared" si="1678"/>
        <v>6252010017</v>
      </c>
      <c r="G7611" s="1">
        <v>44739</v>
      </c>
      <c r="H7611" t="str">
        <f>"82145"</f>
        <v>82145</v>
      </c>
      <c r="I7611">
        <v>1</v>
      </c>
      <c r="J7611">
        <v>57</v>
      </c>
      <c r="K7611">
        <v>0</v>
      </c>
      <c r="L7611">
        <v>51.87</v>
      </c>
    </row>
    <row r="7612" spans="1:12" x14ac:dyDescent="0.25">
      <c r="A7612" t="str">
        <f t="shared" si="1663"/>
        <v>89301000</v>
      </c>
      <c r="B7612" t="str">
        <f t="shared" si="1674"/>
        <v>72001000</v>
      </c>
      <c r="C7612" t="str">
        <f t="shared" si="1675"/>
        <v>72001847</v>
      </c>
      <c r="D7612" t="str">
        <f t="shared" si="1676"/>
        <v>802</v>
      </c>
      <c r="E7612" t="str">
        <f t="shared" si="1677"/>
        <v>89301202</v>
      </c>
      <c r="F7612" t="str">
        <f t="shared" si="1678"/>
        <v>6252010017</v>
      </c>
      <c r="G7612" s="1">
        <v>44739</v>
      </c>
      <c r="H7612" t="str">
        <f>"97111"</f>
        <v>97111</v>
      </c>
      <c r="I7612">
        <v>1</v>
      </c>
      <c r="J7612">
        <v>18</v>
      </c>
      <c r="K7612">
        <v>0</v>
      </c>
      <c r="L7612">
        <v>16.38</v>
      </c>
    </row>
    <row r="7613" spans="1:12" x14ac:dyDescent="0.25">
      <c r="A7613" t="str">
        <f t="shared" si="1663"/>
        <v>89301000</v>
      </c>
      <c r="B7613" t="str">
        <f t="shared" ref="B7613:B7620" si="1679">"72932000"</f>
        <v>72932000</v>
      </c>
      <c r="C7613" t="str">
        <f t="shared" ref="C7613:C7620" si="1680">"72932050"</f>
        <v>72932050</v>
      </c>
      <c r="D7613" t="str">
        <f t="shared" ref="D7613:D7620" si="1681">"816"</f>
        <v>816</v>
      </c>
      <c r="E7613" t="str">
        <f>"89301101"</f>
        <v>89301101</v>
      </c>
      <c r="F7613" t="str">
        <f>"2255170225"</f>
        <v>2255170225</v>
      </c>
      <c r="G7613" s="1">
        <v>44755</v>
      </c>
      <c r="H7613" t="str">
        <f>"94235"</f>
        <v>94235</v>
      </c>
      <c r="I7613">
        <v>1</v>
      </c>
      <c r="J7613">
        <v>673</v>
      </c>
      <c r="K7613">
        <v>0</v>
      </c>
      <c r="L7613">
        <v>572.04999999999995</v>
      </c>
    </row>
    <row r="7614" spans="1:12" x14ac:dyDescent="0.25">
      <c r="A7614" t="str">
        <f t="shared" si="1663"/>
        <v>89301000</v>
      </c>
      <c r="B7614" t="str">
        <f t="shared" si="1679"/>
        <v>72932000</v>
      </c>
      <c r="C7614" t="str">
        <f t="shared" si="1680"/>
        <v>72932050</v>
      </c>
      <c r="D7614" t="str">
        <f t="shared" si="1681"/>
        <v>816</v>
      </c>
      <c r="E7614" t="str">
        <f>"89301101"</f>
        <v>89301101</v>
      </c>
      <c r="F7614" t="str">
        <f>"2255170225"</f>
        <v>2255170225</v>
      </c>
      <c r="G7614" s="1">
        <v>44755</v>
      </c>
      <c r="H7614" t="str">
        <f>"94335"</f>
        <v>94335</v>
      </c>
      <c r="I7614">
        <v>1</v>
      </c>
      <c r="J7614">
        <v>8960</v>
      </c>
      <c r="K7614">
        <v>0</v>
      </c>
      <c r="L7614">
        <v>7616</v>
      </c>
    </row>
    <row r="7615" spans="1:12" x14ac:dyDescent="0.25">
      <c r="A7615" t="str">
        <f t="shared" si="1663"/>
        <v>89301000</v>
      </c>
      <c r="B7615" t="str">
        <f t="shared" si="1679"/>
        <v>72932000</v>
      </c>
      <c r="C7615" t="str">
        <f t="shared" si="1680"/>
        <v>72932050</v>
      </c>
      <c r="D7615" t="str">
        <f t="shared" si="1681"/>
        <v>816</v>
      </c>
      <c r="E7615" t="str">
        <f t="shared" ref="E7615:E7620" si="1682">"89301032"</f>
        <v>89301032</v>
      </c>
      <c r="F7615" t="str">
        <f>"525131071"</f>
        <v>525131071</v>
      </c>
      <c r="G7615" s="1">
        <v>44746</v>
      </c>
      <c r="H7615" t="str">
        <f>"94225"</f>
        <v>94225</v>
      </c>
      <c r="I7615">
        <v>1</v>
      </c>
      <c r="J7615">
        <v>1187</v>
      </c>
      <c r="K7615">
        <v>0</v>
      </c>
      <c r="L7615">
        <v>1008.95</v>
      </c>
    </row>
    <row r="7616" spans="1:12" x14ac:dyDescent="0.25">
      <c r="A7616" t="str">
        <f t="shared" si="1663"/>
        <v>89301000</v>
      </c>
      <c r="B7616" t="str">
        <f t="shared" si="1679"/>
        <v>72932000</v>
      </c>
      <c r="C7616" t="str">
        <f t="shared" si="1680"/>
        <v>72932050</v>
      </c>
      <c r="D7616" t="str">
        <f t="shared" si="1681"/>
        <v>816</v>
      </c>
      <c r="E7616" t="str">
        <f t="shared" si="1682"/>
        <v>89301032</v>
      </c>
      <c r="F7616" t="str">
        <f>"525131071"</f>
        <v>525131071</v>
      </c>
      <c r="G7616" s="1">
        <v>44746</v>
      </c>
      <c r="H7616" t="str">
        <f>"94956"</f>
        <v>94956</v>
      </c>
      <c r="I7616">
        <v>1</v>
      </c>
      <c r="J7616">
        <v>0</v>
      </c>
      <c r="K7616">
        <v>976</v>
      </c>
      <c r="L7616">
        <v>976</v>
      </c>
    </row>
    <row r="7617" spans="1:12" x14ac:dyDescent="0.25">
      <c r="A7617" t="str">
        <f t="shared" si="1663"/>
        <v>89301000</v>
      </c>
      <c r="B7617" t="str">
        <f t="shared" si="1679"/>
        <v>72932000</v>
      </c>
      <c r="C7617" t="str">
        <f t="shared" si="1680"/>
        <v>72932050</v>
      </c>
      <c r="D7617" t="str">
        <f t="shared" si="1681"/>
        <v>816</v>
      </c>
      <c r="E7617" t="str">
        <f t="shared" si="1682"/>
        <v>89301032</v>
      </c>
      <c r="F7617" t="str">
        <f>"7304205348"</f>
        <v>7304205348</v>
      </c>
      <c r="G7617" s="1">
        <v>44746</v>
      </c>
      <c r="H7617" t="str">
        <f>"94225"</f>
        <v>94225</v>
      </c>
      <c r="I7617">
        <v>1</v>
      </c>
      <c r="J7617">
        <v>1187</v>
      </c>
      <c r="K7617">
        <v>0</v>
      </c>
      <c r="L7617">
        <v>1008.95</v>
      </c>
    </row>
    <row r="7618" spans="1:12" x14ac:dyDescent="0.25">
      <c r="A7618" t="str">
        <f t="shared" ref="A7618:A7681" si="1683">"89301000"</f>
        <v>89301000</v>
      </c>
      <c r="B7618" t="str">
        <f t="shared" si="1679"/>
        <v>72932000</v>
      </c>
      <c r="C7618" t="str">
        <f t="shared" si="1680"/>
        <v>72932050</v>
      </c>
      <c r="D7618" t="str">
        <f t="shared" si="1681"/>
        <v>816</v>
      </c>
      <c r="E7618" t="str">
        <f t="shared" si="1682"/>
        <v>89301032</v>
      </c>
      <c r="F7618" t="str">
        <f>"7304205348"</f>
        <v>7304205348</v>
      </c>
      <c r="G7618" s="1">
        <v>44746</v>
      </c>
      <c r="H7618" t="str">
        <f>"94956"</f>
        <v>94956</v>
      </c>
      <c r="I7618">
        <v>1</v>
      </c>
      <c r="J7618">
        <v>0</v>
      </c>
      <c r="K7618">
        <v>976</v>
      </c>
      <c r="L7618">
        <v>976</v>
      </c>
    </row>
    <row r="7619" spans="1:12" x14ac:dyDescent="0.25">
      <c r="A7619" t="str">
        <f t="shared" si="1683"/>
        <v>89301000</v>
      </c>
      <c r="B7619" t="str">
        <f t="shared" si="1679"/>
        <v>72932000</v>
      </c>
      <c r="C7619" t="str">
        <f t="shared" si="1680"/>
        <v>72932050</v>
      </c>
      <c r="D7619" t="str">
        <f t="shared" si="1681"/>
        <v>816</v>
      </c>
      <c r="E7619" t="str">
        <f t="shared" si="1682"/>
        <v>89301032</v>
      </c>
      <c r="F7619" t="str">
        <f>"7611154606"</f>
        <v>7611154606</v>
      </c>
      <c r="G7619" s="1">
        <v>44746</v>
      </c>
      <c r="H7619" t="str">
        <f>"94225"</f>
        <v>94225</v>
      </c>
      <c r="I7619">
        <v>1</v>
      </c>
      <c r="J7619">
        <v>1187</v>
      </c>
      <c r="K7619">
        <v>0</v>
      </c>
      <c r="L7619">
        <v>1008.95</v>
      </c>
    </row>
    <row r="7620" spans="1:12" x14ac:dyDescent="0.25">
      <c r="A7620" t="str">
        <f t="shared" si="1683"/>
        <v>89301000</v>
      </c>
      <c r="B7620" t="str">
        <f t="shared" si="1679"/>
        <v>72932000</v>
      </c>
      <c r="C7620" t="str">
        <f t="shared" si="1680"/>
        <v>72932050</v>
      </c>
      <c r="D7620" t="str">
        <f t="shared" si="1681"/>
        <v>816</v>
      </c>
      <c r="E7620" t="str">
        <f t="shared" si="1682"/>
        <v>89301032</v>
      </c>
      <c r="F7620" t="str">
        <f>"7611154606"</f>
        <v>7611154606</v>
      </c>
      <c r="G7620" s="1">
        <v>44746</v>
      </c>
      <c r="H7620" t="str">
        <f>"94956"</f>
        <v>94956</v>
      </c>
      <c r="I7620">
        <v>1</v>
      </c>
      <c r="J7620">
        <v>0</v>
      </c>
      <c r="K7620">
        <v>976</v>
      </c>
      <c r="L7620">
        <v>976</v>
      </c>
    </row>
    <row r="7621" spans="1:12" x14ac:dyDescent="0.25">
      <c r="A7621" t="str">
        <f t="shared" si="1683"/>
        <v>89301000</v>
      </c>
      <c r="B7621" t="str">
        <f t="shared" ref="B7621:B7627" si="1684">"06223000"</f>
        <v>06223000</v>
      </c>
      <c r="C7621" t="str">
        <f t="shared" ref="C7621:C7627" si="1685">"06223043"</f>
        <v>06223043</v>
      </c>
      <c r="D7621" t="str">
        <f t="shared" ref="D7621:D7627" si="1686">"801"</f>
        <v>801</v>
      </c>
      <c r="E7621" t="str">
        <f t="shared" ref="E7621:E7627" si="1687">"89301122"</f>
        <v>89301122</v>
      </c>
      <c r="F7621" t="str">
        <f>"455831427"</f>
        <v>455831427</v>
      </c>
      <c r="G7621" s="1">
        <v>44757</v>
      </c>
      <c r="H7621" t="str">
        <f>"81485"</f>
        <v>81485</v>
      </c>
      <c r="I7621">
        <v>1</v>
      </c>
      <c r="J7621">
        <v>453</v>
      </c>
      <c r="K7621">
        <v>0</v>
      </c>
      <c r="L7621">
        <v>353.34</v>
      </c>
    </row>
    <row r="7622" spans="1:12" x14ac:dyDescent="0.25">
      <c r="A7622" t="str">
        <f t="shared" si="1683"/>
        <v>89301000</v>
      </c>
      <c r="B7622" t="str">
        <f t="shared" si="1684"/>
        <v>06223000</v>
      </c>
      <c r="C7622" t="str">
        <f t="shared" si="1685"/>
        <v>06223043</v>
      </c>
      <c r="D7622" t="str">
        <f t="shared" si="1686"/>
        <v>801</v>
      </c>
      <c r="E7622" t="str">
        <f t="shared" si="1687"/>
        <v>89301122</v>
      </c>
      <c r="F7622" t="str">
        <f>"5410151131"</f>
        <v>5410151131</v>
      </c>
      <c r="G7622" s="1">
        <v>44757</v>
      </c>
      <c r="H7622" t="str">
        <f>"81485"</f>
        <v>81485</v>
      </c>
      <c r="I7622">
        <v>1</v>
      </c>
      <c r="J7622">
        <v>453</v>
      </c>
      <c r="K7622">
        <v>0</v>
      </c>
      <c r="L7622">
        <v>353.34</v>
      </c>
    </row>
    <row r="7623" spans="1:12" x14ac:dyDescent="0.25">
      <c r="A7623" t="str">
        <f t="shared" si="1683"/>
        <v>89301000</v>
      </c>
      <c r="B7623" t="str">
        <f t="shared" si="1684"/>
        <v>06223000</v>
      </c>
      <c r="C7623" t="str">
        <f t="shared" si="1685"/>
        <v>06223043</v>
      </c>
      <c r="D7623" t="str">
        <f t="shared" si="1686"/>
        <v>801</v>
      </c>
      <c r="E7623" t="str">
        <f t="shared" si="1687"/>
        <v>89301122</v>
      </c>
      <c r="F7623" t="str">
        <f>"7412295308"</f>
        <v>7412295308</v>
      </c>
      <c r="G7623" s="1">
        <v>44754</v>
      </c>
      <c r="H7623" t="str">
        <f>"92165"</f>
        <v>92165</v>
      </c>
      <c r="I7623">
        <v>1</v>
      </c>
      <c r="J7623">
        <v>2113</v>
      </c>
      <c r="K7623">
        <v>0</v>
      </c>
      <c r="L7623">
        <v>1648.14</v>
      </c>
    </row>
    <row r="7624" spans="1:12" x14ac:dyDescent="0.25">
      <c r="A7624" t="str">
        <f t="shared" si="1683"/>
        <v>89301000</v>
      </c>
      <c r="B7624" t="str">
        <f t="shared" si="1684"/>
        <v>06223000</v>
      </c>
      <c r="C7624" t="str">
        <f t="shared" si="1685"/>
        <v>06223043</v>
      </c>
      <c r="D7624" t="str">
        <f t="shared" si="1686"/>
        <v>801</v>
      </c>
      <c r="E7624" t="str">
        <f t="shared" si="1687"/>
        <v>89301122</v>
      </c>
      <c r="F7624" t="str">
        <f>"8607265788"</f>
        <v>8607265788</v>
      </c>
      <c r="G7624" s="1">
        <v>44771</v>
      </c>
      <c r="H7624" t="str">
        <f>"81485"</f>
        <v>81485</v>
      </c>
      <c r="I7624">
        <v>1</v>
      </c>
      <c r="J7624">
        <v>453</v>
      </c>
      <c r="K7624">
        <v>0</v>
      </c>
      <c r="L7624">
        <v>353.34</v>
      </c>
    </row>
    <row r="7625" spans="1:12" x14ac:dyDescent="0.25">
      <c r="A7625" t="str">
        <f t="shared" si="1683"/>
        <v>89301000</v>
      </c>
      <c r="B7625" t="str">
        <f t="shared" si="1684"/>
        <v>06223000</v>
      </c>
      <c r="C7625" t="str">
        <f t="shared" si="1685"/>
        <v>06223043</v>
      </c>
      <c r="D7625" t="str">
        <f t="shared" si="1686"/>
        <v>801</v>
      </c>
      <c r="E7625" t="str">
        <f t="shared" si="1687"/>
        <v>89301122</v>
      </c>
      <c r="F7625" t="str">
        <f>"6908105215"</f>
        <v>6908105215</v>
      </c>
      <c r="G7625" s="1">
        <v>44757</v>
      </c>
      <c r="H7625" t="str">
        <f>"81485"</f>
        <v>81485</v>
      </c>
      <c r="I7625">
        <v>1</v>
      </c>
      <c r="J7625">
        <v>453</v>
      </c>
      <c r="K7625">
        <v>0</v>
      </c>
      <c r="L7625">
        <v>353.34</v>
      </c>
    </row>
    <row r="7626" spans="1:12" x14ac:dyDescent="0.25">
      <c r="A7626" t="str">
        <f t="shared" si="1683"/>
        <v>89301000</v>
      </c>
      <c r="B7626" t="str">
        <f t="shared" si="1684"/>
        <v>06223000</v>
      </c>
      <c r="C7626" t="str">
        <f t="shared" si="1685"/>
        <v>06223043</v>
      </c>
      <c r="D7626" t="str">
        <f t="shared" si="1686"/>
        <v>801</v>
      </c>
      <c r="E7626" t="str">
        <f t="shared" si="1687"/>
        <v>89301122</v>
      </c>
      <c r="F7626" t="str">
        <f>"8112315332"</f>
        <v>8112315332</v>
      </c>
      <c r="G7626" s="1">
        <v>44767</v>
      </c>
      <c r="H7626" t="str">
        <f>"92165"</f>
        <v>92165</v>
      </c>
      <c r="I7626">
        <v>1</v>
      </c>
      <c r="J7626">
        <v>2113</v>
      </c>
      <c r="K7626">
        <v>0</v>
      </c>
      <c r="L7626">
        <v>1648.14</v>
      </c>
    </row>
    <row r="7627" spans="1:12" x14ac:dyDescent="0.25">
      <c r="A7627" t="str">
        <f t="shared" si="1683"/>
        <v>89301000</v>
      </c>
      <c r="B7627" t="str">
        <f t="shared" si="1684"/>
        <v>06223000</v>
      </c>
      <c r="C7627" t="str">
        <f t="shared" si="1685"/>
        <v>06223043</v>
      </c>
      <c r="D7627" t="str">
        <f t="shared" si="1686"/>
        <v>801</v>
      </c>
      <c r="E7627" t="str">
        <f t="shared" si="1687"/>
        <v>89301122</v>
      </c>
      <c r="F7627" t="str">
        <f>"8510135766"</f>
        <v>8510135766</v>
      </c>
      <c r="G7627" s="1">
        <v>44757</v>
      </c>
      <c r="H7627" t="str">
        <f>"81485"</f>
        <v>81485</v>
      </c>
      <c r="I7627">
        <v>1</v>
      </c>
      <c r="J7627">
        <v>453</v>
      </c>
      <c r="K7627">
        <v>0</v>
      </c>
      <c r="L7627">
        <v>353.34</v>
      </c>
    </row>
    <row r="7628" spans="1:12" x14ac:dyDescent="0.25">
      <c r="A7628" t="str">
        <f t="shared" si="1683"/>
        <v>89301000</v>
      </c>
      <c r="B7628" t="str">
        <f>"92002000"</f>
        <v>92002000</v>
      </c>
      <c r="C7628" t="str">
        <f>"92002175"</f>
        <v>92002175</v>
      </c>
      <c r="D7628" t="str">
        <f>"809"</f>
        <v>809</v>
      </c>
      <c r="E7628" t="str">
        <f>"89301212"</f>
        <v>89301212</v>
      </c>
      <c r="F7628" t="str">
        <f>"6560091472"</f>
        <v>6560091472</v>
      </c>
      <c r="G7628" s="1">
        <v>44754</v>
      </c>
      <c r="H7628" t="str">
        <f>"89180"</f>
        <v>89180</v>
      </c>
      <c r="I7628">
        <v>1</v>
      </c>
      <c r="J7628">
        <v>376</v>
      </c>
      <c r="K7628">
        <v>0</v>
      </c>
      <c r="L7628">
        <v>526.4</v>
      </c>
    </row>
    <row r="7629" spans="1:12" x14ac:dyDescent="0.25">
      <c r="A7629" t="str">
        <f t="shared" si="1683"/>
        <v>89301000</v>
      </c>
      <c r="B7629" t="str">
        <f>"92002000"</f>
        <v>92002000</v>
      </c>
      <c r="C7629" t="str">
        <f>"92002175"</f>
        <v>92002175</v>
      </c>
      <c r="D7629" t="str">
        <f>"809"</f>
        <v>809</v>
      </c>
      <c r="E7629" t="str">
        <f>"89301212"</f>
        <v>89301212</v>
      </c>
      <c r="F7629" t="str">
        <f>"5953221912"</f>
        <v>5953221912</v>
      </c>
      <c r="G7629" s="1">
        <v>44761</v>
      </c>
      <c r="H7629" t="str">
        <f>"89512"</f>
        <v>89512</v>
      </c>
      <c r="I7629">
        <v>1</v>
      </c>
      <c r="J7629">
        <v>277</v>
      </c>
      <c r="K7629">
        <v>0</v>
      </c>
      <c r="L7629">
        <v>387.8</v>
      </c>
    </row>
    <row r="7630" spans="1:12" x14ac:dyDescent="0.25">
      <c r="A7630" t="str">
        <f t="shared" si="1683"/>
        <v>89301000</v>
      </c>
      <c r="B7630" t="str">
        <f>"04002000"</f>
        <v>04002000</v>
      </c>
      <c r="C7630" t="str">
        <f>"04002339"</f>
        <v>04002339</v>
      </c>
      <c r="D7630" t="str">
        <f>"816"</f>
        <v>816</v>
      </c>
      <c r="E7630" t="str">
        <f>"89301282"</f>
        <v>89301282</v>
      </c>
      <c r="F7630" t="str">
        <f>"6154211701"</f>
        <v>6154211701</v>
      </c>
      <c r="G7630" s="1">
        <v>44701</v>
      </c>
      <c r="H7630" t="str">
        <f>"94221"</f>
        <v>94221</v>
      </c>
      <c r="I7630">
        <v>1</v>
      </c>
      <c r="J7630">
        <v>2453</v>
      </c>
      <c r="K7630">
        <v>0</v>
      </c>
      <c r="L7630">
        <v>2085.0500000000002</v>
      </c>
    </row>
    <row r="7631" spans="1:12" x14ac:dyDescent="0.25">
      <c r="A7631" t="str">
        <f t="shared" si="1683"/>
        <v>89301000</v>
      </c>
      <c r="B7631" t="str">
        <f t="shared" ref="B7631:B7637" si="1688">"05002000"</f>
        <v>05002000</v>
      </c>
      <c r="C7631" t="str">
        <f>"05002141"</f>
        <v>05002141</v>
      </c>
      <c r="D7631" t="str">
        <f>"816"</f>
        <v>816</v>
      </c>
      <c r="E7631" t="str">
        <f>"89301282"</f>
        <v>89301282</v>
      </c>
      <c r="F7631" t="str">
        <f>"0462065274"</f>
        <v>0462065274</v>
      </c>
      <c r="G7631" s="1">
        <v>44762</v>
      </c>
      <c r="H7631" t="str">
        <f>"94331"</f>
        <v>94331</v>
      </c>
      <c r="I7631">
        <v>1</v>
      </c>
      <c r="J7631">
        <v>7778</v>
      </c>
      <c r="K7631">
        <v>0</v>
      </c>
      <c r="L7631">
        <v>6611.3</v>
      </c>
    </row>
    <row r="7632" spans="1:12" x14ac:dyDescent="0.25">
      <c r="A7632" t="str">
        <f t="shared" si="1683"/>
        <v>89301000</v>
      </c>
      <c r="B7632" t="str">
        <f t="shared" si="1688"/>
        <v>05002000</v>
      </c>
      <c r="C7632" t="str">
        <f>"05002397"</f>
        <v>05002397</v>
      </c>
      <c r="D7632" t="str">
        <f>"818"</f>
        <v>818</v>
      </c>
      <c r="E7632" t="str">
        <f>"89301109"</f>
        <v>89301109</v>
      </c>
      <c r="F7632" t="str">
        <f>"1560012212"</f>
        <v>1560012212</v>
      </c>
      <c r="G7632" s="1">
        <v>44753</v>
      </c>
      <c r="H7632" t="str">
        <f>"91439"</f>
        <v>91439</v>
      </c>
      <c r="I7632">
        <v>9</v>
      </c>
      <c r="J7632">
        <v>3204</v>
      </c>
      <c r="K7632">
        <v>0</v>
      </c>
      <c r="L7632">
        <v>2915.64</v>
      </c>
    </row>
    <row r="7633" spans="1:12" x14ac:dyDescent="0.25">
      <c r="A7633" t="str">
        <f t="shared" si="1683"/>
        <v>89301000</v>
      </c>
      <c r="B7633" t="str">
        <f t="shared" si="1688"/>
        <v>05002000</v>
      </c>
      <c r="C7633" t="str">
        <f>"05002397"</f>
        <v>05002397</v>
      </c>
      <c r="D7633" t="str">
        <f>"818"</f>
        <v>818</v>
      </c>
      <c r="E7633" t="str">
        <f>"89301109"</f>
        <v>89301109</v>
      </c>
      <c r="F7633" t="str">
        <f>"1560012212"</f>
        <v>1560012212</v>
      </c>
      <c r="G7633" s="1">
        <v>44753</v>
      </c>
      <c r="H7633" t="str">
        <f>"91439"</f>
        <v>91439</v>
      </c>
      <c r="I7633">
        <v>4</v>
      </c>
      <c r="J7633">
        <v>1424</v>
      </c>
      <c r="K7633">
        <v>0</v>
      </c>
      <c r="L7633">
        <v>1295.8399999999999</v>
      </c>
    </row>
    <row r="7634" spans="1:12" x14ac:dyDescent="0.25">
      <c r="A7634" t="str">
        <f t="shared" si="1683"/>
        <v>89301000</v>
      </c>
      <c r="B7634" t="str">
        <f t="shared" si="1688"/>
        <v>05002000</v>
      </c>
      <c r="C7634" t="str">
        <f>"05002397"</f>
        <v>05002397</v>
      </c>
      <c r="D7634" t="str">
        <f>"818"</f>
        <v>818</v>
      </c>
      <c r="E7634" t="str">
        <f>"89301105"</f>
        <v>89301105</v>
      </c>
      <c r="F7634" t="str">
        <f>"1560012212"</f>
        <v>1560012212</v>
      </c>
      <c r="G7634" s="1">
        <v>44754</v>
      </c>
      <c r="H7634" t="str">
        <f>"94225"</f>
        <v>94225</v>
      </c>
      <c r="I7634">
        <v>1</v>
      </c>
      <c r="J7634">
        <v>1187</v>
      </c>
      <c r="K7634">
        <v>0</v>
      </c>
      <c r="L7634">
        <v>1080.17</v>
      </c>
    </row>
    <row r="7635" spans="1:12" x14ac:dyDescent="0.25">
      <c r="A7635" t="str">
        <f t="shared" si="1683"/>
        <v>89301000</v>
      </c>
      <c r="B7635" t="str">
        <f t="shared" si="1688"/>
        <v>05002000</v>
      </c>
      <c r="C7635" t="str">
        <f>"05002397"</f>
        <v>05002397</v>
      </c>
      <c r="D7635" t="str">
        <f>"818"</f>
        <v>818</v>
      </c>
      <c r="E7635" t="str">
        <f>"89301105"</f>
        <v>89301105</v>
      </c>
      <c r="F7635" t="str">
        <f>"1560012212"</f>
        <v>1560012212</v>
      </c>
      <c r="G7635" s="1">
        <v>44754</v>
      </c>
      <c r="H7635" t="str">
        <f>"94337"</f>
        <v>94337</v>
      </c>
      <c r="I7635">
        <v>2</v>
      </c>
      <c r="J7635">
        <v>17920</v>
      </c>
      <c r="K7635">
        <v>0</v>
      </c>
      <c r="L7635">
        <v>16307.2</v>
      </c>
    </row>
    <row r="7636" spans="1:12" x14ac:dyDescent="0.25">
      <c r="A7636" t="str">
        <f t="shared" si="1683"/>
        <v>89301000</v>
      </c>
      <c r="B7636" t="str">
        <f t="shared" si="1688"/>
        <v>05002000</v>
      </c>
      <c r="C7636" t="str">
        <f>"05002141"</f>
        <v>05002141</v>
      </c>
      <c r="D7636" t="str">
        <f>"816"</f>
        <v>816</v>
      </c>
      <c r="E7636" t="str">
        <f>"89301282"</f>
        <v>89301282</v>
      </c>
      <c r="F7636" t="str">
        <f>"6602141568"</f>
        <v>6602141568</v>
      </c>
      <c r="G7636" s="1">
        <v>44762</v>
      </c>
      <c r="H7636" t="str">
        <f>"94331"</f>
        <v>94331</v>
      </c>
      <c r="I7636">
        <v>1</v>
      </c>
      <c r="J7636">
        <v>7778</v>
      </c>
      <c r="K7636">
        <v>0</v>
      </c>
      <c r="L7636">
        <v>6611.3</v>
      </c>
    </row>
    <row r="7637" spans="1:12" x14ac:dyDescent="0.25">
      <c r="A7637" t="str">
        <f t="shared" si="1683"/>
        <v>89301000</v>
      </c>
      <c r="B7637" t="str">
        <f t="shared" si="1688"/>
        <v>05002000</v>
      </c>
      <c r="C7637" t="str">
        <f>"05002141"</f>
        <v>05002141</v>
      </c>
      <c r="D7637" t="str">
        <f>"816"</f>
        <v>816</v>
      </c>
      <c r="E7637" t="str">
        <f>"89301282"</f>
        <v>89301282</v>
      </c>
      <c r="F7637" t="str">
        <f>"9256114802"</f>
        <v>9256114802</v>
      </c>
      <c r="G7637" s="1">
        <v>44762</v>
      </c>
      <c r="H7637" t="str">
        <f>"94331"</f>
        <v>94331</v>
      </c>
      <c r="I7637">
        <v>1</v>
      </c>
      <c r="J7637">
        <v>7778</v>
      </c>
      <c r="K7637">
        <v>0</v>
      </c>
      <c r="L7637">
        <v>6611.3</v>
      </c>
    </row>
    <row r="7638" spans="1:12" x14ac:dyDescent="0.25">
      <c r="A7638" t="str">
        <f t="shared" si="1683"/>
        <v>89301000</v>
      </c>
      <c r="B7638" t="str">
        <f t="shared" ref="B7638:C7640" si="1689">"89434000"</f>
        <v>89434000</v>
      </c>
      <c r="C7638" t="str">
        <f t="shared" si="1689"/>
        <v>89434000</v>
      </c>
      <c r="D7638" t="str">
        <f t="shared" ref="D7638:D7669" si="1690">"809"</f>
        <v>809</v>
      </c>
      <c r="E7638" t="str">
        <f>"89301062"</f>
        <v>89301062</v>
      </c>
      <c r="F7638" t="str">
        <f>"5956091328"</f>
        <v>5956091328</v>
      </c>
      <c r="G7638" s="1">
        <v>44804</v>
      </c>
      <c r="H7638" t="str">
        <f>"89127"</f>
        <v>89127</v>
      </c>
      <c r="I7638">
        <v>2</v>
      </c>
      <c r="J7638">
        <v>476</v>
      </c>
      <c r="K7638">
        <v>0</v>
      </c>
      <c r="L7638">
        <v>666.4</v>
      </c>
    </row>
    <row r="7639" spans="1:12" x14ac:dyDescent="0.25">
      <c r="A7639" t="str">
        <f t="shared" si="1683"/>
        <v>89301000</v>
      </c>
      <c r="B7639" t="str">
        <f t="shared" si="1689"/>
        <v>89434000</v>
      </c>
      <c r="C7639" t="str">
        <f t="shared" si="1689"/>
        <v>89434000</v>
      </c>
      <c r="D7639" t="str">
        <f t="shared" si="1690"/>
        <v>809</v>
      </c>
      <c r="E7639" t="str">
        <f>"89301212"</f>
        <v>89301212</v>
      </c>
      <c r="F7639" t="str">
        <f>"6562291263"</f>
        <v>6562291263</v>
      </c>
      <c r="G7639" s="1">
        <v>44789</v>
      </c>
      <c r="H7639" t="str">
        <f>"89513"</f>
        <v>89513</v>
      </c>
      <c r="I7639">
        <v>1</v>
      </c>
      <c r="J7639">
        <v>371</v>
      </c>
      <c r="K7639">
        <v>0</v>
      </c>
      <c r="L7639">
        <v>519.4</v>
      </c>
    </row>
    <row r="7640" spans="1:12" x14ac:dyDescent="0.25">
      <c r="A7640" t="str">
        <f t="shared" si="1683"/>
        <v>89301000</v>
      </c>
      <c r="B7640" t="str">
        <f t="shared" si="1689"/>
        <v>89434000</v>
      </c>
      <c r="C7640" t="str">
        <f t="shared" si="1689"/>
        <v>89434000</v>
      </c>
      <c r="D7640" t="str">
        <f t="shared" si="1690"/>
        <v>809</v>
      </c>
      <c r="E7640" t="str">
        <f>"89301212"</f>
        <v>89301212</v>
      </c>
      <c r="F7640" t="str">
        <f>"6562291263"</f>
        <v>6562291263</v>
      </c>
      <c r="G7640" s="1">
        <v>44789</v>
      </c>
      <c r="H7640" t="str">
        <f>"89514"</f>
        <v>89514</v>
      </c>
      <c r="I7640">
        <v>1</v>
      </c>
      <c r="J7640">
        <v>371</v>
      </c>
      <c r="K7640">
        <v>0</v>
      </c>
      <c r="L7640">
        <v>519.4</v>
      </c>
    </row>
    <row r="7641" spans="1:12" x14ac:dyDescent="0.25">
      <c r="A7641" t="str">
        <f t="shared" si="1683"/>
        <v>89301000</v>
      </c>
      <c r="B7641" t="str">
        <f>"86106000"</f>
        <v>86106000</v>
      </c>
      <c r="C7641" t="str">
        <f>"86106764"</f>
        <v>86106764</v>
      </c>
      <c r="D7641" t="str">
        <f t="shared" si="1690"/>
        <v>809</v>
      </c>
      <c r="E7641" t="str">
        <f>"89301112"</f>
        <v>89301112</v>
      </c>
      <c r="F7641" t="str">
        <f>"7305085128"</f>
        <v>7305085128</v>
      </c>
      <c r="G7641" s="1">
        <v>44784</v>
      </c>
      <c r="H7641" t="str">
        <f>"89713"</f>
        <v>89713</v>
      </c>
      <c r="I7641">
        <v>1</v>
      </c>
      <c r="J7641">
        <v>5362</v>
      </c>
      <c r="K7641">
        <v>0</v>
      </c>
      <c r="L7641">
        <v>3217.2</v>
      </c>
    </row>
    <row r="7642" spans="1:12" x14ac:dyDescent="0.25">
      <c r="A7642" t="str">
        <f t="shared" si="1683"/>
        <v>89301000</v>
      </c>
      <c r="B7642" t="str">
        <f>"86106000"</f>
        <v>86106000</v>
      </c>
      <c r="C7642" t="str">
        <f>"86106764"</f>
        <v>86106764</v>
      </c>
      <c r="D7642" t="str">
        <f t="shared" si="1690"/>
        <v>809</v>
      </c>
      <c r="E7642" t="str">
        <f>"89301112"</f>
        <v>89301112</v>
      </c>
      <c r="F7642" t="str">
        <f>"7305085128"</f>
        <v>7305085128</v>
      </c>
      <c r="G7642" s="1">
        <v>44784</v>
      </c>
      <c r="H7642" t="str">
        <f>"89725"</f>
        <v>89725</v>
      </c>
      <c r="I7642">
        <v>1</v>
      </c>
      <c r="J7642">
        <v>2839</v>
      </c>
      <c r="K7642">
        <v>0</v>
      </c>
      <c r="L7642">
        <v>1703.4</v>
      </c>
    </row>
    <row r="7643" spans="1:12" x14ac:dyDescent="0.25">
      <c r="A7643" t="str">
        <f t="shared" si="1683"/>
        <v>89301000</v>
      </c>
      <c r="B7643" t="str">
        <f t="shared" ref="B7643:B7674" si="1691">"78915000"</f>
        <v>78915000</v>
      </c>
      <c r="C7643" t="str">
        <f t="shared" ref="C7643:C7674" si="1692">"78915001"</f>
        <v>78915001</v>
      </c>
      <c r="D7643" t="str">
        <f t="shared" si="1690"/>
        <v>809</v>
      </c>
      <c r="E7643" t="str">
        <f>"89301607"</f>
        <v>89301607</v>
      </c>
      <c r="F7643" t="str">
        <f>"0159264842"</f>
        <v>0159264842</v>
      </c>
      <c r="G7643" s="1">
        <v>44795</v>
      </c>
      <c r="H7643" t="str">
        <f>"09567"</f>
        <v>09567</v>
      </c>
      <c r="I7643">
        <v>1</v>
      </c>
      <c r="J7643">
        <v>0</v>
      </c>
      <c r="K7643">
        <v>0</v>
      </c>
      <c r="L7643">
        <v>0</v>
      </c>
    </row>
    <row r="7644" spans="1:12" x14ac:dyDescent="0.25">
      <c r="A7644" t="str">
        <f t="shared" si="1683"/>
        <v>89301000</v>
      </c>
      <c r="B7644" t="str">
        <f t="shared" si="1691"/>
        <v>78915000</v>
      </c>
      <c r="C7644" t="str">
        <f t="shared" si="1692"/>
        <v>78915001</v>
      </c>
      <c r="D7644" t="str">
        <f t="shared" si="1690"/>
        <v>809</v>
      </c>
      <c r="E7644" t="str">
        <f>"89301607"</f>
        <v>89301607</v>
      </c>
      <c r="F7644" t="str">
        <f>"0159264842"</f>
        <v>0159264842</v>
      </c>
      <c r="G7644" s="1">
        <v>44795</v>
      </c>
      <c r="H7644" t="str">
        <f>"89713"</f>
        <v>89713</v>
      </c>
      <c r="I7644">
        <v>1</v>
      </c>
      <c r="J7644">
        <v>5362</v>
      </c>
      <c r="K7644">
        <v>0</v>
      </c>
      <c r="L7644">
        <v>3217.2</v>
      </c>
    </row>
    <row r="7645" spans="1:12" x14ac:dyDescent="0.25">
      <c r="A7645" t="str">
        <f t="shared" si="1683"/>
        <v>89301000</v>
      </c>
      <c r="B7645" t="str">
        <f t="shared" si="1691"/>
        <v>78915000</v>
      </c>
      <c r="C7645" t="str">
        <f t="shared" si="1692"/>
        <v>78915001</v>
      </c>
      <c r="D7645" t="str">
        <f t="shared" si="1690"/>
        <v>809</v>
      </c>
      <c r="E7645" t="str">
        <f>"89301062"</f>
        <v>89301062</v>
      </c>
      <c r="F7645" t="str">
        <f>"475503472"</f>
        <v>475503472</v>
      </c>
      <c r="G7645" s="1">
        <v>44778</v>
      </c>
      <c r="H7645" t="str">
        <f>"89713"</f>
        <v>89713</v>
      </c>
      <c r="I7645">
        <v>1</v>
      </c>
      <c r="J7645">
        <v>5362</v>
      </c>
      <c r="K7645">
        <v>0</v>
      </c>
      <c r="L7645">
        <v>3217.2</v>
      </c>
    </row>
    <row r="7646" spans="1:12" x14ac:dyDescent="0.25">
      <c r="A7646" t="str">
        <f t="shared" si="1683"/>
        <v>89301000</v>
      </c>
      <c r="B7646" t="str">
        <f t="shared" si="1691"/>
        <v>78915000</v>
      </c>
      <c r="C7646" t="str">
        <f t="shared" si="1692"/>
        <v>78915001</v>
      </c>
      <c r="D7646" t="str">
        <f t="shared" si="1690"/>
        <v>809</v>
      </c>
      <c r="E7646" t="str">
        <f>"89301062"</f>
        <v>89301062</v>
      </c>
      <c r="F7646" t="str">
        <f>"475503472"</f>
        <v>475503472</v>
      </c>
      <c r="G7646" s="1">
        <v>44778</v>
      </c>
      <c r="H7646" t="str">
        <f>"89725"</f>
        <v>89725</v>
      </c>
      <c r="I7646">
        <v>1</v>
      </c>
      <c r="J7646">
        <v>2839</v>
      </c>
      <c r="K7646">
        <v>0</v>
      </c>
      <c r="L7646">
        <v>1703.4</v>
      </c>
    </row>
    <row r="7647" spans="1:12" x14ac:dyDescent="0.25">
      <c r="A7647" t="str">
        <f t="shared" si="1683"/>
        <v>89301000</v>
      </c>
      <c r="B7647" t="str">
        <f t="shared" si="1691"/>
        <v>78915000</v>
      </c>
      <c r="C7647" t="str">
        <f t="shared" si="1692"/>
        <v>78915001</v>
      </c>
      <c r="D7647" t="str">
        <f t="shared" si="1690"/>
        <v>809</v>
      </c>
      <c r="E7647" t="str">
        <f>"89301045"</f>
        <v>89301045</v>
      </c>
      <c r="F7647" t="str">
        <f>"485511130"</f>
        <v>485511130</v>
      </c>
      <c r="G7647" s="1">
        <v>44776</v>
      </c>
      <c r="H7647" t="str">
        <f>"89715"</f>
        <v>89715</v>
      </c>
      <c r="I7647">
        <v>1</v>
      </c>
      <c r="J7647">
        <v>5474</v>
      </c>
      <c r="K7647">
        <v>0</v>
      </c>
      <c r="L7647">
        <v>3284.4</v>
      </c>
    </row>
    <row r="7648" spans="1:12" x14ac:dyDescent="0.25">
      <c r="A7648" t="str">
        <f t="shared" si="1683"/>
        <v>89301000</v>
      </c>
      <c r="B7648" t="str">
        <f t="shared" si="1691"/>
        <v>78915000</v>
      </c>
      <c r="C7648" t="str">
        <f t="shared" si="1692"/>
        <v>78915001</v>
      </c>
      <c r="D7648" t="str">
        <f t="shared" si="1690"/>
        <v>809</v>
      </c>
      <c r="E7648" t="str">
        <f>"89301045"</f>
        <v>89301045</v>
      </c>
      <c r="F7648" t="str">
        <f>"485511130"</f>
        <v>485511130</v>
      </c>
      <c r="G7648" s="1">
        <v>44776</v>
      </c>
      <c r="H7648" t="str">
        <f>"89725"</f>
        <v>89725</v>
      </c>
      <c r="I7648">
        <v>1</v>
      </c>
      <c r="J7648">
        <v>2839</v>
      </c>
      <c r="K7648">
        <v>0</v>
      </c>
      <c r="L7648">
        <v>1703.4</v>
      </c>
    </row>
    <row r="7649" spans="1:12" x14ac:dyDescent="0.25">
      <c r="A7649" t="str">
        <f t="shared" si="1683"/>
        <v>89301000</v>
      </c>
      <c r="B7649" t="str">
        <f t="shared" si="1691"/>
        <v>78915000</v>
      </c>
      <c r="C7649" t="str">
        <f t="shared" si="1692"/>
        <v>78915001</v>
      </c>
      <c r="D7649" t="str">
        <f t="shared" si="1690"/>
        <v>809</v>
      </c>
      <c r="E7649" t="str">
        <f>"89301045"</f>
        <v>89301045</v>
      </c>
      <c r="F7649" t="str">
        <f>"485511130"</f>
        <v>485511130</v>
      </c>
      <c r="G7649" s="1">
        <v>44776</v>
      </c>
      <c r="H7649" t="str">
        <f>"0207733"</f>
        <v>0207733</v>
      </c>
      <c r="I7649">
        <v>1.08</v>
      </c>
      <c r="K7649">
        <v>2797.77</v>
      </c>
      <c r="L7649">
        <v>2797.77</v>
      </c>
    </row>
    <row r="7650" spans="1:12" x14ac:dyDescent="0.25">
      <c r="A7650" t="str">
        <f t="shared" si="1683"/>
        <v>89301000</v>
      </c>
      <c r="B7650" t="str">
        <f t="shared" si="1691"/>
        <v>78915000</v>
      </c>
      <c r="C7650" t="str">
        <f t="shared" si="1692"/>
        <v>78915001</v>
      </c>
      <c r="D7650" t="str">
        <f t="shared" si="1690"/>
        <v>809</v>
      </c>
      <c r="E7650" t="str">
        <f>"89301062"</f>
        <v>89301062</v>
      </c>
      <c r="F7650" t="str">
        <f>"535210090"</f>
        <v>535210090</v>
      </c>
      <c r="G7650" s="1">
        <v>44791</v>
      </c>
      <c r="H7650" t="str">
        <f>"89713"</f>
        <v>89713</v>
      </c>
      <c r="I7650">
        <v>2</v>
      </c>
      <c r="J7650">
        <v>10724</v>
      </c>
      <c r="K7650">
        <v>0</v>
      </c>
      <c r="L7650">
        <v>6434.4</v>
      </c>
    </row>
    <row r="7651" spans="1:12" x14ac:dyDescent="0.25">
      <c r="A7651" t="str">
        <f t="shared" si="1683"/>
        <v>89301000</v>
      </c>
      <c r="B7651" t="str">
        <f t="shared" si="1691"/>
        <v>78915000</v>
      </c>
      <c r="C7651" t="str">
        <f t="shared" si="1692"/>
        <v>78915001</v>
      </c>
      <c r="D7651" t="str">
        <f t="shared" si="1690"/>
        <v>809</v>
      </c>
      <c r="E7651" t="str">
        <f>"89301062"</f>
        <v>89301062</v>
      </c>
      <c r="F7651" t="str">
        <f>"535210090"</f>
        <v>535210090</v>
      </c>
      <c r="G7651" s="1">
        <v>44791</v>
      </c>
      <c r="H7651" t="str">
        <f>"89725"</f>
        <v>89725</v>
      </c>
      <c r="I7651">
        <v>1</v>
      </c>
      <c r="J7651">
        <v>2839</v>
      </c>
      <c r="K7651">
        <v>0</v>
      </c>
      <c r="L7651">
        <v>1703.4</v>
      </c>
    </row>
    <row r="7652" spans="1:12" x14ac:dyDescent="0.25">
      <c r="A7652" t="str">
        <f t="shared" si="1683"/>
        <v>89301000</v>
      </c>
      <c r="B7652" t="str">
        <f t="shared" si="1691"/>
        <v>78915000</v>
      </c>
      <c r="C7652" t="str">
        <f t="shared" si="1692"/>
        <v>78915001</v>
      </c>
      <c r="D7652" t="str">
        <f t="shared" si="1690"/>
        <v>809</v>
      </c>
      <c r="E7652" t="str">
        <f>"89301112"</f>
        <v>89301112</v>
      </c>
      <c r="F7652" t="str">
        <f>"5810140479"</f>
        <v>5810140479</v>
      </c>
      <c r="G7652" s="1">
        <v>44790</v>
      </c>
      <c r="H7652" t="str">
        <f>"09567"</f>
        <v>09567</v>
      </c>
      <c r="I7652">
        <v>1</v>
      </c>
      <c r="J7652">
        <v>0</v>
      </c>
      <c r="K7652">
        <v>0</v>
      </c>
      <c r="L7652">
        <v>0</v>
      </c>
    </row>
    <row r="7653" spans="1:12" x14ac:dyDescent="0.25">
      <c r="A7653" t="str">
        <f t="shared" si="1683"/>
        <v>89301000</v>
      </c>
      <c r="B7653" t="str">
        <f t="shared" si="1691"/>
        <v>78915000</v>
      </c>
      <c r="C7653" t="str">
        <f t="shared" si="1692"/>
        <v>78915001</v>
      </c>
      <c r="D7653" t="str">
        <f t="shared" si="1690"/>
        <v>809</v>
      </c>
      <c r="E7653" t="str">
        <f>"89301112"</f>
        <v>89301112</v>
      </c>
      <c r="F7653" t="str">
        <f>"5810140479"</f>
        <v>5810140479</v>
      </c>
      <c r="G7653" s="1">
        <v>44790</v>
      </c>
      <c r="H7653" t="str">
        <f>"89713"</f>
        <v>89713</v>
      </c>
      <c r="I7653">
        <v>1</v>
      </c>
      <c r="J7653">
        <v>5362</v>
      </c>
      <c r="K7653">
        <v>0</v>
      </c>
      <c r="L7653">
        <v>3217.2</v>
      </c>
    </row>
    <row r="7654" spans="1:12" x14ac:dyDescent="0.25">
      <c r="A7654" t="str">
        <f t="shared" si="1683"/>
        <v>89301000</v>
      </c>
      <c r="B7654" t="str">
        <f t="shared" si="1691"/>
        <v>78915000</v>
      </c>
      <c r="C7654" t="str">
        <f t="shared" si="1692"/>
        <v>78915001</v>
      </c>
      <c r="D7654" t="str">
        <f t="shared" si="1690"/>
        <v>809</v>
      </c>
      <c r="E7654" t="str">
        <f>"89301262"</f>
        <v>89301262</v>
      </c>
      <c r="F7654" t="str">
        <f>"5910161235"</f>
        <v>5910161235</v>
      </c>
      <c r="G7654" s="1">
        <v>44795</v>
      </c>
      <c r="H7654" t="str">
        <f>"09567"</f>
        <v>09567</v>
      </c>
      <c r="I7654">
        <v>1</v>
      </c>
      <c r="J7654">
        <v>0</v>
      </c>
      <c r="K7654">
        <v>0</v>
      </c>
      <c r="L7654">
        <v>0</v>
      </c>
    </row>
    <row r="7655" spans="1:12" x14ac:dyDescent="0.25">
      <c r="A7655" t="str">
        <f t="shared" si="1683"/>
        <v>89301000</v>
      </c>
      <c r="B7655" t="str">
        <f t="shared" si="1691"/>
        <v>78915000</v>
      </c>
      <c r="C7655" t="str">
        <f t="shared" si="1692"/>
        <v>78915001</v>
      </c>
      <c r="D7655" t="str">
        <f t="shared" si="1690"/>
        <v>809</v>
      </c>
      <c r="E7655" t="str">
        <f>"89301262"</f>
        <v>89301262</v>
      </c>
      <c r="F7655" t="str">
        <f>"5910161235"</f>
        <v>5910161235</v>
      </c>
      <c r="G7655" s="1">
        <v>44795</v>
      </c>
      <c r="H7655" t="str">
        <f>"89713"</f>
        <v>89713</v>
      </c>
      <c r="I7655">
        <v>1</v>
      </c>
      <c r="J7655">
        <v>5362</v>
      </c>
      <c r="K7655">
        <v>0</v>
      </c>
      <c r="L7655">
        <v>3217.2</v>
      </c>
    </row>
    <row r="7656" spans="1:12" x14ac:dyDescent="0.25">
      <c r="A7656" t="str">
        <f t="shared" si="1683"/>
        <v>89301000</v>
      </c>
      <c r="B7656" t="str">
        <f t="shared" si="1691"/>
        <v>78915000</v>
      </c>
      <c r="C7656" t="str">
        <f t="shared" si="1692"/>
        <v>78915001</v>
      </c>
      <c r="D7656" t="str">
        <f t="shared" si="1690"/>
        <v>809</v>
      </c>
      <c r="E7656" t="str">
        <f>"89301062"</f>
        <v>89301062</v>
      </c>
      <c r="F7656" t="str">
        <f>"5958171494"</f>
        <v>5958171494</v>
      </c>
      <c r="G7656" s="1">
        <v>44797</v>
      </c>
      <c r="H7656" t="str">
        <f>"89713"</f>
        <v>89713</v>
      </c>
      <c r="I7656">
        <v>1</v>
      </c>
      <c r="J7656">
        <v>5362</v>
      </c>
      <c r="K7656">
        <v>0</v>
      </c>
      <c r="L7656">
        <v>3217.2</v>
      </c>
    </row>
    <row r="7657" spans="1:12" x14ac:dyDescent="0.25">
      <c r="A7657" t="str">
        <f t="shared" si="1683"/>
        <v>89301000</v>
      </c>
      <c r="B7657" t="str">
        <f t="shared" si="1691"/>
        <v>78915000</v>
      </c>
      <c r="C7657" t="str">
        <f t="shared" si="1692"/>
        <v>78915001</v>
      </c>
      <c r="D7657" t="str">
        <f t="shared" si="1690"/>
        <v>809</v>
      </c>
      <c r="E7657" t="str">
        <f>"89301062"</f>
        <v>89301062</v>
      </c>
      <c r="F7657" t="str">
        <f>"5958171494"</f>
        <v>5958171494</v>
      </c>
      <c r="G7657" s="1">
        <v>44797</v>
      </c>
      <c r="H7657" t="str">
        <f>"89725"</f>
        <v>89725</v>
      </c>
      <c r="I7657">
        <v>1</v>
      </c>
      <c r="J7657">
        <v>2839</v>
      </c>
      <c r="K7657">
        <v>0</v>
      </c>
      <c r="L7657">
        <v>1703.4</v>
      </c>
    </row>
    <row r="7658" spans="1:12" x14ac:dyDescent="0.25">
      <c r="A7658" t="str">
        <f t="shared" si="1683"/>
        <v>89301000</v>
      </c>
      <c r="B7658" t="str">
        <f t="shared" si="1691"/>
        <v>78915000</v>
      </c>
      <c r="C7658" t="str">
        <f t="shared" si="1692"/>
        <v>78915001</v>
      </c>
      <c r="D7658" t="str">
        <f t="shared" si="1690"/>
        <v>809</v>
      </c>
      <c r="E7658" t="str">
        <f>"89301112"</f>
        <v>89301112</v>
      </c>
      <c r="F7658" t="str">
        <f>"6104080345"</f>
        <v>6104080345</v>
      </c>
      <c r="G7658" s="1">
        <v>44774</v>
      </c>
      <c r="H7658" t="str">
        <f>"09569"</f>
        <v>09569</v>
      </c>
      <c r="I7658">
        <v>1</v>
      </c>
      <c r="J7658">
        <v>0</v>
      </c>
      <c r="K7658">
        <v>0</v>
      </c>
      <c r="L7658">
        <v>0</v>
      </c>
    </row>
    <row r="7659" spans="1:12" x14ac:dyDescent="0.25">
      <c r="A7659" t="str">
        <f t="shared" si="1683"/>
        <v>89301000</v>
      </c>
      <c r="B7659" t="str">
        <f t="shared" si="1691"/>
        <v>78915000</v>
      </c>
      <c r="C7659" t="str">
        <f t="shared" si="1692"/>
        <v>78915001</v>
      </c>
      <c r="D7659" t="str">
        <f t="shared" si="1690"/>
        <v>809</v>
      </c>
      <c r="E7659" t="str">
        <f>"89301112"</f>
        <v>89301112</v>
      </c>
      <c r="F7659" t="str">
        <f>"6104080345"</f>
        <v>6104080345</v>
      </c>
      <c r="G7659" s="1">
        <v>44774</v>
      </c>
      <c r="H7659" t="str">
        <f>"89713"</f>
        <v>89713</v>
      </c>
      <c r="I7659">
        <v>1</v>
      </c>
      <c r="J7659">
        <v>5362</v>
      </c>
      <c r="K7659">
        <v>0</v>
      </c>
      <c r="L7659">
        <v>3217.2</v>
      </c>
    </row>
    <row r="7660" spans="1:12" x14ac:dyDescent="0.25">
      <c r="A7660" t="str">
        <f t="shared" si="1683"/>
        <v>89301000</v>
      </c>
      <c r="B7660" t="str">
        <f t="shared" si="1691"/>
        <v>78915000</v>
      </c>
      <c r="C7660" t="str">
        <f t="shared" si="1692"/>
        <v>78915001</v>
      </c>
      <c r="D7660" t="str">
        <f t="shared" si="1690"/>
        <v>809</v>
      </c>
      <c r="E7660" t="str">
        <f>"89301212"</f>
        <v>89301212</v>
      </c>
      <c r="F7660" t="str">
        <f>"6160170929"</f>
        <v>6160170929</v>
      </c>
      <c r="G7660" s="1">
        <v>44797</v>
      </c>
      <c r="H7660" t="str">
        <f>"89715"</f>
        <v>89715</v>
      </c>
      <c r="I7660">
        <v>1</v>
      </c>
      <c r="J7660">
        <v>5474</v>
      </c>
      <c r="K7660">
        <v>0</v>
      </c>
      <c r="L7660">
        <v>3284.4</v>
      </c>
    </row>
    <row r="7661" spans="1:12" x14ac:dyDescent="0.25">
      <c r="A7661" t="str">
        <f t="shared" si="1683"/>
        <v>89301000</v>
      </c>
      <c r="B7661" t="str">
        <f t="shared" si="1691"/>
        <v>78915000</v>
      </c>
      <c r="C7661" t="str">
        <f t="shared" si="1692"/>
        <v>78915001</v>
      </c>
      <c r="D7661" t="str">
        <f t="shared" si="1690"/>
        <v>809</v>
      </c>
      <c r="E7661" t="str">
        <f>"89301212"</f>
        <v>89301212</v>
      </c>
      <c r="F7661" t="str">
        <f>"6160170929"</f>
        <v>6160170929</v>
      </c>
      <c r="G7661" s="1">
        <v>44797</v>
      </c>
      <c r="H7661" t="str">
        <f>"89725"</f>
        <v>89725</v>
      </c>
      <c r="I7661">
        <v>1</v>
      </c>
      <c r="J7661">
        <v>2839</v>
      </c>
      <c r="K7661">
        <v>0</v>
      </c>
      <c r="L7661">
        <v>1703.4</v>
      </c>
    </row>
    <row r="7662" spans="1:12" x14ac:dyDescent="0.25">
      <c r="A7662" t="str">
        <f t="shared" si="1683"/>
        <v>89301000</v>
      </c>
      <c r="B7662" t="str">
        <f t="shared" si="1691"/>
        <v>78915000</v>
      </c>
      <c r="C7662" t="str">
        <f t="shared" si="1692"/>
        <v>78915001</v>
      </c>
      <c r="D7662" t="str">
        <f t="shared" si="1690"/>
        <v>809</v>
      </c>
      <c r="E7662" t="str">
        <f>"89301212"</f>
        <v>89301212</v>
      </c>
      <c r="F7662" t="str">
        <f>"6160170929"</f>
        <v>6160170929</v>
      </c>
      <c r="G7662" s="1">
        <v>44797</v>
      </c>
      <c r="H7662" t="str">
        <f>"0207733"</f>
        <v>0207733</v>
      </c>
      <c r="I7662">
        <v>1</v>
      </c>
      <c r="K7662">
        <v>2590.5300000000002</v>
      </c>
      <c r="L7662">
        <v>2590.5300000000002</v>
      </c>
    </row>
    <row r="7663" spans="1:12" x14ac:dyDescent="0.25">
      <c r="A7663" t="str">
        <f t="shared" si="1683"/>
        <v>89301000</v>
      </c>
      <c r="B7663" t="str">
        <f t="shared" si="1691"/>
        <v>78915000</v>
      </c>
      <c r="C7663" t="str">
        <f t="shared" si="1692"/>
        <v>78915001</v>
      </c>
      <c r="D7663" t="str">
        <f t="shared" si="1690"/>
        <v>809</v>
      </c>
      <c r="E7663" t="str">
        <f>"89301112"</f>
        <v>89301112</v>
      </c>
      <c r="F7663" t="str">
        <f>"7107035342"</f>
        <v>7107035342</v>
      </c>
      <c r="G7663" s="1">
        <v>44781</v>
      </c>
      <c r="H7663" t="str">
        <f>"09567"</f>
        <v>09567</v>
      </c>
      <c r="I7663">
        <v>1</v>
      </c>
      <c r="J7663">
        <v>0</v>
      </c>
      <c r="K7663">
        <v>0</v>
      </c>
      <c r="L7663">
        <v>0</v>
      </c>
    </row>
    <row r="7664" spans="1:12" x14ac:dyDescent="0.25">
      <c r="A7664" t="str">
        <f t="shared" si="1683"/>
        <v>89301000</v>
      </c>
      <c r="B7664" t="str">
        <f t="shared" si="1691"/>
        <v>78915000</v>
      </c>
      <c r="C7664" t="str">
        <f t="shared" si="1692"/>
        <v>78915001</v>
      </c>
      <c r="D7664" t="str">
        <f t="shared" si="1690"/>
        <v>809</v>
      </c>
      <c r="E7664" t="str">
        <f>"89301112"</f>
        <v>89301112</v>
      </c>
      <c r="F7664" t="str">
        <f>"7107035342"</f>
        <v>7107035342</v>
      </c>
      <c r="G7664" s="1">
        <v>44781</v>
      </c>
      <c r="H7664" t="str">
        <f>"89713"</f>
        <v>89713</v>
      </c>
      <c r="I7664">
        <v>1</v>
      </c>
      <c r="J7664">
        <v>5362</v>
      </c>
      <c r="K7664">
        <v>0</v>
      </c>
      <c r="L7664">
        <v>3217.2</v>
      </c>
    </row>
    <row r="7665" spans="1:12" x14ac:dyDescent="0.25">
      <c r="A7665" t="str">
        <f t="shared" si="1683"/>
        <v>89301000</v>
      </c>
      <c r="B7665" t="str">
        <f t="shared" si="1691"/>
        <v>78915000</v>
      </c>
      <c r="C7665" t="str">
        <f t="shared" si="1692"/>
        <v>78915001</v>
      </c>
      <c r="D7665" t="str">
        <f t="shared" si="1690"/>
        <v>809</v>
      </c>
      <c r="E7665" t="str">
        <f>"89301062"</f>
        <v>89301062</v>
      </c>
      <c r="F7665" t="str">
        <f>"7202265345"</f>
        <v>7202265345</v>
      </c>
      <c r="G7665" s="1">
        <v>44792</v>
      </c>
      <c r="H7665" t="str">
        <f>"89713"</f>
        <v>89713</v>
      </c>
      <c r="I7665">
        <v>1</v>
      </c>
      <c r="J7665">
        <v>5362</v>
      </c>
      <c r="K7665">
        <v>0</v>
      </c>
      <c r="L7665">
        <v>3217.2</v>
      </c>
    </row>
    <row r="7666" spans="1:12" x14ac:dyDescent="0.25">
      <c r="A7666" t="str">
        <f t="shared" si="1683"/>
        <v>89301000</v>
      </c>
      <c r="B7666" t="str">
        <f t="shared" si="1691"/>
        <v>78915000</v>
      </c>
      <c r="C7666" t="str">
        <f t="shared" si="1692"/>
        <v>78915001</v>
      </c>
      <c r="D7666" t="str">
        <f t="shared" si="1690"/>
        <v>809</v>
      </c>
      <c r="E7666" t="str">
        <f>"89301062"</f>
        <v>89301062</v>
      </c>
      <c r="F7666" t="str">
        <f>"7202265345"</f>
        <v>7202265345</v>
      </c>
      <c r="G7666" s="1">
        <v>44792</v>
      </c>
      <c r="H7666" t="str">
        <f>"89725"</f>
        <v>89725</v>
      </c>
      <c r="I7666">
        <v>1</v>
      </c>
      <c r="J7666">
        <v>2839</v>
      </c>
      <c r="K7666">
        <v>0</v>
      </c>
      <c r="L7666">
        <v>1703.4</v>
      </c>
    </row>
    <row r="7667" spans="1:12" x14ac:dyDescent="0.25">
      <c r="A7667" t="str">
        <f t="shared" si="1683"/>
        <v>89301000</v>
      </c>
      <c r="B7667" t="str">
        <f t="shared" si="1691"/>
        <v>78915000</v>
      </c>
      <c r="C7667" t="str">
        <f t="shared" si="1692"/>
        <v>78915001</v>
      </c>
      <c r="D7667" t="str">
        <f t="shared" si="1690"/>
        <v>809</v>
      </c>
      <c r="E7667" t="str">
        <f>"89301212"</f>
        <v>89301212</v>
      </c>
      <c r="F7667" t="str">
        <f>"7457015313"</f>
        <v>7457015313</v>
      </c>
      <c r="G7667" s="1">
        <v>44779</v>
      </c>
      <c r="H7667" t="str">
        <f>"89715"</f>
        <v>89715</v>
      </c>
      <c r="I7667">
        <v>1</v>
      </c>
      <c r="J7667">
        <v>5474</v>
      </c>
      <c r="K7667">
        <v>0</v>
      </c>
      <c r="L7667">
        <v>3284.4</v>
      </c>
    </row>
    <row r="7668" spans="1:12" x14ac:dyDescent="0.25">
      <c r="A7668" t="str">
        <f t="shared" si="1683"/>
        <v>89301000</v>
      </c>
      <c r="B7668" t="str">
        <f t="shared" si="1691"/>
        <v>78915000</v>
      </c>
      <c r="C7668" t="str">
        <f t="shared" si="1692"/>
        <v>78915001</v>
      </c>
      <c r="D7668" t="str">
        <f t="shared" si="1690"/>
        <v>809</v>
      </c>
      <c r="E7668" t="str">
        <f>"89301212"</f>
        <v>89301212</v>
      </c>
      <c r="F7668" t="str">
        <f>"7457015313"</f>
        <v>7457015313</v>
      </c>
      <c r="G7668" s="1">
        <v>44779</v>
      </c>
      <c r="H7668" t="str">
        <f>"89725"</f>
        <v>89725</v>
      </c>
      <c r="I7668">
        <v>1</v>
      </c>
      <c r="J7668">
        <v>2839</v>
      </c>
      <c r="K7668">
        <v>0</v>
      </c>
      <c r="L7668">
        <v>1703.4</v>
      </c>
    </row>
    <row r="7669" spans="1:12" x14ac:dyDescent="0.25">
      <c r="A7669" t="str">
        <f t="shared" si="1683"/>
        <v>89301000</v>
      </c>
      <c r="B7669" t="str">
        <f t="shared" si="1691"/>
        <v>78915000</v>
      </c>
      <c r="C7669" t="str">
        <f t="shared" si="1692"/>
        <v>78915001</v>
      </c>
      <c r="D7669" t="str">
        <f t="shared" si="1690"/>
        <v>809</v>
      </c>
      <c r="E7669" t="str">
        <f>"89301212"</f>
        <v>89301212</v>
      </c>
      <c r="F7669" t="str">
        <f>"7457015313"</f>
        <v>7457015313</v>
      </c>
      <c r="G7669" s="1">
        <v>44779</v>
      </c>
      <c r="H7669" t="str">
        <f>"0207733"</f>
        <v>0207733</v>
      </c>
      <c r="I7669">
        <v>1</v>
      </c>
      <c r="K7669">
        <v>2590.5300000000002</v>
      </c>
      <c r="L7669">
        <v>2590.5300000000002</v>
      </c>
    </row>
    <row r="7670" spans="1:12" x14ac:dyDescent="0.25">
      <c r="A7670" t="str">
        <f t="shared" si="1683"/>
        <v>89301000</v>
      </c>
      <c r="B7670" t="str">
        <f t="shared" si="1691"/>
        <v>78915000</v>
      </c>
      <c r="C7670" t="str">
        <f t="shared" si="1692"/>
        <v>78915001</v>
      </c>
      <c r="D7670" t="str">
        <f t="shared" ref="D7670:D7695" si="1693">"809"</f>
        <v>809</v>
      </c>
      <c r="E7670" t="str">
        <f>"89301062"</f>
        <v>89301062</v>
      </c>
      <c r="F7670" t="str">
        <f>"7512235302"</f>
        <v>7512235302</v>
      </c>
      <c r="G7670" s="1">
        <v>44782</v>
      </c>
      <c r="H7670" t="str">
        <f>"89713"</f>
        <v>89713</v>
      </c>
      <c r="I7670">
        <v>1</v>
      </c>
      <c r="J7670">
        <v>5362</v>
      </c>
      <c r="K7670">
        <v>0</v>
      </c>
      <c r="L7670">
        <v>3217.2</v>
      </c>
    </row>
    <row r="7671" spans="1:12" x14ac:dyDescent="0.25">
      <c r="A7671" t="str">
        <f t="shared" si="1683"/>
        <v>89301000</v>
      </c>
      <c r="B7671" t="str">
        <f t="shared" si="1691"/>
        <v>78915000</v>
      </c>
      <c r="C7671" t="str">
        <f t="shared" si="1692"/>
        <v>78915001</v>
      </c>
      <c r="D7671" t="str">
        <f t="shared" si="1693"/>
        <v>809</v>
      </c>
      <c r="E7671" t="str">
        <f>"89301062"</f>
        <v>89301062</v>
      </c>
      <c r="F7671" t="str">
        <f>"7512235302"</f>
        <v>7512235302</v>
      </c>
      <c r="G7671" s="1">
        <v>44782</v>
      </c>
      <c r="H7671" t="str">
        <f>"89725"</f>
        <v>89725</v>
      </c>
      <c r="I7671">
        <v>1</v>
      </c>
      <c r="J7671">
        <v>2839</v>
      </c>
      <c r="K7671">
        <v>0</v>
      </c>
      <c r="L7671">
        <v>1703.4</v>
      </c>
    </row>
    <row r="7672" spans="1:12" x14ac:dyDescent="0.25">
      <c r="A7672" t="str">
        <f t="shared" si="1683"/>
        <v>89301000</v>
      </c>
      <c r="B7672" t="str">
        <f t="shared" si="1691"/>
        <v>78915000</v>
      </c>
      <c r="C7672" t="str">
        <f t="shared" si="1692"/>
        <v>78915001</v>
      </c>
      <c r="D7672" t="str">
        <f t="shared" si="1693"/>
        <v>809</v>
      </c>
      <c r="E7672" t="str">
        <f>"89301606"</f>
        <v>89301606</v>
      </c>
      <c r="F7672" t="str">
        <f>"7651035359"</f>
        <v>7651035359</v>
      </c>
      <c r="G7672" s="1">
        <v>44785</v>
      </c>
      <c r="H7672" t="str">
        <f>"89713"</f>
        <v>89713</v>
      </c>
      <c r="I7672">
        <v>2</v>
      </c>
      <c r="J7672">
        <v>10724</v>
      </c>
      <c r="K7672">
        <v>0</v>
      </c>
      <c r="L7672">
        <v>6434.4</v>
      </c>
    </row>
    <row r="7673" spans="1:12" x14ac:dyDescent="0.25">
      <c r="A7673" t="str">
        <f t="shared" si="1683"/>
        <v>89301000</v>
      </c>
      <c r="B7673" t="str">
        <f t="shared" si="1691"/>
        <v>78915000</v>
      </c>
      <c r="C7673" t="str">
        <f t="shared" si="1692"/>
        <v>78915001</v>
      </c>
      <c r="D7673" t="str">
        <f t="shared" si="1693"/>
        <v>809</v>
      </c>
      <c r="E7673" t="str">
        <f>"89301112"</f>
        <v>89301112</v>
      </c>
      <c r="F7673" t="str">
        <f>"7708184473"</f>
        <v>7708184473</v>
      </c>
      <c r="G7673" s="1">
        <v>44791</v>
      </c>
      <c r="H7673" t="str">
        <f>"89713"</f>
        <v>89713</v>
      </c>
      <c r="I7673">
        <v>2</v>
      </c>
      <c r="J7673">
        <v>10724</v>
      </c>
      <c r="K7673">
        <v>0</v>
      </c>
      <c r="L7673">
        <v>6434.4</v>
      </c>
    </row>
    <row r="7674" spans="1:12" x14ac:dyDescent="0.25">
      <c r="A7674" t="str">
        <f t="shared" si="1683"/>
        <v>89301000</v>
      </c>
      <c r="B7674" t="str">
        <f t="shared" si="1691"/>
        <v>78915000</v>
      </c>
      <c r="C7674" t="str">
        <f t="shared" si="1692"/>
        <v>78915001</v>
      </c>
      <c r="D7674" t="str">
        <f t="shared" si="1693"/>
        <v>809</v>
      </c>
      <c r="E7674" t="str">
        <f>"89301112"</f>
        <v>89301112</v>
      </c>
      <c r="F7674" t="str">
        <f>"7708184473"</f>
        <v>7708184473</v>
      </c>
      <c r="G7674" s="1">
        <v>44791</v>
      </c>
      <c r="H7674" t="str">
        <f>"89725"</f>
        <v>89725</v>
      </c>
      <c r="I7674">
        <v>1</v>
      </c>
      <c r="J7674">
        <v>2839</v>
      </c>
      <c r="K7674">
        <v>0</v>
      </c>
      <c r="L7674">
        <v>1703.4</v>
      </c>
    </row>
    <row r="7675" spans="1:12" x14ac:dyDescent="0.25">
      <c r="A7675" t="str">
        <f t="shared" si="1683"/>
        <v>89301000</v>
      </c>
      <c r="B7675" t="str">
        <f t="shared" ref="B7675:B7691" si="1694">"78915000"</f>
        <v>78915000</v>
      </c>
      <c r="C7675" t="str">
        <f t="shared" ref="C7675:C7691" si="1695">"78915001"</f>
        <v>78915001</v>
      </c>
      <c r="D7675" t="str">
        <f t="shared" si="1693"/>
        <v>809</v>
      </c>
      <c r="E7675" t="str">
        <f>"89301062"</f>
        <v>89301062</v>
      </c>
      <c r="F7675" t="str">
        <f>"7954075305"</f>
        <v>7954075305</v>
      </c>
      <c r="G7675" s="1">
        <v>44798</v>
      </c>
      <c r="H7675" t="str">
        <f>"89713"</f>
        <v>89713</v>
      </c>
      <c r="I7675">
        <v>1</v>
      </c>
      <c r="J7675">
        <v>5362</v>
      </c>
      <c r="K7675">
        <v>0</v>
      </c>
      <c r="L7675">
        <v>3217.2</v>
      </c>
    </row>
    <row r="7676" spans="1:12" x14ac:dyDescent="0.25">
      <c r="A7676" t="str">
        <f t="shared" si="1683"/>
        <v>89301000</v>
      </c>
      <c r="B7676" t="str">
        <f t="shared" si="1694"/>
        <v>78915000</v>
      </c>
      <c r="C7676" t="str">
        <f t="shared" si="1695"/>
        <v>78915001</v>
      </c>
      <c r="D7676" t="str">
        <f t="shared" si="1693"/>
        <v>809</v>
      </c>
      <c r="E7676" t="str">
        <f>"89301062"</f>
        <v>89301062</v>
      </c>
      <c r="F7676" t="str">
        <f>"7954075305"</f>
        <v>7954075305</v>
      </c>
      <c r="G7676" s="1">
        <v>44798</v>
      </c>
      <c r="H7676" t="str">
        <f>"89725"</f>
        <v>89725</v>
      </c>
      <c r="I7676">
        <v>1</v>
      </c>
      <c r="J7676">
        <v>2839</v>
      </c>
      <c r="K7676">
        <v>0</v>
      </c>
      <c r="L7676">
        <v>1703.4</v>
      </c>
    </row>
    <row r="7677" spans="1:12" x14ac:dyDescent="0.25">
      <c r="A7677" t="str">
        <f t="shared" si="1683"/>
        <v>89301000</v>
      </c>
      <c r="B7677" t="str">
        <f t="shared" si="1694"/>
        <v>78915000</v>
      </c>
      <c r="C7677" t="str">
        <f t="shared" si="1695"/>
        <v>78915001</v>
      </c>
      <c r="D7677" t="str">
        <f t="shared" si="1693"/>
        <v>809</v>
      </c>
      <c r="E7677" t="str">
        <f>"89301112"</f>
        <v>89301112</v>
      </c>
      <c r="F7677" t="str">
        <f>"8007295362"</f>
        <v>8007295362</v>
      </c>
      <c r="G7677" s="1">
        <v>44791</v>
      </c>
      <c r="H7677" t="str">
        <f>"09569"</f>
        <v>09569</v>
      </c>
      <c r="I7677">
        <v>1</v>
      </c>
      <c r="J7677">
        <v>0</v>
      </c>
      <c r="K7677">
        <v>0</v>
      </c>
      <c r="L7677">
        <v>0</v>
      </c>
    </row>
    <row r="7678" spans="1:12" x14ac:dyDescent="0.25">
      <c r="A7678" t="str">
        <f t="shared" si="1683"/>
        <v>89301000</v>
      </c>
      <c r="B7678" t="str">
        <f t="shared" si="1694"/>
        <v>78915000</v>
      </c>
      <c r="C7678" t="str">
        <f t="shared" si="1695"/>
        <v>78915001</v>
      </c>
      <c r="D7678" t="str">
        <f t="shared" si="1693"/>
        <v>809</v>
      </c>
      <c r="E7678" t="str">
        <f>"89301112"</f>
        <v>89301112</v>
      </c>
      <c r="F7678" t="str">
        <f>"8007295362"</f>
        <v>8007295362</v>
      </c>
      <c r="G7678" s="1">
        <v>44791</v>
      </c>
      <c r="H7678" t="str">
        <f>"89713"</f>
        <v>89713</v>
      </c>
      <c r="I7678">
        <v>1</v>
      </c>
      <c r="J7678">
        <v>5362</v>
      </c>
      <c r="K7678">
        <v>0</v>
      </c>
      <c r="L7678">
        <v>3217.2</v>
      </c>
    </row>
    <row r="7679" spans="1:12" x14ac:dyDescent="0.25">
      <c r="A7679" t="str">
        <f t="shared" si="1683"/>
        <v>89301000</v>
      </c>
      <c r="B7679" t="str">
        <f t="shared" si="1694"/>
        <v>78915000</v>
      </c>
      <c r="C7679" t="str">
        <f t="shared" si="1695"/>
        <v>78915001</v>
      </c>
      <c r="D7679" t="str">
        <f t="shared" si="1693"/>
        <v>809</v>
      </c>
      <c r="E7679" t="str">
        <f>"89301312"</f>
        <v>89301312</v>
      </c>
      <c r="F7679" t="str">
        <f>"8055085313"</f>
        <v>8055085313</v>
      </c>
      <c r="G7679" s="1">
        <v>44785</v>
      </c>
      <c r="H7679" t="str">
        <f>"09567"</f>
        <v>09567</v>
      </c>
      <c r="I7679">
        <v>1</v>
      </c>
      <c r="J7679">
        <v>0</v>
      </c>
      <c r="K7679">
        <v>0</v>
      </c>
      <c r="L7679">
        <v>0</v>
      </c>
    </row>
    <row r="7680" spans="1:12" x14ac:dyDescent="0.25">
      <c r="A7680" t="str">
        <f t="shared" si="1683"/>
        <v>89301000</v>
      </c>
      <c r="B7680" t="str">
        <f t="shared" si="1694"/>
        <v>78915000</v>
      </c>
      <c r="C7680" t="str">
        <f t="shared" si="1695"/>
        <v>78915001</v>
      </c>
      <c r="D7680" t="str">
        <f t="shared" si="1693"/>
        <v>809</v>
      </c>
      <c r="E7680" t="str">
        <f>"89301312"</f>
        <v>89301312</v>
      </c>
      <c r="F7680" t="str">
        <f>"8055085313"</f>
        <v>8055085313</v>
      </c>
      <c r="G7680" s="1">
        <v>44785</v>
      </c>
      <c r="H7680" t="str">
        <f>"89713"</f>
        <v>89713</v>
      </c>
      <c r="I7680">
        <v>1</v>
      </c>
      <c r="J7680">
        <v>5362</v>
      </c>
      <c r="K7680">
        <v>0</v>
      </c>
      <c r="L7680">
        <v>3217.2</v>
      </c>
    </row>
    <row r="7681" spans="1:12" x14ac:dyDescent="0.25">
      <c r="A7681" t="str">
        <f t="shared" si="1683"/>
        <v>89301000</v>
      </c>
      <c r="B7681" t="str">
        <f t="shared" si="1694"/>
        <v>78915000</v>
      </c>
      <c r="C7681" t="str">
        <f t="shared" si="1695"/>
        <v>78915001</v>
      </c>
      <c r="D7681" t="str">
        <f t="shared" si="1693"/>
        <v>809</v>
      </c>
      <c r="E7681" t="str">
        <f>"89301172"</f>
        <v>89301172</v>
      </c>
      <c r="F7681" t="str">
        <f>"8112144458"</f>
        <v>8112144458</v>
      </c>
      <c r="G7681" s="1">
        <v>44785</v>
      </c>
      <c r="H7681" t="str">
        <f>"89713"</f>
        <v>89713</v>
      </c>
      <c r="I7681">
        <v>1</v>
      </c>
      <c r="J7681">
        <v>5362</v>
      </c>
      <c r="K7681">
        <v>0</v>
      </c>
      <c r="L7681">
        <v>3217.2</v>
      </c>
    </row>
    <row r="7682" spans="1:12" x14ac:dyDescent="0.25">
      <c r="A7682" t="str">
        <f t="shared" ref="A7682:A7745" si="1696">"89301000"</f>
        <v>89301000</v>
      </c>
      <c r="B7682" t="str">
        <f t="shared" si="1694"/>
        <v>78915000</v>
      </c>
      <c r="C7682" t="str">
        <f t="shared" si="1695"/>
        <v>78915001</v>
      </c>
      <c r="D7682" t="str">
        <f t="shared" si="1693"/>
        <v>809</v>
      </c>
      <c r="E7682" t="str">
        <f t="shared" ref="E7682:E7689" si="1697">"89301112"</f>
        <v>89301112</v>
      </c>
      <c r="F7682" t="str">
        <f>"8158064475"</f>
        <v>8158064475</v>
      </c>
      <c r="G7682" s="1">
        <v>44785</v>
      </c>
      <c r="H7682" t="str">
        <f>"09567"</f>
        <v>09567</v>
      </c>
      <c r="I7682">
        <v>1</v>
      </c>
      <c r="J7682">
        <v>0</v>
      </c>
      <c r="K7682">
        <v>0</v>
      </c>
      <c r="L7682">
        <v>0</v>
      </c>
    </row>
    <row r="7683" spans="1:12" x14ac:dyDescent="0.25">
      <c r="A7683" t="str">
        <f t="shared" si="1696"/>
        <v>89301000</v>
      </c>
      <c r="B7683" t="str">
        <f t="shared" si="1694"/>
        <v>78915000</v>
      </c>
      <c r="C7683" t="str">
        <f t="shared" si="1695"/>
        <v>78915001</v>
      </c>
      <c r="D7683" t="str">
        <f t="shared" si="1693"/>
        <v>809</v>
      </c>
      <c r="E7683" t="str">
        <f t="shared" si="1697"/>
        <v>89301112</v>
      </c>
      <c r="F7683" t="str">
        <f>"8158064475"</f>
        <v>8158064475</v>
      </c>
      <c r="G7683" s="1">
        <v>44785</v>
      </c>
      <c r="H7683" t="str">
        <f>"89713"</f>
        <v>89713</v>
      </c>
      <c r="I7683">
        <v>1</v>
      </c>
      <c r="J7683">
        <v>5362</v>
      </c>
      <c r="K7683">
        <v>0</v>
      </c>
      <c r="L7683">
        <v>3217.2</v>
      </c>
    </row>
    <row r="7684" spans="1:12" x14ac:dyDescent="0.25">
      <c r="A7684" t="str">
        <f t="shared" si="1696"/>
        <v>89301000</v>
      </c>
      <c r="B7684" t="str">
        <f t="shared" si="1694"/>
        <v>78915000</v>
      </c>
      <c r="C7684" t="str">
        <f t="shared" si="1695"/>
        <v>78915001</v>
      </c>
      <c r="D7684" t="str">
        <f t="shared" si="1693"/>
        <v>809</v>
      </c>
      <c r="E7684" t="str">
        <f t="shared" si="1697"/>
        <v>89301112</v>
      </c>
      <c r="F7684" t="str">
        <f>"8704164931"</f>
        <v>8704164931</v>
      </c>
      <c r="G7684" s="1">
        <v>44788</v>
      </c>
      <c r="H7684" t="str">
        <f>"09567"</f>
        <v>09567</v>
      </c>
      <c r="I7684">
        <v>1</v>
      </c>
      <c r="J7684">
        <v>0</v>
      </c>
      <c r="K7684">
        <v>0</v>
      </c>
      <c r="L7684">
        <v>0</v>
      </c>
    </row>
    <row r="7685" spans="1:12" x14ac:dyDescent="0.25">
      <c r="A7685" t="str">
        <f t="shared" si="1696"/>
        <v>89301000</v>
      </c>
      <c r="B7685" t="str">
        <f t="shared" si="1694"/>
        <v>78915000</v>
      </c>
      <c r="C7685" t="str">
        <f t="shared" si="1695"/>
        <v>78915001</v>
      </c>
      <c r="D7685" t="str">
        <f t="shared" si="1693"/>
        <v>809</v>
      </c>
      <c r="E7685" t="str">
        <f t="shared" si="1697"/>
        <v>89301112</v>
      </c>
      <c r="F7685" t="str">
        <f>"8704164931"</f>
        <v>8704164931</v>
      </c>
      <c r="G7685" s="1">
        <v>44788</v>
      </c>
      <c r="H7685" t="str">
        <f>"89713"</f>
        <v>89713</v>
      </c>
      <c r="I7685">
        <v>1</v>
      </c>
      <c r="J7685">
        <v>5362</v>
      </c>
      <c r="K7685">
        <v>0</v>
      </c>
      <c r="L7685">
        <v>3217.2</v>
      </c>
    </row>
    <row r="7686" spans="1:12" x14ac:dyDescent="0.25">
      <c r="A7686" t="str">
        <f t="shared" si="1696"/>
        <v>89301000</v>
      </c>
      <c r="B7686" t="str">
        <f t="shared" si="1694"/>
        <v>78915000</v>
      </c>
      <c r="C7686" t="str">
        <f t="shared" si="1695"/>
        <v>78915001</v>
      </c>
      <c r="D7686" t="str">
        <f t="shared" si="1693"/>
        <v>809</v>
      </c>
      <c r="E7686" t="str">
        <f t="shared" si="1697"/>
        <v>89301112</v>
      </c>
      <c r="F7686" t="str">
        <f>"9206245719"</f>
        <v>9206245719</v>
      </c>
      <c r="G7686" s="1">
        <v>44781</v>
      </c>
      <c r="H7686" t="str">
        <f>"09569"</f>
        <v>09569</v>
      </c>
      <c r="I7686">
        <v>1</v>
      </c>
      <c r="J7686">
        <v>0</v>
      </c>
      <c r="K7686">
        <v>0</v>
      </c>
      <c r="L7686">
        <v>0</v>
      </c>
    </row>
    <row r="7687" spans="1:12" x14ac:dyDescent="0.25">
      <c r="A7687" t="str">
        <f t="shared" si="1696"/>
        <v>89301000</v>
      </c>
      <c r="B7687" t="str">
        <f t="shared" si="1694"/>
        <v>78915000</v>
      </c>
      <c r="C7687" t="str">
        <f t="shared" si="1695"/>
        <v>78915001</v>
      </c>
      <c r="D7687" t="str">
        <f t="shared" si="1693"/>
        <v>809</v>
      </c>
      <c r="E7687" t="str">
        <f t="shared" si="1697"/>
        <v>89301112</v>
      </c>
      <c r="F7687" t="str">
        <f>"9206245719"</f>
        <v>9206245719</v>
      </c>
      <c r="G7687" s="1">
        <v>44781</v>
      </c>
      <c r="H7687" t="str">
        <f>"89713"</f>
        <v>89713</v>
      </c>
      <c r="I7687">
        <v>1</v>
      </c>
      <c r="J7687">
        <v>5362</v>
      </c>
      <c r="K7687">
        <v>0</v>
      </c>
      <c r="L7687">
        <v>3217.2</v>
      </c>
    </row>
    <row r="7688" spans="1:12" x14ac:dyDescent="0.25">
      <c r="A7688" t="str">
        <f t="shared" si="1696"/>
        <v>89301000</v>
      </c>
      <c r="B7688" t="str">
        <f t="shared" si="1694"/>
        <v>78915000</v>
      </c>
      <c r="C7688" t="str">
        <f t="shared" si="1695"/>
        <v>78915001</v>
      </c>
      <c r="D7688" t="str">
        <f t="shared" si="1693"/>
        <v>809</v>
      </c>
      <c r="E7688" t="str">
        <f t="shared" si="1697"/>
        <v>89301112</v>
      </c>
      <c r="F7688" t="str">
        <f>"9404230176"</f>
        <v>9404230176</v>
      </c>
      <c r="G7688" s="1">
        <v>44783</v>
      </c>
      <c r="H7688" t="str">
        <f>"09569"</f>
        <v>09569</v>
      </c>
      <c r="I7688">
        <v>1</v>
      </c>
      <c r="J7688">
        <v>0</v>
      </c>
      <c r="K7688">
        <v>0</v>
      </c>
      <c r="L7688">
        <v>0</v>
      </c>
    </row>
    <row r="7689" spans="1:12" x14ac:dyDescent="0.25">
      <c r="A7689" t="str">
        <f t="shared" si="1696"/>
        <v>89301000</v>
      </c>
      <c r="B7689" t="str">
        <f t="shared" si="1694"/>
        <v>78915000</v>
      </c>
      <c r="C7689" t="str">
        <f t="shared" si="1695"/>
        <v>78915001</v>
      </c>
      <c r="D7689" t="str">
        <f t="shared" si="1693"/>
        <v>809</v>
      </c>
      <c r="E7689" t="str">
        <f t="shared" si="1697"/>
        <v>89301112</v>
      </c>
      <c r="F7689" t="str">
        <f>"9404230176"</f>
        <v>9404230176</v>
      </c>
      <c r="G7689" s="1">
        <v>44783</v>
      </c>
      <c r="H7689" t="str">
        <f>"89713"</f>
        <v>89713</v>
      </c>
      <c r="I7689">
        <v>1</v>
      </c>
      <c r="J7689">
        <v>5362</v>
      </c>
      <c r="K7689">
        <v>0</v>
      </c>
      <c r="L7689">
        <v>3217.2</v>
      </c>
    </row>
    <row r="7690" spans="1:12" x14ac:dyDescent="0.25">
      <c r="A7690" t="str">
        <f t="shared" si="1696"/>
        <v>89301000</v>
      </c>
      <c r="B7690" t="str">
        <f t="shared" si="1694"/>
        <v>78915000</v>
      </c>
      <c r="C7690" t="str">
        <f t="shared" si="1695"/>
        <v>78915001</v>
      </c>
      <c r="D7690" t="str">
        <f t="shared" si="1693"/>
        <v>809</v>
      </c>
      <c r="E7690" t="str">
        <f>"89301607"</f>
        <v>89301607</v>
      </c>
      <c r="F7690" t="str">
        <f>"9759175701"</f>
        <v>9759175701</v>
      </c>
      <c r="G7690" s="1">
        <v>44778</v>
      </c>
      <c r="H7690" t="str">
        <f>"09567"</f>
        <v>09567</v>
      </c>
      <c r="I7690">
        <v>1</v>
      </c>
      <c r="J7690">
        <v>0</v>
      </c>
      <c r="K7690">
        <v>0</v>
      </c>
      <c r="L7690">
        <v>0</v>
      </c>
    </row>
    <row r="7691" spans="1:12" x14ac:dyDescent="0.25">
      <c r="A7691" t="str">
        <f t="shared" si="1696"/>
        <v>89301000</v>
      </c>
      <c r="B7691" t="str">
        <f t="shared" si="1694"/>
        <v>78915000</v>
      </c>
      <c r="C7691" t="str">
        <f t="shared" si="1695"/>
        <v>78915001</v>
      </c>
      <c r="D7691" t="str">
        <f t="shared" si="1693"/>
        <v>809</v>
      </c>
      <c r="E7691" t="str">
        <f>"89301607"</f>
        <v>89301607</v>
      </c>
      <c r="F7691" t="str">
        <f>"9759175701"</f>
        <v>9759175701</v>
      </c>
      <c r="G7691" s="1">
        <v>44778</v>
      </c>
      <c r="H7691" t="str">
        <f>"89713"</f>
        <v>89713</v>
      </c>
      <c r="I7691">
        <v>1</v>
      </c>
      <c r="J7691">
        <v>5362</v>
      </c>
      <c r="K7691">
        <v>0</v>
      </c>
      <c r="L7691">
        <v>3217.2</v>
      </c>
    </row>
    <row r="7692" spans="1:12" x14ac:dyDescent="0.25">
      <c r="A7692" t="str">
        <f t="shared" si="1696"/>
        <v>89301000</v>
      </c>
      <c r="B7692" t="str">
        <f t="shared" ref="B7692:C7695" si="1698">"89345401"</f>
        <v>89345401</v>
      </c>
      <c r="C7692" t="str">
        <f t="shared" si="1698"/>
        <v>89345401</v>
      </c>
      <c r="D7692" t="str">
        <f t="shared" si="1693"/>
        <v>809</v>
      </c>
      <c r="E7692" t="str">
        <f>"89301022"</f>
        <v>89301022</v>
      </c>
      <c r="F7692" t="str">
        <f>"425902444"</f>
        <v>425902444</v>
      </c>
      <c r="G7692" s="1">
        <v>44795</v>
      </c>
      <c r="H7692" t="str">
        <f>"89513"</f>
        <v>89513</v>
      </c>
      <c r="I7692">
        <v>1</v>
      </c>
      <c r="J7692">
        <v>371</v>
      </c>
      <c r="K7692">
        <v>0</v>
      </c>
      <c r="L7692">
        <v>519.4</v>
      </c>
    </row>
    <row r="7693" spans="1:12" x14ac:dyDescent="0.25">
      <c r="A7693" t="str">
        <f t="shared" si="1696"/>
        <v>89301000</v>
      </c>
      <c r="B7693" t="str">
        <f t="shared" si="1698"/>
        <v>89345401</v>
      </c>
      <c r="C7693" t="str">
        <f t="shared" si="1698"/>
        <v>89345401</v>
      </c>
      <c r="D7693" t="str">
        <f t="shared" si="1693"/>
        <v>809</v>
      </c>
      <c r="E7693" t="str">
        <f>"89301022"</f>
        <v>89301022</v>
      </c>
      <c r="F7693" t="str">
        <f>"425902444"</f>
        <v>425902444</v>
      </c>
      <c r="G7693" s="1">
        <v>44795</v>
      </c>
      <c r="H7693" t="str">
        <f>"89514"</f>
        <v>89514</v>
      </c>
      <c r="I7693">
        <v>1</v>
      </c>
      <c r="J7693">
        <v>371</v>
      </c>
      <c r="K7693">
        <v>0</v>
      </c>
      <c r="L7693">
        <v>519.4</v>
      </c>
    </row>
    <row r="7694" spans="1:12" x14ac:dyDescent="0.25">
      <c r="A7694" t="str">
        <f t="shared" si="1696"/>
        <v>89301000</v>
      </c>
      <c r="B7694" t="str">
        <f t="shared" si="1698"/>
        <v>89345401</v>
      </c>
      <c r="C7694" t="str">
        <f t="shared" si="1698"/>
        <v>89345401</v>
      </c>
      <c r="D7694" t="str">
        <f t="shared" si="1693"/>
        <v>809</v>
      </c>
      <c r="E7694" t="str">
        <f>"89301212"</f>
        <v>89301212</v>
      </c>
      <c r="F7694" t="str">
        <f>"5455051096"</f>
        <v>5455051096</v>
      </c>
      <c r="G7694" s="1">
        <v>44783</v>
      </c>
      <c r="H7694" t="str">
        <f>"89513"</f>
        <v>89513</v>
      </c>
      <c r="I7694">
        <v>1</v>
      </c>
      <c r="J7694">
        <v>371</v>
      </c>
      <c r="K7694">
        <v>0</v>
      </c>
      <c r="L7694">
        <v>519.4</v>
      </c>
    </row>
    <row r="7695" spans="1:12" x14ac:dyDescent="0.25">
      <c r="A7695" t="str">
        <f t="shared" si="1696"/>
        <v>89301000</v>
      </c>
      <c r="B7695" t="str">
        <f t="shared" si="1698"/>
        <v>89345401</v>
      </c>
      <c r="C7695" t="str">
        <f t="shared" si="1698"/>
        <v>89345401</v>
      </c>
      <c r="D7695" t="str">
        <f t="shared" si="1693"/>
        <v>809</v>
      </c>
      <c r="E7695" t="str">
        <f>"89301212"</f>
        <v>89301212</v>
      </c>
      <c r="F7695" t="str">
        <f>"5455051096"</f>
        <v>5455051096</v>
      </c>
      <c r="G7695" s="1">
        <v>44783</v>
      </c>
      <c r="H7695" t="str">
        <f>"89514"</f>
        <v>89514</v>
      </c>
      <c r="I7695">
        <v>1</v>
      </c>
      <c r="J7695">
        <v>371</v>
      </c>
      <c r="K7695">
        <v>0</v>
      </c>
      <c r="L7695">
        <v>519.4</v>
      </c>
    </row>
    <row r="7696" spans="1:12" x14ac:dyDescent="0.25">
      <c r="A7696" t="str">
        <f t="shared" si="1696"/>
        <v>89301000</v>
      </c>
      <c r="B7696" t="str">
        <f t="shared" ref="B7696:B7710" si="1699">"91866000"</f>
        <v>91866000</v>
      </c>
      <c r="C7696" t="str">
        <f t="shared" ref="C7696:C7710" si="1700">"91866313"</f>
        <v>91866313</v>
      </c>
      <c r="D7696" t="str">
        <f t="shared" ref="D7696:D7710" si="1701">"802"</f>
        <v>802</v>
      </c>
      <c r="E7696" t="str">
        <f t="shared" ref="E7696:E7708" si="1702">"89301102"</f>
        <v>89301102</v>
      </c>
      <c r="F7696" t="str">
        <f>"1703310323"</f>
        <v>1703310323</v>
      </c>
      <c r="G7696" s="1">
        <v>44790</v>
      </c>
      <c r="H7696" t="str">
        <f>"97111"</f>
        <v>97111</v>
      </c>
      <c r="I7696">
        <v>1</v>
      </c>
      <c r="J7696">
        <v>18</v>
      </c>
      <c r="K7696">
        <v>0</v>
      </c>
      <c r="L7696">
        <v>16.38</v>
      </c>
    </row>
    <row r="7697" spans="1:12" x14ac:dyDescent="0.25">
      <c r="A7697" t="str">
        <f t="shared" si="1696"/>
        <v>89301000</v>
      </c>
      <c r="B7697" t="str">
        <f t="shared" si="1699"/>
        <v>91866000</v>
      </c>
      <c r="C7697" t="str">
        <f t="shared" si="1700"/>
        <v>91866313</v>
      </c>
      <c r="D7697" t="str">
        <f t="shared" si="1701"/>
        <v>802</v>
      </c>
      <c r="E7697" t="str">
        <f t="shared" si="1702"/>
        <v>89301102</v>
      </c>
      <c r="F7697" t="str">
        <f>"1703310323"</f>
        <v>1703310323</v>
      </c>
      <c r="G7697" s="1">
        <v>44791</v>
      </c>
      <c r="H7697" t="str">
        <f>"82113"</f>
        <v>82113</v>
      </c>
      <c r="I7697">
        <v>2</v>
      </c>
      <c r="J7697">
        <v>724</v>
      </c>
      <c r="K7697">
        <v>0</v>
      </c>
      <c r="L7697">
        <v>658.84</v>
      </c>
    </row>
    <row r="7698" spans="1:12" x14ac:dyDescent="0.25">
      <c r="A7698" t="str">
        <f t="shared" si="1696"/>
        <v>89301000</v>
      </c>
      <c r="B7698" t="str">
        <f t="shared" si="1699"/>
        <v>91866000</v>
      </c>
      <c r="C7698" t="str">
        <f t="shared" si="1700"/>
        <v>91866313</v>
      </c>
      <c r="D7698" t="str">
        <f t="shared" si="1701"/>
        <v>802</v>
      </c>
      <c r="E7698" t="str">
        <f t="shared" si="1702"/>
        <v>89301102</v>
      </c>
      <c r="F7698" t="str">
        <f>"1703310323"</f>
        <v>1703310323</v>
      </c>
      <c r="G7698" s="1">
        <v>44790</v>
      </c>
      <c r="H7698" t="str">
        <f>"82113"</f>
        <v>82113</v>
      </c>
      <c r="I7698">
        <v>2</v>
      </c>
      <c r="J7698">
        <v>724</v>
      </c>
      <c r="K7698">
        <v>0</v>
      </c>
      <c r="L7698">
        <v>658.84</v>
      </c>
    </row>
    <row r="7699" spans="1:12" x14ac:dyDescent="0.25">
      <c r="A7699" t="str">
        <f t="shared" si="1696"/>
        <v>89301000</v>
      </c>
      <c r="B7699" t="str">
        <f t="shared" si="1699"/>
        <v>91866000</v>
      </c>
      <c r="C7699" t="str">
        <f t="shared" si="1700"/>
        <v>91866313</v>
      </c>
      <c r="D7699" t="str">
        <f t="shared" si="1701"/>
        <v>802</v>
      </c>
      <c r="E7699" t="str">
        <f t="shared" si="1702"/>
        <v>89301102</v>
      </c>
      <c r="F7699" t="str">
        <f>"1703310323"</f>
        <v>1703310323</v>
      </c>
      <c r="G7699" s="1">
        <v>44791</v>
      </c>
      <c r="H7699" t="str">
        <f>"82113"</f>
        <v>82113</v>
      </c>
      <c r="I7699">
        <v>5</v>
      </c>
      <c r="J7699">
        <v>1810</v>
      </c>
      <c r="K7699">
        <v>0</v>
      </c>
      <c r="L7699">
        <v>1647.1</v>
      </c>
    </row>
    <row r="7700" spans="1:12" x14ac:dyDescent="0.25">
      <c r="A7700" t="str">
        <f t="shared" si="1696"/>
        <v>89301000</v>
      </c>
      <c r="B7700" t="str">
        <f t="shared" si="1699"/>
        <v>91866000</v>
      </c>
      <c r="C7700" t="str">
        <f t="shared" si="1700"/>
        <v>91866313</v>
      </c>
      <c r="D7700" t="str">
        <f t="shared" si="1701"/>
        <v>802</v>
      </c>
      <c r="E7700" t="str">
        <f t="shared" si="1702"/>
        <v>89301102</v>
      </c>
      <c r="F7700" t="str">
        <f t="shared" ref="F7700:F7708" si="1703">"1704041757"</f>
        <v>1704041757</v>
      </c>
      <c r="G7700" s="1">
        <v>44782</v>
      </c>
      <c r="H7700" t="str">
        <f>"82079"</f>
        <v>82079</v>
      </c>
      <c r="I7700">
        <v>1</v>
      </c>
      <c r="J7700">
        <v>332</v>
      </c>
      <c r="K7700">
        <v>0</v>
      </c>
      <c r="L7700">
        <v>302.12</v>
      </c>
    </row>
    <row r="7701" spans="1:12" x14ac:dyDescent="0.25">
      <c r="A7701" t="str">
        <f t="shared" si="1696"/>
        <v>89301000</v>
      </c>
      <c r="B7701" t="str">
        <f t="shared" si="1699"/>
        <v>91866000</v>
      </c>
      <c r="C7701" t="str">
        <f t="shared" si="1700"/>
        <v>91866313</v>
      </c>
      <c r="D7701" t="str">
        <f t="shared" si="1701"/>
        <v>802</v>
      </c>
      <c r="E7701" t="str">
        <f t="shared" si="1702"/>
        <v>89301102</v>
      </c>
      <c r="F7701" t="str">
        <f t="shared" si="1703"/>
        <v>1704041757</v>
      </c>
      <c r="G7701" s="1">
        <v>44782</v>
      </c>
      <c r="H7701" t="str">
        <f>"82079"</f>
        <v>82079</v>
      </c>
      <c r="I7701">
        <v>1</v>
      </c>
      <c r="J7701">
        <v>332</v>
      </c>
      <c r="K7701">
        <v>0</v>
      </c>
      <c r="L7701">
        <v>302.12</v>
      </c>
    </row>
    <row r="7702" spans="1:12" x14ac:dyDescent="0.25">
      <c r="A7702" t="str">
        <f t="shared" si="1696"/>
        <v>89301000</v>
      </c>
      <c r="B7702" t="str">
        <f t="shared" si="1699"/>
        <v>91866000</v>
      </c>
      <c r="C7702" t="str">
        <f t="shared" si="1700"/>
        <v>91866313</v>
      </c>
      <c r="D7702" t="str">
        <f t="shared" si="1701"/>
        <v>802</v>
      </c>
      <c r="E7702" t="str">
        <f t="shared" si="1702"/>
        <v>89301102</v>
      </c>
      <c r="F7702" t="str">
        <f t="shared" si="1703"/>
        <v>1704041757</v>
      </c>
      <c r="G7702" s="1">
        <v>44789</v>
      </c>
      <c r="H7702" t="str">
        <f>"82121"</f>
        <v>82121</v>
      </c>
      <c r="I7702">
        <v>1</v>
      </c>
      <c r="J7702">
        <v>800</v>
      </c>
      <c r="K7702">
        <v>0</v>
      </c>
      <c r="L7702">
        <v>728</v>
      </c>
    </row>
    <row r="7703" spans="1:12" x14ac:dyDescent="0.25">
      <c r="A7703" t="str">
        <f t="shared" si="1696"/>
        <v>89301000</v>
      </c>
      <c r="B7703" t="str">
        <f t="shared" si="1699"/>
        <v>91866000</v>
      </c>
      <c r="C7703" t="str">
        <f t="shared" si="1700"/>
        <v>91866313</v>
      </c>
      <c r="D7703" t="str">
        <f t="shared" si="1701"/>
        <v>802</v>
      </c>
      <c r="E7703" t="str">
        <f t="shared" si="1702"/>
        <v>89301102</v>
      </c>
      <c r="F7703" t="str">
        <f t="shared" si="1703"/>
        <v>1704041757</v>
      </c>
      <c r="G7703" s="1">
        <v>44789</v>
      </c>
      <c r="H7703" t="str">
        <f>"82121"</f>
        <v>82121</v>
      </c>
      <c r="I7703">
        <v>1</v>
      </c>
      <c r="J7703">
        <v>800</v>
      </c>
      <c r="K7703">
        <v>0</v>
      </c>
      <c r="L7703">
        <v>728</v>
      </c>
    </row>
    <row r="7704" spans="1:12" x14ac:dyDescent="0.25">
      <c r="A7704" t="str">
        <f t="shared" si="1696"/>
        <v>89301000</v>
      </c>
      <c r="B7704" t="str">
        <f t="shared" si="1699"/>
        <v>91866000</v>
      </c>
      <c r="C7704" t="str">
        <f t="shared" si="1700"/>
        <v>91866313</v>
      </c>
      <c r="D7704" t="str">
        <f t="shared" si="1701"/>
        <v>802</v>
      </c>
      <c r="E7704" t="str">
        <f t="shared" si="1702"/>
        <v>89301102</v>
      </c>
      <c r="F7704" t="str">
        <f t="shared" si="1703"/>
        <v>1704041757</v>
      </c>
      <c r="G7704" s="1">
        <v>44789</v>
      </c>
      <c r="H7704" t="str">
        <f>"82121"</f>
        <v>82121</v>
      </c>
      <c r="I7704">
        <v>1</v>
      </c>
      <c r="J7704">
        <v>800</v>
      </c>
      <c r="K7704">
        <v>0</v>
      </c>
      <c r="L7704">
        <v>728</v>
      </c>
    </row>
    <row r="7705" spans="1:12" x14ac:dyDescent="0.25">
      <c r="A7705" t="str">
        <f t="shared" si="1696"/>
        <v>89301000</v>
      </c>
      <c r="B7705" t="str">
        <f t="shared" si="1699"/>
        <v>91866000</v>
      </c>
      <c r="C7705" t="str">
        <f t="shared" si="1700"/>
        <v>91866313</v>
      </c>
      <c r="D7705" t="str">
        <f t="shared" si="1701"/>
        <v>802</v>
      </c>
      <c r="E7705" t="str">
        <f t="shared" si="1702"/>
        <v>89301102</v>
      </c>
      <c r="F7705" t="str">
        <f t="shared" si="1703"/>
        <v>1704041757</v>
      </c>
      <c r="G7705" s="1">
        <v>44789</v>
      </c>
      <c r="H7705" t="str">
        <f>"82121"</f>
        <v>82121</v>
      </c>
      <c r="I7705">
        <v>1</v>
      </c>
      <c r="J7705">
        <v>800</v>
      </c>
      <c r="K7705">
        <v>0</v>
      </c>
      <c r="L7705">
        <v>728</v>
      </c>
    </row>
    <row r="7706" spans="1:12" x14ac:dyDescent="0.25">
      <c r="A7706" t="str">
        <f t="shared" si="1696"/>
        <v>89301000</v>
      </c>
      <c r="B7706" t="str">
        <f t="shared" si="1699"/>
        <v>91866000</v>
      </c>
      <c r="C7706" t="str">
        <f t="shared" si="1700"/>
        <v>91866313</v>
      </c>
      <c r="D7706" t="str">
        <f t="shared" si="1701"/>
        <v>802</v>
      </c>
      <c r="E7706" t="str">
        <f t="shared" si="1702"/>
        <v>89301102</v>
      </c>
      <c r="F7706" t="str">
        <f t="shared" si="1703"/>
        <v>1704041757</v>
      </c>
      <c r="G7706" s="1">
        <v>44789</v>
      </c>
      <c r="H7706" t="str">
        <f>"82121"</f>
        <v>82121</v>
      </c>
      <c r="I7706">
        <v>1</v>
      </c>
      <c r="J7706">
        <v>800</v>
      </c>
      <c r="K7706">
        <v>0</v>
      </c>
      <c r="L7706">
        <v>728</v>
      </c>
    </row>
    <row r="7707" spans="1:12" x14ac:dyDescent="0.25">
      <c r="A7707" t="str">
        <f t="shared" si="1696"/>
        <v>89301000</v>
      </c>
      <c r="B7707" t="str">
        <f t="shared" si="1699"/>
        <v>91866000</v>
      </c>
      <c r="C7707" t="str">
        <f t="shared" si="1700"/>
        <v>91866313</v>
      </c>
      <c r="D7707" t="str">
        <f t="shared" si="1701"/>
        <v>802</v>
      </c>
      <c r="E7707" t="str">
        <f t="shared" si="1702"/>
        <v>89301102</v>
      </c>
      <c r="F7707" t="str">
        <f t="shared" si="1703"/>
        <v>1704041757</v>
      </c>
      <c r="G7707" s="1">
        <v>44782</v>
      </c>
      <c r="H7707" t="str">
        <f>"82079"</f>
        <v>82079</v>
      </c>
      <c r="I7707">
        <v>1</v>
      </c>
      <c r="J7707">
        <v>332</v>
      </c>
      <c r="K7707">
        <v>0</v>
      </c>
      <c r="L7707">
        <v>302.12</v>
      </c>
    </row>
    <row r="7708" spans="1:12" x14ac:dyDescent="0.25">
      <c r="A7708" t="str">
        <f t="shared" si="1696"/>
        <v>89301000</v>
      </c>
      <c r="B7708" t="str">
        <f t="shared" si="1699"/>
        <v>91866000</v>
      </c>
      <c r="C7708" t="str">
        <f t="shared" si="1700"/>
        <v>91866313</v>
      </c>
      <c r="D7708" t="str">
        <f t="shared" si="1701"/>
        <v>802</v>
      </c>
      <c r="E7708" t="str">
        <f t="shared" si="1702"/>
        <v>89301102</v>
      </c>
      <c r="F7708" t="str">
        <f t="shared" si="1703"/>
        <v>1704041757</v>
      </c>
      <c r="G7708" s="1">
        <v>44789</v>
      </c>
      <c r="H7708" t="str">
        <f>"82121"</f>
        <v>82121</v>
      </c>
      <c r="I7708">
        <v>1</v>
      </c>
      <c r="J7708">
        <v>800</v>
      </c>
      <c r="K7708">
        <v>0</v>
      </c>
      <c r="L7708">
        <v>728</v>
      </c>
    </row>
    <row r="7709" spans="1:12" x14ac:dyDescent="0.25">
      <c r="A7709" t="str">
        <f t="shared" si="1696"/>
        <v>89301000</v>
      </c>
      <c r="B7709" t="str">
        <f t="shared" si="1699"/>
        <v>91866000</v>
      </c>
      <c r="C7709" t="str">
        <f t="shared" si="1700"/>
        <v>91866313</v>
      </c>
      <c r="D7709" t="str">
        <f t="shared" si="1701"/>
        <v>802</v>
      </c>
      <c r="E7709" t="str">
        <f>"89301704"</f>
        <v>89301704</v>
      </c>
      <c r="F7709" t="str">
        <f>"1310051204"</f>
        <v>1310051204</v>
      </c>
      <c r="G7709" s="1">
        <v>44798</v>
      </c>
      <c r="H7709" t="str">
        <f>"82113"</f>
        <v>82113</v>
      </c>
      <c r="I7709">
        <v>2</v>
      </c>
      <c r="J7709">
        <v>724</v>
      </c>
      <c r="K7709">
        <v>0</v>
      </c>
      <c r="L7709">
        <v>658.84</v>
      </c>
    </row>
    <row r="7710" spans="1:12" x14ac:dyDescent="0.25">
      <c r="A7710" t="str">
        <f t="shared" si="1696"/>
        <v>89301000</v>
      </c>
      <c r="B7710" t="str">
        <f t="shared" si="1699"/>
        <v>91866000</v>
      </c>
      <c r="C7710" t="str">
        <f t="shared" si="1700"/>
        <v>91866313</v>
      </c>
      <c r="D7710" t="str">
        <f t="shared" si="1701"/>
        <v>802</v>
      </c>
      <c r="E7710" t="str">
        <f>"89301704"</f>
        <v>89301704</v>
      </c>
      <c r="F7710" t="str">
        <f>"1310051204"</f>
        <v>1310051204</v>
      </c>
      <c r="G7710" s="1">
        <v>44797</v>
      </c>
      <c r="H7710" t="str">
        <f>"82113"</f>
        <v>82113</v>
      </c>
      <c r="I7710">
        <v>2</v>
      </c>
      <c r="J7710">
        <v>724</v>
      </c>
      <c r="K7710">
        <v>0</v>
      </c>
      <c r="L7710">
        <v>658.84</v>
      </c>
    </row>
    <row r="7711" spans="1:12" x14ac:dyDescent="0.25">
      <c r="A7711" t="str">
        <f t="shared" si="1696"/>
        <v>89301000</v>
      </c>
      <c r="B7711" t="str">
        <f t="shared" ref="B7711:C7730" si="1704">"89063000"</f>
        <v>89063000</v>
      </c>
      <c r="C7711" t="str">
        <f t="shared" si="1704"/>
        <v>89063000</v>
      </c>
      <c r="D7711" t="str">
        <f t="shared" ref="D7711:D7742" si="1705">"809"</f>
        <v>809</v>
      </c>
      <c r="E7711" t="str">
        <f>"89301215"</f>
        <v>89301215</v>
      </c>
      <c r="F7711" t="str">
        <f>"6205201365"</f>
        <v>6205201365</v>
      </c>
      <c r="G7711" s="1">
        <v>44776</v>
      </c>
      <c r="H7711" t="str">
        <f t="shared" ref="H7711:H7751" si="1706">"89312"</f>
        <v>89312</v>
      </c>
      <c r="I7711">
        <v>3</v>
      </c>
      <c r="J7711">
        <v>906</v>
      </c>
      <c r="K7711">
        <v>0</v>
      </c>
      <c r="L7711">
        <v>951.3</v>
      </c>
    </row>
    <row r="7712" spans="1:12" x14ac:dyDescent="0.25">
      <c r="A7712" t="str">
        <f t="shared" si="1696"/>
        <v>89301000</v>
      </c>
      <c r="B7712" t="str">
        <f t="shared" si="1704"/>
        <v>89063000</v>
      </c>
      <c r="C7712" t="str">
        <f t="shared" si="1704"/>
        <v>89063000</v>
      </c>
      <c r="D7712" t="str">
        <f t="shared" si="1705"/>
        <v>809</v>
      </c>
      <c r="E7712" t="str">
        <f>"89301032"</f>
        <v>89301032</v>
      </c>
      <c r="F7712" t="str">
        <f>"9155025704"</f>
        <v>9155025704</v>
      </c>
      <c r="G7712" s="1">
        <v>44776</v>
      </c>
      <c r="H7712" t="str">
        <f t="shared" si="1706"/>
        <v>89312</v>
      </c>
      <c r="I7712">
        <v>3</v>
      </c>
      <c r="J7712">
        <v>906</v>
      </c>
      <c r="K7712">
        <v>0</v>
      </c>
      <c r="L7712">
        <v>951.3</v>
      </c>
    </row>
    <row r="7713" spans="1:12" x14ac:dyDescent="0.25">
      <c r="A7713" t="str">
        <f t="shared" si="1696"/>
        <v>89301000</v>
      </c>
      <c r="B7713" t="str">
        <f t="shared" si="1704"/>
        <v>89063000</v>
      </c>
      <c r="C7713" t="str">
        <f t="shared" si="1704"/>
        <v>89063000</v>
      </c>
      <c r="D7713" t="str">
        <f t="shared" si="1705"/>
        <v>809</v>
      </c>
      <c r="E7713" t="str">
        <f>"89301031"</f>
        <v>89301031</v>
      </c>
      <c r="F7713" t="str">
        <f>"535722053"</f>
        <v>535722053</v>
      </c>
      <c r="G7713" s="1">
        <v>44777</v>
      </c>
      <c r="H7713" t="str">
        <f t="shared" si="1706"/>
        <v>89312</v>
      </c>
      <c r="I7713">
        <v>3</v>
      </c>
      <c r="J7713">
        <v>906</v>
      </c>
      <c r="K7713">
        <v>0</v>
      </c>
      <c r="L7713">
        <v>951.3</v>
      </c>
    </row>
    <row r="7714" spans="1:12" x14ac:dyDescent="0.25">
      <c r="A7714" t="str">
        <f t="shared" si="1696"/>
        <v>89301000</v>
      </c>
      <c r="B7714" t="str">
        <f t="shared" si="1704"/>
        <v>89063000</v>
      </c>
      <c r="C7714" t="str">
        <f t="shared" si="1704"/>
        <v>89063000</v>
      </c>
      <c r="D7714" t="str">
        <f t="shared" si="1705"/>
        <v>809</v>
      </c>
      <c r="E7714" t="str">
        <f>"89301036"</f>
        <v>89301036</v>
      </c>
      <c r="F7714" t="str">
        <f>"7354205771"</f>
        <v>7354205771</v>
      </c>
      <c r="G7714" s="1">
        <v>44777</v>
      </c>
      <c r="H7714" t="str">
        <f t="shared" si="1706"/>
        <v>89312</v>
      </c>
      <c r="I7714">
        <v>3</v>
      </c>
      <c r="J7714">
        <v>906</v>
      </c>
      <c r="K7714">
        <v>0</v>
      </c>
      <c r="L7714">
        <v>951.3</v>
      </c>
    </row>
    <row r="7715" spans="1:12" x14ac:dyDescent="0.25">
      <c r="A7715" t="str">
        <f t="shared" si="1696"/>
        <v>89301000</v>
      </c>
      <c r="B7715" t="str">
        <f t="shared" si="1704"/>
        <v>89063000</v>
      </c>
      <c r="C7715" t="str">
        <f t="shared" si="1704"/>
        <v>89063000</v>
      </c>
      <c r="D7715" t="str">
        <f t="shared" si="1705"/>
        <v>809</v>
      </c>
      <c r="E7715" t="str">
        <f>"89301212"</f>
        <v>89301212</v>
      </c>
      <c r="F7715" t="str">
        <f>"7556305350"</f>
        <v>7556305350</v>
      </c>
      <c r="G7715" s="1">
        <v>44778</v>
      </c>
      <c r="H7715" t="str">
        <f t="shared" si="1706"/>
        <v>89312</v>
      </c>
      <c r="I7715">
        <v>3</v>
      </c>
      <c r="J7715">
        <v>906</v>
      </c>
      <c r="K7715">
        <v>0</v>
      </c>
      <c r="L7715">
        <v>951.3</v>
      </c>
    </row>
    <row r="7716" spans="1:12" x14ac:dyDescent="0.25">
      <c r="A7716" t="str">
        <f t="shared" si="1696"/>
        <v>89301000</v>
      </c>
      <c r="B7716" t="str">
        <f t="shared" si="1704"/>
        <v>89063000</v>
      </c>
      <c r="C7716" t="str">
        <f t="shared" si="1704"/>
        <v>89063000</v>
      </c>
      <c r="D7716" t="str">
        <f t="shared" si="1705"/>
        <v>809</v>
      </c>
      <c r="E7716" t="str">
        <f>"89301082"</f>
        <v>89301082</v>
      </c>
      <c r="F7716" t="str">
        <f>"5754200881"</f>
        <v>5754200881</v>
      </c>
      <c r="G7716" s="1">
        <v>44778</v>
      </c>
      <c r="H7716" t="str">
        <f t="shared" si="1706"/>
        <v>89312</v>
      </c>
      <c r="I7716">
        <v>3</v>
      </c>
      <c r="J7716">
        <v>906</v>
      </c>
      <c r="K7716">
        <v>0</v>
      </c>
      <c r="L7716">
        <v>951.3</v>
      </c>
    </row>
    <row r="7717" spans="1:12" x14ac:dyDescent="0.25">
      <c r="A7717" t="str">
        <f t="shared" si="1696"/>
        <v>89301000</v>
      </c>
      <c r="B7717" t="str">
        <f t="shared" si="1704"/>
        <v>89063000</v>
      </c>
      <c r="C7717" t="str">
        <f t="shared" si="1704"/>
        <v>89063000</v>
      </c>
      <c r="D7717" t="str">
        <f t="shared" si="1705"/>
        <v>809</v>
      </c>
      <c r="E7717" t="str">
        <f>"89301037"</f>
        <v>89301037</v>
      </c>
      <c r="F7717" t="str">
        <f>"535901171"</f>
        <v>535901171</v>
      </c>
      <c r="G7717" s="1">
        <v>44781</v>
      </c>
      <c r="H7717" t="str">
        <f t="shared" si="1706"/>
        <v>89312</v>
      </c>
      <c r="I7717">
        <v>3</v>
      </c>
      <c r="J7717">
        <v>906</v>
      </c>
      <c r="K7717">
        <v>0</v>
      </c>
      <c r="L7717">
        <v>951.3</v>
      </c>
    </row>
    <row r="7718" spans="1:12" x14ac:dyDescent="0.25">
      <c r="A7718" t="str">
        <f t="shared" si="1696"/>
        <v>89301000</v>
      </c>
      <c r="B7718" t="str">
        <f t="shared" si="1704"/>
        <v>89063000</v>
      </c>
      <c r="C7718" t="str">
        <f t="shared" si="1704"/>
        <v>89063000</v>
      </c>
      <c r="D7718" t="str">
        <f t="shared" si="1705"/>
        <v>809</v>
      </c>
      <c r="E7718" t="str">
        <f>"89301037"</f>
        <v>89301037</v>
      </c>
      <c r="F7718" t="str">
        <f>"515419050"</f>
        <v>515419050</v>
      </c>
      <c r="G7718" s="1">
        <v>44782</v>
      </c>
      <c r="H7718" t="str">
        <f t="shared" si="1706"/>
        <v>89312</v>
      </c>
      <c r="I7718">
        <v>3</v>
      </c>
      <c r="J7718">
        <v>906</v>
      </c>
      <c r="K7718">
        <v>0</v>
      </c>
      <c r="L7718">
        <v>951.3</v>
      </c>
    </row>
    <row r="7719" spans="1:12" x14ac:dyDescent="0.25">
      <c r="A7719" t="str">
        <f t="shared" si="1696"/>
        <v>89301000</v>
      </c>
      <c r="B7719" t="str">
        <f t="shared" si="1704"/>
        <v>89063000</v>
      </c>
      <c r="C7719" t="str">
        <f t="shared" si="1704"/>
        <v>89063000</v>
      </c>
      <c r="D7719" t="str">
        <f t="shared" si="1705"/>
        <v>809</v>
      </c>
      <c r="E7719" t="str">
        <f>"89301102"</f>
        <v>89301102</v>
      </c>
      <c r="F7719" t="str">
        <f>"0309196195"</f>
        <v>0309196195</v>
      </c>
      <c r="G7719" s="1">
        <v>44782</v>
      </c>
      <c r="H7719" t="str">
        <f t="shared" si="1706"/>
        <v>89312</v>
      </c>
      <c r="I7719">
        <v>1</v>
      </c>
      <c r="J7719">
        <v>302</v>
      </c>
      <c r="K7719">
        <v>0</v>
      </c>
      <c r="L7719">
        <v>317.10000000000002</v>
      </c>
    </row>
    <row r="7720" spans="1:12" x14ac:dyDescent="0.25">
      <c r="A7720" t="str">
        <f t="shared" si="1696"/>
        <v>89301000</v>
      </c>
      <c r="B7720" t="str">
        <f t="shared" si="1704"/>
        <v>89063000</v>
      </c>
      <c r="C7720" t="str">
        <f t="shared" si="1704"/>
        <v>89063000</v>
      </c>
      <c r="D7720" t="str">
        <f t="shared" si="1705"/>
        <v>809</v>
      </c>
      <c r="E7720" t="str">
        <f>"89301037"</f>
        <v>89301037</v>
      </c>
      <c r="F7720" t="str">
        <f>"5458022911"</f>
        <v>5458022911</v>
      </c>
      <c r="G7720" s="1">
        <v>44783</v>
      </c>
      <c r="H7720" t="str">
        <f t="shared" si="1706"/>
        <v>89312</v>
      </c>
      <c r="I7720">
        <v>3</v>
      </c>
      <c r="J7720">
        <v>906</v>
      </c>
      <c r="K7720">
        <v>0</v>
      </c>
      <c r="L7720">
        <v>951.3</v>
      </c>
    </row>
    <row r="7721" spans="1:12" x14ac:dyDescent="0.25">
      <c r="A7721" t="str">
        <f t="shared" si="1696"/>
        <v>89301000</v>
      </c>
      <c r="B7721" t="str">
        <f t="shared" si="1704"/>
        <v>89063000</v>
      </c>
      <c r="C7721" t="str">
        <f t="shared" si="1704"/>
        <v>89063000</v>
      </c>
      <c r="D7721" t="str">
        <f t="shared" si="1705"/>
        <v>809</v>
      </c>
      <c r="E7721" t="str">
        <f>"89301037"</f>
        <v>89301037</v>
      </c>
      <c r="F7721" t="str">
        <f>"5709230769"</f>
        <v>5709230769</v>
      </c>
      <c r="G7721" s="1">
        <v>44783</v>
      </c>
      <c r="H7721" t="str">
        <f t="shared" si="1706"/>
        <v>89312</v>
      </c>
      <c r="I7721">
        <v>3</v>
      </c>
      <c r="J7721">
        <v>906</v>
      </c>
      <c r="K7721">
        <v>0</v>
      </c>
      <c r="L7721">
        <v>951.3</v>
      </c>
    </row>
    <row r="7722" spans="1:12" x14ac:dyDescent="0.25">
      <c r="A7722" t="str">
        <f t="shared" si="1696"/>
        <v>89301000</v>
      </c>
      <c r="B7722" t="str">
        <f t="shared" si="1704"/>
        <v>89063000</v>
      </c>
      <c r="C7722" t="str">
        <f t="shared" si="1704"/>
        <v>89063000</v>
      </c>
      <c r="D7722" t="str">
        <f t="shared" si="1705"/>
        <v>809</v>
      </c>
      <c r="E7722" t="str">
        <f>"89301212"</f>
        <v>89301212</v>
      </c>
      <c r="F7722" t="str">
        <f>"5756301947"</f>
        <v>5756301947</v>
      </c>
      <c r="G7722" s="1">
        <v>44783</v>
      </c>
      <c r="H7722" t="str">
        <f t="shared" si="1706"/>
        <v>89312</v>
      </c>
      <c r="I7722">
        <v>3</v>
      </c>
      <c r="J7722">
        <v>906</v>
      </c>
      <c r="K7722">
        <v>0</v>
      </c>
      <c r="L7722">
        <v>951.3</v>
      </c>
    </row>
    <row r="7723" spans="1:12" x14ac:dyDescent="0.25">
      <c r="A7723" t="str">
        <f t="shared" si="1696"/>
        <v>89301000</v>
      </c>
      <c r="B7723" t="str">
        <f t="shared" si="1704"/>
        <v>89063000</v>
      </c>
      <c r="C7723" t="str">
        <f t="shared" si="1704"/>
        <v>89063000</v>
      </c>
      <c r="D7723" t="str">
        <f t="shared" si="1705"/>
        <v>809</v>
      </c>
      <c r="E7723" t="str">
        <f>"89301037"</f>
        <v>89301037</v>
      </c>
      <c r="F7723" t="str">
        <f>"6210220819"</f>
        <v>6210220819</v>
      </c>
      <c r="G7723" s="1">
        <v>44785</v>
      </c>
      <c r="H7723" t="str">
        <f t="shared" si="1706"/>
        <v>89312</v>
      </c>
      <c r="I7723">
        <v>3</v>
      </c>
      <c r="J7723">
        <v>906</v>
      </c>
      <c r="K7723">
        <v>0</v>
      </c>
      <c r="L7723">
        <v>951.3</v>
      </c>
    </row>
    <row r="7724" spans="1:12" x14ac:dyDescent="0.25">
      <c r="A7724" t="str">
        <f t="shared" si="1696"/>
        <v>89301000</v>
      </c>
      <c r="B7724" t="str">
        <f t="shared" si="1704"/>
        <v>89063000</v>
      </c>
      <c r="C7724" t="str">
        <f t="shared" si="1704"/>
        <v>89063000</v>
      </c>
      <c r="D7724" t="str">
        <f t="shared" si="1705"/>
        <v>809</v>
      </c>
      <c r="E7724" t="str">
        <f>"89301162"</f>
        <v>89301162</v>
      </c>
      <c r="F7724" t="str">
        <f>"6005210673"</f>
        <v>6005210673</v>
      </c>
      <c r="G7724" s="1">
        <v>44785</v>
      </c>
      <c r="H7724" t="str">
        <f t="shared" si="1706"/>
        <v>89312</v>
      </c>
      <c r="I7724">
        <v>3</v>
      </c>
      <c r="J7724">
        <v>906</v>
      </c>
      <c r="K7724">
        <v>0</v>
      </c>
      <c r="L7724">
        <v>951.3</v>
      </c>
    </row>
    <row r="7725" spans="1:12" x14ac:dyDescent="0.25">
      <c r="A7725" t="str">
        <f t="shared" si="1696"/>
        <v>89301000</v>
      </c>
      <c r="B7725" t="str">
        <f t="shared" si="1704"/>
        <v>89063000</v>
      </c>
      <c r="C7725" t="str">
        <f t="shared" si="1704"/>
        <v>89063000</v>
      </c>
      <c r="D7725" t="str">
        <f t="shared" si="1705"/>
        <v>809</v>
      </c>
      <c r="E7725" t="str">
        <f>"89301037"</f>
        <v>89301037</v>
      </c>
      <c r="F7725" t="str">
        <f>"9207155727"</f>
        <v>9207155727</v>
      </c>
      <c r="G7725" s="1">
        <v>44788</v>
      </c>
      <c r="H7725" t="str">
        <f t="shared" si="1706"/>
        <v>89312</v>
      </c>
      <c r="I7725">
        <v>3</v>
      </c>
      <c r="J7725">
        <v>906</v>
      </c>
      <c r="K7725">
        <v>0</v>
      </c>
      <c r="L7725">
        <v>951.3</v>
      </c>
    </row>
    <row r="7726" spans="1:12" x14ac:dyDescent="0.25">
      <c r="A7726" t="str">
        <f t="shared" si="1696"/>
        <v>89301000</v>
      </c>
      <c r="B7726" t="str">
        <f t="shared" si="1704"/>
        <v>89063000</v>
      </c>
      <c r="C7726" t="str">
        <f t="shared" si="1704"/>
        <v>89063000</v>
      </c>
      <c r="D7726" t="str">
        <f t="shared" si="1705"/>
        <v>809</v>
      </c>
      <c r="E7726" t="str">
        <f>"89301037"</f>
        <v>89301037</v>
      </c>
      <c r="F7726" t="str">
        <f>"6554172042"</f>
        <v>6554172042</v>
      </c>
      <c r="G7726" s="1">
        <v>44789</v>
      </c>
      <c r="H7726" t="str">
        <f t="shared" si="1706"/>
        <v>89312</v>
      </c>
      <c r="I7726">
        <v>3</v>
      </c>
      <c r="J7726">
        <v>906</v>
      </c>
      <c r="K7726">
        <v>0</v>
      </c>
      <c r="L7726">
        <v>951.3</v>
      </c>
    </row>
    <row r="7727" spans="1:12" x14ac:dyDescent="0.25">
      <c r="A7727" t="str">
        <f t="shared" si="1696"/>
        <v>89301000</v>
      </c>
      <c r="B7727" t="str">
        <f t="shared" si="1704"/>
        <v>89063000</v>
      </c>
      <c r="C7727" t="str">
        <f t="shared" si="1704"/>
        <v>89063000</v>
      </c>
      <c r="D7727" t="str">
        <f t="shared" si="1705"/>
        <v>809</v>
      </c>
      <c r="E7727" t="str">
        <f>"89301703"</f>
        <v>89301703</v>
      </c>
      <c r="F7727" t="str">
        <f>"0660116083"</f>
        <v>0660116083</v>
      </c>
      <c r="G7727" s="1">
        <v>44789</v>
      </c>
      <c r="H7727" t="str">
        <f t="shared" si="1706"/>
        <v>89312</v>
      </c>
      <c r="I7727">
        <v>1</v>
      </c>
      <c r="J7727">
        <v>302</v>
      </c>
      <c r="K7727">
        <v>0</v>
      </c>
      <c r="L7727">
        <v>317.10000000000002</v>
      </c>
    </row>
    <row r="7728" spans="1:12" x14ac:dyDescent="0.25">
      <c r="A7728" t="str">
        <f t="shared" si="1696"/>
        <v>89301000</v>
      </c>
      <c r="B7728" t="str">
        <f t="shared" si="1704"/>
        <v>89063000</v>
      </c>
      <c r="C7728" t="str">
        <f t="shared" si="1704"/>
        <v>89063000</v>
      </c>
      <c r="D7728" t="str">
        <f t="shared" si="1705"/>
        <v>809</v>
      </c>
      <c r="E7728" t="str">
        <f>"89301212"</f>
        <v>89301212</v>
      </c>
      <c r="F7728" t="str">
        <f>"425214491"</f>
        <v>425214491</v>
      </c>
      <c r="G7728" s="1">
        <v>44790</v>
      </c>
      <c r="H7728" t="str">
        <f t="shared" si="1706"/>
        <v>89312</v>
      </c>
      <c r="I7728">
        <v>3</v>
      </c>
      <c r="J7728">
        <v>906</v>
      </c>
      <c r="K7728">
        <v>0</v>
      </c>
      <c r="L7728">
        <v>951.3</v>
      </c>
    </row>
    <row r="7729" spans="1:12" x14ac:dyDescent="0.25">
      <c r="A7729" t="str">
        <f t="shared" si="1696"/>
        <v>89301000</v>
      </c>
      <c r="B7729" t="str">
        <f t="shared" si="1704"/>
        <v>89063000</v>
      </c>
      <c r="C7729" t="str">
        <f t="shared" si="1704"/>
        <v>89063000</v>
      </c>
      <c r="D7729" t="str">
        <f t="shared" si="1705"/>
        <v>809</v>
      </c>
      <c r="E7729" t="str">
        <f>"89301037"</f>
        <v>89301037</v>
      </c>
      <c r="F7729" t="str">
        <f>"476014475"</f>
        <v>476014475</v>
      </c>
      <c r="G7729" s="1">
        <v>44790</v>
      </c>
      <c r="H7729" t="str">
        <f t="shared" si="1706"/>
        <v>89312</v>
      </c>
      <c r="I7729">
        <v>3</v>
      </c>
      <c r="J7729">
        <v>906</v>
      </c>
      <c r="K7729">
        <v>0</v>
      </c>
      <c r="L7729">
        <v>951.3</v>
      </c>
    </row>
    <row r="7730" spans="1:12" x14ac:dyDescent="0.25">
      <c r="A7730" t="str">
        <f t="shared" si="1696"/>
        <v>89301000</v>
      </c>
      <c r="B7730" t="str">
        <f t="shared" si="1704"/>
        <v>89063000</v>
      </c>
      <c r="C7730" t="str">
        <f t="shared" si="1704"/>
        <v>89063000</v>
      </c>
      <c r="D7730" t="str">
        <f t="shared" si="1705"/>
        <v>809</v>
      </c>
      <c r="E7730" t="str">
        <f>"89301037"</f>
        <v>89301037</v>
      </c>
      <c r="F7730" t="str">
        <f>"516213295"</f>
        <v>516213295</v>
      </c>
      <c r="G7730" s="1">
        <v>44790</v>
      </c>
      <c r="H7730" t="str">
        <f t="shared" si="1706"/>
        <v>89312</v>
      </c>
      <c r="I7730">
        <v>3</v>
      </c>
      <c r="J7730">
        <v>906</v>
      </c>
      <c r="K7730">
        <v>0</v>
      </c>
      <c r="L7730">
        <v>951.3</v>
      </c>
    </row>
    <row r="7731" spans="1:12" x14ac:dyDescent="0.25">
      <c r="A7731" t="str">
        <f t="shared" si="1696"/>
        <v>89301000</v>
      </c>
      <c r="B7731" t="str">
        <f t="shared" ref="B7731:C7751" si="1707">"89063000"</f>
        <v>89063000</v>
      </c>
      <c r="C7731" t="str">
        <f t="shared" si="1707"/>
        <v>89063000</v>
      </c>
      <c r="D7731" t="str">
        <f t="shared" si="1705"/>
        <v>809</v>
      </c>
      <c r="E7731" t="str">
        <f>"89301036"</f>
        <v>89301036</v>
      </c>
      <c r="F7731" t="str">
        <f>"7654042858"</f>
        <v>7654042858</v>
      </c>
      <c r="G7731" s="1">
        <v>44790</v>
      </c>
      <c r="H7731" t="str">
        <f t="shared" si="1706"/>
        <v>89312</v>
      </c>
      <c r="I7731">
        <v>3</v>
      </c>
      <c r="J7731">
        <v>906</v>
      </c>
      <c r="K7731">
        <v>0</v>
      </c>
      <c r="L7731">
        <v>951.3</v>
      </c>
    </row>
    <row r="7732" spans="1:12" x14ac:dyDescent="0.25">
      <c r="A7732" t="str">
        <f t="shared" si="1696"/>
        <v>89301000</v>
      </c>
      <c r="B7732" t="str">
        <f t="shared" si="1707"/>
        <v>89063000</v>
      </c>
      <c r="C7732" t="str">
        <f t="shared" si="1707"/>
        <v>89063000</v>
      </c>
      <c r="D7732" t="str">
        <f t="shared" si="1705"/>
        <v>809</v>
      </c>
      <c r="E7732" t="str">
        <f>"89301037"</f>
        <v>89301037</v>
      </c>
      <c r="F7732" t="str">
        <f>"6055250355"</f>
        <v>6055250355</v>
      </c>
      <c r="G7732" s="1">
        <v>44791</v>
      </c>
      <c r="H7732" t="str">
        <f t="shared" si="1706"/>
        <v>89312</v>
      </c>
      <c r="I7732">
        <v>3</v>
      </c>
      <c r="J7732">
        <v>906</v>
      </c>
      <c r="K7732">
        <v>0</v>
      </c>
      <c r="L7732">
        <v>951.3</v>
      </c>
    </row>
    <row r="7733" spans="1:12" x14ac:dyDescent="0.25">
      <c r="A7733" t="str">
        <f t="shared" si="1696"/>
        <v>89301000</v>
      </c>
      <c r="B7733" t="str">
        <f t="shared" si="1707"/>
        <v>89063000</v>
      </c>
      <c r="C7733" t="str">
        <f t="shared" si="1707"/>
        <v>89063000</v>
      </c>
      <c r="D7733" t="str">
        <f t="shared" si="1705"/>
        <v>809</v>
      </c>
      <c r="E7733" t="str">
        <f>"89301215"</f>
        <v>89301215</v>
      </c>
      <c r="F7733" t="str">
        <f>"6551121709"</f>
        <v>6551121709</v>
      </c>
      <c r="G7733" s="1">
        <v>44791</v>
      </c>
      <c r="H7733" t="str">
        <f t="shared" si="1706"/>
        <v>89312</v>
      </c>
      <c r="I7733">
        <v>3</v>
      </c>
      <c r="J7733">
        <v>906</v>
      </c>
      <c r="K7733">
        <v>0</v>
      </c>
      <c r="L7733">
        <v>951.3</v>
      </c>
    </row>
    <row r="7734" spans="1:12" x14ac:dyDescent="0.25">
      <c r="A7734" t="str">
        <f t="shared" si="1696"/>
        <v>89301000</v>
      </c>
      <c r="B7734" t="str">
        <f t="shared" si="1707"/>
        <v>89063000</v>
      </c>
      <c r="C7734" t="str">
        <f t="shared" si="1707"/>
        <v>89063000</v>
      </c>
      <c r="D7734" t="str">
        <f t="shared" si="1705"/>
        <v>809</v>
      </c>
      <c r="E7734" t="str">
        <f>"89301037"</f>
        <v>89301037</v>
      </c>
      <c r="F7734" t="str">
        <f>"505629071"</f>
        <v>505629071</v>
      </c>
      <c r="G7734" s="1">
        <v>44795</v>
      </c>
      <c r="H7734" t="str">
        <f t="shared" si="1706"/>
        <v>89312</v>
      </c>
      <c r="I7734">
        <v>3</v>
      </c>
      <c r="J7734">
        <v>906</v>
      </c>
      <c r="K7734">
        <v>0</v>
      </c>
      <c r="L7734">
        <v>951.3</v>
      </c>
    </row>
    <row r="7735" spans="1:12" x14ac:dyDescent="0.25">
      <c r="A7735" t="str">
        <f t="shared" si="1696"/>
        <v>89301000</v>
      </c>
      <c r="B7735" t="str">
        <f t="shared" si="1707"/>
        <v>89063000</v>
      </c>
      <c r="C7735" t="str">
        <f t="shared" si="1707"/>
        <v>89063000</v>
      </c>
      <c r="D7735" t="str">
        <f t="shared" si="1705"/>
        <v>809</v>
      </c>
      <c r="E7735" t="str">
        <f>"89301036"</f>
        <v>89301036</v>
      </c>
      <c r="F7735" t="str">
        <f>"7152275328"</f>
        <v>7152275328</v>
      </c>
      <c r="G7735" s="1">
        <v>44795</v>
      </c>
      <c r="H7735" t="str">
        <f t="shared" si="1706"/>
        <v>89312</v>
      </c>
      <c r="I7735">
        <v>3</v>
      </c>
      <c r="J7735">
        <v>906</v>
      </c>
      <c r="K7735">
        <v>0</v>
      </c>
      <c r="L7735">
        <v>951.3</v>
      </c>
    </row>
    <row r="7736" spans="1:12" x14ac:dyDescent="0.25">
      <c r="A7736" t="str">
        <f t="shared" si="1696"/>
        <v>89301000</v>
      </c>
      <c r="B7736" t="str">
        <f t="shared" si="1707"/>
        <v>89063000</v>
      </c>
      <c r="C7736" t="str">
        <f t="shared" si="1707"/>
        <v>89063000</v>
      </c>
      <c r="D7736" t="str">
        <f t="shared" si="1705"/>
        <v>809</v>
      </c>
      <c r="E7736" t="str">
        <f>"89301037"</f>
        <v>89301037</v>
      </c>
      <c r="F7736" t="str">
        <f>"6460311308"</f>
        <v>6460311308</v>
      </c>
      <c r="G7736" s="1">
        <v>44797</v>
      </c>
      <c r="H7736" t="str">
        <f t="shared" si="1706"/>
        <v>89312</v>
      </c>
      <c r="I7736">
        <v>3</v>
      </c>
      <c r="J7736">
        <v>906</v>
      </c>
      <c r="K7736">
        <v>0</v>
      </c>
      <c r="L7736">
        <v>951.3</v>
      </c>
    </row>
    <row r="7737" spans="1:12" x14ac:dyDescent="0.25">
      <c r="A7737" t="str">
        <f t="shared" si="1696"/>
        <v>89301000</v>
      </c>
      <c r="B7737" t="str">
        <f t="shared" si="1707"/>
        <v>89063000</v>
      </c>
      <c r="C7737" t="str">
        <f t="shared" si="1707"/>
        <v>89063000</v>
      </c>
      <c r="D7737" t="str">
        <f t="shared" si="1705"/>
        <v>809</v>
      </c>
      <c r="E7737" t="str">
        <f>"89301037"</f>
        <v>89301037</v>
      </c>
      <c r="F7737" t="str">
        <f>"505705045"</f>
        <v>505705045</v>
      </c>
      <c r="G7737" s="1">
        <v>44798</v>
      </c>
      <c r="H7737" t="str">
        <f t="shared" si="1706"/>
        <v>89312</v>
      </c>
      <c r="I7737">
        <v>3</v>
      </c>
      <c r="J7737">
        <v>906</v>
      </c>
      <c r="K7737">
        <v>0</v>
      </c>
      <c r="L7737">
        <v>951.3</v>
      </c>
    </row>
    <row r="7738" spans="1:12" x14ac:dyDescent="0.25">
      <c r="A7738" t="str">
        <f t="shared" si="1696"/>
        <v>89301000</v>
      </c>
      <c r="B7738" t="str">
        <f t="shared" si="1707"/>
        <v>89063000</v>
      </c>
      <c r="C7738" t="str">
        <f t="shared" si="1707"/>
        <v>89063000</v>
      </c>
      <c r="D7738" t="str">
        <f t="shared" si="1705"/>
        <v>809</v>
      </c>
      <c r="E7738" t="str">
        <f>"89301212"</f>
        <v>89301212</v>
      </c>
      <c r="F7738" t="str">
        <f>"485805409"</f>
        <v>485805409</v>
      </c>
      <c r="G7738" s="1">
        <v>44798</v>
      </c>
      <c r="H7738" t="str">
        <f t="shared" si="1706"/>
        <v>89312</v>
      </c>
      <c r="I7738">
        <v>3</v>
      </c>
      <c r="J7738">
        <v>906</v>
      </c>
      <c r="K7738">
        <v>0</v>
      </c>
      <c r="L7738">
        <v>951.3</v>
      </c>
    </row>
    <row r="7739" spans="1:12" x14ac:dyDescent="0.25">
      <c r="A7739" t="str">
        <f t="shared" si="1696"/>
        <v>89301000</v>
      </c>
      <c r="B7739" t="str">
        <f t="shared" si="1707"/>
        <v>89063000</v>
      </c>
      <c r="C7739" t="str">
        <f t="shared" si="1707"/>
        <v>89063000</v>
      </c>
      <c r="D7739" t="str">
        <f t="shared" si="1705"/>
        <v>809</v>
      </c>
      <c r="E7739" t="str">
        <f>"89301037"</f>
        <v>89301037</v>
      </c>
      <c r="F7739" t="str">
        <f>"7404185360"</f>
        <v>7404185360</v>
      </c>
      <c r="G7739" s="1">
        <v>44799</v>
      </c>
      <c r="H7739" t="str">
        <f t="shared" si="1706"/>
        <v>89312</v>
      </c>
      <c r="I7739">
        <v>3</v>
      </c>
      <c r="J7739">
        <v>906</v>
      </c>
      <c r="K7739">
        <v>0</v>
      </c>
      <c r="L7739">
        <v>951.3</v>
      </c>
    </row>
    <row r="7740" spans="1:12" x14ac:dyDescent="0.25">
      <c r="A7740" t="str">
        <f t="shared" si="1696"/>
        <v>89301000</v>
      </c>
      <c r="B7740" t="str">
        <f t="shared" si="1707"/>
        <v>89063000</v>
      </c>
      <c r="C7740" t="str">
        <f t="shared" si="1707"/>
        <v>89063000</v>
      </c>
      <c r="D7740" t="str">
        <f t="shared" si="1705"/>
        <v>809</v>
      </c>
      <c r="E7740" t="str">
        <f>"89301037"</f>
        <v>89301037</v>
      </c>
      <c r="F7740" t="str">
        <f>"9202025712"</f>
        <v>9202025712</v>
      </c>
      <c r="G7740" s="1">
        <v>44799</v>
      </c>
      <c r="H7740" t="str">
        <f t="shared" si="1706"/>
        <v>89312</v>
      </c>
      <c r="I7740">
        <v>3</v>
      </c>
      <c r="J7740">
        <v>906</v>
      </c>
      <c r="K7740">
        <v>0</v>
      </c>
      <c r="L7740">
        <v>951.3</v>
      </c>
    </row>
    <row r="7741" spans="1:12" x14ac:dyDescent="0.25">
      <c r="A7741" t="str">
        <f t="shared" si="1696"/>
        <v>89301000</v>
      </c>
      <c r="B7741" t="str">
        <f t="shared" si="1707"/>
        <v>89063000</v>
      </c>
      <c r="C7741" t="str">
        <f t="shared" si="1707"/>
        <v>89063000</v>
      </c>
      <c r="D7741" t="str">
        <f t="shared" si="1705"/>
        <v>809</v>
      </c>
      <c r="E7741" t="str">
        <f>"89301702"</f>
        <v>89301702</v>
      </c>
      <c r="F7741" t="str">
        <f>"1059161290"</f>
        <v>1059161290</v>
      </c>
      <c r="G7741" s="1">
        <v>44799</v>
      </c>
      <c r="H7741" t="str">
        <f t="shared" si="1706"/>
        <v>89312</v>
      </c>
      <c r="I7741">
        <v>1</v>
      </c>
      <c r="J7741">
        <v>302</v>
      </c>
      <c r="K7741">
        <v>0</v>
      </c>
      <c r="L7741">
        <v>317.10000000000002</v>
      </c>
    </row>
    <row r="7742" spans="1:12" x14ac:dyDescent="0.25">
      <c r="A7742" t="str">
        <f t="shared" si="1696"/>
        <v>89301000</v>
      </c>
      <c r="B7742" t="str">
        <f t="shared" si="1707"/>
        <v>89063000</v>
      </c>
      <c r="C7742" t="str">
        <f t="shared" si="1707"/>
        <v>89063000</v>
      </c>
      <c r="D7742" t="str">
        <f t="shared" si="1705"/>
        <v>809</v>
      </c>
      <c r="E7742" t="str">
        <f>"89301336"</f>
        <v>89301336</v>
      </c>
      <c r="F7742" t="str">
        <f>"7155035338"</f>
        <v>7155035338</v>
      </c>
      <c r="G7742" s="1">
        <v>44802</v>
      </c>
      <c r="H7742" t="str">
        <f t="shared" si="1706"/>
        <v>89312</v>
      </c>
      <c r="I7742">
        <v>3</v>
      </c>
      <c r="J7742">
        <v>906</v>
      </c>
      <c r="K7742">
        <v>0</v>
      </c>
      <c r="L7742">
        <v>951.3</v>
      </c>
    </row>
    <row r="7743" spans="1:12" x14ac:dyDescent="0.25">
      <c r="A7743" t="str">
        <f t="shared" si="1696"/>
        <v>89301000</v>
      </c>
      <c r="B7743" t="str">
        <f t="shared" si="1707"/>
        <v>89063000</v>
      </c>
      <c r="C7743" t="str">
        <f t="shared" si="1707"/>
        <v>89063000</v>
      </c>
      <c r="D7743" t="str">
        <f t="shared" ref="D7743:D7778" si="1708">"809"</f>
        <v>809</v>
      </c>
      <c r="E7743" t="str">
        <f>"89301212"</f>
        <v>89301212</v>
      </c>
      <c r="F7743" t="str">
        <f>"7557205304"</f>
        <v>7557205304</v>
      </c>
      <c r="G7743" s="1">
        <v>44802</v>
      </c>
      <c r="H7743" t="str">
        <f t="shared" si="1706"/>
        <v>89312</v>
      </c>
      <c r="I7743">
        <v>3</v>
      </c>
      <c r="J7743">
        <v>906</v>
      </c>
      <c r="K7743">
        <v>0</v>
      </c>
      <c r="L7743">
        <v>951.3</v>
      </c>
    </row>
    <row r="7744" spans="1:12" x14ac:dyDescent="0.25">
      <c r="A7744" t="str">
        <f t="shared" si="1696"/>
        <v>89301000</v>
      </c>
      <c r="B7744" t="str">
        <f t="shared" si="1707"/>
        <v>89063000</v>
      </c>
      <c r="C7744" t="str">
        <f t="shared" si="1707"/>
        <v>89063000</v>
      </c>
      <c r="D7744" t="str">
        <f t="shared" si="1708"/>
        <v>809</v>
      </c>
      <c r="E7744" t="str">
        <f>"89301037"</f>
        <v>89301037</v>
      </c>
      <c r="F7744" t="str">
        <f>"516212172"</f>
        <v>516212172</v>
      </c>
      <c r="G7744" s="1">
        <v>44803</v>
      </c>
      <c r="H7744" t="str">
        <f t="shared" si="1706"/>
        <v>89312</v>
      </c>
      <c r="I7744">
        <v>3</v>
      </c>
      <c r="J7744">
        <v>906</v>
      </c>
      <c r="K7744">
        <v>0</v>
      </c>
      <c r="L7744">
        <v>951.3</v>
      </c>
    </row>
    <row r="7745" spans="1:12" x14ac:dyDescent="0.25">
      <c r="A7745" t="str">
        <f t="shared" si="1696"/>
        <v>89301000</v>
      </c>
      <c r="B7745" t="str">
        <f t="shared" si="1707"/>
        <v>89063000</v>
      </c>
      <c r="C7745" t="str">
        <f t="shared" si="1707"/>
        <v>89063000</v>
      </c>
      <c r="D7745" t="str">
        <f t="shared" si="1708"/>
        <v>809</v>
      </c>
      <c r="E7745" t="str">
        <f>"89301037"</f>
        <v>89301037</v>
      </c>
      <c r="F7745" t="str">
        <f>"7201211930"</f>
        <v>7201211930</v>
      </c>
      <c r="G7745" s="1">
        <v>44803</v>
      </c>
      <c r="H7745" t="str">
        <f t="shared" si="1706"/>
        <v>89312</v>
      </c>
      <c r="I7745">
        <v>3</v>
      </c>
      <c r="J7745">
        <v>906</v>
      </c>
      <c r="K7745">
        <v>0</v>
      </c>
      <c r="L7745">
        <v>951.3</v>
      </c>
    </row>
    <row r="7746" spans="1:12" x14ac:dyDescent="0.25">
      <c r="A7746" t="str">
        <f t="shared" ref="A7746:A7809" si="1709">"89301000"</f>
        <v>89301000</v>
      </c>
      <c r="B7746" t="str">
        <f t="shared" si="1707"/>
        <v>89063000</v>
      </c>
      <c r="C7746" t="str">
        <f t="shared" si="1707"/>
        <v>89063000</v>
      </c>
      <c r="D7746" t="str">
        <f t="shared" si="1708"/>
        <v>809</v>
      </c>
      <c r="E7746" t="str">
        <f>"89301037"</f>
        <v>89301037</v>
      </c>
      <c r="F7746" t="str">
        <f>"505316159"</f>
        <v>505316159</v>
      </c>
      <c r="G7746" s="1">
        <v>44803</v>
      </c>
      <c r="H7746" t="str">
        <f t="shared" si="1706"/>
        <v>89312</v>
      </c>
      <c r="I7746">
        <v>3</v>
      </c>
      <c r="J7746">
        <v>906</v>
      </c>
      <c r="K7746">
        <v>0</v>
      </c>
      <c r="L7746">
        <v>951.3</v>
      </c>
    </row>
    <row r="7747" spans="1:12" x14ac:dyDescent="0.25">
      <c r="A7747" t="str">
        <f t="shared" si="1709"/>
        <v>89301000</v>
      </c>
      <c r="B7747" t="str">
        <f t="shared" si="1707"/>
        <v>89063000</v>
      </c>
      <c r="C7747" t="str">
        <f t="shared" si="1707"/>
        <v>89063000</v>
      </c>
      <c r="D7747" t="str">
        <f t="shared" si="1708"/>
        <v>809</v>
      </c>
      <c r="E7747" t="str">
        <f>"89301037"</f>
        <v>89301037</v>
      </c>
      <c r="F7747" t="str">
        <f>"5560111678"</f>
        <v>5560111678</v>
      </c>
      <c r="G7747" s="1">
        <v>44803</v>
      </c>
      <c r="H7747" t="str">
        <f t="shared" si="1706"/>
        <v>89312</v>
      </c>
      <c r="I7747">
        <v>3</v>
      </c>
      <c r="J7747">
        <v>906</v>
      </c>
      <c r="K7747">
        <v>0</v>
      </c>
      <c r="L7747">
        <v>951.3</v>
      </c>
    </row>
    <row r="7748" spans="1:12" x14ac:dyDescent="0.25">
      <c r="A7748" t="str">
        <f t="shared" si="1709"/>
        <v>89301000</v>
      </c>
      <c r="B7748" t="str">
        <f t="shared" si="1707"/>
        <v>89063000</v>
      </c>
      <c r="C7748" t="str">
        <f t="shared" si="1707"/>
        <v>89063000</v>
      </c>
      <c r="D7748" t="str">
        <f t="shared" si="1708"/>
        <v>809</v>
      </c>
      <c r="E7748" t="str">
        <f>"89301036"</f>
        <v>89301036</v>
      </c>
      <c r="F7748" t="str">
        <f>"435921454"</f>
        <v>435921454</v>
      </c>
      <c r="G7748" s="1">
        <v>44803</v>
      </c>
      <c r="H7748" t="str">
        <f t="shared" si="1706"/>
        <v>89312</v>
      </c>
      <c r="I7748">
        <v>3</v>
      </c>
      <c r="J7748">
        <v>906</v>
      </c>
      <c r="K7748">
        <v>0</v>
      </c>
      <c r="L7748">
        <v>951.3</v>
      </c>
    </row>
    <row r="7749" spans="1:12" x14ac:dyDescent="0.25">
      <c r="A7749" t="str">
        <f t="shared" si="1709"/>
        <v>89301000</v>
      </c>
      <c r="B7749" t="str">
        <f t="shared" si="1707"/>
        <v>89063000</v>
      </c>
      <c r="C7749" t="str">
        <f t="shared" si="1707"/>
        <v>89063000</v>
      </c>
      <c r="D7749" t="str">
        <f t="shared" si="1708"/>
        <v>809</v>
      </c>
      <c r="E7749" t="str">
        <f>"89301037"</f>
        <v>89301037</v>
      </c>
      <c r="F7749" t="str">
        <f>"9956036233"</f>
        <v>9956036233</v>
      </c>
      <c r="G7749" s="1">
        <v>44803</v>
      </c>
      <c r="H7749" t="str">
        <f t="shared" si="1706"/>
        <v>89312</v>
      </c>
      <c r="I7749">
        <v>3</v>
      </c>
      <c r="J7749">
        <v>906</v>
      </c>
      <c r="K7749">
        <v>0</v>
      </c>
      <c r="L7749">
        <v>951.3</v>
      </c>
    </row>
    <row r="7750" spans="1:12" x14ac:dyDescent="0.25">
      <c r="A7750" t="str">
        <f t="shared" si="1709"/>
        <v>89301000</v>
      </c>
      <c r="B7750" t="str">
        <f t="shared" si="1707"/>
        <v>89063000</v>
      </c>
      <c r="C7750" t="str">
        <f t="shared" si="1707"/>
        <v>89063000</v>
      </c>
      <c r="D7750" t="str">
        <f t="shared" si="1708"/>
        <v>809</v>
      </c>
      <c r="E7750" t="str">
        <f>"89301037"</f>
        <v>89301037</v>
      </c>
      <c r="F7750" t="str">
        <f>"7562074487"</f>
        <v>7562074487</v>
      </c>
      <c r="G7750" s="1">
        <v>44804</v>
      </c>
      <c r="H7750" t="str">
        <f t="shared" si="1706"/>
        <v>89312</v>
      </c>
      <c r="I7750">
        <v>3</v>
      </c>
      <c r="J7750">
        <v>906</v>
      </c>
      <c r="K7750">
        <v>0</v>
      </c>
      <c r="L7750">
        <v>951.3</v>
      </c>
    </row>
    <row r="7751" spans="1:12" x14ac:dyDescent="0.25">
      <c r="A7751" t="str">
        <f t="shared" si="1709"/>
        <v>89301000</v>
      </c>
      <c r="B7751" t="str">
        <f t="shared" si="1707"/>
        <v>89063000</v>
      </c>
      <c r="C7751" t="str">
        <f t="shared" si="1707"/>
        <v>89063000</v>
      </c>
      <c r="D7751" t="str">
        <f t="shared" si="1708"/>
        <v>809</v>
      </c>
      <c r="E7751" t="str">
        <f>"89301037"</f>
        <v>89301037</v>
      </c>
      <c r="F7751" t="str">
        <f>"385107079"</f>
        <v>385107079</v>
      </c>
      <c r="G7751" s="1">
        <v>44804</v>
      </c>
      <c r="H7751" t="str">
        <f t="shared" si="1706"/>
        <v>89312</v>
      </c>
      <c r="I7751">
        <v>3</v>
      </c>
      <c r="J7751">
        <v>906</v>
      </c>
      <c r="K7751">
        <v>0</v>
      </c>
      <c r="L7751">
        <v>951.3</v>
      </c>
    </row>
    <row r="7752" spans="1:12" x14ac:dyDescent="0.25">
      <c r="A7752" t="str">
        <f t="shared" si="1709"/>
        <v>89301000</v>
      </c>
      <c r="B7752" t="str">
        <f>"89511000"</f>
        <v>89511000</v>
      </c>
      <c r="C7752" t="str">
        <f>"89511001"</f>
        <v>89511001</v>
      </c>
      <c r="D7752" t="str">
        <f t="shared" si="1708"/>
        <v>809</v>
      </c>
      <c r="E7752" t="str">
        <f>"89301062"</f>
        <v>89301062</v>
      </c>
      <c r="F7752" t="str">
        <f>"490409028"</f>
        <v>490409028</v>
      </c>
      <c r="G7752" s="1">
        <v>44790</v>
      </c>
      <c r="H7752" t="str">
        <f>"89119"</f>
        <v>89119</v>
      </c>
      <c r="I7752">
        <v>1</v>
      </c>
      <c r="J7752">
        <v>200</v>
      </c>
      <c r="K7752">
        <v>0</v>
      </c>
      <c r="L7752">
        <v>280</v>
      </c>
    </row>
    <row r="7753" spans="1:12" x14ac:dyDescent="0.25">
      <c r="A7753" t="str">
        <f t="shared" si="1709"/>
        <v>89301000</v>
      </c>
      <c r="B7753" t="str">
        <f>"85200000"</f>
        <v>85200000</v>
      </c>
      <c r="C7753" t="str">
        <f>"85200500"</f>
        <v>85200500</v>
      </c>
      <c r="D7753" t="str">
        <f t="shared" si="1708"/>
        <v>809</v>
      </c>
      <c r="E7753" t="str">
        <f t="shared" ref="E7753:E7778" si="1710">"89301212"</f>
        <v>89301212</v>
      </c>
      <c r="F7753" t="str">
        <f>"5958251090"</f>
        <v>5958251090</v>
      </c>
      <c r="G7753" s="1">
        <v>44802</v>
      </c>
      <c r="H7753" t="str">
        <f>"89131"</f>
        <v>89131</v>
      </c>
      <c r="I7753">
        <v>1</v>
      </c>
      <c r="J7753">
        <v>187</v>
      </c>
      <c r="K7753">
        <v>0</v>
      </c>
      <c r="L7753">
        <v>261.8</v>
      </c>
    </row>
    <row r="7754" spans="1:12" x14ac:dyDescent="0.25">
      <c r="A7754" t="str">
        <f t="shared" si="1709"/>
        <v>89301000</v>
      </c>
      <c r="B7754" t="str">
        <f t="shared" ref="B7754:B7777" si="1711">"89895000"</f>
        <v>89895000</v>
      </c>
      <c r="C7754" t="str">
        <f t="shared" ref="C7754:C7777" si="1712">"89895002"</f>
        <v>89895002</v>
      </c>
      <c r="D7754" t="str">
        <f t="shared" si="1708"/>
        <v>809</v>
      </c>
      <c r="E7754" t="str">
        <f t="shared" si="1710"/>
        <v>89301212</v>
      </c>
      <c r="F7754" t="str">
        <f>"425214491"</f>
        <v>425214491</v>
      </c>
      <c r="G7754" s="1">
        <v>44791</v>
      </c>
      <c r="H7754" t="str">
        <f>"89180"</f>
        <v>89180</v>
      </c>
      <c r="I7754">
        <v>2</v>
      </c>
      <c r="J7754">
        <v>752</v>
      </c>
      <c r="K7754">
        <v>0</v>
      </c>
      <c r="L7754">
        <v>1052.8</v>
      </c>
    </row>
    <row r="7755" spans="1:12" x14ac:dyDescent="0.25">
      <c r="A7755" t="str">
        <f t="shared" si="1709"/>
        <v>89301000</v>
      </c>
      <c r="B7755" t="str">
        <f t="shared" si="1711"/>
        <v>89895000</v>
      </c>
      <c r="C7755" t="str">
        <f t="shared" si="1712"/>
        <v>89895002</v>
      </c>
      <c r="D7755" t="str">
        <f t="shared" si="1708"/>
        <v>809</v>
      </c>
      <c r="E7755" t="str">
        <f t="shared" si="1710"/>
        <v>89301212</v>
      </c>
      <c r="F7755" t="str">
        <f>"425214491"</f>
        <v>425214491</v>
      </c>
      <c r="G7755" s="1">
        <v>44791</v>
      </c>
      <c r="H7755" t="str">
        <f>"89513"</f>
        <v>89513</v>
      </c>
      <c r="I7755">
        <v>1</v>
      </c>
      <c r="J7755">
        <v>371</v>
      </c>
      <c r="K7755">
        <v>0</v>
      </c>
      <c r="L7755">
        <v>519.4</v>
      </c>
    </row>
    <row r="7756" spans="1:12" x14ac:dyDescent="0.25">
      <c r="A7756" t="str">
        <f t="shared" si="1709"/>
        <v>89301000</v>
      </c>
      <c r="B7756" t="str">
        <f t="shared" si="1711"/>
        <v>89895000</v>
      </c>
      <c r="C7756" t="str">
        <f t="shared" si="1712"/>
        <v>89895002</v>
      </c>
      <c r="D7756" t="str">
        <f t="shared" si="1708"/>
        <v>809</v>
      </c>
      <c r="E7756" t="str">
        <f t="shared" si="1710"/>
        <v>89301212</v>
      </c>
      <c r="F7756" t="str">
        <f>"425214491"</f>
        <v>425214491</v>
      </c>
      <c r="G7756" s="1">
        <v>44791</v>
      </c>
      <c r="H7756" t="str">
        <f>"89514"</f>
        <v>89514</v>
      </c>
      <c r="I7756">
        <v>1</v>
      </c>
      <c r="J7756">
        <v>371</v>
      </c>
      <c r="K7756">
        <v>0</v>
      </c>
      <c r="L7756">
        <v>519.4</v>
      </c>
    </row>
    <row r="7757" spans="1:12" x14ac:dyDescent="0.25">
      <c r="A7757" t="str">
        <f t="shared" si="1709"/>
        <v>89301000</v>
      </c>
      <c r="B7757" t="str">
        <f t="shared" si="1711"/>
        <v>89895000</v>
      </c>
      <c r="C7757" t="str">
        <f t="shared" si="1712"/>
        <v>89895002</v>
      </c>
      <c r="D7757" t="str">
        <f t="shared" si="1708"/>
        <v>809</v>
      </c>
      <c r="E7757" t="str">
        <f t="shared" si="1710"/>
        <v>89301212</v>
      </c>
      <c r="F7757" t="str">
        <f>"425214491"</f>
        <v>425214491</v>
      </c>
      <c r="G7757" s="1">
        <v>44791</v>
      </c>
      <c r="H7757" t="str">
        <f>"89512"</f>
        <v>89512</v>
      </c>
      <c r="I7757">
        <v>1</v>
      </c>
      <c r="J7757">
        <v>277</v>
      </c>
      <c r="K7757">
        <v>0</v>
      </c>
      <c r="L7757">
        <v>387.8</v>
      </c>
    </row>
    <row r="7758" spans="1:12" x14ac:dyDescent="0.25">
      <c r="A7758" t="str">
        <f t="shared" si="1709"/>
        <v>89301000</v>
      </c>
      <c r="B7758" t="str">
        <f t="shared" si="1711"/>
        <v>89895000</v>
      </c>
      <c r="C7758" t="str">
        <f t="shared" si="1712"/>
        <v>89895002</v>
      </c>
      <c r="D7758" t="str">
        <f t="shared" si="1708"/>
        <v>809</v>
      </c>
      <c r="E7758" t="str">
        <f t="shared" si="1710"/>
        <v>89301212</v>
      </c>
      <c r="F7758" t="str">
        <f>"425214491"</f>
        <v>425214491</v>
      </c>
      <c r="G7758" s="1">
        <v>44791</v>
      </c>
      <c r="H7758" t="str">
        <f>"09511"</f>
        <v>09511</v>
      </c>
      <c r="I7758">
        <v>1</v>
      </c>
      <c r="J7758">
        <v>43</v>
      </c>
      <c r="K7758">
        <v>0</v>
      </c>
      <c r="L7758">
        <v>60.2</v>
      </c>
    </row>
    <row r="7759" spans="1:12" x14ac:dyDescent="0.25">
      <c r="A7759" t="str">
        <f t="shared" si="1709"/>
        <v>89301000</v>
      </c>
      <c r="B7759" t="str">
        <f t="shared" si="1711"/>
        <v>89895000</v>
      </c>
      <c r="C7759" t="str">
        <f t="shared" si="1712"/>
        <v>89895002</v>
      </c>
      <c r="D7759" t="str">
        <f t="shared" si="1708"/>
        <v>809</v>
      </c>
      <c r="E7759" t="str">
        <f t="shared" si="1710"/>
        <v>89301212</v>
      </c>
      <c r="F7759" t="str">
        <f>"495620001"</f>
        <v>495620001</v>
      </c>
      <c r="G7759" s="1">
        <v>44775</v>
      </c>
      <c r="H7759" t="str">
        <f>"89180"</f>
        <v>89180</v>
      </c>
      <c r="I7759">
        <v>2</v>
      </c>
      <c r="J7759">
        <v>752</v>
      </c>
      <c r="K7759">
        <v>0</v>
      </c>
      <c r="L7759">
        <v>1052.8</v>
      </c>
    </row>
    <row r="7760" spans="1:12" x14ac:dyDescent="0.25">
      <c r="A7760" t="str">
        <f t="shared" si="1709"/>
        <v>89301000</v>
      </c>
      <c r="B7760" t="str">
        <f t="shared" si="1711"/>
        <v>89895000</v>
      </c>
      <c r="C7760" t="str">
        <f t="shared" si="1712"/>
        <v>89895002</v>
      </c>
      <c r="D7760" t="str">
        <f t="shared" si="1708"/>
        <v>809</v>
      </c>
      <c r="E7760" t="str">
        <f t="shared" si="1710"/>
        <v>89301212</v>
      </c>
      <c r="F7760" t="str">
        <f>"495620001"</f>
        <v>495620001</v>
      </c>
      <c r="G7760" s="1">
        <v>44775</v>
      </c>
      <c r="H7760" t="str">
        <f>"89512"</f>
        <v>89512</v>
      </c>
      <c r="I7760">
        <v>1</v>
      </c>
      <c r="J7760">
        <v>277</v>
      </c>
      <c r="K7760">
        <v>0</v>
      </c>
      <c r="L7760">
        <v>387.8</v>
      </c>
    </row>
    <row r="7761" spans="1:12" x14ac:dyDescent="0.25">
      <c r="A7761" t="str">
        <f t="shared" si="1709"/>
        <v>89301000</v>
      </c>
      <c r="B7761" t="str">
        <f t="shared" si="1711"/>
        <v>89895000</v>
      </c>
      <c r="C7761" t="str">
        <f t="shared" si="1712"/>
        <v>89895002</v>
      </c>
      <c r="D7761" t="str">
        <f t="shared" si="1708"/>
        <v>809</v>
      </c>
      <c r="E7761" t="str">
        <f t="shared" si="1710"/>
        <v>89301212</v>
      </c>
      <c r="F7761" t="str">
        <f>"5454081655"</f>
        <v>5454081655</v>
      </c>
      <c r="G7761" s="1">
        <v>44798</v>
      </c>
      <c r="H7761" t="str">
        <f>"89513"</f>
        <v>89513</v>
      </c>
      <c r="I7761">
        <v>1</v>
      </c>
      <c r="J7761">
        <v>371</v>
      </c>
      <c r="K7761">
        <v>0</v>
      </c>
      <c r="L7761">
        <v>519.4</v>
      </c>
    </row>
    <row r="7762" spans="1:12" x14ac:dyDescent="0.25">
      <c r="A7762" t="str">
        <f t="shared" si="1709"/>
        <v>89301000</v>
      </c>
      <c r="B7762" t="str">
        <f t="shared" si="1711"/>
        <v>89895000</v>
      </c>
      <c r="C7762" t="str">
        <f t="shared" si="1712"/>
        <v>89895002</v>
      </c>
      <c r="D7762" t="str">
        <f t="shared" si="1708"/>
        <v>809</v>
      </c>
      <c r="E7762" t="str">
        <f t="shared" si="1710"/>
        <v>89301212</v>
      </c>
      <c r="F7762" t="str">
        <f>"5454081655"</f>
        <v>5454081655</v>
      </c>
      <c r="G7762" s="1">
        <v>44798</v>
      </c>
      <c r="H7762" t="str">
        <f>"89514"</f>
        <v>89514</v>
      </c>
      <c r="I7762">
        <v>1</v>
      </c>
      <c r="J7762">
        <v>371</v>
      </c>
      <c r="K7762">
        <v>0</v>
      </c>
      <c r="L7762">
        <v>519.4</v>
      </c>
    </row>
    <row r="7763" spans="1:12" x14ac:dyDescent="0.25">
      <c r="A7763" t="str">
        <f t="shared" si="1709"/>
        <v>89301000</v>
      </c>
      <c r="B7763" t="str">
        <f t="shared" si="1711"/>
        <v>89895000</v>
      </c>
      <c r="C7763" t="str">
        <f t="shared" si="1712"/>
        <v>89895002</v>
      </c>
      <c r="D7763" t="str">
        <f t="shared" si="1708"/>
        <v>809</v>
      </c>
      <c r="E7763" t="str">
        <f t="shared" si="1710"/>
        <v>89301212</v>
      </c>
      <c r="F7763" t="str">
        <f>"6460271763"</f>
        <v>6460271763</v>
      </c>
      <c r="G7763" s="1">
        <v>44802</v>
      </c>
      <c r="H7763" t="str">
        <f>"89180"</f>
        <v>89180</v>
      </c>
      <c r="I7763">
        <v>2</v>
      </c>
      <c r="J7763">
        <v>752</v>
      </c>
      <c r="K7763">
        <v>0</v>
      </c>
      <c r="L7763">
        <v>1052.8</v>
      </c>
    </row>
    <row r="7764" spans="1:12" x14ac:dyDescent="0.25">
      <c r="A7764" t="str">
        <f t="shared" si="1709"/>
        <v>89301000</v>
      </c>
      <c r="B7764" t="str">
        <f t="shared" si="1711"/>
        <v>89895000</v>
      </c>
      <c r="C7764" t="str">
        <f t="shared" si="1712"/>
        <v>89895002</v>
      </c>
      <c r="D7764" t="str">
        <f t="shared" si="1708"/>
        <v>809</v>
      </c>
      <c r="E7764" t="str">
        <f t="shared" si="1710"/>
        <v>89301212</v>
      </c>
      <c r="F7764" t="str">
        <f>"6460271763"</f>
        <v>6460271763</v>
      </c>
      <c r="G7764" s="1">
        <v>44802</v>
      </c>
      <c r="H7764" t="str">
        <f>"89512"</f>
        <v>89512</v>
      </c>
      <c r="I7764">
        <v>1</v>
      </c>
      <c r="J7764">
        <v>277</v>
      </c>
      <c r="K7764">
        <v>0</v>
      </c>
      <c r="L7764">
        <v>387.8</v>
      </c>
    </row>
    <row r="7765" spans="1:12" x14ac:dyDescent="0.25">
      <c r="A7765" t="str">
        <f t="shared" si="1709"/>
        <v>89301000</v>
      </c>
      <c r="B7765" t="str">
        <f t="shared" si="1711"/>
        <v>89895000</v>
      </c>
      <c r="C7765" t="str">
        <f t="shared" si="1712"/>
        <v>89895002</v>
      </c>
      <c r="D7765" t="str">
        <f t="shared" si="1708"/>
        <v>809</v>
      </c>
      <c r="E7765" t="str">
        <f t="shared" si="1710"/>
        <v>89301212</v>
      </c>
      <c r="F7765" t="str">
        <f>"6460271763"</f>
        <v>6460271763</v>
      </c>
      <c r="G7765" s="1">
        <v>44802</v>
      </c>
      <c r="H7765" t="str">
        <f>"89513"</f>
        <v>89513</v>
      </c>
      <c r="I7765">
        <v>1</v>
      </c>
      <c r="J7765">
        <v>371</v>
      </c>
      <c r="K7765">
        <v>0</v>
      </c>
      <c r="L7765">
        <v>519.4</v>
      </c>
    </row>
    <row r="7766" spans="1:12" x14ac:dyDescent="0.25">
      <c r="A7766" t="str">
        <f t="shared" si="1709"/>
        <v>89301000</v>
      </c>
      <c r="B7766" t="str">
        <f t="shared" si="1711"/>
        <v>89895000</v>
      </c>
      <c r="C7766" t="str">
        <f t="shared" si="1712"/>
        <v>89895002</v>
      </c>
      <c r="D7766" t="str">
        <f t="shared" si="1708"/>
        <v>809</v>
      </c>
      <c r="E7766" t="str">
        <f t="shared" si="1710"/>
        <v>89301212</v>
      </c>
      <c r="F7766" t="str">
        <f>"6460271763"</f>
        <v>6460271763</v>
      </c>
      <c r="G7766" s="1">
        <v>44802</v>
      </c>
      <c r="H7766" t="str">
        <f>"89514"</f>
        <v>89514</v>
      </c>
      <c r="I7766">
        <v>1</v>
      </c>
      <c r="J7766">
        <v>371</v>
      </c>
      <c r="K7766">
        <v>0</v>
      </c>
      <c r="L7766">
        <v>519.4</v>
      </c>
    </row>
    <row r="7767" spans="1:12" x14ac:dyDescent="0.25">
      <c r="A7767" t="str">
        <f t="shared" si="1709"/>
        <v>89301000</v>
      </c>
      <c r="B7767" t="str">
        <f t="shared" si="1711"/>
        <v>89895000</v>
      </c>
      <c r="C7767" t="str">
        <f t="shared" si="1712"/>
        <v>89895002</v>
      </c>
      <c r="D7767" t="str">
        <f t="shared" si="1708"/>
        <v>809</v>
      </c>
      <c r="E7767" t="str">
        <f t="shared" si="1710"/>
        <v>89301212</v>
      </c>
      <c r="F7767" t="str">
        <f>"6460271763"</f>
        <v>6460271763</v>
      </c>
      <c r="G7767" s="1">
        <v>44802</v>
      </c>
      <c r="H7767" t="str">
        <f>"09511"</f>
        <v>09511</v>
      </c>
      <c r="I7767">
        <v>1</v>
      </c>
      <c r="J7767">
        <v>43</v>
      </c>
      <c r="K7767">
        <v>0</v>
      </c>
      <c r="L7767">
        <v>60.2</v>
      </c>
    </row>
    <row r="7768" spans="1:12" x14ac:dyDescent="0.25">
      <c r="A7768" t="str">
        <f t="shared" si="1709"/>
        <v>89301000</v>
      </c>
      <c r="B7768" t="str">
        <f t="shared" si="1711"/>
        <v>89895000</v>
      </c>
      <c r="C7768" t="str">
        <f t="shared" si="1712"/>
        <v>89895002</v>
      </c>
      <c r="D7768" t="str">
        <f t="shared" si="1708"/>
        <v>809</v>
      </c>
      <c r="E7768" t="str">
        <f t="shared" si="1710"/>
        <v>89301212</v>
      </c>
      <c r="F7768" t="str">
        <f>"7462135395"</f>
        <v>7462135395</v>
      </c>
      <c r="G7768" s="1">
        <v>44774</v>
      </c>
      <c r="H7768" t="str">
        <f>"89512"</f>
        <v>89512</v>
      </c>
      <c r="I7768">
        <v>1</v>
      </c>
      <c r="J7768">
        <v>277</v>
      </c>
      <c r="K7768">
        <v>0</v>
      </c>
      <c r="L7768">
        <v>387.8</v>
      </c>
    </row>
    <row r="7769" spans="1:12" x14ac:dyDescent="0.25">
      <c r="A7769" t="str">
        <f t="shared" si="1709"/>
        <v>89301000</v>
      </c>
      <c r="B7769" t="str">
        <f t="shared" si="1711"/>
        <v>89895000</v>
      </c>
      <c r="C7769" t="str">
        <f t="shared" si="1712"/>
        <v>89895002</v>
      </c>
      <c r="D7769" t="str">
        <f t="shared" si="1708"/>
        <v>809</v>
      </c>
      <c r="E7769" t="str">
        <f t="shared" si="1710"/>
        <v>89301212</v>
      </c>
      <c r="F7769" t="str">
        <f>"7462135395"</f>
        <v>7462135395</v>
      </c>
      <c r="G7769" s="1">
        <v>44774</v>
      </c>
      <c r="H7769" t="str">
        <f>"09511"</f>
        <v>09511</v>
      </c>
      <c r="I7769">
        <v>1</v>
      </c>
      <c r="J7769">
        <v>43</v>
      </c>
      <c r="K7769">
        <v>0</v>
      </c>
      <c r="L7769">
        <v>60.2</v>
      </c>
    </row>
    <row r="7770" spans="1:12" x14ac:dyDescent="0.25">
      <c r="A7770" t="str">
        <f t="shared" si="1709"/>
        <v>89301000</v>
      </c>
      <c r="B7770" t="str">
        <f t="shared" si="1711"/>
        <v>89895000</v>
      </c>
      <c r="C7770" t="str">
        <f t="shared" si="1712"/>
        <v>89895002</v>
      </c>
      <c r="D7770" t="str">
        <f t="shared" si="1708"/>
        <v>809</v>
      </c>
      <c r="E7770" t="str">
        <f t="shared" si="1710"/>
        <v>89301212</v>
      </c>
      <c r="F7770" t="str">
        <f>"7653245303"</f>
        <v>7653245303</v>
      </c>
      <c r="G7770" s="1">
        <v>44774</v>
      </c>
      <c r="H7770" t="str">
        <f>"89180"</f>
        <v>89180</v>
      </c>
      <c r="I7770">
        <v>1</v>
      </c>
      <c r="J7770">
        <v>376</v>
      </c>
      <c r="K7770">
        <v>0</v>
      </c>
      <c r="L7770">
        <v>526.4</v>
      </c>
    </row>
    <row r="7771" spans="1:12" x14ac:dyDescent="0.25">
      <c r="A7771" t="str">
        <f t="shared" si="1709"/>
        <v>89301000</v>
      </c>
      <c r="B7771" t="str">
        <f t="shared" si="1711"/>
        <v>89895000</v>
      </c>
      <c r="C7771" t="str">
        <f t="shared" si="1712"/>
        <v>89895002</v>
      </c>
      <c r="D7771" t="str">
        <f t="shared" si="1708"/>
        <v>809</v>
      </c>
      <c r="E7771" t="str">
        <f t="shared" si="1710"/>
        <v>89301212</v>
      </c>
      <c r="F7771" t="str">
        <f>"7653245303"</f>
        <v>7653245303</v>
      </c>
      <c r="G7771" s="1">
        <v>44774</v>
      </c>
      <c r="H7771" t="str">
        <f>"89512"</f>
        <v>89512</v>
      </c>
      <c r="I7771">
        <v>1</v>
      </c>
      <c r="J7771">
        <v>277</v>
      </c>
      <c r="K7771">
        <v>0</v>
      </c>
      <c r="L7771">
        <v>387.8</v>
      </c>
    </row>
    <row r="7772" spans="1:12" x14ac:dyDescent="0.25">
      <c r="A7772" t="str">
        <f t="shared" si="1709"/>
        <v>89301000</v>
      </c>
      <c r="B7772" t="str">
        <f t="shared" si="1711"/>
        <v>89895000</v>
      </c>
      <c r="C7772" t="str">
        <f t="shared" si="1712"/>
        <v>89895002</v>
      </c>
      <c r="D7772" t="str">
        <f t="shared" si="1708"/>
        <v>809</v>
      </c>
      <c r="E7772" t="str">
        <f t="shared" si="1710"/>
        <v>89301212</v>
      </c>
      <c r="F7772" t="str">
        <f>"7653245303"</f>
        <v>7653245303</v>
      </c>
      <c r="G7772" s="1">
        <v>44774</v>
      </c>
      <c r="H7772" t="str">
        <f>"09511"</f>
        <v>09511</v>
      </c>
      <c r="I7772">
        <v>1</v>
      </c>
      <c r="J7772">
        <v>43</v>
      </c>
      <c r="K7772">
        <v>0</v>
      </c>
      <c r="L7772">
        <v>60.2</v>
      </c>
    </row>
    <row r="7773" spans="1:12" x14ac:dyDescent="0.25">
      <c r="A7773" t="str">
        <f t="shared" si="1709"/>
        <v>89301000</v>
      </c>
      <c r="B7773" t="str">
        <f t="shared" si="1711"/>
        <v>89895000</v>
      </c>
      <c r="C7773" t="str">
        <f t="shared" si="1712"/>
        <v>89895002</v>
      </c>
      <c r="D7773" t="str">
        <f t="shared" si="1708"/>
        <v>809</v>
      </c>
      <c r="E7773" t="str">
        <f t="shared" si="1710"/>
        <v>89301212</v>
      </c>
      <c r="F7773" t="str">
        <f>"445506443"</f>
        <v>445506443</v>
      </c>
      <c r="G7773" s="1">
        <v>44755</v>
      </c>
      <c r="H7773" t="str">
        <f>"89180"</f>
        <v>89180</v>
      </c>
      <c r="I7773">
        <v>2</v>
      </c>
      <c r="J7773">
        <v>752</v>
      </c>
      <c r="K7773">
        <v>0</v>
      </c>
      <c r="L7773">
        <v>1052.8</v>
      </c>
    </row>
    <row r="7774" spans="1:12" x14ac:dyDescent="0.25">
      <c r="A7774" t="str">
        <f t="shared" si="1709"/>
        <v>89301000</v>
      </c>
      <c r="B7774" t="str">
        <f t="shared" si="1711"/>
        <v>89895000</v>
      </c>
      <c r="C7774" t="str">
        <f t="shared" si="1712"/>
        <v>89895002</v>
      </c>
      <c r="D7774" t="str">
        <f t="shared" si="1708"/>
        <v>809</v>
      </c>
      <c r="E7774" t="str">
        <f t="shared" si="1710"/>
        <v>89301212</v>
      </c>
      <c r="F7774" t="str">
        <f>"445506443"</f>
        <v>445506443</v>
      </c>
      <c r="G7774" s="1">
        <v>44755</v>
      </c>
      <c r="H7774" t="str">
        <f>"89335"</f>
        <v>89335</v>
      </c>
      <c r="I7774">
        <v>1</v>
      </c>
      <c r="J7774">
        <v>180</v>
      </c>
      <c r="K7774">
        <v>0</v>
      </c>
      <c r="L7774">
        <v>252</v>
      </c>
    </row>
    <row r="7775" spans="1:12" x14ac:dyDescent="0.25">
      <c r="A7775" t="str">
        <f t="shared" si="1709"/>
        <v>89301000</v>
      </c>
      <c r="B7775" t="str">
        <f t="shared" si="1711"/>
        <v>89895000</v>
      </c>
      <c r="C7775" t="str">
        <f t="shared" si="1712"/>
        <v>89895002</v>
      </c>
      <c r="D7775" t="str">
        <f t="shared" si="1708"/>
        <v>809</v>
      </c>
      <c r="E7775" t="str">
        <f t="shared" si="1710"/>
        <v>89301212</v>
      </c>
      <c r="F7775" t="str">
        <f>"445506443"</f>
        <v>445506443</v>
      </c>
      <c r="G7775" s="1">
        <v>44755</v>
      </c>
      <c r="H7775" t="str">
        <f>"89512"</f>
        <v>89512</v>
      </c>
      <c r="I7775">
        <v>1</v>
      </c>
      <c r="J7775">
        <v>277</v>
      </c>
      <c r="K7775">
        <v>0</v>
      </c>
      <c r="L7775">
        <v>387.8</v>
      </c>
    </row>
    <row r="7776" spans="1:12" x14ac:dyDescent="0.25">
      <c r="A7776" t="str">
        <f t="shared" si="1709"/>
        <v>89301000</v>
      </c>
      <c r="B7776" t="str">
        <f t="shared" si="1711"/>
        <v>89895000</v>
      </c>
      <c r="C7776" t="str">
        <f t="shared" si="1712"/>
        <v>89895002</v>
      </c>
      <c r="D7776" t="str">
        <f t="shared" si="1708"/>
        <v>809</v>
      </c>
      <c r="E7776" t="str">
        <f t="shared" si="1710"/>
        <v>89301212</v>
      </c>
      <c r="F7776" t="str">
        <f>"445506443"</f>
        <v>445506443</v>
      </c>
      <c r="G7776" s="1">
        <v>44755</v>
      </c>
      <c r="H7776" t="str">
        <f>"0000502"</f>
        <v>0000502</v>
      </c>
      <c r="I7776">
        <v>0.1</v>
      </c>
      <c r="K7776">
        <v>6.97</v>
      </c>
      <c r="L7776">
        <v>6.97</v>
      </c>
    </row>
    <row r="7777" spans="1:12" x14ac:dyDescent="0.25">
      <c r="A7777" t="str">
        <f t="shared" si="1709"/>
        <v>89301000</v>
      </c>
      <c r="B7777" t="str">
        <f t="shared" si="1711"/>
        <v>89895000</v>
      </c>
      <c r="C7777" t="str">
        <f t="shared" si="1712"/>
        <v>89895002</v>
      </c>
      <c r="D7777" t="str">
        <f t="shared" si="1708"/>
        <v>809</v>
      </c>
      <c r="E7777" t="str">
        <f t="shared" si="1710"/>
        <v>89301212</v>
      </c>
      <c r="F7777" t="str">
        <f>"445506443"</f>
        <v>445506443</v>
      </c>
      <c r="G7777" s="1">
        <v>44755</v>
      </c>
      <c r="H7777" t="str">
        <f>"0082502"</f>
        <v>0082502</v>
      </c>
      <c r="I7777">
        <v>1</v>
      </c>
      <c r="K7777">
        <v>2093</v>
      </c>
      <c r="L7777">
        <v>2093</v>
      </c>
    </row>
    <row r="7778" spans="1:12" x14ac:dyDescent="0.25">
      <c r="A7778" t="str">
        <f t="shared" si="1709"/>
        <v>89301000</v>
      </c>
      <c r="B7778" t="str">
        <f>"93507000"</f>
        <v>93507000</v>
      </c>
      <c r="C7778" t="str">
        <f>"93507001"</f>
        <v>93507001</v>
      </c>
      <c r="D7778" t="str">
        <f t="shared" si="1708"/>
        <v>809</v>
      </c>
      <c r="E7778" t="str">
        <f t="shared" si="1710"/>
        <v>89301212</v>
      </c>
      <c r="F7778" t="str">
        <f>"5654271051"</f>
        <v>5654271051</v>
      </c>
      <c r="G7778" s="1">
        <v>44792</v>
      </c>
      <c r="H7778" t="str">
        <f>"89131"</f>
        <v>89131</v>
      </c>
      <c r="I7778">
        <v>1</v>
      </c>
      <c r="J7778">
        <v>187</v>
      </c>
      <c r="K7778">
        <v>0</v>
      </c>
      <c r="L7778">
        <v>261.8</v>
      </c>
    </row>
    <row r="7779" spans="1:12" x14ac:dyDescent="0.25">
      <c r="A7779" t="str">
        <f t="shared" si="1709"/>
        <v>89301000</v>
      </c>
      <c r="B7779" t="str">
        <f t="shared" ref="B7779:B7798" si="1713">"93501000"</f>
        <v>93501000</v>
      </c>
      <c r="C7779" t="str">
        <f t="shared" ref="C7779:C7796" si="1714">"93501001"</f>
        <v>93501001</v>
      </c>
      <c r="D7779" t="str">
        <f t="shared" ref="D7779:D7797" si="1715">"801"</f>
        <v>801</v>
      </c>
      <c r="E7779" t="str">
        <f t="shared" ref="E7779:E7791" si="1716">"89301167"</f>
        <v>89301167</v>
      </c>
      <c r="F7779" t="str">
        <f t="shared" ref="F7779:F7791" si="1717">"470127462"</f>
        <v>470127462</v>
      </c>
      <c r="G7779" s="1">
        <v>44796</v>
      </c>
      <c r="H7779" t="str">
        <f>"81337"</f>
        <v>81337</v>
      </c>
      <c r="I7779">
        <v>1</v>
      </c>
      <c r="J7779">
        <v>19</v>
      </c>
      <c r="K7779">
        <v>0</v>
      </c>
      <c r="L7779">
        <v>14.82</v>
      </c>
    </row>
    <row r="7780" spans="1:12" x14ac:dyDescent="0.25">
      <c r="A7780" t="str">
        <f t="shared" si="1709"/>
        <v>89301000</v>
      </c>
      <c r="B7780" t="str">
        <f t="shared" si="1713"/>
        <v>93501000</v>
      </c>
      <c r="C7780" t="str">
        <f t="shared" si="1714"/>
        <v>93501001</v>
      </c>
      <c r="D7780" t="str">
        <f t="shared" si="1715"/>
        <v>801</v>
      </c>
      <c r="E7780" t="str">
        <f t="shared" si="1716"/>
        <v>89301167</v>
      </c>
      <c r="F7780" t="str">
        <f t="shared" si="1717"/>
        <v>470127462</v>
      </c>
      <c r="G7780" s="1">
        <v>44796</v>
      </c>
      <c r="H7780" t="str">
        <f>"81357"</f>
        <v>81357</v>
      </c>
      <c r="I7780">
        <v>1</v>
      </c>
      <c r="J7780">
        <v>19</v>
      </c>
      <c r="K7780">
        <v>0</v>
      </c>
      <c r="L7780">
        <v>14.82</v>
      </c>
    </row>
    <row r="7781" spans="1:12" x14ac:dyDescent="0.25">
      <c r="A7781" t="str">
        <f t="shared" si="1709"/>
        <v>89301000</v>
      </c>
      <c r="B7781" t="str">
        <f t="shared" si="1713"/>
        <v>93501000</v>
      </c>
      <c r="C7781" t="str">
        <f t="shared" si="1714"/>
        <v>93501001</v>
      </c>
      <c r="D7781" t="str">
        <f t="shared" si="1715"/>
        <v>801</v>
      </c>
      <c r="E7781" t="str">
        <f t="shared" si="1716"/>
        <v>89301167</v>
      </c>
      <c r="F7781" t="str">
        <f t="shared" si="1717"/>
        <v>470127462</v>
      </c>
      <c r="G7781" s="1">
        <v>44796</v>
      </c>
      <c r="H7781" t="str">
        <f>"81393"</f>
        <v>81393</v>
      </c>
      <c r="I7781">
        <v>1</v>
      </c>
      <c r="J7781">
        <v>24</v>
      </c>
      <c r="K7781">
        <v>0</v>
      </c>
      <c r="L7781">
        <v>18.72</v>
      </c>
    </row>
    <row r="7782" spans="1:12" x14ac:dyDescent="0.25">
      <c r="A7782" t="str">
        <f t="shared" si="1709"/>
        <v>89301000</v>
      </c>
      <c r="B7782" t="str">
        <f t="shared" si="1713"/>
        <v>93501000</v>
      </c>
      <c r="C7782" t="str">
        <f t="shared" si="1714"/>
        <v>93501001</v>
      </c>
      <c r="D7782" t="str">
        <f t="shared" si="1715"/>
        <v>801</v>
      </c>
      <c r="E7782" t="str">
        <f t="shared" si="1716"/>
        <v>89301167</v>
      </c>
      <c r="F7782" t="str">
        <f t="shared" si="1717"/>
        <v>470127462</v>
      </c>
      <c r="G7782" s="1">
        <v>44796</v>
      </c>
      <c r="H7782" t="str">
        <f>"81435"</f>
        <v>81435</v>
      </c>
      <c r="I7782">
        <v>1</v>
      </c>
      <c r="J7782">
        <v>22</v>
      </c>
      <c r="K7782">
        <v>0</v>
      </c>
      <c r="L7782">
        <v>17.16</v>
      </c>
    </row>
    <row r="7783" spans="1:12" x14ac:dyDescent="0.25">
      <c r="A7783" t="str">
        <f t="shared" si="1709"/>
        <v>89301000</v>
      </c>
      <c r="B7783" t="str">
        <f t="shared" si="1713"/>
        <v>93501000</v>
      </c>
      <c r="C7783" t="str">
        <f t="shared" si="1714"/>
        <v>93501001</v>
      </c>
      <c r="D7783" t="str">
        <f t="shared" si="1715"/>
        <v>801</v>
      </c>
      <c r="E7783" t="str">
        <f t="shared" si="1716"/>
        <v>89301167</v>
      </c>
      <c r="F7783" t="str">
        <f t="shared" si="1717"/>
        <v>470127462</v>
      </c>
      <c r="G7783" s="1">
        <v>44796</v>
      </c>
      <c r="H7783" t="str">
        <f>"81439"</f>
        <v>81439</v>
      </c>
      <c r="I7783">
        <v>1</v>
      </c>
      <c r="J7783">
        <v>16</v>
      </c>
      <c r="K7783">
        <v>0</v>
      </c>
      <c r="L7783">
        <v>12.48</v>
      </c>
    </row>
    <row r="7784" spans="1:12" x14ac:dyDescent="0.25">
      <c r="A7784" t="str">
        <f t="shared" si="1709"/>
        <v>89301000</v>
      </c>
      <c r="B7784" t="str">
        <f t="shared" si="1713"/>
        <v>93501000</v>
      </c>
      <c r="C7784" t="str">
        <f t="shared" si="1714"/>
        <v>93501001</v>
      </c>
      <c r="D7784" t="str">
        <f t="shared" si="1715"/>
        <v>801</v>
      </c>
      <c r="E7784" t="str">
        <f t="shared" si="1716"/>
        <v>89301167</v>
      </c>
      <c r="F7784" t="str">
        <f t="shared" si="1717"/>
        <v>470127462</v>
      </c>
      <c r="G7784" s="1">
        <v>44796</v>
      </c>
      <c r="H7784" t="str">
        <f>"81469"</f>
        <v>81469</v>
      </c>
      <c r="I7784">
        <v>1</v>
      </c>
      <c r="J7784">
        <v>16</v>
      </c>
      <c r="K7784">
        <v>0</v>
      </c>
      <c r="L7784">
        <v>12.48</v>
      </c>
    </row>
    <row r="7785" spans="1:12" x14ac:dyDescent="0.25">
      <c r="A7785" t="str">
        <f t="shared" si="1709"/>
        <v>89301000</v>
      </c>
      <c r="B7785" t="str">
        <f t="shared" si="1713"/>
        <v>93501000</v>
      </c>
      <c r="C7785" t="str">
        <f t="shared" si="1714"/>
        <v>93501001</v>
      </c>
      <c r="D7785" t="str">
        <f t="shared" si="1715"/>
        <v>801</v>
      </c>
      <c r="E7785" t="str">
        <f t="shared" si="1716"/>
        <v>89301167</v>
      </c>
      <c r="F7785" t="str">
        <f t="shared" si="1717"/>
        <v>470127462</v>
      </c>
      <c r="G7785" s="1">
        <v>44796</v>
      </c>
      <c r="H7785" t="str">
        <f>"81499"</f>
        <v>81499</v>
      </c>
      <c r="I7785">
        <v>1</v>
      </c>
      <c r="J7785">
        <v>18</v>
      </c>
      <c r="K7785">
        <v>0</v>
      </c>
      <c r="L7785">
        <v>14.04</v>
      </c>
    </row>
    <row r="7786" spans="1:12" x14ac:dyDescent="0.25">
      <c r="A7786" t="str">
        <f t="shared" si="1709"/>
        <v>89301000</v>
      </c>
      <c r="B7786" t="str">
        <f t="shared" si="1713"/>
        <v>93501000</v>
      </c>
      <c r="C7786" t="str">
        <f t="shared" si="1714"/>
        <v>93501001</v>
      </c>
      <c r="D7786" t="str">
        <f t="shared" si="1715"/>
        <v>801</v>
      </c>
      <c r="E7786" t="str">
        <f t="shared" si="1716"/>
        <v>89301167</v>
      </c>
      <c r="F7786" t="str">
        <f t="shared" si="1717"/>
        <v>470127462</v>
      </c>
      <c r="G7786" s="1">
        <v>44796</v>
      </c>
      <c r="H7786" t="str">
        <f>"81593"</f>
        <v>81593</v>
      </c>
      <c r="I7786">
        <v>1</v>
      </c>
      <c r="J7786">
        <v>22</v>
      </c>
      <c r="K7786">
        <v>0</v>
      </c>
      <c r="L7786">
        <v>17.16</v>
      </c>
    </row>
    <row r="7787" spans="1:12" x14ac:dyDescent="0.25">
      <c r="A7787" t="str">
        <f t="shared" si="1709"/>
        <v>89301000</v>
      </c>
      <c r="B7787" t="str">
        <f t="shared" si="1713"/>
        <v>93501000</v>
      </c>
      <c r="C7787" t="str">
        <f t="shared" si="1714"/>
        <v>93501001</v>
      </c>
      <c r="D7787" t="str">
        <f t="shared" si="1715"/>
        <v>801</v>
      </c>
      <c r="E7787" t="str">
        <f t="shared" si="1716"/>
        <v>89301167</v>
      </c>
      <c r="F7787" t="str">
        <f t="shared" si="1717"/>
        <v>470127462</v>
      </c>
      <c r="G7787" s="1">
        <v>44796</v>
      </c>
      <c r="H7787" t="str">
        <f>"81621"</f>
        <v>81621</v>
      </c>
      <c r="I7787">
        <v>1</v>
      </c>
      <c r="J7787">
        <v>19</v>
      </c>
      <c r="K7787">
        <v>0</v>
      </c>
      <c r="L7787">
        <v>14.82</v>
      </c>
    </row>
    <row r="7788" spans="1:12" x14ac:dyDescent="0.25">
      <c r="A7788" t="str">
        <f t="shared" si="1709"/>
        <v>89301000</v>
      </c>
      <c r="B7788" t="str">
        <f t="shared" si="1713"/>
        <v>93501000</v>
      </c>
      <c r="C7788" t="str">
        <f t="shared" si="1714"/>
        <v>93501001</v>
      </c>
      <c r="D7788" t="str">
        <f t="shared" si="1715"/>
        <v>801</v>
      </c>
      <c r="E7788" t="str">
        <f t="shared" si="1716"/>
        <v>89301167</v>
      </c>
      <c r="F7788" t="str">
        <f t="shared" si="1717"/>
        <v>470127462</v>
      </c>
      <c r="G7788" s="1">
        <v>44796</v>
      </c>
      <c r="H7788" t="str">
        <f>"91153"</f>
        <v>91153</v>
      </c>
      <c r="I7788">
        <v>1</v>
      </c>
      <c r="J7788">
        <v>152</v>
      </c>
      <c r="K7788">
        <v>0</v>
      </c>
      <c r="L7788">
        <v>118.56</v>
      </c>
    </row>
    <row r="7789" spans="1:12" x14ac:dyDescent="0.25">
      <c r="A7789" t="str">
        <f t="shared" si="1709"/>
        <v>89301000</v>
      </c>
      <c r="B7789" t="str">
        <f t="shared" si="1713"/>
        <v>93501000</v>
      </c>
      <c r="C7789" t="str">
        <f t="shared" si="1714"/>
        <v>93501001</v>
      </c>
      <c r="D7789" t="str">
        <f t="shared" si="1715"/>
        <v>801</v>
      </c>
      <c r="E7789" t="str">
        <f t="shared" si="1716"/>
        <v>89301167</v>
      </c>
      <c r="F7789" t="str">
        <f t="shared" si="1717"/>
        <v>470127462</v>
      </c>
      <c r="G7789" s="1">
        <v>44796</v>
      </c>
      <c r="H7789" t="str">
        <f>"93189"</f>
        <v>93189</v>
      </c>
      <c r="I7789">
        <v>1</v>
      </c>
      <c r="J7789">
        <v>189</v>
      </c>
      <c r="K7789">
        <v>0</v>
      </c>
      <c r="L7789">
        <v>147.41999999999999</v>
      </c>
    </row>
    <row r="7790" spans="1:12" x14ac:dyDescent="0.25">
      <c r="A7790" t="str">
        <f t="shared" si="1709"/>
        <v>89301000</v>
      </c>
      <c r="B7790" t="str">
        <f t="shared" si="1713"/>
        <v>93501000</v>
      </c>
      <c r="C7790" t="str">
        <f t="shared" si="1714"/>
        <v>93501001</v>
      </c>
      <c r="D7790" t="str">
        <f t="shared" si="1715"/>
        <v>801</v>
      </c>
      <c r="E7790" t="str">
        <f t="shared" si="1716"/>
        <v>89301167</v>
      </c>
      <c r="F7790" t="str">
        <f t="shared" si="1717"/>
        <v>470127462</v>
      </c>
      <c r="G7790" s="1">
        <v>44796</v>
      </c>
      <c r="H7790" t="str">
        <f>"93195"</f>
        <v>93195</v>
      </c>
      <c r="I7790">
        <v>1</v>
      </c>
      <c r="J7790">
        <v>181</v>
      </c>
      <c r="K7790">
        <v>0</v>
      </c>
      <c r="L7790">
        <v>141.18</v>
      </c>
    </row>
    <row r="7791" spans="1:12" x14ac:dyDescent="0.25">
      <c r="A7791" t="str">
        <f t="shared" si="1709"/>
        <v>89301000</v>
      </c>
      <c r="B7791" t="str">
        <f t="shared" si="1713"/>
        <v>93501000</v>
      </c>
      <c r="C7791" t="str">
        <f t="shared" si="1714"/>
        <v>93501001</v>
      </c>
      <c r="D7791" t="str">
        <f t="shared" si="1715"/>
        <v>801</v>
      </c>
      <c r="E7791" t="str">
        <f t="shared" si="1716"/>
        <v>89301167</v>
      </c>
      <c r="F7791" t="str">
        <f t="shared" si="1717"/>
        <v>470127462</v>
      </c>
      <c r="G7791" s="1">
        <v>44796</v>
      </c>
      <c r="H7791" t="str">
        <f>"97111"</f>
        <v>97111</v>
      </c>
      <c r="I7791">
        <v>1</v>
      </c>
      <c r="J7791">
        <v>18</v>
      </c>
      <c r="K7791">
        <v>0</v>
      </c>
      <c r="L7791">
        <v>14.04</v>
      </c>
    </row>
    <row r="7792" spans="1:12" x14ac:dyDescent="0.25">
      <c r="A7792" t="str">
        <f t="shared" si="1709"/>
        <v>89301000</v>
      </c>
      <c r="B7792" t="str">
        <f t="shared" si="1713"/>
        <v>93501000</v>
      </c>
      <c r="C7792" t="str">
        <f t="shared" si="1714"/>
        <v>93501001</v>
      </c>
      <c r="D7792" t="str">
        <f t="shared" si="1715"/>
        <v>801</v>
      </c>
      <c r="E7792" t="str">
        <f t="shared" ref="E7792:E7797" si="1718">"89301082"</f>
        <v>89301082</v>
      </c>
      <c r="F7792" t="str">
        <f t="shared" ref="F7792:F7797" si="1719">"8859056206"</f>
        <v>8859056206</v>
      </c>
      <c r="G7792" s="1">
        <v>44803</v>
      </c>
      <c r="H7792" t="str">
        <f>"81393"</f>
        <v>81393</v>
      </c>
      <c r="I7792">
        <v>1</v>
      </c>
      <c r="J7792">
        <v>24</v>
      </c>
      <c r="K7792">
        <v>0</v>
      </c>
      <c r="L7792">
        <v>18.72</v>
      </c>
    </row>
    <row r="7793" spans="1:12" x14ac:dyDescent="0.25">
      <c r="A7793" t="str">
        <f t="shared" si="1709"/>
        <v>89301000</v>
      </c>
      <c r="B7793" t="str">
        <f t="shared" si="1713"/>
        <v>93501000</v>
      </c>
      <c r="C7793" t="str">
        <f t="shared" si="1714"/>
        <v>93501001</v>
      </c>
      <c r="D7793" t="str">
        <f t="shared" si="1715"/>
        <v>801</v>
      </c>
      <c r="E7793" t="str">
        <f t="shared" si="1718"/>
        <v>89301082</v>
      </c>
      <c r="F7793" t="str">
        <f t="shared" si="1719"/>
        <v>8859056206</v>
      </c>
      <c r="G7793" s="1">
        <v>44803</v>
      </c>
      <c r="H7793" t="str">
        <f>"81469"</f>
        <v>81469</v>
      </c>
      <c r="I7793">
        <v>1</v>
      </c>
      <c r="J7793">
        <v>16</v>
      </c>
      <c r="K7793">
        <v>0</v>
      </c>
      <c r="L7793">
        <v>12.48</v>
      </c>
    </row>
    <row r="7794" spans="1:12" x14ac:dyDescent="0.25">
      <c r="A7794" t="str">
        <f t="shared" si="1709"/>
        <v>89301000</v>
      </c>
      <c r="B7794" t="str">
        <f t="shared" si="1713"/>
        <v>93501000</v>
      </c>
      <c r="C7794" t="str">
        <f t="shared" si="1714"/>
        <v>93501001</v>
      </c>
      <c r="D7794" t="str">
        <f t="shared" si="1715"/>
        <v>801</v>
      </c>
      <c r="E7794" t="str">
        <f t="shared" si="1718"/>
        <v>89301082</v>
      </c>
      <c r="F7794" t="str">
        <f t="shared" si="1719"/>
        <v>8859056206</v>
      </c>
      <c r="G7794" s="1">
        <v>44803</v>
      </c>
      <c r="H7794" t="str">
        <f>"81593"</f>
        <v>81593</v>
      </c>
      <c r="I7794">
        <v>1</v>
      </c>
      <c r="J7794">
        <v>22</v>
      </c>
      <c r="K7794">
        <v>0</v>
      </c>
      <c r="L7794">
        <v>17.16</v>
      </c>
    </row>
    <row r="7795" spans="1:12" x14ac:dyDescent="0.25">
      <c r="A7795" t="str">
        <f t="shared" si="1709"/>
        <v>89301000</v>
      </c>
      <c r="B7795" t="str">
        <f t="shared" si="1713"/>
        <v>93501000</v>
      </c>
      <c r="C7795" t="str">
        <f t="shared" si="1714"/>
        <v>93501001</v>
      </c>
      <c r="D7795" t="str">
        <f t="shared" si="1715"/>
        <v>801</v>
      </c>
      <c r="E7795" t="str">
        <f t="shared" si="1718"/>
        <v>89301082</v>
      </c>
      <c r="F7795" t="str">
        <f t="shared" si="1719"/>
        <v>8859056206</v>
      </c>
      <c r="G7795" s="1">
        <v>44803</v>
      </c>
      <c r="H7795" t="str">
        <f>"93177"</f>
        <v>93177</v>
      </c>
      <c r="I7795">
        <v>1</v>
      </c>
      <c r="J7795">
        <v>178</v>
      </c>
      <c r="K7795">
        <v>0</v>
      </c>
      <c r="L7795">
        <v>138.84</v>
      </c>
    </row>
    <row r="7796" spans="1:12" x14ac:dyDescent="0.25">
      <c r="A7796" t="str">
        <f t="shared" si="1709"/>
        <v>89301000</v>
      </c>
      <c r="B7796" t="str">
        <f t="shared" si="1713"/>
        <v>93501000</v>
      </c>
      <c r="C7796" t="str">
        <f t="shared" si="1714"/>
        <v>93501001</v>
      </c>
      <c r="D7796" t="str">
        <f t="shared" si="1715"/>
        <v>801</v>
      </c>
      <c r="E7796" t="str">
        <f t="shared" si="1718"/>
        <v>89301082</v>
      </c>
      <c r="F7796" t="str">
        <f t="shared" si="1719"/>
        <v>8859056206</v>
      </c>
      <c r="G7796" s="1">
        <v>44803</v>
      </c>
      <c r="H7796" t="str">
        <f>"97111"</f>
        <v>97111</v>
      </c>
      <c r="I7796">
        <v>1</v>
      </c>
      <c r="J7796">
        <v>18</v>
      </c>
      <c r="K7796">
        <v>0</v>
      </c>
      <c r="L7796">
        <v>14.04</v>
      </c>
    </row>
    <row r="7797" spans="1:12" x14ac:dyDescent="0.25">
      <c r="A7797" t="str">
        <f t="shared" si="1709"/>
        <v>89301000</v>
      </c>
      <c r="B7797" t="str">
        <f t="shared" si="1713"/>
        <v>93501000</v>
      </c>
      <c r="C7797" t="str">
        <f>"93501003"</f>
        <v>93501003</v>
      </c>
      <c r="D7797" t="str">
        <f t="shared" si="1715"/>
        <v>801</v>
      </c>
      <c r="E7797" t="str">
        <f t="shared" si="1718"/>
        <v>89301082</v>
      </c>
      <c r="F7797" t="str">
        <f t="shared" si="1719"/>
        <v>8859056206</v>
      </c>
      <c r="G7797" s="1">
        <v>44803</v>
      </c>
      <c r="H7797" t="str">
        <f>"09119"</f>
        <v>09119</v>
      </c>
      <c r="I7797">
        <v>1</v>
      </c>
      <c r="J7797">
        <v>42</v>
      </c>
      <c r="K7797">
        <v>0</v>
      </c>
      <c r="L7797">
        <v>32.76</v>
      </c>
    </row>
    <row r="7798" spans="1:12" x14ac:dyDescent="0.25">
      <c r="A7798" t="str">
        <f t="shared" si="1709"/>
        <v>89301000</v>
      </c>
      <c r="B7798" t="str">
        <f t="shared" si="1713"/>
        <v>93501000</v>
      </c>
      <c r="C7798" t="str">
        <f>"93501005"</f>
        <v>93501005</v>
      </c>
      <c r="D7798" t="str">
        <f>"818"</f>
        <v>818</v>
      </c>
      <c r="E7798" t="str">
        <f>"89301167"</f>
        <v>89301167</v>
      </c>
      <c r="F7798" t="str">
        <f>"470127462"</f>
        <v>470127462</v>
      </c>
      <c r="G7798" s="1">
        <v>44796</v>
      </c>
      <c r="H7798" t="str">
        <f>"96167"</f>
        <v>96167</v>
      </c>
      <c r="I7798">
        <v>1</v>
      </c>
      <c r="J7798">
        <v>67</v>
      </c>
      <c r="K7798">
        <v>0</v>
      </c>
      <c r="L7798">
        <v>60.97</v>
      </c>
    </row>
    <row r="7799" spans="1:12" x14ac:dyDescent="0.25">
      <c r="A7799" t="str">
        <f t="shared" si="1709"/>
        <v>89301000</v>
      </c>
      <c r="B7799" t="str">
        <f t="shared" ref="B7799:B7846" si="1720">"78051000"</f>
        <v>78051000</v>
      </c>
      <c r="C7799" t="str">
        <f t="shared" ref="C7799:C7838" si="1721">"78051004"</f>
        <v>78051004</v>
      </c>
      <c r="D7799" t="str">
        <f t="shared" ref="D7799:D7838" si="1722">"809"</f>
        <v>809</v>
      </c>
      <c r="E7799" t="str">
        <f t="shared" ref="E7799:E7846" si="1723">"89301062"</f>
        <v>89301062</v>
      </c>
      <c r="F7799" t="str">
        <f>"7008164471"</f>
        <v>7008164471</v>
      </c>
      <c r="G7799" s="1">
        <v>44783</v>
      </c>
      <c r="H7799" t="str">
        <f>"89311"</f>
        <v>89311</v>
      </c>
      <c r="I7799">
        <v>1</v>
      </c>
      <c r="J7799">
        <v>936</v>
      </c>
      <c r="K7799">
        <v>0</v>
      </c>
      <c r="L7799">
        <v>1310.4000000000001</v>
      </c>
    </row>
    <row r="7800" spans="1:12" x14ac:dyDescent="0.25">
      <c r="A7800" t="str">
        <f t="shared" si="1709"/>
        <v>89301000</v>
      </c>
      <c r="B7800" t="str">
        <f t="shared" si="1720"/>
        <v>78051000</v>
      </c>
      <c r="C7800" t="str">
        <f t="shared" si="1721"/>
        <v>78051004</v>
      </c>
      <c r="D7800" t="str">
        <f t="shared" si="1722"/>
        <v>809</v>
      </c>
      <c r="E7800" t="str">
        <f t="shared" si="1723"/>
        <v>89301062</v>
      </c>
      <c r="F7800" t="str">
        <f>"7008164471"</f>
        <v>7008164471</v>
      </c>
      <c r="G7800" s="1">
        <v>44783</v>
      </c>
      <c r="H7800" t="str">
        <f>"0090044"</f>
        <v>0090044</v>
      </c>
      <c r="I7800">
        <v>1</v>
      </c>
      <c r="K7800">
        <v>16.8</v>
      </c>
      <c r="L7800">
        <v>16.8</v>
      </c>
    </row>
    <row r="7801" spans="1:12" x14ac:dyDescent="0.25">
      <c r="A7801" t="str">
        <f t="shared" si="1709"/>
        <v>89301000</v>
      </c>
      <c r="B7801" t="str">
        <f t="shared" si="1720"/>
        <v>78051000</v>
      </c>
      <c r="C7801" t="str">
        <f t="shared" si="1721"/>
        <v>78051004</v>
      </c>
      <c r="D7801" t="str">
        <f t="shared" si="1722"/>
        <v>809</v>
      </c>
      <c r="E7801" t="str">
        <f t="shared" si="1723"/>
        <v>89301062</v>
      </c>
      <c r="F7801" t="str">
        <f>"7008164471"</f>
        <v>7008164471</v>
      </c>
      <c r="G7801" s="1">
        <v>44783</v>
      </c>
      <c r="H7801" t="str">
        <f>"0225891"</f>
        <v>0225891</v>
      </c>
      <c r="I7801">
        <v>0.2</v>
      </c>
      <c r="K7801">
        <v>73.540000000000006</v>
      </c>
      <c r="L7801">
        <v>73.540000000000006</v>
      </c>
    </row>
    <row r="7802" spans="1:12" x14ac:dyDescent="0.25">
      <c r="A7802" t="str">
        <f t="shared" si="1709"/>
        <v>89301000</v>
      </c>
      <c r="B7802" t="str">
        <f t="shared" si="1720"/>
        <v>78051000</v>
      </c>
      <c r="C7802" t="str">
        <f t="shared" si="1721"/>
        <v>78051004</v>
      </c>
      <c r="D7802" t="str">
        <f t="shared" si="1722"/>
        <v>809</v>
      </c>
      <c r="E7802" t="str">
        <f t="shared" si="1723"/>
        <v>89301062</v>
      </c>
      <c r="F7802" t="str">
        <f>"7008164471"</f>
        <v>7008164471</v>
      </c>
      <c r="G7802" s="1">
        <v>44783</v>
      </c>
      <c r="H7802" t="str">
        <f>"0096251"</f>
        <v>0096251</v>
      </c>
      <c r="I7802">
        <v>0.17</v>
      </c>
      <c r="K7802">
        <v>198.83</v>
      </c>
      <c r="L7802">
        <v>198.83</v>
      </c>
    </row>
    <row r="7803" spans="1:12" x14ac:dyDescent="0.25">
      <c r="A7803" t="str">
        <f t="shared" si="1709"/>
        <v>89301000</v>
      </c>
      <c r="B7803" t="str">
        <f t="shared" si="1720"/>
        <v>78051000</v>
      </c>
      <c r="C7803" t="str">
        <f t="shared" si="1721"/>
        <v>78051004</v>
      </c>
      <c r="D7803" t="str">
        <f t="shared" si="1722"/>
        <v>809</v>
      </c>
      <c r="E7803" t="str">
        <f t="shared" si="1723"/>
        <v>89301062</v>
      </c>
      <c r="F7803" t="str">
        <f>"7008164471"</f>
        <v>7008164471</v>
      </c>
      <c r="G7803" s="1">
        <v>44783</v>
      </c>
      <c r="H7803" t="str">
        <f>"0098943"</f>
        <v>0098943</v>
      </c>
      <c r="I7803">
        <v>1</v>
      </c>
      <c r="K7803">
        <v>293.81</v>
      </c>
      <c r="L7803">
        <v>293.81</v>
      </c>
    </row>
    <row r="7804" spans="1:12" x14ac:dyDescent="0.25">
      <c r="A7804" t="str">
        <f t="shared" si="1709"/>
        <v>89301000</v>
      </c>
      <c r="B7804" t="str">
        <f t="shared" si="1720"/>
        <v>78051000</v>
      </c>
      <c r="C7804" t="str">
        <f t="shared" si="1721"/>
        <v>78051004</v>
      </c>
      <c r="D7804" t="str">
        <f t="shared" si="1722"/>
        <v>809</v>
      </c>
      <c r="E7804" t="str">
        <f t="shared" si="1723"/>
        <v>89301062</v>
      </c>
      <c r="F7804" t="str">
        <f>"455223401"</f>
        <v>455223401</v>
      </c>
      <c r="G7804" s="1">
        <v>44783</v>
      </c>
      <c r="H7804" t="str">
        <f>"89311"</f>
        <v>89311</v>
      </c>
      <c r="I7804">
        <v>1</v>
      </c>
      <c r="J7804">
        <v>936</v>
      </c>
      <c r="K7804">
        <v>0</v>
      </c>
      <c r="L7804">
        <v>1310.4000000000001</v>
      </c>
    </row>
    <row r="7805" spans="1:12" x14ac:dyDescent="0.25">
      <c r="A7805" t="str">
        <f t="shared" si="1709"/>
        <v>89301000</v>
      </c>
      <c r="B7805" t="str">
        <f t="shared" si="1720"/>
        <v>78051000</v>
      </c>
      <c r="C7805" t="str">
        <f t="shared" si="1721"/>
        <v>78051004</v>
      </c>
      <c r="D7805" t="str">
        <f t="shared" si="1722"/>
        <v>809</v>
      </c>
      <c r="E7805" t="str">
        <f t="shared" si="1723"/>
        <v>89301062</v>
      </c>
      <c r="F7805" t="str">
        <f>"455223401"</f>
        <v>455223401</v>
      </c>
      <c r="G7805" s="1">
        <v>44783</v>
      </c>
      <c r="H7805" t="str">
        <f>"0090044"</f>
        <v>0090044</v>
      </c>
      <c r="I7805">
        <v>1</v>
      </c>
      <c r="K7805">
        <v>16.8</v>
      </c>
      <c r="L7805">
        <v>16.8</v>
      </c>
    </row>
    <row r="7806" spans="1:12" x14ac:dyDescent="0.25">
      <c r="A7806" t="str">
        <f t="shared" si="1709"/>
        <v>89301000</v>
      </c>
      <c r="B7806" t="str">
        <f t="shared" si="1720"/>
        <v>78051000</v>
      </c>
      <c r="C7806" t="str">
        <f t="shared" si="1721"/>
        <v>78051004</v>
      </c>
      <c r="D7806" t="str">
        <f t="shared" si="1722"/>
        <v>809</v>
      </c>
      <c r="E7806" t="str">
        <f t="shared" si="1723"/>
        <v>89301062</v>
      </c>
      <c r="F7806" t="str">
        <f>"455223401"</f>
        <v>455223401</v>
      </c>
      <c r="G7806" s="1">
        <v>44783</v>
      </c>
      <c r="H7806" t="str">
        <f>"0225891"</f>
        <v>0225891</v>
      </c>
      <c r="I7806">
        <v>0.2</v>
      </c>
      <c r="K7806">
        <v>73.540000000000006</v>
      </c>
      <c r="L7806">
        <v>73.540000000000006</v>
      </c>
    </row>
    <row r="7807" spans="1:12" x14ac:dyDescent="0.25">
      <c r="A7807" t="str">
        <f t="shared" si="1709"/>
        <v>89301000</v>
      </c>
      <c r="B7807" t="str">
        <f t="shared" si="1720"/>
        <v>78051000</v>
      </c>
      <c r="C7807" t="str">
        <f t="shared" si="1721"/>
        <v>78051004</v>
      </c>
      <c r="D7807" t="str">
        <f t="shared" si="1722"/>
        <v>809</v>
      </c>
      <c r="E7807" t="str">
        <f t="shared" si="1723"/>
        <v>89301062</v>
      </c>
      <c r="F7807" t="str">
        <f>"455223401"</f>
        <v>455223401</v>
      </c>
      <c r="G7807" s="1">
        <v>44783</v>
      </c>
      <c r="H7807" t="str">
        <f>"0096251"</f>
        <v>0096251</v>
      </c>
      <c r="I7807">
        <v>0.17</v>
      </c>
      <c r="K7807">
        <v>198.83</v>
      </c>
      <c r="L7807">
        <v>198.83</v>
      </c>
    </row>
    <row r="7808" spans="1:12" x14ac:dyDescent="0.25">
      <c r="A7808" t="str">
        <f t="shared" si="1709"/>
        <v>89301000</v>
      </c>
      <c r="B7808" t="str">
        <f t="shared" si="1720"/>
        <v>78051000</v>
      </c>
      <c r="C7808" t="str">
        <f t="shared" si="1721"/>
        <v>78051004</v>
      </c>
      <c r="D7808" t="str">
        <f t="shared" si="1722"/>
        <v>809</v>
      </c>
      <c r="E7808" t="str">
        <f t="shared" si="1723"/>
        <v>89301062</v>
      </c>
      <c r="F7808" t="str">
        <f>"455223401"</f>
        <v>455223401</v>
      </c>
      <c r="G7808" s="1">
        <v>44783</v>
      </c>
      <c r="H7808" t="str">
        <f>"0098943"</f>
        <v>0098943</v>
      </c>
      <c r="I7808">
        <v>1</v>
      </c>
      <c r="K7808">
        <v>293.81</v>
      </c>
      <c r="L7808">
        <v>293.81</v>
      </c>
    </row>
    <row r="7809" spans="1:12" x14ac:dyDescent="0.25">
      <c r="A7809" t="str">
        <f t="shared" si="1709"/>
        <v>89301000</v>
      </c>
      <c r="B7809" t="str">
        <f t="shared" si="1720"/>
        <v>78051000</v>
      </c>
      <c r="C7809" t="str">
        <f t="shared" si="1721"/>
        <v>78051004</v>
      </c>
      <c r="D7809" t="str">
        <f t="shared" si="1722"/>
        <v>809</v>
      </c>
      <c r="E7809" t="str">
        <f t="shared" si="1723"/>
        <v>89301062</v>
      </c>
      <c r="F7809" t="str">
        <f>"505302082"</f>
        <v>505302082</v>
      </c>
      <c r="G7809" s="1">
        <v>44783</v>
      </c>
      <c r="H7809" t="str">
        <f>"89311"</f>
        <v>89311</v>
      </c>
      <c r="I7809">
        <v>1</v>
      </c>
      <c r="J7809">
        <v>936</v>
      </c>
      <c r="K7809">
        <v>0</v>
      </c>
      <c r="L7809">
        <v>1310.4000000000001</v>
      </c>
    </row>
    <row r="7810" spans="1:12" x14ac:dyDescent="0.25">
      <c r="A7810" t="str">
        <f t="shared" ref="A7810:A7873" si="1724">"89301000"</f>
        <v>89301000</v>
      </c>
      <c r="B7810" t="str">
        <f t="shared" si="1720"/>
        <v>78051000</v>
      </c>
      <c r="C7810" t="str">
        <f t="shared" si="1721"/>
        <v>78051004</v>
      </c>
      <c r="D7810" t="str">
        <f t="shared" si="1722"/>
        <v>809</v>
      </c>
      <c r="E7810" t="str">
        <f t="shared" si="1723"/>
        <v>89301062</v>
      </c>
      <c r="F7810" t="str">
        <f>"505302082"</f>
        <v>505302082</v>
      </c>
      <c r="G7810" s="1">
        <v>44783</v>
      </c>
      <c r="H7810" t="str">
        <f>"0090044"</f>
        <v>0090044</v>
      </c>
      <c r="I7810">
        <v>1</v>
      </c>
      <c r="K7810">
        <v>16.8</v>
      </c>
      <c r="L7810">
        <v>16.8</v>
      </c>
    </row>
    <row r="7811" spans="1:12" x14ac:dyDescent="0.25">
      <c r="A7811" t="str">
        <f t="shared" si="1724"/>
        <v>89301000</v>
      </c>
      <c r="B7811" t="str">
        <f t="shared" si="1720"/>
        <v>78051000</v>
      </c>
      <c r="C7811" t="str">
        <f t="shared" si="1721"/>
        <v>78051004</v>
      </c>
      <c r="D7811" t="str">
        <f t="shared" si="1722"/>
        <v>809</v>
      </c>
      <c r="E7811" t="str">
        <f t="shared" si="1723"/>
        <v>89301062</v>
      </c>
      <c r="F7811" t="str">
        <f>"505302082"</f>
        <v>505302082</v>
      </c>
      <c r="G7811" s="1">
        <v>44783</v>
      </c>
      <c r="H7811" t="str">
        <f>"0225891"</f>
        <v>0225891</v>
      </c>
      <c r="I7811">
        <v>0.2</v>
      </c>
      <c r="K7811">
        <v>73.540000000000006</v>
      </c>
      <c r="L7811">
        <v>73.540000000000006</v>
      </c>
    </row>
    <row r="7812" spans="1:12" x14ac:dyDescent="0.25">
      <c r="A7812" t="str">
        <f t="shared" si="1724"/>
        <v>89301000</v>
      </c>
      <c r="B7812" t="str">
        <f t="shared" si="1720"/>
        <v>78051000</v>
      </c>
      <c r="C7812" t="str">
        <f t="shared" si="1721"/>
        <v>78051004</v>
      </c>
      <c r="D7812" t="str">
        <f t="shared" si="1722"/>
        <v>809</v>
      </c>
      <c r="E7812" t="str">
        <f t="shared" si="1723"/>
        <v>89301062</v>
      </c>
      <c r="F7812" t="str">
        <f>"505302082"</f>
        <v>505302082</v>
      </c>
      <c r="G7812" s="1">
        <v>44783</v>
      </c>
      <c r="H7812" t="str">
        <f>"0096251"</f>
        <v>0096251</v>
      </c>
      <c r="I7812">
        <v>0.17</v>
      </c>
      <c r="K7812">
        <v>198.83</v>
      </c>
      <c r="L7812">
        <v>198.83</v>
      </c>
    </row>
    <row r="7813" spans="1:12" x14ac:dyDescent="0.25">
      <c r="A7813" t="str">
        <f t="shared" si="1724"/>
        <v>89301000</v>
      </c>
      <c r="B7813" t="str">
        <f t="shared" si="1720"/>
        <v>78051000</v>
      </c>
      <c r="C7813" t="str">
        <f t="shared" si="1721"/>
        <v>78051004</v>
      </c>
      <c r="D7813" t="str">
        <f t="shared" si="1722"/>
        <v>809</v>
      </c>
      <c r="E7813" t="str">
        <f t="shared" si="1723"/>
        <v>89301062</v>
      </c>
      <c r="F7813" t="str">
        <f>"505302082"</f>
        <v>505302082</v>
      </c>
      <c r="G7813" s="1">
        <v>44783</v>
      </c>
      <c r="H7813" t="str">
        <f>"0098943"</f>
        <v>0098943</v>
      </c>
      <c r="I7813">
        <v>1</v>
      </c>
      <c r="K7813">
        <v>293.81</v>
      </c>
      <c r="L7813">
        <v>293.81</v>
      </c>
    </row>
    <row r="7814" spans="1:12" x14ac:dyDescent="0.25">
      <c r="A7814" t="str">
        <f t="shared" si="1724"/>
        <v>89301000</v>
      </c>
      <c r="B7814" t="str">
        <f t="shared" si="1720"/>
        <v>78051000</v>
      </c>
      <c r="C7814" t="str">
        <f t="shared" si="1721"/>
        <v>78051004</v>
      </c>
      <c r="D7814" t="str">
        <f t="shared" si="1722"/>
        <v>809</v>
      </c>
      <c r="E7814" t="str">
        <f t="shared" si="1723"/>
        <v>89301062</v>
      </c>
      <c r="F7814" t="str">
        <f>"7352125704"</f>
        <v>7352125704</v>
      </c>
      <c r="G7814" s="1">
        <v>44797</v>
      </c>
      <c r="H7814" t="str">
        <f>"89311"</f>
        <v>89311</v>
      </c>
      <c r="I7814">
        <v>1</v>
      </c>
      <c r="J7814">
        <v>936</v>
      </c>
      <c r="K7814">
        <v>0</v>
      </c>
      <c r="L7814">
        <v>1310.4000000000001</v>
      </c>
    </row>
    <row r="7815" spans="1:12" x14ac:dyDescent="0.25">
      <c r="A7815" t="str">
        <f t="shared" si="1724"/>
        <v>89301000</v>
      </c>
      <c r="B7815" t="str">
        <f t="shared" si="1720"/>
        <v>78051000</v>
      </c>
      <c r="C7815" t="str">
        <f t="shared" si="1721"/>
        <v>78051004</v>
      </c>
      <c r="D7815" t="str">
        <f t="shared" si="1722"/>
        <v>809</v>
      </c>
      <c r="E7815" t="str">
        <f t="shared" si="1723"/>
        <v>89301062</v>
      </c>
      <c r="F7815" t="str">
        <f>"7352125704"</f>
        <v>7352125704</v>
      </c>
      <c r="G7815" s="1">
        <v>44797</v>
      </c>
      <c r="H7815" t="str">
        <f>"0090044"</f>
        <v>0090044</v>
      </c>
      <c r="I7815">
        <v>1</v>
      </c>
      <c r="K7815">
        <v>16.8</v>
      </c>
      <c r="L7815">
        <v>16.8</v>
      </c>
    </row>
    <row r="7816" spans="1:12" x14ac:dyDescent="0.25">
      <c r="A7816" t="str">
        <f t="shared" si="1724"/>
        <v>89301000</v>
      </c>
      <c r="B7816" t="str">
        <f t="shared" si="1720"/>
        <v>78051000</v>
      </c>
      <c r="C7816" t="str">
        <f t="shared" si="1721"/>
        <v>78051004</v>
      </c>
      <c r="D7816" t="str">
        <f t="shared" si="1722"/>
        <v>809</v>
      </c>
      <c r="E7816" t="str">
        <f t="shared" si="1723"/>
        <v>89301062</v>
      </c>
      <c r="F7816" t="str">
        <f>"7352125704"</f>
        <v>7352125704</v>
      </c>
      <c r="G7816" s="1">
        <v>44797</v>
      </c>
      <c r="H7816" t="str">
        <f>"0225891"</f>
        <v>0225891</v>
      </c>
      <c r="I7816">
        <v>0.2</v>
      </c>
      <c r="K7816">
        <v>73.540000000000006</v>
      </c>
      <c r="L7816">
        <v>73.540000000000006</v>
      </c>
    </row>
    <row r="7817" spans="1:12" x14ac:dyDescent="0.25">
      <c r="A7817" t="str">
        <f t="shared" si="1724"/>
        <v>89301000</v>
      </c>
      <c r="B7817" t="str">
        <f t="shared" si="1720"/>
        <v>78051000</v>
      </c>
      <c r="C7817" t="str">
        <f t="shared" si="1721"/>
        <v>78051004</v>
      </c>
      <c r="D7817" t="str">
        <f t="shared" si="1722"/>
        <v>809</v>
      </c>
      <c r="E7817" t="str">
        <f t="shared" si="1723"/>
        <v>89301062</v>
      </c>
      <c r="F7817" t="str">
        <f>"7352125704"</f>
        <v>7352125704</v>
      </c>
      <c r="G7817" s="1">
        <v>44797</v>
      </c>
      <c r="H7817" t="str">
        <f>"0096251"</f>
        <v>0096251</v>
      </c>
      <c r="I7817">
        <v>0.17</v>
      </c>
      <c r="K7817">
        <v>198.83</v>
      </c>
      <c r="L7817">
        <v>198.83</v>
      </c>
    </row>
    <row r="7818" spans="1:12" x14ac:dyDescent="0.25">
      <c r="A7818" t="str">
        <f t="shared" si="1724"/>
        <v>89301000</v>
      </c>
      <c r="B7818" t="str">
        <f t="shared" si="1720"/>
        <v>78051000</v>
      </c>
      <c r="C7818" t="str">
        <f t="shared" si="1721"/>
        <v>78051004</v>
      </c>
      <c r="D7818" t="str">
        <f t="shared" si="1722"/>
        <v>809</v>
      </c>
      <c r="E7818" t="str">
        <f t="shared" si="1723"/>
        <v>89301062</v>
      </c>
      <c r="F7818" t="str">
        <f>"7352125704"</f>
        <v>7352125704</v>
      </c>
      <c r="G7818" s="1">
        <v>44797</v>
      </c>
      <c r="H7818" t="str">
        <f>"0098943"</f>
        <v>0098943</v>
      </c>
      <c r="I7818">
        <v>1</v>
      </c>
      <c r="K7818">
        <v>293.81</v>
      </c>
      <c r="L7818">
        <v>293.81</v>
      </c>
    </row>
    <row r="7819" spans="1:12" x14ac:dyDescent="0.25">
      <c r="A7819" t="str">
        <f t="shared" si="1724"/>
        <v>89301000</v>
      </c>
      <c r="B7819" t="str">
        <f t="shared" si="1720"/>
        <v>78051000</v>
      </c>
      <c r="C7819" t="str">
        <f t="shared" si="1721"/>
        <v>78051004</v>
      </c>
      <c r="D7819" t="str">
        <f t="shared" si="1722"/>
        <v>809</v>
      </c>
      <c r="E7819" t="str">
        <f t="shared" si="1723"/>
        <v>89301062</v>
      </c>
      <c r="F7819" t="str">
        <f>"8010164668"</f>
        <v>8010164668</v>
      </c>
      <c r="G7819" s="1">
        <v>44797</v>
      </c>
      <c r="H7819" t="str">
        <f>"89311"</f>
        <v>89311</v>
      </c>
      <c r="I7819">
        <v>1</v>
      </c>
      <c r="J7819">
        <v>936</v>
      </c>
      <c r="K7819">
        <v>0</v>
      </c>
      <c r="L7819">
        <v>1310.4000000000001</v>
      </c>
    </row>
    <row r="7820" spans="1:12" x14ac:dyDescent="0.25">
      <c r="A7820" t="str">
        <f t="shared" si="1724"/>
        <v>89301000</v>
      </c>
      <c r="B7820" t="str">
        <f t="shared" si="1720"/>
        <v>78051000</v>
      </c>
      <c r="C7820" t="str">
        <f t="shared" si="1721"/>
        <v>78051004</v>
      </c>
      <c r="D7820" t="str">
        <f t="shared" si="1722"/>
        <v>809</v>
      </c>
      <c r="E7820" t="str">
        <f t="shared" si="1723"/>
        <v>89301062</v>
      </c>
      <c r="F7820" t="str">
        <f>"8010164668"</f>
        <v>8010164668</v>
      </c>
      <c r="G7820" s="1">
        <v>44797</v>
      </c>
      <c r="H7820" t="str">
        <f>"0090044"</f>
        <v>0090044</v>
      </c>
      <c r="I7820">
        <v>1</v>
      </c>
      <c r="K7820">
        <v>16.8</v>
      </c>
      <c r="L7820">
        <v>16.8</v>
      </c>
    </row>
    <row r="7821" spans="1:12" x14ac:dyDescent="0.25">
      <c r="A7821" t="str">
        <f t="shared" si="1724"/>
        <v>89301000</v>
      </c>
      <c r="B7821" t="str">
        <f t="shared" si="1720"/>
        <v>78051000</v>
      </c>
      <c r="C7821" t="str">
        <f t="shared" si="1721"/>
        <v>78051004</v>
      </c>
      <c r="D7821" t="str">
        <f t="shared" si="1722"/>
        <v>809</v>
      </c>
      <c r="E7821" t="str">
        <f t="shared" si="1723"/>
        <v>89301062</v>
      </c>
      <c r="F7821" t="str">
        <f>"8010164668"</f>
        <v>8010164668</v>
      </c>
      <c r="G7821" s="1">
        <v>44797</v>
      </c>
      <c r="H7821" t="str">
        <f>"0225891"</f>
        <v>0225891</v>
      </c>
      <c r="I7821">
        <v>0.2</v>
      </c>
      <c r="K7821">
        <v>73.540000000000006</v>
      </c>
      <c r="L7821">
        <v>73.540000000000006</v>
      </c>
    </row>
    <row r="7822" spans="1:12" x14ac:dyDescent="0.25">
      <c r="A7822" t="str">
        <f t="shared" si="1724"/>
        <v>89301000</v>
      </c>
      <c r="B7822" t="str">
        <f t="shared" si="1720"/>
        <v>78051000</v>
      </c>
      <c r="C7822" t="str">
        <f t="shared" si="1721"/>
        <v>78051004</v>
      </c>
      <c r="D7822" t="str">
        <f t="shared" si="1722"/>
        <v>809</v>
      </c>
      <c r="E7822" t="str">
        <f t="shared" si="1723"/>
        <v>89301062</v>
      </c>
      <c r="F7822" t="str">
        <f>"8010164668"</f>
        <v>8010164668</v>
      </c>
      <c r="G7822" s="1">
        <v>44797</v>
      </c>
      <c r="H7822" t="str">
        <f>"0096251"</f>
        <v>0096251</v>
      </c>
      <c r="I7822">
        <v>0.17</v>
      </c>
      <c r="K7822">
        <v>198.83</v>
      </c>
      <c r="L7822">
        <v>198.83</v>
      </c>
    </row>
    <row r="7823" spans="1:12" x14ac:dyDescent="0.25">
      <c r="A7823" t="str">
        <f t="shared" si="1724"/>
        <v>89301000</v>
      </c>
      <c r="B7823" t="str">
        <f t="shared" si="1720"/>
        <v>78051000</v>
      </c>
      <c r="C7823" t="str">
        <f t="shared" si="1721"/>
        <v>78051004</v>
      </c>
      <c r="D7823" t="str">
        <f t="shared" si="1722"/>
        <v>809</v>
      </c>
      <c r="E7823" t="str">
        <f t="shared" si="1723"/>
        <v>89301062</v>
      </c>
      <c r="F7823" t="str">
        <f>"8010164668"</f>
        <v>8010164668</v>
      </c>
      <c r="G7823" s="1">
        <v>44797</v>
      </c>
      <c r="H7823" t="str">
        <f>"0098943"</f>
        <v>0098943</v>
      </c>
      <c r="I7823">
        <v>1</v>
      </c>
      <c r="K7823">
        <v>293.81</v>
      </c>
      <c r="L7823">
        <v>293.81</v>
      </c>
    </row>
    <row r="7824" spans="1:12" x14ac:dyDescent="0.25">
      <c r="A7824" t="str">
        <f t="shared" si="1724"/>
        <v>89301000</v>
      </c>
      <c r="B7824" t="str">
        <f t="shared" si="1720"/>
        <v>78051000</v>
      </c>
      <c r="C7824" t="str">
        <f t="shared" si="1721"/>
        <v>78051004</v>
      </c>
      <c r="D7824" t="str">
        <f t="shared" si="1722"/>
        <v>809</v>
      </c>
      <c r="E7824" t="str">
        <f t="shared" si="1723"/>
        <v>89301062</v>
      </c>
      <c r="F7824" t="str">
        <f>"7258193767"</f>
        <v>7258193767</v>
      </c>
      <c r="G7824" s="1">
        <v>44797</v>
      </c>
      <c r="H7824" t="str">
        <f>"89311"</f>
        <v>89311</v>
      </c>
      <c r="I7824">
        <v>1</v>
      </c>
      <c r="J7824">
        <v>936</v>
      </c>
      <c r="K7824">
        <v>0</v>
      </c>
      <c r="L7824">
        <v>1310.4000000000001</v>
      </c>
    </row>
    <row r="7825" spans="1:12" x14ac:dyDescent="0.25">
      <c r="A7825" t="str">
        <f t="shared" si="1724"/>
        <v>89301000</v>
      </c>
      <c r="B7825" t="str">
        <f t="shared" si="1720"/>
        <v>78051000</v>
      </c>
      <c r="C7825" t="str">
        <f t="shared" si="1721"/>
        <v>78051004</v>
      </c>
      <c r="D7825" t="str">
        <f t="shared" si="1722"/>
        <v>809</v>
      </c>
      <c r="E7825" t="str">
        <f t="shared" si="1723"/>
        <v>89301062</v>
      </c>
      <c r="F7825" t="str">
        <f>"7258193767"</f>
        <v>7258193767</v>
      </c>
      <c r="G7825" s="1">
        <v>44797</v>
      </c>
      <c r="H7825" t="str">
        <f>"0090044"</f>
        <v>0090044</v>
      </c>
      <c r="I7825">
        <v>1</v>
      </c>
      <c r="K7825">
        <v>16.8</v>
      </c>
      <c r="L7825">
        <v>16.8</v>
      </c>
    </row>
    <row r="7826" spans="1:12" x14ac:dyDescent="0.25">
      <c r="A7826" t="str">
        <f t="shared" si="1724"/>
        <v>89301000</v>
      </c>
      <c r="B7826" t="str">
        <f t="shared" si="1720"/>
        <v>78051000</v>
      </c>
      <c r="C7826" t="str">
        <f t="shared" si="1721"/>
        <v>78051004</v>
      </c>
      <c r="D7826" t="str">
        <f t="shared" si="1722"/>
        <v>809</v>
      </c>
      <c r="E7826" t="str">
        <f t="shared" si="1723"/>
        <v>89301062</v>
      </c>
      <c r="F7826" t="str">
        <f>"7258193767"</f>
        <v>7258193767</v>
      </c>
      <c r="G7826" s="1">
        <v>44797</v>
      </c>
      <c r="H7826" t="str">
        <f>"0225891"</f>
        <v>0225891</v>
      </c>
      <c r="I7826">
        <v>0.2</v>
      </c>
      <c r="K7826">
        <v>73.540000000000006</v>
      </c>
      <c r="L7826">
        <v>73.540000000000006</v>
      </c>
    </row>
    <row r="7827" spans="1:12" x14ac:dyDescent="0.25">
      <c r="A7827" t="str">
        <f t="shared" si="1724"/>
        <v>89301000</v>
      </c>
      <c r="B7827" t="str">
        <f t="shared" si="1720"/>
        <v>78051000</v>
      </c>
      <c r="C7827" t="str">
        <f t="shared" si="1721"/>
        <v>78051004</v>
      </c>
      <c r="D7827" t="str">
        <f t="shared" si="1722"/>
        <v>809</v>
      </c>
      <c r="E7827" t="str">
        <f t="shared" si="1723"/>
        <v>89301062</v>
      </c>
      <c r="F7827" t="str">
        <f>"7258193767"</f>
        <v>7258193767</v>
      </c>
      <c r="G7827" s="1">
        <v>44797</v>
      </c>
      <c r="H7827" t="str">
        <f>"0096251"</f>
        <v>0096251</v>
      </c>
      <c r="I7827">
        <v>0.17</v>
      </c>
      <c r="K7827">
        <v>198.83</v>
      </c>
      <c r="L7827">
        <v>198.83</v>
      </c>
    </row>
    <row r="7828" spans="1:12" x14ac:dyDescent="0.25">
      <c r="A7828" t="str">
        <f t="shared" si="1724"/>
        <v>89301000</v>
      </c>
      <c r="B7828" t="str">
        <f t="shared" si="1720"/>
        <v>78051000</v>
      </c>
      <c r="C7828" t="str">
        <f t="shared" si="1721"/>
        <v>78051004</v>
      </c>
      <c r="D7828" t="str">
        <f t="shared" si="1722"/>
        <v>809</v>
      </c>
      <c r="E7828" t="str">
        <f t="shared" si="1723"/>
        <v>89301062</v>
      </c>
      <c r="F7828" t="str">
        <f>"7258193767"</f>
        <v>7258193767</v>
      </c>
      <c r="G7828" s="1">
        <v>44797</v>
      </c>
      <c r="H7828" t="str">
        <f>"0098943"</f>
        <v>0098943</v>
      </c>
      <c r="I7828">
        <v>1</v>
      </c>
      <c r="K7828">
        <v>293.81</v>
      </c>
      <c r="L7828">
        <v>293.81</v>
      </c>
    </row>
    <row r="7829" spans="1:12" x14ac:dyDescent="0.25">
      <c r="A7829" t="str">
        <f t="shared" si="1724"/>
        <v>89301000</v>
      </c>
      <c r="B7829" t="str">
        <f t="shared" si="1720"/>
        <v>78051000</v>
      </c>
      <c r="C7829" t="str">
        <f t="shared" si="1721"/>
        <v>78051004</v>
      </c>
      <c r="D7829" t="str">
        <f t="shared" si="1722"/>
        <v>809</v>
      </c>
      <c r="E7829" t="str">
        <f t="shared" si="1723"/>
        <v>89301062</v>
      </c>
      <c r="F7829" t="str">
        <f>"9059045699"</f>
        <v>9059045699</v>
      </c>
      <c r="G7829" s="1">
        <v>44804</v>
      </c>
      <c r="H7829" t="str">
        <f>"89311"</f>
        <v>89311</v>
      </c>
      <c r="I7829">
        <v>1</v>
      </c>
      <c r="J7829">
        <v>936</v>
      </c>
      <c r="K7829">
        <v>0</v>
      </c>
      <c r="L7829">
        <v>1310.4000000000001</v>
      </c>
    </row>
    <row r="7830" spans="1:12" x14ac:dyDescent="0.25">
      <c r="A7830" t="str">
        <f t="shared" si="1724"/>
        <v>89301000</v>
      </c>
      <c r="B7830" t="str">
        <f t="shared" si="1720"/>
        <v>78051000</v>
      </c>
      <c r="C7830" t="str">
        <f t="shared" si="1721"/>
        <v>78051004</v>
      </c>
      <c r="D7830" t="str">
        <f t="shared" si="1722"/>
        <v>809</v>
      </c>
      <c r="E7830" t="str">
        <f t="shared" si="1723"/>
        <v>89301062</v>
      </c>
      <c r="F7830" t="str">
        <f>"9059045699"</f>
        <v>9059045699</v>
      </c>
      <c r="G7830" s="1">
        <v>44804</v>
      </c>
      <c r="H7830" t="str">
        <f>"0090044"</f>
        <v>0090044</v>
      </c>
      <c r="I7830">
        <v>1</v>
      </c>
      <c r="K7830">
        <v>16.8</v>
      </c>
      <c r="L7830">
        <v>16.8</v>
      </c>
    </row>
    <row r="7831" spans="1:12" x14ac:dyDescent="0.25">
      <c r="A7831" t="str">
        <f t="shared" si="1724"/>
        <v>89301000</v>
      </c>
      <c r="B7831" t="str">
        <f t="shared" si="1720"/>
        <v>78051000</v>
      </c>
      <c r="C7831" t="str">
        <f t="shared" si="1721"/>
        <v>78051004</v>
      </c>
      <c r="D7831" t="str">
        <f t="shared" si="1722"/>
        <v>809</v>
      </c>
      <c r="E7831" t="str">
        <f t="shared" si="1723"/>
        <v>89301062</v>
      </c>
      <c r="F7831" t="str">
        <f>"9059045699"</f>
        <v>9059045699</v>
      </c>
      <c r="G7831" s="1">
        <v>44804</v>
      </c>
      <c r="H7831" t="str">
        <f>"0225891"</f>
        <v>0225891</v>
      </c>
      <c r="I7831">
        <v>0.2</v>
      </c>
      <c r="K7831">
        <v>73.540000000000006</v>
      </c>
      <c r="L7831">
        <v>73.540000000000006</v>
      </c>
    </row>
    <row r="7832" spans="1:12" x14ac:dyDescent="0.25">
      <c r="A7832" t="str">
        <f t="shared" si="1724"/>
        <v>89301000</v>
      </c>
      <c r="B7832" t="str">
        <f t="shared" si="1720"/>
        <v>78051000</v>
      </c>
      <c r="C7832" t="str">
        <f t="shared" si="1721"/>
        <v>78051004</v>
      </c>
      <c r="D7832" t="str">
        <f t="shared" si="1722"/>
        <v>809</v>
      </c>
      <c r="E7832" t="str">
        <f t="shared" si="1723"/>
        <v>89301062</v>
      </c>
      <c r="F7832" t="str">
        <f>"9059045699"</f>
        <v>9059045699</v>
      </c>
      <c r="G7832" s="1">
        <v>44804</v>
      </c>
      <c r="H7832" t="str">
        <f>"0096251"</f>
        <v>0096251</v>
      </c>
      <c r="I7832">
        <v>0.17</v>
      </c>
      <c r="K7832">
        <v>198.83</v>
      </c>
      <c r="L7832">
        <v>198.83</v>
      </c>
    </row>
    <row r="7833" spans="1:12" x14ac:dyDescent="0.25">
      <c r="A7833" t="str">
        <f t="shared" si="1724"/>
        <v>89301000</v>
      </c>
      <c r="B7833" t="str">
        <f t="shared" si="1720"/>
        <v>78051000</v>
      </c>
      <c r="C7833" t="str">
        <f t="shared" si="1721"/>
        <v>78051004</v>
      </c>
      <c r="D7833" t="str">
        <f t="shared" si="1722"/>
        <v>809</v>
      </c>
      <c r="E7833" t="str">
        <f t="shared" si="1723"/>
        <v>89301062</v>
      </c>
      <c r="F7833" t="str">
        <f>"9059045699"</f>
        <v>9059045699</v>
      </c>
      <c r="G7833" s="1">
        <v>44804</v>
      </c>
      <c r="H7833" t="str">
        <f>"0098943"</f>
        <v>0098943</v>
      </c>
      <c r="I7833">
        <v>1</v>
      </c>
      <c r="K7833">
        <v>293.81</v>
      </c>
      <c r="L7833">
        <v>293.81</v>
      </c>
    </row>
    <row r="7834" spans="1:12" x14ac:dyDescent="0.25">
      <c r="A7834" t="str">
        <f t="shared" si="1724"/>
        <v>89301000</v>
      </c>
      <c r="B7834" t="str">
        <f t="shared" si="1720"/>
        <v>78051000</v>
      </c>
      <c r="C7834" t="str">
        <f t="shared" si="1721"/>
        <v>78051004</v>
      </c>
      <c r="D7834" t="str">
        <f t="shared" si="1722"/>
        <v>809</v>
      </c>
      <c r="E7834" t="str">
        <f t="shared" si="1723"/>
        <v>89301062</v>
      </c>
      <c r="F7834" t="str">
        <f>"7212175311"</f>
        <v>7212175311</v>
      </c>
      <c r="G7834" s="1">
        <v>44804</v>
      </c>
      <c r="H7834" t="str">
        <f>"89311"</f>
        <v>89311</v>
      </c>
      <c r="I7834">
        <v>1</v>
      </c>
      <c r="J7834">
        <v>936</v>
      </c>
      <c r="K7834">
        <v>0</v>
      </c>
      <c r="L7834">
        <v>1310.4000000000001</v>
      </c>
    </row>
    <row r="7835" spans="1:12" x14ac:dyDescent="0.25">
      <c r="A7835" t="str">
        <f t="shared" si="1724"/>
        <v>89301000</v>
      </c>
      <c r="B7835" t="str">
        <f t="shared" si="1720"/>
        <v>78051000</v>
      </c>
      <c r="C7835" t="str">
        <f t="shared" si="1721"/>
        <v>78051004</v>
      </c>
      <c r="D7835" t="str">
        <f t="shared" si="1722"/>
        <v>809</v>
      </c>
      <c r="E7835" t="str">
        <f t="shared" si="1723"/>
        <v>89301062</v>
      </c>
      <c r="F7835" t="str">
        <f>"7212175311"</f>
        <v>7212175311</v>
      </c>
      <c r="G7835" s="1">
        <v>44804</v>
      </c>
      <c r="H7835" t="str">
        <f>"0090044"</f>
        <v>0090044</v>
      </c>
      <c r="I7835">
        <v>1</v>
      </c>
      <c r="K7835">
        <v>16.8</v>
      </c>
      <c r="L7835">
        <v>16.8</v>
      </c>
    </row>
    <row r="7836" spans="1:12" x14ac:dyDescent="0.25">
      <c r="A7836" t="str">
        <f t="shared" si="1724"/>
        <v>89301000</v>
      </c>
      <c r="B7836" t="str">
        <f t="shared" si="1720"/>
        <v>78051000</v>
      </c>
      <c r="C7836" t="str">
        <f t="shared" si="1721"/>
        <v>78051004</v>
      </c>
      <c r="D7836" t="str">
        <f t="shared" si="1722"/>
        <v>809</v>
      </c>
      <c r="E7836" t="str">
        <f t="shared" si="1723"/>
        <v>89301062</v>
      </c>
      <c r="F7836" t="str">
        <f>"7212175311"</f>
        <v>7212175311</v>
      </c>
      <c r="G7836" s="1">
        <v>44804</v>
      </c>
      <c r="H7836" t="str">
        <f>"0225891"</f>
        <v>0225891</v>
      </c>
      <c r="I7836">
        <v>0.2</v>
      </c>
      <c r="K7836">
        <v>73.540000000000006</v>
      </c>
      <c r="L7836">
        <v>73.540000000000006</v>
      </c>
    </row>
    <row r="7837" spans="1:12" x14ac:dyDescent="0.25">
      <c r="A7837" t="str">
        <f t="shared" si="1724"/>
        <v>89301000</v>
      </c>
      <c r="B7837" t="str">
        <f t="shared" si="1720"/>
        <v>78051000</v>
      </c>
      <c r="C7837" t="str">
        <f t="shared" si="1721"/>
        <v>78051004</v>
      </c>
      <c r="D7837" t="str">
        <f t="shared" si="1722"/>
        <v>809</v>
      </c>
      <c r="E7837" t="str">
        <f t="shared" si="1723"/>
        <v>89301062</v>
      </c>
      <c r="F7837" t="str">
        <f>"7212175311"</f>
        <v>7212175311</v>
      </c>
      <c r="G7837" s="1">
        <v>44804</v>
      </c>
      <c r="H7837" t="str">
        <f>"0096251"</f>
        <v>0096251</v>
      </c>
      <c r="I7837">
        <v>0.17</v>
      </c>
      <c r="K7837">
        <v>198.83</v>
      </c>
      <c r="L7837">
        <v>198.83</v>
      </c>
    </row>
    <row r="7838" spans="1:12" x14ac:dyDescent="0.25">
      <c r="A7838" t="str">
        <f t="shared" si="1724"/>
        <v>89301000</v>
      </c>
      <c r="B7838" t="str">
        <f t="shared" si="1720"/>
        <v>78051000</v>
      </c>
      <c r="C7838" t="str">
        <f t="shared" si="1721"/>
        <v>78051004</v>
      </c>
      <c r="D7838" t="str">
        <f t="shared" si="1722"/>
        <v>809</v>
      </c>
      <c r="E7838" t="str">
        <f t="shared" si="1723"/>
        <v>89301062</v>
      </c>
      <c r="F7838" t="str">
        <f>"7212175311"</f>
        <v>7212175311</v>
      </c>
      <c r="G7838" s="1">
        <v>44804</v>
      </c>
      <c r="H7838" t="str">
        <f>"0098943"</f>
        <v>0098943</v>
      </c>
      <c r="I7838">
        <v>1</v>
      </c>
      <c r="K7838">
        <v>293.81</v>
      </c>
      <c r="L7838">
        <v>293.81</v>
      </c>
    </row>
    <row r="7839" spans="1:12" x14ac:dyDescent="0.25">
      <c r="A7839" t="str">
        <f t="shared" si="1724"/>
        <v>89301000</v>
      </c>
      <c r="B7839" t="str">
        <f t="shared" si="1720"/>
        <v>78051000</v>
      </c>
      <c r="C7839" t="str">
        <f t="shared" ref="C7839:C7846" si="1725">"78051017"</f>
        <v>78051017</v>
      </c>
      <c r="D7839" t="str">
        <f t="shared" ref="D7839:D7846" si="1726">"810"</f>
        <v>810</v>
      </c>
      <c r="E7839" t="str">
        <f t="shared" si="1723"/>
        <v>89301062</v>
      </c>
      <c r="F7839" t="str">
        <f>"7008164471"</f>
        <v>7008164471</v>
      </c>
      <c r="G7839" s="1">
        <v>44783</v>
      </c>
      <c r="H7839" t="str">
        <f t="shared" ref="H7839:H7846" si="1727">"89615"</f>
        <v>89615</v>
      </c>
      <c r="I7839">
        <v>1</v>
      </c>
      <c r="J7839">
        <v>2170</v>
      </c>
      <c r="K7839">
        <v>0</v>
      </c>
      <c r="L7839">
        <v>1302</v>
      </c>
    </row>
    <row r="7840" spans="1:12" x14ac:dyDescent="0.25">
      <c r="A7840" t="str">
        <f t="shared" si="1724"/>
        <v>89301000</v>
      </c>
      <c r="B7840" t="str">
        <f t="shared" si="1720"/>
        <v>78051000</v>
      </c>
      <c r="C7840" t="str">
        <f t="shared" si="1725"/>
        <v>78051017</v>
      </c>
      <c r="D7840" t="str">
        <f t="shared" si="1726"/>
        <v>810</v>
      </c>
      <c r="E7840" t="str">
        <f t="shared" si="1723"/>
        <v>89301062</v>
      </c>
      <c r="F7840" t="str">
        <f>"455223401"</f>
        <v>455223401</v>
      </c>
      <c r="G7840" s="1">
        <v>44783</v>
      </c>
      <c r="H7840" t="str">
        <f t="shared" si="1727"/>
        <v>89615</v>
      </c>
      <c r="I7840">
        <v>1</v>
      </c>
      <c r="J7840">
        <v>2170</v>
      </c>
      <c r="K7840">
        <v>0</v>
      </c>
      <c r="L7840">
        <v>1302</v>
      </c>
    </row>
    <row r="7841" spans="1:12" x14ac:dyDescent="0.25">
      <c r="A7841" t="str">
        <f t="shared" si="1724"/>
        <v>89301000</v>
      </c>
      <c r="B7841" t="str">
        <f t="shared" si="1720"/>
        <v>78051000</v>
      </c>
      <c r="C7841" t="str">
        <f t="shared" si="1725"/>
        <v>78051017</v>
      </c>
      <c r="D7841" t="str">
        <f t="shared" si="1726"/>
        <v>810</v>
      </c>
      <c r="E7841" t="str">
        <f t="shared" si="1723"/>
        <v>89301062</v>
      </c>
      <c r="F7841" t="str">
        <f>"505302082"</f>
        <v>505302082</v>
      </c>
      <c r="G7841" s="1">
        <v>44783</v>
      </c>
      <c r="H7841" t="str">
        <f t="shared" si="1727"/>
        <v>89615</v>
      </c>
      <c r="I7841">
        <v>1</v>
      </c>
      <c r="J7841">
        <v>2170</v>
      </c>
      <c r="K7841">
        <v>0</v>
      </c>
      <c r="L7841">
        <v>1302</v>
      </c>
    </row>
    <row r="7842" spans="1:12" x14ac:dyDescent="0.25">
      <c r="A7842" t="str">
        <f t="shared" si="1724"/>
        <v>89301000</v>
      </c>
      <c r="B7842" t="str">
        <f t="shared" si="1720"/>
        <v>78051000</v>
      </c>
      <c r="C7842" t="str">
        <f t="shared" si="1725"/>
        <v>78051017</v>
      </c>
      <c r="D7842" t="str">
        <f t="shared" si="1726"/>
        <v>810</v>
      </c>
      <c r="E7842" t="str">
        <f t="shared" si="1723"/>
        <v>89301062</v>
      </c>
      <c r="F7842" t="str">
        <f>"7352125704"</f>
        <v>7352125704</v>
      </c>
      <c r="G7842" s="1">
        <v>44797</v>
      </c>
      <c r="H7842" t="str">
        <f t="shared" si="1727"/>
        <v>89615</v>
      </c>
      <c r="I7842">
        <v>1</v>
      </c>
      <c r="J7842">
        <v>2170</v>
      </c>
      <c r="K7842">
        <v>0</v>
      </c>
      <c r="L7842">
        <v>1302</v>
      </c>
    </row>
    <row r="7843" spans="1:12" x14ac:dyDescent="0.25">
      <c r="A7843" t="str">
        <f t="shared" si="1724"/>
        <v>89301000</v>
      </c>
      <c r="B7843" t="str">
        <f t="shared" si="1720"/>
        <v>78051000</v>
      </c>
      <c r="C7843" t="str">
        <f t="shared" si="1725"/>
        <v>78051017</v>
      </c>
      <c r="D7843" t="str">
        <f t="shared" si="1726"/>
        <v>810</v>
      </c>
      <c r="E7843" t="str">
        <f t="shared" si="1723"/>
        <v>89301062</v>
      </c>
      <c r="F7843" t="str">
        <f>"8010164668"</f>
        <v>8010164668</v>
      </c>
      <c r="G7843" s="1">
        <v>44797</v>
      </c>
      <c r="H7843" t="str">
        <f t="shared" si="1727"/>
        <v>89615</v>
      </c>
      <c r="I7843">
        <v>1</v>
      </c>
      <c r="J7843">
        <v>2170</v>
      </c>
      <c r="K7843">
        <v>0</v>
      </c>
      <c r="L7843">
        <v>1302</v>
      </c>
    </row>
    <row r="7844" spans="1:12" x14ac:dyDescent="0.25">
      <c r="A7844" t="str">
        <f t="shared" si="1724"/>
        <v>89301000</v>
      </c>
      <c r="B7844" t="str">
        <f t="shared" si="1720"/>
        <v>78051000</v>
      </c>
      <c r="C7844" t="str">
        <f t="shared" si="1725"/>
        <v>78051017</v>
      </c>
      <c r="D7844" t="str">
        <f t="shared" si="1726"/>
        <v>810</v>
      </c>
      <c r="E7844" t="str">
        <f t="shared" si="1723"/>
        <v>89301062</v>
      </c>
      <c r="F7844" t="str">
        <f>"7258193767"</f>
        <v>7258193767</v>
      </c>
      <c r="G7844" s="1">
        <v>44797</v>
      </c>
      <c r="H7844" t="str">
        <f t="shared" si="1727"/>
        <v>89615</v>
      </c>
      <c r="I7844">
        <v>1</v>
      </c>
      <c r="J7844">
        <v>2170</v>
      </c>
      <c r="K7844">
        <v>0</v>
      </c>
      <c r="L7844">
        <v>1302</v>
      </c>
    </row>
    <row r="7845" spans="1:12" x14ac:dyDescent="0.25">
      <c r="A7845" t="str">
        <f t="shared" si="1724"/>
        <v>89301000</v>
      </c>
      <c r="B7845" t="str">
        <f t="shared" si="1720"/>
        <v>78051000</v>
      </c>
      <c r="C7845" t="str">
        <f t="shared" si="1725"/>
        <v>78051017</v>
      </c>
      <c r="D7845" t="str">
        <f t="shared" si="1726"/>
        <v>810</v>
      </c>
      <c r="E7845" t="str">
        <f t="shared" si="1723"/>
        <v>89301062</v>
      </c>
      <c r="F7845" t="str">
        <f>"9059045699"</f>
        <v>9059045699</v>
      </c>
      <c r="G7845" s="1">
        <v>44804</v>
      </c>
      <c r="H7845" t="str">
        <f t="shared" si="1727"/>
        <v>89615</v>
      </c>
      <c r="I7845">
        <v>1</v>
      </c>
      <c r="J7845">
        <v>2170</v>
      </c>
      <c r="K7845">
        <v>0</v>
      </c>
      <c r="L7845">
        <v>1302</v>
      </c>
    </row>
    <row r="7846" spans="1:12" x14ac:dyDescent="0.25">
      <c r="A7846" t="str">
        <f t="shared" si="1724"/>
        <v>89301000</v>
      </c>
      <c r="B7846" t="str">
        <f t="shared" si="1720"/>
        <v>78051000</v>
      </c>
      <c r="C7846" t="str">
        <f t="shared" si="1725"/>
        <v>78051017</v>
      </c>
      <c r="D7846" t="str">
        <f t="shared" si="1726"/>
        <v>810</v>
      </c>
      <c r="E7846" t="str">
        <f t="shared" si="1723"/>
        <v>89301062</v>
      </c>
      <c r="F7846" t="str">
        <f>"7212175311"</f>
        <v>7212175311</v>
      </c>
      <c r="G7846" s="1">
        <v>44804</v>
      </c>
      <c r="H7846" t="str">
        <f t="shared" si="1727"/>
        <v>89615</v>
      </c>
      <c r="I7846">
        <v>1</v>
      </c>
      <c r="J7846">
        <v>2170</v>
      </c>
      <c r="K7846">
        <v>0</v>
      </c>
      <c r="L7846">
        <v>1302</v>
      </c>
    </row>
    <row r="7847" spans="1:12" x14ac:dyDescent="0.25">
      <c r="A7847" t="str">
        <f t="shared" si="1724"/>
        <v>89301000</v>
      </c>
      <c r="B7847" t="str">
        <f t="shared" ref="B7847:B7876" si="1728">"72077000"</f>
        <v>72077000</v>
      </c>
      <c r="C7847" t="str">
        <f t="shared" ref="C7847:C7876" si="1729">"72077001"</f>
        <v>72077001</v>
      </c>
      <c r="D7847" t="str">
        <f t="shared" ref="D7847:D7876" si="1730">"813"</f>
        <v>813</v>
      </c>
      <c r="E7847" t="str">
        <f t="shared" ref="E7847:E7876" si="1731">"89301152"</f>
        <v>89301152</v>
      </c>
      <c r="F7847" t="str">
        <f>"9461205094"</f>
        <v>9461205094</v>
      </c>
      <c r="G7847" s="1">
        <v>44799</v>
      </c>
      <c r="H7847" t="str">
        <f>"91485"</f>
        <v>91485</v>
      </c>
      <c r="I7847">
        <v>1</v>
      </c>
      <c r="J7847">
        <v>268</v>
      </c>
      <c r="K7847">
        <v>0</v>
      </c>
      <c r="L7847">
        <v>209.04</v>
      </c>
    </row>
    <row r="7848" spans="1:12" x14ac:dyDescent="0.25">
      <c r="A7848" t="str">
        <f t="shared" si="1724"/>
        <v>89301000</v>
      </c>
      <c r="B7848" t="str">
        <f t="shared" si="1728"/>
        <v>72077000</v>
      </c>
      <c r="C7848" t="str">
        <f t="shared" si="1729"/>
        <v>72077001</v>
      </c>
      <c r="D7848" t="str">
        <f t="shared" si="1730"/>
        <v>813</v>
      </c>
      <c r="E7848" t="str">
        <f t="shared" si="1731"/>
        <v>89301152</v>
      </c>
      <c r="F7848" t="str">
        <f>"9461205094"</f>
        <v>9461205094</v>
      </c>
      <c r="G7848" s="1">
        <v>44802</v>
      </c>
      <c r="H7848" t="str">
        <f>"91359"</f>
        <v>91359</v>
      </c>
      <c r="I7848">
        <v>1</v>
      </c>
      <c r="J7848">
        <v>198</v>
      </c>
      <c r="K7848">
        <v>0</v>
      </c>
      <c r="L7848">
        <v>154.44</v>
      </c>
    </row>
    <row r="7849" spans="1:12" x14ac:dyDescent="0.25">
      <c r="A7849" t="str">
        <f t="shared" si="1724"/>
        <v>89301000</v>
      </c>
      <c r="B7849" t="str">
        <f t="shared" si="1728"/>
        <v>72077000</v>
      </c>
      <c r="C7849" t="str">
        <f t="shared" si="1729"/>
        <v>72077001</v>
      </c>
      <c r="D7849" t="str">
        <f t="shared" si="1730"/>
        <v>813</v>
      </c>
      <c r="E7849" t="str">
        <f t="shared" si="1731"/>
        <v>89301152</v>
      </c>
      <c r="F7849" t="str">
        <f>"9461205094"</f>
        <v>9461205094</v>
      </c>
      <c r="G7849" s="1">
        <v>44804</v>
      </c>
      <c r="H7849" t="str">
        <f>"91361"</f>
        <v>91361</v>
      </c>
      <c r="I7849">
        <v>1</v>
      </c>
      <c r="J7849">
        <v>431</v>
      </c>
      <c r="K7849">
        <v>0</v>
      </c>
      <c r="L7849">
        <v>336.18</v>
      </c>
    </row>
    <row r="7850" spans="1:12" x14ac:dyDescent="0.25">
      <c r="A7850" t="str">
        <f t="shared" si="1724"/>
        <v>89301000</v>
      </c>
      <c r="B7850" t="str">
        <f t="shared" si="1728"/>
        <v>72077000</v>
      </c>
      <c r="C7850" t="str">
        <f t="shared" si="1729"/>
        <v>72077001</v>
      </c>
      <c r="D7850" t="str">
        <f t="shared" si="1730"/>
        <v>813</v>
      </c>
      <c r="E7850" t="str">
        <f t="shared" si="1731"/>
        <v>89301152</v>
      </c>
      <c r="F7850" t="str">
        <f>"8302235381"</f>
        <v>8302235381</v>
      </c>
      <c r="G7850" s="1">
        <v>44776</v>
      </c>
      <c r="H7850" t="str">
        <f>"91359"</f>
        <v>91359</v>
      </c>
      <c r="I7850">
        <v>1</v>
      </c>
      <c r="J7850">
        <v>198</v>
      </c>
      <c r="K7850">
        <v>0</v>
      </c>
      <c r="L7850">
        <v>154.44</v>
      </c>
    </row>
    <row r="7851" spans="1:12" x14ac:dyDescent="0.25">
      <c r="A7851" t="str">
        <f t="shared" si="1724"/>
        <v>89301000</v>
      </c>
      <c r="B7851" t="str">
        <f t="shared" si="1728"/>
        <v>72077000</v>
      </c>
      <c r="C7851" t="str">
        <f t="shared" si="1729"/>
        <v>72077001</v>
      </c>
      <c r="D7851" t="str">
        <f t="shared" si="1730"/>
        <v>813</v>
      </c>
      <c r="E7851" t="str">
        <f t="shared" si="1731"/>
        <v>89301152</v>
      </c>
      <c r="F7851" t="str">
        <f>"8302235381"</f>
        <v>8302235381</v>
      </c>
      <c r="G7851" s="1">
        <v>44776</v>
      </c>
      <c r="H7851" t="str">
        <f>"91361"</f>
        <v>91361</v>
      </c>
      <c r="I7851">
        <v>1</v>
      </c>
      <c r="J7851">
        <v>431</v>
      </c>
      <c r="K7851">
        <v>0</v>
      </c>
      <c r="L7851">
        <v>336.18</v>
      </c>
    </row>
    <row r="7852" spans="1:12" x14ac:dyDescent="0.25">
      <c r="A7852" t="str">
        <f t="shared" si="1724"/>
        <v>89301000</v>
      </c>
      <c r="B7852" t="str">
        <f t="shared" si="1728"/>
        <v>72077000</v>
      </c>
      <c r="C7852" t="str">
        <f t="shared" si="1729"/>
        <v>72077001</v>
      </c>
      <c r="D7852" t="str">
        <f t="shared" si="1730"/>
        <v>813</v>
      </c>
      <c r="E7852" t="str">
        <f t="shared" si="1731"/>
        <v>89301152</v>
      </c>
      <c r="F7852" t="str">
        <f>"8302235381"</f>
        <v>8302235381</v>
      </c>
      <c r="G7852" s="1">
        <v>44776</v>
      </c>
      <c r="H7852" t="str">
        <f>"91577"</f>
        <v>91577</v>
      </c>
      <c r="I7852">
        <v>1</v>
      </c>
      <c r="J7852">
        <v>396</v>
      </c>
      <c r="K7852">
        <v>0</v>
      </c>
      <c r="L7852">
        <v>308.88</v>
      </c>
    </row>
    <row r="7853" spans="1:12" x14ac:dyDescent="0.25">
      <c r="A7853" t="str">
        <f t="shared" si="1724"/>
        <v>89301000</v>
      </c>
      <c r="B7853" t="str">
        <f t="shared" si="1728"/>
        <v>72077000</v>
      </c>
      <c r="C7853" t="str">
        <f t="shared" si="1729"/>
        <v>72077001</v>
      </c>
      <c r="D7853" t="str">
        <f t="shared" si="1730"/>
        <v>813</v>
      </c>
      <c r="E7853" t="str">
        <f t="shared" si="1731"/>
        <v>89301152</v>
      </c>
      <c r="F7853" t="str">
        <f>"0403174409"</f>
        <v>0403174409</v>
      </c>
      <c r="G7853" s="1">
        <v>44776</v>
      </c>
      <c r="H7853" t="str">
        <f>"91213"</f>
        <v>91213</v>
      </c>
      <c r="I7853">
        <v>1</v>
      </c>
      <c r="J7853">
        <v>347</v>
      </c>
      <c r="K7853">
        <v>0</v>
      </c>
      <c r="L7853">
        <v>270.66000000000003</v>
      </c>
    </row>
    <row r="7854" spans="1:12" x14ac:dyDescent="0.25">
      <c r="A7854" t="str">
        <f t="shared" si="1724"/>
        <v>89301000</v>
      </c>
      <c r="B7854" t="str">
        <f t="shared" si="1728"/>
        <v>72077000</v>
      </c>
      <c r="C7854" t="str">
        <f t="shared" si="1729"/>
        <v>72077001</v>
      </c>
      <c r="D7854" t="str">
        <f t="shared" si="1730"/>
        <v>813</v>
      </c>
      <c r="E7854" t="str">
        <f t="shared" si="1731"/>
        <v>89301152</v>
      </c>
      <c r="F7854" t="str">
        <f>"9858255748"</f>
        <v>9858255748</v>
      </c>
      <c r="G7854" s="1">
        <v>44776</v>
      </c>
      <c r="H7854" t="str">
        <f>"91197"</f>
        <v>91197</v>
      </c>
      <c r="I7854">
        <v>1</v>
      </c>
      <c r="J7854">
        <v>1046</v>
      </c>
      <c r="K7854">
        <v>0</v>
      </c>
      <c r="L7854">
        <v>815.88</v>
      </c>
    </row>
    <row r="7855" spans="1:12" x14ac:dyDescent="0.25">
      <c r="A7855" t="str">
        <f t="shared" si="1724"/>
        <v>89301000</v>
      </c>
      <c r="B7855" t="str">
        <f t="shared" si="1728"/>
        <v>72077000</v>
      </c>
      <c r="C7855" t="str">
        <f t="shared" si="1729"/>
        <v>72077001</v>
      </c>
      <c r="D7855" t="str">
        <f t="shared" si="1730"/>
        <v>813</v>
      </c>
      <c r="E7855" t="str">
        <f t="shared" si="1731"/>
        <v>89301152</v>
      </c>
      <c r="F7855" t="str">
        <f>"9858255748"</f>
        <v>9858255748</v>
      </c>
      <c r="G7855" s="1">
        <v>44777</v>
      </c>
      <c r="H7855" t="str">
        <f>"91465"</f>
        <v>91465</v>
      </c>
      <c r="I7855">
        <v>1</v>
      </c>
      <c r="J7855">
        <v>1404</v>
      </c>
      <c r="K7855">
        <v>0</v>
      </c>
      <c r="L7855">
        <v>1095.1199999999999</v>
      </c>
    </row>
    <row r="7856" spans="1:12" x14ac:dyDescent="0.25">
      <c r="A7856" t="str">
        <f t="shared" si="1724"/>
        <v>89301000</v>
      </c>
      <c r="B7856" t="str">
        <f t="shared" si="1728"/>
        <v>72077000</v>
      </c>
      <c r="C7856" t="str">
        <f t="shared" si="1729"/>
        <v>72077001</v>
      </c>
      <c r="D7856" t="str">
        <f t="shared" si="1730"/>
        <v>813</v>
      </c>
      <c r="E7856" t="str">
        <f t="shared" si="1731"/>
        <v>89301152</v>
      </c>
      <c r="F7856" t="str">
        <f>"8958245758"</f>
        <v>8958245758</v>
      </c>
      <c r="G7856" s="1">
        <v>44775</v>
      </c>
      <c r="H7856" t="str">
        <f>"91219"</f>
        <v>91219</v>
      </c>
      <c r="I7856">
        <v>1</v>
      </c>
      <c r="J7856">
        <v>342</v>
      </c>
      <c r="K7856">
        <v>0</v>
      </c>
      <c r="L7856">
        <v>266.76</v>
      </c>
    </row>
    <row r="7857" spans="1:12" x14ac:dyDescent="0.25">
      <c r="A7857" t="str">
        <f t="shared" si="1724"/>
        <v>89301000</v>
      </c>
      <c r="B7857" t="str">
        <f t="shared" si="1728"/>
        <v>72077000</v>
      </c>
      <c r="C7857" t="str">
        <f t="shared" si="1729"/>
        <v>72077001</v>
      </c>
      <c r="D7857" t="str">
        <f t="shared" si="1730"/>
        <v>813</v>
      </c>
      <c r="E7857" t="str">
        <f t="shared" si="1731"/>
        <v>89301152</v>
      </c>
      <c r="F7857" t="str">
        <f>"8958245758"</f>
        <v>8958245758</v>
      </c>
      <c r="G7857" s="1">
        <v>44777</v>
      </c>
      <c r="H7857" t="str">
        <f>"91219"</f>
        <v>91219</v>
      </c>
      <c r="I7857">
        <v>1</v>
      </c>
      <c r="J7857">
        <v>342</v>
      </c>
      <c r="K7857">
        <v>0</v>
      </c>
      <c r="L7857">
        <v>266.76</v>
      </c>
    </row>
    <row r="7858" spans="1:12" x14ac:dyDescent="0.25">
      <c r="A7858" t="str">
        <f t="shared" si="1724"/>
        <v>89301000</v>
      </c>
      <c r="B7858" t="str">
        <f t="shared" si="1728"/>
        <v>72077000</v>
      </c>
      <c r="C7858" t="str">
        <f t="shared" si="1729"/>
        <v>72077001</v>
      </c>
      <c r="D7858" t="str">
        <f t="shared" si="1730"/>
        <v>813</v>
      </c>
      <c r="E7858" t="str">
        <f t="shared" si="1731"/>
        <v>89301152</v>
      </c>
      <c r="F7858" t="str">
        <f>"9551286140"</f>
        <v>9551286140</v>
      </c>
      <c r="G7858" s="1">
        <v>44783</v>
      </c>
      <c r="H7858" t="str">
        <f>"91197"</f>
        <v>91197</v>
      </c>
      <c r="I7858">
        <v>1</v>
      </c>
      <c r="J7858">
        <v>1046</v>
      </c>
      <c r="K7858">
        <v>0</v>
      </c>
      <c r="L7858">
        <v>815.88</v>
      </c>
    </row>
    <row r="7859" spans="1:12" x14ac:dyDescent="0.25">
      <c r="A7859" t="str">
        <f t="shared" si="1724"/>
        <v>89301000</v>
      </c>
      <c r="B7859" t="str">
        <f t="shared" si="1728"/>
        <v>72077000</v>
      </c>
      <c r="C7859" t="str">
        <f t="shared" si="1729"/>
        <v>72077001</v>
      </c>
      <c r="D7859" t="str">
        <f t="shared" si="1730"/>
        <v>813</v>
      </c>
      <c r="E7859" t="str">
        <f t="shared" si="1731"/>
        <v>89301152</v>
      </c>
      <c r="F7859" t="str">
        <f>"9551286140"</f>
        <v>9551286140</v>
      </c>
      <c r="G7859" s="1">
        <v>44790</v>
      </c>
      <c r="H7859" t="str">
        <f>"91465"</f>
        <v>91465</v>
      </c>
      <c r="I7859">
        <v>1</v>
      </c>
      <c r="J7859">
        <v>1404</v>
      </c>
      <c r="K7859">
        <v>0</v>
      </c>
      <c r="L7859">
        <v>1095.1199999999999</v>
      </c>
    </row>
    <row r="7860" spans="1:12" x14ac:dyDescent="0.25">
      <c r="A7860" t="str">
        <f t="shared" si="1724"/>
        <v>89301000</v>
      </c>
      <c r="B7860" t="str">
        <f t="shared" si="1728"/>
        <v>72077000</v>
      </c>
      <c r="C7860" t="str">
        <f t="shared" si="1729"/>
        <v>72077001</v>
      </c>
      <c r="D7860" t="str">
        <f t="shared" si="1730"/>
        <v>813</v>
      </c>
      <c r="E7860" t="str">
        <f t="shared" si="1731"/>
        <v>89301152</v>
      </c>
      <c r="F7860" t="str">
        <f>"9856095711"</f>
        <v>9856095711</v>
      </c>
      <c r="G7860" s="1">
        <v>44795</v>
      </c>
      <c r="H7860" t="str">
        <f>"91197"</f>
        <v>91197</v>
      </c>
      <c r="I7860">
        <v>1</v>
      </c>
      <c r="J7860">
        <v>1046</v>
      </c>
      <c r="K7860">
        <v>0</v>
      </c>
      <c r="L7860">
        <v>815.88</v>
      </c>
    </row>
    <row r="7861" spans="1:12" x14ac:dyDescent="0.25">
      <c r="A7861" t="str">
        <f t="shared" si="1724"/>
        <v>89301000</v>
      </c>
      <c r="B7861" t="str">
        <f t="shared" si="1728"/>
        <v>72077000</v>
      </c>
      <c r="C7861" t="str">
        <f t="shared" si="1729"/>
        <v>72077001</v>
      </c>
      <c r="D7861" t="str">
        <f t="shared" si="1730"/>
        <v>813</v>
      </c>
      <c r="E7861" t="str">
        <f t="shared" si="1731"/>
        <v>89301152</v>
      </c>
      <c r="F7861" t="str">
        <f>"9856095711"</f>
        <v>9856095711</v>
      </c>
      <c r="G7861" s="1">
        <v>44798</v>
      </c>
      <c r="H7861" t="str">
        <f>"91465"</f>
        <v>91465</v>
      </c>
      <c r="I7861">
        <v>1</v>
      </c>
      <c r="J7861">
        <v>1404</v>
      </c>
      <c r="K7861">
        <v>0</v>
      </c>
      <c r="L7861">
        <v>1095.1199999999999</v>
      </c>
    </row>
    <row r="7862" spans="1:12" x14ac:dyDescent="0.25">
      <c r="A7862" t="str">
        <f t="shared" si="1724"/>
        <v>89301000</v>
      </c>
      <c r="B7862" t="str">
        <f t="shared" si="1728"/>
        <v>72077000</v>
      </c>
      <c r="C7862" t="str">
        <f t="shared" si="1729"/>
        <v>72077001</v>
      </c>
      <c r="D7862" t="str">
        <f t="shared" si="1730"/>
        <v>813</v>
      </c>
      <c r="E7862" t="str">
        <f t="shared" si="1731"/>
        <v>89301152</v>
      </c>
      <c r="F7862" t="str">
        <f>"8454265776"</f>
        <v>8454265776</v>
      </c>
      <c r="G7862" s="1">
        <v>44802</v>
      </c>
      <c r="H7862" t="str">
        <f>"91197"</f>
        <v>91197</v>
      </c>
      <c r="I7862">
        <v>1</v>
      </c>
      <c r="J7862">
        <v>1046</v>
      </c>
      <c r="K7862">
        <v>0</v>
      </c>
      <c r="L7862">
        <v>815.88</v>
      </c>
    </row>
    <row r="7863" spans="1:12" x14ac:dyDescent="0.25">
      <c r="A7863" t="str">
        <f t="shared" si="1724"/>
        <v>89301000</v>
      </c>
      <c r="B7863" t="str">
        <f t="shared" si="1728"/>
        <v>72077000</v>
      </c>
      <c r="C7863" t="str">
        <f t="shared" si="1729"/>
        <v>72077001</v>
      </c>
      <c r="D7863" t="str">
        <f t="shared" si="1730"/>
        <v>813</v>
      </c>
      <c r="E7863" t="str">
        <f t="shared" si="1731"/>
        <v>89301152</v>
      </c>
      <c r="F7863" t="str">
        <f>"8454265776"</f>
        <v>8454265776</v>
      </c>
      <c r="G7863" s="1">
        <v>44803</v>
      </c>
      <c r="H7863" t="str">
        <f>"91465"</f>
        <v>91465</v>
      </c>
      <c r="I7863">
        <v>1</v>
      </c>
      <c r="J7863">
        <v>1404</v>
      </c>
      <c r="K7863">
        <v>0</v>
      </c>
      <c r="L7863">
        <v>1095.1199999999999</v>
      </c>
    </row>
    <row r="7864" spans="1:12" x14ac:dyDescent="0.25">
      <c r="A7864" t="str">
        <f t="shared" si="1724"/>
        <v>89301000</v>
      </c>
      <c r="B7864" t="str">
        <f t="shared" si="1728"/>
        <v>72077000</v>
      </c>
      <c r="C7864" t="str">
        <f t="shared" si="1729"/>
        <v>72077001</v>
      </c>
      <c r="D7864" t="str">
        <f t="shared" si="1730"/>
        <v>813</v>
      </c>
      <c r="E7864" t="str">
        <f t="shared" si="1731"/>
        <v>89301152</v>
      </c>
      <c r="F7864" t="str">
        <f>"8954185702"</f>
        <v>8954185702</v>
      </c>
      <c r="G7864" s="1">
        <v>44799</v>
      </c>
      <c r="H7864" t="str">
        <f>"91485"</f>
        <v>91485</v>
      </c>
      <c r="I7864">
        <v>1</v>
      </c>
      <c r="J7864">
        <v>268</v>
      </c>
      <c r="K7864">
        <v>0</v>
      </c>
      <c r="L7864">
        <v>209.04</v>
      </c>
    </row>
    <row r="7865" spans="1:12" x14ac:dyDescent="0.25">
      <c r="A7865" t="str">
        <f t="shared" si="1724"/>
        <v>89301000</v>
      </c>
      <c r="B7865" t="str">
        <f t="shared" si="1728"/>
        <v>72077000</v>
      </c>
      <c r="C7865" t="str">
        <f t="shared" si="1729"/>
        <v>72077001</v>
      </c>
      <c r="D7865" t="str">
        <f t="shared" si="1730"/>
        <v>813</v>
      </c>
      <c r="E7865" t="str">
        <f t="shared" si="1731"/>
        <v>89301152</v>
      </c>
      <c r="F7865" t="str">
        <f>"8954185702"</f>
        <v>8954185702</v>
      </c>
      <c r="G7865" s="1">
        <v>44802</v>
      </c>
      <c r="H7865" t="str">
        <f>"91577"</f>
        <v>91577</v>
      </c>
      <c r="I7865">
        <v>1</v>
      </c>
      <c r="J7865">
        <v>396</v>
      </c>
      <c r="K7865">
        <v>0</v>
      </c>
      <c r="L7865">
        <v>308.88</v>
      </c>
    </row>
    <row r="7866" spans="1:12" x14ac:dyDescent="0.25">
      <c r="A7866" t="str">
        <f t="shared" si="1724"/>
        <v>89301000</v>
      </c>
      <c r="B7866" t="str">
        <f t="shared" si="1728"/>
        <v>72077000</v>
      </c>
      <c r="C7866" t="str">
        <f t="shared" si="1729"/>
        <v>72077001</v>
      </c>
      <c r="D7866" t="str">
        <f t="shared" si="1730"/>
        <v>813</v>
      </c>
      <c r="E7866" t="str">
        <f t="shared" si="1731"/>
        <v>89301152</v>
      </c>
      <c r="F7866" t="str">
        <f>"8954185702"</f>
        <v>8954185702</v>
      </c>
      <c r="G7866" s="1">
        <v>44802</v>
      </c>
      <c r="H7866" t="str">
        <f>"91359"</f>
        <v>91359</v>
      </c>
      <c r="I7866">
        <v>1</v>
      </c>
      <c r="J7866">
        <v>198</v>
      </c>
      <c r="K7866">
        <v>0</v>
      </c>
      <c r="L7866">
        <v>154.44</v>
      </c>
    </row>
    <row r="7867" spans="1:12" x14ac:dyDescent="0.25">
      <c r="A7867" t="str">
        <f t="shared" si="1724"/>
        <v>89301000</v>
      </c>
      <c r="B7867" t="str">
        <f t="shared" si="1728"/>
        <v>72077000</v>
      </c>
      <c r="C7867" t="str">
        <f t="shared" si="1729"/>
        <v>72077001</v>
      </c>
      <c r="D7867" t="str">
        <f t="shared" si="1730"/>
        <v>813</v>
      </c>
      <c r="E7867" t="str">
        <f t="shared" si="1731"/>
        <v>89301152</v>
      </c>
      <c r="F7867" t="str">
        <f>"8954185702"</f>
        <v>8954185702</v>
      </c>
      <c r="G7867" s="1">
        <v>44802</v>
      </c>
      <c r="H7867" t="str">
        <f>"91361"</f>
        <v>91361</v>
      </c>
      <c r="I7867">
        <v>1</v>
      </c>
      <c r="J7867">
        <v>431</v>
      </c>
      <c r="K7867">
        <v>0</v>
      </c>
      <c r="L7867">
        <v>336.18</v>
      </c>
    </row>
    <row r="7868" spans="1:12" x14ac:dyDescent="0.25">
      <c r="A7868" t="str">
        <f t="shared" si="1724"/>
        <v>89301000</v>
      </c>
      <c r="B7868" t="str">
        <f t="shared" si="1728"/>
        <v>72077000</v>
      </c>
      <c r="C7868" t="str">
        <f t="shared" si="1729"/>
        <v>72077001</v>
      </c>
      <c r="D7868" t="str">
        <f t="shared" si="1730"/>
        <v>813</v>
      </c>
      <c r="E7868" t="str">
        <f t="shared" si="1731"/>
        <v>89301152</v>
      </c>
      <c r="F7868" t="str">
        <f t="shared" ref="F7868:F7875" si="1732">"9907115713"</f>
        <v>9907115713</v>
      </c>
      <c r="G7868" s="1">
        <v>44798</v>
      </c>
      <c r="H7868" t="str">
        <f t="shared" ref="H7868:H7875" si="1733">"91219"</f>
        <v>91219</v>
      </c>
      <c r="I7868">
        <v>1</v>
      </c>
      <c r="J7868">
        <v>342</v>
      </c>
      <c r="K7868">
        <v>0</v>
      </c>
      <c r="L7868">
        <v>266.76</v>
      </c>
    </row>
    <row r="7869" spans="1:12" x14ac:dyDescent="0.25">
      <c r="A7869" t="str">
        <f t="shared" si="1724"/>
        <v>89301000</v>
      </c>
      <c r="B7869" t="str">
        <f t="shared" si="1728"/>
        <v>72077000</v>
      </c>
      <c r="C7869" t="str">
        <f t="shared" si="1729"/>
        <v>72077001</v>
      </c>
      <c r="D7869" t="str">
        <f t="shared" si="1730"/>
        <v>813</v>
      </c>
      <c r="E7869" t="str">
        <f t="shared" si="1731"/>
        <v>89301152</v>
      </c>
      <c r="F7869" t="str">
        <f t="shared" si="1732"/>
        <v>9907115713</v>
      </c>
      <c r="G7869" s="1">
        <v>44798</v>
      </c>
      <c r="H7869" t="str">
        <f t="shared" si="1733"/>
        <v>91219</v>
      </c>
      <c r="I7869">
        <v>1</v>
      </c>
      <c r="J7869">
        <v>342</v>
      </c>
      <c r="K7869">
        <v>0</v>
      </c>
      <c r="L7869">
        <v>266.76</v>
      </c>
    </row>
    <row r="7870" spans="1:12" x14ac:dyDescent="0.25">
      <c r="A7870" t="str">
        <f t="shared" si="1724"/>
        <v>89301000</v>
      </c>
      <c r="B7870" t="str">
        <f t="shared" si="1728"/>
        <v>72077000</v>
      </c>
      <c r="C7870" t="str">
        <f t="shared" si="1729"/>
        <v>72077001</v>
      </c>
      <c r="D7870" t="str">
        <f t="shared" si="1730"/>
        <v>813</v>
      </c>
      <c r="E7870" t="str">
        <f t="shared" si="1731"/>
        <v>89301152</v>
      </c>
      <c r="F7870" t="str">
        <f t="shared" si="1732"/>
        <v>9907115713</v>
      </c>
      <c r="G7870" s="1">
        <v>44798</v>
      </c>
      <c r="H7870" t="str">
        <f t="shared" si="1733"/>
        <v>91219</v>
      </c>
      <c r="I7870">
        <v>1</v>
      </c>
      <c r="J7870">
        <v>342</v>
      </c>
      <c r="K7870">
        <v>0</v>
      </c>
      <c r="L7870">
        <v>266.76</v>
      </c>
    </row>
    <row r="7871" spans="1:12" x14ac:dyDescent="0.25">
      <c r="A7871" t="str">
        <f t="shared" si="1724"/>
        <v>89301000</v>
      </c>
      <c r="B7871" t="str">
        <f t="shared" si="1728"/>
        <v>72077000</v>
      </c>
      <c r="C7871" t="str">
        <f t="shared" si="1729"/>
        <v>72077001</v>
      </c>
      <c r="D7871" t="str">
        <f t="shared" si="1730"/>
        <v>813</v>
      </c>
      <c r="E7871" t="str">
        <f t="shared" si="1731"/>
        <v>89301152</v>
      </c>
      <c r="F7871" t="str">
        <f t="shared" si="1732"/>
        <v>9907115713</v>
      </c>
      <c r="G7871" s="1">
        <v>44798</v>
      </c>
      <c r="H7871" t="str">
        <f t="shared" si="1733"/>
        <v>91219</v>
      </c>
      <c r="I7871">
        <v>1</v>
      </c>
      <c r="J7871">
        <v>342</v>
      </c>
      <c r="K7871">
        <v>0</v>
      </c>
      <c r="L7871">
        <v>266.76</v>
      </c>
    </row>
    <row r="7872" spans="1:12" x14ac:dyDescent="0.25">
      <c r="A7872" t="str">
        <f t="shared" si="1724"/>
        <v>89301000</v>
      </c>
      <c r="B7872" t="str">
        <f t="shared" si="1728"/>
        <v>72077000</v>
      </c>
      <c r="C7872" t="str">
        <f t="shared" si="1729"/>
        <v>72077001</v>
      </c>
      <c r="D7872" t="str">
        <f t="shared" si="1730"/>
        <v>813</v>
      </c>
      <c r="E7872" t="str">
        <f t="shared" si="1731"/>
        <v>89301152</v>
      </c>
      <c r="F7872" t="str">
        <f t="shared" si="1732"/>
        <v>9907115713</v>
      </c>
      <c r="G7872" s="1">
        <v>44804</v>
      </c>
      <c r="H7872" t="str">
        <f t="shared" si="1733"/>
        <v>91219</v>
      </c>
      <c r="I7872">
        <v>1</v>
      </c>
      <c r="J7872">
        <v>342</v>
      </c>
      <c r="K7872">
        <v>0</v>
      </c>
      <c r="L7872">
        <v>266.76</v>
      </c>
    </row>
    <row r="7873" spans="1:12" x14ac:dyDescent="0.25">
      <c r="A7873" t="str">
        <f t="shared" si="1724"/>
        <v>89301000</v>
      </c>
      <c r="B7873" t="str">
        <f t="shared" si="1728"/>
        <v>72077000</v>
      </c>
      <c r="C7873" t="str">
        <f t="shared" si="1729"/>
        <v>72077001</v>
      </c>
      <c r="D7873" t="str">
        <f t="shared" si="1730"/>
        <v>813</v>
      </c>
      <c r="E7873" t="str">
        <f t="shared" si="1731"/>
        <v>89301152</v>
      </c>
      <c r="F7873" t="str">
        <f t="shared" si="1732"/>
        <v>9907115713</v>
      </c>
      <c r="G7873" s="1">
        <v>44804</v>
      </c>
      <c r="H7873" t="str">
        <f t="shared" si="1733"/>
        <v>91219</v>
      </c>
      <c r="I7873">
        <v>1</v>
      </c>
      <c r="J7873">
        <v>342</v>
      </c>
      <c r="K7873">
        <v>0</v>
      </c>
      <c r="L7873">
        <v>266.76</v>
      </c>
    </row>
    <row r="7874" spans="1:12" x14ac:dyDescent="0.25">
      <c r="A7874" t="str">
        <f t="shared" ref="A7874:A7937" si="1734">"89301000"</f>
        <v>89301000</v>
      </c>
      <c r="B7874" t="str">
        <f t="shared" si="1728"/>
        <v>72077000</v>
      </c>
      <c r="C7874" t="str">
        <f t="shared" si="1729"/>
        <v>72077001</v>
      </c>
      <c r="D7874" t="str">
        <f t="shared" si="1730"/>
        <v>813</v>
      </c>
      <c r="E7874" t="str">
        <f t="shared" si="1731"/>
        <v>89301152</v>
      </c>
      <c r="F7874" t="str">
        <f t="shared" si="1732"/>
        <v>9907115713</v>
      </c>
      <c r="G7874" s="1">
        <v>44804</v>
      </c>
      <c r="H7874" t="str">
        <f t="shared" si="1733"/>
        <v>91219</v>
      </c>
      <c r="I7874">
        <v>1</v>
      </c>
      <c r="J7874">
        <v>342</v>
      </c>
      <c r="K7874">
        <v>0</v>
      </c>
      <c r="L7874">
        <v>266.76</v>
      </c>
    </row>
    <row r="7875" spans="1:12" x14ac:dyDescent="0.25">
      <c r="A7875" t="str">
        <f t="shared" si="1734"/>
        <v>89301000</v>
      </c>
      <c r="B7875" t="str">
        <f t="shared" si="1728"/>
        <v>72077000</v>
      </c>
      <c r="C7875" t="str">
        <f t="shared" si="1729"/>
        <v>72077001</v>
      </c>
      <c r="D7875" t="str">
        <f t="shared" si="1730"/>
        <v>813</v>
      </c>
      <c r="E7875" t="str">
        <f t="shared" si="1731"/>
        <v>89301152</v>
      </c>
      <c r="F7875" t="str">
        <f t="shared" si="1732"/>
        <v>9907115713</v>
      </c>
      <c r="G7875" s="1">
        <v>44804</v>
      </c>
      <c r="H7875" t="str">
        <f t="shared" si="1733"/>
        <v>91219</v>
      </c>
      <c r="I7875">
        <v>1</v>
      </c>
      <c r="J7875">
        <v>342</v>
      </c>
      <c r="K7875">
        <v>0</v>
      </c>
      <c r="L7875">
        <v>266.76</v>
      </c>
    </row>
    <row r="7876" spans="1:12" x14ac:dyDescent="0.25">
      <c r="A7876" t="str">
        <f t="shared" si="1734"/>
        <v>89301000</v>
      </c>
      <c r="B7876" t="str">
        <f t="shared" si="1728"/>
        <v>72077000</v>
      </c>
      <c r="C7876" t="str">
        <f t="shared" si="1729"/>
        <v>72077001</v>
      </c>
      <c r="D7876" t="str">
        <f t="shared" si="1730"/>
        <v>813</v>
      </c>
      <c r="E7876" t="str">
        <f t="shared" si="1731"/>
        <v>89301152</v>
      </c>
      <c r="F7876" t="str">
        <f>"8302235381"</f>
        <v>8302235381</v>
      </c>
      <c r="G7876" s="1">
        <v>44771</v>
      </c>
      <c r="H7876" t="str">
        <f>"91485"</f>
        <v>91485</v>
      </c>
      <c r="I7876">
        <v>1</v>
      </c>
      <c r="J7876">
        <v>268</v>
      </c>
      <c r="K7876">
        <v>0</v>
      </c>
      <c r="L7876">
        <v>209.04</v>
      </c>
    </row>
    <row r="7877" spans="1:12" x14ac:dyDescent="0.25">
      <c r="A7877" t="str">
        <f t="shared" si="1734"/>
        <v>89301000</v>
      </c>
      <c r="B7877" t="str">
        <f>"86210300"</f>
        <v>86210300</v>
      </c>
      <c r="C7877" t="str">
        <f>"86210220"</f>
        <v>86210220</v>
      </c>
      <c r="D7877" t="str">
        <f>"809"</f>
        <v>809</v>
      </c>
      <c r="E7877" t="str">
        <f>"89301212"</f>
        <v>89301212</v>
      </c>
      <c r="F7877" t="str">
        <f>"526212175"</f>
        <v>526212175</v>
      </c>
      <c r="G7877" s="1">
        <v>44795</v>
      </c>
      <c r="H7877" t="str">
        <f>"89180"</f>
        <v>89180</v>
      </c>
      <c r="I7877">
        <v>2</v>
      </c>
      <c r="J7877">
        <v>752</v>
      </c>
      <c r="K7877">
        <v>0</v>
      </c>
      <c r="L7877">
        <v>1052.8</v>
      </c>
    </row>
    <row r="7878" spans="1:12" x14ac:dyDescent="0.25">
      <c r="A7878" t="str">
        <f t="shared" si="1734"/>
        <v>89301000</v>
      </c>
      <c r="B7878" t="str">
        <f>"89148000"</f>
        <v>89148000</v>
      </c>
      <c r="C7878" t="str">
        <f>"89148212"</f>
        <v>89148212</v>
      </c>
      <c r="D7878" t="str">
        <f>"801"</f>
        <v>801</v>
      </c>
      <c r="E7878" t="str">
        <f>"89301082"</f>
        <v>89301082</v>
      </c>
      <c r="F7878" t="str">
        <f>"9356295707"</f>
        <v>9356295707</v>
      </c>
      <c r="G7878" s="1">
        <v>44795</v>
      </c>
      <c r="H7878" t="str">
        <f>"09119"</f>
        <v>09119</v>
      </c>
      <c r="I7878">
        <v>1</v>
      </c>
      <c r="J7878">
        <v>42</v>
      </c>
      <c r="K7878">
        <v>0</v>
      </c>
      <c r="L7878">
        <v>32.76</v>
      </c>
    </row>
    <row r="7879" spans="1:12" x14ac:dyDescent="0.25">
      <c r="A7879" t="str">
        <f t="shared" si="1734"/>
        <v>89301000</v>
      </c>
      <c r="B7879" t="str">
        <f>"89148000"</f>
        <v>89148000</v>
      </c>
      <c r="C7879" t="str">
        <f>"89148212"</f>
        <v>89148212</v>
      </c>
      <c r="D7879" t="str">
        <f>"801"</f>
        <v>801</v>
      </c>
      <c r="E7879" t="str">
        <f>"89301082"</f>
        <v>89301082</v>
      </c>
      <c r="F7879" t="str">
        <f>"9356295707"</f>
        <v>9356295707</v>
      </c>
      <c r="G7879" s="1">
        <v>44795</v>
      </c>
      <c r="H7879" t="str">
        <f>"93159"</f>
        <v>93159</v>
      </c>
      <c r="I7879">
        <v>1</v>
      </c>
      <c r="J7879">
        <v>195</v>
      </c>
      <c r="K7879">
        <v>0</v>
      </c>
      <c r="L7879">
        <v>152.1</v>
      </c>
    </row>
    <row r="7880" spans="1:12" x14ac:dyDescent="0.25">
      <c r="A7880" t="str">
        <f t="shared" si="1734"/>
        <v>89301000</v>
      </c>
      <c r="B7880" t="str">
        <f>"89148000"</f>
        <v>89148000</v>
      </c>
      <c r="C7880" t="str">
        <f>"89148212"</f>
        <v>89148212</v>
      </c>
      <c r="D7880" t="str">
        <f>"801"</f>
        <v>801</v>
      </c>
      <c r="E7880" t="str">
        <f>"89301082"</f>
        <v>89301082</v>
      </c>
      <c r="F7880" t="str">
        <f>"9356295707"</f>
        <v>9356295707</v>
      </c>
      <c r="G7880" s="1">
        <v>44795</v>
      </c>
      <c r="H7880" t="str">
        <f>"97111"</f>
        <v>97111</v>
      </c>
      <c r="I7880">
        <v>1</v>
      </c>
      <c r="J7880">
        <v>18</v>
      </c>
      <c r="K7880">
        <v>0</v>
      </c>
      <c r="L7880">
        <v>14.04</v>
      </c>
    </row>
    <row r="7881" spans="1:12" x14ac:dyDescent="0.25">
      <c r="A7881" t="str">
        <f t="shared" si="1734"/>
        <v>89301000</v>
      </c>
      <c r="B7881" t="str">
        <f t="shared" ref="B7881:B7912" si="1735">"89383000"</f>
        <v>89383000</v>
      </c>
      <c r="C7881" t="str">
        <f t="shared" ref="C7881:C7912" si="1736">"89383002"</f>
        <v>89383002</v>
      </c>
      <c r="D7881" t="str">
        <f t="shared" ref="D7881:D7912" si="1737">"809"</f>
        <v>809</v>
      </c>
      <c r="E7881" t="str">
        <f>"89301045"</f>
        <v>89301045</v>
      </c>
      <c r="F7881" t="str">
        <f>"8257165356"</f>
        <v>8257165356</v>
      </c>
      <c r="G7881" s="1">
        <v>44774</v>
      </c>
      <c r="H7881" t="str">
        <f>"89180"</f>
        <v>89180</v>
      </c>
      <c r="I7881">
        <v>2</v>
      </c>
      <c r="J7881">
        <v>752</v>
      </c>
      <c r="K7881">
        <v>0</v>
      </c>
      <c r="L7881">
        <v>1052.8</v>
      </c>
    </row>
    <row r="7882" spans="1:12" x14ac:dyDescent="0.25">
      <c r="A7882" t="str">
        <f t="shared" si="1734"/>
        <v>89301000</v>
      </c>
      <c r="B7882" t="str">
        <f t="shared" si="1735"/>
        <v>89383000</v>
      </c>
      <c r="C7882" t="str">
        <f t="shared" si="1736"/>
        <v>89383002</v>
      </c>
      <c r="D7882" t="str">
        <f t="shared" si="1737"/>
        <v>809</v>
      </c>
      <c r="E7882" t="str">
        <f>"89301045"</f>
        <v>89301045</v>
      </c>
      <c r="F7882" t="str">
        <f>"8257165356"</f>
        <v>8257165356</v>
      </c>
      <c r="G7882" s="1">
        <v>44774</v>
      </c>
      <c r="H7882" t="str">
        <f>"89512"</f>
        <v>89512</v>
      </c>
      <c r="I7882">
        <v>1</v>
      </c>
      <c r="J7882">
        <v>277</v>
      </c>
      <c r="K7882">
        <v>0</v>
      </c>
      <c r="L7882">
        <v>387.8</v>
      </c>
    </row>
    <row r="7883" spans="1:12" x14ac:dyDescent="0.25">
      <c r="A7883" t="str">
        <f t="shared" si="1734"/>
        <v>89301000</v>
      </c>
      <c r="B7883" t="str">
        <f t="shared" si="1735"/>
        <v>89383000</v>
      </c>
      <c r="C7883" t="str">
        <f t="shared" si="1736"/>
        <v>89383002</v>
      </c>
      <c r="D7883" t="str">
        <f t="shared" si="1737"/>
        <v>809</v>
      </c>
      <c r="E7883" t="str">
        <f t="shared" ref="E7883:E7888" si="1738">"89301212"</f>
        <v>89301212</v>
      </c>
      <c r="F7883" t="str">
        <f>"8160314459"</f>
        <v>8160314459</v>
      </c>
      <c r="G7883" s="1">
        <v>44775</v>
      </c>
      <c r="H7883" t="str">
        <f>"89512"</f>
        <v>89512</v>
      </c>
      <c r="I7883">
        <v>1</v>
      </c>
      <c r="J7883">
        <v>277</v>
      </c>
      <c r="K7883">
        <v>0</v>
      </c>
      <c r="L7883">
        <v>387.8</v>
      </c>
    </row>
    <row r="7884" spans="1:12" x14ac:dyDescent="0.25">
      <c r="A7884" t="str">
        <f t="shared" si="1734"/>
        <v>89301000</v>
      </c>
      <c r="B7884" t="str">
        <f t="shared" si="1735"/>
        <v>89383000</v>
      </c>
      <c r="C7884" t="str">
        <f t="shared" si="1736"/>
        <v>89383002</v>
      </c>
      <c r="D7884" t="str">
        <f t="shared" si="1737"/>
        <v>809</v>
      </c>
      <c r="E7884" t="str">
        <f t="shared" si="1738"/>
        <v>89301212</v>
      </c>
      <c r="F7884" t="str">
        <f>"6056021147"</f>
        <v>6056021147</v>
      </c>
      <c r="G7884" s="1">
        <v>44776</v>
      </c>
      <c r="H7884" t="str">
        <f>"89180"</f>
        <v>89180</v>
      </c>
      <c r="I7884">
        <v>2</v>
      </c>
      <c r="J7884">
        <v>752</v>
      </c>
      <c r="K7884">
        <v>0</v>
      </c>
      <c r="L7884">
        <v>1052.8</v>
      </c>
    </row>
    <row r="7885" spans="1:12" x14ac:dyDescent="0.25">
      <c r="A7885" t="str">
        <f t="shared" si="1734"/>
        <v>89301000</v>
      </c>
      <c r="B7885" t="str">
        <f t="shared" si="1735"/>
        <v>89383000</v>
      </c>
      <c r="C7885" t="str">
        <f t="shared" si="1736"/>
        <v>89383002</v>
      </c>
      <c r="D7885" t="str">
        <f t="shared" si="1737"/>
        <v>809</v>
      </c>
      <c r="E7885" t="str">
        <f t="shared" si="1738"/>
        <v>89301212</v>
      </c>
      <c r="F7885" t="str">
        <f>"6056021147"</f>
        <v>6056021147</v>
      </c>
      <c r="G7885" s="1">
        <v>44776</v>
      </c>
      <c r="H7885" t="str">
        <f>"89512"</f>
        <v>89512</v>
      </c>
      <c r="I7885">
        <v>1</v>
      </c>
      <c r="J7885">
        <v>277</v>
      </c>
      <c r="K7885">
        <v>0</v>
      </c>
      <c r="L7885">
        <v>387.8</v>
      </c>
    </row>
    <row r="7886" spans="1:12" x14ac:dyDescent="0.25">
      <c r="A7886" t="str">
        <f t="shared" si="1734"/>
        <v>89301000</v>
      </c>
      <c r="B7886" t="str">
        <f t="shared" si="1735"/>
        <v>89383000</v>
      </c>
      <c r="C7886" t="str">
        <f t="shared" si="1736"/>
        <v>89383002</v>
      </c>
      <c r="D7886" t="str">
        <f t="shared" si="1737"/>
        <v>809</v>
      </c>
      <c r="E7886" t="str">
        <f t="shared" si="1738"/>
        <v>89301212</v>
      </c>
      <c r="F7886" t="str">
        <f>"6056021147"</f>
        <v>6056021147</v>
      </c>
      <c r="G7886" s="1">
        <v>44776</v>
      </c>
      <c r="H7886" t="str">
        <f>"89513"</f>
        <v>89513</v>
      </c>
      <c r="I7886">
        <v>1</v>
      </c>
      <c r="J7886">
        <v>371</v>
      </c>
      <c r="K7886">
        <v>0</v>
      </c>
      <c r="L7886">
        <v>519.4</v>
      </c>
    </row>
    <row r="7887" spans="1:12" x14ac:dyDescent="0.25">
      <c r="A7887" t="str">
        <f t="shared" si="1734"/>
        <v>89301000</v>
      </c>
      <c r="B7887" t="str">
        <f t="shared" si="1735"/>
        <v>89383000</v>
      </c>
      <c r="C7887" t="str">
        <f t="shared" si="1736"/>
        <v>89383002</v>
      </c>
      <c r="D7887" t="str">
        <f t="shared" si="1737"/>
        <v>809</v>
      </c>
      <c r="E7887" t="str">
        <f t="shared" si="1738"/>
        <v>89301212</v>
      </c>
      <c r="F7887" t="str">
        <f>"6056021147"</f>
        <v>6056021147</v>
      </c>
      <c r="G7887" s="1">
        <v>44776</v>
      </c>
      <c r="H7887" t="str">
        <f>"89514"</f>
        <v>89514</v>
      </c>
      <c r="I7887">
        <v>1</v>
      </c>
      <c r="J7887">
        <v>371</v>
      </c>
      <c r="K7887">
        <v>0</v>
      </c>
      <c r="L7887">
        <v>519.4</v>
      </c>
    </row>
    <row r="7888" spans="1:12" x14ac:dyDescent="0.25">
      <c r="A7888" t="str">
        <f t="shared" si="1734"/>
        <v>89301000</v>
      </c>
      <c r="B7888" t="str">
        <f t="shared" si="1735"/>
        <v>89383000</v>
      </c>
      <c r="C7888" t="str">
        <f t="shared" si="1736"/>
        <v>89383002</v>
      </c>
      <c r="D7888" t="str">
        <f t="shared" si="1737"/>
        <v>809</v>
      </c>
      <c r="E7888" t="str">
        <f t="shared" si="1738"/>
        <v>89301212</v>
      </c>
      <c r="F7888" t="str">
        <f>"505303128"</f>
        <v>505303128</v>
      </c>
      <c r="G7888" s="1">
        <v>44776</v>
      </c>
      <c r="H7888" t="str">
        <f>"89512"</f>
        <v>89512</v>
      </c>
      <c r="I7888">
        <v>1</v>
      </c>
      <c r="J7888">
        <v>277</v>
      </c>
      <c r="K7888">
        <v>0</v>
      </c>
      <c r="L7888">
        <v>387.8</v>
      </c>
    </row>
    <row r="7889" spans="1:12" x14ac:dyDescent="0.25">
      <c r="A7889" t="str">
        <f t="shared" si="1734"/>
        <v>89301000</v>
      </c>
      <c r="B7889" t="str">
        <f t="shared" si="1735"/>
        <v>89383000</v>
      </c>
      <c r="C7889" t="str">
        <f t="shared" si="1736"/>
        <v>89383002</v>
      </c>
      <c r="D7889" t="str">
        <f t="shared" si="1737"/>
        <v>809</v>
      </c>
      <c r="E7889" t="str">
        <f>"89301215"</f>
        <v>89301215</v>
      </c>
      <c r="F7889" t="str">
        <f>"6662232005"</f>
        <v>6662232005</v>
      </c>
      <c r="G7889" s="1">
        <v>44777</v>
      </c>
      <c r="H7889" t="str">
        <f>"89512"</f>
        <v>89512</v>
      </c>
      <c r="I7889">
        <v>1</v>
      </c>
      <c r="J7889">
        <v>277</v>
      </c>
      <c r="K7889">
        <v>0</v>
      </c>
      <c r="L7889">
        <v>387.8</v>
      </c>
    </row>
    <row r="7890" spans="1:12" x14ac:dyDescent="0.25">
      <c r="A7890" t="str">
        <f t="shared" si="1734"/>
        <v>89301000</v>
      </c>
      <c r="B7890" t="str">
        <f t="shared" si="1735"/>
        <v>89383000</v>
      </c>
      <c r="C7890" t="str">
        <f t="shared" si="1736"/>
        <v>89383002</v>
      </c>
      <c r="D7890" t="str">
        <f t="shared" si="1737"/>
        <v>809</v>
      </c>
      <c r="E7890" t="str">
        <f>"89301045"</f>
        <v>89301045</v>
      </c>
      <c r="F7890" t="str">
        <f>"5553250780"</f>
        <v>5553250780</v>
      </c>
      <c r="G7890" s="1">
        <v>44775</v>
      </c>
      <c r="H7890" t="str">
        <f>"89512"</f>
        <v>89512</v>
      </c>
      <c r="I7890">
        <v>1</v>
      </c>
      <c r="J7890">
        <v>277</v>
      </c>
      <c r="K7890">
        <v>0</v>
      </c>
      <c r="L7890">
        <v>387.8</v>
      </c>
    </row>
    <row r="7891" spans="1:12" x14ac:dyDescent="0.25">
      <c r="A7891" t="str">
        <f t="shared" si="1734"/>
        <v>89301000</v>
      </c>
      <c r="B7891" t="str">
        <f t="shared" si="1735"/>
        <v>89383000</v>
      </c>
      <c r="C7891" t="str">
        <f t="shared" si="1736"/>
        <v>89383002</v>
      </c>
      <c r="D7891" t="str">
        <f t="shared" si="1737"/>
        <v>809</v>
      </c>
      <c r="E7891" t="str">
        <f>"89301045"</f>
        <v>89301045</v>
      </c>
      <c r="F7891" t="str">
        <f>"5553250780"</f>
        <v>5553250780</v>
      </c>
      <c r="G7891" s="1">
        <v>44775</v>
      </c>
      <c r="H7891" t="str">
        <f>"89311"</f>
        <v>89311</v>
      </c>
      <c r="I7891">
        <v>1</v>
      </c>
      <c r="J7891">
        <v>936</v>
      </c>
      <c r="K7891">
        <v>0</v>
      </c>
      <c r="L7891">
        <v>1310.4000000000001</v>
      </c>
    </row>
    <row r="7892" spans="1:12" x14ac:dyDescent="0.25">
      <c r="A7892" t="str">
        <f t="shared" si="1734"/>
        <v>89301000</v>
      </c>
      <c r="B7892" t="str">
        <f t="shared" si="1735"/>
        <v>89383000</v>
      </c>
      <c r="C7892" t="str">
        <f t="shared" si="1736"/>
        <v>89383002</v>
      </c>
      <c r="D7892" t="str">
        <f t="shared" si="1737"/>
        <v>809</v>
      </c>
      <c r="E7892" t="str">
        <f>"89301042"</f>
        <v>89301042</v>
      </c>
      <c r="F7892" t="str">
        <f>"8251145342"</f>
        <v>8251145342</v>
      </c>
      <c r="G7892" s="1">
        <v>44776</v>
      </c>
      <c r="H7892" t="str">
        <f>"89512"</f>
        <v>89512</v>
      </c>
      <c r="I7892">
        <v>1</v>
      </c>
      <c r="J7892">
        <v>277</v>
      </c>
      <c r="K7892">
        <v>0</v>
      </c>
      <c r="L7892">
        <v>387.8</v>
      </c>
    </row>
    <row r="7893" spans="1:12" x14ac:dyDescent="0.25">
      <c r="A7893" t="str">
        <f t="shared" si="1734"/>
        <v>89301000</v>
      </c>
      <c r="B7893" t="str">
        <f t="shared" si="1735"/>
        <v>89383000</v>
      </c>
      <c r="C7893" t="str">
        <f t="shared" si="1736"/>
        <v>89383002</v>
      </c>
      <c r="D7893" t="str">
        <f t="shared" si="1737"/>
        <v>809</v>
      </c>
      <c r="E7893" t="str">
        <f>"89301042"</f>
        <v>89301042</v>
      </c>
      <c r="F7893" t="str">
        <f>"8251145342"</f>
        <v>8251145342</v>
      </c>
      <c r="G7893" s="1">
        <v>44776</v>
      </c>
      <c r="H7893" t="str">
        <f>"89311"</f>
        <v>89311</v>
      </c>
      <c r="I7893">
        <v>1</v>
      </c>
      <c r="J7893">
        <v>936</v>
      </c>
      <c r="K7893">
        <v>0</v>
      </c>
      <c r="L7893">
        <v>1310.4000000000001</v>
      </c>
    </row>
    <row r="7894" spans="1:12" x14ac:dyDescent="0.25">
      <c r="A7894" t="str">
        <f t="shared" si="1734"/>
        <v>89301000</v>
      </c>
      <c r="B7894" t="str">
        <f t="shared" si="1735"/>
        <v>89383000</v>
      </c>
      <c r="C7894" t="str">
        <f t="shared" si="1736"/>
        <v>89383002</v>
      </c>
      <c r="D7894" t="str">
        <f t="shared" si="1737"/>
        <v>809</v>
      </c>
      <c r="E7894" t="str">
        <f t="shared" ref="E7894:E7924" si="1739">"89301212"</f>
        <v>89301212</v>
      </c>
      <c r="F7894" t="str">
        <f>"505303128"</f>
        <v>505303128</v>
      </c>
      <c r="G7894" s="1">
        <v>44777</v>
      </c>
      <c r="H7894" t="str">
        <f>"89512"</f>
        <v>89512</v>
      </c>
      <c r="I7894">
        <v>1</v>
      </c>
      <c r="J7894">
        <v>277</v>
      </c>
      <c r="K7894">
        <v>0</v>
      </c>
      <c r="L7894">
        <v>387.8</v>
      </c>
    </row>
    <row r="7895" spans="1:12" x14ac:dyDescent="0.25">
      <c r="A7895" t="str">
        <f t="shared" si="1734"/>
        <v>89301000</v>
      </c>
      <c r="B7895" t="str">
        <f t="shared" si="1735"/>
        <v>89383000</v>
      </c>
      <c r="C7895" t="str">
        <f t="shared" si="1736"/>
        <v>89383002</v>
      </c>
      <c r="D7895" t="str">
        <f t="shared" si="1737"/>
        <v>809</v>
      </c>
      <c r="E7895" t="str">
        <f t="shared" si="1739"/>
        <v>89301212</v>
      </c>
      <c r="F7895" t="str">
        <f>"505303128"</f>
        <v>505303128</v>
      </c>
      <c r="G7895" s="1">
        <v>44777</v>
      </c>
      <c r="H7895" t="str">
        <f>"89311"</f>
        <v>89311</v>
      </c>
      <c r="I7895">
        <v>1</v>
      </c>
      <c r="J7895">
        <v>936</v>
      </c>
      <c r="K7895">
        <v>0</v>
      </c>
      <c r="L7895">
        <v>1310.4000000000001</v>
      </c>
    </row>
    <row r="7896" spans="1:12" x14ac:dyDescent="0.25">
      <c r="A7896" t="str">
        <f t="shared" si="1734"/>
        <v>89301000</v>
      </c>
      <c r="B7896" t="str">
        <f t="shared" si="1735"/>
        <v>89383000</v>
      </c>
      <c r="C7896" t="str">
        <f t="shared" si="1736"/>
        <v>89383002</v>
      </c>
      <c r="D7896" t="str">
        <f t="shared" si="1737"/>
        <v>809</v>
      </c>
      <c r="E7896" t="str">
        <f t="shared" si="1739"/>
        <v>89301212</v>
      </c>
      <c r="F7896" t="str">
        <f>"8551285798"</f>
        <v>8551285798</v>
      </c>
      <c r="G7896" s="1">
        <v>44778</v>
      </c>
      <c r="H7896" t="str">
        <f>"89180"</f>
        <v>89180</v>
      </c>
      <c r="I7896">
        <v>1</v>
      </c>
      <c r="J7896">
        <v>376</v>
      </c>
      <c r="K7896">
        <v>0</v>
      </c>
      <c r="L7896">
        <v>526.4</v>
      </c>
    </row>
    <row r="7897" spans="1:12" x14ac:dyDescent="0.25">
      <c r="A7897" t="str">
        <f t="shared" si="1734"/>
        <v>89301000</v>
      </c>
      <c r="B7897" t="str">
        <f t="shared" si="1735"/>
        <v>89383000</v>
      </c>
      <c r="C7897" t="str">
        <f t="shared" si="1736"/>
        <v>89383002</v>
      </c>
      <c r="D7897" t="str">
        <f t="shared" si="1737"/>
        <v>809</v>
      </c>
      <c r="E7897" t="str">
        <f t="shared" si="1739"/>
        <v>89301212</v>
      </c>
      <c r="F7897" t="str">
        <f>"8551285798"</f>
        <v>8551285798</v>
      </c>
      <c r="G7897" s="1">
        <v>44778</v>
      </c>
      <c r="H7897" t="str">
        <f>"89512"</f>
        <v>89512</v>
      </c>
      <c r="I7897">
        <v>1</v>
      </c>
      <c r="J7897">
        <v>277</v>
      </c>
      <c r="K7897">
        <v>0</v>
      </c>
      <c r="L7897">
        <v>387.8</v>
      </c>
    </row>
    <row r="7898" spans="1:12" x14ac:dyDescent="0.25">
      <c r="A7898" t="str">
        <f t="shared" si="1734"/>
        <v>89301000</v>
      </c>
      <c r="B7898" t="str">
        <f t="shared" si="1735"/>
        <v>89383000</v>
      </c>
      <c r="C7898" t="str">
        <f t="shared" si="1736"/>
        <v>89383002</v>
      </c>
      <c r="D7898" t="str">
        <f t="shared" si="1737"/>
        <v>809</v>
      </c>
      <c r="E7898" t="str">
        <f t="shared" si="1739"/>
        <v>89301212</v>
      </c>
      <c r="F7898" t="str">
        <f>"6456211740"</f>
        <v>6456211740</v>
      </c>
      <c r="G7898" s="1">
        <v>44781</v>
      </c>
      <c r="H7898" t="str">
        <f>"89512"</f>
        <v>89512</v>
      </c>
      <c r="I7898">
        <v>1</v>
      </c>
      <c r="J7898">
        <v>277</v>
      </c>
      <c r="K7898">
        <v>0</v>
      </c>
      <c r="L7898">
        <v>387.8</v>
      </c>
    </row>
    <row r="7899" spans="1:12" x14ac:dyDescent="0.25">
      <c r="A7899" t="str">
        <f t="shared" si="1734"/>
        <v>89301000</v>
      </c>
      <c r="B7899" t="str">
        <f t="shared" si="1735"/>
        <v>89383000</v>
      </c>
      <c r="C7899" t="str">
        <f t="shared" si="1736"/>
        <v>89383002</v>
      </c>
      <c r="D7899" t="str">
        <f t="shared" si="1737"/>
        <v>809</v>
      </c>
      <c r="E7899" t="str">
        <f t="shared" si="1739"/>
        <v>89301212</v>
      </c>
      <c r="F7899" t="str">
        <f>"6456211740"</f>
        <v>6456211740</v>
      </c>
      <c r="G7899" s="1">
        <v>44781</v>
      </c>
      <c r="H7899" t="str">
        <f>"89513"</f>
        <v>89513</v>
      </c>
      <c r="I7899">
        <v>1</v>
      </c>
      <c r="J7899">
        <v>371</v>
      </c>
      <c r="K7899">
        <v>0</v>
      </c>
      <c r="L7899">
        <v>519.4</v>
      </c>
    </row>
    <row r="7900" spans="1:12" x14ac:dyDescent="0.25">
      <c r="A7900" t="str">
        <f t="shared" si="1734"/>
        <v>89301000</v>
      </c>
      <c r="B7900" t="str">
        <f t="shared" si="1735"/>
        <v>89383000</v>
      </c>
      <c r="C7900" t="str">
        <f t="shared" si="1736"/>
        <v>89383002</v>
      </c>
      <c r="D7900" t="str">
        <f t="shared" si="1737"/>
        <v>809</v>
      </c>
      <c r="E7900" t="str">
        <f t="shared" si="1739"/>
        <v>89301212</v>
      </c>
      <c r="F7900" t="str">
        <f>"6456211740"</f>
        <v>6456211740</v>
      </c>
      <c r="G7900" s="1">
        <v>44781</v>
      </c>
      <c r="H7900" t="str">
        <f>"89514"</f>
        <v>89514</v>
      </c>
      <c r="I7900">
        <v>1</v>
      </c>
      <c r="J7900">
        <v>371</v>
      </c>
      <c r="K7900">
        <v>0</v>
      </c>
      <c r="L7900">
        <v>519.4</v>
      </c>
    </row>
    <row r="7901" spans="1:12" x14ac:dyDescent="0.25">
      <c r="A7901" t="str">
        <f t="shared" si="1734"/>
        <v>89301000</v>
      </c>
      <c r="B7901" t="str">
        <f t="shared" si="1735"/>
        <v>89383000</v>
      </c>
      <c r="C7901" t="str">
        <f t="shared" si="1736"/>
        <v>89383002</v>
      </c>
      <c r="D7901" t="str">
        <f t="shared" si="1737"/>
        <v>809</v>
      </c>
      <c r="E7901" t="str">
        <f t="shared" si="1739"/>
        <v>89301212</v>
      </c>
      <c r="F7901" t="str">
        <f>"7154195763"</f>
        <v>7154195763</v>
      </c>
      <c r="G7901" s="1">
        <v>44781</v>
      </c>
      <c r="H7901" t="str">
        <f>"89180"</f>
        <v>89180</v>
      </c>
      <c r="I7901">
        <v>2</v>
      </c>
      <c r="J7901">
        <v>752</v>
      </c>
      <c r="K7901">
        <v>0</v>
      </c>
      <c r="L7901">
        <v>1052.8</v>
      </c>
    </row>
    <row r="7902" spans="1:12" x14ac:dyDescent="0.25">
      <c r="A7902" t="str">
        <f t="shared" si="1734"/>
        <v>89301000</v>
      </c>
      <c r="B7902" t="str">
        <f t="shared" si="1735"/>
        <v>89383000</v>
      </c>
      <c r="C7902" t="str">
        <f t="shared" si="1736"/>
        <v>89383002</v>
      </c>
      <c r="D7902" t="str">
        <f t="shared" si="1737"/>
        <v>809</v>
      </c>
      <c r="E7902" t="str">
        <f t="shared" si="1739"/>
        <v>89301212</v>
      </c>
      <c r="F7902" t="str">
        <f>"7154195763"</f>
        <v>7154195763</v>
      </c>
      <c r="G7902" s="1">
        <v>44781</v>
      </c>
      <c r="H7902" t="str">
        <f>"89512"</f>
        <v>89512</v>
      </c>
      <c r="I7902">
        <v>1</v>
      </c>
      <c r="J7902">
        <v>277</v>
      </c>
      <c r="K7902">
        <v>0</v>
      </c>
      <c r="L7902">
        <v>387.8</v>
      </c>
    </row>
    <row r="7903" spans="1:12" x14ac:dyDescent="0.25">
      <c r="A7903" t="str">
        <f t="shared" si="1734"/>
        <v>89301000</v>
      </c>
      <c r="B7903" t="str">
        <f t="shared" si="1735"/>
        <v>89383000</v>
      </c>
      <c r="C7903" t="str">
        <f t="shared" si="1736"/>
        <v>89383002</v>
      </c>
      <c r="D7903" t="str">
        <f t="shared" si="1737"/>
        <v>809</v>
      </c>
      <c r="E7903" t="str">
        <f t="shared" si="1739"/>
        <v>89301212</v>
      </c>
      <c r="F7903" t="str">
        <f>"8553185850"</f>
        <v>8553185850</v>
      </c>
      <c r="G7903" s="1">
        <v>44782</v>
      </c>
      <c r="H7903" t="str">
        <f>"89180"</f>
        <v>89180</v>
      </c>
      <c r="I7903">
        <v>2</v>
      </c>
      <c r="J7903">
        <v>752</v>
      </c>
      <c r="K7903">
        <v>0</v>
      </c>
      <c r="L7903">
        <v>1052.8</v>
      </c>
    </row>
    <row r="7904" spans="1:12" x14ac:dyDescent="0.25">
      <c r="A7904" t="str">
        <f t="shared" si="1734"/>
        <v>89301000</v>
      </c>
      <c r="B7904" t="str">
        <f t="shared" si="1735"/>
        <v>89383000</v>
      </c>
      <c r="C7904" t="str">
        <f t="shared" si="1736"/>
        <v>89383002</v>
      </c>
      <c r="D7904" t="str">
        <f t="shared" si="1737"/>
        <v>809</v>
      </c>
      <c r="E7904" t="str">
        <f t="shared" si="1739"/>
        <v>89301212</v>
      </c>
      <c r="F7904" t="str">
        <f>"8553185850"</f>
        <v>8553185850</v>
      </c>
      <c r="G7904" s="1">
        <v>44782</v>
      </c>
      <c r="H7904" t="str">
        <f>"89512"</f>
        <v>89512</v>
      </c>
      <c r="I7904">
        <v>1</v>
      </c>
      <c r="J7904">
        <v>277</v>
      </c>
      <c r="K7904">
        <v>0</v>
      </c>
      <c r="L7904">
        <v>387.8</v>
      </c>
    </row>
    <row r="7905" spans="1:12" x14ac:dyDescent="0.25">
      <c r="A7905" t="str">
        <f t="shared" si="1734"/>
        <v>89301000</v>
      </c>
      <c r="B7905" t="str">
        <f t="shared" si="1735"/>
        <v>89383000</v>
      </c>
      <c r="C7905" t="str">
        <f t="shared" si="1736"/>
        <v>89383002</v>
      </c>
      <c r="D7905" t="str">
        <f t="shared" si="1737"/>
        <v>809</v>
      </c>
      <c r="E7905" t="str">
        <f t="shared" si="1739"/>
        <v>89301212</v>
      </c>
      <c r="F7905" t="str">
        <f>"7753194152"</f>
        <v>7753194152</v>
      </c>
      <c r="G7905" s="1">
        <v>44782</v>
      </c>
      <c r="H7905" t="str">
        <f>"89512"</f>
        <v>89512</v>
      </c>
      <c r="I7905">
        <v>1</v>
      </c>
      <c r="J7905">
        <v>277</v>
      </c>
      <c r="K7905">
        <v>0</v>
      </c>
      <c r="L7905">
        <v>387.8</v>
      </c>
    </row>
    <row r="7906" spans="1:12" x14ac:dyDescent="0.25">
      <c r="A7906" t="str">
        <f t="shared" si="1734"/>
        <v>89301000</v>
      </c>
      <c r="B7906" t="str">
        <f t="shared" si="1735"/>
        <v>89383000</v>
      </c>
      <c r="C7906" t="str">
        <f t="shared" si="1736"/>
        <v>89383002</v>
      </c>
      <c r="D7906" t="str">
        <f t="shared" si="1737"/>
        <v>809</v>
      </c>
      <c r="E7906" t="str">
        <f t="shared" si="1739"/>
        <v>89301212</v>
      </c>
      <c r="F7906" t="str">
        <f>"7753194152"</f>
        <v>7753194152</v>
      </c>
      <c r="G7906" s="1">
        <v>44782</v>
      </c>
      <c r="H7906" t="str">
        <f>"89180"</f>
        <v>89180</v>
      </c>
      <c r="I7906">
        <v>1</v>
      </c>
      <c r="J7906">
        <v>376</v>
      </c>
      <c r="K7906">
        <v>0</v>
      </c>
      <c r="L7906">
        <v>526.4</v>
      </c>
    </row>
    <row r="7907" spans="1:12" x14ac:dyDescent="0.25">
      <c r="A7907" t="str">
        <f t="shared" si="1734"/>
        <v>89301000</v>
      </c>
      <c r="B7907" t="str">
        <f t="shared" si="1735"/>
        <v>89383000</v>
      </c>
      <c r="C7907" t="str">
        <f t="shared" si="1736"/>
        <v>89383002</v>
      </c>
      <c r="D7907" t="str">
        <f t="shared" si="1737"/>
        <v>809</v>
      </c>
      <c r="E7907" t="str">
        <f t="shared" si="1739"/>
        <v>89301212</v>
      </c>
      <c r="F7907" t="str">
        <f>"7457015313"</f>
        <v>7457015313</v>
      </c>
      <c r="G7907" s="1">
        <v>44783</v>
      </c>
      <c r="H7907" t="str">
        <f>"89512"</f>
        <v>89512</v>
      </c>
      <c r="I7907">
        <v>1</v>
      </c>
      <c r="J7907">
        <v>277</v>
      </c>
      <c r="K7907">
        <v>0</v>
      </c>
      <c r="L7907">
        <v>387.8</v>
      </c>
    </row>
    <row r="7908" spans="1:12" x14ac:dyDescent="0.25">
      <c r="A7908" t="str">
        <f t="shared" si="1734"/>
        <v>89301000</v>
      </c>
      <c r="B7908" t="str">
        <f t="shared" si="1735"/>
        <v>89383000</v>
      </c>
      <c r="C7908" t="str">
        <f t="shared" si="1736"/>
        <v>89383002</v>
      </c>
      <c r="D7908" t="str">
        <f t="shared" si="1737"/>
        <v>809</v>
      </c>
      <c r="E7908" t="str">
        <f t="shared" si="1739"/>
        <v>89301212</v>
      </c>
      <c r="F7908" t="str">
        <f>"7457015313"</f>
        <v>7457015313</v>
      </c>
      <c r="G7908" s="1">
        <v>44783</v>
      </c>
      <c r="H7908" t="str">
        <f>"89311"</f>
        <v>89311</v>
      </c>
      <c r="I7908">
        <v>1</v>
      </c>
      <c r="J7908">
        <v>936</v>
      </c>
      <c r="K7908">
        <v>0</v>
      </c>
      <c r="L7908">
        <v>1310.4000000000001</v>
      </c>
    </row>
    <row r="7909" spans="1:12" x14ac:dyDescent="0.25">
      <c r="A7909" t="str">
        <f t="shared" si="1734"/>
        <v>89301000</v>
      </c>
      <c r="B7909" t="str">
        <f t="shared" si="1735"/>
        <v>89383000</v>
      </c>
      <c r="C7909" t="str">
        <f t="shared" si="1736"/>
        <v>89383002</v>
      </c>
      <c r="D7909" t="str">
        <f t="shared" si="1737"/>
        <v>809</v>
      </c>
      <c r="E7909" t="str">
        <f t="shared" si="1739"/>
        <v>89301212</v>
      </c>
      <c r="F7909" t="str">
        <f>"495607002"</f>
        <v>495607002</v>
      </c>
      <c r="G7909" s="1">
        <v>44784</v>
      </c>
      <c r="H7909" t="str">
        <f>"89180"</f>
        <v>89180</v>
      </c>
      <c r="I7909">
        <v>2</v>
      </c>
      <c r="J7909">
        <v>752</v>
      </c>
      <c r="K7909">
        <v>0</v>
      </c>
      <c r="L7909">
        <v>1052.8</v>
      </c>
    </row>
    <row r="7910" spans="1:12" x14ac:dyDescent="0.25">
      <c r="A7910" t="str">
        <f t="shared" si="1734"/>
        <v>89301000</v>
      </c>
      <c r="B7910" t="str">
        <f t="shared" si="1735"/>
        <v>89383000</v>
      </c>
      <c r="C7910" t="str">
        <f t="shared" si="1736"/>
        <v>89383002</v>
      </c>
      <c r="D7910" t="str">
        <f t="shared" si="1737"/>
        <v>809</v>
      </c>
      <c r="E7910" t="str">
        <f t="shared" si="1739"/>
        <v>89301212</v>
      </c>
      <c r="F7910" t="str">
        <f>"495607002"</f>
        <v>495607002</v>
      </c>
      <c r="G7910" s="1">
        <v>44784</v>
      </c>
      <c r="H7910" t="str">
        <f>"89512"</f>
        <v>89512</v>
      </c>
      <c r="I7910">
        <v>1</v>
      </c>
      <c r="J7910">
        <v>277</v>
      </c>
      <c r="K7910">
        <v>0</v>
      </c>
      <c r="L7910">
        <v>387.8</v>
      </c>
    </row>
    <row r="7911" spans="1:12" x14ac:dyDescent="0.25">
      <c r="A7911" t="str">
        <f t="shared" si="1734"/>
        <v>89301000</v>
      </c>
      <c r="B7911" t="str">
        <f t="shared" si="1735"/>
        <v>89383000</v>
      </c>
      <c r="C7911" t="str">
        <f t="shared" si="1736"/>
        <v>89383002</v>
      </c>
      <c r="D7911" t="str">
        <f t="shared" si="1737"/>
        <v>809</v>
      </c>
      <c r="E7911" t="str">
        <f t="shared" si="1739"/>
        <v>89301212</v>
      </c>
      <c r="F7911" t="str">
        <f>"495607002"</f>
        <v>495607002</v>
      </c>
      <c r="G7911" s="1">
        <v>44784</v>
      </c>
      <c r="H7911" t="str">
        <f>"89513"</f>
        <v>89513</v>
      </c>
      <c r="I7911">
        <v>1</v>
      </c>
      <c r="J7911">
        <v>371</v>
      </c>
      <c r="K7911">
        <v>0</v>
      </c>
      <c r="L7911">
        <v>519.4</v>
      </c>
    </row>
    <row r="7912" spans="1:12" x14ac:dyDescent="0.25">
      <c r="A7912" t="str">
        <f t="shared" si="1734"/>
        <v>89301000</v>
      </c>
      <c r="B7912" t="str">
        <f t="shared" si="1735"/>
        <v>89383000</v>
      </c>
      <c r="C7912" t="str">
        <f t="shared" si="1736"/>
        <v>89383002</v>
      </c>
      <c r="D7912" t="str">
        <f t="shared" si="1737"/>
        <v>809</v>
      </c>
      <c r="E7912" t="str">
        <f t="shared" si="1739"/>
        <v>89301212</v>
      </c>
      <c r="F7912" t="str">
        <f>"495607002"</f>
        <v>495607002</v>
      </c>
      <c r="G7912" s="1">
        <v>44784</v>
      </c>
      <c r="H7912" t="str">
        <f>"89514"</f>
        <v>89514</v>
      </c>
      <c r="I7912">
        <v>1</v>
      </c>
      <c r="J7912">
        <v>371</v>
      </c>
      <c r="K7912">
        <v>0</v>
      </c>
      <c r="L7912">
        <v>519.4</v>
      </c>
    </row>
    <row r="7913" spans="1:12" x14ac:dyDescent="0.25">
      <c r="A7913" t="str">
        <f t="shared" si="1734"/>
        <v>89301000</v>
      </c>
      <c r="B7913" t="str">
        <f t="shared" ref="B7913:B7937" si="1740">"89383000"</f>
        <v>89383000</v>
      </c>
      <c r="C7913" t="str">
        <f t="shared" ref="C7913:C7937" si="1741">"89383002"</f>
        <v>89383002</v>
      </c>
      <c r="D7913" t="str">
        <f t="shared" ref="D7913:D7948" si="1742">"809"</f>
        <v>809</v>
      </c>
      <c r="E7913" t="str">
        <f t="shared" si="1739"/>
        <v>89301212</v>
      </c>
      <c r="F7913" t="str">
        <f>"7860084936"</f>
        <v>7860084936</v>
      </c>
      <c r="G7913" s="1">
        <v>44785</v>
      </c>
      <c r="H7913" t="str">
        <f>"89512"</f>
        <v>89512</v>
      </c>
      <c r="I7913">
        <v>1</v>
      </c>
      <c r="J7913">
        <v>277</v>
      </c>
      <c r="K7913">
        <v>0</v>
      </c>
      <c r="L7913">
        <v>387.8</v>
      </c>
    </row>
    <row r="7914" spans="1:12" x14ac:dyDescent="0.25">
      <c r="A7914" t="str">
        <f t="shared" si="1734"/>
        <v>89301000</v>
      </c>
      <c r="B7914" t="str">
        <f t="shared" si="1740"/>
        <v>89383000</v>
      </c>
      <c r="C7914" t="str">
        <f t="shared" si="1741"/>
        <v>89383002</v>
      </c>
      <c r="D7914" t="str">
        <f t="shared" si="1742"/>
        <v>809</v>
      </c>
      <c r="E7914" t="str">
        <f t="shared" si="1739"/>
        <v>89301212</v>
      </c>
      <c r="F7914" t="str">
        <f>"7860084936"</f>
        <v>7860084936</v>
      </c>
      <c r="G7914" s="1">
        <v>44785</v>
      </c>
      <c r="H7914" t="str">
        <f>"89513"</f>
        <v>89513</v>
      </c>
      <c r="I7914">
        <v>1</v>
      </c>
      <c r="J7914">
        <v>371</v>
      </c>
      <c r="K7914">
        <v>0</v>
      </c>
      <c r="L7914">
        <v>519.4</v>
      </c>
    </row>
    <row r="7915" spans="1:12" x14ac:dyDescent="0.25">
      <c r="A7915" t="str">
        <f t="shared" si="1734"/>
        <v>89301000</v>
      </c>
      <c r="B7915" t="str">
        <f t="shared" si="1740"/>
        <v>89383000</v>
      </c>
      <c r="C7915" t="str">
        <f t="shared" si="1741"/>
        <v>89383002</v>
      </c>
      <c r="D7915" t="str">
        <f t="shared" si="1742"/>
        <v>809</v>
      </c>
      <c r="E7915" t="str">
        <f t="shared" si="1739"/>
        <v>89301212</v>
      </c>
      <c r="F7915" t="str">
        <f>"7860084936"</f>
        <v>7860084936</v>
      </c>
      <c r="G7915" s="1">
        <v>44785</v>
      </c>
      <c r="H7915" t="str">
        <f>"89514"</f>
        <v>89514</v>
      </c>
      <c r="I7915">
        <v>1</v>
      </c>
      <c r="J7915">
        <v>371</v>
      </c>
      <c r="K7915">
        <v>0</v>
      </c>
      <c r="L7915">
        <v>519.4</v>
      </c>
    </row>
    <row r="7916" spans="1:12" x14ac:dyDescent="0.25">
      <c r="A7916" t="str">
        <f t="shared" si="1734"/>
        <v>89301000</v>
      </c>
      <c r="B7916" t="str">
        <f t="shared" si="1740"/>
        <v>89383000</v>
      </c>
      <c r="C7916" t="str">
        <f t="shared" si="1741"/>
        <v>89383002</v>
      </c>
      <c r="D7916" t="str">
        <f t="shared" si="1742"/>
        <v>809</v>
      </c>
      <c r="E7916" t="str">
        <f t="shared" si="1739"/>
        <v>89301212</v>
      </c>
      <c r="F7916" t="str">
        <f>"7057175334"</f>
        <v>7057175334</v>
      </c>
      <c r="G7916" s="1">
        <v>44790</v>
      </c>
      <c r="H7916" t="str">
        <f>"89180"</f>
        <v>89180</v>
      </c>
      <c r="I7916">
        <v>2</v>
      </c>
      <c r="J7916">
        <v>752</v>
      </c>
      <c r="K7916">
        <v>0</v>
      </c>
      <c r="L7916">
        <v>1052.8</v>
      </c>
    </row>
    <row r="7917" spans="1:12" x14ac:dyDescent="0.25">
      <c r="A7917" t="str">
        <f t="shared" si="1734"/>
        <v>89301000</v>
      </c>
      <c r="B7917" t="str">
        <f t="shared" si="1740"/>
        <v>89383000</v>
      </c>
      <c r="C7917" t="str">
        <f t="shared" si="1741"/>
        <v>89383002</v>
      </c>
      <c r="D7917" t="str">
        <f t="shared" si="1742"/>
        <v>809</v>
      </c>
      <c r="E7917" t="str">
        <f t="shared" si="1739"/>
        <v>89301212</v>
      </c>
      <c r="F7917" t="str">
        <f>"7057175334"</f>
        <v>7057175334</v>
      </c>
      <c r="G7917" s="1">
        <v>44790</v>
      </c>
      <c r="H7917" t="str">
        <f>"89512"</f>
        <v>89512</v>
      </c>
      <c r="I7917">
        <v>1</v>
      </c>
      <c r="J7917">
        <v>277</v>
      </c>
      <c r="K7917">
        <v>0</v>
      </c>
      <c r="L7917">
        <v>387.8</v>
      </c>
    </row>
    <row r="7918" spans="1:12" x14ac:dyDescent="0.25">
      <c r="A7918" t="str">
        <f t="shared" si="1734"/>
        <v>89301000</v>
      </c>
      <c r="B7918" t="str">
        <f t="shared" si="1740"/>
        <v>89383000</v>
      </c>
      <c r="C7918" t="str">
        <f t="shared" si="1741"/>
        <v>89383002</v>
      </c>
      <c r="D7918" t="str">
        <f t="shared" si="1742"/>
        <v>809</v>
      </c>
      <c r="E7918" t="str">
        <f t="shared" si="1739"/>
        <v>89301212</v>
      </c>
      <c r="F7918" t="str">
        <f>"7057175334"</f>
        <v>7057175334</v>
      </c>
      <c r="G7918" s="1">
        <v>44790</v>
      </c>
      <c r="H7918" t="str">
        <f>"89513"</f>
        <v>89513</v>
      </c>
      <c r="I7918">
        <v>1</v>
      </c>
      <c r="J7918">
        <v>371</v>
      </c>
      <c r="K7918">
        <v>0</v>
      </c>
      <c r="L7918">
        <v>519.4</v>
      </c>
    </row>
    <row r="7919" spans="1:12" x14ac:dyDescent="0.25">
      <c r="A7919" t="str">
        <f t="shared" si="1734"/>
        <v>89301000</v>
      </c>
      <c r="B7919" t="str">
        <f t="shared" si="1740"/>
        <v>89383000</v>
      </c>
      <c r="C7919" t="str">
        <f t="shared" si="1741"/>
        <v>89383002</v>
      </c>
      <c r="D7919" t="str">
        <f t="shared" si="1742"/>
        <v>809</v>
      </c>
      <c r="E7919" t="str">
        <f t="shared" si="1739"/>
        <v>89301212</v>
      </c>
      <c r="F7919" t="str">
        <f>"7057175334"</f>
        <v>7057175334</v>
      </c>
      <c r="G7919" s="1">
        <v>44790</v>
      </c>
      <c r="H7919" t="str">
        <f>"89514"</f>
        <v>89514</v>
      </c>
      <c r="I7919">
        <v>1</v>
      </c>
      <c r="J7919">
        <v>371</v>
      </c>
      <c r="K7919">
        <v>0</v>
      </c>
      <c r="L7919">
        <v>519.4</v>
      </c>
    </row>
    <row r="7920" spans="1:12" x14ac:dyDescent="0.25">
      <c r="A7920" t="str">
        <f t="shared" si="1734"/>
        <v>89301000</v>
      </c>
      <c r="B7920" t="str">
        <f t="shared" si="1740"/>
        <v>89383000</v>
      </c>
      <c r="C7920" t="str">
        <f t="shared" si="1741"/>
        <v>89383002</v>
      </c>
      <c r="D7920" t="str">
        <f t="shared" si="1742"/>
        <v>809</v>
      </c>
      <c r="E7920" t="str">
        <f t="shared" si="1739"/>
        <v>89301212</v>
      </c>
      <c r="F7920" t="str">
        <f>"8561305368"</f>
        <v>8561305368</v>
      </c>
      <c r="G7920" s="1">
        <v>44796</v>
      </c>
      <c r="H7920" t="str">
        <f>"89512"</f>
        <v>89512</v>
      </c>
      <c r="I7920">
        <v>1</v>
      </c>
      <c r="J7920">
        <v>277</v>
      </c>
      <c r="K7920">
        <v>0</v>
      </c>
      <c r="L7920">
        <v>387.8</v>
      </c>
    </row>
    <row r="7921" spans="1:12" x14ac:dyDescent="0.25">
      <c r="A7921" t="str">
        <f t="shared" si="1734"/>
        <v>89301000</v>
      </c>
      <c r="B7921" t="str">
        <f t="shared" si="1740"/>
        <v>89383000</v>
      </c>
      <c r="C7921" t="str">
        <f t="shared" si="1741"/>
        <v>89383002</v>
      </c>
      <c r="D7921" t="str">
        <f t="shared" si="1742"/>
        <v>809</v>
      </c>
      <c r="E7921" t="str">
        <f t="shared" si="1739"/>
        <v>89301212</v>
      </c>
      <c r="F7921" t="str">
        <f>"8561305368"</f>
        <v>8561305368</v>
      </c>
      <c r="G7921" s="1">
        <v>44796</v>
      </c>
      <c r="H7921" t="str">
        <f>"89513"</f>
        <v>89513</v>
      </c>
      <c r="I7921">
        <v>1</v>
      </c>
      <c r="J7921">
        <v>371</v>
      </c>
      <c r="K7921">
        <v>0</v>
      </c>
      <c r="L7921">
        <v>519.4</v>
      </c>
    </row>
    <row r="7922" spans="1:12" x14ac:dyDescent="0.25">
      <c r="A7922" t="str">
        <f t="shared" si="1734"/>
        <v>89301000</v>
      </c>
      <c r="B7922" t="str">
        <f t="shared" si="1740"/>
        <v>89383000</v>
      </c>
      <c r="C7922" t="str">
        <f t="shared" si="1741"/>
        <v>89383002</v>
      </c>
      <c r="D7922" t="str">
        <f t="shared" si="1742"/>
        <v>809</v>
      </c>
      <c r="E7922" t="str">
        <f t="shared" si="1739"/>
        <v>89301212</v>
      </c>
      <c r="F7922" t="str">
        <f>"8561305368"</f>
        <v>8561305368</v>
      </c>
      <c r="G7922" s="1">
        <v>44796</v>
      </c>
      <c r="H7922" t="str">
        <f>"89514"</f>
        <v>89514</v>
      </c>
      <c r="I7922">
        <v>1</v>
      </c>
      <c r="J7922">
        <v>371</v>
      </c>
      <c r="K7922">
        <v>0</v>
      </c>
      <c r="L7922">
        <v>519.4</v>
      </c>
    </row>
    <row r="7923" spans="1:12" x14ac:dyDescent="0.25">
      <c r="A7923" t="str">
        <f t="shared" si="1734"/>
        <v>89301000</v>
      </c>
      <c r="B7923" t="str">
        <f t="shared" si="1740"/>
        <v>89383000</v>
      </c>
      <c r="C7923" t="str">
        <f t="shared" si="1741"/>
        <v>89383002</v>
      </c>
      <c r="D7923" t="str">
        <f t="shared" si="1742"/>
        <v>809</v>
      </c>
      <c r="E7923" t="str">
        <f t="shared" si="1739"/>
        <v>89301212</v>
      </c>
      <c r="F7923" t="str">
        <f>"465719487"</f>
        <v>465719487</v>
      </c>
      <c r="G7923" s="1">
        <v>44796</v>
      </c>
      <c r="H7923" t="str">
        <f>"89180"</f>
        <v>89180</v>
      </c>
      <c r="I7923">
        <v>2</v>
      </c>
      <c r="J7923">
        <v>752</v>
      </c>
      <c r="K7923">
        <v>0</v>
      </c>
      <c r="L7923">
        <v>1052.8</v>
      </c>
    </row>
    <row r="7924" spans="1:12" x14ac:dyDescent="0.25">
      <c r="A7924" t="str">
        <f t="shared" si="1734"/>
        <v>89301000</v>
      </c>
      <c r="B7924" t="str">
        <f t="shared" si="1740"/>
        <v>89383000</v>
      </c>
      <c r="C7924" t="str">
        <f t="shared" si="1741"/>
        <v>89383002</v>
      </c>
      <c r="D7924" t="str">
        <f t="shared" si="1742"/>
        <v>809</v>
      </c>
      <c r="E7924" t="str">
        <f t="shared" si="1739"/>
        <v>89301212</v>
      </c>
      <c r="F7924" t="str">
        <f>"465719487"</f>
        <v>465719487</v>
      </c>
      <c r="G7924" s="1">
        <v>44796</v>
      </c>
      <c r="H7924" t="str">
        <f>"89512"</f>
        <v>89512</v>
      </c>
      <c r="I7924">
        <v>1</v>
      </c>
      <c r="J7924">
        <v>277</v>
      </c>
      <c r="K7924">
        <v>0</v>
      </c>
      <c r="L7924">
        <v>387.8</v>
      </c>
    </row>
    <row r="7925" spans="1:12" x14ac:dyDescent="0.25">
      <c r="A7925" t="str">
        <f t="shared" si="1734"/>
        <v>89301000</v>
      </c>
      <c r="B7925" t="str">
        <f t="shared" si="1740"/>
        <v>89383000</v>
      </c>
      <c r="C7925" t="str">
        <f t="shared" si="1741"/>
        <v>89383002</v>
      </c>
      <c r="D7925" t="str">
        <f t="shared" si="1742"/>
        <v>809</v>
      </c>
      <c r="E7925" t="str">
        <f>"89301045"</f>
        <v>89301045</v>
      </c>
      <c r="F7925" t="str">
        <f>"7255105330"</f>
        <v>7255105330</v>
      </c>
      <c r="G7925" s="1">
        <v>44796</v>
      </c>
      <c r="H7925" t="str">
        <f>"89512"</f>
        <v>89512</v>
      </c>
      <c r="I7925">
        <v>1</v>
      </c>
      <c r="J7925">
        <v>277</v>
      </c>
      <c r="K7925">
        <v>0</v>
      </c>
      <c r="L7925">
        <v>387.8</v>
      </c>
    </row>
    <row r="7926" spans="1:12" x14ac:dyDescent="0.25">
      <c r="A7926" t="str">
        <f t="shared" si="1734"/>
        <v>89301000</v>
      </c>
      <c r="B7926" t="str">
        <f t="shared" si="1740"/>
        <v>89383000</v>
      </c>
      <c r="C7926" t="str">
        <f t="shared" si="1741"/>
        <v>89383002</v>
      </c>
      <c r="D7926" t="str">
        <f t="shared" si="1742"/>
        <v>809</v>
      </c>
      <c r="E7926" t="str">
        <f>"89301212"</f>
        <v>89301212</v>
      </c>
      <c r="F7926" t="str">
        <f>"6754050072"</f>
        <v>6754050072</v>
      </c>
      <c r="G7926" s="1">
        <v>44797</v>
      </c>
      <c r="H7926" t="str">
        <f>"89512"</f>
        <v>89512</v>
      </c>
      <c r="I7926">
        <v>1</v>
      </c>
      <c r="J7926">
        <v>277</v>
      </c>
      <c r="K7926">
        <v>0</v>
      </c>
      <c r="L7926">
        <v>387.8</v>
      </c>
    </row>
    <row r="7927" spans="1:12" x14ac:dyDescent="0.25">
      <c r="A7927" t="str">
        <f t="shared" si="1734"/>
        <v>89301000</v>
      </c>
      <c r="B7927" t="str">
        <f t="shared" si="1740"/>
        <v>89383000</v>
      </c>
      <c r="C7927" t="str">
        <f t="shared" si="1741"/>
        <v>89383002</v>
      </c>
      <c r="D7927" t="str">
        <f t="shared" si="1742"/>
        <v>809</v>
      </c>
      <c r="E7927" t="str">
        <f>"89301212"</f>
        <v>89301212</v>
      </c>
      <c r="F7927" t="str">
        <f>"6754050072"</f>
        <v>6754050072</v>
      </c>
      <c r="G7927" s="1">
        <v>44797</v>
      </c>
      <c r="H7927" t="str">
        <f>"89514"</f>
        <v>89514</v>
      </c>
      <c r="I7927">
        <v>1</v>
      </c>
      <c r="J7927">
        <v>371</v>
      </c>
      <c r="K7927">
        <v>0</v>
      </c>
      <c r="L7927">
        <v>519.4</v>
      </c>
    </row>
    <row r="7928" spans="1:12" x14ac:dyDescent="0.25">
      <c r="A7928" t="str">
        <f t="shared" si="1734"/>
        <v>89301000</v>
      </c>
      <c r="B7928" t="str">
        <f t="shared" si="1740"/>
        <v>89383000</v>
      </c>
      <c r="C7928" t="str">
        <f t="shared" si="1741"/>
        <v>89383002</v>
      </c>
      <c r="D7928" t="str">
        <f t="shared" si="1742"/>
        <v>809</v>
      </c>
      <c r="E7928" t="str">
        <f>"89301212"</f>
        <v>89301212</v>
      </c>
      <c r="F7928" t="str">
        <f>"6754050072"</f>
        <v>6754050072</v>
      </c>
      <c r="G7928" s="1">
        <v>44797</v>
      </c>
      <c r="H7928" t="str">
        <f>"89513"</f>
        <v>89513</v>
      </c>
      <c r="I7928">
        <v>1</v>
      </c>
      <c r="J7928">
        <v>371</v>
      </c>
      <c r="K7928">
        <v>0</v>
      </c>
      <c r="L7928">
        <v>519.4</v>
      </c>
    </row>
    <row r="7929" spans="1:12" x14ac:dyDescent="0.25">
      <c r="A7929" t="str">
        <f t="shared" si="1734"/>
        <v>89301000</v>
      </c>
      <c r="B7929" t="str">
        <f t="shared" si="1740"/>
        <v>89383000</v>
      </c>
      <c r="C7929" t="str">
        <f t="shared" si="1741"/>
        <v>89383002</v>
      </c>
      <c r="D7929" t="str">
        <f t="shared" si="1742"/>
        <v>809</v>
      </c>
      <c r="E7929" t="str">
        <f>"89301045"</f>
        <v>89301045</v>
      </c>
      <c r="F7929" t="str">
        <f>"505210019"</f>
        <v>505210019</v>
      </c>
      <c r="G7929" s="1">
        <v>44798</v>
      </c>
      <c r="H7929" t="str">
        <f>"89513"</f>
        <v>89513</v>
      </c>
      <c r="I7929">
        <v>1</v>
      </c>
      <c r="J7929">
        <v>371</v>
      </c>
      <c r="K7929">
        <v>0</v>
      </c>
      <c r="L7929">
        <v>519.4</v>
      </c>
    </row>
    <row r="7930" spans="1:12" x14ac:dyDescent="0.25">
      <c r="A7930" t="str">
        <f t="shared" si="1734"/>
        <v>89301000</v>
      </c>
      <c r="B7930" t="str">
        <f t="shared" si="1740"/>
        <v>89383000</v>
      </c>
      <c r="C7930" t="str">
        <f t="shared" si="1741"/>
        <v>89383002</v>
      </c>
      <c r="D7930" t="str">
        <f t="shared" si="1742"/>
        <v>809</v>
      </c>
      <c r="E7930" t="str">
        <f>"89301045"</f>
        <v>89301045</v>
      </c>
      <c r="F7930" t="str">
        <f>"505210019"</f>
        <v>505210019</v>
      </c>
      <c r="G7930" s="1">
        <v>44798</v>
      </c>
      <c r="H7930" t="str">
        <f>"89514"</f>
        <v>89514</v>
      </c>
      <c r="I7930">
        <v>1</v>
      </c>
      <c r="J7930">
        <v>371</v>
      </c>
      <c r="K7930">
        <v>0</v>
      </c>
      <c r="L7930">
        <v>519.4</v>
      </c>
    </row>
    <row r="7931" spans="1:12" x14ac:dyDescent="0.25">
      <c r="A7931" t="str">
        <f t="shared" si="1734"/>
        <v>89301000</v>
      </c>
      <c r="B7931" t="str">
        <f t="shared" si="1740"/>
        <v>89383000</v>
      </c>
      <c r="C7931" t="str">
        <f t="shared" si="1741"/>
        <v>89383002</v>
      </c>
      <c r="D7931" t="str">
        <f t="shared" si="1742"/>
        <v>809</v>
      </c>
      <c r="E7931" t="str">
        <f t="shared" ref="E7931:E7939" si="1743">"89301212"</f>
        <v>89301212</v>
      </c>
      <c r="F7931" t="str">
        <f>"8054205302"</f>
        <v>8054205302</v>
      </c>
      <c r="G7931" s="1">
        <v>44802</v>
      </c>
      <c r="H7931" t="str">
        <f>"89180"</f>
        <v>89180</v>
      </c>
      <c r="I7931">
        <v>1</v>
      </c>
      <c r="J7931">
        <v>376</v>
      </c>
      <c r="K7931">
        <v>0</v>
      </c>
      <c r="L7931">
        <v>526.4</v>
      </c>
    </row>
    <row r="7932" spans="1:12" x14ac:dyDescent="0.25">
      <c r="A7932" t="str">
        <f t="shared" si="1734"/>
        <v>89301000</v>
      </c>
      <c r="B7932" t="str">
        <f t="shared" si="1740"/>
        <v>89383000</v>
      </c>
      <c r="C7932" t="str">
        <f t="shared" si="1741"/>
        <v>89383002</v>
      </c>
      <c r="D7932" t="str">
        <f t="shared" si="1742"/>
        <v>809</v>
      </c>
      <c r="E7932" t="str">
        <f t="shared" si="1743"/>
        <v>89301212</v>
      </c>
      <c r="F7932" t="str">
        <f>"8054205302"</f>
        <v>8054205302</v>
      </c>
      <c r="G7932" s="1">
        <v>44802</v>
      </c>
      <c r="H7932" t="str">
        <f>"89512"</f>
        <v>89512</v>
      </c>
      <c r="I7932">
        <v>1</v>
      </c>
      <c r="J7932">
        <v>277</v>
      </c>
      <c r="K7932">
        <v>0</v>
      </c>
      <c r="L7932">
        <v>387.8</v>
      </c>
    </row>
    <row r="7933" spans="1:12" x14ac:dyDescent="0.25">
      <c r="A7933" t="str">
        <f t="shared" si="1734"/>
        <v>89301000</v>
      </c>
      <c r="B7933" t="str">
        <f t="shared" si="1740"/>
        <v>89383000</v>
      </c>
      <c r="C7933" t="str">
        <f t="shared" si="1741"/>
        <v>89383002</v>
      </c>
      <c r="D7933" t="str">
        <f t="shared" si="1742"/>
        <v>809</v>
      </c>
      <c r="E7933" t="str">
        <f t="shared" si="1743"/>
        <v>89301212</v>
      </c>
      <c r="F7933" t="str">
        <f>"465719487"</f>
        <v>465719487</v>
      </c>
      <c r="G7933" s="1">
        <v>44803</v>
      </c>
      <c r="H7933" t="str">
        <f>"89341"</f>
        <v>89341</v>
      </c>
      <c r="I7933">
        <v>1</v>
      </c>
      <c r="J7933">
        <v>5424</v>
      </c>
      <c r="K7933">
        <v>0</v>
      </c>
      <c r="L7933">
        <v>7593.6</v>
      </c>
    </row>
    <row r="7934" spans="1:12" x14ac:dyDescent="0.25">
      <c r="A7934" t="str">
        <f t="shared" si="1734"/>
        <v>89301000</v>
      </c>
      <c r="B7934" t="str">
        <f t="shared" si="1740"/>
        <v>89383000</v>
      </c>
      <c r="C7934" t="str">
        <f t="shared" si="1741"/>
        <v>89383002</v>
      </c>
      <c r="D7934" t="str">
        <f t="shared" si="1742"/>
        <v>809</v>
      </c>
      <c r="E7934" t="str">
        <f t="shared" si="1743"/>
        <v>89301212</v>
      </c>
      <c r="F7934" t="str">
        <f>"465719487"</f>
        <v>465719487</v>
      </c>
      <c r="G7934" s="1">
        <v>44803</v>
      </c>
      <c r="H7934" t="str">
        <f>"0225891"</f>
        <v>0225891</v>
      </c>
      <c r="I7934">
        <v>0.1</v>
      </c>
      <c r="K7934">
        <v>36.770000000000003</v>
      </c>
      <c r="L7934">
        <v>36.770000000000003</v>
      </c>
    </row>
    <row r="7935" spans="1:12" x14ac:dyDescent="0.25">
      <c r="A7935" t="str">
        <f t="shared" si="1734"/>
        <v>89301000</v>
      </c>
      <c r="B7935" t="str">
        <f t="shared" si="1740"/>
        <v>89383000</v>
      </c>
      <c r="C7935" t="str">
        <f t="shared" si="1741"/>
        <v>89383002</v>
      </c>
      <c r="D7935" t="str">
        <f t="shared" si="1742"/>
        <v>809</v>
      </c>
      <c r="E7935" t="str">
        <f t="shared" si="1743"/>
        <v>89301212</v>
      </c>
      <c r="F7935" t="str">
        <f>"465719487"</f>
        <v>465719487</v>
      </c>
      <c r="G7935" s="1">
        <v>44803</v>
      </c>
      <c r="H7935" t="str">
        <f>"0143099"</f>
        <v>0143099</v>
      </c>
      <c r="I7935">
        <v>1</v>
      </c>
      <c r="K7935">
        <v>9000</v>
      </c>
      <c r="L7935">
        <v>9000</v>
      </c>
    </row>
    <row r="7936" spans="1:12" x14ac:dyDescent="0.25">
      <c r="A7936" t="str">
        <f t="shared" si="1734"/>
        <v>89301000</v>
      </c>
      <c r="B7936" t="str">
        <f t="shared" si="1740"/>
        <v>89383000</v>
      </c>
      <c r="C7936" t="str">
        <f t="shared" si="1741"/>
        <v>89383002</v>
      </c>
      <c r="D7936" t="str">
        <f t="shared" si="1742"/>
        <v>809</v>
      </c>
      <c r="E7936" t="str">
        <f t="shared" si="1743"/>
        <v>89301212</v>
      </c>
      <c r="F7936" t="str">
        <f>"526129180"</f>
        <v>526129180</v>
      </c>
      <c r="G7936" s="1">
        <v>44804</v>
      </c>
      <c r="H7936" t="str">
        <f>"89180"</f>
        <v>89180</v>
      </c>
      <c r="I7936">
        <v>2</v>
      </c>
      <c r="J7936">
        <v>752</v>
      </c>
      <c r="K7936">
        <v>0</v>
      </c>
      <c r="L7936">
        <v>1052.8</v>
      </c>
    </row>
    <row r="7937" spans="1:12" x14ac:dyDescent="0.25">
      <c r="A7937" t="str">
        <f t="shared" si="1734"/>
        <v>89301000</v>
      </c>
      <c r="B7937" t="str">
        <f t="shared" si="1740"/>
        <v>89383000</v>
      </c>
      <c r="C7937" t="str">
        <f t="shared" si="1741"/>
        <v>89383002</v>
      </c>
      <c r="D7937" t="str">
        <f t="shared" si="1742"/>
        <v>809</v>
      </c>
      <c r="E7937" t="str">
        <f t="shared" si="1743"/>
        <v>89301212</v>
      </c>
      <c r="F7937" t="str">
        <f>"526129180"</f>
        <v>526129180</v>
      </c>
      <c r="G7937" s="1">
        <v>44804</v>
      </c>
      <c r="H7937" t="str">
        <f>"89512"</f>
        <v>89512</v>
      </c>
      <c r="I7937">
        <v>1</v>
      </c>
      <c r="J7937">
        <v>277</v>
      </c>
      <c r="K7937">
        <v>0</v>
      </c>
      <c r="L7937">
        <v>387.8</v>
      </c>
    </row>
    <row r="7938" spans="1:12" x14ac:dyDescent="0.25">
      <c r="A7938" t="str">
        <f t="shared" ref="A7938:A8001" si="1744">"89301000"</f>
        <v>89301000</v>
      </c>
      <c r="B7938" t="str">
        <f t="shared" ref="B7938:B7948" si="1745">"95202000"</f>
        <v>95202000</v>
      </c>
      <c r="C7938" t="str">
        <f t="shared" ref="C7938:C7948" si="1746">"95202511"</f>
        <v>95202511</v>
      </c>
      <c r="D7938" t="str">
        <f t="shared" si="1742"/>
        <v>809</v>
      </c>
      <c r="E7938" t="str">
        <f t="shared" si="1743"/>
        <v>89301212</v>
      </c>
      <c r="F7938" t="str">
        <f>"7262225806"</f>
        <v>7262225806</v>
      </c>
      <c r="G7938" s="1">
        <v>44785</v>
      </c>
      <c r="H7938" t="str">
        <f>"89131"</f>
        <v>89131</v>
      </c>
      <c r="I7938">
        <v>1</v>
      </c>
      <c r="J7938">
        <v>187</v>
      </c>
      <c r="K7938">
        <v>0</v>
      </c>
      <c r="L7938">
        <v>261.8</v>
      </c>
    </row>
    <row r="7939" spans="1:12" x14ac:dyDescent="0.25">
      <c r="A7939" t="str">
        <f t="shared" si="1744"/>
        <v>89301000</v>
      </c>
      <c r="B7939" t="str">
        <f t="shared" si="1745"/>
        <v>95202000</v>
      </c>
      <c r="C7939" t="str">
        <f t="shared" si="1746"/>
        <v>95202511</v>
      </c>
      <c r="D7939" t="str">
        <f t="shared" si="1742"/>
        <v>809</v>
      </c>
      <c r="E7939" t="str">
        <f t="shared" si="1743"/>
        <v>89301212</v>
      </c>
      <c r="F7939" t="str">
        <f>"7262225806"</f>
        <v>7262225806</v>
      </c>
      <c r="G7939" s="1">
        <v>44785</v>
      </c>
      <c r="H7939" t="str">
        <f>"09572"</f>
        <v>09572</v>
      </c>
      <c r="I7939">
        <v>1</v>
      </c>
      <c r="J7939">
        <v>0</v>
      </c>
      <c r="K7939">
        <v>0</v>
      </c>
      <c r="L7939">
        <v>0</v>
      </c>
    </row>
    <row r="7940" spans="1:12" x14ac:dyDescent="0.25">
      <c r="A7940" t="str">
        <f t="shared" si="1744"/>
        <v>89301000</v>
      </c>
      <c r="B7940" t="str">
        <f t="shared" si="1745"/>
        <v>95202000</v>
      </c>
      <c r="C7940" t="str">
        <f t="shared" si="1746"/>
        <v>95202511</v>
      </c>
      <c r="D7940" t="str">
        <f t="shared" si="1742"/>
        <v>809</v>
      </c>
      <c r="E7940" t="str">
        <f>"89301172"</f>
        <v>89301172</v>
      </c>
      <c r="F7940" t="str">
        <f>"7562195795"</f>
        <v>7562195795</v>
      </c>
      <c r="G7940" s="1">
        <v>44788</v>
      </c>
      <c r="H7940" t="str">
        <f>"89131"</f>
        <v>89131</v>
      </c>
      <c r="I7940">
        <v>1</v>
      </c>
      <c r="J7940">
        <v>187</v>
      </c>
      <c r="K7940">
        <v>0</v>
      </c>
      <c r="L7940">
        <v>261.8</v>
      </c>
    </row>
    <row r="7941" spans="1:12" x14ac:dyDescent="0.25">
      <c r="A7941" t="str">
        <f t="shared" si="1744"/>
        <v>89301000</v>
      </c>
      <c r="B7941" t="str">
        <f t="shared" si="1745"/>
        <v>95202000</v>
      </c>
      <c r="C7941" t="str">
        <f t="shared" si="1746"/>
        <v>95202511</v>
      </c>
      <c r="D7941" t="str">
        <f t="shared" si="1742"/>
        <v>809</v>
      </c>
      <c r="E7941" t="str">
        <f>"89301172"</f>
        <v>89301172</v>
      </c>
      <c r="F7941" t="str">
        <f>"7562195795"</f>
        <v>7562195795</v>
      </c>
      <c r="G7941" s="1">
        <v>44788</v>
      </c>
      <c r="H7941" t="str">
        <f>"09572"</f>
        <v>09572</v>
      </c>
      <c r="I7941">
        <v>1</v>
      </c>
      <c r="J7941">
        <v>0</v>
      </c>
      <c r="K7941">
        <v>0</v>
      </c>
      <c r="L7941">
        <v>0</v>
      </c>
    </row>
    <row r="7942" spans="1:12" x14ac:dyDescent="0.25">
      <c r="A7942" t="str">
        <f t="shared" si="1744"/>
        <v>89301000</v>
      </c>
      <c r="B7942" t="str">
        <f t="shared" si="1745"/>
        <v>95202000</v>
      </c>
      <c r="C7942" t="str">
        <f t="shared" si="1746"/>
        <v>95202511</v>
      </c>
      <c r="D7942" t="str">
        <f t="shared" si="1742"/>
        <v>809</v>
      </c>
      <c r="E7942" t="str">
        <f>"89301172"</f>
        <v>89301172</v>
      </c>
      <c r="F7942" t="str">
        <f>"7562195795"</f>
        <v>7562195795</v>
      </c>
      <c r="G7942" s="1">
        <v>44788</v>
      </c>
      <c r="H7942" t="str">
        <f>"89113"</f>
        <v>89113</v>
      </c>
      <c r="I7942">
        <v>1</v>
      </c>
      <c r="J7942">
        <v>232</v>
      </c>
      <c r="K7942">
        <v>0</v>
      </c>
      <c r="L7942">
        <v>324.8</v>
      </c>
    </row>
    <row r="7943" spans="1:12" x14ac:dyDescent="0.25">
      <c r="A7943" t="str">
        <f t="shared" si="1744"/>
        <v>89301000</v>
      </c>
      <c r="B7943" t="str">
        <f t="shared" si="1745"/>
        <v>95202000</v>
      </c>
      <c r="C7943" t="str">
        <f t="shared" si="1746"/>
        <v>95202511</v>
      </c>
      <c r="D7943" t="str">
        <f t="shared" si="1742"/>
        <v>809</v>
      </c>
      <c r="E7943" t="str">
        <f>"89301212"</f>
        <v>89301212</v>
      </c>
      <c r="F7943" t="str">
        <f>"7262225806"</f>
        <v>7262225806</v>
      </c>
      <c r="G7943" s="1">
        <v>44784</v>
      </c>
      <c r="H7943" t="str">
        <f>"89513"</f>
        <v>89513</v>
      </c>
      <c r="I7943">
        <v>1</v>
      </c>
      <c r="J7943">
        <v>371</v>
      </c>
      <c r="K7943">
        <v>0</v>
      </c>
      <c r="L7943">
        <v>519.4</v>
      </c>
    </row>
    <row r="7944" spans="1:12" x14ac:dyDescent="0.25">
      <c r="A7944" t="str">
        <f t="shared" si="1744"/>
        <v>89301000</v>
      </c>
      <c r="B7944" t="str">
        <f t="shared" si="1745"/>
        <v>95202000</v>
      </c>
      <c r="C7944" t="str">
        <f t="shared" si="1746"/>
        <v>95202511</v>
      </c>
      <c r="D7944" t="str">
        <f t="shared" si="1742"/>
        <v>809</v>
      </c>
      <c r="E7944" t="str">
        <f>"89301212"</f>
        <v>89301212</v>
      </c>
      <c r="F7944" t="str">
        <f>"7262225806"</f>
        <v>7262225806</v>
      </c>
      <c r="G7944" s="1">
        <v>44784</v>
      </c>
      <c r="H7944" t="str">
        <f>"89514"</f>
        <v>89514</v>
      </c>
      <c r="I7944">
        <v>1</v>
      </c>
      <c r="J7944">
        <v>371</v>
      </c>
      <c r="K7944">
        <v>0</v>
      </c>
      <c r="L7944">
        <v>519.4</v>
      </c>
    </row>
    <row r="7945" spans="1:12" x14ac:dyDescent="0.25">
      <c r="A7945" t="str">
        <f t="shared" si="1744"/>
        <v>89301000</v>
      </c>
      <c r="B7945" t="str">
        <f t="shared" si="1745"/>
        <v>95202000</v>
      </c>
      <c r="C7945" t="str">
        <f t="shared" si="1746"/>
        <v>95202511</v>
      </c>
      <c r="D7945" t="str">
        <f t="shared" si="1742"/>
        <v>809</v>
      </c>
      <c r="E7945" t="str">
        <f>"89301172"</f>
        <v>89301172</v>
      </c>
      <c r="F7945" t="str">
        <f>"7562195795"</f>
        <v>7562195795</v>
      </c>
      <c r="G7945" s="1">
        <v>44788</v>
      </c>
      <c r="H7945" t="str">
        <f>"89513"</f>
        <v>89513</v>
      </c>
      <c r="I7945">
        <v>1</v>
      </c>
      <c r="J7945">
        <v>371</v>
      </c>
      <c r="K7945">
        <v>0</v>
      </c>
      <c r="L7945">
        <v>519.4</v>
      </c>
    </row>
    <row r="7946" spans="1:12" x14ac:dyDescent="0.25">
      <c r="A7946" t="str">
        <f t="shared" si="1744"/>
        <v>89301000</v>
      </c>
      <c r="B7946" t="str">
        <f t="shared" si="1745"/>
        <v>95202000</v>
      </c>
      <c r="C7946" t="str">
        <f t="shared" si="1746"/>
        <v>95202511</v>
      </c>
      <c r="D7946" t="str">
        <f t="shared" si="1742"/>
        <v>809</v>
      </c>
      <c r="E7946" t="str">
        <f>"89301172"</f>
        <v>89301172</v>
      </c>
      <c r="F7946" t="str">
        <f>"7562195795"</f>
        <v>7562195795</v>
      </c>
      <c r="G7946" s="1">
        <v>44788</v>
      </c>
      <c r="H7946" t="str">
        <f>"89514"</f>
        <v>89514</v>
      </c>
      <c r="I7946">
        <v>1</v>
      </c>
      <c r="J7946">
        <v>371</v>
      </c>
      <c r="K7946">
        <v>0</v>
      </c>
      <c r="L7946">
        <v>519.4</v>
      </c>
    </row>
    <row r="7947" spans="1:12" x14ac:dyDescent="0.25">
      <c r="A7947" t="str">
        <f t="shared" si="1744"/>
        <v>89301000</v>
      </c>
      <c r="B7947" t="str">
        <f t="shared" si="1745"/>
        <v>95202000</v>
      </c>
      <c r="C7947" t="str">
        <f t="shared" si="1746"/>
        <v>95202511</v>
      </c>
      <c r="D7947" t="str">
        <f t="shared" si="1742"/>
        <v>809</v>
      </c>
      <c r="E7947" t="str">
        <f>"89301212"</f>
        <v>89301212</v>
      </c>
      <c r="F7947" t="str">
        <f>"5756131513"</f>
        <v>5756131513</v>
      </c>
      <c r="G7947" s="1">
        <v>44797</v>
      </c>
      <c r="H7947" t="str">
        <f>"89513"</f>
        <v>89513</v>
      </c>
      <c r="I7947">
        <v>1</v>
      </c>
      <c r="J7947">
        <v>371</v>
      </c>
      <c r="K7947">
        <v>0</v>
      </c>
      <c r="L7947">
        <v>519.4</v>
      </c>
    </row>
    <row r="7948" spans="1:12" x14ac:dyDescent="0.25">
      <c r="A7948" t="str">
        <f t="shared" si="1744"/>
        <v>89301000</v>
      </c>
      <c r="B7948" t="str">
        <f t="shared" si="1745"/>
        <v>95202000</v>
      </c>
      <c r="C7948" t="str">
        <f t="shared" si="1746"/>
        <v>95202511</v>
      </c>
      <c r="D7948" t="str">
        <f t="shared" si="1742"/>
        <v>809</v>
      </c>
      <c r="E7948" t="str">
        <f>"89301212"</f>
        <v>89301212</v>
      </c>
      <c r="F7948" t="str">
        <f>"5756131513"</f>
        <v>5756131513</v>
      </c>
      <c r="G7948" s="1">
        <v>44797</v>
      </c>
      <c r="H7948" t="str">
        <f>"89514"</f>
        <v>89514</v>
      </c>
      <c r="I7948">
        <v>1</v>
      </c>
      <c r="J7948">
        <v>371</v>
      </c>
      <c r="K7948">
        <v>0</v>
      </c>
      <c r="L7948">
        <v>519.4</v>
      </c>
    </row>
    <row r="7949" spans="1:12" x14ac:dyDescent="0.25">
      <c r="A7949" t="str">
        <f t="shared" si="1744"/>
        <v>89301000</v>
      </c>
      <c r="B7949" t="str">
        <f t="shared" ref="B7949:B7966" si="1747">"88805000"</f>
        <v>88805000</v>
      </c>
      <c r="C7949" t="str">
        <f>"88805014"</f>
        <v>88805014</v>
      </c>
      <c r="D7949" t="str">
        <f>"816"</f>
        <v>816</v>
      </c>
      <c r="E7949" t="str">
        <f>"89301282"</f>
        <v>89301282</v>
      </c>
      <c r="F7949" t="str">
        <f>"0810176070"</f>
        <v>0810176070</v>
      </c>
      <c r="G7949" s="1">
        <v>44746</v>
      </c>
      <c r="H7949" t="str">
        <f>"94221"</f>
        <v>94221</v>
      </c>
      <c r="I7949">
        <v>2</v>
      </c>
      <c r="J7949">
        <v>4906</v>
      </c>
      <c r="K7949">
        <v>0</v>
      </c>
      <c r="L7949">
        <v>4170.1000000000004</v>
      </c>
    </row>
    <row r="7950" spans="1:12" x14ac:dyDescent="0.25">
      <c r="A7950" t="str">
        <f t="shared" si="1744"/>
        <v>89301000</v>
      </c>
      <c r="B7950" t="str">
        <f t="shared" si="1747"/>
        <v>88805000</v>
      </c>
      <c r="C7950" t="str">
        <f>"88805014"</f>
        <v>88805014</v>
      </c>
      <c r="D7950" t="str">
        <f>"816"</f>
        <v>816</v>
      </c>
      <c r="E7950" t="str">
        <f>"89301282"</f>
        <v>89301282</v>
      </c>
      <c r="F7950" t="str">
        <f>"0810176070"</f>
        <v>0810176070</v>
      </c>
      <c r="G7950" s="1">
        <v>44746</v>
      </c>
      <c r="H7950" t="str">
        <f>"94227"</f>
        <v>94227</v>
      </c>
      <c r="I7950">
        <v>1</v>
      </c>
      <c r="J7950">
        <v>618</v>
      </c>
      <c r="K7950">
        <v>0</v>
      </c>
      <c r="L7950">
        <v>525.29999999999995</v>
      </c>
    </row>
    <row r="7951" spans="1:12" x14ac:dyDescent="0.25">
      <c r="A7951" t="str">
        <f t="shared" si="1744"/>
        <v>89301000</v>
      </c>
      <c r="B7951" t="str">
        <f t="shared" si="1747"/>
        <v>88805000</v>
      </c>
      <c r="C7951" t="str">
        <f>"88805014"</f>
        <v>88805014</v>
      </c>
      <c r="D7951" t="str">
        <f>"816"</f>
        <v>816</v>
      </c>
      <c r="E7951" t="str">
        <f>"89301282"</f>
        <v>89301282</v>
      </c>
      <c r="F7951" t="str">
        <f>"0810176070"</f>
        <v>0810176070</v>
      </c>
      <c r="G7951" s="1">
        <v>44746</v>
      </c>
      <c r="H7951" t="str">
        <f>"94237"</f>
        <v>94237</v>
      </c>
      <c r="I7951">
        <v>1</v>
      </c>
      <c r="J7951">
        <v>3916</v>
      </c>
      <c r="K7951">
        <v>0</v>
      </c>
      <c r="L7951">
        <v>3328.6</v>
      </c>
    </row>
    <row r="7952" spans="1:12" x14ac:dyDescent="0.25">
      <c r="A7952" t="str">
        <f t="shared" si="1744"/>
        <v>89301000</v>
      </c>
      <c r="B7952" t="str">
        <f t="shared" si="1747"/>
        <v>88805000</v>
      </c>
      <c r="C7952" t="str">
        <f>"88805014"</f>
        <v>88805014</v>
      </c>
      <c r="D7952" t="str">
        <f>"816"</f>
        <v>816</v>
      </c>
      <c r="E7952" t="str">
        <f>"89301282"</f>
        <v>89301282</v>
      </c>
      <c r="F7952" t="str">
        <f>"0810176070"</f>
        <v>0810176070</v>
      </c>
      <c r="G7952" s="1">
        <v>44746</v>
      </c>
      <c r="H7952" t="str">
        <f>"94331"</f>
        <v>94331</v>
      </c>
      <c r="I7952">
        <v>4</v>
      </c>
      <c r="J7952">
        <v>31112</v>
      </c>
      <c r="K7952">
        <v>0</v>
      </c>
      <c r="L7952">
        <v>26445.200000000001</v>
      </c>
    </row>
    <row r="7953" spans="1:12" x14ac:dyDescent="0.25">
      <c r="A7953" t="str">
        <f t="shared" si="1744"/>
        <v>89301000</v>
      </c>
      <c r="B7953" t="str">
        <f t="shared" si="1747"/>
        <v>88805000</v>
      </c>
      <c r="C7953" t="str">
        <f>"88805014"</f>
        <v>88805014</v>
      </c>
      <c r="D7953" t="str">
        <f>"816"</f>
        <v>816</v>
      </c>
      <c r="E7953" t="str">
        <f>"89301282"</f>
        <v>89301282</v>
      </c>
      <c r="F7953" t="str">
        <f>"0810176070"</f>
        <v>0810176070</v>
      </c>
      <c r="G7953" s="1">
        <v>44746</v>
      </c>
      <c r="H7953" t="str">
        <f>"94948"</f>
        <v>94948</v>
      </c>
      <c r="I7953">
        <v>1</v>
      </c>
      <c r="J7953">
        <v>0</v>
      </c>
      <c r="K7953">
        <v>0</v>
      </c>
      <c r="L7953">
        <v>0</v>
      </c>
    </row>
    <row r="7954" spans="1:12" x14ac:dyDescent="0.25">
      <c r="A7954" t="str">
        <f t="shared" si="1744"/>
        <v>89301000</v>
      </c>
      <c r="B7954" t="str">
        <f t="shared" si="1747"/>
        <v>88805000</v>
      </c>
      <c r="C7954" t="str">
        <f>"88805001"</f>
        <v>88805001</v>
      </c>
      <c r="D7954" t="str">
        <f>"801"</f>
        <v>801</v>
      </c>
      <c r="E7954" t="str">
        <f>"89301107"</f>
        <v>89301107</v>
      </c>
      <c r="F7954" t="str">
        <f>"0455243547"</f>
        <v>0455243547</v>
      </c>
      <c r="G7954" s="1">
        <v>44804</v>
      </c>
      <c r="H7954" t="str">
        <f>"97111"</f>
        <v>97111</v>
      </c>
      <c r="I7954">
        <v>1</v>
      </c>
      <c r="J7954">
        <v>18</v>
      </c>
      <c r="K7954">
        <v>0</v>
      </c>
      <c r="L7954">
        <v>14.04</v>
      </c>
    </row>
    <row r="7955" spans="1:12" x14ac:dyDescent="0.25">
      <c r="A7955" t="str">
        <f t="shared" si="1744"/>
        <v>89301000</v>
      </c>
      <c r="B7955" t="str">
        <f t="shared" si="1747"/>
        <v>88805000</v>
      </c>
      <c r="C7955" t="str">
        <f>"88805001"</f>
        <v>88805001</v>
      </c>
      <c r="D7955" t="str">
        <f>"801"</f>
        <v>801</v>
      </c>
      <c r="E7955" t="str">
        <f>"89301107"</f>
        <v>89301107</v>
      </c>
      <c r="F7955" t="str">
        <f>"0455243547"</f>
        <v>0455243547</v>
      </c>
      <c r="G7955" s="1">
        <v>44804</v>
      </c>
      <c r="H7955" t="str">
        <f>"81631"</f>
        <v>81631</v>
      </c>
      <c r="I7955">
        <v>1</v>
      </c>
      <c r="J7955">
        <v>294</v>
      </c>
      <c r="K7955">
        <v>0</v>
      </c>
      <c r="L7955">
        <v>229.32</v>
      </c>
    </row>
    <row r="7956" spans="1:12" x14ac:dyDescent="0.25">
      <c r="A7956" t="str">
        <f t="shared" si="1744"/>
        <v>89301000</v>
      </c>
      <c r="B7956" t="str">
        <f t="shared" si="1747"/>
        <v>88805000</v>
      </c>
      <c r="C7956" t="str">
        <f>"88805001"</f>
        <v>88805001</v>
      </c>
      <c r="D7956" t="str">
        <f>"801"</f>
        <v>801</v>
      </c>
      <c r="E7956" t="str">
        <f>"89301107"</f>
        <v>89301107</v>
      </c>
      <c r="F7956" t="str">
        <f>"0455243547"</f>
        <v>0455243547</v>
      </c>
      <c r="G7956" s="1">
        <v>44804</v>
      </c>
      <c r="H7956" t="str">
        <f>"92143"</f>
        <v>92143</v>
      </c>
      <c r="I7956">
        <v>1</v>
      </c>
      <c r="J7956">
        <v>1748</v>
      </c>
      <c r="K7956">
        <v>0</v>
      </c>
      <c r="L7956">
        <v>1363.44</v>
      </c>
    </row>
    <row r="7957" spans="1:12" x14ac:dyDescent="0.25">
      <c r="A7957" t="str">
        <f t="shared" si="1744"/>
        <v>89301000</v>
      </c>
      <c r="B7957" t="str">
        <f t="shared" si="1747"/>
        <v>88805000</v>
      </c>
      <c r="C7957" t="str">
        <f t="shared" ref="C7957:C7966" si="1748">"88805014"</f>
        <v>88805014</v>
      </c>
      <c r="D7957" t="str">
        <f t="shared" ref="D7957:D7966" si="1749">"816"</f>
        <v>816</v>
      </c>
      <c r="E7957" t="str">
        <f>"89301282"</f>
        <v>89301282</v>
      </c>
      <c r="F7957" t="str">
        <f>"9807216287"</f>
        <v>9807216287</v>
      </c>
      <c r="G7957" s="1">
        <v>44799</v>
      </c>
      <c r="H7957" t="str">
        <f>"94345"</f>
        <v>94345</v>
      </c>
      <c r="I7957">
        <v>1</v>
      </c>
      <c r="J7957">
        <v>4625</v>
      </c>
      <c r="K7957">
        <v>0</v>
      </c>
      <c r="L7957">
        <v>3931.25</v>
      </c>
    </row>
    <row r="7958" spans="1:12" x14ac:dyDescent="0.25">
      <c r="A7958" t="str">
        <f t="shared" si="1744"/>
        <v>89301000</v>
      </c>
      <c r="B7958" t="str">
        <f t="shared" si="1747"/>
        <v>88805000</v>
      </c>
      <c r="C7958" t="str">
        <f t="shared" si="1748"/>
        <v>88805014</v>
      </c>
      <c r="D7958" t="str">
        <f t="shared" si="1749"/>
        <v>816</v>
      </c>
      <c r="E7958" t="str">
        <f>"89301282"</f>
        <v>89301282</v>
      </c>
      <c r="F7958" t="str">
        <f>"9807216287"</f>
        <v>9807216287</v>
      </c>
      <c r="G7958" s="1">
        <v>44799</v>
      </c>
      <c r="H7958" t="str">
        <f>"94948"</f>
        <v>94948</v>
      </c>
      <c r="I7958">
        <v>1</v>
      </c>
      <c r="J7958">
        <v>0</v>
      </c>
      <c r="K7958">
        <v>0</v>
      </c>
      <c r="L7958">
        <v>0</v>
      </c>
    </row>
    <row r="7959" spans="1:12" x14ac:dyDescent="0.25">
      <c r="A7959" t="str">
        <f t="shared" si="1744"/>
        <v>89301000</v>
      </c>
      <c r="B7959" t="str">
        <f t="shared" si="1747"/>
        <v>88805000</v>
      </c>
      <c r="C7959" t="str">
        <f t="shared" si="1748"/>
        <v>88805014</v>
      </c>
      <c r="D7959" t="str">
        <f t="shared" si="1749"/>
        <v>816</v>
      </c>
      <c r="E7959" t="str">
        <f>"89301022"</f>
        <v>89301022</v>
      </c>
      <c r="F7959" t="str">
        <f>"5954052115"</f>
        <v>5954052115</v>
      </c>
      <c r="G7959" s="1">
        <v>44798</v>
      </c>
      <c r="H7959" t="str">
        <f>"94955"</f>
        <v>94955</v>
      </c>
      <c r="I7959">
        <v>1</v>
      </c>
      <c r="J7959">
        <v>0</v>
      </c>
      <c r="K7959">
        <v>2929</v>
      </c>
      <c r="L7959">
        <v>2929</v>
      </c>
    </row>
    <row r="7960" spans="1:12" x14ac:dyDescent="0.25">
      <c r="A7960" t="str">
        <f t="shared" si="1744"/>
        <v>89301000</v>
      </c>
      <c r="B7960" t="str">
        <f t="shared" si="1747"/>
        <v>88805000</v>
      </c>
      <c r="C7960" t="str">
        <f t="shared" si="1748"/>
        <v>88805014</v>
      </c>
      <c r="D7960" t="str">
        <f t="shared" si="1749"/>
        <v>816</v>
      </c>
      <c r="E7960" t="str">
        <f t="shared" ref="E7960:E7966" si="1750">"89301282"</f>
        <v>89301282</v>
      </c>
      <c r="F7960" t="str">
        <f>"7961045774"</f>
        <v>7961045774</v>
      </c>
      <c r="G7960" s="1">
        <v>44784</v>
      </c>
      <c r="H7960" t="str">
        <f>"94963"</f>
        <v>94963</v>
      </c>
      <c r="I7960">
        <v>1</v>
      </c>
      <c r="J7960">
        <v>0</v>
      </c>
      <c r="K7960">
        <v>1952</v>
      </c>
      <c r="L7960">
        <v>1952</v>
      </c>
    </row>
    <row r="7961" spans="1:12" x14ac:dyDescent="0.25">
      <c r="A7961" t="str">
        <f t="shared" si="1744"/>
        <v>89301000</v>
      </c>
      <c r="B7961" t="str">
        <f t="shared" si="1747"/>
        <v>88805000</v>
      </c>
      <c r="C7961" t="str">
        <f t="shared" si="1748"/>
        <v>88805014</v>
      </c>
      <c r="D7961" t="str">
        <f t="shared" si="1749"/>
        <v>816</v>
      </c>
      <c r="E7961" t="str">
        <f t="shared" si="1750"/>
        <v>89301282</v>
      </c>
      <c r="F7961" t="str">
        <f>"8957075732"</f>
        <v>8957075732</v>
      </c>
      <c r="G7961" s="1">
        <v>44795</v>
      </c>
      <c r="H7961" t="str">
        <f>"94982"</f>
        <v>94982</v>
      </c>
      <c r="I7961">
        <v>1</v>
      </c>
      <c r="J7961">
        <v>0</v>
      </c>
      <c r="K7961">
        <v>27500</v>
      </c>
      <c r="L7961">
        <v>27500</v>
      </c>
    </row>
    <row r="7962" spans="1:12" x14ac:dyDescent="0.25">
      <c r="A7962" t="str">
        <f t="shared" si="1744"/>
        <v>89301000</v>
      </c>
      <c r="B7962" t="str">
        <f t="shared" si="1747"/>
        <v>88805000</v>
      </c>
      <c r="C7962" t="str">
        <f t="shared" si="1748"/>
        <v>88805014</v>
      </c>
      <c r="D7962" t="str">
        <f t="shared" si="1749"/>
        <v>816</v>
      </c>
      <c r="E7962" t="str">
        <f t="shared" si="1750"/>
        <v>89301282</v>
      </c>
      <c r="F7962" t="str">
        <f>"8957075732"</f>
        <v>8957075732</v>
      </c>
      <c r="G7962" s="1">
        <v>44795</v>
      </c>
      <c r="H7962" t="str">
        <f>"94996"</f>
        <v>94996</v>
      </c>
      <c r="I7962">
        <v>1</v>
      </c>
      <c r="J7962">
        <v>0</v>
      </c>
      <c r="K7962">
        <v>0</v>
      </c>
      <c r="L7962">
        <v>0</v>
      </c>
    </row>
    <row r="7963" spans="1:12" x14ac:dyDescent="0.25">
      <c r="A7963" t="str">
        <f t="shared" si="1744"/>
        <v>89301000</v>
      </c>
      <c r="B7963" t="str">
        <f t="shared" si="1747"/>
        <v>88805000</v>
      </c>
      <c r="C7963" t="str">
        <f t="shared" si="1748"/>
        <v>88805014</v>
      </c>
      <c r="D7963" t="str">
        <f t="shared" si="1749"/>
        <v>816</v>
      </c>
      <c r="E7963" t="str">
        <f t="shared" si="1750"/>
        <v>89301282</v>
      </c>
      <c r="F7963" t="str">
        <f>"7455105713"</f>
        <v>7455105713</v>
      </c>
      <c r="G7963" s="1">
        <v>44775</v>
      </c>
      <c r="H7963" t="str">
        <f>"94983"</f>
        <v>94983</v>
      </c>
      <c r="I7963">
        <v>1</v>
      </c>
      <c r="J7963">
        <v>0</v>
      </c>
      <c r="K7963">
        <v>39600</v>
      </c>
      <c r="L7963">
        <v>39600</v>
      </c>
    </row>
    <row r="7964" spans="1:12" x14ac:dyDescent="0.25">
      <c r="A7964" t="str">
        <f t="shared" si="1744"/>
        <v>89301000</v>
      </c>
      <c r="B7964" t="str">
        <f t="shared" si="1747"/>
        <v>88805000</v>
      </c>
      <c r="C7964" t="str">
        <f t="shared" si="1748"/>
        <v>88805014</v>
      </c>
      <c r="D7964" t="str">
        <f t="shared" si="1749"/>
        <v>816</v>
      </c>
      <c r="E7964" t="str">
        <f t="shared" si="1750"/>
        <v>89301282</v>
      </c>
      <c r="F7964" t="str">
        <f>"7455105713"</f>
        <v>7455105713</v>
      </c>
      <c r="G7964" s="1">
        <v>44775</v>
      </c>
      <c r="H7964" t="str">
        <f>"94996"</f>
        <v>94996</v>
      </c>
      <c r="I7964">
        <v>1</v>
      </c>
      <c r="J7964">
        <v>0</v>
      </c>
      <c r="K7964">
        <v>0</v>
      </c>
      <c r="L7964">
        <v>0</v>
      </c>
    </row>
    <row r="7965" spans="1:12" x14ac:dyDescent="0.25">
      <c r="A7965" t="str">
        <f t="shared" si="1744"/>
        <v>89301000</v>
      </c>
      <c r="B7965" t="str">
        <f t="shared" si="1747"/>
        <v>88805000</v>
      </c>
      <c r="C7965" t="str">
        <f t="shared" si="1748"/>
        <v>88805014</v>
      </c>
      <c r="D7965" t="str">
        <f t="shared" si="1749"/>
        <v>816</v>
      </c>
      <c r="E7965" t="str">
        <f t="shared" si="1750"/>
        <v>89301282</v>
      </c>
      <c r="F7965" t="str">
        <f>"6910313740"</f>
        <v>6910313740</v>
      </c>
      <c r="G7965" s="1">
        <v>44795</v>
      </c>
      <c r="H7965" t="str">
        <f>"94983"</f>
        <v>94983</v>
      </c>
      <c r="I7965">
        <v>1</v>
      </c>
      <c r="J7965">
        <v>0</v>
      </c>
      <c r="K7965">
        <v>39600</v>
      </c>
      <c r="L7965">
        <v>39600</v>
      </c>
    </row>
    <row r="7966" spans="1:12" x14ac:dyDescent="0.25">
      <c r="A7966" t="str">
        <f t="shared" si="1744"/>
        <v>89301000</v>
      </c>
      <c r="B7966" t="str">
        <f t="shared" si="1747"/>
        <v>88805000</v>
      </c>
      <c r="C7966" t="str">
        <f t="shared" si="1748"/>
        <v>88805014</v>
      </c>
      <c r="D7966" t="str">
        <f t="shared" si="1749"/>
        <v>816</v>
      </c>
      <c r="E7966" t="str">
        <f t="shared" si="1750"/>
        <v>89301282</v>
      </c>
      <c r="F7966" t="str">
        <f>"6910313740"</f>
        <v>6910313740</v>
      </c>
      <c r="G7966" s="1">
        <v>44795</v>
      </c>
      <c r="H7966" t="str">
        <f>"94996"</f>
        <v>94996</v>
      </c>
      <c r="I7966">
        <v>1</v>
      </c>
      <c r="J7966">
        <v>0</v>
      </c>
      <c r="K7966">
        <v>0</v>
      </c>
      <c r="L7966">
        <v>0</v>
      </c>
    </row>
    <row r="7967" spans="1:12" x14ac:dyDescent="0.25">
      <c r="A7967" t="str">
        <f t="shared" si="1744"/>
        <v>89301000</v>
      </c>
      <c r="B7967" t="str">
        <f>"02384000"</f>
        <v>02384000</v>
      </c>
      <c r="C7967" t="str">
        <f>"02384007"</f>
        <v>02384007</v>
      </c>
      <c r="D7967" t="str">
        <f t="shared" ref="D7967:D7980" si="1751">"809"</f>
        <v>809</v>
      </c>
      <c r="E7967" t="str">
        <f>"89301037"</f>
        <v>89301037</v>
      </c>
      <c r="F7967" t="str">
        <f>"5562301657"</f>
        <v>5562301657</v>
      </c>
      <c r="G7967" s="1">
        <v>44781</v>
      </c>
      <c r="H7967" t="str">
        <f>"89312"</f>
        <v>89312</v>
      </c>
      <c r="I7967">
        <v>1</v>
      </c>
      <c r="J7967">
        <v>302</v>
      </c>
      <c r="K7967">
        <v>0</v>
      </c>
      <c r="L7967">
        <v>317.10000000000002</v>
      </c>
    </row>
    <row r="7968" spans="1:12" x14ac:dyDescent="0.25">
      <c r="A7968" t="str">
        <f t="shared" si="1744"/>
        <v>89301000</v>
      </c>
      <c r="B7968" t="str">
        <f>"02384000"</f>
        <v>02384000</v>
      </c>
      <c r="C7968" t="str">
        <f>"02384007"</f>
        <v>02384007</v>
      </c>
      <c r="D7968" t="str">
        <f t="shared" si="1751"/>
        <v>809</v>
      </c>
      <c r="E7968" t="str">
        <f>"89301037"</f>
        <v>89301037</v>
      </c>
      <c r="F7968" t="str">
        <f>"5562301657"</f>
        <v>5562301657</v>
      </c>
      <c r="G7968" s="1">
        <v>44781</v>
      </c>
      <c r="H7968" t="str">
        <f>"89312"</f>
        <v>89312</v>
      </c>
      <c r="I7968">
        <v>2</v>
      </c>
      <c r="J7968">
        <v>604</v>
      </c>
      <c r="K7968">
        <v>0</v>
      </c>
      <c r="L7968">
        <v>634.20000000000005</v>
      </c>
    </row>
    <row r="7969" spans="1:12" x14ac:dyDescent="0.25">
      <c r="A7969" t="str">
        <f t="shared" si="1744"/>
        <v>89301000</v>
      </c>
      <c r="B7969" t="str">
        <f t="shared" ref="B7969:B7975" si="1752">"93201000"</f>
        <v>93201000</v>
      </c>
      <c r="C7969" t="str">
        <f t="shared" ref="C7969:C7975" si="1753">"93201350"</f>
        <v>93201350</v>
      </c>
      <c r="D7969" t="str">
        <f t="shared" si="1751"/>
        <v>809</v>
      </c>
      <c r="E7969" t="str">
        <f>"89301212"</f>
        <v>89301212</v>
      </c>
      <c r="F7969" t="str">
        <f>"5654271051"</f>
        <v>5654271051</v>
      </c>
      <c r="G7969" s="1">
        <v>44803</v>
      </c>
      <c r="H7969" t="str">
        <f>"89513"</f>
        <v>89513</v>
      </c>
      <c r="I7969">
        <v>1</v>
      </c>
      <c r="J7969">
        <v>371</v>
      </c>
      <c r="K7969">
        <v>0</v>
      </c>
      <c r="L7969">
        <v>519.4</v>
      </c>
    </row>
    <row r="7970" spans="1:12" x14ac:dyDescent="0.25">
      <c r="A7970" t="str">
        <f t="shared" si="1744"/>
        <v>89301000</v>
      </c>
      <c r="B7970" t="str">
        <f t="shared" si="1752"/>
        <v>93201000</v>
      </c>
      <c r="C7970" t="str">
        <f t="shared" si="1753"/>
        <v>93201350</v>
      </c>
      <c r="D7970" t="str">
        <f t="shared" si="1751"/>
        <v>809</v>
      </c>
      <c r="E7970" t="str">
        <f>"89301212"</f>
        <v>89301212</v>
      </c>
      <c r="F7970" t="str">
        <f>"5654271051"</f>
        <v>5654271051</v>
      </c>
      <c r="G7970" s="1">
        <v>44803</v>
      </c>
      <c r="H7970" t="str">
        <f>"89514"</f>
        <v>89514</v>
      </c>
      <c r="I7970">
        <v>1</v>
      </c>
      <c r="J7970">
        <v>371</v>
      </c>
      <c r="K7970">
        <v>0</v>
      </c>
      <c r="L7970">
        <v>519.4</v>
      </c>
    </row>
    <row r="7971" spans="1:12" x14ac:dyDescent="0.25">
      <c r="A7971" t="str">
        <f t="shared" si="1744"/>
        <v>89301000</v>
      </c>
      <c r="B7971" t="str">
        <f t="shared" si="1752"/>
        <v>93201000</v>
      </c>
      <c r="C7971" t="str">
        <f t="shared" si="1753"/>
        <v>93201350</v>
      </c>
      <c r="D7971" t="str">
        <f t="shared" si="1751"/>
        <v>809</v>
      </c>
      <c r="E7971" t="str">
        <f>"89301212"</f>
        <v>89301212</v>
      </c>
      <c r="F7971" t="str">
        <f>"415513460"</f>
        <v>415513460</v>
      </c>
      <c r="G7971" s="1">
        <v>44782</v>
      </c>
      <c r="H7971" t="str">
        <f>"89513"</f>
        <v>89513</v>
      </c>
      <c r="I7971">
        <v>1</v>
      </c>
      <c r="J7971">
        <v>371</v>
      </c>
      <c r="K7971">
        <v>0</v>
      </c>
      <c r="L7971">
        <v>519.4</v>
      </c>
    </row>
    <row r="7972" spans="1:12" x14ac:dyDescent="0.25">
      <c r="A7972" t="str">
        <f t="shared" si="1744"/>
        <v>89301000</v>
      </c>
      <c r="B7972" t="str">
        <f t="shared" si="1752"/>
        <v>93201000</v>
      </c>
      <c r="C7972" t="str">
        <f t="shared" si="1753"/>
        <v>93201350</v>
      </c>
      <c r="D7972" t="str">
        <f t="shared" si="1751"/>
        <v>809</v>
      </c>
      <c r="E7972" t="str">
        <f>"89301212"</f>
        <v>89301212</v>
      </c>
      <c r="F7972" t="str">
        <f>"415513460"</f>
        <v>415513460</v>
      </c>
      <c r="G7972" s="1">
        <v>44782</v>
      </c>
      <c r="H7972" t="str">
        <f>"89514"</f>
        <v>89514</v>
      </c>
      <c r="I7972">
        <v>1</v>
      </c>
      <c r="J7972">
        <v>371</v>
      </c>
      <c r="K7972">
        <v>0</v>
      </c>
      <c r="L7972">
        <v>519.4</v>
      </c>
    </row>
    <row r="7973" spans="1:12" x14ac:dyDescent="0.25">
      <c r="A7973" t="str">
        <f t="shared" si="1744"/>
        <v>89301000</v>
      </c>
      <c r="B7973" t="str">
        <f t="shared" si="1752"/>
        <v>93201000</v>
      </c>
      <c r="C7973" t="str">
        <f t="shared" si="1753"/>
        <v>93201350</v>
      </c>
      <c r="D7973" t="str">
        <f t="shared" si="1751"/>
        <v>809</v>
      </c>
      <c r="E7973" t="str">
        <f>"89301215"</f>
        <v>89301215</v>
      </c>
      <c r="F7973" t="str">
        <f>"470722438"</f>
        <v>470722438</v>
      </c>
      <c r="G7973" s="1">
        <v>44788</v>
      </c>
      <c r="H7973" t="str">
        <f>"89617"</f>
        <v>89617</v>
      </c>
      <c r="I7973">
        <v>1</v>
      </c>
      <c r="J7973">
        <v>1332</v>
      </c>
      <c r="K7973">
        <v>0</v>
      </c>
      <c r="L7973">
        <v>799.2</v>
      </c>
    </row>
    <row r="7974" spans="1:12" x14ac:dyDescent="0.25">
      <c r="A7974" t="str">
        <f t="shared" si="1744"/>
        <v>89301000</v>
      </c>
      <c r="B7974" t="str">
        <f t="shared" si="1752"/>
        <v>93201000</v>
      </c>
      <c r="C7974" t="str">
        <f t="shared" si="1753"/>
        <v>93201350</v>
      </c>
      <c r="D7974" t="str">
        <f t="shared" si="1751"/>
        <v>809</v>
      </c>
      <c r="E7974" t="str">
        <f>"89301215"</f>
        <v>89301215</v>
      </c>
      <c r="F7974" t="str">
        <f>"470722438"</f>
        <v>470722438</v>
      </c>
      <c r="G7974" s="1">
        <v>44788</v>
      </c>
      <c r="H7974" t="str">
        <f>"0137480"</f>
        <v>0137480</v>
      </c>
      <c r="I7974">
        <v>0.16</v>
      </c>
      <c r="K7974">
        <v>803.86</v>
      </c>
      <c r="L7974">
        <v>803.86</v>
      </c>
    </row>
    <row r="7975" spans="1:12" x14ac:dyDescent="0.25">
      <c r="A7975" t="str">
        <f t="shared" si="1744"/>
        <v>89301000</v>
      </c>
      <c r="B7975" t="str">
        <f t="shared" si="1752"/>
        <v>93201000</v>
      </c>
      <c r="C7975" t="str">
        <f t="shared" si="1753"/>
        <v>93201350</v>
      </c>
      <c r="D7975" t="str">
        <f t="shared" si="1751"/>
        <v>809</v>
      </c>
      <c r="E7975" t="str">
        <f>"89301215"</f>
        <v>89301215</v>
      </c>
      <c r="F7975" t="str">
        <f>"470722438"</f>
        <v>470722438</v>
      </c>
      <c r="G7975" s="1">
        <v>44788</v>
      </c>
      <c r="H7975" t="str">
        <f>"0096278"</f>
        <v>0096278</v>
      </c>
      <c r="I7975">
        <v>5.0000000000000001E-3</v>
      </c>
      <c r="K7975">
        <v>97.23</v>
      </c>
      <c r="L7975">
        <v>97.23</v>
      </c>
    </row>
    <row r="7976" spans="1:12" x14ac:dyDescent="0.25">
      <c r="A7976" t="str">
        <f t="shared" si="1744"/>
        <v>89301000</v>
      </c>
      <c r="B7976" t="str">
        <f>"78934000"</f>
        <v>78934000</v>
      </c>
      <c r="C7976" t="str">
        <f>"78934001"</f>
        <v>78934001</v>
      </c>
      <c r="D7976" t="str">
        <f t="shared" si="1751"/>
        <v>809</v>
      </c>
      <c r="E7976" t="str">
        <f>"89301212"</f>
        <v>89301212</v>
      </c>
      <c r="F7976" t="str">
        <f>"5751121607"</f>
        <v>5751121607</v>
      </c>
      <c r="G7976" s="1">
        <v>44785</v>
      </c>
      <c r="H7976" t="str">
        <f>"89513"</f>
        <v>89513</v>
      </c>
      <c r="I7976">
        <v>1</v>
      </c>
      <c r="J7976">
        <v>371</v>
      </c>
      <c r="K7976">
        <v>0</v>
      </c>
      <c r="L7976">
        <v>519.4</v>
      </c>
    </row>
    <row r="7977" spans="1:12" x14ac:dyDescent="0.25">
      <c r="A7977" t="str">
        <f t="shared" si="1744"/>
        <v>89301000</v>
      </c>
      <c r="B7977" t="str">
        <f>"78934000"</f>
        <v>78934000</v>
      </c>
      <c r="C7977" t="str">
        <f>"78934001"</f>
        <v>78934001</v>
      </c>
      <c r="D7977" t="str">
        <f t="shared" si="1751"/>
        <v>809</v>
      </c>
      <c r="E7977" t="str">
        <f>"89301212"</f>
        <v>89301212</v>
      </c>
      <c r="F7977" t="str">
        <f>"5751121607"</f>
        <v>5751121607</v>
      </c>
      <c r="G7977" s="1">
        <v>44785</v>
      </c>
      <c r="H7977" t="str">
        <f>"89514"</f>
        <v>89514</v>
      </c>
      <c r="I7977">
        <v>1</v>
      </c>
      <c r="J7977">
        <v>371</v>
      </c>
      <c r="K7977">
        <v>0</v>
      </c>
      <c r="L7977">
        <v>519.4</v>
      </c>
    </row>
    <row r="7978" spans="1:12" x14ac:dyDescent="0.25">
      <c r="A7978" t="str">
        <f t="shared" si="1744"/>
        <v>89301000</v>
      </c>
      <c r="B7978" t="str">
        <f>"78934000"</f>
        <v>78934000</v>
      </c>
      <c r="C7978" t="str">
        <f>"78934001"</f>
        <v>78934001</v>
      </c>
      <c r="D7978" t="str">
        <f t="shared" si="1751"/>
        <v>809</v>
      </c>
      <c r="E7978" t="str">
        <f>"89301172"</f>
        <v>89301172</v>
      </c>
      <c r="F7978" t="str">
        <f>"6956224462"</f>
        <v>6956224462</v>
      </c>
      <c r="G7978" s="1">
        <v>44785</v>
      </c>
      <c r="H7978" t="str">
        <f>"89119"</f>
        <v>89119</v>
      </c>
      <c r="I7978">
        <v>2</v>
      </c>
      <c r="J7978">
        <v>400</v>
      </c>
      <c r="K7978">
        <v>0</v>
      </c>
      <c r="L7978">
        <v>560</v>
      </c>
    </row>
    <row r="7979" spans="1:12" x14ac:dyDescent="0.25">
      <c r="A7979" t="str">
        <f t="shared" si="1744"/>
        <v>89301000</v>
      </c>
      <c r="B7979" t="str">
        <f>"78934000"</f>
        <v>78934000</v>
      </c>
      <c r="C7979" t="str">
        <f>"78934001"</f>
        <v>78934001</v>
      </c>
      <c r="D7979" t="str">
        <f t="shared" si="1751"/>
        <v>809</v>
      </c>
      <c r="E7979" t="str">
        <f t="shared" ref="E7979:E7985" si="1754">"89301062"</f>
        <v>89301062</v>
      </c>
      <c r="F7979" t="str">
        <f>"6610011793"</f>
        <v>6610011793</v>
      </c>
      <c r="G7979" s="1">
        <v>44799</v>
      </c>
      <c r="H7979" t="str">
        <f>"89119"</f>
        <v>89119</v>
      </c>
      <c r="I7979">
        <v>2</v>
      </c>
      <c r="J7979">
        <v>400</v>
      </c>
      <c r="K7979">
        <v>0</v>
      </c>
      <c r="L7979">
        <v>560</v>
      </c>
    </row>
    <row r="7980" spans="1:12" x14ac:dyDescent="0.25">
      <c r="A7980" t="str">
        <f t="shared" si="1744"/>
        <v>89301000</v>
      </c>
      <c r="B7980" t="str">
        <f>"78934000"</f>
        <v>78934000</v>
      </c>
      <c r="C7980" t="str">
        <f>"78934001"</f>
        <v>78934001</v>
      </c>
      <c r="D7980" t="str">
        <f t="shared" si="1751"/>
        <v>809</v>
      </c>
      <c r="E7980" t="str">
        <f t="shared" si="1754"/>
        <v>89301062</v>
      </c>
      <c r="F7980" t="str">
        <f>"6610011793"</f>
        <v>6610011793</v>
      </c>
      <c r="G7980" s="1">
        <v>44799</v>
      </c>
      <c r="H7980" t="str">
        <f>"89123"</f>
        <v>89123</v>
      </c>
      <c r="I7980">
        <v>1</v>
      </c>
      <c r="J7980">
        <v>139</v>
      </c>
      <c r="K7980">
        <v>0</v>
      </c>
      <c r="L7980">
        <v>194.6</v>
      </c>
    </row>
    <row r="7981" spans="1:12" x14ac:dyDescent="0.25">
      <c r="A7981" t="str">
        <f t="shared" si="1744"/>
        <v>89301000</v>
      </c>
      <c r="B7981" t="str">
        <f>"93201000"</f>
        <v>93201000</v>
      </c>
      <c r="C7981" t="str">
        <f>"93201355"</f>
        <v>93201355</v>
      </c>
      <c r="D7981" t="str">
        <f>"810"</f>
        <v>810</v>
      </c>
      <c r="E7981" t="str">
        <f t="shared" si="1754"/>
        <v>89301062</v>
      </c>
      <c r="F7981" t="str">
        <f>"7511275794"</f>
        <v>7511275794</v>
      </c>
      <c r="G7981" s="1">
        <v>44778</v>
      </c>
      <c r="H7981" t="str">
        <f>"89713"</f>
        <v>89713</v>
      </c>
      <c r="I7981">
        <v>1</v>
      </c>
      <c r="J7981">
        <v>5362</v>
      </c>
      <c r="K7981">
        <v>0</v>
      </c>
      <c r="L7981">
        <v>3217.2</v>
      </c>
    </row>
    <row r="7982" spans="1:12" x14ac:dyDescent="0.25">
      <c r="A7982" t="str">
        <f t="shared" si="1744"/>
        <v>89301000</v>
      </c>
      <c r="B7982" t="str">
        <f>"93201000"</f>
        <v>93201000</v>
      </c>
      <c r="C7982" t="str">
        <f>"93201355"</f>
        <v>93201355</v>
      </c>
      <c r="D7982" t="str">
        <f>"810"</f>
        <v>810</v>
      </c>
      <c r="E7982" t="str">
        <f t="shared" si="1754"/>
        <v>89301062</v>
      </c>
      <c r="F7982" t="str">
        <f>"7511275794"</f>
        <v>7511275794</v>
      </c>
      <c r="G7982" s="1">
        <v>44778</v>
      </c>
      <c r="H7982" t="str">
        <f>"89723"</f>
        <v>89723</v>
      </c>
      <c r="I7982">
        <v>1</v>
      </c>
      <c r="J7982">
        <v>5880</v>
      </c>
      <c r="K7982">
        <v>0</v>
      </c>
      <c r="L7982">
        <v>3528</v>
      </c>
    </row>
    <row r="7983" spans="1:12" x14ac:dyDescent="0.25">
      <c r="A7983" t="str">
        <f t="shared" si="1744"/>
        <v>89301000</v>
      </c>
      <c r="B7983" t="str">
        <f>"93201000"</f>
        <v>93201000</v>
      </c>
      <c r="C7983" t="str">
        <f>"93201355"</f>
        <v>93201355</v>
      </c>
      <c r="D7983" t="str">
        <f>"810"</f>
        <v>810</v>
      </c>
      <c r="E7983" t="str">
        <f t="shared" si="1754"/>
        <v>89301062</v>
      </c>
      <c r="F7983" t="str">
        <f>"7511275794"</f>
        <v>7511275794</v>
      </c>
      <c r="G7983" s="1">
        <v>44778</v>
      </c>
      <c r="H7983" t="str">
        <f>"89725"</f>
        <v>89725</v>
      </c>
      <c r="I7983">
        <v>1</v>
      </c>
      <c r="J7983">
        <v>2839</v>
      </c>
      <c r="K7983">
        <v>0</v>
      </c>
      <c r="L7983">
        <v>1703.4</v>
      </c>
    </row>
    <row r="7984" spans="1:12" x14ac:dyDescent="0.25">
      <c r="A7984" t="str">
        <f t="shared" si="1744"/>
        <v>89301000</v>
      </c>
      <c r="B7984" t="str">
        <f>"93201000"</f>
        <v>93201000</v>
      </c>
      <c r="C7984" t="str">
        <f>"93201355"</f>
        <v>93201355</v>
      </c>
      <c r="D7984" t="str">
        <f>"810"</f>
        <v>810</v>
      </c>
      <c r="E7984" t="str">
        <f t="shared" si="1754"/>
        <v>89301062</v>
      </c>
      <c r="F7984" t="str">
        <f>"7304045804"</f>
        <v>7304045804</v>
      </c>
      <c r="G7984" s="1">
        <v>44795</v>
      </c>
      <c r="H7984" t="str">
        <f>"89713"</f>
        <v>89713</v>
      </c>
      <c r="I7984">
        <v>1</v>
      </c>
      <c r="J7984">
        <v>5362</v>
      </c>
      <c r="K7984">
        <v>0</v>
      </c>
      <c r="L7984">
        <v>3217.2</v>
      </c>
    </row>
    <row r="7985" spans="1:12" x14ac:dyDescent="0.25">
      <c r="A7985" t="str">
        <f t="shared" si="1744"/>
        <v>89301000</v>
      </c>
      <c r="B7985" t="str">
        <f>"93201000"</f>
        <v>93201000</v>
      </c>
      <c r="C7985" t="str">
        <f>"93201355"</f>
        <v>93201355</v>
      </c>
      <c r="D7985" t="str">
        <f>"810"</f>
        <v>810</v>
      </c>
      <c r="E7985" t="str">
        <f t="shared" si="1754"/>
        <v>89301062</v>
      </c>
      <c r="F7985" t="str">
        <f>"7304045804"</f>
        <v>7304045804</v>
      </c>
      <c r="G7985" s="1">
        <v>44795</v>
      </c>
      <c r="H7985" t="str">
        <f>"89713"</f>
        <v>89713</v>
      </c>
      <c r="I7985">
        <v>1</v>
      </c>
      <c r="J7985">
        <v>5362</v>
      </c>
      <c r="K7985">
        <v>0</v>
      </c>
      <c r="L7985">
        <v>3217.2</v>
      </c>
    </row>
    <row r="7986" spans="1:12" x14ac:dyDescent="0.25">
      <c r="A7986" t="str">
        <f t="shared" si="1744"/>
        <v>89301000</v>
      </c>
      <c r="B7986" t="str">
        <f t="shared" ref="B7986:B8023" si="1755">"10510000"</f>
        <v>10510000</v>
      </c>
      <c r="C7986" t="str">
        <f t="shared" ref="C7986:C8023" si="1756">"10510001"</f>
        <v>10510001</v>
      </c>
      <c r="D7986" t="str">
        <f t="shared" ref="D7986:D8025" si="1757">"802"</f>
        <v>802</v>
      </c>
      <c r="E7986" t="str">
        <f t="shared" ref="E7986:E8002" si="1758">"89301202"</f>
        <v>89301202</v>
      </c>
      <c r="F7986" t="str">
        <f>"2008060780"</f>
        <v>2008060780</v>
      </c>
      <c r="G7986" s="1">
        <v>44778</v>
      </c>
      <c r="H7986" t="str">
        <f>"82111"</f>
        <v>82111</v>
      </c>
      <c r="I7986">
        <v>1</v>
      </c>
      <c r="J7986">
        <v>36</v>
      </c>
      <c r="K7986">
        <v>0</v>
      </c>
      <c r="L7986">
        <v>32.76</v>
      </c>
    </row>
    <row r="7987" spans="1:12" x14ac:dyDescent="0.25">
      <c r="A7987" t="str">
        <f t="shared" si="1744"/>
        <v>89301000</v>
      </c>
      <c r="B7987" t="str">
        <f t="shared" si="1755"/>
        <v>10510000</v>
      </c>
      <c r="C7987" t="str">
        <f t="shared" si="1756"/>
        <v>10510001</v>
      </c>
      <c r="D7987" t="str">
        <f t="shared" si="1757"/>
        <v>802</v>
      </c>
      <c r="E7987" t="str">
        <f t="shared" si="1758"/>
        <v>89301202</v>
      </c>
      <c r="F7987" t="str">
        <f>"2008060780"</f>
        <v>2008060780</v>
      </c>
      <c r="G7987" s="1">
        <v>44778</v>
      </c>
      <c r="H7987" t="str">
        <f>"82145"</f>
        <v>82145</v>
      </c>
      <c r="I7987">
        <v>1</v>
      </c>
      <c r="J7987">
        <v>57</v>
      </c>
      <c r="K7987">
        <v>0</v>
      </c>
      <c r="L7987">
        <v>51.87</v>
      </c>
    </row>
    <row r="7988" spans="1:12" x14ac:dyDescent="0.25">
      <c r="A7988" t="str">
        <f t="shared" si="1744"/>
        <v>89301000</v>
      </c>
      <c r="B7988" t="str">
        <f t="shared" si="1755"/>
        <v>10510000</v>
      </c>
      <c r="C7988" t="str">
        <f t="shared" si="1756"/>
        <v>10510001</v>
      </c>
      <c r="D7988" t="str">
        <f t="shared" si="1757"/>
        <v>802</v>
      </c>
      <c r="E7988" t="str">
        <f t="shared" si="1758"/>
        <v>89301202</v>
      </c>
      <c r="F7988" t="str">
        <f>"2008060780"</f>
        <v>2008060780</v>
      </c>
      <c r="G7988" s="1">
        <v>44778</v>
      </c>
      <c r="H7988" t="str">
        <f>"82079"</f>
        <v>82079</v>
      </c>
      <c r="I7988">
        <v>1</v>
      </c>
      <c r="J7988">
        <v>332</v>
      </c>
      <c r="K7988">
        <v>0</v>
      </c>
      <c r="L7988">
        <v>302.12</v>
      </c>
    </row>
    <row r="7989" spans="1:12" x14ac:dyDescent="0.25">
      <c r="A7989" t="str">
        <f t="shared" si="1744"/>
        <v>89301000</v>
      </c>
      <c r="B7989" t="str">
        <f t="shared" si="1755"/>
        <v>10510000</v>
      </c>
      <c r="C7989" t="str">
        <f t="shared" si="1756"/>
        <v>10510001</v>
      </c>
      <c r="D7989" t="str">
        <f t="shared" si="1757"/>
        <v>802</v>
      </c>
      <c r="E7989" t="str">
        <f t="shared" si="1758"/>
        <v>89301202</v>
      </c>
      <c r="F7989" t="str">
        <f>"2008060780"</f>
        <v>2008060780</v>
      </c>
      <c r="G7989" s="1">
        <v>44777</v>
      </c>
      <c r="H7989" t="str">
        <f>"97111"</f>
        <v>97111</v>
      </c>
      <c r="I7989">
        <v>1</v>
      </c>
      <c r="J7989">
        <v>18</v>
      </c>
      <c r="K7989">
        <v>0</v>
      </c>
      <c r="L7989">
        <v>16.38</v>
      </c>
    </row>
    <row r="7990" spans="1:12" x14ac:dyDescent="0.25">
      <c r="A7990" t="str">
        <f t="shared" si="1744"/>
        <v>89301000</v>
      </c>
      <c r="B7990" t="str">
        <f t="shared" si="1755"/>
        <v>10510000</v>
      </c>
      <c r="C7990" t="str">
        <f t="shared" si="1756"/>
        <v>10510001</v>
      </c>
      <c r="D7990" t="str">
        <f t="shared" si="1757"/>
        <v>802</v>
      </c>
      <c r="E7990" t="str">
        <f t="shared" si="1758"/>
        <v>89301202</v>
      </c>
      <c r="F7990" t="str">
        <f>"2008060780"</f>
        <v>2008060780</v>
      </c>
      <c r="G7990" s="1">
        <v>44778</v>
      </c>
      <c r="H7990" t="str">
        <f>"82113"</f>
        <v>82113</v>
      </c>
      <c r="I7990">
        <v>1</v>
      </c>
      <c r="J7990">
        <v>362</v>
      </c>
      <c r="K7990">
        <v>0</v>
      </c>
      <c r="L7990">
        <v>329.42</v>
      </c>
    </row>
    <row r="7991" spans="1:12" x14ac:dyDescent="0.25">
      <c r="A7991" t="str">
        <f t="shared" si="1744"/>
        <v>89301000</v>
      </c>
      <c r="B7991" t="str">
        <f t="shared" si="1755"/>
        <v>10510000</v>
      </c>
      <c r="C7991" t="str">
        <f t="shared" si="1756"/>
        <v>10510001</v>
      </c>
      <c r="D7991" t="str">
        <f t="shared" si="1757"/>
        <v>802</v>
      </c>
      <c r="E7991" t="str">
        <f t="shared" si="1758"/>
        <v>89301202</v>
      </c>
      <c r="F7991" t="str">
        <f>"2256101804"</f>
        <v>2256101804</v>
      </c>
      <c r="G7991" s="1">
        <v>44797</v>
      </c>
      <c r="H7991" t="str">
        <f>"82079"</f>
        <v>82079</v>
      </c>
      <c r="I7991">
        <v>1</v>
      </c>
      <c r="J7991">
        <v>332</v>
      </c>
      <c r="K7991">
        <v>0</v>
      </c>
      <c r="L7991">
        <v>302.12</v>
      </c>
    </row>
    <row r="7992" spans="1:12" x14ac:dyDescent="0.25">
      <c r="A7992" t="str">
        <f t="shared" si="1744"/>
        <v>89301000</v>
      </c>
      <c r="B7992" t="str">
        <f t="shared" si="1755"/>
        <v>10510000</v>
      </c>
      <c r="C7992" t="str">
        <f t="shared" si="1756"/>
        <v>10510001</v>
      </c>
      <c r="D7992" t="str">
        <f t="shared" si="1757"/>
        <v>802</v>
      </c>
      <c r="E7992" t="str">
        <f t="shared" si="1758"/>
        <v>89301202</v>
      </c>
      <c r="F7992" t="str">
        <f>"2256101804"</f>
        <v>2256101804</v>
      </c>
      <c r="G7992" s="1">
        <v>44797</v>
      </c>
      <c r="H7992" t="str">
        <f>"82145"</f>
        <v>82145</v>
      </c>
      <c r="I7992">
        <v>1</v>
      </c>
      <c r="J7992">
        <v>57</v>
      </c>
      <c r="K7992">
        <v>0</v>
      </c>
      <c r="L7992">
        <v>51.87</v>
      </c>
    </row>
    <row r="7993" spans="1:12" x14ac:dyDescent="0.25">
      <c r="A7993" t="str">
        <f t="shared" si="1744"/>
        <v>89301000</v>
      </c>
      <c r="B7993" t="str">
        <f t="shared" si="1755"/>
        <v>10510000</v>
      </c>
      <c r="C7993" t="str">
        <f t="shared" si="1756"/>
        <v>10510001</v>
      </c>
      <c r="D7993" t="str">
        <f t="shared" si="1757"/>
        <v>802</v>
      </c>
      <c r="E7993" t="str">
        <f t="shared" si="1758"/>
        <v>89301202</v>
      </c>
      <c r="F7993" t="str">
        <f>"2256101804"</f>
        <v>2256101804</v>
      </c>
      <c r="G7993" s="1">
        <v>44797</v>
      </c>
      <c r="H7993" t="str">
        <f>"82111"</f>
        <v>82111</v>
      </c>
      <c r="I7993">
        <v>1</v>
      </c>
      <c r="J7993">
        <v>36</v>
      </c>
      <c r="K7993">
        <v>0</v>
      </c>
      <c r="L7993">
        <v>32.76</v>
      </c>
    </row>
    <row r="7994" spans="1:12" x14ac:dyDescent="0.25">
      <c r="A7994" t="str">
        <f t="shared" si="1744"/>
        <v>89301000</v>
      </c>
      <c r="B7994" t="str">
        <f t="shared" si="1755"/>
        <v>10510000</v>
      </c>
      <c r="C7994" t="str">
        <f t="shared" si="1756"/>
        <v>10510001</v>
      </c>
      <c r="D7994" t="str">
        <f t="shared" si="1757"/>
        <v>802</v>
      </c>
      <c r="E7994" t="str">
        <f t="shared" si="1758"/>
        <v>89301202</v>
      </c>
      <c r="F7994" t="str">
        <f>"2256101804"</f>
        <v>2256101804</v>
      </c>
      <c r="G7994" s="1">
        <v>44796</v>
      </c>
      <c r="H7994" t="str">
        <f>"97111"</f>
        <v>97111</v>
      </c>
      <c r="I7994">
        <v>1</v>
      </c>
      <c r="J7994">
        <v>18</v>
      </c>
      <c r="K7994">
        <v>0</v>
      </c>
      <c r="L7994">
        <v>16.38</v>
      </c>
    </row>
    <row r="7995" spans="1:12" x14ac:dyDescent="0.25">
      <c r="A7995" t="str">
        <f t="shared" si="1744"/>
        <v>89301000</v>
      </c>
      <c r="B7995" t="str">
        <f t="shared" si="1755"/>
        <v>10510000</v>
      </c>
      <c r="C7995" t="str">
        <f t="shared" si="1756"/>
        <v>10510001</v>
      </c>
      <c r="D7995" t="str">
        <f t="shared" si="1757"/>
        <v>802</v>
      </c>
      <c r="E7995" t="str">
        <f t="shared" si="1758"/>
        <v>89301202</v>
      </c>
      <c r="F7995" t="str">
        <f>"2256101804"</f>
        <v>2256101804</v>
      </c>
      <c r="G7995" s="1">
        <v>44797</v>
      </c>
      <c r="H7995" t="str">
        <f>"82113"</f>
        <v>82113</v>
      </c>
      <c r="I7995">
        <v>1</v>
      </c>
      <c r="J7995">
        <v>362</v>
      </c>
      <c r="K7995">
        <v>0</v>
      </c>
      <c r="L7995">
        <v>329.42</v>
      </c>
    </row>
    <row r="7996" spans="1:12" x14ac:dyDescent="0.25">
      <c r="A7996" t="str">
        <f t="shared" si="1744"/>
        <v>89301000</v>
      </c>
      <c r="B7996" t="str">
        <f t="shared" si="1755"/>
        <v>10510000</v>
      </c>
      <c r="C7996" t="str">
        <f t="shared" si="1756"/>
        <v>10510001</v>
      </c>
      <c r="D7996" t="str">
        <f t="shared" si="1757"/>
        <v>802</v>
      </c>
      <c r="E7996" t="str">
        <f t="shared" si="1758"/>
        <v>89301202</v>
      </c>
      <c r="F7996" t="str">
        <f>"7405264460"</f>
        <v>7405264460</v>
      </c>
      <c r="G7996" s="1">
        <v>44797</v>
      </c>
      <c r="H7996" t="str">
        <f>"82113"</f>
        <v>82113</v>
      </c>
      <c r="I7996">
        <v>1</v>
      </c>
      <c r="J7996">
        <v>362</v>
      </c>
      <c r="K7996">
        <v>0</v>
      </c>
      <c r="L7996">
        <v>329.42</v>
      </c>
    </row>
    <row r="7997" spans="1:12" x14ac:dyDescent="0.25">
      <c r="A7997" t="str">
        <f t="shared" si="1744"/>
        <v>89301000</v>
      </c>
      <c r="B7997" t="str">
        <f t="shared" si="1755"/>
        <v>10510000</v>
      </c>
      <c r="C7997" t="str">
        <f t="shared" si="1756"/>
        <v>10510001</v>
      </c>
      <c r="D7997" t="str">
        <f t="shared" si="1757"/>
        <v>802</v>
      </c>
      <c r="E7997" t="str">
        <f t="shared" si="1758"/>
        <v>89301202</v>
      </c>
      <c r="F7997" t="str">
        <f>"7405264460"</f>
        <v>7405264460</v>
      </c>
      <c r="G7997" s="1">
        <v>44796</v>
      </c>
      <c r="H7997" t="str">
        <f>"97111"</f>
        <v>97111</v>
      </c>
      <c r="I7997">
        <v>1</v>
      </c>
      <c r="J7997">
        <v>18</v>
      </c>
      <c r="K7997">
        <v>0</v>
      </c>
      <c r="L7997">
        <v>16.38</v>
      </c>
    </row>
    <row r="7998" spans="1:12" x14ac:dyDescent="0.25">
      <c r="A7998" t="str">
        <f t="shared" si="1744"/>
        <v>89301000</v>
      </c>
      <c r="B7998" t="str">
        <f t="shared" si="1755"/>
        <v>10510000</v>
      </c>
      <c r="C7998" t="str">
        <f t="shared" si="1756"/>
        <v>10510001</v>
      </c>
      <c r="D7998" t="str">
        <f t="shared" si="1757"/>
        <v>802</v>
      </c>
      <c r="E7998" t="str">
        <f t="shared" si="1758"/>
        <v>89301202</v>
      </c>
      <c r="F7998" t="str">
        <f>"7405264460"</f>
        <v>7405264460</v>
      </c>
      <c r="G7998" s="1">
        <v>44797</v>
      </c>
      <c r="H7998" t="str">
        <f>"82145"</f>
        <v>82145</v>
      </c>
      <c r="I7998">
        <v>9</v>
      </c>
      <c r="J7998">
        <v>513</v>
      </c>
      <c r="K7998">
        <v>0</v>
      </c>
      <c r="L7998">
        <v>466.83</v>
      </c>
    </row>
    <row r="7999" spans="1:12" x14ac:dyDescent="0.25">
      <c r="A7999" t="str">
        <f t="shared" si="1744"/>
        <v>89301000</v>
      </c>
      <c r="B7999" t="str">
        <f t="shared" si="1755"/>
        <v>10510000</v>
      </c>
      <c r="C7999" t="str">
        <f t="shared" si="1756"/>
        <v>10510001</v>
      </c>
      <c r="D7999" t="str">
        <f t="shared" si="1757"/>
        <v>802</v>
      </c>
      <c r="E7999" t="str">
        <f t="shared" si="1758"/>
        <v>89301202</v>
      </c>
      <c r="F7999" t="str">
        <f>"7405264460"</f>
        <v>7405264460</v>
      </c>
      <c r="G7999" s="1">
        <v>44797</v>
      </c>
      <c r="H7999" t="str">
        <f>"82111"</f>
        <v>82111</v>
      </c>
      <c r="I7999">
        <v>1</v>
      </c>
      <c r="J7999">
        <v>36</v>
      </c>
      <c r="K7999">
        <v>0</v>
      </c>
      <c r="L7999">
        <v>32.76</v>
      </c>
    </row>
    <row r="8000" spans="1:12" x14ac:dyDescent="0.25">
      <c r="A8000" t="str">
        <f t="shared" si="1744"/>
        <v>89301000</v>
      </c>
      <c r="B8000" t="str">
        <f t="shared" si="1755"/>
        <v>10510000</v>
      </c>
      <c r="C8000" t="str">
        <f t="shared" si="1756"/>
        <v>10510001</v>
      </c>
      <c r="D8000" t="str">
        <f t="shared" si="1757"/>
        <v>802</v>
      </c>
      <c r="E8000" t="str">
        <f t="shared" si="1758"/>
        <v>89301202</v>
      </c>
      <c r="F8000" t="str">
        <f>"7405264460"</f>
        <v>7405264460</v>
      </c>
      <c r="G8000" s="1">
        <v>44798</v>
      </c>
      <c r="H8000" t="str">
        <f>"82079"</f>
        <v>82079</v>
      </c>
      <c r="I8000">
        <v>1</v>
      </c>
      <c r="J8000">
        <v>332</v>
      </c>
      <c r="K8000">
        <v>0</v>
      </c>
      <c r="L8000">
        <v>302.12</v>
      </c>
    </row>
    <row r="8001" spans="1:12" x14ac:dyDescent="0.25">
      <c r="A8001" t="str">
        <f t="shared" si="1744"/>
        <v>89301000</v>
      </c>
      <c r="B8001" t="str">
        <f t="shared" si="1755"/>
        <v>10510000</v>
      </c>
      <c r="C8001" t="str">
        <f t="shared" si="1756"/>
        <v>10510001</v>
      </c>
      <c r="D8001" t="str">
        <f t="shared" si="1757"/>
        <v>802</v>
      </c>
      <c r="E8001" t="str">
        <f t="shared" si="1758"/>
        <v>89301202</v>
      </c>
      <c r="F8001" t="str">
        <f>"0010176177"</f>
        <v>0010176177</v>
      </c>
      <c r="G8001" s="1">
        <v>44795</v>
      </c>
      <c r="H8001" t="str">
        <f>"82077"</f>
        <v>82077</v>
      </c>
      <c r="I8001">
        <v>1</v>
      </c>
      <c r="J8001">
        <v>350</v>
      </c>
      <c r="K8001">
        <v>0</v>
      </c>
      <c r="L8001">
        <v>318.5</v>
      </c>
    </row>
    <row r="8002" spans="1:12" x14ac:dyDescent="0.25">
      <c r="A8002" t="str">
        <f t="shared" ref="A8002:A8065" si="1759">"89301000"</f>
        <v>89301000</v>
      </c>
      <c r="B8002" t="str">
        <f t="shared" si="1755"/>
        <v>10510000</v>
      </c>
      <c r="C8002" t="str">
        <f t="shared" si="1756"/>
        <v>10510001</v>
      </c>
      <c r="D8002" t="str">
        <f t="shared" si="1757"/>
        <v>802</v>
      </c>
      <c r="E8002" t="str">
        <f t="shared" si="1758"/>
        <v>89301202</v>
      </c>
      <c r="F8002" t="str">
        <f>"0010176177"</f>
        <v>0010176177</v>
      </c>
      <c r="G8002" s="1">
        <v>44792</v>
      </c>
      <c r="H8002" t="str">
        <f>"82077"</f>
        <v>82077</v>
      </c>
      <c r="I8002">
        <v>1</v>
      </c>
      <c r="J8002">
        <v>350</v>
      </c>
      <c r="K8002">
        <v>0</v>
      </c>
      <c r="L8002">
        <v>318.5</v>
      </c>
    </row>
    <row r="8003" spans="1:12" x14ac:dyDescent="0.25">
      <c r="A8003" t="str">
        <f t="shared" si="1759"/>
        <v>89301000</v>
      </c>
      <c r="B8003" t="str">
        <f t="shared" si="1755"/>
        <v>10510000</v>
      </c>
      <c r="C8003" t="str">
        <f t="shared" si="1756"/>
        <v>10510001</v>
      </c>
      <c r="D8003" t="str">
        <f t="shared" si="1757"/>
        <v>802</v>
      </c>
      <c r="E8003" t="str">
        <f>"89301171"</f>
        <v>89301171</v>
      </c>
      <c r="F8003" t="str">
        <f>"7862144477"</f>
        <v>7862144477</v>
      </c>
      <c r="G8003" s="1">
        <v>44782</v>
      </c>
      <c r="H8003" t="str">
        <f>"82041"</f>
        <v>82041</v>
      </c>
      <c r="I8003">
        <v>1</v>
      </c>
      <c r="J8003">
        <v>1090</v>
      </c>
      <c r="K8003">
        <v>0</v>
      </c>
      <c r="L8003">
        <v>991.9</v>
      </c>
    </row>
    <row r="8004" spans="1:12" x14ac:dyDescent="0.25">
      <c r="A8004" t="str">
        <f t="shared" si="1759"/>
        <v>89301000</v>
      </c>
      <c r="B8004" t="str">
        <f t="shared" si="1755"/>
        <v>10510000</v>
      </c>
      <c r="C8004" t="str">
        <f t="shared" si="1756"/>
        <v>10510001</v>
      </c>
      <c r="D8004" t="str">
        <f t="shared" si="1757"/>
        <v>802</v>
      </c>
      <c r="E8004" t="str">
        <f>"89301171"</f>
        <v>89301171</v>
      </c>
      <c r="F8004" t="str">
        <f>"7862144477"</f>
        <v>7862144477</v>
      </c>
      <c r="G8004" s="1">
        <v>44782</v>
      </c>
      <c r="H8004" t="str">
        <f>"82041"</f>
        <v>82041</v>
      </c>
      <c r="I8004">
        <v>1</v>
      </c>
      <c r="J8004">
        <v>1090</v>
      </c>
      <c r="K8004">
        <v>0</v>
      </c>
      <c r="L8004">
        <v>991.9</v>
      </c>
    </row>
    <row r="8005" spans="1:12" x14ac:dyDescent="0.25">
      <c r="A8005" t="str">
        <f t="shared" si="1759"/>
        <v>89301000</v>
      </c>
      <c r="B8005" t="str">
        <f t="shared" si="1755"/>
        <v>10510000</v>
      </c>
      <c r="C8005" t="str">
        <f t="shared" si="1756"/>
        <v>10510001</v>
      </c>
      <c r="D8005" t="str">
        <f t="shared" si="1757"/>
        <v>802</v>
      </c>
      <c r="E8005" t="str">
        <f>"89301171"</f>
        <v>89301171</v>
      </c>
      <c r="F8005" t="str">
        <f>"7862144477"</f>
        <v>7862144477</v>
      </c>
      <c r="G8005" s="1">
        <v>44782</v>
      </c>
      <c r="H8005" t="str">
        <f>"82034"</f>
        <v>82034</v>
      </c>
      <c r="I8005">
        <v>1</v>
      </c>
      <c r="J8005">
        <v>348</v>
      </c>
      <c r="K8005">
        <v>0</v>
      </c>
      <c r="L8005">
        <v>316.68</v>
      </c>
    </row>
    <row r="8006" spans="1:12" x14ac:dyDescent="0.25">
      <c r="A8006" t="str">
        <f t="shared" si="1759"/>
        <v>89301000</v>
      </c>
      <c r="B8006" t="str">
        <f t="shared" si="1755"/>
        <v>10510000</v>
      </c>
      <c r="C8006" t="str">
        <f t="shared" si="1756"/>
        <v>10510001</v>
      </c>
      <c r="D8006" t="str">
        <f t="shared" si="1757"/>
        <v>802</v>
      </c>
      <c r="E8006" t="str">
        <f>"89301172"</f>
        <v>89301172</v>
      </c>
      <c r="F8006" t="str">
        <f>"6655270303"</f>
        <v>6655270303</v>
      </c>
      <c r="G8006" s="1">
        <v>44782</v>
      </c>
      <c r="H8006" t="str">
        <f>"82034"</f>
        <v>82034</v>
      </c>
      <c r="I8006">
        <v>1</v>
      </c>
      <c r="J8006">
        <v>348</v>
      </c>
      <c r="K8006">
        <v>0</v>
      </c>
      <c r="L8006">
        <v>316.68</v>
      </c>
    </row>
    <row r="8007" spans="1:12" x14ac:dyDescent="0.25">
      <c r="A8007" t="str">
        <f t="shared" si="1759"/>
        <v>89301000</v>
      </c>
      <c r="B8007" t="str">
        <f t="shared" si="1755"/>
        <v>10510000</v>
      </c>
      <c r="C8007" t="str">
        <f t="shared" si="1756"/>
        <v>10510001</v>
      </c>
      <c r="D8007" t="str">
        <f t="shared" si="1757"/>
        <v>802</v>
      </c>
      <c r="E8007" t="str">
        <f>"89301172"</f>
        <v>89301172</v>
      </c>
      <c r="F8007" t="str">
        <f>"6655270303"</f>
        <v>6655270303</v>
      </c>
      <c r="G8007" s="1">
        <v>44782</v>
      </c>
      <c r="H8007" t="str">
        <f>"82041"</f>
        <v>82041</v>
      </c>
      <c r="I8007">
        <v>1</v>
      </c>
      <c r="J8007">
        <v>1090</v>
      </c>
      <c r="K8007">
        <v>0</v>
      </c>
      <c r="L8007">
        <v>991.9</v>
      </c>
    </row>
    <row r="8008" spans="1:12" x14ac:dyDescent="0.25">
      <c r="A8008" t="str">
        <f t="shared" si="1759"/>
        <v>89301000</v>
      </c>
      <c r="B8008" t="str">
        <f t="shared" si="1755"/>
        <v>10510000</v>
      </c>
      <c r="C8008" t="str">
        <f t="shared" si="1756"/>
        <v>10510001</v>
      </c>
      <c r="D8008" t="str">
        <f t="shared" si="1757"/>
        <v>802</v>
      </c>
      <c r="E8008" t="str">
        <f>"89301172"</f>
        <v>89301172</v>
      </c>
      <c r="F8008" t="str">
        <f>"6655270303"</f>
        <v>6655270303</v>
      </c>
      <c r="G8008" s="1">
        <v>44782</v>
      </c>
      <c r="H8008" t="str">
        <f>"82041"</f>
        <v>82041</v>
      </c>
      <c r="I8008">
        <v>1</v>
      </c>
      <c r="J8008">
        <v>1090</v>
      </c>
      <c r="K8008">
        <v>0</v>
      </c>
      <c r="L8008">
        <v>991.9</v>
      </c>
    </row>
    <row r="8009" spans="1:12" x14ac:dyDescent="0.25">
      <c r="A8009" t="str">
        <f t="shared" si="1759"/>
        <v>89301000</v>
      </c>
      <c r="B8009" t="str">
        <f t="shared" si="1755"/>
        <v>10510000</v>
      </c>
      <c r="C8009" t="str">
        <f t="shared" si="1756"/>
        <v>10510001</v>
      </c>
      <c r="D8009" t="str">
        <f t="shared" si="1757"/>
        <v>802</v>
      </c>
      <c r="E8009" t="str">
        <f t="shared" ref="E8009:E8023" si="1760">"89301171"</f>
        <v>89301171</v>
      </c>
      <c r="F8009" t="str">
        <f>"6401201180"</f>
        <v>6401201180</v>
      </c>
      <c r="G8009" s="1">
        <v>44790</v>
      </c>
      <c r="H8009" t="str">
        <f>"82041"</f>
        <v>82041</v>
      </c>
      <c r="I8009">
        <v>1</v>
      </c>
      <c r="J8009">
        <v>1090</v>
      </c>
      <c r="K8009">
        <v>0</v>
      </c>
      <c r="L8009">
        <v>991.9</v>
      </c>
    </row>
    <row r="8010" spans="1:12" x14ac:dyDescent="0.25">
      <c r="A8010" t="str">
        <f t="shared" si="1759"/>
        <v>89301000</v>
      </c>
      <c r="B8010" t="str">
        <f t="shared" si="1755"/>
        <v>10510000</v>
      </c>
      <c r="C8010" t="str">
        <f t="shared" si="1756"/>
        <v>10510001</v>
      </c>
      <c r="D8010" t="str">
        <f t="shared" si="1757"/>
        <v>802</v>
      </c>
      <c r="E8010" t="str">
        <f t="shared" si="1760"/>
        <v>89301171</v>
      </c>
      <c r="F8010" t="str">
        <f>"6401201180"</f>
        <v>6401201180</v>
      </c>
      <c r="G8010" s="1">
        <v>44790</v>
      </c>
      <c r="H8010" t="str">
        <f>"82041"</f>
        <v>82041</v>
      </c>
      <c r="I8010">
        <v>1</v>
      </c>
      <c r="J8010">
        <v>1090</v>
      </c>
      <c r="K8010">
        <v>0</v>
      </c>
      <c r="L8010">
        <v>991.9</v>
      </c>
    </row>
    <row r="8011" spans="1:12" x14ac:dyDescent="0.25">
      <c r="A8011" t="str">
        <f t="shared" si="1759"/>
        <v>89301000</v>
      </c>
      <c r="B8011" t="str">
        <f t="shared" si="1755"/>
        <v>10510000</v>
      </c>
      <c r="C8011" t="str">
        <f t="shared" si="1756"/>
        <v>10510001</v>
      </c>
      <c r="D8011" t="str">
        <f t="shared" si="1757"/>
        <v>802</v>
      </c>
      <c r="E8011" t="str">
        <f t="shared" si="1760"/>
        <v>89301171</v>
      </c>
      <c r="F8011" t="str">
        <f>"6401201180"</f>
        <v>6401201180</v>
      </c>
      <c r="G8011" s="1">
        <v>44790</v>
      </c>
      <c r="H8011" t="str">
        <f>"82034"</f>
        <v>82034</v>
      </c>
      <c r="I8011">
        <v>1</v>
      </c>
      <c r="J8011">
        <v>348</v>
      </c>
      <c r="K8011">
        <v>0</v>
      </c>
      <c r="L8011">
        <v>316.68</v>
      </c>
    </row>
    <row r="8012" spans="1:12" x14ac:dyDescent="0.25">
      <c r="A8012" t="str">
        <f t="shared" si="1759"/>
        <v>89301000</v>
      </c>
      <c r="B8012" t="str">
        <f t="shared" si="1755"/>
        <v>10510000</v>
      </c>
      <c r="C8012" t="str">
        <f t="shared" si="1756"/>
        <v>10510001</v>
      </c>
      <c r="D8012" t="str">
        <f t="shared" si="1757"/>
        <v>802</v>
      </c>
      <c r="E8012" t="str">
        <f t="shared" si="1760"/>
        <v>89301171</v>
      </c>
      <c r="F8012" t="str">
        <f>"495727053"</f>
        <v>495727053</v>
      </c>
      <c r="G8012" s="1">
        <v>44797</v>
      </c>
      <c r="H8012" t="str">
        <f>"82041"</f>
        <v>82041</v>
      </c>
      <c r="I8012">
        <v>1</v>
      </c>
      <c r="J8012">
        <v>1090</v>
      </c>
      <c r="K8012">
        <v>0</v>
      </c>
      <c r="L8012">
        <v>991.9</v>
      </c>
    </row>
    <row r="8013" spans="1:12" x14ac:dyDescent="0.25">
      <c r="A8013" t="str">
        <f t="shared" si="1759"/>
        <v>89301000</v>
      </c>
      <c r="B8013" t="str">
        <f t="shared" si="1755"/>
        <v>10510000</v>
      </c>
      <c r="C8013" t="str">
        <f t="shared" si="1756"/>
        <v>10510001</v>
      </c>
      <c r="D8013" t="str">
        <f t="shared" si="1757"/>
        <v>802</v>
      </c>
      <c r="E8013" t="str">
        <f t="shared" si="1760"/>
        <v>89301171</v>
      </c>
      <c r="F8013" t="str">
        <f>"495727053"</f>
        <v>495727053</v>
      </c>
      <c r="G8013" s="1">
        <v>44797</v>
      </c>
      <c r="H8013" t="str">
        <f>"82041"</f>
        <v>82041</v>
      </c>
      <c r="I8013">
        <v>1</v>
      </c>
      <c r="J8013">
        <v>1090</v>
      </c>
      <c r="K8013">
        <v>0</v>
      </c>
      <c r="L8013">
        <v>991.9</v>
      </c>
    </row>
    <row r="8014" spans="1:12" x14ac:dyDescent="0.25">
      <c r="A8014" t="str">
        <f t="shared" si="1759"/>
        <v>89301000</v>
      </c>
      <c r="B8014" t="str">
        <f t="shared" si="1755"/>
        <v>10510000</v>
      </c>
      <c r="C8014" t="str">
        <f t="shared" si="1756"/>
        <v>10510001</v>
      </c>
      <c r="D8014" t="str">
        <f t="shared" si="1757"/>
        <v>802</v>
      </c>
      <c r="E8014" t="str">
        <f t="shared" si="1760"/>
        <v>89301171</v>
      </c>
      <c r="F8014" t="str">
        <f>"495727053"</f>
        <v>495727053</v>
      </c>
      <c r="G8014" s="1">
        <v>44797</v>
      </c>
      <c r="H8014" t="str">
        <f>"82034"</f>
        <v>82034</v>
      </c>
      <c r="I8014">
        <v>1</v>
      </c>
      <c r="J8014">
        <v>348</v>
      </c>
      <c r="K8014">
        <v>0</v>
      </c>
      <c r="L8014">
        <v>316.68</v>
      </c>
    </row>
    <row r="8015" spans="1:12" x14ac:dyDescent="0.25">
      <c r="A8015" t="str">
        <f t="shared" si="1759"/>
        <v>89301000</v>
      </c>
      <c r="B8015" t="str">
        <f t="shared" si="1755"/>
        <v>10510000</v>
      </c>
      <c r="C8015" t="str">
        <f t="shared" si="1756"/>
        <v>10510001</v>
      </c>
      <c r="D8015" t="str">
        <f t="shared" si="1757"/>
        <v>802</v>
      </c>
      <c r="E8015" t="str">
        <f t="shared" si="1760"/>
        <v>89301171</v>
      </c>
      <c r="F8015" t="str">
        <f>"6755120757"</f>
        <v>6755120757</v>
      </c>
      <c r="G8015" s="1">
        <v>44797</v>
      </c>
      <c r="H8015" t="str">
        <f>"82034"</f>
        <v>82034</v>
      </c>
      <c r="I8015">
        <v>1</v>
      </c>
      <c r="J8015">
        <v>348</v>
      </c>
      <c r="K8015">
        <v>0</v>
      </c>
      <c r="L8015">
        <v>316.68</v>
      </c>
    </row>
    <row r="8016" spans="1:12" x14ac:dyDescent="0.25">
      <c r="A8016" t="str">
        <f t="shared" si="1759"/>
        <v>89301000</v>
      </c>
      <c r="B8016" t="str">
        <f t="shared" si="1755"/>
        <v>10510000</v>
      </c>
      <c r="C8016" t="str">
        <f t="shared" si="1756"/>
        <v>10510001</v>
      </c>
      <c r="D8016" t="str">
        <f t="shared" si="1757"/>
        <v>802</v>
      </c>
      <c r="E8016" t="str">
        <f t="shared" si="1760"/>
        <v>89301171</v>
      </c>
      <c r="F8016" t="str">
        <f>"6755120757"</f>
        <v>6755120757</v>
      </c>
      <c r="G8016" s="1">
        <v>44797</v>
      </c>
      <c r="H8016" t="str">
        <f>"82041"</f>
        <v>82041</v>
      </c>
      <c r="I8016">
        <v>1</v>
      </c>
      <c r="J8016">
        <v>1090</v>
      </c>
      <c r="K8016">
        <v>0</v>
      </c>
      <c r="L8016">
        <v>991.9</v>
      </c>
    </row>
    <row r="8017" spans="1:12" x14ac:dyDescent="0.25">
      <c r="A8017" t="str">
        <f t="shared" si="1759"/>
        <v>89301000</v>
      </c>
      <c r="B8017" t="str">
        <f t="shared" si="1755"/>
        <v>10510000</v>
      </c>
      <c r="C8017" t="str">
        <f t="shared" si="1756"/>
        <v>10510001</v>
      </c>
      <c r="D8017" t="str">
        <f t="shared" si="1757"/>
        <v>802</v>
      </c>
      <c r="E8017" t="str">
        <f t="shared" si="1760"/>
        <v>89301171</v>
      </c>
      <c r="F8017" t="str">
        <f>"6755120757"</f>
        <v>6755120757</v>
      </c>
      <c r="G8017" s="1">
        <v>44797</v>
      </c>
      <c r="H8017" t="str">
        <f>"82041"</f>
        <v>82041</v>
      </c>
      <c r="I8017">
        <v>1</v>
      </c>
      <c r="J8017">
        <v>1090</v>
      </c>
      <c r="K8017">
        <v>0</v>
      </c>
      <c r="L8017">
        <v>991.9</v>
      </c>
    </row>
    <row r="8018" spans="1:12" x14ac:dyDescent="0.25">
      <c r="A8018" t="str">
        <f t="shared" si="1759"/>
        <v>89301000</v>
      </c>
      <c r="B8018" t="str">
        <f t="shared" si="1755"/>
        <v>10510000</v>
      </c>
      <c r="C8018" t="str">
        <f t="shared" si="1756"/>
        <v>10510001</v>
      </c>
      <c r="D8018" t="str">
        <f t="shared" si="1757"/>
        <v>802</v>
      </c>
      <c r="E8018" t="str">
        <f t="shared" si="1760"/>
        <v>89301171</v>
      </c>
      <c r="F8018" t="str">
        <f>"6806160658"</f>
        <v>6806160658</v>
      </c>
      <c r="G8018" s="1">
        <v>44802</v>
      </c>
      <c r="H8018" t="str">
        <f>"82034"</f>
        <v>82034</v>
      </c>
      <c r="I8018">
        <v>1</v>
      </c>
      <c r="J8018">
        <v>348</v>
      </c>
      <c r="K8018">
        <v>0</v>
      </c>
      <c r="L8018">
        <v>316.68</v>
      </c>
    </row>
    <row r="8019" spans="1:12" x14ac:dyDescent="0.25">
      <c r="A8019" t="str">
        <f t="shared" si="1759"/>
        <v>89301000</v>
      </c>
      <c r="B8019" t="str">
        <f t="shared" si="1755"/>
        <v>10510000</v>
      </c>
      <c r="C8019" t="str">
        <f t="shared" si="1756"/>
        <v>10510001</v>
      </c>
      <c r="D8019" t="str">
        <f t="shared" si="1757"/>
        <v>802</v>
      </c>
      <c r="E8019" t="str">
        <f t="shared" si="1760"/>
        <v>89301171</v>
      </c>
      <c r="F8019" t="str">
        <f>"6806160658"</f>
        <v>6806160658</v>
      </c>
      <c r="G8019" s="1">
        <v>44802</v>
      </c>
      <c r="H8019" t="str">
        <f>"82041"</f>
        <v>82041</v>
      </c>
      <c r="I8019">
        <v>1</v>
      </c>
      <c r="J8019">
        <v>1090</v>
      </c>
      <c r="K8019">
        <v>0</v>
      </c>
      <c r="L8019">
        <v>991.9</v>
      </c>
    </row>
    <row r="8020" spans="1:12" x14ac:dyDescent="0.25">
      <c r="A8020" t="str">
        <f t="shared" si="1759"/>
        <v>89301000</v>
      </c>
      <c r="B8020" t="str">
        <f t="shared" si="1755"/>
        <v>10510000</v>
      </c>
      <c r="C8020" t="str">
        <f t="shared" si="1756"/>
        <v>10510001</v>
      </c>
      <c r="D8020" t="str">
        <f t="shared" si="1757"/>
        <v>802</v>
      </c>
      <c r="E8020" t="str">
        <f t="shared" si="1760"/>
        <v>89301171</v>
      </c>
      <c r="F8020" t="str">
        <f>"6806160658"</f>
        <v>6806160658</v>
      </c>
      <c r="G8020" s="1">
        <v>44802</v>
      </c>
      <c r="H8020" t="str">
        <f>"82041"</f>
        <v>82041</v>
      </c>
      <c r="I8020">
        <v>1</v>
      </c>
      <c r="J8020">
        <v>1090</v>
      </c>
      <c r="K8020">
        <v>0</v>
      </c>
      <c r="L8020">
        <v>991.9</v>
      </c>
    </row>
    <row r="8021" spans="1:12" x14ac:dyDescent="0.25">
      <c r="A8021" t="str">
        <f t="shared" si="1759"/>
        <v>89301000</v>
      </c>
      <c r="B8021" t="str">
        <f t="shared" si="1755"/>
        <v>10510000</v>
      </c>
      <c r="C8021" t="str">
        <f t="shared" si="1756"/>
        <v>10510001</v>
      </c>
      <c r="D8021" t="str">
        <f t="shared" si="1757"/>
        <v>802</v>
      </c>
      <c r="E8021" t="str">
        <f t="shared" si="1760"/>
        <v>89301171</v>
      </c>
      <c r="F8021" t="str">
        <f>"8707305816"</f>
        <v>8707305816</v>
      </c>
      <c r="G8021" s="1">
        <v>44802</v>
      </c>
      <c r="H8021" t="str">
        <f>"82041"</f>
        <v>82041</v>
      </c>
      <c r="I8021">
        <v>1</v>
      </c>
      <c r="J8021">
        <v>1090</v>
      </c>
      <c r="K8021">
        <v>0</v>
      </c>
      <c r="L8021">
        <v>991.9</v>
      </c>
    </row>
    <row r="8022" spans="1:12" x14ac:dyDescent="0.25">
      <c r="A8022" t="str">
        <f t="shared" si="1759"/>
        <v>89301000</v>
      </c>
      <c r="B8022" t="str">
        <f t="shared" si="1755"/>
        <v>10510000</v>
      </c>
      <c r="C8022" t="str">
        <f t="shared" si="1756"/>
        <v>10510001</v>
      </c>
      <c r="D8022" t="str">
        <f t="shared" si="1757"/>
        <v>802</v>
      </c>
      <c r="E8022" t="str">
        <f t="shared" si="1760"/>
        <v>89301171</v>
      </c>
      <c r="F8022" t="str">
        <f>"8707305816"</f>
        <v>8707305816</v>
      </c>
      <c r="G8022" s="1">
        <v>44802</v>
      </c>
      <c r="H8022" t="str">
        <f>"82041"</f>
        <v>82041</v>
      </c>
      <c r="I8022">
        <v>1</v>
      </c>
      <c r="J8022">
        <v>1090</v>
      </c>
      <c r="K8022">
        <v>0</v>
      </c>
      <c r="L8022">
        <v>991.9</v>
      </c>
    </row>
    <row r="8023" spans="1:12" x14ac:dyDescent="0.25">
      <c r="A8023" t="str">
        <f t="shared" si="1759"/>
        <v>89301000</v>
      </c>
      <c r="B8023" t="str">
        <f t="shared" si="1755"/>
        <v>10510000</v>
      </c>
      <c r="C8023" t="str">
        <f t="shared" si="1756"/>
        <v>10510001</v>
      </c>
      <c r="D8023" t="str">
        <f t="shared" si="1757"/>
        <v>802</v>
      </c>
      <c r="E8023" t="str">
        <f t="shared" si="1760"/>
        <v>89301171</v>
      </c>
      <c r="F8023" t="str">
        <f>"8707305816"</f>
        <v>8707305816</v>
      </c>
      <c r="G8023" s="1">
        <v>44802</v>
      </c>
      <c r="H8023" t="str">
        <f>"82034"</f>
        <v>82034</v>
      </c>
      <c r="I8023">
        <v>1</v>
      </c>
      <c r="J8023">
        <v>348</v>
      </c>
      <c r="K8023">
        <v>0</v>
      </c>
      <c r="L8023">
        <v>316.68</v>
      </c>
    </row>
    <row r="8024" spans="1:12" x14ac:dyDescent="0.25">
      <c r="A8024" t="str">
        <f t="shared" si="1759"/>
        <v>89301000</v>
      </c>
      <c r="B8024" t="str">
        <f>"89670000"</f>
        <v>89670000</v>
      </c>
      <c r="C8024" t="str">
        <f>"89670001"</f>
        <v>89670001</v>
      </c>
      <c r="D8024" t="str">
        <f t="shared" si="1757"/>
        <v>802</v>
      </c>
      <c r="E8024" t="str">
        <f>"89301101"</f>
        <v>89301101</v>
      </c>
      <c r="F8024" t="str">
        <f>"1453140172"</f>
        <v>1453140172</v>
      </c>
      <c r="G8024" s="1">
        <v>44804</v>
      </c>
      <c r="H8024" t="str">
        <f>"82097"</f>
        <v>82097</v>
      </c>
      <c r="I8024">
        <v>1</v>
      </c>
      <c r="J8024">
        <v>380</v>
      </c>
      <c r="K8024">
        <v>0</v>
      </c>
      <c r="L8024">
        <v>345.8</v>
      </c>
    </row>
    <row r="8025" spans="1:12" x14ac:dyDescent="0.25">
      <c r="A8025" t="str">
        <f t="shared" si="1759"/>
        <v>89301000</v>
      </c>
      <c r="B8025" t="str">
        <f>"89670000"</f>
        <v>89670000</v>
      </c>
      <c r="C8025" t="str">
        <f>"89670001"</f>
        <v>89670001</v>
      </c>
      <c r="D8025" t="str">
        <f t="shared" si="1757"/>
        <v>802</v>
      </c>
      <c r="E8025" t="str">
        <f>"89301101"</f>
        <v>89301101</v>
      </c>
      <c r="F8025" t="str">
        <f>"1453140172"</f>
        <v>1453140172</v>
      </c>
      <c r="G8025" s="1">
        <v>44804</v>
      </c>
      <c r="H8025" t="str">
        <f>"82097"</f>
        <v>82097</v>
      </c>
      <c r="I8025">
        <v>1</v>
      </c>
      <c r="J8025">
        <v>380</v>
      </c>
      <c r="K8025">
        <v>0</v>
      </c>
      <c r="L8025">
        <v>345.8</v>
      </c>
    </row>
    <row r="8026" spans="1:12" x14ac:dyDescent="0.25">
      <c r="A8026" t="str">
        <f t="shared" si="1759"/>
        <v>89301000</v>
      </c>
      <c r="B8026" t="str">
        <f t="shared" ref="B8026:B8032" si="1761">"86102000"</f>
        <v>86102000</v>
      </c>
      <c r="C8026" t="str">
        <f t="shared" ref="C8026:C8031" si="1762">"86102476"</f>
        <v>86102476</v>
      </c>
      <c r="D8026" t="str">
        <f t="shared" ref="D8026:D8031" si="1763">"801"</f>
        <v>801</v>
      </c>
      <c r="E8026" t="str">
        <f t="shared" ref="E8026:E8031" si="1764">"89301082"</f>
        <v>89301082</v>
      </c>
      <c r="F8026" t="str">
        <f>"9452085511"</f>
        <v>9452085511</v>
      </c>
      <c r="G8026" s="1">
        <v>44782</v>
      </c>
      <c r="H8026" t="str">
        <f>"09119"</f>
        <v>09119</v>
      </c>
      <c r="I8026">
        <v>1</v>
      </c>
      <c r="J8026">
        <v>42</v>
      </c>
      <c r="K8026">
        <v>0</v>
      </c>
      <c r="L8026">
        <v>32.76</v>
      </c>
    </row>
    <row r="8027" spans="1:12" x14ac:dyDescent="0.25">
      <c r="A8027" t="str">
        <f t="shared" si="1759"/>
        <v>89301000</v>
      </c>
      <c r="B8027" t="str">
        <f t="shared" si="1761"/>
        <v>86102000</v>
      </c>
      <c r="C8027" t="str">
        <f t="shared" si="1762"/>
        <v>86102476</v>
      </c>
      <c r="D8027" t="str">
        <f t="shared" si="1763"/>
        <v>801</v>
      </c>
      <c r="E8027" t="str">
        <f t="shared" si="1764"/>
        <v>89301082</v>
      </c>
      <c r="F8027" t="str">
        <f>"9452085511"</f>
        <v>9452085511</v>
      </c>
      <c r="G8027" s="1">
        <v>44782</v>
      </c>
      <c r="H8027" t="str">
        <f>"93159"</f>
        <v>93159</v>
      </c>
      <c r="I8027">
        <v>1</v>
      </c>
      <c r="J8027">
        <v>195</v>
      </c>
      <c r="K8027">
        <v>0</v>
      </c>
      <c r="L8027">
        <v>152.1</v>
      </c>
    </row>
    <row r="8028" spans="1:12" x14ac:dyDescent="0.25">
      <c r="A8028" t="str">
        <f t="shared" si="1759"/>
        <v>89301000</v>
      </c>
      <c r="B8028" t="str">
        <f t="shared" si="1761"/>
        <v>86102000</v>
      </c>
      <c r="C8028" t="str">
        <f t="shared" si="1762"/>
        <v>86102476</v>
      </c>
      <c r="D8028" t="str">
        <f t="shared" si="1763"/>
        <v>801</v>
      </c>
      <c r="E8028" t="str">
        <f t="shared" si="1764"/>
        <v>89301082</v>
      </c>
      <c r="F8028" t="str">
        <f>"9452085511"</f>
        <v>9452085511</v>
      </c>
      <c r="G8028" s="1">
        <v>44782</v>
      </c>
      <c r="H8028" t="str">
        <f>"97111"</f>
        <v>97111</v>
      </c>
      <c r="I8028">
        <v>1</v>
      </c>
      <c r="J8028">
        <v>18</v>
      </c>
      <c r="K8028">
        <v>0</v>
      </c>
      <c r="L8028">
        <v>14.04</v>
      </c>
    </row>
    <row r="8029" spans="1:12" x14ac:dyDescent="0.25">
      <c r="A8029" t="str">
        <f t="shared" si="1759"/>
        <v>89301000</v>
      </c>
      <c r="B8029" t="str">
        <f t="shared" si="1761"/>
        <v>86102000</v>
      </c>
      <c r="C8029" t="str">
        <f t="shared" si="1762"/>
        <v>86102476</v>
      </c>
      <c r="D8029" t="str">
        <f t="shared" si="1763"/>
        <v>801</v>
      </c>
      <c r="E8029" t="str">
        <f t="shared" si="1764"/>
        <v>89301082</v>
      </c>
      <c r="F8029" t="str">
        <f>"9662195411"</f>
        <v>9662195411</v>
      </c>
      <c r="G8029" s="1">
        <v>44776</v>
      </c>
      <c r="H8029" t="str">
        <f>"09119"</f>
        <v>09119</v>
      </c>
      <c r="I8029">
        <v>1</v>
      </c>
      <c r="J8029">
        <v>42</v>
      </c>
      <c r="K8029">
        <v>0</v>
      </c>
      <c r="L8029">
        <v>32.76</v>
      </c>
    </row>
    <row r="8030" spans="1:12" x14ac:dyDescent="0.25">
      <c r="A8030" t="str">
        <f t="shared" si="1759"/>
        <v>89301000</v>
      </c>
      <c r="B8030" t="str">
        <f t="shared" si="1761"/>
        <v>86102000</v>
      </c>
      <c r="C8030" t="str">
        <f t="shared" si="1762"/>
        <v>86102476</v>
      </c>
      <c r="D8030" t="str">
        <f t="shared" si="1763"/>
        <v>801</v>
      </c>
      <c r="E8030" t="str">
        <f t="shared" si="1764"/>
        <v>89301082</v>
      </c>
      <c r="F8030" t="str">
        <f>"9662195411"</f>
        <v>9662195411</v>
      </c>
      <c r="G8030" s="1">
        <v>44776</v>
      </c>
      <c r="H8030" t="str">
        <f>"93159"</f>
        <v>93159</v>
      </c>
      <c r="I8030">
        <v>1</v>
      </c>
      <c r="J8030">
        <v>195</v>
      </c>
      <c r="K8030">
        <v>0</v>
      </c>
      <c r="L8030">
        <v>152.1</v>
      </c>
    </row>
    <row r="8031" spans="1:12" x14ac:dyDescent="0.25">
      <c r="A8031" t="str">
        <f t="shared" si="1759"/>
        <v>89301000</v>
      </c>
      <c r="B8031" t="str">
        <f t="shared" si="1761"/>
        <v>86102000</v>
      </c>
      <c r="C8031" t="str">
        <f t="shared" si="1762"/>
        <v>86102476</v>
      </c>
      <c r="D8031" t="str">
        <f t="shared" si="1763"/>
        <v>801</v>
      </c>
      <c r="E8031" t="str">
        <f t="shared" si="1764"/>
        <v>89301082</v>
      </c>
      <c r="F8031" t="str">
        <f>"9662195411"</f>
        <v>9662195411</v>
      </c>
      <c r="G8031" s="1">
        <v>44776</v>
      </c>
      <c r="H8031" t="str">
        <f>"97111"</f>
        <v>97111</v>
      </c>
      <c r="I8031">
        <v>1</v>
      </c>
      <c r="J8031">
        <v>18</v>
      </c>
      <c r="K8031">
        <v>0</v>
      </c>
      <c r="L8031">
        <v>14.04</v>
      </c>
    </row>
    <row r="8032" spans="1:12" x14ac:dyDescent="0.25">
      <c r="A8032" t="str">
        <f t="shared" si="1759"/>
        <v>89301000</v>
      </c>
      <c r="B8032" t="str">
        <f t="shared" si="1761"/>
        <v>86102000</v>
      </c>
      <c r="C8032" t="str">
        <f>"86102496"</f>
        <v>86102496</v>
      </c>
      <c r="D8032" t="str">
        <f>"809"</f>
        <v>809</v>
      </c>
      <c r="E8032" t="str">
        <f>"89301112"</f>
        <v>89301112</v>
      </c>
      <c r="F8032" t="str">
        <f>"8805305509"</f>
        <v>8805305509</v>
      </c>
      <c r="G8032" s="1">
        <v>44797</v>
      </c>
      <c r="H8032" t="str">
        <f>"89713"</f>
        <v>89713</v>
      </c>
      <c r="I8032">
        <v>1</v>
      </c>
      <c r="J8032">
        <v>5362</v>
      </c>
      <c r="K8032">
        <v>0</v>
      </c>
      <c r="L8032">
        <v>3217.2</v>
      </c>
    </row>
    <row r="8033" spans="1:12" x14ac:dyDescent="0.25">
      <c r="A8033" t="str">
        <f t="shared" si="1759"/>
        <v>89301000</v>
      </c>
      <c r="B8033" t="str">
        <f>"86131000"</f>
        <v>86131000</v>
      </c>
      <c r="C8033" t="str">
        <f>"86131000"</f>
        <v>86131000</v>
      </c>
      <c r="D8033" t="str">
        <f>"809"</f>
        <v>809</v>
      </c>
      <c r="E8033" t="str">
        <f>"89301212"</f>
        <v>89301212</v>
      </c>
      <c r="F8033" t="str">
        <f>"526212175"</f>
        <v>526212175</v>
      </c>
      <c r="G8033" s="1">
        <v>44795</v>
      </c>
      <c r="H8033" t="str">
        <f>"89512"</f>
        <v>89512</v>
      </c>
      <c r="I8033">
        <v>1</v>
      </c>
      <c r="J8033">
        <v>277</v>
      </c>
      <c r="K8033">
        <v>0</v>
      </c>
      <c r="L8033">
        <v>387.8</v>
      </c>
    </row>
    <row r="8034" spans="1:12" x14ac:dyDescent="0.25">
      <c r="A8034" t="str">
        <f t="shared" si="1759"/>
        <v>89301000</v>
      </c>
      <c r="B8034" t="str">
        <f>"87004000"</f>
        <v>87004000</v>
      </c>
      <c r="C8034" t="str">
        <f>"87004900"</f>
        <v>87004900</v>
      </c>
      <c r="D8034" t="str">
        <f>"810"</f>
        <v>810</v>
      </c>
      <c r="E8034" t="str">
        <f>"89301112"</f>
        <v>89301112</v>
      </c>
      <c r="F8034" t="str">
        <f>"7605255130"</f>
        <v>7605255130</v>
      </c>
      <c r="G8034" s="1">
        <v>44791</v>
      </c>
      <c r="H8034" t="str">
        <f>"89713"</f>
        <v>89713</v>
      </c>
      <c r="I8034">
        <v>1</v>
      </c>
      <c r="J8034">
        <v>5362</v>
      </c>
      <c r="K8034">
        <v>0</v>
      </c>
      <c r="L8034">
        <v>3217.2</v>
      </c>
    </row>
    <row r="8035" spans="1:12" x14ac:dyDescent="0.25">
      <c r="A8035" t="str">
        <f t="shared" si="1759"/>
        <v>89301000</v>
      </c>
      <c r="B8035" t="str">
        <f>"87004000"</f>
        <v>87004000</v>
      </c>
      <c r="C8035" t="str">
        <f>"87004900"</f>
        <v>87004900</v>
      </c>
      <c r="D8035" t="str">
        <f>"810"</f>
        <v>810</v>
      </c>
      <c r="E8035" t="str">
        <f>"89301112"</f>
        <v>89301112</v>
      </c>
      <c r="F8035" t="str">
        <f>"7605255130"</f>
        <v>7605255130</v>
      </c>
      <c r="G8035" s="1">
        <v>44791</v>
      </c>
      <c r="H8035" t="str">
        <f>"89725"</f>
        <v>89725</v>
      </c>
      <c r="I8035">
        <v>1</v>
      </c>
      <c r="J8035">
        <v>2839</v>
      </c>
      <c r="K8035">
        <v>0</v>
      </c>
      <c r="L8035">
        <v>1703.4</v>
      </c>
    </row>
    <row r="8036" spans="1:12" x14ac:dyDescent="0.25">
      <c r="A8036" t="str">
        <f t="shared" si="1759"/>
        <v>89301000</v>
      </c>
      <c r="B8036" t="str">
        <f>"89903000"</f>
        <v>89903000</v>
      </c>
      <c r="C8036" t="str">
        <f>"89903504"</f>
        <v>89903504</v>
      </c>
      <c r="D8036" t="str">
        <f>"810"</f>
        <v>810</v>
      </c>
      <c r="E8036" t="str">
        <f>"89301606"</f>
        <v>89301606</v>
      </c>
      <c r="F8036" t="str">
        <f>"8910056199"</f>
        <v>8910056199</v>
      </c>
      <c r="G8036" s="1">
        <v>44784</v>
      </c>
      <c r="H8036" t="str">
        <f>"89713"</f>
        <v>89713</v>
      </c>
      <c r="I8036">
        <v>2</v>
      </c>
      <c r="J8036">
        <v>10724</v>
      </c>
      <c r="K8036">
        <v>0</v>
      </c>
      <c r="L8036">
        <v>6434.4</v>
      </c>
    </row>
    <row r="8037" spans="1:12" x14ac:dyDescent="0.25">
      <c r="A8037" t="str">
        <f t="shared" si="1759"/>
        <v>89301000</v>
      </c>
      <c r="B8037" t="str">
        <f>"85600000"</f>
        <v>85600000</v>
      </c>
      <c r="C8037" t="str">
        <f>"85600421"</f>
        <v>85600421</v>
      </c>
      <c r="D8037" t="str">
        <f t="shared" ref="D8037:D8050" si="1765">"809"</f>
        <v>809</v>
      </c>
      <c r="E8037" t="str">
        <f t="shared" ref="E8037:E8045" si="1766">"89301212"</f>
        <v>89301212</v>
      </c>
      <c r="F8037" t="str">
        <f>"5758140465"</f>
        <v>5758140465</v>
      </c>
      <c r="G8037" s="1">
        <v>44775</v>
      </c>
      <c r="H8037" t="str">
        <f>"89517"</f>
        <v>89517</v>
      </c>
      <c r="I8037">
        <v>1</v>
      </c>
      <c r="J8037">
        <v>970</v>
      </c>
      <c r="K8037">
        <v>0</v>
      </c>
      <c r="L8037">
        <v>1358</v>
      </c>
    </row>
    <row r="8038" spans="1:12" x14ac:dyDescent="0.25">
      <c r="A8038" t="str">
        <f t="shared" si="1759"/>
        <v>89301000</v>
      </c>
      <c r="B8038" t="str">
        <f>"85600000"</f>
        <v>85600000</v>
      </c>
      <c r="C8038" t="str">
        <f>"85600421"</f>
        <v>85600421</v>
      </c>
      <c r="D8038" t="str">
        <f t="shared" si="1765"/>
        <v>809</v>
      </c>
      <c r="E8038" t="str">
        <f t="shared" si="1766"/>
        <v>89301212</v>
      </c>
      <c r="F8038" t="str">
        <f>"5758140465"</f>
        <v>5758140465</v>
      </c>
      <c r="G8038" s="1">
        <v>44775</v>
      </c>
      <c r="H8038" t="str">
        <f>"89514"</f>
        <v>89514</v>
      </c>
      <c r="I8038">
        <v>1</v>
      </c>
      <c r="J8038">
        <v>371</v>
      </c>
      <c r="K8038">
        <v>0</v>
      </c>
      <c r="L8038">
        <v>519.4</v>
      </c>
    </row>
    <row r="8039" spans="1:12" x14ac:dyDescent="0.25">
      <c r="A8039" t="str">
        <f t="shared" si="1759"/>
        <v>89301000</v>
      </c>
      <c r="B8039" t="str">
        <f>"85600000"</f>
        <v>85600000</v>
      </c>
      <c r="C8039" t="str">
        <f>"85600421"</f>
        <v>85600421</v>
      </c>
      <c r="D8039" t="str">
        <f t="shared" si="1765"/>
        <v>809</v>
      </c>
      <c r="E8039" t="str">
        <f t="shared" si="1766"/>
        <v>89301212</v>
      </c>
      <c r="F8039" t="str">
        <f>"5758140465"</f>
        <v>5758140465</v>
      </c>
      <c r="G8039" s="1">
        <v>44775</v>
      </c>
      <c r="H8039" t="str">
        <f>"89513"</f>
        <v>89513</v>
      </c>
      <c r="I8039">
        <v>1</v>
      </c>
      <c r="J8039">
        <v>371</v>
      </c>
      <c r="K8039">
        <v>0</v>
      </c>
      <c r="L8039">
        <v>519.4</v>
      </c>
    </row>
    <row r="8040" spans="1:12" x14ac:dyDescent="0.25">
      <c r="A8040" t="str">
        <f t="shared" si="1759"/>
        <v>89301000</v>
      </c>
      <c r="B8040" t="str">
        <f t="shared" ref="B8040:C8050" si="1767">"89632000"</f>
        <v>89632000</v>
      </c>
      <c r="C8040" t="str">
        <f t="shared" si="1767"/>
        <v>89632000</v>
      </c>
      <c r="D8040" t="str">
        <f t="shared" si="1765"/>
        <v>809</v>
      </c>
      <c r="E8040" t="str">
        <f t="shared" si="1766"/>
        <v>89301212</v>
      </c>
      <c r="F8040" t="str">
        <f>"476108425"</f>
        <v>476108425</v>
      </c>
      <c r="G8040" s="1">
        <v>44803</v>
      </c>
      <c r="H8040" t="str">
        <f>"89513"</f>
        <v>89513</v>
      </c>
      <c r="I8040">
        <v>1</v>
      </c>
      <c r="J8040">
        <v>371</v>
      </c>
      <c r="K8040">
        <v>0</v>
      </c>
      <c r="L8040">
        <v>519.4</v>
      </c>
    </row>
    <row r="8041" spans="1:12" x14ac:dyDescent="0.25">
      <c r="A8041" t="str">
        <f t="shared" si="1759"/>
        <v>89301000</v>
      </c>
      <c r="B8041" t="str">
        <f t="shared" si="1767"/>
        <v>89632000</v>
      </c>
      <c r="C8041" t="str">
        <f t="shared" si="1767"/>
        <v>89632000</v>
      </c>
      <c r="D8041" t="str">
        <f t="shared" si="1765"/>
        <v>809</v>
      </c>
      <c r="E8041" t="str">
        <f t="shared" si="1766"/>
        <v>89301212</v>
      </c>
      <c r="F8041" t="str">
        <f>"476108425"</f>
        <v>476108425</v>
      </c>
      <c r="G8041" s="1">
        <v>44803</v>
      </c>
      <c r="H8041" t="str">
        <f>"89514"</f>
        <v>89514</v>
      </c>
      <c r="I8041">
        <v>1</v>
      </c>
      <c r="J8041">
        <v>371</v>
      </c>
      <c r="K8041">
        <v>0</v>
      </c>
      <c r="L8041">
        <v>519.4</v>
      </c>
    </row>
    <row r="8042" spans="1:12" x14ac:dyDescent="0.25">
      <c r="A8042" t="str">
        <f t="shared" si="1759"/>
        <v>89301000</v>
      </c>
      <c r="B8042" t="str">
        <f t="shared" si="1767"/>
        <v>89632000</v>
      </c>
      <c r="C8042" t="str">
        <f t="shared" si="1767"/>
        <v>89632000</v>
      </c>
      <c r="D8042" t="str">
        <f t="shared" si="1765"/>
        <v>809</v>
      </c>
      <c r="E8042" t="str">
        <f t="shared" si="1766"/>
        <v>89301212</v>
      </c>
      <c r="F8042" t="str">
        <f>"6555041625"</f>
        <v>6555041625</v>
      </c>
      <c r="G8042" s="1">
        <v>44783</v>
      </c>
      <c r="H8042" t="str">
        <f>"89513"</f>
        <v>89513</v>
      </c>
      <c r="I8042">
        <v>1</v>
      </c>
      <c r="J8042">
        <v>371</v>
      </c>
      <c r="K8042">
        <v>0</v>
      </c>
      <c r="L8042">
        <v>519.4</v>
      </c>
    </row>
    <row r="8043" spans="1:12" x14ac:dyDescent="0.25">
      <c r="A8043" t="str">
        <f t="shared" si="1759"/>
        <v>89301000</v>
      </c>
      <c r="B8043" t="str">
        <f t="shared" si="1767"/>
        <v>89632000</v>
      </c>
      <c r="C8043" t="str">
        <f t="shared" si="1767"/>
        <v>89632000</v>
      </c>
      <c r="D8043" t="str">
        <f t="shared" si="1765"/>
        <v>809</v>
      </c>
      <c r="E8043" t="str">
        <f t="shared" si="1766"/>
        <v>89301212</v>
      </c>
      <c r="F8043" t="str">
        <f>"6555041625"</f>
        <v>6555041625</v>
      </c>
      <c r="G8043" s="1">
        <v>44783</v>
      </c>
      <c r="H8043" t="str">
        <f>"89514"</f>
        <v>89514</v>
      </c>
      <c r="I8043">
        <v>1</v>
      </c>
      <c r="J8043">
        <v>371</v>
      </c>
      <c r="K8043">
        <v>0</v>
      </c>
      <c r="L8043">
        <v>519.4</v>
      </c>
    </row>
    <row r="8044" spans="1:12" x14ac:dyDescent="0.25">
      <c r="A8044" t="str">
        <f t="shared" si="1759"/>
        <v>89301000</v>
      </c>
      <c r="B8044" t="str">
        <f t="shared" si="1767"/>
        <v>89632000</v>
      </c>
      <c r="C8044" t="str">
        <f t="shared" si="1767"/>
        <v>89632000</v>
      </c>
      <c r="D8044" t="str">
        <f t="shared" si="1765"/>
        <v>809</v>
      </c>
      <c r="E8044" t="str">
        <f t="shared" si="1766"/>
        <v>89301212</v>
      </c>
      <c r="F8044" t="str">
        <f>"7510275784"</f>
        <v>7510275784</v>
      </c>
      <c r="G8044" s="1">
        <v>44774</v>
      </c>
      <c r="H8044" t="str">
        <f>"89513"</f>
        <v>89513</v>
      </c>
      <c r="I8044">
        <v>1</v>
      </c>
      <c r="J8044">
        <v>371</v>
      </c>
      <c r="K8044">
        <v>0</v>
      </c>
      <c r="L8044">
        <v>519.4</v>
      </c>
    </row>
    <row r="8045" spans="1:12" x14ac:dyDescent="0.25">
      <c r="A8045" t="str">
        <f t="shared" si="1759"/>
        <v>89301000</v>
      </c>
      <c r="B8045" t="str">
        <f t="shared" si="1767"/>
        <v>89632000</v>
      </c>
      <c r="C8045" t="str">
        <f t="shared" si="1767"/>
        <v>89632000</v>
      </c>
      <c r="D8045" t="str">
        <f t="shared" si="1765"/>
        <v>809</v>
      </c>
      <c r="E8045" t="str">
        <f t="shared" si="1766"/>
        <v>89301212</v>
      </c>
      <c r="F8045" t="str">
        <f>"7510275784"</f>
        <v>7510275784</v>
      </c>
      <c r="G8045" s="1">
        <v>44774</v>
      </c>
      <c r="H8045" t="str">
        <f>"89514"</f>
        <v>89514</v>
      </c>
      <c r="I8045">
        <v>1</v>
      </c>
      <c r="J8045">
        <v>371</v>
      </c>
      <c r="K8045">
        <v>0</v>
      </c>
      <c r="L8045">
        <v>519.4</v>
      </c>
    </row>
    <row r="8046" spans="1:12" x14ac:dyDescent="0.25">
      <c r="A8046" t="str">
        <f t="shared" si="1759"/>
        <v>89301000</v>
      </c>
      <c r="B8046" t="str">
        <f t="shared" si="1767"/>
        <v>89632000</v>
      </c>
      <c r="C8046" t="str">
        <f t="shared" si="1767"/>
        <v>89632000</v>
      </c>
      <c r="D8046" t="str">
        <f t="shared" si="1765"/>
        <v>809</v>
      </c>
      <c r="E8046" t="str">
        <f>"89301322"</f>
        <v>89301322</v>
      </c>
      <c r="F8046" t="str">
        <f>"7803055337"</f>
        <v>7803055337</v>
      </c>
      <c r="G8046" s="1">
        <v>44777</v>
      </c>
      <c r="H8046" t="str">
        <f>"89131"</f>
        <v>89131</v>
      </c>
      <c r="I8046">
        <v>1</v>
      </c>
      <c r="J8046">
        <v>187</v>
      </c>
      <c r="K8046">
        <v>0</v>
      </c>
      <c r="L8046">
        <v>261.8</v>
      </c>
    </row>
    <row r="8047" spans="1:12" x14ac:dyDescent="0.25">
      <c r="A8047" t="str">
        <f t="shared" si="1759"/>
        <v>89301000</v>
      </c>
      <c r="B8047" t="str">
        <f t="shared" si="1767"/>
        <v>89632000</v>
      </c>
      <c r="C8047" t="str">
        <f t="shared" si="1767"/>
        <v>89632000</v>
      </c>
      <c r="D8047" t="str">
        <f t="shared" si="1765"/>
        <v>809</v>
      </c>
      <c r="E8047" t="str">
        <f>"89301322"</f>
        <v>89301322</v>
      </c>
      <c r="F8047" t="str">
        <f>"7803055337"</f>
        <v>7803055337</v>
      </c>
      <c r="G8047" s="1">
        <v>44777</v>
      </c>
      <c r="H8047" t="str">
        <f>"89513"</f>
        <v>89513</v>
      </c>
      <c r="I8047">
        <v>1</v>
      </c>
      <c r="J8047">
        <v>371</v>
      </c>
      <c r="K8047">
        <v>0</v>
      </c>
      <c r="L8047">
        <v>519.4</v>
      </c>
    </row>
    <row r="8048" spans="1:12" x14ac:dyDescent="0.25">
      <c r="A8048" t="str">
        <f t="shared" si="1759"/>
        <v>89301000</v>
      </c>
      <c r="B8048" t="str">
        <f t="shared" si="1767"/>
        <v>89632000</v>
      </c>
      <c r="C8048" t="str">
        <f t="shared" si="1767"/>
        <v>89632000</v>
      </c>
      <c r="D8048" t="str">
        <f t="shared" si="1765"/>
        <v>809</v>
      </c>
      <c r="E8048" t="str">
        <f>"89301322"</f>
        <v>89301322</v>
      </c>
      <c r="F8048" t="str">
        <f>"7803055337"</f>
        <v>7803055337</v>
      </c>
      <c r="G8048" s="1">
        <v>44777</v>
      </c>
      <c r="H8048" t="str">
        <f>"89514"</f>
        <v>89514</v>
      </c>
      <c r="I8048">
        <v>1</v>
      </c>
      <c r="J8048">
        <v>371</v>
      </c>
      <c r="K8048">
        <v>0</v>
      </c>
      <c r="L8048">
        <v>519.4</v>
      </c>
    </row>
    <row r="8049" spans="1:12" x14ac:dyDescent="0.25">
      <c r="A8049" t="str">
        <f t="shared" si="1759"/>
        <v>89301000</v>
      </c>
      <c r="B8049" t="str">
        <f t="shared" si="1767"/>
        <v>89632000</v>
      </c>
      <c r="C8049" t="str">
        <f t="shared" si="1767"/>
        <v>89632000</v>
      </c>
      <c r="D8049" t="str">
        <f t="shared" si="1765"/>
        <v>809</v>
      </c>
      <c r="E8049" t="str">
        <f>"89301112"</f>
        <v>89301112</v>
      </c>
      <c r="F8049" t="str">
        <f>"9206075714"</f>
        <v>9206075714</v>
      </c>
      <c r="G8049" s="1">
        <v>44781</v>
      </c>
      <c r="H8049" t="str">
        <f>"09137"</f>
        <v>09137</v>
      </c>
      <c r="I8049">
        <v>1</v>
      </c>
      <c r="J8049">
        <v>231</v>
      </c>
      <c r="K8049">
        <v>0</v>
      </c>
      <c r="L8049">
        <v>323.39999999999998</v>
      </c>
    </row>
    <row r="8050" spans="1:12" x14ac:dyDescent="0.25">
      <c r="A8050" t="str">
        <f t="shared" si="1759"/>
        <v>89301000</v>
      </c>
      <c r="B8050" t="str">
        <f t="shared" si="1767"/>
        <v>89632000</v>
      </c>
      <c r="C8050" t="str">
        <f t="shared" si="1767"/>
        <v>89632000</v>
      </c>
      <c r="D8050" t="str">
        <f t="shared" si="1765"/>
        <v>809</v>
      </c>
      <c r="E8050" t="str">
        <f>"89301112"</f>
        <v>89301112</v>
      </c>
      <c r="F8050" t="str">
        <f>"9206075714"</f>
        <v>9206075714</v>
      </c>
      <c r="G8050" s="1">
        <v>44798</v>
      </c>
      <c r="H8050" t="str">
        <f>"09137"</f>
        <v>09137</v>
      </c>
      <c r="I8050">
        <v>1</v>
      </c>
      <c r="J8050">
        <v>231</v>
      </c>
      <c r="K8050">
        <v>0</v>
      </c>
      <c r="L8050">
        <v>323.39999999999998</v>
      </c>
    </row>
    <row r="8051" spans="1:12" x14ac:dyDescent="0.25">
      <c r="A8051" t="str">
        <f t="shared" si="1759"/>
        <v>89301000</v>
      </c>
      <c r="B8051" t="str">
        <f>"91009000"</f>
        <v>91009000</v>
      </c>
      <c r="C8051" t="str">
        <f>"91009132"</f>
        <v>91009132</v>
      </c>
      <c r="D8051" t="str">
        <f>"812"</f>
        <v>812</v>
      </c>
      <c r="E8051" t="str">
        <f>"89301212"</f>
        <v>89301212</v>
      </c>
      <c r="F8051" t="str">
        <f>"8556125776"</f>
        <v>8556125776</v>
      </c>
      <c r="G8051" s="1">
        <v>44803</v>
      </c>
      <c r="H8051" t="str">
        <f>"92157"</f>
        <v>92157</v>
      </c>
      <c r="I8051">
        <v>1</v>
      </c>
      <c r="J8051">
        <v>1754</v>
      </c>
      <c r="K8051">
        <v>0</v>
      </c>
      <c r="L8051">
        <v>1368.12</v>
      </c>
    </row>
    <row r="8052" spans="1:12" x14ac:dyDescent="0.25">
      <c r="A8052" t="str">
        <f t="shared" si="1759"/>
        <v>89301000</v>
      </c>
      <c r="B8052" t="str">
        <f>"91009000"</f>
        <v>91009000</v>
      </c>
      <c r="C8052" t="str">
        <f>"91009581"</f>
        <v>91009581</v>
      </c>
      <c r="D8052" t="str">
        <f>"801"</f>
        <v>801</v>
      </c>
      <c r="E8052" t="str">
        <f>"89301212"</f>
        <v>89301212</v>
      </c>
      <c r="F8052" t="str">
        <f>"8556125776"</f>
        <v>8556125776</v>
      </c>
      <c r="G8052" s="1">
        <v>44803</v>
      </c>
      <c r="H8052" t="str">
        <f>"97111"</f>
        <v>97111</v>
      </c>
      <c r="I8052">
        <v>1</v>
      </c>
      <c r="J8052">
        <v>18</v>
      </c>
      <c r="K8052">
        <v>0</v>
      </c>
      <c r="L8052">
        <v>14.04</v>
      </c>
    </row>
    <row r="8053" spans="1:12" x14ac:dyDescent="0.25">
      <c r="A8053" t="str">
        <f t="shared" si="1759"/>
        <v>89301000</v>
      </c>
      <c r="B8053" t="str">
        <f>"91009000"</f>
        <v>91009000</v>
      </c>
      <c r="C8053" t="str">
        <f>"91009605"</f>
        <v>91009605</v>
      </c>
      <c r="D8053" t="str">
        <f>"818"</f>
        <v>818</v>
      </c>
      <c r="E8053" t="str">
        <f>"89301321"</f>
        <v>89301321</v>
      </c>
      <c r="F8053" t="str">
        <f>"485813163"</f>
        <v>485813163</v>
      </c>
      <c r="G8053" s="1">
        <v>44789</v>
      </c>
      <c r="H8053" t="str">
        <f>"91431"</f>
        <v>91431</v>
      </c>
      <c r="I8053">
        <v>1</v>
      </c>
      <c r="J8053">
        <v>535</v>
      </c>
      <c r="K8053">
        <v>0</v>
      </c>
      <c r="L8053">
        <v>486.85</v>
      </c>
    </row>
    <row r="8054" spans="1:12" x14ac:dyDescent="0.25">
      <c r="A8054" t="str">
        <f t="shared" si="1759"/>
        <v>89301000</v>
      </c>
      <c r="B8054" t="str">
        <f>"91009000"</f>
        <v>91009000</v>
      </c>
      <c r="C8054" t="str">
        <f>"91009605"</f>
        <v>91009605</v>
      </c>
      <c r="D8054" t="str">
        <f>"818"</f>
        <v>818</v>
      </c>
      <c r="E8054" t="str">
        <f>"89301321"</f>
        <v>89301321</v>
      </c>
      <c r="F8054" t="str">
        <f>"485813163"</f>
        <v>485813163</v>
      </c>
      <c r="G8054" s="1">
        <v>44791</v>
      </c>
      <c r="H8054" t="str">
        <f>"22122"</f>
        <v>22122</v>
      </c>
      <c r="I8054">
        <v>1</v>
      </c>
      <c r="J8054">
        <v>573</v>
      </c>
      <c r="K8054">
        <v>0</v>
      </c>
      <c r="L8054">
        <v>521.42999999999995</v>
      </c>
    </row>
    <row r="8055" spans="1:12" x14ac:dyDescent="0.25">
      <c r="A8055" t="str">
        <f t="shared" si="1759"/>
        <v>89301000</v>
      </c>
      <c r="B8055" t="str">
        <f>"91009000"</f>
        <v>91009000</v>
      </c>
      <c r="C8055" t="str">
        <f>"91009605"</f>
        <v>91009605</v>
      </c>
      <c r="D8055" t="str">
        <f>"818"</f>
        <v>818</v>
      </c>
      <c r="E8055" t="str">
        <f>"89301321"</f>
        <v>89301321</v>
      </c>
      <c r="F8055" t="str">
        <f>"485813163"</f>
        <v>485813163</v>
      </c>
      <c r="G8055" s="1">
        <v>44791</v>
      </c>
      <c r="H8055" t="str">
        <f>"22123"</f>
        <v>22123</v>
      </c>
      <c r="I8055">
        <v>1</v>
      </c>
      <c r="J8055">
        <v>322</v>
      </c>
      <c r="K8055">
        <v>0</v>
      </c>
      <c r="L8055">
        <v>293.02</v>
      </c>
    </row>
    <row r="8056" spans="1:12" x14ac:dyDescent="0.25">
      <c r="A8056" t="str">
        <f t="shared" si="1759"/>
        <v>89301000</v>
      </c>
      <c r="B8056" t="str">
        <f>"82002000"</f>
        <v>82002000</v>
      </c>
      <c r="C8056" t="str">
        <f>"82002705"</f>
        <v>82002705</v>
      </c>
      <c r="D8056" t="str">
        <f>"809"</f>
        <v>809</v>
      </c>
      <c r="E8056" t="str">
        <f>"89301215"</f>
        <v>89301215</v>
      </c>
      <c r="F8056" t="str">
        <f>"7358065319"</f>
        <v>7358065319</v>
      </c>
      <c r="G8056" s="1">
        <v>44789</v>
      </c>
      <c r="H8056" t="str">
        <f>"89180"</f>
        <v>89180</v>
      </c>
      <c r="I8056">
        <v>2</v>
      </c>
      <c r="J8056">
        <v>752</v>
      </c>
      <c r="K8056">
        <v>0</v>
      </c>
      <c r="L8056">
        <v>1052.8</v>
      </c>
    </row>
    <row r="8057" spans="1:12" x14ac:dyDescent="0.25">
      <c r="A8057" t="str">
        <f t="shared" si="1759"/>
        <v>89301000</v>
      </c>
      <c r="B8057" t="str">
        <f>"82002000"</f>
        <v>82002000</v>
      </c>
      <c r="C8057" t="str">
        <f>"82002705"</f>
        <v>82002705</v>
      </c>
      <c r="D8057" t="str">
        <f>"809"</f>
        <v>809</v>
      </c>
      <c r="E8057" t="str">
        <f>"89301215"</f>
        <v>89301215</v>
      </c>
      <c r="F8057" t="str">
        <f>"7358065319"</f>
        <v>7358065319</v>
      </c>
      <c r="G8057" s="1">
        <v>44789</v>
      </c>
      <c r="H8057" t="str">
        <f>"89512"</f>
        <v>89512</v>
      </c>
      <c r="I8057">
        <v>1</v>
      </c>
      <c r="J8057">
        <v>277</v>
      </c>
      <c r="K8057">
        <v>0</v>
      </c>
      <c r="L8057">
        <v>387.8</v>
      </c>
    </row>
    <row r="8058" spans="1:12" x14ac:dyDescent="0.25">
      <c r="A8058" t="str">
        <f t="shared" si="1759"/>
        <v>89301000</v>
      </c>
      <c r="B8058" t="str">
        <f>"91009000"</f>
        <v>91009000</v>
      </c>
      <c r="C8058" t="str">
        <f>"91009522"</f>
        <v>91009522</v>
      </c>
      <c r="D8058" t="str">
        <f>"816"</f>
        <v>816</v>
      </c>
      <c r="E8058" t="str">
        <f>"89301282"</f>
        <v>89301282</v>
      </c>
      <c r="F8058" t="str">
        <f>"7703085016"</f>
        <v>7703085016</v>
      </c>
      <c r="G8058" s="1">
        <v>44682</v>
      </c>
      <c r="H8058" t="str">
        <f>"94345"</f>
        <v>94345</v>
      </c>
      <c r="I8058">
        <v>2</v>
      </c>
      <c r="J8058">
        <v>9250</v>
      </c>
      <c r="K8058">
        <v>0</v>
      </c>
      <c r="L8058">
        <v>7862.5</v>
      </c>
    </row>
    <row r="8059" spans="1:12" x14ac:dyDescent="0.25">
      <c r="A8059" t="str">
        <f t="shared" si="1759"/>
        <v>89301000</v>
      </c>
      <c r="B8059" t="str">
        <f>"91009000"</f>
        <v>91009000</v>
      </c>
      <c r="C8059" t="str">
        <f>"91009522"</f>
        <v>91009522</v>
      </c>
      <c r="D8059" t="str">
        <f>"816"</f>
        <v>816</v>
      </c>
      <c r="E8059" t="str">
        <f>"89301282"</f>
        <v>89301282</v>
      </c>
      <c r="F8059" t="str">
        <f>"7703085016"</f>
        <v>7703085016</v>
      </c>
      <c r="G8059" s="1">
        <v>44682</v>
      </c>
      <c r="H8059" t="str">
        <f>"94948"</f>
        <v>94948</v>
      </c>
      <c r="I8059">
        <v>2</v>
      </c>
      <c r="J8059">
        <v>0</v>
      </c>
      <c r="K8059">
        <v>0</v>
      </c>
      <c r="L8059">
        <v>0</v>
      </c>
    </row>
    <row r="8060" spans="1:12" x14ac:dyDescent="0.25">
      <c r="A8060" t="str">
        <f t="shared" si="1759"/>
        <v>89301000</v>
      </c>
      <c r="B8060" t="str">
        <f>"91009000"</f>
        <v>91009000</v>
      </c>
      <c r="C8060" t="str">
        <f>"91009522"</f>
        <v>91009522</v>
      </c>
      <c r="D8060" t="str">
        <f>"816"</f>
        <v>816</v>
      </c>
      <c r="E8060" t="str">
        <f>"89301282"</f>
        <v>89301282</v>
      </c>
      <c r="F8060" t="str">
        <f>"7153155427"</f>
        <v>7153155427</v>
      </c>
      <c r="G8060" s="1">
        <v>44682</v>
      </c>
      <c r="H8060" t="str">
        <f>"94345"</f>
        <v>94345</v>
      </c>
      <c r="I8060">
        <v>2</v>
      </c>
      <c r="J8060">
        <v>9250</v>
      </c>
      <c r="K8060">
        <v>0</v>
      </c>
      <c r="L8060">
        <v>7862.5</v>
      </c>
    </row>
    <row r="8061" spans="1:12" x14ac:dyDescent="0.25">
      <c r="A8061" t="str">
        <f t="shared" si="1759"/>
        <v>89301000</v>
      </c>
      <c r="B8061" t="str">
        <f>"91009000"</f>
        <v>91009000</v>
      </c>
      <c r="C8061" t="str">
        <f>"91009522"</f>
        <v>91009522</v>
      </c>
      <c r="D8061" t="str">
        <f>"816"</f>
        <v>816</v>
      </c>
      <c r="E8061" t="str">
        <f>"89301282"</f>
        <v>89301282</v>
      </c>
      <c r="F8061" t="str">
        <f>"7153155427"</f>
        <v>7153155427</v>
      </c>
      <c r="G8061" s="1">
        <v>44682</v>
      </c>
      <c r="H8061" t="str">
        <f>"94948"</f>
        <v>94948</v>
      </c>
      <c r="I8061">
        <v>2</v>
      </c>
      <c r="J8061">
        <v>0</v>
      </c>
      <c r="K8061">
        <v>0</v>
      </c>
      <c r="L8061">
        <v>0</v>
      </c>
    </row>
    <row r="8062" spans="1:12" x14ac:dyDescent="0.25">
      <c r="A8062" t="str">
        <f t="shared" si="1759"/>
        <v>89301000</v>
      </c>
      <c r="B8062" t="str">
        <f t="shared" ref="B8062:B8105" si="1768">"78006000"</f>
        <v>78006000</v>
      </c>
      <c r="C8062" t="str">
        <f t="shared" ref="C8062:C8086" si="1769">"78006231"</f>
        <v>78006231</v>
      </c>
      <c r="D8062" t="str">
        <f t="shared" ref="D8062:D8091" si="1770">"809"</f>
        <v>809</v>
      </c>
      <c r="E8062" t="str">
        <f>"89301132"</f>
        <v>89301132</v>
      </c>
      <c r="F8062" t="str">
        <f>"6558280476"</f>
        <v>6558280476</v>
      </c>
      <c r="G8062" s="1">
        <v>44781</v>
      </c>
      <c r="H8062" t="str">
        <f>"89615"</f>
        <v>89615</v>
      </c>
      <c r="I8062">
        <v>1</v>
      </c>
      <c r="J8062">
        <v>2170</v>
      </c>
      <c r="K8062">
        <v>0</v>
      </c>
      <c r="L8062">
        <v>1302</v>
      </c>
    </row>
    <row r="8063" spans="1:12" x14ac:dyDescent="0.25">
      <c r="A8063" t="str">
        <f t="shared" si="1759"/>
        <v>89301000</v>
      </c>
      <c r="B8063" t="str">
        <f t="shared" si="1768"/>
        <v>78006000</v>
      </c>
      <c r="C8063" t="str">
        <f t="shared" si="1769"/>
        <v>78006231</v>
      </c>
      <c r="D8063" t="str">
        <f t="shared" si="1770"/>
        <v>809</v>
      </c>
      <c r="E8063" t="str">
        <f>"89301212"</f>
        <v>89301212</v>
      </c>
      <c r="F8063" t="str">
        <f>"5652012410"</f>
        <v>5652012410</v>
      </c>
      <c r="G8063" s="1">
        <v>44791</v>
      </c>
      <c r="H8063" t="str">
        <f>"89617"</f>
        <v>89617</v>
      </c>
      <c r="I8063">
        <v>1</v>
      </c>
      <c r="J8063">
        <v>1332</v>
      </c>
      <c r="K8063">
        <v>0</v>
      </c>
      <c r="L8063">
        <v>799.2</v>
      </c>
    </row>
    <row r="8064" spans="1:12" x14ac:dyDescent="0.25">
      <c r="A8064" t="str">
        <f t="shared" si="1759"/>
        <v>89301000</v>
      </c>
      <c r="B8064" t="str">
        <f t="shared" si="1768"/>
        <v>78006000</v>
      </c>
      <c r="C8064" t="str">
        <f t="shared" si="1769"/>
        <v>78006231</v>
      </c>
      <c r="D8064" t="str">
        <f t="shared" si="1770"/>
        <v>809</v>
      </c>
      <c r="E8064" t="str">
        <f>"89301212"</f>
        <v>89301212</v>
      </c>
      <c r="F8064" t="str">
        <f>"5652012410"</f>
        <v>5652012410</v>
      </c>
      <c r="G8064" s="1">
        <v>44791</v>
      </c>
      <c r="H8064" t="str">
        <f>"0022075"</f>
        <v>0022075</v>
      </c>
      <c r="I8064">
        <v>1</v>
      </c>
      <c r="K8064">
        <v>1004.83</v>
      </c>
      <c r="L8064">
        <v>1004.83</v>
      </c>
    </row>
    <row r="8065" spans="1:12" x14ac:dyDescent="0.25">
      <c r="A8065" t="str">
        <f t="shared" si="1759"/>
        <v>89301000</v>
      </c>
      <c r="B8065" t="str">
        <f t="shared" si="1768"/>
        <v>78006000</v>
      </c>
      <c r="C8065" t="str">
        <f t="shared" si="1769"/>
        <v>78006231</v>
      </c>
      <c r="D8065" t="str">
        <f t="shared" si="1770"/>
        <v>809</v>
      </c>
      <c r="E8065" t="str">
        <f>"89301212"</f>
        <v>89301212</v>
      </c>
      <c r="F8065" t="str">
        <f>"5652012410"</f>
        <v>5652012410</v>
      </c>
      <c r="G8065" s="1">
        <v>44790</v>
      </c>
      <c r="H8065" t="str">
        <f>"89617"</f>
        <v>89617</v>
      </c>
      <c r="I8065">
        <v>1</v>
      </c>
      <c r="J8065">
        <v>1332</v>
      </c>
      <c r="K8065">
        <v>0</v>
      </c>
      <c r="L8065">
        <v>799.2</v>
      </c>
    </row>
    <row r="8066" spans="1:12" x14ac:dyDescent="0.25">
      <c r="A8066" t="str">
        <f t="shared" ref="A8066:A8129" si="1771">"89301000"</f>
        <v>89301000</v>
      </c>
      <c r="B8066" t="str">
        <f t="shared" si="1768"/>
        <v>78006000</v>
      </c>
      <c r="C8066" t="str">
        <f t="shared" si="1769"/>
        <v>78006231</v>
      </c>
      <c r="D8066" t="str">
        <f t="shared" si="1770"/>
        <v>809</v>
      </c>
      <c r="E8066" t="str">
        <f>"89301212"</f>
        <v>89301212</v>
      </c>
      <c r="F8066" t="str">
        <f>"5652012410"</f>
        <v>5652012410</v>
      </c>
      <c r="G8066" s="1">
        <v>44790</v>
      </c>
      <c r="H8066" t="str">
        <f>"0022075"</f>
        <v>0022075</v>
      </c>
      <c r="I8066">
        <v>1</v>
      </c>
      <c r="K8066">
        <v>1004.83</v>
      </c>
      <c r="L8066">
        <v>1004.83</v>
      </c>
    </row>
    <row r="8067" spans="1:12" x14ac:dyDescent="0.25">
      <c r="A8067" t="str">
        <f t="shared" si="1771"/>
        <v>89301000</v>
      </c>
      <c r="B8067" t="str">
        <f t="shared" si="1768"/>
        <v>78006000</v>
      </c>
      <c r="C8067" t="str">
        <f t="shared" si="1769"/>
        <v>78006231</v>
      </c>
      <c r="D8067" t="str">
        <f t="shared" si="1770"/>
        <v>809</v>
      </c>
      <c r="E8067" t="str">
        <f>"89301137"</f>
        <v>89301137</v>
      </c>
      <c r="F8067" t="str">
        <f>"5559282058"</f>
        <v>5559282058</v>
      </c>
      <c r="G8067" s="1">
        <v>44792</v>
      </c>
      <c r="H8067" t="str">
        <f>"89617"</f>
        <v>89617</v>
      </c>
      <c r="I8067">
        <v>1</v>
      </c>
      <c r="J8067">
        <v>1332</v>
      </c>
      <c r="K8067">
        <v>0</v>
      </c>
      <c r="L8067">
        <v>799.2</v>
      </c>
    </row>
    <row r="8068" spans="1:12" x14ac:dyDescent="0.25">
      <c r="A8068" t="str">
        <f t="shared" si="1771"/>
        <v>89301000</v>
      </c>
      <c r="B8068" t="str">
        <f t="shared" si="1768"/>
        <v>78006000</v>
      </c>
      <c r="C8068" t="str">
        <f t="shared" si="1769"/>
        <v>78006231</v>
      </c>
      <c r="D8068" t="str">
        <f t="shared" si="1770"/>
        <v>809</v>
      </c>
      <c r="E8068" t="str">
        <f>"89301137"</f>
        <v>89301137</v>
      </c>
      <c r="F8068" t="str">
        <f>"5559282058"</f>
        <v>5559282058</v>
      </c>
      <c r="G8068" s="1">
        <v>44792</v>
      </c>
      <c r="H8068" t="str">
        <f>"0022075"</f>
        <v>0022075</v>
      </c>
      <c r="I8068">
        <v>1</v>
      </c>
      <c r="K8068">
        <v>1004.83</v>
      </c>
      <c r="L8068">
        <v>1004.83</v>
      </c>
    </row>
    <row r="8069" spans="1:12" x14ac:dyDescent="0.25">
      <c r="A8069" t="str">
        <f t="shared" si="1771"/>
        <v>89301000</v>
      </c>
      <c r="B8069" t="str">
        <f t="shared" si="1768"/>
        <v>78006000</v>
      </c>
      <c r="C8069" t="str">
        <f t="shared" si="1769"/>
        <v>78006231</v>
      </c>
      <c r="D8069" t="str">
        <f t="shared" si="1770"/>
        <v>809</v>
      </c>
      <c r="E8069" t="str">
        <f>"89301212"</f>
        <v>89301212</v>
      </c>
      <c r="F8069" t="str">
        <f>"5652012410"</f>
        <v>5652012410</v>
      </c>
      <c r="G8069" s="1">
        <v>44797</v>
      </c>
      <c r="H8069" t="str">
        <f>"89611"</f>
        <v>89611</v>
      </c>
      <c r="I8069">
        <v>1</v>
      </c>
      <c r="J8069">
        <v>2241</v>
      </c>
      <c r="K8069">
        <v>0</v>
      </c>
      <c r="L8069">
        <v>1344.6</v>
      </c>
    </row>
    <row r="8070" spans="1:12" x14ac:dyDescent="0.25">
      <c r="A8070" t="str">
        <f t="shared" si="1771"/>
        <v>89301000</v>
      </c>
      <c r="B8070" t="str">
        <f t="shared" si="1768"/>
        <v>78006000</v>
      </c>
      <c r="C8070" t="str">
        <f t="shared" si="1769"/>
        <v>78006231</v>
      </c>
      <c r="D8070" t="str">
        <f t="shared" si="1770"/>
        <v>809</v>
      </c>
      <c r="E8070" t="str">
        <f>"89301212"</f>
        <v>89301212</v>
      </c>
      <c r="F8070" t="str">
        <f>"5652012410"</f>
        <v>5652012410</v>
      </c>
      <c r="G8070" s="1">
        <v>44797</v>
      </c>
      <c r="H8070" t="str">
        <f>"0022075"</f>
        <v>0022075</v>
      </c>
      <c r="I8070">
        <v>1</v>
      </c>
      <c r="K8070">
        <v>1004.83</v>
      </c>
      <c r="L8070">
        <v>1004.83</v>
      </c>
    </row>
    <row r="8071" spans="1:12" x14ac:dyDescent="0.25">
      <c r="A8071" t="str">
        <f t="shared" si="1771"/>
        <v>89301000</v>
      </c>
      <c r="B8071" t="str">
        <f t="shared" si="1768"/>
        <v>78006000</v>
      </c>
      <c r="C8071" t="str">
        <f t="shared" si="1769"/>
        <v>78006231</v>
      </c>
      <c r="D8071" t="str">
        <f t="shared" si="1770"/>
        <v>809</v>
      </c>
      <c r="E8071" t="str">
        <f>"89301212"</f>
        <v>89301212</v>
      </c>
      <c r="F8071" t="str">
        <f>"496014232"</f>
        <v>496014232</v>
      </c>
      <c r="G8071" s="1">
        <v>44799</v>
      </c>
      <c r="H8071" t="str">
        <f>"89617"</f>
        <v>89617</v>
      </c>
      <c r="I8071">
        <v>1</v>
      </c>
      <c r="J8071">
        <v>1332</v>
      </c>
      <c r="K8071">
        <v>0</v>
      </c>
      <c r="L8071">
        <v>799.2</v>
      </c>
    </row>
    <row r="8072" spans="1:12" x14ac:dyDescent="0.25">
      <c r="A8072" t="str">
        <f t="shared" si="1771"/>
        <v>89301000</v>
      </c>
      <c r="B8072" t="str">
        <f t="shared" si="1768"/>
        <v>78006000</v>
      </c>
      <c r="C8072" t="str">
        <f t="shared" si="1769"/>
        <v>78006231</v>
      </c>
      <c r="D8072" t="str">
        <f t="shared" si="1770"/>
        <v>809</v>
      </c>
      <c r="E8072" t="str">
        <f>"89301212"</f>
        <v>89301212</v>
      </c>
      <c r="F8072" t="str">
        <f>"496014232"</f>
        <v>496014232</v>
      </c>
      <c r="G8072" s="1">
        <v>44799</v>
      </c>
      <c r="H8072" t="str">
        <f>"0022075"</f>
        <v>0022075</v>
      </c>
      <c r="I8072">
        <v>1</v>
      </c>
      <c r="K8072">
        <v>1004.83</v>
      </c>
      <c r="L8072">
        <v>1004.83</v>
      </c>
    </row>
    <row r="8073" spans="1:12" x14ac:dyDescent="0.25">
      <c r="A8073" t="str">
        <f t="shared" si="1771"/>
        <v>89301000</v>
      </c>
      <c r="B8073" t="str">
        <f t="shared" si="1768"/>
        <v>78006000</v>
      </c>
      <c r="C8073" t="str">
        <f t="shared" si="1769"/>
        <v>78006231</v>
      </c>
      <c r="D8073" t="str">
        <f t="shared" si="1770"/>
        <v>809</v>
      </c>
      <c r="E8073" t="str">
        <f>"89301212"</f>
        <v>89301212</v>
      </c>
      <c r="F8073" t="str">
        <f>"496014232"</f>
        <v>496014232</v>
      </c>
      <c r="G8073" s="1">
        <v>44799</v>
      </c>
      <c r="H8073" t="str">
        <f>"0059496"</f>
        <v>0059496</v>
      </c>
      <c r="I8073">
        <v>0.5</v>
      </c>
      <c r="K8073">
        <v>126.04</v>
      </c>
      <c r="L8073">
        <v>126.04</v>
      </c>
    </row>
    <row r="8074" spans="1:12" x14ac:dyDescent="0.25">
      <c r="A8074" t="str">
        <f t="shared" si="1771"/>
        <v>89301000</v>
      </c>
      <c r="B8074" t="str">
        <f t="shared" si="1768"/>
        <v>78006000</v>
      </c>
      <c r="C8074" t="str">
        <f t="shared" si="1769"/>
        <v>78006231</v>
      </c>
      <c r="D8074" t="str">
        <f t="shared" si="1770"/>
        <v>809</v>
      </c>
      <c r="E8074" t="str">
        <f>"89301028"</f>
        <v>89301028</v>
      </c>
      <c r="F8074" t="str">
        <f>"8711043561"</f>
        <v>8711043561</v>
      </c>
      <c r="G8074" s="1">
        <v>44782</v>
      </c>
      <c r="H8074" t="str">
        <f>"89143"</f>
        <v>89143</v>
      </c>
      <c r="I8074">
        <v>1</v>
      </c>
      <c r="J8074">
        <v>240</v>
      </c>
      <c r="K8074">
        <v>0</v>
      </c>
      <c r="L8074">
        <v>336</v>
      </c>
    </row>
    <row r="8075" spans="1:12" x14ac:dyDescent="0.25">
      <c r="A8075" t="str">
        <f t="shared" si="1771"/>
        <v>89301000</v>
      </c>
      <c r="B8075" t="str">
        <f t="shared" si="1768"/>
        <v>78006000</v>
      </c>
      <c r="C8075" t="str">
        <f t="shared" si="1769"/>
        <v>78006231</v>
      </c>
      <c r="D8075" t="str">
        <f t="shared" si="1770"/>
        <v>809</v>
      </c>
      <c r="E8075" t="str">
        <f>"89301028"</f>
        <v>89301028</v>
      </c>
      <c r="F8075" t="str">
        <f>"8711043561"</f>
        <v>8711043561</v>
      </c>
      <c r="G8075" s="1">
        <v>44782</v>
      </c>
      <c r="H8075" t="str">
        <f>"89201"</f>
        <v>89201</v>
      </c>
      <c r="I8075">
        <v>2</v>
      </c>
      <c r="J8075">
        <v>442</v>
      </c>
      <c r="K8075">
        <v>0</v>
      </c>
      <c r="L8075">
        <v>618.79999999999995</v>
      </c>
    </row>
    <row r="8076" spans="1:12" x14ac:dyDescent="0.25">
      <c r="A8076" t="str">
        <f t="shared" si="1771"/>
        <v>89301000</v>
      </c>
      <c r="B8076" t="str">
        <f t="shared" si="1768"/>
        <v>78006000</v>
      </c>
      <c r="C8076" t="str">
        <f t="shared" si="1769"/>
        <v>78006231</v>
      </c>
      <c r="D8076" t="str">
        <f t="shared" si="1770"/>
        <v>809</v>
      </c>
      <c r="E8076" t="str">
        <f t="shared" ref="E8076:E8088" si="1772">"89301212"</f>
        <v>89301212</v>
      </c>
      <c r="F8076" t="str">
        <f>"5653021352"</f>
        <v>5653021352</v>
      </c>
      <c r="G8076" s="1">
        <v>44784</v>
      </c>
      <c r="H8076" t="str">
        <f>"89180"</f>
        <v>89180</v>
      </c>
      <c r="I8076">
        <v>2</v>
      </c>
      <c r="J8076">
        <v>752</v>
      </c>
      <c r="K8076">
        <v>0</v>
      </c>
      <c r="L8076">
        <v>1052.8</v>
      </c>
    </row>
    <row r="8077" spans="1:12" x14ac:dyDescent="0.25">
      <c r="A8077" t="str">
        <f t="shared" si="1771"/>
        <v>89301000</v>
      </c>
      <c r="B8077" t="str">
        <f t="shared" si="1768"/>
        <v>78006000</v>
      </c>
      <c r="C8077" t="str">
        <f t="shared" si="1769"/>
        <v>78006231</v>
      </c>
      <c r="D8077" t="str">
        <f t="shared" si="1770"/>
        <v>809</v>
      </c>
      <c r="E8077" t="str">
        <f t="shared" si="1772"/>
        <v>89301212</v>
      </c>
      <c r="F8077" t="str">
        <f>"5653021352"</f>
        <v>5653021352</v>
      </c>
      <c r="G8077" s="1">
        <v>44784</v>
      </c>
      <c r="H8077" t="str">
        <f>"89512"</f>
        <v>89512</v>
      </c>
      <c r="I8077">
        <v>1</v>
      </c>
      <c r="J8077">
        <v>277</v>
      </c>
      <c r="K8077">
        <v>0</v>
      </c>
      <c r="L8077">
        <v>387.8</v>
      </c>
    </row>
    <row r="8078" spans="1:12" x14ac:dyDescent="0.25">
      <c r="A8078" t="str">
        <f t="shared" si="1771"/>
        <v>89301000</v>
      </c>
      <c r="B8078" t="str">
        <f t="shared" si="1768"/>
        <v>78006000</v>
      </c>
      <c r="C8078" t="str">
        <f t="shared" si="1769"/>
        <v>78006231</v>
      </c>
      <c r="D8078" t="str">
        <f t="shared" si="1770"/>
        <v>809</v>
      </c>
      <c r="E8078" t="str">
        <f t="shared" si="1772"/>
        <v>89301212</v>
      </c>
      <c r="F8078" t="str">
        <f>"525225229"</f>
        <v>525225229</v>
      </c>
      <c r="G8078" s="1">
        <v>44776</v>
      </c>
      <c r="H8078" t="str">
        <f>"89131"</f>
        <v>89131</v>
      </c>
      <c r="I8078">
        <v>1</v>
      </c>
      <c r="J8078">
        <v>187</v>
      </c>
      <c r="K8078">
        <v>0</v>
      </c>
      <c r="L8078">
        <v>261.8</v>
      </c>
    </row>
    <row r="8079" spans="1:12" x14ac:dyDescent="0.25">
      <c r="A8079" t="str">
        <f t="shared" si="1771"/>
        <v>89301000</v>
      </c>
      <c r="B8079" t="str">
        <f t="shared" si="1768"/>
        <v>78006000</v>
      </c>
      <c r="C8079" t="str">
        <f t="shared" si="1769"/>
        <v>78006231</v>
      </c>
      <c r="D8079" t="str">
        <f t="shared" si="1770"/>
        <v>809</v>
      </c>
      <c r="E8079" t="str">
        <f t="shared" si="1772"/>
        <v>89301212</v>
      </c>
      <c r="F8079" t="str">
        <f>"6011150453"</f>
        <v>6011150453</v>
      </c>
      <c r="G8079" s="1">
        <v>44783</v>
      </c>
      <c r="H8079" t="str">
        <f>"89513"</f>
        <v>89513</v>
      </c>
      <c r="I8079">
        <v>1</v>
      </c>
      <c r="J8079">
        <v>371</v>
      </c>
      <c r="K8079">
        <v>0</v>
      </c>
      <c r="L8079">
        <v>519.4</v>
      </c>
    </row>
    <row r="8080" spans="1:12" x14ac:dyDescent="0.25">
      <c r="A8080" t="str">
        <f t="shared" si="1771"/>
        <v>89301000</v>
      </c>
      <c r="B8080" t="str">
        <f t="shared" si="1768"/>
        <v>78006000</v>
      </c>
      <c r="C8080" t="str">
        <f t="shared" si="1769"/>
        <v>78006231</v>
      </c>
      <c r="D8080" t="str">
        <f t="shared" si="1770"/>
        <v>809</v>
      </c>
      <c r="E8080" t="str">
        <f t="shared" si="1772"/>
        <v>89301212</v>
      </c>
      <c r="F8080" t="str">
        <f>"6011150453"</f>
        <v>6011150453</v>
      </c>
      <c r="G8080" s="1">
        <v>44783</v>
      </c>
      <c r="H8080" t="str">
        <f>"89514"</f>
        <v>89514</v>
      </c>
      <c r="I8080">
        <v>1</v>
      </c>
      <c r="J8080">
        <v>371</v>
      </c>
      <c r="K8080">
        <v>0</v>
      </c>
      <c r="L8080">
        <v>519.4</v>
      </c>
    </row>
    <row r="8081" spans="1:12" x14ac:dyDescent="0.25">
      <c r="A8081" t="str">
        <f t="shared" si="1771"/>
        <v>89301000</v>
      </c>
      <c r="B8081" t="str">
        <f t="shared" si="1768"/>
        <v>78006000</v>
      </c>
      <c r="C8081" t="str">
        <f t="shared" si="1769"/>
        <v>78006231</v>
      </c>
      <c r="D8081" t="str">
        <f t="shared" si="1770"/>
        <v>809</v>
      </c>
      <c r="E8081" t="str">
        <f t="shared" si="1772"/>
        <v>89301212</v>
      </c>
      <c r="F8081" t="str">
        <f>"6052291905"</f>
        <v>6052291905</v>
      </c>
      <c r="G8081" s="1">
        <v>44788</v>
      </c>
      <c r="H8081" t="str">
        <f>"89513"</f>
        <v>89513</v>
      </c>
      <c r="I8081">
        <v>1</v>
      </c>
      <c r="J8081">
        <v>371</v>
      </c>
      <c r="K8081">
        <v>0</v>
      </c>
      <c r="L8081">
        <v>519.4</v>
      </c>
    </row>
    <row r="8082" spans="1:12" x14ac:dyDescent="0.25">
      <c r="A8082" t="str">
        <f t="shared" si="1771"/>
        <v>89301000</v>
      </c>
      <c r="B8082" t="str">
        <f t="shared" si="1768"/>
        <v>78006000</v>
      </c>
      <c r="C8082" t="str">
        <f t="shared" si="1769"/>
        <v>78006231</v>
      </c>
      <c r="D8082" t="str">
        <f t="shared" si="1770"/>
        <v>809</v>
      </c>
      <c r="E8082" t="str">
        <f t="shared" si="1772"/>
        <v>89301212</v>
      </c>
      <c r="F8082" t="str">
        <f>"6052291905"</f>
        <v>6052291905</v>
      </c>
      <c r="G8082" s="1">
        <v>44788</v>
      </c>
      <c r="H8082" t="str">
        <f>"89514"</f>
        <v>89514</v>
      </c>
      <c r="I8082">
        <v>1</v>
      </c>
      <c r="J8082">
        <v>371</v>
      </c>
      <c r="K8082">
        <v>0</v>
      </c>
      <c r="L8082">
        <v>519.4</v>
      </c>
    </row>
    <row r="8083" spans="1:12" x14ac:dyDescent="0.25">
      <c r="A8083" t="str">
        <f t="shared" si="1771"/>
        <v>89301000</v>
      </c>
      <c r="B8083" t="str">
        <f t="shared" si="1768"/>
        <v>78006000</v>
      </c>
      <c r="C8083" t="str">
        <f t="shared" si="1769"/>
        <v>78006231</v>
      </c>
      <c r="D8083" t="str">
        <f t="shared" si="1770"/>
        <v>809</v>
      </c>
      <c r="E8083" t="str">
        <f t="shared" si="1772"/>
        <v>89301212</v>
      </c>
      <c r="F8083" t="str">
        <f>"496014232"</f>
        <v>496014232</v>
      </c>
      <c r="G8083" s="1">
        <v>44789</v>
      </c>
      <c r="H8083" t="str">
        <f>"89513"</f>
        <v>89513</v>
      </c>
      <c r="I8083">
        <v>1</v>
      </c>
      <c r="J8083">
        <v>371</v>
      </c>
      <c r="K8083">
        <v>0</v>
      </c>
      <c r="L8083">
        <v>519.4</v>
      </c>
    </row>
    <row r="8084" spans="1:12" x14ac:dyDescent="0.25">
      <c r="A8084" t="str">
        <f t="shared" si="1771"/>
        <v>89301000</v>
      </c>
      <c r="B8084" t="str">
        <f t="shared" si="1768"/>
        <v>78006000</v>
      </c>
      <c r="C8084" t="str">
        <f t="shared" si="1769"/>
        <v>78006231</v>
      </c>
      <c r="D8084" t="str">
        <f t="shared" si="1770"/>
        <v>809</v>
      </c>
      <c r="E8084" t="str">
        <f t="shared" si="1772"/>
        <v>89301212</v>
      </c>
      <c r="F8084" t="str">
        <f>"496014232"</f>
        <v>496014232</v>
      </c>
      <c r="G8084" s="1">
        <v>44789</v>
      </c>
      <c r="H8084" t="str">
        <f>"89514"</f>
        <v>89514</v>
      </c>
      <c r="I8084">
        <v>1</v>
      </c>
      <c r="J8084">
        <v>371</v>
      </c>
      <c r="K8084">
        <v>0</v>
      </c>
      <c r="L8084">
        <v>519.4</v>
      </c>
    </row>
    <row r="8085" spans="1:12" x14ac:dyDescent="0.25">
      <c r="A8085" t="str">
        <f t="shared" si="1771"/>
        <v>89301000</v>
      </c>
      <c r="B8085" t="str">
        <f t="shared" si="1768"/>
        <v>78006000</v>
      </c>
      <c r="C8085" t="str">
        <f t="shared" si="1769"/>
        <v>78006231</v>
      </c>
      <c r="D8085" t="str">
        <f t="shared" si="1770"/>
        <v>809</v>
      </c>
      <c r="E8085" t="str">
        <f t="shared" si="1772"/>
        <v>89301212</v>
      </c>
      <c r="F8085" t="str">
        <f>"6151081178"</f>
        <v>6151081178</v>
      </c>
      <c r="G8085" s="1">
        <v>44799</v>
      </c>
      <c r="H8085" t="str">
        <f>"89513"</f>
        <v>89513</v>
      </c>
      <c r="I8085">
        <v>1</v>
      </c>
      <c r="J8085">
        <v>371</v>
      </c>
      <c r="K8085">
        <v>0</v>
      </c>
      <c r="L8085">
        <v>519.4</v>
      </c>
    </row>
    <row r="8086" spans="1:12" x14ac:dyDescent="0.25">
      <c r="A8086" t="str">
        <f t="shared" si="1771"/>
        <v>89301000</v>
      </c>
      <c r="B8086" t="str">
        <f t="shared" si="1768"/>
        <v>78006000</v>
      </c>
      <c r="C8086" t="str">
        <f t="shared" si="1769"/>
        <v>78006231</v>
      </c>
      <c r="D8086" t="str">
        <f t="shared" si="1770"/>
        <v>809</v>
      </c>
      <c r="E8086" t="str">
        <f t="shared" si="1772"/>
        <v>89301212</v>
      </c>
      <c r="F8086" t="str">
        <f>"6151081178"</f>
        <v>6151081178</v>
      </c>
      <c r="G8086" s="1">
        <v>44799</v>
      </c>
      <c r="H8086" t="str">
        <f>"89514"</f>
        <v>89514</v>
      </c>
      <c r="I8086">
        <v>1</v>
      </c>
      <c r="J8086">
        <v>371</v>
      </c>
      <c r="K8086">
        <v>0</v>
      </c>
      <c r="L8086">
        <v>519.4</v>
      </c>
    </row>
    <row r="8087" spans="1:12" x14ac:dyDescent="0.25">
      <c r="A8087" t="str">
        <f t="shared" si="1771"/>
        <v>89301000</v>
      </c>
      <c r="B8087" t="str">
        <f t="shared" si="1768"/>
        <v>78006000</v>
      </c>
      <c r="C8087" t="str">
        <f>"78006831"</f>
        <v>78006831</v>
      </c>
      <c r="D8087" t="str">
        <f t="shared" si="1770"/>
        <v>809</v>
      </c>
      <c r="E8087" t="str">
        <f t="shared" si="1772"/>
        <v>89301212</v>
      </c>
      <c r="F8087" t="str">
        <f>"495620001"</f>
        <v>495620001</v>
      </c>
      <c r="G8087" s="1">
        <v>44785</v>
      </c>
      <c r="H8087" t="str">
        <f>"89513"</f>
        <v>89513</v>
      </c>
      <c r="I8087">
        <v>1</v>
      </c>
      <c r="J8087">
        <v>371</v>
      </c>
      <c r="K8087">
        <v>0</v>
      </c>
      <c r="L8087">
        <v>519.4</v>
      </c>
    </row>
    <row r="8088" spans="1:12" x14ac:dyDescent="0.25">
      <c r="A8088" t="str">
        <f t="shared" si="1771"/>
        <v>89301000</v>
      </c>
      <c r="B8088" t="str">
        <f t="shared" si="1768"/>
        <v>78006000</v>
      </c>
      <c r="C8088" t="str">
        <f>"78006831"</f>
        <v>78006831</v>
      </c>
      <c r="D8088" t="str">
        <f t="shared" si="1770"/>
        <v>809</v>
      </c>
      <c r="E8088" t="str">
        <f t="shared" si="1772"/>
        <v>89301212</v>
      </c>
      <c r="F8088" t="str">
        <f>"495620001"</f>
        <v>495620001</v>
      </c>
      <c r="G8088" s="1">
        <v>44785</v>
      </c>
      <c r="H8088" t="str">
        <f>"89514"</f>
        <v>89514</v>
      </c>
      <c r="I8088">
        <v>1</v>
      </c>
      <c r="J8088">
        <v>371</v>
      </c>
      <c r="K8088">
        <v>0</v>
      </c>
      <c r="L8088">
        <v>519.4</v>
      </c>
    </row>
    <row r="8089" spans="1:12" x14ac:dyDescent="0.25">
      <c r="A8089" t="str">
        <f t="shared" si="1771"/>
        <v>89301000</v>
      </c>
      <c r="B8089" t="str">
        <f t="shared" si="1768"/>
        <v>78006000</v>
      </c>
      <c r="C8089" t="str">
        <f>"78006831"</f>
        <v>78006831</v>
      </c>
      <c r="D8089" t="str">
        <f t="shared" si="1770"/>
        <v>809</v>
      </c>
      <c r="E8089" t="str">
        <f>"89301172"</f>
        <v>89301172</v>
      </c>
      <c r="F8089" t="str">
        <f>"8558095777"</f>
        <v>8558095777</v>
      </c>
      <c r="G8089" s="1">
        <v>44777</v>
      </c>
      <c r="H8089" t="str">
        <f>"89123"</f>
        <v>89123</v>
      </c>
      <c r="I8089">
        <v>1</v>
      </c>
      <c r="J8089">
        <v>139</v>
      </c>
      <c r="K8089">
        <v>0</v>
      </c>
      <c r="L8089">
        <v>194.6</v>
      </c>
    </row>
    <row r="8090" spans="1:12" x14ac:dyDescent="0.25">
      <c r="A8090" t="str">
        <f t="shared" si="1771"/>
        <v>89301000</v>
      </c>
      <c r="B8090" t="str">
        <f t="shared" si="1768"/>
        <v>78006000</v>
      </c>
      <c r="C8090" t="str">
        <f>"78006831"</f>
        <v>78006831</v>
      </c>
      <c r="D8090" t="str">
        <f t="shared" si="1770"/>
        <v>809</v>
      </c>
      <c r="E8090" t="str">
        <f>"89301212"</f>
        <v>89301212</v>
      </c>
      <c r="F8090" t="str">
        <f>"5462202867"</f>
        <v>5462202867</v>
      </c>
      <c r="G8090" s="1">
        <v>44803</v>
      </c>
      <c r="H8090" t="str">
        <f>"89513"</f>
        <v>89513</v>
      </c>
      <c r="I8090">
        <v>1</v>
      </c>
      <c r="J8090">
        <v>371</v>
      </c>
      <c r="K8090">
        <v>0</v>
      </c>
      <c r="L8090">
        <v>519.4</v>
      </c>
    </row>
    <row r="8091" spans="1:12" x14ac:dyDescent="0.25">
      <c r="A8091" t="str">
        <f t="shared" si="1771"/>
        <v>89301000</v>
      </c>
      <c r="B8091" t="str">
        <f t="shared" si="1768"/>
        <v>78006000</v>
      </c>
      <c r="C8091" t="str">
        <f>"78006831"</f>
        <v>78006831</v>
      </c>
      <c r="D8091" t="str">
        <f t="shared" si="1770"/>
        <v>809</v>
      </c>
      <c r="E8091" t="str">
        <f>"89301212"</f>
        <v>89301212</v>
      </c>
      <c r="F8091" t="str">
        <f>"5462202867"</f>
        <v>5462202867</v>
      </c>
      <c r="G8091" s="1">
        <v>44803</v>
      </c>
      <c r="H8091" t="str">
        <f>"89514"</f>
        <v>89514</v>
      </c>
      <c r="I8091">
        <v>1</v>
      </c>
      <c r="J8091">
        <v>371</v>
      </c>
      <c r="K8091">
        <v>0</v>
      </c>
      <c r="L8091">
        <v>519.4</v>
      </c>
    </row>
    <row r="8092" spans="1:12" x14ac:dyDescent="0.25">
      <c r="A8092" t="str">
        <f t="shared" si="1771"/>
        <v>89301000</v>
      </c>
      <c r="B8092" t="str">
        <f t="shared" si="1768"/>
        <v>78006000</v>
      </c>
      <c r="C8092" t="str">
        <f>"78006532"</f>
        <v>78006532</v>
      </c>
      <c r="D8092" t="str">
        <f t="shared" ref="D8092:D8098" si="1773">"810"</f>
        <v>810</v>
      </c>
      <c r="E8092" t="str">
        <f>"89301062"</f>
        <v>89301062</v>
      </c>
      <c r="F8092" t="str">
        <f>"7655134817"</f>
        <v>7655134817</v>
      </c>
      <c r="G8092" s="1">
        <v>44796</v>
      </c>
      <c r="H8092" t="str">
        <f>"89713"</f>
        <v>89713</v>
      </c>
      <c r="I8092">
        <v>1</v>
      </c>
      <c r="J8092">
        <v>5362</v>
      </c>
      <c r="K8092">
        <v>0</v>
      </c>
      <c r="L8092">
        <v>3217.2</v>
      </c>
    </row>
    <row r="8093" spans="1:12" x14ac:dyDescent="0.25">
      <c r="A8093" t="str">
        <f t="shared" si="1771"/>
        <v>89301000</v>
      </c>
      <c r="B8093" t="str">
        <f t="shared" si="1768"/>
        <v>78006000</v>
      </c>
      <c r="C8093" t="str">
        <f t="shared" ref="C8093:C8098" si="1774">"78006233"</f>
        <v>78006233</v>
      </c>
      <c r="D8093" t="str">
        <f t="shared" si="1773"/>
        <v>810</v>
      </c>
      <c r="E8093" t="str">
        <f>"89301062"</f>
        <v>89301062</v>
      </c>
      <c r="F8093" t="str">
        <f>"8801274944"</f>
        <v>8801274944</v>
      </c>
      <c r="G8093" s="1">
        <v>44792</v>
      </c>
      <c r="H8093" t="str">
        <f>"89713"</f>
        <v>89713</v>
      </c>
      <c r="I8093">
        <v>1</v>
      </c>
      <c r="J8093">
        <v>5362</v>
      </c>
      <c r="K8093">
        <v>0</v>
      </c>
      <c r="L8093">
        <v>3217.2</v>
      </c>
    </row>
    <row r="8094" spans="1:12" x14ac:dyDescent="0.25">
      <c r="A8094" t="str">
        <f t="shared" si="1771"/>
        <v>89301000</v>
      </c>
      <c r="B8094" t="str">
        <f t="shared" si="1768"/>
        <v>78006000</v>
      </c>
      <c r="C8094" t="str">
        <f t="shared" si="1774"/>
        <v>78006233</v>
      </c>
      <c r="D8094" t="str">
        <f t="shared" si="1773"/>
        <v>810</v>
      </c>
      <c r="E8094" t="str">
        <f>"89301062"</f>
        <v>89301062</v>
      </c>
      <c r="F8094" t="str">
        <f>"8801274944"</f>
        <v>8801274944</v>
      </c>
      <c r="G8094" s="1">
        <v>44792</v>
      </c>
      <c r="H8094" t="str">
        <f>"89725"</f>
        <v>89725</v>
      </c>
      <c r="I8094">
        <v>1</v>
      </c>
      <c r="J8094">
        <v>2839</v>
      </c>
      <c r="K8094">
        <v>0</v>
      </c>
      <c r="L8094">
        <v>1703.4</v>
      </c>
    </row>
    <row r="8095" spans="1:12" x14ac:dyDescent="0.25">
      <c r="A8095" t="str">
        <f t="shared" si="1771"/>
        <v>89301000</v>
      </c>
      <c r="B8095" t="str">
        <f t="shared" si="1768"/>
        <v>78006000</v>
      </c>
      <c r="C8095" t="str">
        <f t="shared" si="1774"/>
        <v>78006233</v>
      </c>
      <c r="D8095" t="str">
        <f t="shared" si="1773"/>
        <v>810</v>
      </c>
      <c r="E8095" t="str">
        <f>"89301172"</f>
        <v>89301172</v>
      </c>
      <c r="F8095" t="str">
        <f>"7658234496"</f>
        <v>7658234496</v>
      </c>
      <c r="G8095" s="1">
        <v>44802</v>
      </c>
      <c r="H8095" t="str">
        <f>"89713"</f>
        <v>89713</v>
      </c>
      <c r="I8095">
        <v>1</v>
      </c>
      <c r="J8095">
        <v>5362</v>
      </c>
      <c r="K8095">
        <v>0</v>
      </c>
      <c r="L8095">
        <v>3217.2</v>
      </c>
    </row>
    <row r="8096" spans="1:12" x14ac:dyDescent="0.25">
      <c r="A8096" t="str">
        <f t="shared" si="1771"/>
        <v>89301000</v>
      </c>
      <c r="B8096" t="str">
        <f t="shared" si="1768"/>
        <v>78006000</v>
      </c>
      <c r="C8096" t="str">
        <f t="shared" si="1774"/>
        <v>78006233</v>
      </c>
      <c r="D8096" t="str">
        <f t="shared" si="1773"/>
        <v>810</v>
      </c>
      <c r="E8096" t="str">
        <f>"89301172"</f>
        <v>89301172</v>
      </c>
      <c r="F8096" t="str">
        <f>"7658234496"</f>
        <v>7658234496</v>
      </c>
      <c r="G8096" s="1">
        <v>44802</v>
      </c>
      <c r="H8096" t="str">
        <f>"89713"</f>
        <v>89713</v>
      </c>
      <c r="I8096">
        <v>1</v>
      </c>
      <c r="J8096">
        <v>5362</v>
      </c>
      <c r="K8096">
        <v>0</v>
      </c>
      <c r="L8096">
        <v>3217.2</v>
      </c>
    </row>
    <row r="8097" spans="1:12" x14ac:dyDescent="0.25">
      <c r="A8097" t="str">
        <f t="shared" si="1771"/>
        <v>89301000</v>
      </c>
      <c r="B8097" t="str">
        <f t="shared" si="1768"/>
        <v>78006000</v>
      </c>
      <c r="C8097" t="str">
        <f t="shared" si="1774"/>
        <v>78006233</v>
      </c>
      <c r="D8097" t="str">
        <f t="shared" si="1773"/>
        <v>810</v>
      </c>
      <c r="E8097" t="str">
        <f>"89301172"</f>
        <v>89301172</v>
      </c>
      <c r="F8097" t="str">
        <f>"7658234496"</f>
        <v>7658234496</v>
      </c>
      <c r="G8097" s="1">
        <v>44802</v>
      </c>
      <c r="H8097" t="str">
        <f>"89725"</f>
        <v>89725</v>
      </c>
      <c r="I8097">
        <v>1</v>
      </c>
      <c r="J8097">
        <v>2839</v>
      </c>
      <c r="K8097">
        <v>0</v>
      </c>
      <c r="L8097">
        <v>1703.4</v>
      </c>
    </row>
    <row r="8098" spans="1:12" x14ac:dyDescent="0.25">
      <c r="A8098" t="str">
        <f t="shared" si="1771"/>
        <v>89301000</v>
      </c>
      <c r="B8098" t="str">
        <f t="shared" si="1768"/>
        <v>78006000</v>
      </c>
      <c r="C8098" t="str">
        <f t="shared" si="1774"/>
        <v>78006233</v>
      </c>
      <c r="D8098" t="str">
        <f t="shared" si="1773"/>
        <v>810</v>
      </c>
      <c r="E8098" t="str">
        <f>"89301172"</f>
        <v>89301172</v>
      </c>
      <c r="F8098" t="str">
        <f>"7658234496"</f>
        <v>7658234496</v>
      </c>
      <c r="G8098" s="1">
        <v>44802</v>
      </c>
      <c r="H8098" t="str">
        <f>"89713"</f>
        <v>89713</v>
      </c>
      <c r="I8098">
        <v>1</v>
      </c>
      <c r="J8098">
        <v>5362</v>
      </c>
      <c r="K8098">
        <v>0</v>
      </c>
      <c r="L8098">
        <v>3217.2</v>
      </c>
    </row>
    <row r="8099" spans="1:12" x14ac:dyDescent="0.25">
      <c r="A8099" t="str">
        <f t="shared" si="1771"/>
        <v>89301000</v>
      </c>
      <c r="B8099" t="str">
        <f t="shared" si="1768"/>
        <v>78006000</v>
      </c>
      <c r="C8099" t="str">
        <f>"78006207"</f>
        <v>78006207</v>
      </c>
      <c r="D8099" t="str">
        <f>"813"</f>
        <v>813</v>
      </c>
      <c r="E8099" t="str">
        <f t="shared" ref="E8099:E8105" si="1775">"89301171"</f>
        <v>89301171</v>
      </c>
      <c r="F8099" t="str">
        <f>"6655270303"</f>
        <v>6655270303</v>
      </c>
      <c r="G8099" s="1">
        <v>44783</v>
      </c>
      <c r="H8099" t="str">
        <f>"91197"</f>
        <v>91197</v>
      </c>
      <c r="I8099">
        <v>6</v>
      </c>
      <c r="J8099">
        <v>6276</v>
      </c>
      <c r="K8099">
        <v>0</v>
      </c>
      <c r="L8099">
        <v>4895.28</v>
      </c>
    </row>
    <row r="8100" spans="1:12" x14ac:dyDescent="0.25">
      <c r="A8100" t="str">
        <f t="shared" si="1771"/>
        <v>89301000</v>
      </c>
      <c r="B8100" t="str">
        <f t="shared" si="1768"/>
        <v>78006000</v>
      </c>
      <c r="C8100" t="str">
        <f>"78006207"</f>
        <v>78006207</v>
      </c>
      <c r="D8100" t="str">
        <f>"813"</f>
        <v>813</v>
      </c>
      <c r="E8100" t="str">
        <f t="shared" si="1775"/>
        <v>89301171</v>
      </c>
      <c r="F8100" t="str">
        <f>"8262215346"</f>
        <v>8262215346</v>
      </c>
      <c r="G8100" s="1">
        <v>44783</v>
      </c>
      <c r="H8100" t="str">
        <f>"91197"</f>
        <v>91197</v>
      </c>
      <c r="I8100">
        <v>6</v>
      </c>
      <c r="J8100">
        <v>6276</v>
      </c>
      <c r="K8100">
        <v>0</v>
      </c>
      <c r="L8100">
        <v>4895.28</v>
      </c>
    </row>
    <row r="8101" spans="1:12" x14ac:dyDescent="0.25">
      <c r="A8101" t="str">
        <f t="shared" si="1771"/>
        <v>89301000</v>
      </c>
      <c r="B8101" t="str">
        <f t="shared" si="1768"/>
        <v>78006000</v>
      </c>
      <c r="C8101" t="str">
        <f>"78006207"</f>
        <v>78006207</v>
      </c>
      <c r="D8101" t="str">
        <f>"813"</f>
        <v>813</v>
      </c>
      <c r="E8101" t="str">
        <f t="shared" si="1775"/>
        <v>89301171</v>
      </c>
      <c r="F8101" t="str">
        <f>"7862144477"</f>
        <v>7862144477</v>
      </c>
      <c r="G8101" s="1">
        <v>44782</v>
      </c>
      <c r="H8101" t="str">
        <f>"91197"</f>
        <v>91197</v>
      </c>
      <c r="I8101">
        <v>6</v>
      </c>
      <c r="J8101">
        <v>6276</v>
      </c>
      <c r="K8101">
        <v>0</v>
      </c>
      <c r="L8101">
        <v>4895.28</v>
      </c>
    </row>
    <row r="8102" spans="1:12" x14ac:dyDescent="0.25">
      <c r="A8102" t="str">
        <f t="shared" si="1771"/>
        <v>89301000</v>
      </c>
      <c r="B8102" t="str">
        <f t="shared" si="1768"/>
        <v>78006000</v>
      </c>
      <c r="C8102" t="str">
        <f>"78006207"</f>
        <v>78006207</v>
      </c>
      <c r="D8102" t="str">
        <f>"813"</f>
        <v>813</v>
      </c>
      <c r="E8102" t="str">
        <f t="shared" si="1775"/>
        <v>89301171</v>
      </c>
      <c r="F8102" t="str">
        <f>"7751155852"</f>
        <v>7751155852</v>
      </c>
      <c r="G8102" s="1">
        <v>44778</v>
      </c>
      <c r="H8102" t="str">
        <f>"91197"</f>
        <v>91197</v>
      </c>
      <c r="I8102">
        <v>6</v>
      </c>
      <c r="J8102">
        <v>6276</v>
      </c>
      <c r="K8102">
        <v>0</v>
      </c>
      <c r="L8102">
        <v>4895.28</v>
      </c>
    </row>
    <row r="8103" spans="1:12" x14ac:dyDescent="0.25">
      <c r="A8103" t="str">
        <f t="shared" si="1771"/>
        <v>89301000</v>
      </c>
      <c r="B8103" t="str">
        <f t="shared" si="1768"/>
        <v>78006000</v>
      </c>
      <c r="C8103" t="str">
        <f>"78006201"</f>
        <v>78006201</v>
      </c>
      <c r="D8103" t="str">
        <f>"801"</f>
        <v>801</v>
      </c>
      <c r="E8103" t="str">
        <f t="shared" si="1775"/>
        <v>89301171</v>
      </c>
      <c r="F8103" t="str">
        <f>"7862144477"</f>
        <v>7862144477</v>
      </c>
      <c r="G8103" s="1">
        <v>44782</v>
      </c>
      <c r="H8103" t="str">
        <f>"97111"</f>
        <v>97111</v>
      </c>
      <c r="I8103">
        <v>1</v>
      </c>
      <c r="J8103">
        <v>18</v>
      </c>
      <c r="K8103">
        <v>0</v>
      </c>
      <c r="L8103">
        <v>14.04</v>
      </c>
    </row>
    <row r="8104" spans="1:12" x14ac:dyDescent="0.25">
      <c r="A8104" t="str">
        <f t="shared" si="1771"/>
        <v>89301000</v>
      </c>
      <c r="B8104" t="str">
        <f t="shared" si="1768"/>
        <v>78006000</v>
      </c>
      <c r="C8104" t="str">
        <f>"78006201"</f>
        <v>78006201</v>
      </c>
      <c r="D8104" t="str">
        <f>"801"</f>
        <v>801</v>
      </c>
      <c r="E8104" t="str">
        <f t="shared" si="1775"/>
        <v>89301171</v>
      </c>
      <c r="F8104" t="str">
        <f>"6655270303"</f>
        <v>6655270303</v>
      </c>
      <c r="G8104" s="1">
        <v>44774</v>
      </c>
      <c r="H8104" t="str">
        <f>"81703"</f>
        <v>81703</v>
      </c>
      <c r="I8104">
        <v>2</v>
      </c>
      <c r="J8104">
        <v>556</v>
      </c>
      <c r="K8104">
        <v>0</v>
      </c>
      <c r="L8104">
        <v>433.68</v>
      </c>
    </row>
    <row r="8105" spans="1:12" x14ac:dyDescent="0.25">
      <c r="A8105" t="str">
        <f t="shared" si="1771"/>
        <v>89301000</v>
      </c>
      <c r="B8105" t="str">
        <f t="shared" si="1768"/>
        <v>78006000</v>
      </c>
      <c r="C8105" t="str">
        <f>"78006201"</f>
        <v>78006201</v>
      </c>
      <c r="D8105" t="str">
        <f>"801"</f>
        <v>801</v>
      </c>
      <c r="E8105" t="str">
        <f t="shared" si="1775"/>
        <v>89301171</v>
      </c>
      <c r="F8105" t="str">
        <f>"8707305816"</f>
        <v>8707305816</v>
      </c>
      <c r="G8105" s="1">
        <v>44802</v>
      </c>
      <c r="H8105" t="str">
        <f>"81703"</f>
        <v>81703</v>
      </c>
      <c r="I8105">
        <v>2</v>
      </c>
      <c r="J8105">
        <v>556</v>
      </c>
      <c r="K8105">
        <v>0</v>
      </c>
      <c r="L8105">
        <v>433.68</v>
      </c>
    </row>
    <row r="8106" spans="1:12" x14ac:dyDescent="0.25">
      <c r="A8106" t="str">
        <f t="shared" si="1771"/>
        <v>89301000</v>
      </c>
      <c r="B8106" t="str">
        <f t="shared" ref="B8106:B8137" si="1776">"72100000"</f>
        <v>72100000</v>
      </c>
      <c r="C8106" t="str">
        <f t="shared" ref="C8106:C8137" si="1777">"72100632"</f>
        <v>72100632</v>
      </c>
      <c r="D8106" t="str">
        <f t="shared" ref="D8106:D8137" si="1778">"816"</f>
        <v>816</v>
      </c>
      <c r="E8106" t="str">
        <f t="shared" ref="E8106:E8137" si="1779">"89301091"</f>
        <v>89301091</v>
      </c>
      <c r="F8106" t="str">
        <f>"2255250525"</f>
        <v>2255250525</v>
      </c>
      <c r="G8106" s="1">
        <v>44713</v>
      </c>
      <c r="H8106" t="str">
        <f t="shared" ref="H8106:H8137" si="1780">"94297"</f>
        <v>94297</v>
      </c>
      <c r="I8106">
        <v>1</v>
      </c>
      <c r="J8106">
        <v>298</v>
      </c>
      <c r="K8106">
        <v>0</v>
      </c>
      <c r="L8106">
        <v>366.54</v>
      </c>
    </row>
    <row r="8107" spans="1:12" x14ac:dyDescent="0.25">
      <c r="A8107" t="str">
        <f t="shared" si="1771"/>
        <v>89301000</v>
      </c>
      <c r="B8107" t="str">
        <f t="shared" si="1776"/>
        <v>72100000</v>
      </c>
      <c r="C8107" t="str">
        <f t="shared" si="1777"/>
        <v>72100632</v>
      </c>
      <c r="D8107" t="str">
        <f t="shared" si="1778"/>
        <v>816</v>
      </c>
      <c r="E8107" t="str">
        <f t="shared" si="1779"/>
        <v>89301091</v>
      </c>
      <c r="F8107" t="str">
        <f>"2205250839"</f>
        <v>2205250839</v>
      </c>
      <c r="G8107" s="1">
        <v>44713</v>
      </c>
      <c r="H8107" t="str">
        <f t="shared" si="1780"/>
        <v>94297</v>
      </c>
      <c r="I8107">
        <v>1</v>
      </c>
      <c r="J8107">
        <v>298</v>
      </c>
      <c r="K8107">
        <v>0</v>
      </c>
      <c r="L8107">
        <v>366.54</v>
      </c>
    </row>
    <row r="8108" spans="1:12" x14ac:dyDescent="0.25">
      <c r="A8108" t="str">
        <f t="shared" si="1771"/>
        <v>89301000</v>
      </c>
      <c r="B8108" t="str">
        <f t="shared" si="1776"/>
        <v>72100000</v>
      </c>
      <c r="C8108" t="str">
        <f t="shared" si="1777"/>
        <v>72100632</v>
      </c>
      <c r="D8108" t="str">
        <f t="shared" si="1778"/>
        <v>816</v>
      </c>
      <c r="E8108" t="str">
        <f t="shared" si="1779"/>
        <v>89301091</v>
      </c>
      <c r="F8108" t="str">
        <f>"2255260634"</f>
        <v>2255260634</v>
      </c>
      <c r="G8108" s="1">
        <v>44713</v>
      </c>
      <c r="H8108" t="str">
        <f t="shared" si="1780"/>
        <v>94297</v>
      </c>
      <c r="I8108">
        <v>1</v>
      </c>
      <c r="J8108">
        <v>298</v>
      </c>
      <c r="K8108">
        <v>0</v>
      </c>
      <c r="L8108">
        <v>366.54</v>
      </c>
    </row>
    <row r="8109" spans="1:12" x14ac:dyDescent="0.25">
      <c r="A8109" t="str">
        <f t="shared" si="1771"/>
        <v>89301000</v>
      </c>
      <c r="B8109" t="str">
        <f t="shared" si="1776"/>
        <v>72100000</v>
      </c>
      <c r="C8109" t="str">
        <f t="shared" si="1777"/>
        <v>72100632</v>
      </c>
      <c r="D8109" t="str">
        <f t="shared" si="1778"/>
        <v>816</v>
      </c>
      <c r="E8109" t="str">
        <f t="shared" si="1779"/>
        <v>89301091</v>
      </c>
      <c r="F8109" t="str">
        <f>"2205260684"</f>
        <v>2205260684</v>
      </c>
      <c r="G8109" s="1">
        <v>44713</v>
      </c>
      <c r="H8109" t="str">
        <f t="shared" si="1780"/>
        <v>94297</v>
      </c>
      <c r="I8109">
        <v>1</v>
      </c>
      <c r="J8109">
        <v>298</v>
      </c>
      <c r="K8109">
        <v>0</v>
      </c>
      <c r="L8109">
        <v>366.54</v>
      </c>
    </row>
    <row r="8110" spans="1:12" x14ac:dyDescent="0.25">
      <c r="A8110" t="str">
        <f t="shared" si="1771"/>
        <v>89301000</v>
      </c>
      <c r="B8110" t="str">
        <f t="shared" si="1776"/>
        <v>72100000</v>
      </c>
      <c r="C8110" t="str">
        <f t="shared" si="1777"/>
        <v>72100632</v>
      </c>
      <c r="D8110" t="str">
        <f t="shared" si="1778"/>
        <v>816</v>
      </c>
      <c r="E8110" t="str">
        <f t="shared" si="1779"/>
        <v>89301091</v>
      </c>
      <c r="F8110" t="str">
        <f>"8555225789"</f>
        <v>8555225789</v>
      </c>
      <c r="G8110" s="1">
        <v>44713</v>
      </c>
      <c r="H8110" t="str">
        <f t="shared" si="1780"/>
        <v>94297</v>
      </c>
      <c r="I8110">
        <v>1</v>
      </c>
      <c r="J8110">
        <v>298</v>
      </c>
      <c r="K8110">
        <v>0</v>
      </c>
      <c r="L8110">
        <v>366.54</v>
      </c>
    </row>
    <row r="8111" spans="1:12" x14ac:dyDescent="0.25">
      <c r="A8111" t="str">
        <f t="shared" si="1771"/>
        <v>89301000</v>
      </c>
      <c r="B8111" t="str">
        <f t="shared" si="1776"/>
        <v>72100000</v>
      </c>
      <c r="C8111" t="str">
        <f t="shared" si="1777"/>
        <v>72100632</v>
      </c>
      <c r="D8111" t="str">
        <f t="shared" si="1778"/>
        <v>816</v>
      </c>
      <c r="E8111" t="str">
        <f t="shared" si="1779"/>
        <v>89301091</v>
      </c>
      <c r="F8111" t="str">
        <f>"8352015309"</f>
        <v>8352015309</v>
      </c>
      <c r="G8111" s="1">
        <v>44713</v>
      </c>
      <c r="H8111" t="str">
        <f t="shared" si="1780"/>
        <v>94297</v>
      </c>
      <c r="I8111">
        <v>1</v>
      </c>
      <c r="J8111">
        <v>298</v>
      </c>
      <c r="K8111">
        <v>0</v>
      </c>
      <c r="L8111">
        <v>366.54</v>
      </c>
    </row>
    <row r="8112" spans="1:12" x14ac:dyDescent="0.25">
      <c r="A8112" t="str">
        <f t="shared" si="1771"/>
        <v>89301000</v>
      </c>
      <c r="B8112" t="str">
        <f t="shared" si="1776"/>
        <v>72100000</v>
      </c>
      <c r="C8112" t="str">
        <f t="shared" si="1777"/>
        <v>72100632</v>
      </c>
      <c r="D8112" t="str">
        <f t="shared" si="1778"/>
        <v>816</v>
      </c>
      <c r="E8112" t="str">
        <f t="shared" si="1779"/>
        <v>89301091</v>
      </c>
      <c r="F8112" t="str">
        <f>"9657075637"</f>
        <v>9657075637</v>
      </c>
      <c r="G8112" s="1">
        <v>44713</v>
      </c>
      <c r="H8112" t="str">
        <f t="shared" si="1780"/>
        <v>94297</v>
      </c>
      <c r="I8112">
        <v>1</v>
      </c>
      <c r="J8112">
        <v>298</v>
      </c>
      <c r="K8112">
        <v>0</v>
      </c>
      <c r="L8112">
        <v>366.54</v>
      </c>
    </row>
    <row r="8113" spans="1:12" x14ac:dyDescent="0.25">
      <c r="A8113" t="str">
        <f t="shared" si="1771"/>
        <v>89301000</v>
      </c>
      <c r="B8113" t="str">
        <f t="shared" si="1776"/>
        <v>72100000</v>
      </c>
      <c r="C8113" t="str">
        <f t="shared" si="1777"/>
        <v>72100632</v>
      </c>
      <c r="D8113" t="str">
        <f t="shared" si="1778"/>
        <v>816</v>
      </c>
      <c r="E8113" t="str">
        <f t="shared" si="1779"/>
        <v>89301091</v>
      </c>
      <c r="F8113" t="str">
        <f>"2255270710"</f>
        <v>2255270710</v>
      </c>
      <c r="G8113" s="1">
        <v>44714</v>
      </c>
      <c r="H8113" t="str">
        <f t="shared" si="1780"/>
        <v>94297</v>
      </c>
      <c r="I8113">
        <v>1</v>
      </c>
      <c r="J8113">
        <v>298</v>
      </c>
      <c r="K8113">
        <v>0</v>
      </c>
      <c r="L8113">
        <v>366.54</v>
      </c>
    </row>
    <row r="8114" spans="1:12" x14ac:dyDescent="0.25">
      <c r="A8114" t="str">
        <f t="shared" si="1771"/>
        <v>89301000</v>
      </c>
      <c r="B8114" t="str">
        <f t="shared" si="1776"/>
        <v>72100000</v>
      </c>
      <c r="C8114" t="str">
        <f t="shared" si="1777"/>
        <v>72100632</v>
      </c>
      <c r="D8114" t="str">
        <f t="shared" si="1778"/>
        <v>816</v>
      </c>
      <c r="E8114" t="str">
        <f t="shared" si="1779"/>
        <v>89301091</v>
      </c>
      <c r="F8114" t="str">
        <f>"2255270732"</f>
        <v>2255270732</v>
      </c>
      <c r="G8114" s="1">
        <v>44714</v>
      </c>
      <c r="H8114" t="str">
        <f t="shared" si="1780"/>
        <v>94297</v>
      </c>
      <c r="I8114">
        <v>1</v>
      </c>
      <c r="J8114">
        <v>298</v>
      </c>
      <c r="K8114">
        <v>0</v>
      </c>
      <c r="L8114">
        <v>366.54</v>
      </c>
    </row>
    <row r="8115" spans="1:12" x14ac:dyDescent="0.25">
      <c r="A8115" t="str">
        <f t="shared" si="1771"/>
        <v>89301000</v>
      </c>
      <c r="B8115" t="str">
        <f t="shared" si="1776"/>
        <v>72100000</v>
      </c>
      <c r="C8115" t="str">
        <f t="shared" si="1777"/>
        <v>72100632</v>
      </c>
      <c r="D8115" t="str">
        <f t="shared" si="1778"/>
        <v>816</v>
      </c>
      <c r="E8115" t="str">
        <f t="shared" si="1779"/>
        <v>89301091</v>
      </c>
      <c r="F8115" t="str">
        <f>"2255290345"</f>
        <v>2255290345</v>
      </c>
      <c r="G8115" s="1">
        <v>44715</v>
      </c>
      <c r="H8115" t="str">
        <f t="shared" si="1780"/>
        <v>94297</v>
      </c>
      <c r="I8115">
        <v>1</v>
      </c>
      <c r="J8115">
        <v>298</v>
      </c>
      <c r="K8115">
        <v>0</v>
      </c>
      <c r="L8115">
        <v>366.54</v>
      </c>
    </row>
    <row r="8116" spans="1:12" x14ac:dyDescent="0.25">
      <c r="A8116" t="str">
        <f t="shared" si="1771"/>
        <v>89301000</v>
      </c>
      <c r="B8116" t="str">
        <f t="shared" si="1776"/>
        <v>72100000</v>
      </c>
      <c r="C8116" t="str">
        <f t="shared" si="1777"/>
        <v>72100632</v>
      </c>
      <c r="D8116" t="str">
        <f t="shared" si="1778"/>
        <v>816</v>
      </c>
      <c r="E8116" t="str">
        <f t="shared" si="1779"/>
        <v>89301091</v>
      </c>
      <c r="F8116" t="str">
        <f>"2205290428"</f>
        <v>2205290428</v>
      </c>
      <c r="G8116" s="1">
        <v>44715</v>
      </c>
      <c r="H8116" t="str">
        <f t="shared" si="1780"/>
        <v>94297</v>
      </c>
      <c r="I8116">
        <v>1</v>
      </c>
      <c r="J8116">
        <v>298</v>
      </c>
      <c r="K8116">
        <v>0</v>
      </c>
      <c r="L8116">
        <v>366.54</v>
      </c>
    </row>
    <row r="8117" spans="1:12" x14ac:dyDescent="0.25">
      <c r="A8117" t="str">
        <f t="shared" si="1771"/>
        <v>89301000</v>
      </c>
      <c r="B8117" t="str">
        <f t="shared" si="1776"/>
        <v>72100000</v>
      </c>
      <c r="C8117" t="str">
        <f t="shared" si="1777"/>
        <v>72100632</v>
      </c>
      <c r="D8117" t="str">
        <f t="shared" si="1778"/>
        <v>816</v>
      </c>
      <c r="E8117" t="str">
        <f t="shared" si="1779"/>
        <v>89301091</v>
      </c>
      <c r="F8117" t="str">
        <f>"2205290450"</f>
        <v>2205290450</v>
      </c>
      <c r="G8117" s="1">
        <v>44718</v>
      </c>
      <c r="H8117" t="str">
        <f t="shared" si="1780"/>
        <v>94297</v>
      </c>
      <c r="I8117">
        <v>1</v>
      </c>
      <c r="J8117">
        <v>298</v>
      </c>
      <c r="K8117">
        <v>0</v>
      </c>
      <c r="L8117">
        <v>366.54</v>
      </c>
    </row>
    <row r="8118" spans="1:12" x14ac:dyDescent="0.25">
      <c r="A8118" t="str">
        <f t="shared" si="1771"/>
        <v>89301000</v>
      </c>
      <c r="B8118" t="str">
        <f t="shared" si="1776"/>
        <v>72100000</v>
      </c>
      <c r="C8118" t="str">
        <f t="shared" si="1777"/>
        <v>72100632</v>
      </c>
      <c r="D8118" t="str">
        <f t="shared" si="1778"/>
        <v>816</v>
      </c>
      <c r="E8118" t="str">
        <f t="shared" si="1779"/>
        <v>89301091</v>
      </c>
      <c r="F8118" t="str">
        <f>"2205300053"</f>
        <v>2205300053</v>
      </c>
      <c r="G8118" s="1">
        <v>44718</v>
      </c>
      <c r="H8118" t="str">
        <f t="shared" si="1780"/>
        <v>94297</v>
      </c>
      <c r="I8118">
        <v>1</v>
      </c>
      <c r="J8118">
        <v>298</v>
      </c>
      <c r="K8118">
        <v>0</v>
      </c>
      <c r="L8118">
        <v>366.54</v>
      </c>
    </row>
    <row r="8119" spans="1:12" x14ac:dyDescent="0.25">
      <c r="A8119" t="str">
        <f t="shared" si="1771"/>
        <v>89301000</v>
      </c>
      <c r="B8119" t="str">
        <f t="shared" si="1776"/>
        <v>72100000</v>
      </c>
      <c r="C8119" t="str">
        <f t="shared" si="1777"/>
        <v>72100632</v>
      </c>
      <c r="D8119" t="str">
        <f t="shared" si="1778"/>
        <v>816</v>
      </c>
      <c r="E8119" t="str">
        <f t="shared" si="1779"/>
        <v>89301091</v>
      </c>
      <c r="F8119" t="str">
        <f>"2255300586"</f>
        <v>2255300586</v>
      </c>
      <c r="G8119" s="1">
        <v>44718</v>
      </c>
      <c r="H8119" t="str">
        <f t="shared" si="1780"/>
        <v>94297</v>
      </c>
      <c r="I8119">
        <v>1</v>
      </c>
      <c r="J8119">
        <v>298</v>
      </c>
      <c r="K8119">
        <v>0</v>
      </c>
      <c r="L8119">
        <v>366.54</v>
      </c>
    </row>
    <row r="8120" spans="1:12" x14ac:dyDescent="0.25">
      <c r="A8120" t="str">
        <f t="shared" si="1771"/>
        <v>89301000</v>
      </c>
      <c r="B8120" t="str">
        <f t="shared" si="1776"/>
        <v>72100000</v>
      </c>
      <c r="C8120" t="str">
        <f t="shared" si="1777"/>
        <v>72100632</v>
      </c>
      <c r="D8120" t="str">
        <f t="shared" si="1778"/>
        <v>816</v>
      </c>
      <c r="E8120" t="str">
        <f t="shared" si="1779"/>
        <v>89301091</v>
      </c>
      <c r="F8120" t="str">
        <f>"2255310541"</f>
        <v>2255310541</v>
      </c>
      <c r="G8120" s="1">
        <v>44719</v>
      </c>
      <c r="H8120" t="str">
        <f t="shared" si="1780"/>
        <v>94297</v>
      </c>
      <c r="I8120">
        <v>1</v>
      </c>
      <c r="J8120">
        <v>298</v>
      </c>
      <c r="K8120">
        <v>0</v>
      </c>
      <c r="L8120">
        <v>366.54</v>
      </c>
    </row>
    <row r="8121" spans="1:12" x14ac:dyDescent="0.25">
      <c r="A8121" t="str">
        <f t="shared" si="1771"/>
        <v>89301000</v>
      </c>
      <c r="B8121" t="str">
        <f t="shared" si="1776"/>
        <v>72100000</v>
      </c>
      <c r="C8121" t="str">
        <f t="shared" si="1777"/>
        <v>72100632</v>
      </c>
      <c r="D8121" t="str">
        <f t="shared" si="1778"/>
        <v>816</v>
      </c>
      <c r="E8121" t="str">
        <f t="shared" si="1779"/>
        <v>89301091</v>
      </c>
      <c r="F8121" t="str">
        <f>"2256010097"</f>
        <v>2256010097</v>
      </c>
      <c r="G8121" s="1">
        <v>44720</v>
      </c>
      <c r="H8121" t="str">
        <f t="shared" si="1780"/>
        <v>94297</v>
      </c>
      <c r="I8121">
        <v>1</v>
      </c>
      <c r="J8121">
        <v>298</v>
      </c>
      <c r="K8121">
        <v>0</v>
      </c>
      <c r="L8121">
        <v>366.54</v>
      </c>
    </row>
    <row r="8122" spans="1:12" x14ac:dyDescent="0.25">
      <c r="A8122" t="str">
        <f t="shared" si="1771"/>
        <v>89301000</v>
      </c>
      <c r="B8122" t="str">
        <f t="shared" si="1776"/>
        <v>72100000</v>
      </c>
      <c r="C8122" t="str">
        <f t="shared" si="1777"/>
        <v>72100632</v>
      </c>
      <c r="D8122" t="str">
        <f t="shared" si="1778"/>
        <v>816</v>
      </c>
      <c r="E8122" t="str">
        <f t="shared" si="1779"/>
        <v>89301091</v>
      </c>
      <c r="F8122" t="str">
        <f>"2206010125"</f>
        <v>2206010125</v>
      </c>
      <c r="G8122" s="1">
        <v>44720</v>
      </c>
      <c r="H8122" t="str">
        <f t="shared" si="1780"/>
        <v>94297</v>
      </c>
      <c r="I8122">
        <v>1</v>
      </c>
      <c r="J8122">
        <v>298</v>
      </c>
      <c r="K8122">
        <v>0</v>
      </c>
      <c r="L8122">
        <v>366.54</v>
      </c>
    </row>
    <row r="8123" spans="1:12" x14ac:dyDescent="0.25">
      <c r="A8123" t="str">
        <f t="shared" si="1771"/>
        <v>89301000</v>
      </c>
      <c r="B8123" t="str">
        <f t="shared" si="1776"/>
        <v>72100000</v>
      </c>
      <c r="C8123" t="str">
        <f t="shared" si="1777"/>
        <v>72100632</v>
      </c>
      <c r="D8123" t="str">
        <f t="shared" si="1778"/>
        <v>816</v>
      </c>
      <c r="E8123" t="str">
        <f t="shared" si="1779"/>
        <v>89301091</v>
      </c>
      <c r="F8123" t="str">
        <f>"2256010691"</f>
        <v>2256010691</v>
      </c>
      <c r="G8123" s="1">
        <v>44720</v>
      </c>
      <c r="H8123" t="str">
        <f t="shared" si="1780"/>
        <v>94297</v>
      </c>
      <c r="I8123">
        <v>1</v>
      </c>
      <c r="J8123">
        <v>298</v>
      </c>
      <c r="K8123">
        <v>0</v>
      </c>
      <c r="L8123">
        <v>366.54</v>
      </c>
    </row>
    <row r="8124" spans="1:12" x14ac:dyDescent="0.25">
      <c r="A8124" t="str">
        <f t="shared" si="1771"/>
        <v>89301000</v>
      </c>
      <c r="B8124" t="str">
        <f t="shared" si="1776"/>
        <v>72100000</v>
      </c>
      <c r="C8124" t="str">
        <f t="shared" si="1777"/>
        <v>72100632</v>
      </c>
      <c r="D8124" t="str">
        <f t="shared" si="1778"/>
        <v>816</v>
      </c>
      <c r="E8124" t="str">
        <f t="shared" si="1779"/>
        <v>89301091</v>
      </c>
      <c r="F8124" t="str">
        <f>"2256010713"</f>
        <v>2256010713</v>
      </c>
      <c r="G8124" s="1">
        <v>44720</v>
      </c>
      <c r="H8124" t="str">
        <f t="shared" si="1780"/>
        <v>94297</v>
      </c>
      <c r="I8124">
        <v>1</v>
      </c>
      <c r="J8124">
        <v>298</v>
      </c>
      <c r="K8124">
        <v>0</v>
      </c>
      <c r="L8124">
        <v>366.54</v>
      </c>
    </row>
    <row r="8125" spans="1:12" x14ac:dyDescent="0.25">
      <c r="A8125" t="str">
        <f t="shared" si="1771"/>
        <v>89301000</v>
      </c>
      <c r="B8125" t="str">
        <f t="shared" si="1776"/>
        <v>72100000</v>
      </c>
      <c r="C8125" t="str">
        <f t="shared" si="1777"/>
        <v>72100632</v>
      </c>
      <c r="D8125" t="str">
        <f t="shared" si="1778"/>
        <v>816</v>
      </c>
      <c r="E8125" t="str">
        <f t="shared" si="1779"/>
        <v>89301091</v>
      </c>
      <c r="F8125" t="str">
        <f>"2256010724"</f>
        <v>2256010724</v>
      </c>
      <c r="G8125" s="1">
        <v>44720</v>
      </c>
      <c r="H8125" t="str">
        <f t="shared" si="1780"/>
        <v>94297</v>
      </c>
      <c r="I8125">
        <v>1</v>
      </c>
      <c r="J8125">
        <v>298</v>
      </c>
      <c r="K8125">
        <v>0</v>
      </c>
      <c r="L8125">
        <v>366.54</v>
      </c>
    </row>
    <row r="8126" spans="1:12" x14ac:dyDescent="0.25">
      <c r="A8126" t="str">
        <f t="shared" si="1771"/>
        <v>89301000</v>
      </c>
      <c r="B8126" t="str">
        <f t="shared" si="1776"/>
        <v>72100000</v>
      </c>
      <c r="C8126" t="str">
        <f t="shared" si="1777"/>
        <v>72100632</v>
      </c>
      <c r="D8126" t="str">
        <f t="shared" si="1778"/>
        <v>816</v>
      </c>
      <c r="E8126" t="str">
        <f t="shared" si="1779"/>
        <v>89301091</v>
      </c>
      <c r="F8126" t="str">
        <f>"2206010730"</f>
        <v>2206010730</v>
      </c>
      <c r="G8126" s="1">
        <v>44720</v>
      </c>
      <c r="H8126" t="str">
        <f t="shared" si="1780"/>
        <v>94297</v>
      </c>
      <c r="I8126">
        <v>1</v>
      </c>
      <c r="J8126">
        <v>298</v>
      </c>
      <c r="K8126">
        <v>0</v>
      </c>
      <c r="L8126">
        <v>366.54</v>
      </c>
    </row>
    <row r="8127" spans="1:12" x14ac:dyDescent="0.25">
      <c r="A8127" t="str">
        <f t="shared" si="1771"/>
        <v>89301000</v>
      </c>
      <c r="B8127" t="str">
        <f t="shared" si="1776"/>
        <v>72100000</v>
      </c>
      <c r="C8127" t="str">
        <f t="shared" si="1777"/>
        <v>72100632</v>
      </c>
      <c r="D8127" t="str">
        <f t="shared" si="1778"/>
        <v>816</v>
      </c>
      <c r="E8127" t="str">
        <f t="shared" si="1779"/>
        <v>89301091</v>
      </c>
      <c r="F8127" t="str">
        <f>"8961095759"</f>
        <v>8961095759</v>
      </c>
      <c r="G8127" s="1">
        <v>44720</v>
      </c>
      <c r="H8127" t="str">
        <f t="shared" si="1780"/>
        <v>94297</v>
      </c>
      <c r="I8127">
        <v>1</v>
      </c>
      <c r="J8127">
        <v>298</v>
      </c>
      <c r="K8127">
        <v>0</v>
      </c>
      <c r="L8127">
        <v>366.54</v>
      </c>
    </row>
    <row r="8128" spans="1:12" x14ac:dyDescent="0.25">
      <c r="A8128" t="str">
        <f t="shared" si="1771"/>
        <v>89301000</v>
      </c>
      <c r="B8128" t="str">
        <f t="shared" si="1776"/>
        <v>72100000</v>
      </c>
      <c r="C8128" t="str">
        <f t="shared" si="1777"/>
        <v>72100632</v>
      </c>
      <c r="D8128" t="str">
        <f t="shared" si="1778"/>
        <v>816</v>
      </c>
      <c r="E8128" t="str">
        <f t="shared" si="1779"/>
        <v>89301091</v>
      </c>
      <c r="F8128" t="str">
        <f>"2206020850"</f>
        <v>2206020850</v>
      </c>
      <c r="G8128" s="1">
        <v>44720</v>
      </c>
      <c r="H8128" t="str">
        <f t="shared" si="1780"/>
        <v>94297</v>
      </c>
      <c r="I8128">
        <v>1</v>
      </c>
      <c r="J8128">
        <v>298</v>
      </c>
      <c r="K8128">
        <v>0</v>
      </c>
      <c r="L8128">
        <v>366.54</v>
      </c>
    </row>
    <row r="8129" spans="1:12" x14ac:dyDescent="0.25">
      <c r="A8129" t="str">
        <f t="shared" si="1771"/>
        <v>89301000</v>
      </c>
      <c r="B8129" t="str">
        <f t="shared" si="1776"/>
        <v>72100000</v>
      </c>
      <c r="C8129" t="str">
        <f t="shared" si="1777"/>
        <v>72100632</v>
      </c>
      <c r="D8129" t="str">
        <f t="shared" si="1778"/>
        <v>816</v>
      </c>
      <c r="E8129" t="str">
        <f t="shared" si="1779"/>
        <v>89301091</v>
      </c>
      <c r="F8129" t="str">
        <f>"9455246152"</f>
        <v>9455246152</v>
      </c>
      <c r="G8129" s="1">
        <v>44720</v>
      </c>
      <c r="H8129" t="str">
        <f t="shared" si="1780"/>
        <v>94297</v>
      </c>
      <c r="I8129">
        <v>1</v>
      </c>
      <c r="J8129">
        <v>298</v>
      </c>
      <c r="K8129">
        <v>0</v>
      </c>
      <c r="L8129">
        <v>366.54</v>
      </c>
    </row>
    <row r="8130" spans="1:12" x14ac:dyDescent="0.25">
      <c r="A8130" t="str">
        <f t="shared" ref="A8130:A8193" si="1781">"89301000"</f>
        <v>89301000</v>
      </c>
      <c r="B8130" t="str">
        <f t="shared" si="1776"/>
        <v>72100000</v>
      </c>
      <c r="C8130" t="str">
        <f t="shared" si="1777"/>
        <v>72100632</v>
      </c>
      <c r="D8130" t="str">
        <f t="shared" si="1778"/>
        <v>816</v>
      </c>
      <c r="E8130" t="str">
        <f t="shared" si="1779"/>
        <v>89301091</v>
      </c>
      <c r="F8130" t="str">
        <f>"2206030134"</f>
        <v>2206030134</v>
      </c>
      <c r="G8130" s="1">
        <v>44720</v>
      </c>
      <c r="H8130" t="str">
        <f t="shared" si="1780"/>
        <v>94297</v>
      </c>
      <c r="I8130">
        <v>1</v>
      </c>
      <c r="J8130">
        <v>298</v>
      </c>
      <c r="K8130">
        <v>0</v>
      </c>
      <c r="L8130">
        <v>366.54</v>
      </c>
    </row>
    <row r="8131" spans="1:12" x14ac:dyDescent="0.25">
      <c r="A8131" t="str">
        <f t="shared" si="1781"/>
        <v>89301000</v>
      </c>
      <c r="B8131" t="str">
        <f t="shared" si="1776"/>
        <v>72100000</v>
      </c>
      <c r="C8131" t="str">
        <f t="shared" si="1777"/>
        <v>72100632</v>
      </c>
      <c r="D8131" t="str">
        <f t="shared" si="1778"/>
        <v>816</v>
      </c>
      <c r="E8131" t="str">
        <f t="shared" si="1779"/>
        <v>89301091</v>
      </c>
      <c r="F8131" t="str">
        <f>"8861276215"</f>
        <v>8861276215</v>
      </c>
      <c r="G8131" s="1">
        <v>44720</v>
      </c>
      <c r="H8131" t="str">
        <f t="shared" si="1780"/>
        <v>94297</v>
      </c>
      <c r="I8131">
        <v>1</v>
      </c>
      <c r="J8131">
        <v>298</v>
      </c>
      <c r="K8131">
        <v>0</v>
      </c>
      <c r="L8131">
        <v>366.54</v>
      </c>
    </row>
    <row r="8132" spans="1:12" x14ac:dyDescent="0.25">
      <c r="A8132" t="str">
        <f t="shared" si="1781"/>
        <v>89301000</v>
      </c>
      <c r="B8132" t="str">
        <f t="shared" si="1776"/>
        <v>72100000</v>
      </c>
      <c r="C8132" t="str">
        <f t="shared" si="1777"/>
        <v>72100632</v>
      </c>
      <c r="D8132" t="str">
        <f t="shared" si="1778"/>
        <v>816</v>
      </c>
      <c r="E8132" t="str">
        <f t="shared" si="1779"/>
        <v>89301091</v>
      </c>
      <c r="F8132" t="str">
        <f>"9253155714"</f>
        <v>9253155714</v>
      </c>
      <c r="G8132" s="1">
        <v>44720</v>
      </c>
      <c r="H8132" t="str">
        <f t="shared" si="1780"/>
        <v>94297</v>
      </c>
      <c r="I8132">
        <v>1</v>
      </c>
      <c r="J8132">
        <v>298</v>
      </c>
      <c r="K8132">
        <v>0</v>
      </c>
      <c r="L8132">
        <v>366.54</v>
      </c>
    </row>
    <row r="8133" spans="1:12" x14ac:dyDescent="0.25">
      <c r="A8133" t="str">
        <f t="shared" si="1781"/>
        <v>89301000</v>
      </c>
      <c r="B8133" t="str">
        <f t="shared" si="1776"/>
        <v>72100000</v>
      </c>
      <c r="C8133" t="str">
        <f t="shared" si="1777"/>
        <v>72100632</v>
      </c>
      <c r="D8133" t="str">
        <f t="shared" si="1778"/>
        <v>816</v>
      </c>
      <c r="E8133" t="str">
        <f t="shared" si="1779"/>
        <v>89301091</v>
      </c>
      <c r="F8133" t="str">
        <f>"8261265309"</f>
        <v>8261265309</v>
      </c>
      <c r="G8133" s="1">
        <v>44721</v>
      </c>
      <c r="H8133" t="str">
        <f t="shared" si="1780"/>
        <v>94297</v>
      </c>
      <c r="I8133">
        <v>1</v>
      </c>
      <c r="J8133">
        <v>298</v>
      </c>
      <c r="K8133">
        <v>0</v>
      </c>
      <c r="L8133">
        <v>366.54</v>
      </c>
    </row>
    <row r="8134" spans="1:12" x14ac:dyDescent="0.25">
      <c r="A8134" t="str">
        <f t="shared" si="1781"/>
        <v>89301000</v>
      </c>
      <c r="B8134" t="str">
        <f t="shared" si="1776"/>
        <v>72100000</v>
      </c>
      <c r="C8134" t="str">
        <f t="shared" si="1777"/>
        <v>72100632</v>
      </c>
      <c r="D8134" t="str">
        <f t="shared" si="1778"/>
        <v>816</v>
      </c>
      <c r="E8134" t="str">
        <f t="shared" si="1779"/>
        <v>89301091</v>
      </c>
      <c r="F8134" t="str">
        <f>"2256050346"</f>
        <v>2256050346</v>
      </c>
      <c r="G8134" s="1">
        <v>44722</v>
      </c>
      <c r="H8134" t="str">
        <f t="shared" si="1780"/>
        <v>94297</v>
      </c>
      <c r="I8134">
        <v>1</v>
      </c>
      <c r="J8134">
        <v>298</v>
      </c>
      <c r="K8134">
        <v>0</v>
      </c>
      <c r="L8134">
        <v>366.54</v>
      </c>
    </row>
    <row r="8135" spans="1:12" x14ac:dyDescent="0.25">
      <c r="A8135" t="str">
        <f t="shared" si="1781"/>
        <v>89301000</v>
      </c>
      <c r="B8135" t="str">
        <f t="shared" si="1776"/>
        <v>72100000</v>
      </c>
      <c r="C8135" t="str">
        <f t="shared" si="1777"/>
        <v>72100632</v>
      </c>
      <c r="D8135" t="str">
        <f t="shared" si="1778"/>
        <v>816</v>
      </c>
      <c r="E8135" t="str">
        <f t="shared" si="1779"/>
        <v>89301091</v>
      </c>
      <c r="F8135" t="str">
        <f>"2256050357"</f>
        <v>2256050357</v>
      </c>
      <c r="G8135" s="1">
        <v>44722</v>
      </c>
      <c r="H8135" t="str">
        <f t="shared" si="1780"/>
        <v>94297</v>
      </c>
      <c r="I8135">
        <v>1</v>
      </c>
      <c r="J8135">
        <v>298</v>
      </c>
      <c r="K8135">
        <v>0</v>
      </c>
      <c r="L8135">
        <v>366.54</v>
      </c>
    </row>
    <row r="8136" spans="1:12" x14ac:dyDescent="0.25">
      <c r="A8136" t="str">
        <f t="shared" si="1781"/>
        <v>89301000</v>
      </c>
      <c r="B8136" t="str">
        <f t="shared" si="1776"/>
        <v>72100000</v>
      </c>
      <c r="C8136" t="str">
        <f t="shared" si="1777"/>
        <v>72100632</v>
      </c>
      <c r="D8136" t="str">
        <f t="shared" si="1778"/>
        <v>816</v>
      </c>
      <c r="E8136" t="str">
        <f t="shared" si="1779"/>
        <v>89301091</v>
      </c>
      <c r="F8136" t="str">
        <f>"2256050368"</f>
        <v>2256050368</v>
      </c>
      <c r="G8136" s="1">
        <v>44722</v>
      </c>
      <c r="H8136" t="str">
        <f t="shared" si="1780"/>
        <v>94297</v>
      </c>
      <c r="I8136">
        <v>1</v>
      </c>
      <c r="J8136">
        <v>298</v>
      </c>
      <c r="K8136">
        <v>0</v>
      </c>
      <c r="L8136">
        <v>366.54</v>
      </c>
    </row>
    <row r="8137" spans="1:12" x14ac:dyDescent="0.25">
      <c r="A8137" t="str">
        <f t="shared" si="1781"/>
        <v>89301000</v>
      </c>
      <c r="B8137" t="str">
        <f t="shared" si="1776"/>
        <v>72100000</v>
      </c>
      <c r="C8137" t="str">
        <f t="shared" si="1777"/>
        <v>72100632</v>
      </c>
      <c r="D8137" t="str">
        <f t="shared" si="1778"/>
        <v>816</v>
      </c>
      <c r="E8137" t="str">
        <f t="shared" si="1779"/>
        <v>89301091</v>
      </c>
      <c r="F8137" t="str">
        <f>"2206050286"</f>
        <v>2206050286</v>
      </c>
      <c r="G8137" s="1">
        <v>44722</v>
      </c>
      <c r="H8137" t="str">
        <f t="shared" si="1780"/>
        <v>94297</v>
      </c>
      <c r="I8137">
        <v>1</v>
      </c>
      <c r="J8137">
        <v>298</v>
      </c>
      <c r="K8137">
        <v>0</v>
      </c>
      <c r="L8137">
        <v>366.54</v>
      </c>
    </row>
    <row r="8138" spans="1:12" x14ac:dyDescent="0.25">
      <c r="A8138" t="str">
        <f t="shared" si="1781"/>
        <v>89301000</v>
      </c>
      <c r="B8138" t="str">
        <f t="shared" ref="B8138:B8169" si="1782">"72100000"</f>
        <v>72100000</v>
      </c>
      <c r="C8138" t="str">
        <f t="shared" ref="C8138:C8169" si="1783">"72100632"</f>
        <v>72100632</v>
      </c>
      <c r="D8138" t="str">
        <f t="shared" ref="D8138:D8169" si="1784">"816"</f>
        <v>816</v>
      </c>
      <c r="E8138" t="str">
        <f t="shared" ref="E8138:E8169" si="1785">"89301091"</f>
        <v>89301091</v>
      </c>
      <c r="F8138" t="str">
        <f>"2206060747"</f>
        <v>2206060747</v>
      </c>
      <c r="G8138" s="1">
        <v>44725</v>
      </c>
      <c r="H8138" t="str">
        <f t="shared" ref="H8138:H8169" si="1786">"94297"</f>
        <v>94297</v>
      </c>
      <c r="I8138">
        <v>1</v>
      </c>
      <c r="J8138">
        <v>298</v>
      </c>
      <c r="K8138">
        <v>0</v>
      </c>
      <c r="L8138">
        <v>366.54</v>
      </c>
    </row>
    <row r="8139" spans="1:12" x14ac:dyDescent="0.25">
      <c r="A8139" t="str">
        <f t="shared" si="1781"/>
        <v>89301000</v>
      </c>
      <c r="B8139" t="str">
        <f t="shared" si="1782"/>
        <v>72100000</v>
      </c>
      <c r="C8139" t="str">
        <f t="shared" si="1783"/>
        <v>72100632</v>
      </c>
      <c r="D8139" t="str">
        <f t="shared" si="1784"/>
        <v>816</v>
      </c>
      <c r="E8139" t="str">
        <f t="shared" si="1785"/>
        <v>89301091</v>
      </c>
      <c r="F8139" t="str">
        <f>"2256060543"</f>
        <v>2256060543</v>
      </c>
      <c r="G8139" s="1">
        <v>44725</v>
      </c>
      <c r="H8139" t="str">
        <f t="shared" si="1786"/>
        <v>94297</v>
      </c>
      <c r="I8139">
        <v>1</v>
      </c>
      <c r="J8139">
        <v>298</v>
      </c>
      <c r="K8139">
        <v>0</v>
      </c>
      <c r="L8139">
        <v>366.54</v>
      </c>
    </row>
    <row r="8140" spans="1:12" x14ac:dyDescent="0.25">
      <c r="A8140" t="str">
        <f t="shared" si="1781"/>
        <v>89301000</v>
      </c>
      <c r="B8140" t="str">
        <f t="shared" si="1782"/>
        <v>72100000</v>
      </c>
      <c r="C8140" t="str">
        <f t="shared" si="1783"/>
        <v>72100632</v>
      </c>
      <c r="D8140" t="str">
        <f t="shared" si="1784"/>
        <v>816</v>
      </c>
      <c r="E8140" t="str">
        <f t="shared" si="1785"/>
        <v>89301091</v>
      </c>
      <c r="F8140" t="str">
        <f>"2256070113"</f>
        <v>2256070113</v>
      </c>
      <c r="G8140" s="1">
        <v>44726</v>
      </c>
      <c r="H8140" t="str">
        <f t="shared" si="1786"/>
        <v>94297</v>
      </c>
      <c r="I8140">
        <v>1</v>
      </c>
      <c r="J8140">
        <v>298</v>
      </c>
      <c r="K8140">
        <v>0</v>
      </c>
      <c r="L8140">
        <v>366.54</v>
      </c>
    </row>
    <row r="8141" spans="1:12" x14ac:dyDescent="0.25">
      <c r="A8141" t="str">
        <f t="shared" si="1781"/>
        <v>89301000</v>
      </c>
      <c r="B8141" t="str">
        <f t="shared" si="1782"/>
        <v>72100000</v>
      </c>
      <c r="C8141" t="str">
        <f t="shared" si="1783"/>
        <v>72100632</v>
      </c>
      <c r="D8141" t="str">
        <f t="shared" si="1784"/>
        <v>816</v>
      </c>
      <c r="E8141" t="str">
        <f t="shared" si="1785"/>
        <v>89301091</v>
      </c>
      <c r="F8141" t="str">
        <f>"2206070097"</f>
        <v>2206070097</v>
      </c>
      <c r="G8141" s="1">
        <v>44726</v>
      </c>
      <c r="H8141" t="str">
        <f t="shared" si="1786"/>
        <v>94297</v>
      </c>
      <c r="I8141">
        <v>1</v>
      </c>
      <c r="J8141">
        <v>298</v>
      </c>
      <c r="K8141">
        <v>0</v>
      </c>
      <c r="L8141">
        <v>366.54</v>
      </c>
    </row>
    <row r="8142" spans="1:12" x14ac:dyDescent="0.25">
      <c r="A8142" t="str">
        <f t="shared" si="1781"/>
        <v>89301000</v>
      </c>
      <c r="B8142" t="str">
        <f t="shared" si="1782"/>
        <v>72100000</v>
      </c>
      <c r="C8142" t="str">
        <f t="shared" si="1783"/>
        <v>72100632</v>
      </c>
      <c r="D8142" t="str">
        <f t="shared" si="1784"/>
        <v>816</v>
      </c>
      <c r="E8142" t="str">
        <f t="shared" si="1785"/>
        <v>89301091</v>
      </c>
      <c r="F8142" t="str">
        <f>"2256070740"</f>
        <v>2256070740</v>
      </c>
      <c r="G8142" s="1">
        <v>44726</v>
      </c>
      <c r="H8142" t="str">
        <f t="shared" si="1786"/>
        <v>94297</v>
      </c>
      <c r="I8142">
        <v>1</v>
      </c>
      <c r="J8142">
        <v>298</v>
      </c>
      <c r="K8142">
        <v>0</v>
      </c>
      <c r="L8142">
        <v>366.54</v>
      </c>
    </row>
    <row r="8143" spans="1:12" x14ac:dyDescent="0.25">
      <c r="A8143" t="str">
        <f t="shared" si="1781"/>
        <v>89301000</v>
      </c>
      <c r="B8143" t="str">
        <f t="shared" si="1782"/>
        <v>72100000</v>
      </c>
      <c r="C8143" t="str">
        <f t="shared" si="1783"/>
        <v>72100632</v>
      </c>
      <c r="D8143" t="str">
        <f t="shared" si="1784"/>
        <v>816</v>
      </c>
      <c r="E8143" t="str">
        <f t="shared" si="1785"/>
        <v>89301091</v>
      </c>
      <c r="F8143" t="str">
        <f>"2206070735"</f>
        <v>2206070735</v>
      </c>
      <c r="G8143" s="1">
        <v>44727</v>
      </c>
      <c r="H8143" t="str">
        <f t="shared" si="1786"/>
        <v>94297</v>
      </c>
      <c r="I8143">
        <v>1</v>
      </c>
      <c r="J8143">
        <v>298</v>
      </c>
      <c r="K8143">
        <v>0</v>
      </c>
      <c r="L8143">
        <v>366.54</v>
      </c>
    </row>
    <row r="8144" spans="1:12" x14ac:dyDescent="0.25">
      <c r="A8144" t="str">
        <f t="shared" si="1781"/>
        <v>89301000</v>
      </c>
      <c r="B8144" t="str">
        <f t="shared" si="1782"/>
        <v>72100000</v>
      </c>
      <c r="C8144" t="str">
        <f t="shared" si="1783"/>
        <v>72100632</v>
      </c>
      <c r="D8144" t="str">
        <f t="shared" si="1784"/>
        <v>816</v>
      </c>
      <c r="E8144" t="str">
        <f t="shared" si="1785"/>
        <v>89301091</v>
      </c>
      <c r="F8144" t="str">
        <f>"2256080035"</f>
        <v>2256080035</v>
      </c>
      <c r="G8144" s="1">
        <v>44727</v>
      </c>
      <c r="H8144" t="str">
        <f t="shared" si="1786"/>
        <v>94297</v>
      </c>
      <c r="I8144">
        <v>1</v>
      </c>
      <c r="J8144">
        <v>298</v>
      </c>
      <c r="K8144">
        <v>0</v>
      </c>
      <c r="L8144">
        <v>366.54</v>
      </c>
    </row>
    <row r="8145" spans="1:12" x14ac:dyDescent="0.25">
      <c r="A8145" t="str">
        <f t="shared" si="1781"/>
        <v>89301000</v>
      </c>
      <c r="B8145" t="str">
        <f t="shared" si="1782"/>
        <v>72100000</v>
      </c>
      <c r="C8145" t="str">
        <f t="shared" si="1783"/>
        <v>72100632</v>
      </c>
      <c r="D8145" t="str">
        <f t="shared" si="1784"/>
        <v>816</v>
      </c>
      <c r="E8145" t="str">
        <f t="shared" si="1785"/>
        <v>89301091</v>
      </c>
      <c r="F8145" t="str">
        <f>"2256080046"</f>
        <v>2256080046</v>
      </c>
      <c r="G8145" s="1">
        <v>44727</v>
      </c>
      <c r="H8145" t="str">
        <f t="shared" si="1786"/>
        <v>94297</v>
      </c>
      <c r="I8145">
        <v>1</v>
      </c>
      <c r="J8145">
        <v>298</v>
      </c>
      <c r="K8145">
        <v>0</v>
      </c>
      <c r="L8145">
        <v>366.54</v>
      </c>
    </row>
    <row r="8146" spans="1:12" x14ac:dyDescent="0.25">
      <c r="A8146" t="str">
        <f t="shared" si="1781"/>
        <v>89301000</v>
      </c>
      <c r="B8146" t="str">
        <f t="shared" si="1782"/>
        <v>72100000</v>
      </c>
      <c r="C8146" t="str">
        <f t="shared" si="1783"/>
        <v>72100632</v>
      </c>
      <c r="D8146" t="str">
        <f t="shared" si="1784"/>
        <v>816</v>
      </c>
      <c r="E8146" t="str">
        <f t="shared" si="1785"/>
        <v>89301091</v>
      </c>
      <c r="F8146" t="str">
        <f>"2256080057"</f>
        <v>2256080057</v>
      </c>
      <c r="G8146" s="1">
        <v>44727</v>
      </c>
      <c r="H8146" t="str">
        <f t="shared" si="1786"/>
        <v>94297</v>
      </c>
      <c r="I8146">
        <v>1</v>
      </c>
      <c r="J8146">
        <v>298</v>
      </c>
      <c r="K8146">
        <v>0</v>
      </c>
      <c r="L8146">
        <v>366.54</v>
      </c>
    </row>
    <row r="8147" spans="1:12" x14ac:dyDescent="0.25">
      <c r="A8147" t="str">
        <f t="shared" si="1781"/>
        <v>89301000</v>
      </c>
      <c r="B8147" t="str">
        <f t="shared" si="1782"/>
        <v>72100000</v>
      </c>
      <c r="C8147" t="str">
        <f t="shared" si="1783"/>
        <v>72100632</v>
      </c>
      <c r="D8147" t="str">
        <f t="shared" si="1784"/>
        <v>816</v>
      </c>
      <c r="E8147" t="str">
        <f t="shared" si="1785"/>
        <v>89301091</v>
      </c>
      <c r="F8147" t="str">
        <f>"2206080756"</f>
        <v>2206080756</v>
      </c>
      <c r="G8147" s="1">
        <v>44727</v>
      </c>
      <c r="H8147" t="str">
        <f t="shared" si="1786"/>
        <v>94297</v>
      </c>
      <c r="I8147">
        <v>1</v>
      </c>
      <c r="J8147">
        <v>298</v>
      </c>
      <c r="K8147">
        <v>0</v>
      </c>
      <c r="L8147">
        <v>366.54</v>
      </c>
    </row>
    <row r="8148" spans="1:12" x14ac:dyDescent="0.25">
      <c r="A8148" t="str">
        <f t="shared" si="1781"/>
        <v>89301000</v>
      </c>
      <c r="B8148" t="str">
        <f t="shared" si="1782"/>
        <v>72100000</v>
      </c>
      <c r="C8148" t="str">
        <f t="shared" si="1783"/>
        <v>72100632</v>
      </c>
      <c r="D8148" t="str">
        <f t="shared" si="1784"/>
        <v>816</v>
      </c>
      <c r="E8148" t="str">
        <f t="shared" si="1785"/>
        <v>89301091</v>
      </c>
      <c r="F8148" t="str">
        <f>"8759125782"</f>
        <v>8759125782</v>
      </c>
      <c r="G8148" s="1">
        <v>44727</v>
      </c>
      <c r="H8148" t="str">
        <f t="shared" si="1786"/>
        <v>94297</v>
      </c>
      <c r="I8148">
        <v>1</v>
      </c>
      <c r="J8148">
        <v>298</v>
      </c>
      <c r="K8148">
        <v>0</v>
      </c>
      <c r="L8148">
        <v>366.54</v>
      </c>
    </row>
    <row r="8149" spans="1:12" x14ac:dyDescent="0.25">
      <c r="A8149" t="str">
        <f t="shared" si="1781"/>
        <v>89301000</v>
      </c>
      <c r="B8149" t="str">
        <f t="shared" si="1782"/>
        <v>72100000</v>
      </c>
      <c r="C8149" t="str">
        <f t="shared" si="1783"/>
        <v>72100632</v>
      </c>
      <c r="D8149" t="str">
        <f t="shared" si="1784"/>
        <v>816</v>
      </c>
      <c r="E8149" t="str">
        <f t="shared" si="1785"/>
        <v>89301091</v>
      </c>
      <c r="F8149" t="str">
        <f>"2256090694"</f>
        <v>2256090694</v>
      </c>
      <c r="G8149" s="1">
        <v>44727</v>
      </c>
      <c r="H8149" t="str">
        <f t="shared" si="1786"/>
        <v>94297</v>
      </c>
      <c r="I8149">
        <v>1</v>
      </c>
      <c r="J8149">
        <v>298</v>
      </c>
      <c r="K8149">
        <v>0</v>
      </c>
      <c r="L8149">
        <v>366.54</v>
      </c>
    </row>
    <row r="8150" spans="1:12" x14ac:dyDescent="0.25">
      <c r="A8150" t="str">
        <f t="shared" si="1781"/>
        <v>89301000</v>
      </c>
      <c r="B8150" t="str">
        <f t="shared" si="1782"/>
        <v>72100000</v>
      </c>
      <c r="C8150" t="str">
        <f t="shared" si="1783"/>
        <v>72100632</v>
      </c>
      <c r="D8150" t="str">
        <f t="shared" si="1784"/>
        <v>816</v>
      </c>
      <c r="E8150" t="str">
        <f t="shared" si="1785"/>
        <v>89301091</v>
      </c>
      <c r="F8150" t="str">
        <f>"2256090705"</f>
        <v>2256090705</v>
      </c>
      <c r="G8150" s="1">
        <v>44727</v>
      </c>
      <c r="H8150" t="str">
        <f t="shared" si="1786"/>
        <v>94297</v>
      </c>
      <c r="I8150">
        <v>1</v>
      </c>
      <c r="J8150">
        <v>298</v>
      </c>
      <c r="K8150">
        <v>0</v>
      </c>
      <c r="L8150">
        <v>366.54</v>
      </c>
    </row>
    <row r="8151" spans="1:12" x14ac:dyDescent="0.25">
      <c r="A8151" t="str">
        <f t="shared" si="1781"/>
        <v>89301000</v>
      </c>
      <c r="B8151" t="str">
        <f t="shared" si="1782"/>
        <v>72100000</v>
      </c>
      <c r="C8151" t="str">
        <f t="shared" si="1783"/>
        <v>72100632</v>
      </c>
      <c r="D8151" t="str">
        <f t="shared" si="1784"/>
        <v>816</v>
      </c>
      <c r="E8151" t="str">
        <f t="shared" si="1785"/>
        <v>89301091</v>
      </c>
      <c r="F8151" t="str">
        <f>"2256090716"</f>
        <v>2256090716</v>
      </c>
      <c r="G8151" s="1">
        <v>44727</v>
      </c>
      <c r="H8151" t="str">
        <f t="shared" si="1786"/>
        <v>94297</v>
      </c>
      <c r="I8151">
        <v>1</v>
      </c>
      <c r="J8151">
        <v>298</v>
      </c>
      <c r="K8151">
        <v>0</v>
      </c>
      <c r="L8151">
        <v>366.54</v>
      </c>
    </row>
    <row r="8152" spans="1:12" x14ac:dyDescent="0.25">
      <c r="A8152" t="str">
        <f t="shared" si="1781"/>
        <v>89301000</v>
      </c>
      <c r="B8152" t="str">
        <f t="shared" si="1782"/>
        <v>72100000</v>
      </c>
      <c r="C8152" t="str">
        <f t="shared" si="1783"/>
        <v>72100632</v>
      </c>
      <c r="D8152" t="str">
        <f t="shared" si="1784"/>
        <v>816</v>
      </c>
      <c r="E8152" t="str">
        <f t="shared" si="1785"/>
        <v>89301091</v>
      </c>
      <c r="F8152" t="str">
        <f>"2256090727"</f>
        <v>2256090727</v>
      </c>
      <c r="G8152" s="1">
        <v>44727</v>
      </c>
      <c r="H8152" t="str">
        <f t="shared" si="1786"/>
        <v>94297</v>
      </c>
      <c r="I8152">
        <v>1</v>
      </c>
      <c r="J8152">
        <v>298</v>
      </c>
      <c r="K8152">
        <v>0</v>
      </c>
      <c r="L8152">
        <v>366.54</v>
      </c>
    </row>
    <row r="8153" spans="1:12" x14ac:dyDescent="0.25">
      <c r="A8153" t="str">
        <f t="shared" si="1781"/>
        <v>89301000</v>
      </c>
      <c r="B8153" t="str">
        <f t="shared" si="1782"/>
        <v>72100000</v>
      </c>
      <c r="C8153" t="str">
        <f t="shared" si="1783"/>
        <v>72100632</v>
      </c>
      <c r="D8153" t="str">
        <f t="shared" si="1784"/>
        <v>816</v>
      </c>
      <c r="E8153" t="str">
        <f t="shared" si="1785"/>
        <v>89301091</v>
      </c>
      <c r="F8153" t="str">
        <f>"2256100143"</f>
        <v>2256100143</v>
      </c>
      <c r="G8153" s="1">
        <v>44727</v>
      </c>
      <c r="H8153" t="str">
        <f t="shared" si="1786"/>
        <v>94297</v>
      </c>
      <c r="I8153">
        <v>1</v>
      </c>
      <c r="J8153">
        <v>298</v>
      </c>
      <c r="K8153">
        <v>0</v>
      </c>
      <c r="L8153">
        <v>366.54</v>
      </c>
    </row>
    <row r="8154" spans="1:12" x14ac:dyDescent="0.25">
      <c r="A8154" t="str">
        <f t="shared" si="1781"/>
        <v>89301000</v>
      </c>
      <c r="B8154" t="str">
        <f t="shared" si="1782"/>
        <v>72100000</v>
      </c>
      <c r="C8154" t="str">
        <f t="shared" si="1783"/>
        <v>72100632</v>
      </c>
      <c r="D8154" t="str">
        <f t="shared" si="1784"/>
        <v>816</v>
      </c>
      <c r="E8154" t="str">
        <f t="shared" si="1785"/>
        <v>89301091</v>
      </c>
      <c r="F8154" t="str">
        <f>"8951225701"</f>
        <v>8951225701</v>
      </c>
      <c r="G8154" s="1">
        <v>44727</v>
      </c>
      <c r="H8154" t="str">
        <f t="shared" si="1786"/>
        <v>94297</v>
      </c>
      <c r="I8154">
        <v>1</v>
      </c>
      <c r="J8154">
        <v>298</v>
      </c>
      <c r="K8154">
        <v>0</v>
      </c>
      <c r="L8154">
        <v>366.54</v>
      </c>
    </row>
    <row r="8155" spans="1:12" x14ac:dyDescent="0.25">
      <c r="A8155" t="str">
        <f t="shared" si="1781"/>
        <v>89301000</v>
      </c>
      <c r="B8155" t="str">
        <f t="shared" si="1782"/>
        <v>72100000</v>
      </c>
      <c r="C8155" t="str">
        <f t="shared" si="1783"/>
        <v>72100632</v>
      </c>
      <c r="D8155" t="str">
        <f t="shared" si="1784"/>
        <v>816</v>
      </c>
      <c r="E8155" t="str">
        <f t="shared" si="1785"/>
        <v>89301091</v>
      </c>
      <c r="F8155" t="str">
        <f>"2206120477"</f>
        <v>2206120477</v>
      </c>
      <c r="G8155" s="1">
        <v>44729</v>
      </c>
      <c r="H8155" t="str">
        <f t="shared" si="1786"/>
        <v>94297</v>
      </c>
      <c r="I8155">
        <v>1</v>
      </c>
      <c r="J8155">
        <v>298</v>
      </c>
      <c r="K8155">
        <v>0</v>
      </c>
      <c r="L8155">
        <v>366.54</v>
      </c>
    </row>
    <row r="8156" spans="1:12" x14ac:dyDescent="0.25">
      <c r="A8156" t="str">
        <f t="shared" si="1781"/>
        <v>89301000</v>
      </c>
      <c r="B8156" t="str">
        <f t="shared" si="1782"/>
        <v>72100000</v>
      </c>
      <c r="C8156" t="str">
        <f t="shared" si="1783"/>
        <v>72100632</v>
      </c>
      <c r="D8156" t="str">
        <f t="shared" si="1784"/>
        <v>816</v>
      </c>
      <c r="E8156" t="str">
        <f t="shared" si="1785"/>
        <v>89301091</v>
      </c>
      <c r="F8156" t="str">
        <f>"2206120521"</f>
        <v>2206120521</v>
      </c>
      <c r="G8156" s="1">
        <v>44729</v>
      </c>
      <c r="H8156" t="str">
        <f t="shared" si="1786"/>
        <v>94297</v>
      </c>
      <c r="I8156">
        <v>1</v>
      </c>
      <c r="J8156">
        <v>298</v>
      </c>
      <c r="K8156">
        <v>0</v>
      </c>
      <c r="L8156">
        <v>366.54</v>
      </c>
    </row>
    <row r="8157" spans="1:12" x14ac:dyDescent="0.25">
      <c r="A8157" t="str">
        <f t="shared" si="1781"/>
        <v>89301000</v>
      </c>
      <c r="B8157" t="str">
        <f t="shared" si="1782"/>
        <v>72100000</v>
      </c>
      <c r="C8157" t="str">
        <f t="shared" si="1783"/>
        <v>72100632</v>
      </c>
      <c r="D8157" t="str">
        <f t="shared" si="1784"/>
        <v>816</v>
      </c>
      <c r="E8157" t="str">
        <f t="shared" si="1785"/>
        <v>89301091</v>
      </c>
      <c r="F8157" t="str">
        <f>"9252055714"</f>
        <v>9252055714</v>
      </c>
      <c r="G8157" s="1">
        <v>44732</v>
      </c>
      <c r="H8157" t="str">
        <f t="shared" si="1786"/>
        <v>94297</v>
      </c>
      <c r="I8157">
        <v>1</v>
      </c>
      <c r="J8157">
        <v>298</v>
      </c>
      <c r="K8157">
        <v>0</v>
      </c>
      <c r="L8157">
        <v>366.54</v>
      </c>
    </row>
    <row r="8158" spans="1:12" x14ac:dyDescent="0.25">
      <c r="A8158" t="str">
        <f t="shared" si="1781"/>
        <v>89301000</v>
      </c>
      <c r="B8158" t="str">
        <f t="shared" si="1782"/>
        <v>72100000</v>
      </c>
      <c r="C8158" t="str">
        <f t="shared" si="1783"/>
        <v>72100632</v>
      </c>
      <c r="D8158" t="str">
        <f t="shared" si="1784"/>
        <v>816</v>
      </c>
      <c r="E8158" t="str">
        <f t="shared" si="1785"/>
        <v>89301091</v>
      </c>
      <c r="F8158" t="str">
        <f>"2256130613"</f>
        <v>2256130613</v>
      </c>
      <c r="G8158" s="1">
        <v>44732</v>
      </c>
      <c r="H8158" t="str">
        <f t="shared" si="1786"/>
        <v>94297</v>
      </c>
      <c r="I8158">
        <v>1</v>
      </c>
      <c r="J8158">
        <v>298</v>
      </c>
      <c r="K8158">
        <v>0</v>
      </c>
      <c r="L8158">
        <v>366.54</v>
      </c>
    </row>
    <row r="8159" spans="1:12" x14ac:dyDescent="0.25">
      <c r="A8159" t="str">
        <f t="shared" si="1781"/>
        <v>89301000</v>
      </c>
      <c r="B8159" t="str">
        <f t="shared" si="1782"/>
        <v>72100000</v>
      </c>
      <c r="C8159" t="str">
        <f t="shared" si="1783"/>
        <v>72100632</v>
      </c>
      <c r="D8159" t="str">
        <f t="shared" si="1784"/>
        <v>816</v>
      </c>
      <c r="E8159" t="str">
        <f t="shared" si="1785"/>
        <v>89301091</v>
      </c>
      <c r="F8159" t="str">
        <f>"2256140711"</f>
        <v>2256140711</v>
      </c>
      <c r="G8159" s="1">
        <v>44733</v>
      </c>
      <c r="H8159" t="str">
        <f t="shared" si="1786"/>
        <v>94297</v>
      </c>
      <c r="I8159">
        <v>1</v>
      </c>
      <c r="J8159">
        <v>298</v>
      </c>
      <c r="K8159">
        <v>0</v>
      </c>
      <c r="L8159">
        <v>366.54</v>
      </c>
    </row>
    <row r="8160" spans="1:12" x14ac:dyDescent="0.25">
      <c r="A8160" t="str">
        <f t="shared" si="1781"/>
        <v>89301000</v>
      </c>
      <c r="B8160" t="str">
        <f t="shared" si="1782"/>
        <v>72100000</v>
      </c>
      <c r="C8160" t="str">
        <f t="shared" si="1783"/>
        <v>72100632</v>
      </c>
      <c r="D8160" t="str">
        <f t="shared" si="1784"/>
        <v>816</v>
      </c>
      <c r="E8160" t="str">
        <f t="shared" si="1785"/>
        <v>89301091</v>
      </c>
      <c r="F8160" t="str">
        <f>"2256140744"</f>
        <v>2256140744</v>
      </c>
      <c r="G8160" s="1">
        <v>44733</v>
      </c>
      <c r="H8160" t="str">
        <f t="shared" si="1786"/>
        <v>94297</v>
      </c>
      <c r="I8160">
        <v>1</v>
      </c>
      <c r="J8160">
        <v>298</v>
      </c>
      <c r="K8160">
        <v>0</v>
      </c>
      <c r="L8160">
        <v>366.54</v>
      </c>
    </row>
    <row r="8161" spans="1:12" x14ac:dyDescent="0.25">
      <c r="A8161" t="str">
        <f t="shared" si="1781"/>
        <v>89301000</v>
      </c>
      <c r="B8161" t="str">
        <f t="shared" si="1782"/>
        <v>72100000</v>
      </c>
      <c r="C8161" t="str">
        <f t="shared" si="1783"/>
        <v>72100632</v>
      </c>
      <c r="D8161" t="str">
        <f t="shared" si="1784"/>
        <v>816</v>
      </c>
      <c r="E8161" t="str">
        <f t="shared" si="1785"/>
        <v>89301091</v>
      </c>
      <c r="F8161" t="str">
        <f>"2206140607"</f>
        <v>2206140607</v>
      </c>
      <c r="G8161" s="1">
        <v>44733</v>
      </c>
      <c r="H8161" t="str">
        <f t="shared" si="1786"/>
        <v>94297</v>
      </c>
      <c r="I8161">
        <v>1</v>
      </c>
      <c r="J8161">
        <v>298</v>
      </c>
      <c r="K8161">
        <v>0</v>
      </c>
      <c r="L8161">
        <v>366.54</v>
      </c>
    </row>
    <row r="8162" spans="1:12" x14ac:dyDescent="0.25">
      <c r="A8162" t="str">
        <f t="shared" si="1781"/>
        <v>89301000</v>
      </c>
      <c r="B8162" t="str">
        <f t="shared" si="1782"/>
        <v>72100000</v>
      </c>
      <c r="C8162" t="str">
        <f t="shared" si="1783"/>
        <v>72100632</v>
      </c>
      <c r="D8162" t="str">
        <f t="shared" si="1784"/>
        <v>816</v>
      </c>
      <c r="E8162" t="str">
        <f t="shared" si="1785"/>
        <v>89301091</v>
      </c>
      <c r="F8162" t="str">
        <f>"2206150155"</f>
        <v>2206150155</v>
      </c>
      <c r="G8162" s="1">
        <v>44734</v>
      </c>
      <c r="H8162" t="str">
        <f t="shared" si="1786"/>
        <v>94297</v>
      </c>
      <c r="I8162">
        <v>1</v>
      </c>
      <c r="J8162">
        <v>298</v>
      </c>
      <c r="K8162">
        <v>0</v>
      </c>
      <c r="L8162">
        <v>366.54</v>
      </c>
    </row>
    <row r="8163" spans="1:12" x14ac:dyDescent="0.25">
      <c r="A8163" t="str">
        <f t="shared" si="1781"/>
        <v>89301000</v>
      </c>
      <c r="B8163" t="str">
        <f t="shared" si="1782"/>
        <v>72100000</v>
      </c>
      <c r="C8163" t="str">
        <f t="shared" si="1783"/>
        <v>72100632</v>
      </c>
      <c r="D8163" t="str">
        <f t="shared" si="1784"/>
        <v>816</v>
      </c>
      <c r="E8163" t="str">
        <f t="shared" si="1785"/>
        <v>89301091</v>
      </c>
      <c r="F8163" t="str">
        <f>"2256150545"</f>
        <v>2256150545</v>
      </c>
      <c r="G8163" s="1">
        <v>44734</v>
      </c>
      <c r="H8163" t="str">
        <f t="shared" si="1786"/>
        <v>94297</v>
      </c>
      <c r="I8163">
        <v>1</v>
      </c>
      <c r="J8163">
        <v>298</v>
      </c>
      <c r="K8163">
        <v>0</v>
      </c>
      <c r="L8163">
        <v>366.54</v>
      </c>
    </row>
    <row r="8164" spans="1:12" x14ac:dyDescent="0.25">
      <c r="A8164" t="str">
        <f t="shared" si="1781"/>
        <v>89301000</v>
      </c>
      <c r="B8164" t="str">
        <f t="shared" si="1782"/>
        <v>72100000</v>
      </c>
      <c r="C8164" t="str">
        <f t="shared" si="1783"/>
        <v>72100632</v>
      </c>
      <c r="D8164" t="str">
        <f t="shared" si="1784"/>
        <v>816</v>
      </c>
      <c r="E8164" t="str">
        <f t="shared" si="1785"/>
        <v>89301091</v>
      </c>
      <c r="F8164" t="str">
        <f>"2206150771"</f>
        <v>2206150771</v>
      </c>
      <c r="G8164" s="1">
        <v>44734</v>
      </c>
      <c r="H8164" t="str">
        <f t="shared" si="1786"/>
        <v>94297</v>
      </c>
      <c r="I8164">
        <v>1</v>
      </c>
      <c r="J8164">
        <v>298</v>
      </c>
      <c r="K8164">
        <v>0</v>
      </c>
      <c r="L8164">
        <v>366.54</v>
      </c>
    </row>
    <row r="8165" spans="1:12" x14ac:dyDescent="0.25">
      <c r="A8165" t="str">
        <f t="shared" si="1781"/>
        <v>89301000</v>
      </c>
      <c r="B8165" t="str">
        <f t="shared" si="1782"/>
        <v>72100000</v>
      </c>
      <c r="C8165" t="str">
        <f t="shared" si="1783"/>
        <v>72100632</v>
      </c>
      <c r="D8165" t="str">
        <f t="shared" si="1784"/>
        <v>816</v>
      </c>
      <c r="E8165" t="str">
        <f t="shared" si="1785"/>
        <v>89301091</v>
      </c>
      <c r="F8165" t="str">
        <f>"2206160055"</f>
        <v>2206160055</v>
      </c>
      <c r="G8165" s="1">
        <v>44734</v>
      </c>
      <c r="H8165" t="str">
        <f t="shared" si="1786"/>
        <v>94297</v>
      </c>
      <c r="I8165">
        <v>1</v>
      </c>
      <c r="J8165">
        <v>298</v>
      </c>
      <c r="K8165">
        <v>0</v>
      </c>
      <c r="L8165">
        <v>366.54</v>
      </c>
    </row>
    <row r="8166" spans="1:12" x14ac:dyDescent="0.25">
      <c r="A8166" t="str">
        <f t="shared" si="1781"/>
        <v>89301000</v>
      </c>
      <c r="B8166" t="str">
        <f t="shared" si="1782"/>
        <v>72100000</v>
      </c>
      <c r="C8166" t="str">
        <f t="shared" si="1783"/>
        <v>72100632</v>
      </c>
      <c r="D8166" t="str">
        <f t="shared" si="1784"/>
        <v>816</v>
      </c>
      <c r="E8166" t="str">
        <f t="shared" si="1785"/>
        <v>89301091</v>
      </c>
      <c r="F8166" t="str">
        <f>"2206160847"</f>
        <v>2206160847</v>
      </c>
      <c r="G8166" s="1">
        <v>44734</v>
      </c>
      <c r="H8166" t="str">
        <f t="shared" si="1786"/>
        <v>94297</v>
      </c>
      <c r="I8166">
        <v>1</v>
      </c>
      <c r="J8166">
        <v>298</v>
      </c>
      <c r="K8166">
        <v>0</v>
      </c>
      <c r="L8166">
        <v>366.54</v>
      </c>
    </row>
    <row r="8167" spans="1:12" x14ac:dyDescent="0.25">
      <c r="A8167" t="str">
        <f t="shared" si="1781"/>
        <v>89301000</v>
      </c>
      <c r="B8167" t="str">
        <f t="shared" si="1782"/>
        <v>72100000</v>
      </c>
      <c r="C8167" t="str">
        <f t="shared" si="1783"/>
        <v>72100632</v>
      </c>
      <c r="D8167" t="str">
        <f t="shared" si="1784"/>
        <v>816</v>
      </c>
      <c r="E8167" t="str">
        <f t="shared" si="1785"/>
        <v>89301091</v>
      </c>
      <c r="F8167" t="str">
        <f>"2256160830"</f>
        <v>2256160830</v>
      </c>
      <c r="G8167" s="1">
        <v>44734</v>
      </c>
      <c r="H8167" t="str">
        <f t="shared" si="1786"/>
        <v>94297</v>
      </c>
      <c r="I8167">
        <v>1</v>
      </c>
      <c r="J8167">
        <v>298</v>
      </c>
      <c r="K8167">
        <v>0</v>
      </c>
      <c r="L8167">
        <v>366.54</v>
      </c>
    </row>
    <row r="8168" spans="1:12" x14ac:dyDescent="0.25">
      <c r="A8168" t="str">
        <f t="shared" si="1781"/>
        <v>89301000</v>
      </c>
      <c r="B8168" t="str">
        <f t="shared" si="1782"/>
        <v>72100000</v>
      </c>
      <c r="C8168" t="str">
        <f t="shared" si="1783"/>
        <v>72100632</v>
      </c>
      <c r="D8168" t="str">
        <f t="shared" si="1784"/>
        <v>816</v>
      </c>
      <c r="E8168" t="str">
        <f t="shared" si="1785"/>
        <v>89301091</v>
      </c>
      <c r="F8168" t="str">
        <f>"2256170081"</f>
        <v>2256170081</v>
      </c>
      <c r="G8168" s="1">
        <v>44734</v>
      </c>
      <c r="H8168" t="str">
        <f t="shared" si="1786"/>
        <v>94297</v>
      </c>
      <c r="I8168">
        <v>1</v>
      </c>
      <c r="J8168">
        <v>298</v>
      </c>
      <c r="K8168">
        <v>0</v>
      </c>
      <c r="L8168">
        <v>366.54</v>
      </c>
    </row>
    <row r="8169" spans="1:12" x14ac:dyDescent="0.25">
      <c r="A8169" t="str">
        <f t="shared" si="1781"/>
        <v>89301000</v>
      </c>
      <c r="B8169" t="str">
        <f t="shared" si="1782"/>
        <v>72100000</v>
      </c>
      <c r="C8169" t="str">
        <f t="shared" si="1783"/>
        <v>72100632</v>
      </c>
      <c r="D8169" t="str">
        <f t="shared" si="1784"/>
        <v>816</v>
      </c>
      <c r="E8169" t="str">
        <f t="shared" si="1785"/>
        <v>89301091</v>
      </c>
      <c r="F8169" t="str">
        <f>"8262234464"</f>
        <v>8262234464</v>
      </c>
      <c r="G8169" s="1">
        <v>44734</v>
      </c>
      <c r="H8169" t="str">
        <f t="shared" si="1786"/>
        <v>94297</v>
      </c>
      <c r="I8169">
        <v>1</v>
      </c>
      <c r="J8169">
        <v>298</v>
      </c>
      <c r="K8169">
        <v>0</v>
      </c>
      <c r="L8169">
        <v>366.54</v>
      </c>
    </row>
    <row r="8170" spans="1:12" x14ac:dyDescent="0.25">
      <c r="A8170" t="str">
        <f t="shared" si="1781"/>
        <v>89301000</v>
      </c>
      <c r="B8170" t="str">
        <f t="shared" ref="B8170:B8201" si="1787">"72100000"</f>
        <v>72100000</v>
      </c>
      <c r="C8170" t="str">
        <f t="shared" ref="C8170:C8201" si="1788">"72100632"</f>
        <v>72100632</v>
      </c>
      <c r="D8170" t="str">
        <f t="shared" ref="D8170:D8201" si="1789">"816"</f>
        <v>816</v>
      </c>
      <c r="E8170" t="str">
        <f t="shared" ref="E8170:E8201" si="1790">"89301091"</f>
        <v>89301091</v>
      </c>
      <c r="F8170" t="str">
        <f>"2206180350"</f>
        <v>2206180350</v>
      </c>
      <c r="G8170" s="1">
        <v>44735</v>
      </c>
      <c r="H8170" t="str">
        <f t="shared" ref="H8170:H8201" si="1791">"94297"</f>
        <v>94297</v>
      </c>
      <c r="I8170">
        <v>1</v>
      </c>
      <c r="J8170">
        <v>298</v>
      </c>
      <c r="K8170">
        <v>0</v>
      </c>
      <c r="L8170">
        <v>366.54</v>
      </c>
    </row>
    <row r="8171" spans="1:12" x14ac:dyDescent="0.25">
      <c r="A8171" t="str">
        <f t="shared" si="1781"/>
        <v>89301000</v>
      </c>
      <c r="B8171" t="str">
        <f t="shared" si="1787"/>
        <v>72100000</v>
      </c>
      <c r="C8171" t="str">
        <f t="shared" si="1788"/>
        <v>72100632</v>
      </c>
      <c r="D8171" t="str">
        <f t="shared" si="1789"/>
        <v>816</v>
      </c>
      <c r="E8171" t="str">
        <f t="shared" si="1790"/>
        <v>89301091</v>
      </c>
      <c r="F8171" t="str">
        <f>"2206190283"</f>
        <v>2206190283</v>
      </c>
      <c r="G8171" s="1">
        <v>44736</v>
      </c>
      <c r="H8171" t="str">
        <f t="shared" si="1791"/>
        <v>94297</v>
      </c>
      <c r="I8171">
        <v>1</v>
      </c>
      <c r="J8171">
        <v>298</v>
      </c>
      <c r="K8171">
        <v>0</v>
      </c>
      <c r="L8171">
        <v>366.54</v>
      </c>
    </row>
    <row r="8172" spans="1:12" x14ac:dyDescent="0.25">
      <c r="A8172" t="str">
        <f t="shared" si="1781"/>
        <v>89301000</v>
      </c>
      <c r="B8172" t="str">
        <f t="shared" si="1787"/>
        <v>72100000</v>
      </c>
      <c r="C8172" t="str">
        <f t="shared" si="1788"/>
        <v>72100632</v>
      </c>
      <c r="D8172" t="str">
        <f t="shared" si="1789"/>
        <v>816</v>
      </c>
      <c r="E8172" t="str">
        <f t="shared" si="1790"/>
        <v>89301091</v>
      </c>
      <c r="F8172" t="str">
        <f>"2206190316"</f>
        <v>2206190316</v>
      </c>
      <c r="G8172" s="1">
        <v>44736</v>
      </c>
      <c r="H8172" t="str">
        <f t="shared" si="1791"/>
        <v>94297</v>
      </c>
      <c r="I8172">
        <v>1</v>
      </c>
      <c r="J8172">
        <v>298</v>
      </c>
      <c r="K8172">
        <v>0</v>
      </c>
      <c r="L8172">
        <v>366.54</v>
      </c>
    </row>
    <row r="8173" spans="1:12" x14ac:dyDescent="0.25">
      <c r="A8173" t="str">
        <f t="shared" si="1781"/>
        <v>89301000</v>
      </c>
      <c r="B8173" t="str">
        <f t="shared" si="1787"/>
        <v>72100000</v>
      </c>
      <c r="C8173" t="str">
        <f t="shared" si="1788"/>
        <v>72100632</v>
      </c>
      <c r="D8173" t="str">
        <f t="shared" si="1789"/>
        <v>816</v>
      </c>
      <c r="E8173" t="str">
        <f t="shared" si="1790"/>
        <v>89301091</v>
      </c>
      <c r="F8173" t="str">
        <f>"8755274913"</f>
        <v>8755274913</v>
      </c>
      <c r="G8173" s="1">
        <v>44739</v>
      </c>
      <c r="H8173" t="str">
        <f t="shared" si="1791"/>
        <v>94297</v>
      </c>
      <c r="I8173">
        <v>1</v>
      </c>
      <c r="J8173">
        <v>298</v>
      </c>
      <c r="K8173">
        <v>0</v>
      </c>
      <c r="L8173">
        <v>366.54</v>
      </c>
    </row>
    <row r="8174" spans="1:12" x14ac:dyDescent="0.25">
      <c r="A8174" t="str">
        <f t="shared" si="1781"/>
        <v>89301000</v>
      </c>
      <c r="B8174" t="str">
        <f t="shared" si="1787"/>
        <v>72100000</v>
      </c>
      <c r="C8174" t="str">
        <f t="shared" si="1788"/>
        <v>72100632</v>
      </c>
      <c r="D8174" t="str">
        <f t="shared" si="1789"/>
        <v>816</v>
      </c>
      <c r="E8174" t="str">
        <f t="shared" si="1790"/>
        <v>89301091</v>
      </c>
      <c r="F8174" t="str">
        <f>"2206200040"</f>
        <v>2206200040</v>
      </c>
      <c r="G8174" s="1">
        <v>44739</v>
      </c>
      <c r="H8174" t="str">
        <f t="shared" si="1791"/>
        <v>94297</v>
      </c>
      <c r="I8174">
        <v>1</v>
      </c>
      <c r="J8174">
        <v>298</v>
      </c>
      <c r="K8174">
        <v>0</v>
      </c>
      <c r="L8174">
        <v>366.54</v>
      </c>
    </row>
    <row r="8175" spans="1:12" x14ac:dyDescent="0.25">
      <c r="A8175" t="str">
        <f t="shared" si="1781"/>
        <v>89301000</v>
      </c>
      <c r="B8175" t="str">
        <f t="shared" si="1787"/>
        <v>72100000</v>
      </c>
      <c r="C8175" t="str">
        <f t="shared" si="1788"/>
        <v>72100632</v>
      </c>
      <c r="D8175" t="str">
        <f t="shared" si="1789"/>
        <v>816</v>
      </c>
      <c r="E8175" t="str">
        <f t="shared" si="1790"/>
        <v>89301091</v>
      </c>
      <c r="F8175" t="str">
        <f>"2206200051"</f>
        <v>2206200051</v>
      </c>
      <c r="G8175" s="1">
        <v>44739</v>
      </c>
      <c r="H8175" t="str">
        <f t="shared" si="1791"/>
        <v>94297</v>
      </c>
      <c r="I8175">
        <v>1</v>
      </c>
      <c r="J8175">
        <v>298</v>
      </c>
      <c r="K8175">
        <v>0</v>
      </c>
      <c r="L8175">
        <v>366.54</v>
      </c>
    </row>
    <row r="8176" spans="1:12" x14ac:dyDescent="0.25">
      <c r="A8176" t="str">
        <f t="shared" si="1781"/>
        <v>89301000</v>
      </c>
      <c r="B8176" t="str">
        <f t="shared" si="1787"/>
        <v>72100000</v>
      </c>
      <c r="C8176" t="str">
        <f t="shared" si="1788"/>
        <v>72100632</v>
      </c>
      <c r="D8176" t="str">
        <f t="shared" si="1789"/>
        <v>816</v>
      </c>
      <c r="E8176" t="str">
        <f t="shared" si="1790"/>
        <v>89301091</v>
      </c>
      <c r="F8176" t="str">
        <f>"2256200386"</f>
        <v>2256200386</v>
      </c>
      <c r="G8176" s="1">
        <v>44739</v>
      </c>
      <c r="H8176" t="str">
        <f t="shared" si="1791"/>
        <v>94297</v>
      </c>
      <c r="I8176">
        <v>1</v>
      </c>
      <c r="J8176">
        <v>298</v>
      </c>
      <c r="K8176">
        <v>0</v>
      </c>
      <c r="L8176">
        <v>366.54</v>
      </c>
    </row>
    <row r="8177" spans="1:12" x14ac:dyDescent="0.25">
      <c r="A8177" t="str">
        <f t="shared" si="1781"/>
        <v>89301000</v>
      </c>
      <c r="B8177" t="str">
        <f t="shared" si="1787"/>
        <v>72100000</v>
      </c>
      <c r="C8177" t="str">
        <f t="shared" si="1788"/>
        <v>72100632</v>
      </c>
      <c r="D8177" t="str">
        <f t="shared" si="1789"/>
        <v>816</v>
      </c>
      <c r="E8177" t="str">
        <f t="shared" si="1790"/>
        <v>89301091</v>
      </c>
      <c r="F8177" t="str">
        <f>"2206210050"</f>
        <v>2206210050</v>
      </c>
      <c r="G8177" s="1">
        <v>44740</v>
      </c>
      <c r="H8177" t="str">
        <f t="shared" si="1791"/>
        <v>94297</v>
      </c>
      <c r="I8177">
        <v>1</v>
      </c>
      <c r="J8177">
        <v>298</v>
      </c>
      <c r="K8177">
        <v>0</v>
      </c>
      <c r="L8177">
        <v>366.54</v>
      </c>
    </row>
    <row r="8178" spans="1:12" x14ac:dyDescent="0.25">
      <c r="A8178" t="str">
        <f t="shared" si="1781"/>
        <v>89301000</v>
      </c>
      <c r="B8178" t="str">
        <f t="shared" si="1787"/>
        <v>72100000</v>
      </c>
      <c r="C8178" t="str">
        <f t="shared" si="1788"/>
        <v>72100632</v>
      </c>
      <c r="D8178" t="str">
        <f t="shared" si="1789"/>
        <v>816</v>
      </c>
      <c r="E8178" t="str">
        <f t="shared" si="1790"/>
        <v>89301091</v>
      </c>
      <c r="F8178" t="str">
        <f>"2256210583"</f>
        <v>2256210583</v>
      </c>
      <c r="G8178" s="1">
        <v>44740</v>
      </c>
      <c r="H8178" t="str">
        <f t="shared" si="1791"/>
        <v>94297</v>
      </c>
      <c r="I8178">
        <v>1</v>
      </c>
      <c r="J8178">
        <v>298</v>
      </c>
      <c r="K8178">
        <v>0</v>
      </c>
      <c r="L8178">
        <v>366.54</v>
      </c>
    </row>
    <row r="8179" spans="1:12" x14ac:dyDescent="0.25">
      <c r="A8179" t="str">
        <f t="shared" si="1781"/>
        <v>89301000</v>
      </c>
      <c r="B8179" t="str">
        <f t="shared" si="1787"/>
        <v>72100000</v>
      </c>
      <c r="C8179" t="str">
        <f t="shared" si="1788"/>
        <v>72100632</v>
      </c>
      <c r="D8179" t="str">
        <f t="shared" si="1789"/>
        <v>816</v>
      </c>
      <c r="E8179" t="str">
        <f t="shared" si="1790"/>
        <v>89301091</v>
      </c>
      <c r="F8179" t="str">
        <f>"2206220753"</f>
        <v>2206220753</v>
      </c>
      <c r="G8179" s="1">
        <v>44741</v>
      </c>
      <c r="H8179" t="str">
        <f t="shared" si="1791"/>
        <v>94297</v>
      </c>
      <c r="I8179">
        <v>1</v>
      </c>
      <c r="J8179">
        <v>298</v>
      </c>
      <c r="K8179">
        <v>0</v>
      </c>
      <c r="L8179">
        <v>366.54</v>
      </c>
    </row>
    <row r="8180" spans="1:12" x14ac:dyDescent="0.25">
      <c r="A8180" t="str">
        <f t="shared" si="1781"/>
        <v>89301000</v>
      </c>
      <c r="B8180" t="str">
        <f t="shared" si="1787"/>
        <v>72100000</v>
      </c>
      <c r="C8180" t="str">
        <f t="shared" si="1788"/>
        <v>72100632</v>
      </c>
      <c r="D8180" t="str">
        <f t="shared" si="1789"/>
        <v>816</v>
      </c>
      <c r="E8180" t="str">
        <f t="shared" si="1790"/>
        <v>89301091</v>
      </c>
      <c r="F8180" t="str">
        <f>"2256220626"</f>
        <v>2256220626</v>
      </c>
      <c r="G8180" s="1">
        <v>44741</v>
      </c>
      <c r="H8180" t="str">
        <f t="shared" si="1791"/>
        <v>94297</v>
      </c>
      <c r="I8180">
        <v>1</v>
      </c>
      <c r="J8180">
        <v>298</v>
      </c>
      <c r="K8180">
        <v>0</v>
      </c>
      <c r="L8180">
        <v>366.54</v>
      </c>
    </row>
    <row r="8181" spans="1:12" x14ac:dyDescent="0.25">
      <c r="A8181" t="str">
        <f t="shared" si="1781"/>
        <v>89301000</v>
      </c>
      <c r="B8181" t="str">
        <f t="shared" si="1787"/>
        <v>72100000</v>
      </c>
      <c r="C8181" t="str">
        <f t="shared" si="1788"/>
        <v>72100632</v>
      </c>
      <c r="D8181" t="str">
        <f t="shared" si="1789"/>
        <v>816</v>
      </c>
      <c r="E8181" t="str">
        <f t="shared" si="1790"/>
        <v>89301091</v>
      </c>
      <c r="F8181" t="str">
        <f>"2256220637"</f>
        <v>2256220637</v>
      </c>
      <c r="G8181" s="1">
        <v>44741</v>
      </c>
      <c r="H8181" t="str">
        <f t="shared" si="1791"/>
        <v>94297</v>
      </c>
      <c r="I8181">
        <v>1</v>
      </c>
      <c r="J8181">
        <v>298</v>
      </c>
      <c r="K8181">
        <v>0</v>
      </c>
      <c r="L8181">
        <v>366.54</v>
      </c>
    </row>
    <row r="8182" spans="1:12" x14ac:dyDescent="0.25">
      <c r="A8182" t="str">
        <f t="shared" si="1781"/>
        <v>89301000</v>
      </c>
      <c r="B8182" t="str">
        <f t="shared" si="1787"/>
        <v>72100000</v>
      </c>
      <c r="C8182" t="str">
        <f t="shared" si="1788"/>
        <v>72100632</v>
      </c>
      <c r="D8182" t="str">
        <f t="shared" si="1789"/>
        <v>816</v>
      </c>
      <c r="E8182" t="str">
        <f t="shared" si="1790"/>
        <v>89301091</v>
      </c>
      <c r="F8182" t="str">
        <f>"2256230086"</f>
        <v>2256230086</v>
      </c>
      <c r="G8182" s="1">
        <v>44741</v>
      </c>
      <c r="H8182" t="str">
        <f t="shared" si="1791"/>
        <v>94297</v>
      </c>
      <c r="I8182">
        <v>1</v>
      </c>
      <c r="J8182">
        <v>298</v>
      </c>
      <c r="K8182">
        <v>0</v>
      </c>
      <c r="L8182">
        <v>366.54</v>
      </c>
    </row>
    <row r="8183" spans="1:12" x14ac:dyDescent="0.25">
      <c r="A8183" t="str">
        <f t="shared" si="1781"/>
        <v>89301000</v>
      </c>
      <c r="B8183" t="str">
        <f t="shared" si="1787"/>
        <v>72100000</v>
      </c>
      <c r="C8183" t="str">
        <f t="shared" si="1788"/>
        <v>72100632</v>
      </c>
      <c r="D8183" t="str">
        <f t="shared" si="1789"/>
        <v>816</v>
      </c>
      <c r="E8183" t="str">
        <f t="shared" si="1790"/>
        <v>89301091</v>
      </c>
      <c r="F8183" t="str">
        <f>"8156104792"</f>
        <v>8156104792</v>
      </c>
      <c r="G8183" s="1">
        <v>44741</v>
      </c>
      <c r="H8183" t="str">
        <f t="shared" si="1791"/>
        <v>94297</v>
      </c>
      <c r="I8183">
        <v>1</v>
      </c>
      <c r="J8183">
        <v>298</v>
      </c>
      <c r="K8183">
        <v>0</v>
      </c>
      <c r="L8183">
        <v>366.54</v>
      </c>
    </row>
    <row r="8184" spans="1:12" x14ac:dyDescent="0.25">
      <c r="A8184" t="str">
        <f t="shared" si="1781"/>
        <v>89301000</v>
      </c>
      <c r="B8184" t="str">
        <f t="shared" si="1787"/>
        <v>72100000</v>
      </c>
      <c r="C8184" t="str">
        <f t="shared" si="1788"/>
        <v>72100632</v>
      </c>
      <c r="D8184" t="str">
        <f t="shared" si="1789"/>
        <v>816</v>
      </c>
      <c r="E8184" t="str">
        <f t="shared" si="1790"/>
        <v>89301091</v>
      </c>
      <c r="F8184" t="str">
        <f>"2256250018"</f>
        <v>2256250018</v>
      </c>
      <c r="G8184" s="1">
        <v>44742</v>
      </c>
      <c r="H8184" t="str">
        <f t="shared" si="1791"/>
        <v>94297</v>
      </c>
      <c r="I8184">
        <v>1</v>
      </c>
      <c r="J8184">
        <v>298</v>
      </c>
      <c r="K8184">
        <v>0</v>
      </c>
      <c r="L8184">
        <v>366.54</v>
      </c>
    </row>
    <row r="8185" spans="1:12" x14ac:dyDescent="0.25">
      <c r="A8185" t="str">
        <f t="shared" si="1781"/>
        <v>89301000</v>
      </c>
      <c r="B8185" t="str">
        <f t="shared" si="1787"/>
        <v>72100000</v>
      </c>
      <c r="C8185" t="str">
        <f t="shared" si="1788"/>
        <v>72100632</v>
      </c>
      <c r="D8185" t="str">
        <f t="shared" si="1789"/>
        <v>816</v>
      </c>
      <c r="E8185" t="str">
        <f t="shared" si="1790"/>
        <v>89301091</v>
      </c>
      <c r="F8185" t="str">
        <f>"2206250013"</f>
        <v>2206250013</v>
      </c>
      <c r="G8185" s="1">
        <v>44742</v>
      </c>
      <c r="H8185" t="str">
        <f t="shared" si="1791"/>
        <v>94297</v>
      </c>
      <c r="I8185">
        <v>1</v>
      </c>
      <c r="J8185">
        <v>298</v>
      </c>
      <c r="K8185">
        <v>0</v>
      </c>
      <c r="L8185">
        <v>366.54</v>
      </c>
    </row>
    <row r="8186" spans="1:12" x14ac:dyDescent="0.25">
      <c r="A8186" t="str">
        <f t="shared" si="1781"/>
        <v>89301000</v>
      </c>
      <c r="B8186" t="str">
        <f t="shared" si="1787"/>
        <v>72100000</v>
      </c>
      <c r="C8186" t="str">
        <f t="shared" si="1788"/>
        <v>72100632</v>
      </c>
      <c r="D8186" t="str">
        <f t="shared" si="1789"/>
        <v>816</v>
      </c>
      <c r="E8186" t="str">
        <f t="shared" si="1790"/>
        <v>89301091</v>
      </c>
      <c r="F8186" t="str">
        <f>"2257270521"</f>
        <v>2257270521</v>
      </c>
      <c r="G8186" s="1">
        <v>44776</v>
      </c>
      <c r="H8186" t="str">
        <f t="shared" si="1791"/>
        <v>94297</v>
      </c>
      <c r="I8186">
        <v>1</v>
      </c>
      <c r="J8186">
        <v>298</v>
      </c>
      <c r="K8186">
        <v>0</v>
      </c>
      <c r="L8186">
        <v>366.54</v>
      </c>
    </row>
    <row r="8187" spans="1:12" x14ac:dyDescent="0.25">
      <c r="A8187" t="str">
        <f t="shared" si="1781"/>
        <v>89301000</v>
      </c>
      <c r="B8187" t="str">
        <f t="shared" si="1787"/>
        <v>72100000</v>
      </c>
      <c r="C8187" t="str">
        <f t="shared" si="1788"/>
        <v>72100632</v>
      </c>
      <c r="D8187" t="str">
        <f t="shared" si="1789"/>
        <v>816</v>
      </c>
      <c r="E8187" t="str">
        <f t="shared" si="1790"/>
        <v>89301091</v>
      </c>
      <c r="F8187" t="str">
        <f>"9252185701"</f>
        <v>9252185701</v>
      </c>
      <c r="G8187" s="1">
        <v>44776</v>
      </c>
      <c r="H8187" t="str">
        <f t="shared" si="1791"/>
        <v>94297</v>
      </c>
      <c r="I8187">
        <v>1</v>
      </c>
      <c r="J8187">
        <v>298</v>
      </c>
      <c r="K8187">
        <v>0</v>
      </c>
      <c r="L8187">
        <v>366.54</v>
      </c>
    </row>
    <row r="8188" spans="1:12" x14ac:dyDescent="0.25">
      <c r="A8188" t="str">
        <f t="shared" si="1781"/>
        <v>89301000</v>
      </c>
      <c r="B8188" t="str">
        <f t="shared" si="1787"/>
        <v>72100000</v>
      </c>
      <c r="C8188" t="str">
        <f t="shared" si="1788"/>
        <v>72100632</v>
      </c>
      <c r="D8188" t="str">
        <f t="shared" si="1789"/>
        <v>816</v>
      </c>
      <c r="E8188" t="str">
        <f t="shared" si="1790"/>
        <v>89301091</v>
      </c>
      <c r="F8188" t="str">
        <f>"8753034928"</f>
        <v>8753034928</v>
      </c>
      <c r="G8188" s="1">
        <v>44783</v>
      </c>
      <c r="H8188" t="str">
        <f t="shared" si="1791"/>
        <v>94297</v>
      </c>
      <c r="I8188">
        <v>1</v>
      </c>
      <c r="J8188">
        <v>298</v>
      </c>
      <c r="K8188">
        <v>0</v>
      </c>
      <c r="L8188">
        <v>366.54</v>
      </c>
    </row>
    <row r="8189" spans="1:12" x14ac:dyDescent="0.25">
      <c r="A8189" t="str">
        <f t="shared" si="1781"/>
        <v>89301000</v>
      </c>
      <c r="B8189" t="str">
        <f t="shared" si="1787"/>
        <v>72100000</v>
      </c>
      <c r="C8189" t="str">
        <f t="shared" si="1788"/>
        <v>72100632</v>
      </c>
      <c r="D8189" t="str">
        <f t="shared" si="1789"/>
        <v>816</v>
      </c>
      <c r="E8189" t="str">
        <f t="shared" si="1790"/>
        <v>89301091</v>
      </c>
      <c r="F8189" t="str">
        <f>"9453285501"</f>
        <v>9453285501</v>
      </c>
      <c r="G8189" s="1">
        <v>44788</v>
      </c>
      <c r="H8189" t="str">
        <f t="shared" si="1791"/>
        <v>94297</v>
      </c>
      <c r="I8189">
        <v>1</v>
      </c>
      <c r="J8189">
        <v>298</v>
      </c>
      <c r="K8189">
        <v>0</v>
      </c>
      <c r="L8189">
        <v>366.54</v>
      </c>
    </row>
    <row r="8190" spans="1:12" x14ac:dyDescent="0.25">
      <c r="A8190" t="str">
        <f t="shared" si="1781"/>
        <v>89301000</v>
      </c>
      <c r="B8190" t="str">
        <f t="shared" si="1787"/>
        <v>72100000</v>
      </c>
      <c r="C8190" t="str">
        <f t="shared" si="1788"/>
        <v>72100632</v>
      </c>
      <c r="D8190" t="str">
        <f t="shared" si="1789"/>
        <v>816</v>
      </c>
      <c r="E8190" t="str">
        <f t="shared" si="1790"/>
        <v>89301091</v>
      </c>
      <c r="F8190" t="str">
        <f>"0454076172"</f>
        <v>0454076172</v>
      </c>
      <c r="G8190" s="1">
        <v>44790</v>
      </c>
      <c r="H8190" t="str">
        <f t="shared" si="1791"/>
        <v>94297</v>
      </c>
      <c r="I8190">
        <v>1</v>
      </c>
      <c r="J8190">
        <v>298</v>
      </c>
      <c r="K8190">
        <v>0</v>
      </c>
      <c r="L8190">
        <v>366.54</v>
      </c>
    </row>
    <row r="8191" spans="1:12" x14ac:dyDescent="0.25">
      <c r="A8191" t="str">
        <f t="shared" si="1781"/>
        <v>89301000</v>
      </c>
      <c r="B8191" t="str">
        <f t="shared" si="1787"/>
        <v>72100000</v>
      </c>
      <c r="C8191" t="str">
        <f t="shared" si="1788"/>
        <v>72100632</v>
      </c>
      <c r="D8191" t="str">
        <f t="shared" si="1789"/>
        <v>816</v>
      </c>
      <c r="E8191" t="str">
        <f t="shared" si="1790"/>
        <v>89301091</v>
      </c>
      <c r="F8191" t="str">
        <f>"8657274098"</f>
        <v>8657274098</v>
      </c>
      <c r="G8191" s="1">
        <v>44797</v>
      </c>
      <c r="H8191" t="str">
        <f t="shared" si="1791"/>
        <v>94297</v>
      </c>
      <c r="I8191">
        <v>1</v>
      </c>
      <c r="J8191">
        <v>298</v>
      </c>
      <c r="K8191">
        <v>0</v>
      </c>
      <c r="L8191">
        <v>366.54</v>
      </c>
    </row>
    <row r="8192" spans="1:12" x14ac:dyDescent="0.25">
      <c r="A8192" t="str">
        <f t="shared" si="1781"/>
        <v>89301000</v>
      </c>
      <c r="B8192" t="str">
        <f t="shared" si="1787"/>
        <v>72100000</v>
      </c>
      <c r="C8192" t="str">
        <f t="shared" si="1788"/>
        <v>72100632</v>
      </c>
      <c r="D8192" t="str">
        <f t="shared" si="1789"/>
        <v>816</v>
      </c>
      <c r="E8192" t="str">
        <f t="shared" si="1790"/>
        <v>89301091</v>
      </c>
      <c r="F8192" t="str">
        <f>"2206260023"</f>
        <v>2206260023</v>
      </c>
      <c r="G8192" s="1">
        <v>44743</v>
      </c>
      <c r="H8192" t="str">
        <f t="shared" si="1791"/>
        <v>94297</v>
      </c>
      <c r="I8192">
        <v>1</v>
      </c>
      <c r="J8192">
        <v>298</v>
      </c>
      <c r="K8192">
        <v>0</v>
      </c>
      <c r="L8192">
        <v>366.54</v>
      </c>
    </row>
    <row r="8193" spans="1:12" x14ac:dyDescent="0.25">
      <c r="A8193" t="str">
        <f t="shared" si="1781"/>
        <v>89301000</v>
      </c>
      <c r="B8193" t="str">
        <f t="shared" si="1787"/>
        <v>72100000</v>
      </c>
      <c r="C8193" t="str">
        <f t="shared" si="1788"/>
        <v>72100632</v>
      </c>
      <c r="D8193" t="str">
        <f t="shared" si="1789"/>
        <v>816</v>
      </c>
      <c r="E8193" t="str">
        <f t="shared" si="1790"/>
        <v>89301091</v>
      </c>
      <c r="F8193" t="str">
        <f>"2256260072"</f>
        <v>2256260072</v>
      </c>
      <c r="G8193" s="1">
        <v>44743</v>
      </c>
      <c r="H8193" t="str">
        <f t="shared" si="1791"/>
        <v>94297</v>
      </c>
      <c r="I8193">
        <v>1</v>
      </c>
      <c r="J8193">
        <v>298</v>
      </c>
      <c r="K8193">
        <v>0</v>
      </c>
      <c r="L8193">
        <v>366.54</v>
      </c>
    </row>
    <row r="8194" spans="1:12" x14ac:dyDescent="0.25">
      <c r="A8194" t="str">
        <f t="shared" ref="A8194:A8257" si="1792">"89301000"</f>
        <v>89301000</v>
      </c>
      <c r="B8194" t="str">
        <f t="shared" si="1787"/>
        <v>72100000</v>
      </c>
      <c r="C8194" t="str">
        <f t="shared" si="1788"/>
        <v>72100632</v>
      </c>
      <c r="D8194" t="str">
        <f t="shared" si="1789"/>
        <v>816</v>
      </c>
      <c r="E8194" t="str">
        <f t="shared" si="1790"/>
        <v>89301091</v>
      </c>
      <c r="F8194" t="str">
        <f>"2256260094"</f>
        <v>2256260094</v>
      </c>
      <c r="G8194" s="1">
        <v>44743</v>
      </c>
      <c r="H8194" t="str">
        <f t="shared" si="1791"/>
        <v>94297</v>
      </c>
      <c r="I8194">
        <v>1</v>
      </c>
      <c r="J8194">
        <v>298</v>
      </c>
      <c r="K8194">
        <v>0</v>
      </c>
      <c r="L8194">
        <v>366.54</v>
      </c>
    </row>
    <row r="8195" spans="1:12" x14ac:dyDescent="0.25">
      <c r="A8195" t="str">
        <f t="shared" si="1792"/>
        <v>89301000</v>
      </c>
      <c r="B8195" t="str">
        <f t="shared" si="1787"/>
        <v>72100000</v>
      </c>
      <c r="C8195" t="str">
        <f t="shared" si="1788"/>
        <v>72100632</v>
      </c>
      <c r="D8195" t="str">
        <f t="shared" si="1789"/>
        <v>816</v>
      </c>
      <c r="E8195" t="str">
        <f t="shared" si="1790"/>
        <v>89301091</v>
      </c>
      <c r="F8195" t="str">
        <f>"2206280549"</f>
        <v>2206280549</v>
      </c>
      <c r="G8195" s="1">
        <v>44749</v>
      </c>
      <c r="H8195" t="str">
        <f t="shared" si="1791"/>
        <v>94297</v>
      </c>
      <c r="I8195">
        <v>1</v>
      </c>
      <c r="J8195">
        <v>298</v>
      </c>
      <c r="K8195">
        <v>0</v>
      </c>
      <c r="L8195">
        <v>366.54</v>
      </c>
    </row>
    <row r="8196" spans="1:12" x14ac:dyDescent="0.25">
      <c r="A8196" t="str">
        <f t="shared" si="1792"/>
        <v>89301000</v>
      </c>
      <c r="B8196" t="str">
        <f t="shared" si="1787"/>
        <v>72100000</v>
      </c>
      <c r="C8196" t="str">
        <f t="shared" si="1788"/>
        <v>72100632</v>
      </c>
      <c r="D8196" t="str">
        <f t="shared" si="1789"/>
        <v>816</v>
      </c>
      <c r="E8196" t="str">
        <f t="shared" si="1790"/>
        <v>89301091</v>
      </c>
      <c r="F8196" t="str">
        <f>"2256290069"</f>
        <v>2256290069</v>
      </c>
      <c r="G8196" s="1">
        <v>44749</v>
      </c>
      <c r="H8196" t="str">
        <f t="shared" si="1791"/>
        <v>94297</v>
      </c>
      <c r="I8196">
        <v>1</v>
      </c>
      <c r="J8196">
        <v>298</v>
      </c>
      <c r="K8196">
        <v>0</v>
      </c>
      <c r="L8196">
        <v>366.54</v>
      </c>
    </row>
    <row r="8197" spans="1:12" x14ac:dyDescent="0.25">
      <c r="A8197" t="str">
        <f t="shared" si="1792"/>
        <v>89301000</v>
      </c>
      <c r="B8197" t="str">
        <f t="shared" si="1787"/>
        <v>72100000</v>
      </c>
      <c r="C8197" t="str">
        <f t="shared" si="1788"/>
        <v>72100632</v>
      </c>
      <c r="D8197" t="str">
        <f t="shared" si="1789"/>
        <v>816</v>
      </c>
      <c r="E8197" t="str">
        <f t="shared" si="1790"/>
        <v>89301091</v>
      </c>
      <c r="F8197" t="str">
        <f>"2206300690"</f>
        <v>2206300690</v>
      </c>
      <c r="G8197" s="1">
        <v>44750</v>
      </c>
      <c r="H8197" t="str">
        <f t="shared" si="1791"/>
        <v>94297</v>
      </c>
      <c r="I8197">
        <v>1</v>
      </c>
      <c r="J8197">
        <v>298</v>
      </c>
      <c r="K8197">
        <v>0</v>
      </c>
      <c r="L8197">
        <v>366.54</v>
      </c>
    </row>
    <row r="8198" spans="1:12" x14ac:dyDescent="0.25">
      <c r="A8198" t="str">
        <f t="shared" si="1792"/>
        <v>89301000</v>
      </c>
      <c r="B8198" t="str">
        <f t="shared" si="1787"/>
        <v>72100000</v>
      </c>
      <c r="C8198" t="str">
        <f t="shared" si="1788"/>
        <v>72100632</v>
      </c>
      <c r="D8198" t="str">
        <f t="shared" si="1789"/>
        <v>816</v>
      </c>
      <c r="E8198" t="str">
        <f t="shared" si="1790"/>
        <v>89301091</v>
      </c>
      <c r="F8198" t="str">
        <f>"2206300701"</f>
        <v>2206300701</v>
      </c>
      <c r="G8198" s="1">
        <v>44750</v>
      </c>
      <c r="H8198" t="str">
        <f t="shared" si="1791"/>
        <v>94297</v>
      </c>
      <c r="I8198">
        <v>1</v>
      </c>
      <c r="J8198">
        <v>298</v>
      </c>
      <c r="K8198">
        <v>0</v>
      </c>
      <c r="L8198">
        <v>366.54</v>
      </c>
    </row>
    <row r="8199" spans="1:12" x14ac:dyDescent="0.25">
      <c r="A8199" t="str">
        <f t="shared" si="1792"/>
        <v>89301000</v>
      </c>
      <c r="B8199" t="str">
        <f t="shared" si="1787"/>
        <v>72100000</v>
      </c>
      <c r="C8199" t="str">
        <f t="shared" si="1788"/>
        <v>72100632</v>
      </c>
      <c r="D8199" t="str">
        <f t="shared" si="1789"/>
        <v>816</v>
      </c>
      <c r="E8199" t="str">
        <f t="shared" si="1790"/>
        <v>89301091</v>
      </c>
      <c r="F8199" t="str">
        <f>"2256300761"</f>
        <v>2256300761</v>
      </c>
      <c r="G8199" s="1">
        <v>44750</v>
      </c>
      <c r="H8199" t="str">
        <f t="shared" si="1791"/>
        <v>94297</v>
      </c>
      <c r="I8199">
        <v>1</v>
      </c>
      <c r="J8199">
        <v>298</v>
      </c>
      <c r="K8199">
        <v>0</v>
      </c>
      <c r="L8199">
        <v>366.54</v>
      </c>
    </row>
    <row r="8200" spans="1:12" x14ac:dyDescent="0.25">
      <c r="A8200" t="str">
        <f t="shared" si="1792"/>
        <v>89301000</v>
      </c>
      <c r="B8200" t="str">
        <f t="shared" si="1787"/>
        <v>72100000</v>
      </c>
      <c r="C8200" t="str">
        <f t="shared" si="1788"/>
        <v>72100632</v>
      </c>
      <c r="D8200" t="str">
        <f t="shared" si="1789"/>
        <v>816</v>
      </c>
      <c r="E8200" t="str">
        <f t="shared" si="1790"/>
        <v>89301091</v>
      </c>
      <c r="F8200" t="str">
        <f>"8861186213"</f>
        <v>8861186213</v>
      </c>
      <c r="G8200" s="1">
        <v>44750</v>
      </c>
      <c r="H8200" t="str">
        <f t="shared" si="1791"/>
        <v>94297</v>
      </c>
      <c r="I8200">
        <v>1</v>
      </c>
      <c r="J8200">
        <v>298</v>
      </c>
      <c r="K8200">
        <v>0</v>
      </c>
      <c r="L8200">
        <v>366.54</v>
      </c>
    </row>
    <row r="8201" spans="1:12" x14ac:dyDescent="0.25">
      <c r="A8201" t="str">
        <f t="shared" si="1792"/>
        <v>89301000</v>
      </c>
      <c r="B8201" t="str">
        <f t="shared" si="1787"/>
        <v>72100000</v>
      </c>
      <c r="C8201" t="str">
        <f t="shared" si="1788"/>
        <v>72100632</v>
      </c>
      <c r="D8201" t="str">
        <f t="shared" si="1789"/>
        <v>816</v>
      </c>
      <c r="E8201" t="str">
        <f t="shared" si="1790"/>
        <v>89301091</v>
      </c>
      <c r="F8201" t="str">
        <f>"9553085740"</f>
        <v>9553085740</v>
      </c>
      <c r="G8201" s="1">
        <v>44750</v>
      </c>
      <c r="H8201" t="str">
        <f t="shared" si="1791"/>
        <v>94297</v>
      </c>
      <c r="I8201">
        <v>1</v>
      </c>
      <c r="J8201">
        <v>298</v>
      </c>
      <c r="K8201">
        <v>0</v>
      </c>
      <c r="L8201">
        <v>366.54</v>
      </c>
    </row>
    <row r="8202" spans="1:12" x14ac:dyDescent="0.25">
      <c r="A8202" t="str">
        <f t="shared" si="1792"/>
        <v>89301000</v>
      </c>
      <c r="B8202" t="str">
        <f t="shared" ref="B8202:B8233" si="1793">"72100000"</f>
        <v>72100000</v>
      </c>
      <c r="C8202" t="str">
        <f t="shared" ref="C8202:C8233" si="1794">"72100632"</f>
        <v>72100632</v>
      </c>
      <c r="D8202" t="str">
        <f t="shared" ref="D8202:D8233" si="1795">"816"</f>
        <v>816</v>
      </c>
      <c r="E8202" t="str">
        <f t="shared" ref="E8202:E8233" si="1796">"89301091"</f>
        <v>89301091</v>
      </c>
      <c r="F8202" t="str">
        <f>"8954285098"</f>
        <v>8954285098</v>
      </c>
      <c r="G8202" s="1">
        <v>44750</v>
      </c>
      <c r="H8202" t="str">
        <f t="shared" ref="H8202:H8233" si="1797">"94297"</f>
        <v>94297</v>
      </c>
      <c r="I8202">
        <v>1</v>
      </c>
      <c r="J8202">
        <v>298</v>
      </c>
      <c r="K8202">
        <v>0</v>
      </c>
      <c r="L8202">
        <v>366.54</v>
      </c>
    </row>
    <row r="8203" spans="1:12" x14ac:dyDescent="0.25">
      <c r="A8203" t="str">
        <f t="shared" si="1792"/>
        <v>89301000</v>
      </c>
      <c r="B8203" t="str">
        <f t="shared" si="1793"/>
        <v>72100000</v>
      </c>
      <c r="C8203" t="str">
        <f t="shared" si="1794"/>
        <v>72100632</v>
      </c>
      <c r="D8203" t="str">
        <f t="shared" si="1795"/>
        <v>816</v>
      </c>
      <c r="E8203" t="str">
        <f t="shared" si="1796"/>
        <v>89301091</v>
      </c>
      <c r="F8203" t="str">
        <f>"2257020436"</f>
        <v>2257020436</v>
      </c>
      <c r="G8203" s="1">
        <v>44753</v>
      </c>
      <c r="H8203" t="str">
        <f t="shared" si="1797"/>
        <v>94297</v>
      </c>
      <c r="I8203">
        <v>1</v>
      </c>
      <c r="J8203">
        <v>298</v>
      </c>
      <c r="K8203">
        <v>0</v>
      </c>
      <c r="L8203">
        <v>366.54</v>
      </c>
    </row>
    <row r="8204" spans="1:12" x14ac:dyDescent="0.25">
      <c r="A8204" t="str">
        <f t="shared" si="1792"/>
        <v>89301000</v>
      </c>
      <c r="B8204" t="str">
        <f t="shared" si="1793"/>
        <v>72100000</v>
      </c>
      <c r="C8204" t="str">
        <f t="shared" si="1794"/>
        <v>72100632</v>
      </c>
      <c r="D8204" t="str">
        <f t="shared" si="1795"/>
        <v>816</v>
      </c>
      <c r="E8204" t="str">
        <f t="shared" si="1796"/>
        <v>89301091</v>
      </c>
      <c r="F8204" t="str">
        <f>"2207020486"</f>
        <v>2207020486</v>
      </c>
      <c r="G8204" s="1">
        <v>44753</v>
      </c>
      <c r="H8204" t="str">
        <f t="shared" si="1797"/>
        <v>94297</v>
      </c>
      <c r="I8204">
        <v>1</v>
      </c>
      <c r="J8204">
        <v>298</v>
      </c>
      <c r="K8204">
        <v>0</v>
      </c>
      <c r="L8204">
        <v>366.54</v>
      </c>
    </row>
    <row r="8205" spans="1:12" x14ac:dyDescent="0.25">
      <c r="A8205" t="str">
        <f t="shared" si="1792"/>
        <v>89301000</v>
      </c>
      <c r="B8205" t="str">
        <f t="shared" si="1793"/>
        <v>72100000</v>
      </c>
      <c r="C8205" t="str">
        <f t="shared" si="1794"/>
        <v>72100632</v>
      </c>
      <c r="D8205" t="str">
        <f t="shared" si="1795"/>
        <v>816</v>
      </c>
      <c r="E8205" t="str">
        <f t="shared" si="1796"/>
        <v>89301091</v>
      </c>
      <c r="F8205" t="str">
        <f>"2207030430"</f>
        <v>2207030430</v>
      </c>
      <c r="G8205" s="1">
        <v>44753</v>
      </c>
      <c r="H8205" t="str">
        <f t="shared" si="1797"/>
        <v>94297</v>
      </c>
      <c r="I8205">
        <v>1</v>
      </c>
      <c r="J8205">
        <v>298</v>
      </c>
      <c r="K8205">
        <v>0</v>
      </c>
      <c r="L8205">
        <v>366.54</v>
      </c>
    </row>
    <row r="8206" spans="1:12" x14ac:dyDescent="0.25">
      <c r="A8206" t="str">
        <f t="shared" si="1792"/>
        <v>89301000</v>
      </c>
      <c r="B8206" t="str">
        <f t="shared" si="1793"/>
        <v>72100000</v>
      </c>
      <c r="C8206" t="str">
        <f t="shared" si="1794"/>
        <v>72100632</v>
      </c>
      <c r="D8206" t="str">
        <f t="shared" si="1795"/>
        <v>816</v>
      </c>
      <c r="E8206" t="str">
        <f t="shared" si="1796"/>
        <v>89301091</v>
      </c>
      <c r="F8206" t="str">
        <f>"2257040038"</f>
        <v>2257040038</v>
      </c>
      <c r="G8206" s="1">
        <v>44753</v>
      </c>
      <c r="H8206" t="str">
        <f t="shared" si="1797"/>
        <v>94297</v>
      </c>
      <c r="I8206">
        <v>1</v>
      </c>
      <c r="J8206">
        <v>298</v>
      </c>
      <c r="K8206">
        <v>0</v>
      </c>
      <c r="L8206">
        <v>366.54</v>
      </c>
    </row>
    <row r="8207" spans="1:12" x14ac:dyDescent="0.25">
      <c r="A8207" t="str">
        <f t="shared" si="1792"/>
        <v>89301000</v>
      </c>
      <c r="B8207" t="str">
        <f t="shared" si="1793"/>
        <v>72100000</v>
      </c>
      <c r="C8207" t="str">
        <f t="shared" si="1794"/>
        <v>72100632</v>
      </c>
      <c r="D8207" t="str">
        <f t="shared" si="1795"/>
        <v>816</v>
      </c>
      <c r="E8207" t="str">
        <f t="shared" si="1796"/>
        <v>89301091</v>
      </c>
      <c r="F8207" t="str">
        <f>"8657274912"</f>
        <v>8657274912</v>
      </c>
      <c r="G8207" s="1">
        <v>44753</v>
      </c>
      <c r="H8207" t="str">
        <f t="shared" si="1797"/>
        <v>94297</v>
      </c>
      <c r="I8207">
        <v>1</v>
      </c>
      <c r="J8207">
        <v>298</v>
      </c>
      <c r="K8207">
        <v>0</v>
      </c>
      <c r="L8207">
        <v>366.54</v>
      </c>
    </row>
    <row r="8208" spans="1:12" x14ac:dyDescent="0.25">
      <c r="A8208" t="str">
        <f t="shared" si="1792"/>
        <v>89301000</v>
      </c>
      <c r="B8208" t="str">
        <f t="shared" si="1793"/>
        <v>72100000</v>
      </c>
      <c r="C8208" t="str">
        <f t="shared" si="1794"/>
        <v>72100632</v>
      </c>
      <c r="D8208" t="str">
        <f t="shared" si="1795"/>
        <v>816</v>
      </c>
      <c r="E8208" t="str">
        <f t="shared" si="1796"/>
        <v>89301091</v>
      </c>
      <c r="F8208" t="str">
        <f>"9654234876"</f>
        <v>9654234876</v>
      </c>
      <c r="G8208" s="1">
        <v>44753</v>
      </c>
      <c r="H8208" t="str">
        <f t="shared" si="1797"/>
        <v>94297</v>
      </c>
      <c r="I8208">
        <v>1</v>
      </c>
      <c r="J8208">
        <v>298</v>
      </c>
      <c r="K8208">
        <v>0</v>
      </c>
      <c r="L8208">
        <v>366.54</v>
      </c>
    </row>
    <row r="8209" spans="1:12" x14ac:dyDescent="0.25">
      <c r="A8209" t="str">
        <f t="shared" si="1792"/>
        <v>89301000</v>
      </c>
      <c r="B8209" t="str">
        <f t="shared" si="1793"/>
        <v>72100000</v>
      </c>
      <c r="C8209" t="str">
        <f t="shared" si="1794"/>
        <v>72100632</v>
      </c>
      <c r="D8209" t="str">
        <f t="shared" si="1795"/>
        <v>816</v>
      </c>
      <c r="E8209" t="str">
        <f t="shared" si="1796"/>
        <v>89301091</v>
      </c>
      <c r="F8209" t="str">
        <f>"2257030402"</f>
        <v>2257030402</v>
      </c>
      <c r="G8209" s="1">
        <v>44754</v>
      </c>
      <c r="H8209" t="str">
        <f t="shared" si="1797"/>
        <v>94297</v>
      </c>
      <c r="I8209">
        <v>1</v>
      </c>
      <c r="J8209">
        <v>298</v>
      </c>
      <c r="K8209">
        <v>0</v>
      </c>
      <c r="L8209">
        <v>366.54</v>
      </c>
    </row>
    <row r="8210" spans="1:12" x14ac:dyDescent="0.25">
      <c r="A8210" t="str">
        <f t="shared" si="1792"/>
        <v>89301000</v>
      </c>
      <c r="B8210" t="str">
        <f t="shared" si="1793"/>
        <v>72100000</v>
      </c>
      <c r="C8210" t="str">
        <f t="shared" si="1794"/>
        <v>72100632</v>
      </c>
      <c r="D8210" t="str">
        <f t="shared" si="1795"/>
        <v>816</v>
      </c>
      <c r="E8210" t="str">
        <f t="shared" si="1796"/>
        <v>89301091</v>
      </c>
      <c r="F8210" t="str">
        <f>"8958236144"</f>
        <v>8958236144</v>
      </c>
      <c r="G8210" s="1">
        <v>44754</v>
      </c>
      <c r="H8210" t="str">
        <f t="shared" si="1797"/>
        <v>94297</v>
      </c>
      <c r="I8210">
        <v>1</v>
      </c>
      <c r="J8210">
        <v>298</v>
      </c>
      <c r="K8210">
        <v>0</v>
      </c>
      <c r="L8210">
        <v>366.54</v>
      </c>
    </row>
    <row r="8211" spans="1:12" x14ac:dyDescent="0.25">
      <c r="A8211" t="str">
        <f t="shared" si="1792"/>
        <v>89301000</v>
      </c>
      <c r="B8211" t="str">
        <f t="shared" si="1793"/>
        <v>72100000</v>
      </c>
      <c r="C8211" t="str">
        <f t="shared" si="1794"/>
        <v>72100632</v>
      </c>
      <c r="D8211" t="str">
        <f t="shared" si="1795"/>
        <v>816</v>
      </c>
      <c r="E8211" t="str">
        <f t="shared" si="1796"/>
        <v>89301091</v>
      </c>
      <c r="F8211" t="str">
        <f>"2207060262"</f>
        <v>2207060262</v>
      </c>
      <c r="G8211" s="1">
        <v>44755</v>
      </c>
      <c r="H8211" t="str">
        <f t="shared" si="1797"/>
        <v>94297</v>
      </c>
      <c r="I8211">
        <v>1</v>
      </c>
      <c r="J8211">
        <v>298</v>
      </c>
      <c r="K8211">
        <v>0</v>
      </c>
      <c r="L8211">
        <v>366.54</v>
      </c>
    </row>
    <row r="8212" spans="1:12" x14ac:dyDescent="0.25">
      <c r="A8212" t="str">
        <f t="shared" si="1792"/>
        <v>89301000</v>
      </c>
      <c r="B8212" t="str">
        <f t="shared" si="1793"/>
        <v>72100000</v>
      </c>
      <c r="C8212" t="str">
        <f t="shared" si="1794"/>
        <v>72100632</v>
      </c>
      <c r="D8212" t="str">
        <f t="shared" si="1795"/>
        <v>816</v>
      </c>
      <c r="E8212" t="str">
        <f t="shared" si="1796"/>
        <v>89301091</v>
      </c>
      <c r="F8212" t="str">
        <f>"2257060190"</f>
        <v>2257060190</v>
      </c>
      <c r="G8212" s="1">
        <v>44755</v>
      </c>
      <c r="H8212" t="str">
        <f t="shared" si="1797"/>
        <v>94297</v>
      </c>
      <c r="I8212">
        <v>1</v>
      </c>
      <c r="J8212">
        <v>298</v>
      </c>
      <c r="K8212">
        <v>0</v>
      </c>
      <c r="L8212">
        <v>366.54</v>
      </c>
    </row>
    <row r="8213" spans="1:12" x14ac:dyDescent="0.25">
      <c r="A8213" t="str">
        <f t="shared" si="1792"/>
        <v>89301000</v>
      </c>
      <c r="B8213" t="str">
        <f t="shared" si="1793"/>
        <v>72100000</v>
      </c>
      <c r="C8213" t="str">
        <f t="shared" si="1794"/>
        <v>72100632</v>
      </c>
      <c r="D8213" t="str">
        <f t="shared" si="1795"/>
        <v>816</v>
      </c>
      <c r="E8213" t="str">
        <f t="shared" si="1796"/>
        <v>89301091</v>
      </c>
      <c r="F8213" t="str">
        <f>"2257070079"</f>
        <v>2257070079</v>
      </c>
      <c r="G8213" s="1">
        <v>44755</v>
      </c>
      <c r="H8213" t="str">
        <f t="shared" si="1797"/>
        <v>94297</v>
      </c>
      <c r="I8213">
        <v>1</v>
      </c>
      <c r="J8213">
        <v>298</v>
      </c>
      <c r="K8213">
        <v>0</v>
      </c>
      <c r="L8213">
        <v>366.54</v>
      </c>
    </row>
    <row r="8214" spans="1:12" x14ac:dyDescent="0.25">
      <c r="A8214" t="str">
        <f t="shared" si="1792"/>
        <v>89301000</v>
      </c>
      <c r="B8214" t="str">
        <f t="shared" si="1793"/>
        <v>72100000</v>
      </c>
      <c r="C8214" t="str">
        <f t="shared" si="1794"/>
        <v>72100632</v>
      </c>
      <c r="D8214" t="str">
        <f t="shared" si="1795"/>
        <v>816</v>
      </c>
      <c r="E8214" t="str">
        <f t="shared" si="1796"/>
        <v>89301091</v>
      </c>
      <c r="F8214" t="str">
        <f>"2257070519"</f>
        <v>2257070519</v>
      </c>
      <c r="G8214" s="1">
        <v>44755</v>
      </c>
      <c r="H8214" t="str">
        <f t="shared" si="1797"/>
        <v>94297</v>
      </c>
      <c r="I8214">
        <v>1</v>
      </c>
      <c r="J8214">
        <v>298</v>
      </c>
      <c r="K8214">
        <v>0</v>
      </c>
      <c r="L8214">
        <v>366.54</v>
      </c>
    </row>
    <row r="8215" spans="1:12" x14ac:dyDescent="0.25">
      <c r="A8215" t="str">
        <f t="shared" si="1792"/>
        <v>89301000</v>
      </c>
      <c r="B8215" t="str">
        <f t="shared" si="1793"/>
        <v>72100000</v>
      </c>
      <c r="C8215" t="str">
        <f t="shared" si="1794"/>
        <v>72100632</v>
      </c>
      <c r="D8215" t="str">
        <f t="shared" si="1795"/>
        <v>816</v>
      </c>
      <c r="E8215" t="str">
        <f t="shared" si="1796"/>
        <v>89301091</v>
      </c>
      <c r="F8215" t="str">
        <f>"9959174841"</f>
        <v>9959174841</v>
      </c>
      <c r="G8215" s="1">
        <v>44755</v>
      </c>
      <c r="H8215" t="str">
        <f t="shared" si="1797"/>
        <v>94297</v>
      </c>
      <c r="I8215">
        <v>1</v>
      </c>
      <c r="J8215">
        <v>298</v>
      </c>
      <c r="K8215">
        <v>0</v>
      </c>
      <c r="L8215">
        <v>366.54</v>
      </c>
    </row>
    <row r="8216" spans="1:12" x14ac:dyDescent="0.25">
      <c r="A8216" t="str">
        <f t="shared" si="1792"/>
        <v>89301000</v>
      </c>
      <c r="B8216" t="str">
        <f t="shared" si="1793"/>
        <v>72100000</v>
      </c>
      <c r="C8216" t="str">
        <f t="shared" si="1794"/>
        <v>72100632</v>
      </c>
      <c r="D8216" t="str">
        <f t="shared" si="1795"/>
        <v>816</v>
      </c>
      <c r="E8216" t="str">
        <f t="shared" si="1796"/>
        <v>89301091</v>
      </c>
      <c r="F8216" t="str">
        <f>"2257100208"</f>
        <v>2257100208</v>
      </c>
      <c r="G8216" s="1">
        <v>44757</v>
      </c>
      <c r="H8216" t="str">
        <f t="shared" si="1797"/>
        <v>94297</v>
      </c>
      <c r="I8216">
        <v>1</v>
      </c>
      <c r="J8216">
        <v>298</v>
      </c>
      <c r="K8216">
        <v>0</v>
      </c>
      <c r="L8216">
        <v>366.54</v>
      </c>
    </row>
    <row r="8217" spans="1:12" x14ac:dyDescent="0.25">
      <c r="A8217" t="str">
        <f t="shared" si="1792"/>
        <v>89301000</v>
      </c>
      <c r="B8217" t="str">
        <f t="shared" si="1793"/>
        <v>72100000</v>
      </c>
      <c r="C8217" t="str">
        <f t="shared" si="1794"/>
        <v>72100632</v>
      </c>
      <c r="D8217" t="str">
        <f t="shared" si="1795"/>
        <v>816</v>
      </c>
      <c r="E8217" t="str">
        <f t="shared" si="1796"/>
        <v>89301091</v>
      </c>
      <c r="F8217" t="str">
        <f>"2207100203"</f>
        <v>2207100203</v>
      </c>
      <c r="G8217" s="1">
        <v>44757</v>
      </c>
      <c r="H8217" t="str">
        <f t="shared" si="1797"/>
        <v>94297</v>
      </c>
      <c r="I8217">
        <v>1</v>
      </c>
      <c r="J8217">
        <v>298</v>
      </c>
      <c r="K8217">
        <v>0</v>
      </c>
      <c r="L8217">
        <v>366.54</v>
      </c>
    </row>
    <row r="8218" spans="1:12" x14ac:dyDescent="0.25">
      <c r="A8218" t="str">
        <f t="shared" si="1792"/>
        <v>89301000</v>
      </c>
      <c r="B8218" t="str">
        <f t="shared" si="1793"/>
        <v>72100000</v>
      </c>
      <c r="C8218" t="str">
        <f t="shared" si="1794"/>
        <v>72100632</v>
      </c>
      <c r="D8218" t="str">
        <f t="shared" si="1795"/>
        <v>816</v>
      </c>
      <c r="E8218" t="str">
        <f t="shared" si="1796"/>
        <v>89301091</v>
      </c>
      <c r="F8218" t="str">
        <f>"2207110433"</f>
        <v>2207110433</v>
      </c>
      <c r="G8218" s="1">
        <v>44760</v>
      </c>
      <c r="H8218" t="str">
        <f t="shared" si="1797"/>
        <v>94297</v>
      </c>
      <c r="I8218">
        <v>1</v>
      </c>
      <c r="J8218">
        <v>298</v>
      </c>
      <c r="K8218">
        <v>0</v>
      </c>
      <c r="L8218">
        <v>366.54</v>
      </c>
    </row>
    <row r="8219" spans="1:12" x14ac:dyDescent="0.25">
      <c r="A8219" t="str">
        <f t="shared" si="1792"/>
        <v>89301000</v>
      </c>
      <c r="B8219" t="str">
        <f t="shared" si="1793"/>
        <v>72100000</v>
      </c>
      <c r="C8219" t="str">
        <f t="shared" si="1794"/>
        <v>72100632</v>
      </c>
      <c r="D8219" t="str">
        <f t="shared" si="1795"/>
        <v>816</v>
      </c>
      <c r="E8219" t="str">
        <f t="shared" si="1796"/>
        <v>89301091</v>
      </c>
      <c r="F8219" t="str">
        <f>"9357115845"</f>
        <v>9357115845</v>
      </c>
      <c r="G8219" s="1">
        <v>44760</v>
      </c>
      <c r="H8219" t="str">
        <f t="shared" si="1797"/>
        <v>94297</v>
      </c>
      <c r="I8219">
        <v>1</v>
      </c>
      <c r="J8219">
        <v>298</v>
      </c>
      <c r="K8219">
        <v>0</v>
      </c>
      <c r="L8219">
        <v>366.54</v>
      </c>
    </row>
    <row r="8220" spans="1:12" x14ac:dyDescent="0.25">
      <c r="A8220" t="str">
        <f t="shared" si="1792"/>
        <v>89301000</v>
      </c>
      <c r="B8220" t="str">
        <f t="shared" si="1793"/>
        <v>72100000</v>
      </c>
      <c r="C8220" t="str">
        <f t="shared" si="1794"/>
        <v>72100632</v>
      </c>
      <c r="D8220" t="str">
        <f t="shared" si="1795"/>
        <v>816</v>
      </c>
      <c r="E8220" t="str">
        <f t="shared" si="1796"/>
        <v>89301091</v>
      </c>
      <c r="F8220" t="str">
        <f>"2257110559"</f>
        <v>2257110559</v>
      </c>
      <c r="G8220" s="1">
        <v>44761</v>
      </c>
      <c r="H8220" t="str">
        <f t="shared" si="1797"/>
        <v>94297</v>
      </c>
      <c r="I8220">
        <v>1</v>
      </c>
      <c r="J8220">
        <v>298</v>
      </c>
      <c r="K8220">
        <v>0</v>
      </c>
      <c r="L8220">
        <v>366.54</v>
      </c>
    </row>
    <row r="8221" spans="1:12" x14ac:dyDescent="0.25">
      <c r="A8221" t="str">
        <f t="shared" si="1792"/>
        <v>89301000</v>
      </c>
      <c r="B8221" t="str">
        <f t="shared" si="1793"/>
        <v>72100000</v>
      </c>
      <c r="C8221" t="str">
        <f t="shared" si="1794"/>
        <v>72100632</v>
      </c>
      <c r="D8221" t="str">
        <f t="shared" si="1795"/>
        <v>816</v>
      </c>
      <c r="E8221" t="str">
        <f t="shared" si="1796"/>
        <v>89301091</v>
      </c>
      <c r="F8221" t="str">
        <f>"2257120360"</f>
        <v>2257120360</v>
      </c>
      <c r="G8221" s="1">
        <v>44761</v>
      </c>
      <c r="H8221" t="str">
        <f t="shared" si="1797"/>
        <v>94297</v>
      </c>
      <c r="I8221">
        <v>1</v>
      </c>
      <c r="J8221">
        <v>298</v>
      </c>
      <c r="K8221">
        <v>0</v>
      </c>
      <c r="L8221">
        <v>366.54</v>
      </c>
    </row>
    <row r="8222" spans="1:12" x14ac:dyDescent="0.25">
      <c r="A8222" t="str">
        <f t="shared" si="1792"/>
        <v>89301000</v>
      </c>
      <c r="B8222" t="str">
        <f t="shared" si="1793"/>
        <v>72100000</v>
      </c>
      <c r="C8222" t="str">
        <f t="shared" si="1794"/>
        <v>72100632</v>
      </c>
      <c r="D8222" t="str">
        <f t="shared" si="1795"/>
        <v>816</v>
      </c>
      <c r="E8222" t="str">
        <f t="shared" si="1796"/>
        <v>89301091</v>
      </c>
      <c r="F8222" t="str">
        <f>"2256260094"</f>
        <v>2256260094</v>
      </c>
      <c r="G8222" s="1">
        <v>44761</v>
      </c>
      <c r="H8222" t="str">
        <f t="shared" si="1797"/>
        <v>94297</v>
      </c>
      <c r="I8222">
        <v>1</v>
      </c>
      <c r="J8222">
        <v>298</v>
      </c>
      <c r="K8222">
        <v>0</v>
      </c>
      <c r="L8222">
        <v>366.54</v>
      </c>
    </row>
    <row r="8223" spans="1:12" x14ac:dyDescent="0.25">
      <c r="A8223" t="str">
        <f t="shared" si="1792"/>
        <v>89301000</v>
      </c>
      <c r="B8223" t="str">
        <f t="shared" si="1793"/>
        <v>72100000</v>
      </c>
      <c r="C8223" t="str">
        <f t="shared" si="1794"/>
        <v>72100632</v>
      </c>
      <c r="D8223" t="str">
        <f t="shared" si="1795"/>
        <v>816</v>
      </c>
      <c r="E8223" t="str">
        <f t="shared" si="1796"/>
        <v>89301091</v>
      </c>
      <c r="F8223" t="str">
        <f>"2257120393"</f>
        <v>2257120393</v>
      </c>
      <c r="G8223" s="1">
        <v>44762</v>
      </c>
      <c r="H8223" t="str">
        <f t="shared" si="1797"/>
        <v>94297</v>
      </c>
      <c r="I8223">
        <v>1</v>
      </c>
      <c r="J8223">
        <v>298</v>
      </c>
      <c r="K8223">
        <v>0</v>
      </c>
      <c r="L8223">
        <v>366.54</v>
      </c>
    </row>
    <row r="8224" spans="1:12" x14ac:dyDescent="0.25">
      <c r="A8224" t="str">
        <f t="shared" si="1792"/>
        <v>89301000</v>
      </c>
      <c r="B8224" t="str">
        <f t="shared" si="1793"/>
        <v>72100000</v>
      </c>
      <c r="C8224" t="str">
        <f t="shared" si="1794"/>
        <v>72100632</v>
      </c>
      <c r="D8224" t="str">
        <f t="shared" si="1795"/>
        <v>816</v>
      </c>
      <c r="E8224" t="str">
        <f t="shared" si="1796"/>
        <v>89301091</v>
      </c>
      <c r="F8224" t="str">
        <f>"2207130596"</f>
        <v>2207130596</v>
      </c>
      <c r="G8224" s="1">
        <v>44762</v>
      </c>
      <c r="H8224" t="str">
        <f t="shared" si="1797"/>
        <v>94297</v>
      </c>
      <c r="I8224">
        <v>1</v>
      </c>
      <c r="J8224">
        <v>298</v>
      </c>
      <c r="K8224">
        <v>0</v>
      </c>
      <c r="L8224">
        <v>366.54</v>
      </c>
    </row>
    <row r="8225" spans="1:12" x14ac:dyDescent="0.25">
      <c r="A8225" t="str">
        <f t="shared" si="1792"/>
        <v>89301000</v>
      </c>
      <c r="B8225" t="str">
        <f t="shared" si="1793"/>
        <v>72100000</v>
      </c>
      <c r="C8225" t="str">
        <f t="shared" si="1794"/>
        <v>72100632</v>
      </c>
      <c r="D8225" t="str">
        <f t="shared" si="1795"/>
        <v>816</v>
      </c>
      <c r="E8225" t="str">
        <f t="shared" si="1796"/>
        <v>89301091</v>
      </c>
      <c r="F8225" t="str">
        <f>"2257130392"</f>
        <v>2257130392</v>
      </c>
      <c r="G8225" s="1">
        <v>44762</v>
      </c>
      <c r="H8225" t="str">
        <f t="shared" si="1797"/>
        <v>94297</v>
      </c>
      <c r="I8225">
        <v>1</v>
      </c>
      <c r="J8225">
        <v>298</v>
      </c>
      <c r="K8225">
        <v>0</v>
      </c>
      <c r="L8225">
        <v>366.54</v>
      </c>
    </row>
    <row r="8226" spans="1:12" x14ac:dyDescent="0.25">
      <c r="A8226" t="str">
        <f t="shared" si="1792"/>
        <v>89301000</v>
      </c>
      <c r="B8226" t="str">
        <f t="shared" si="1793"/>
        <v>72100000</v>
      </c>
      <c r="C8226" t="str">
        <f t="shared" si="1794"/>
        <v>72100632</v>
      </c>
      <c r="D8226" t="str">
        <f t="shared" si="1795"/>
        <v>816</v>
      </c>
      <c r="E8226" t="str">
        <f t="shared" si="1796"/>
        <v>89301091</v>
      </c>
      <c r="F8226" t="str">
        <f>"2207130607"</f>
        <v>2207130607</v>
      </c>
      <c r="G8226" s="1">
        <v>44762</v>
      </c>
      <c r="H8226" t="str">
        <f t="shared" si="1797"/>
        <v>94297</v>
      </c>
      <c r="I8226">
        <v>1</v>
      </c>
      <c r="J8226">
        <v>298</v>
      </c>
      <c r="K8226">
        <v>0</v>
      </c>
      <c r="L8226">
        <v>366.54</v>
      </c>
    </row>
    <row r="8227" spans="1:12" x14ac:dyDescent="0.25">
      <c r="A8227" t="str">
        <f t="shared" si="1792"/>
        <v>89301000</v>
      </c>
      <c r="B8227" t="str">
        <f t="shared" si="1793"/>
        <v>72100000</v>
      </c>
      <c r="C8227" t="str">
        <f t="shared" si="1794"/>
        <v>72100632</v>
      </c>
      <c r="D8227" t="str">
        <f t="shared" si="1795"/>
        <v>816</v>
      </c>
      <c r="E8227" t="str">
        <f t="shared" si="1796"/>
        <v>89301091</v>
      </c>
      <c r="F8227" t="str">
        <f>"2207140045"</f>
        <v>2207140045</v>
      </c>
      <c r="G8227" s="1">
        <v>44762</v>
      </c>
      <c r="H8227" t="str">
        <f t="shared" si="1797"/>
        <v>94297</v>
      </c>
      <c r="I8227">
        <v>1</v>
      </c>
      <c r="J8227">
        <v>298</v>
      </c>
      <c r="K8227">
        <v>0</v>
      </c>
      <c r="L8227">
        <v>366.54</v>
      </c>
    </row>
    <row r="8228" spans="1:12" x14ac:dyDescent="0.25">
      <c r="A8228" t="str">
        <f t="shared" si="1792"/>
        <v>89301000</v>
      </c>
      <c r="B8228" t="str">
        <f t="shared" si="1793"/>
        <v>72100000</v>
      </c>
      <c r="C8228" t="str">
        <f t="shared" si="1794"/>
        <v>72100632</v>
      </c>
      <c r="D8228" t="str">
        <f t="shared" si="1795"/>
        <v>816</v>
      </c>
      <c r="E8228" t="str">
        <f t="shared" si="1796"/>
        <v>89301091</v>
      </c>
      <c r="F8228" t="str">
        <f>"2257140567"</f>
        <v>2257140567</v>
      </c>
      <c r="G8228" s="1">
        <v>44762</v>
      </c>
      <c r="H8228" t="str">
        <f t="shared" si="1797"/>
        <v>94297</v>
      </c>
      <c r="I8228">
        <v>1</v>
      </c>
      <c r="J8228">
        <v>298</v>
      </c>
      <c r="K8228">
        <v>0</v>
      </c>
      <c r="L8228">
        <v>366.54</v>
      </c>
    </row>
    <row r="8229" spans="1:12" x14ac:dyDescent="0.25">
      <c r="A8229" t="str">
        <f t="shared" si="1792"/>
        <v>89301000</v>
      </c>
      <c r="B8229" t="str">
        <f t="shared" si="1793"/>
        <v>72100000</v>
      </c>
      <c r="C8229" t="str">
        <f t="shared" si="1794"/>
        <v>72100632</v>
      </c>
      <c r="D8229" t="str">
        <f t="shared" si="1795"/>
        <v>816</v>
      </c>
      <c r="E8229" t="str">
        <f t="shared" si="1796"/>
        <v>89301091</v>
      </c>
      <c r="F8229" t="str">
        <f>"2207140562"</f>
        <v>2207140562</v>
      </c>
      <c r="G8229" s="1">
        <v>44762</v>
      </c>
      <c r="H8229" t="str">
        <f t="shared" si="1797"/>
        <v>94297</v>
      </c>
      <c r="I8229">
        <v>1</v>
      </c>
      <c r="J8229">
        <v>298</v>
      </c>
      <c r="K8229">
        <v>0</v>
      </c>
      <c r="L8229">
        <v>366.54</v>
      </c>
    </row>
    <row r="8230" spans="1:12" x14ac:dyDescent="0.25">
      <c r="A8230" t="str">
        <f t="shared" si="1792"/>
        <v>89301000</v>
      </c>
      <c r="B8230" t="str">
        <f t="shared" si="1793"/>
        <v>72100000</v>
      </c>
      <c r="C8230" t="str">
        <f t="shared" si="1794"/>
        <v>72100632</v>
      </c>
      <c r="D8230" t="str">
        <f t="shared" si="1795"/>
        <v>816</v>
      </c>
      <c r="E8230" t="str">
        <f t="shared" si="1796"/>
        <v>89301091</v>
      </c>
      <c r="F8230" t="str">
        <f>"2207140617"</f>
        <v>2207140617</v>
      </c>
      <c r="G8230" s="1">
        <v>44762</v>
      </c>
      <c r="H8230" t="str">
        <f t="shared" si="1797"/>
        <v>94297</v>
      </c>
      <c r="I8230">
        <v>1</v>
      </c>
      <c r="J8230">
        <v>298</v>
      </c>
      <c r="K8230">
        <v>0</v>
      </c>
      <c r="L8230">
        <v>366.54</v>
      </c>
    </row>
    <row r="8231" spans="1:12" x14ac:dyDescent="0.25">
      <c r="A8231" t="str">
        <f t="shared" si="1792"/>
        <v>89301000</v>
      </c>
      <c r="B8231" t="str">
        <f t="shared" si="1793"/>
        <v>72100000</v>
      </c>
      <c r="C8231" t="str">
        <f t="shared" si="1794"/>
        <v>72100632</v>
      </c>
      <c r="D8231" t="str">
        <f t="shared" si="1795"/>
        <v>816</v>
      </c>
      <c r="E8231" t="str">
        <f t="shared" si="1796"/>
        <v>89301091</v>
      </c>
      <c r="F8231" t="str">
        <f>"2207140639"</f>
        <v>2207140639</v>
      </c>
      <c r="G8231" s="1">
        <v>44762</v>
      </c>
      <c r="H8231" t="str">
        <f t="shared" si="1797"/>
        <v>94297</v>
      </c>
      <c r="I8231">
        <v>1</v>
      </c>
      <c r="J8231">
        <v>298</v>
      </c>
      <c r="K8231">
        <v>0</v>
      </c>
      <c r="L8231">
        <v>366.54</v>
      </c>
    </row>
    <row r="8232" spans="1:12" x14ac:dyDescent="0.25">
      <c r="A8232" t="str">
        <f t="shared" si="1792"/>
        <v>89301000</v>
      </c>
      <c r="B8232" t="str">
        <f t="shared" si="1793"/>
        <v>72100000</v>
      </c>
      <c r="C8232" t="str">
        <f t="shared" si="1794"/>
        <v>72100632</v>
      </c>
      <c r="D8232" t="str">
        <f t="shared" si="1795"/>
        <v>816</v>
      </c>
      <c r="E8232" t="str">
        <f t="shared" si="1796"/>
        <v>89301091</v>
      </c>
      <c r="F8232" t="str">
        <f>"2207150077"</f>
        <v>2207150077</v>
      </c>
      <c r="G8232" s="1">
        <v>44762</v>
      </c>
      <c r="H8232" t="str">
        <f t="shared" si="1797"/>
        <v>94297</v>
      </c>
      <c r="I8232">
        <v>1</v>
      </c>
      <c r="J8232">
        <v>298</v>
      </c>
      <c r="K8232">
        <v>0</v>
      </c>
      <c r="L8232">
        <v>366.54</v>
      </c>
    </row>
    <row r="8233" spans="1:12" x14ac:dyDescent="0.25">
      <c r="A8233" t="str">
        <f t="shared" si="1792"/>
        <v>89301000</v>
      </c>
      <c r="B8233" t="str">
        <f t="shared" si="1793"/>
        <v>72100000</v>
      </c>
      <c r="C8233" t="str">
        <f t="shared" si="1794"/>
        <v>72100632</v>
      </c>
      <c r="D8233" t="str">
        <f t="shared" si="1795"/>
        <v>816</v>
      </c>
      <c r="E8233" t="str">
        <f t="shared" si="1796"/>
        <v>89301091</v>
      </c>
      <c r="F8233" t="str">
        <f>"8751275797"</f>
        <v>8751275797</v>
      </c>
      <c r="G8233" s="1">
        <v>44762</v>
      </c>
      <c r="H8233" t="str">
        <f t="shared" si="1797"/>
        <v>94297</v>
      </c>
      <c r="I8233">
        <v>1</v>
      </c>
      <c r="J8233">
        <v>298</v>
      </c>
      <c r="K8233">
        <v>0</v>
      </c>
      <c r="L8233">
        <v>366.54</v>
      </c>
    </row>
    <row r="8234" spans="1:12" x14ac:dyDescent="0.25">
      <c r="A8234" t="str">
        <f t="shared" si="1792"/>
        <v>89301000</v>
      </c>
      <c r="B8234" t="str">
        <f t="shared" ref="B8234:B8255" si="1798">"72100000"</f>
        <v>72100000</v>
      </c>
      <c r="C8234" t="str">
        <f t="shared" ref="C8234:C8255" si="1799">"72100632"</f>
        <v>72100632</v>
      </c>
      <c r="D8234" t="str">
        <f t="shared" ref="D8234:D8255" si="1800">"816"</f>
        <v>816</v>
      </c>
      <c r="E8234" t="str">
        <f t="shared" ref="E8234:E8255" si="1801">"89301091"</f>
        <v>89301091</v>
      </c>
      <c r="F8234" t="str">
        <f>"2207160252"</f>
        <v>2207160252</v>
      </c>
      <c r="G8234" s="1">
        <v>44763</v>
      </c>
      <c r="H8234" t="str">
        <f t="shared" ref="H8234:H8255" si="1802">"94297"</f>
        <v>94297</v>
      </c>
      <c r="I8234">
        <v>1</v>
      </c>
      <c r="J8234">
        <v>298</v>
      </c>
      <c r="K8234">
        <v>0</v>
      </c>
      <c r="L8234">
        <v>366.54</v>
      </c>
    </row>
    <row r="8235" spans="1:12" x14ac:dyDescent="0.25">
      <c r="A8235" t="str">
        <f t="shared" si="1792"/>
        <v>89301000</v>
      </c>
      <c r="B8235" t="str">
        <f t="shared" si="1798"/>
        <v>72100000</v>
      </c>
      <c r="C8235" t="str">
        <f t="shared" si="1799"/>
        <v>72100632</v>
      </c>
      <c r="D8235" t="str">
        <f t="shared" si="1800"/>
        <v>816</v>
      </c>
      <c r="E8235" t="str">
        <f t="shared" si="1801"/>
        <v>89301091</v>
      </c>
      <c r="F8235" t="str">
        <f>"2207160285"</f>
        <v>2207160285</v>
      </c>
      <c r="G8235" s="1">
        <v>44763</v>
      </c>
      <c r="H8235" t="str">
        <f t="shared" si="1802"/>
        <v>94297</v>
      </c>
      <c r="I8235">
        <v>1</v>
      </c>
      <c r="J8235">
        <v>298</v>
      </c>
      <c r="K8235">
        <v>0</v>
      </c>
      <c r="L8235">
        <v>366.54</v>
      </c>
    </row>
    <row r="8236" spans="1:12" x14ac:dyDescent="0.25">
      <c r="A8236" t="str">
        <f t="shared" si="1792"/>
        <v>89301000</v>
      </c>
      <c r="B8236" t="str">
        <f t="shared" si="1798"/>
        <v>72100000</v>
      </c>
      <c r="C8236" t="str">
        <f t="shared" si="1799"/>
        <v>72100632</v>
      </c>
      <c r="D8236" t="str">
        <f t="shared" si="1800"/>
        <v>816</v>
      </c>
      <c r="E8236" t="str">
        <f t="shared" si="1801"/>
        <v>89301091</v>
      </c>
      <c r="F8236" t="str">
        <f>"2207160296"</f>
        <v>2207160296</v>
      </c>
      <c r="G8236" s="1">
        <v>44763</v>
      </c>
      <c r="H8236" t="str">
        <f t="shared" si="1802"/>
        <v>94297</v>
      </c>
      <c r="I8236">
        <v>1</v>
      </c>
      <c r="J8236">
        <v>298</v>
      </c>
      <c r="K8236">
        <v>0</v>
      </c>
      <c r="L8236">
        <v>366.54</v>
      </c>
    </row>
    <row r="8237" spans="1:12" x14ac:dyDescent="0.25">
      <c r="A8237" t="str">
        <f t="shared" si="1792"/>
        <v>89301000</v>
      </c>
      <c r="B8237" t="str">
        <f t="shared" si="1798"/>
        <v>72100000</v>
      </c>
      <c r="C8237" t="str">
        <f t="shared" si="1799"/>
        <v>72100632</v>
      </c>
      <c r="D8237" t="str">
        <f t="shared" si="1800"/>
        <v>816</v>
      </c>
      <c r="E8237" t="str">
        <f t="shared" si="1801"/>
        <v>89301091</v>
      </c>
      <c r="F8237" t="str">
        <f>"2207170317"</f>
        <v>2207170317</v>
      </c>
      <c r="G8237" s="1">
        <v>44763</v>
      </c>
      <c r="H8237" t="str">
        <f t="shared" si="1802"/>
        <v>94297</v>
      </c>
      <c r="I8237">
        <v>1</v>
      </c>
      <c r="J8237">
        <v>298</v>
      </c>
      <c r="K8237">
        <v>0</v>
      </c>
      <c r="L8237">
        <v>366.54</v>
      </c>
    </row>
    <row r="8238" spans="1:12" x14ac:dyDescent="0.25">
      <c r="A8238" t="str">
        <f t="shared" si="1792"/>
        <v>89301000</v>
      </c>
      <c r="B8238" t="str">
        <f t="shared" si="1798"/>
        <v>72100000</v>
      </c>
      <c r="C8238" t="str">
        <f t="shared" si="1799"/>
        <v>72100632</v>
      </c>
      <c r="D8238" t="str">
        <f t="shared" si="1800"/>
        <v>816</v>
      </c>
      <c r="E8238" t="str">
        <f t="shared" si="1801"/>
        <v>89301091</v>
      </c>
      <c r="F8238" t="str">
        <f>"2257170300"</f>
        <v>2257170300</v>
      </c>
      <c r="G8238" s="1">
        <v>44764</v>
      </c>
      <c r="H8238" t="str">
        <f t="shared" si="1802"/>
        <v>94297</v>
      </c>
      <c r="I8238">
        <v>1</v>
      </c>
      <c r="J8238">
        <v>298</v>
      </c>
      <c r="K8238">
        <v>0</v>
      </c>
      <c r="L8238">
        <v>366.54</v>
      </c>
    </row>
    <row r="8239" spans="1:12" x14ac:dyDescent="0.25">
      <c r="A8239" t="str">
        <f t="shared" si="1792"/>
        <v>89301000</v>
      </c>
      <c r="B8239" t="str">
        <f t="shared" si="1798"/>
        <v>72100000</v>
      </c>
      <c r="C8239" t="str">
        <f t="shared" si="1799"/>
        <v>72100632</v>
      </c>
      <c r="D8239" t="str">
        <f t="shared" si="1800"/>
        <v>816</v>
      </c>
      <c r="E8239" t="str">
        <f t="shared" si="1801"/>
        <v>89301091</v>
      </c>
      <c r="F8239" t="str">
        <f>"2257180574"</f>
        <v>2257180574</v>
      </c>
      <c r="G8239" s="1">
        <v>44767</v>
      </c>
      <c r="H8239" t="str">
        <f t="shared" si="1802"/>
        <v>94297</v>
      </c>
      <c r="I8239">
        <v>1</v>
      </c>
      <c r="J8239">
        <v>298</v>
      </c>
      <c r="K8239">
        <v>0</v>
      </c>
      <c r="L8239">
        <v>366.54</v>
      </c>
    </row>
    <row r="8240" spans="1:12" x14ac:dyDescent="0.25">
      <c r="A8240" t="str">
        <f t="shared" si="1792"/>
        <v>89301000</v>
      </c>
      <c r="B8240" t="str">
        <f t="shared" si="1798"/>
        <v>72100000</v>
      </c>
      <c r="C8240" t="str">
        <f t="shared" si="1799"/>
        <v>72100632</v>
      </c>
      <c r="D8240" t="str">
        <f t="shared" si="1800"/>
        <v>816</v>
      </c>
      <c r="E8240" t="str">
        <f t="shared" si="1801"/>
        <v>89301091</v>
      </c>
      <c r="F8240" t="str">
        <f>"2207180558"</f>
        <v>2207180558</v>
      </c>
      <c r="G8240" s="1">
        <v>44767</v>
      </c>
      <c r="H8240" t="str">
        <f t="shared" si="1802"/>
        <v>94297</v>
      </c>
      <c r="I8240">
        <v>1</v>
      </c>
      <c r="J8240">
        <v>298</v>
      </c>
      <c r="K8240">
        <v>0</v>
      </c>
      <c r="L8240">
        <v>366.54</v>
      </c>
    </row>
    <row r="8241" spans="1:12" x14ac:dyDescent="0.25">
      <c r="A8241" t="str">
        <f t="shared" si="1792"/>
        <v>89301000</v>
      </c>
      <c r="B8241" t="str">
        <f t="shared" si="1798"/>
        <v>72100000</v>
      </c>
      <c r="C8241" t="str">
        <f t="shared" si="1799"/>
        <v>72100632</v>
      </c>
      <c r="D8241" t="str">
        <f t="shared" si="1800"/>
        <v>816</v>
      </c>
      <c r="E8241" t="str">
        <f t="shared" si="1801"/>
        <v>89301091</v>
      </c>
      <c r="F8241" t="str">
        <f>"2257180585"</f>
        <v>2257180585</v>
      </c>
      <c r="G8241" s="1">
        <v>44767</v>
      </c>
      <c r="H8241" t="str">
        <f t="shared" si="1802"/>
        <v>94297</v>
      </c>
      <c r="I8241">
        <v>1</v>
      </c>
      <c r="J8241">
        <v>298</v>
      </c>
      <c r="K8241">
        <v>0</v>
      </c>
      <c r="L8241">
        <v>366.54</v>
      </c>
    </row>
    <row r="8242" spans="1:12" x14ac:dyDescent="0.25">
      <c r="A8242" t="str">
        <f t="shared" si="1792"/>
        <v>89301000</v>
      </c>
      <c r="B8242" t="str">
        <f t="shared" si="1798"/>
        <v>72100000</v>
      </c>
      <c r="C8242" t="str">
        <f t="shared" si="1799"/>
        <v>72100632</v>
      </c>
      <c r="D8242" t="str">
        <f t="shared" si="1800"/>
        <v>816</v>
      </c>
      <c r="E8242" t="str">
        <f t="shared" si="1801"/>
        <v>89301091</v>
      </c>
      <c r="F8242" t="str">
        <f>"2257190067"</f>
        <v>2257190067</v>
      </c>
      <c r="G8242" s="1">
        <v>44768</v>
      </c>
      <c r="H8242" t="str">
        <f t="shared" si="1802"/>
        <v>94297</v>
      </c>
      <c r="I8242">
        <v>1</v>
      </c>
      <c r="J8242">
        <v>298</v>
      </c>
      <c r="K8242">
        <v>0</v>
      </c>
      <c r="L8242">
        <v>366.54</v>
      </c>
    </row>
    <row r="8243" spans="1:12" x14ac:dyDescent="0.25">
      <c r="A8243" t="str">
        <f t="shared" si="1792"/>
        <v>89301000</v>
      </c>
      <c r="B8243" t="str">
        <f t="shared" si="1798"/>
        <v>72100000</v>
      </c>
      <c r="C8243" t="str">
        <f t="shared" si="1799"/>
        <v>72100632</v>
      </c>
      <c r="D8243" t="str">
        <f t="shared" si="1800"/>
        <v>816</v>
      </c>
      <c r="E8243" t="str">
        <f t="shared" si="1801"/>
        <v>89301091</v>
      </c>
      <c r="F8243" t="str">
        <f>"2207190304"</f>
        <v>2207190304</v>
      </c>
      <c r="G8243" s="1">
        <v>44768</v>
      </c>
      <c r="H8243" t="str">
        <f t="shared" si="1802"/>
        <v>94297</v>
      </c>
      <c r="I8243">
        <v>1</v>
      </c>
      <c r="J8243">
        <v>298</v>
      </c>
      <c r="K8243">
        <v>0</v>
      </c>
      <c r="L8243">
        <v>366.54</v>
      </c>
    </row>
    <row r="8244" spans="1:12" x14ac:dyDescent="0.25">
      <c r="A8244" t="str">
        <f t="shared" si="1792"/>
        <v>89301000</v>
      </c>
      <c r="B8244" t="str">
        <f t="shared" si="1798"/>
        <v>72100000</v>
      </c>
      <c r="C8244" t="str">
        <f t="shared" si="1799"/>
        <v>72100632</v>
      </c>
      <c r="D8244" t="str">
        <f t="shared" si="1800"/>
        <v>816</v>
      </c>
      <c r="E8244" t="str">
        <f t="shared" si="1801"/>
        <v>89301091</v>
      </c>
      <c r="F8244" t="str">
        <f>"2257190342"</f>
        <v>2257190342</v>
      </c>
      <c r="G8244" s="1">
        <v>44768</v>
      </c>
      <c r="H8244" t="str">
        <f t="shared" si="1802"/>
        <v>94297</v>
      </c>
      <c r="I8244">
        <v>1</v>
      </c>
      <c r="J8244">
        <v>298</v>
      </c>
      <c r="K8244">
        <v>0</v>
      </c>
      <c r="L8244">
        <v>366.54</v>
      </c>
    </row>
    <row r="8245" spans="1:12" x14ac:dyDescent="0.25">
      <c r="A8245" t="str">
        <f t="shared" si="1792"/>
        <v>89301000</v>
      </c>
      <c r="B8245" t="str">
        <f t="shared" si="1798"/>
        <v>72100000</v>
      </c>
      <c r="C8245" t="str">
        <f t="shared" si="1799"/>
        <v>72100632</v>
      </c>
      <c r="D8245" t="str">
        <f t="shared" si="1800"/>
        <v>816</v>
      </c>
      <c r="E8245" t="str">
        <f t="shared" si="1801"/>
        <v>89301091</v>
      </c>
      <c r="F8245" t="str">
        <f>"2207190447"</f>
        <v>2207190447</v>
      </c>
      <c r="G8245" s="1">
        <v>44768</v>
      </c>
      <c r="H8245" t="str">
        <f t="shared" si="1802"/>
        <v>94297</v>
      </c>
      <c r="I8245">
        <v>1</v>
      </c>
      <c r="J8245">
        <v>298</v>
      </c>
      <c r="K8245">
        <v>0</v>
      </c>
      <c r="L8245">
        <v>366.54</v>
      </c>
    </row>
    <row r="8246" spans="1:12" x14ac:dyDescent="0.25">
      <c r="A8246" t="str">
        <f t="shared" si="1792"/>
        <v>89301000</v>
      </c>
      <c r="B8246" t="str">
        <f t="shared" si="1798"/>
        <v>72100000</v>
      </c>
      <c r="C8246" t="str">
        <f t="shared" si="1799"/>
        <v>72100632</v>
      </c>
      <c r="D8246" t="str">
        <f t="shared" si="1800"/>
        <v>816</v>
      </c>
      <c r="E8246" t="str">
        <f t="shared" si="1801"/>
        <v>89301091</v>
      </c>
      <c r="F8246" t="str">
        <f>"2257190485"</f>
        <v>2257190485</v>
      </c>
      <c r="G8246" s="1">
        <v>44768</v>
      </c>
      <c r="H8246" t="str">
        <f t="shared" si="1802"/>
        <v>94297</v>
      </c>
      <c r="I8246">
        <v>1</v>
      </c>
      <c r="J8246">
        <v>298</v>
      </c>
      <c r="K8246">
        <v>0</v>
      </c>
      <c r="L8246">
        <v>366.54</v>
      </c>
    </row>
    <row r="8247" spans="1:12" x14ac:dyDescent="0.25">
      <c r="A8247" t="str">
        <f t="shared" si="1792"/>
        <v>89301000</v>
      </c>
      <c r="B8247" t="str">
        <f t="shared" si="1798"/>
        <v>72100000</v>
      </c>
      <c r="C8247" t="str">
        <f t="shared" si="1799"/>
        <v>72100632</v>
      </c>
      <c r="D8247" t="str">
        <f t="shared" si="1800"/>
        <v>816</v>
      </c>
      <c r="E8247" t="str">
        <f t="shared" si="1801"/>
        <v>89301091</v>
      </c>
      <c r="F8247" t="str">
        <f>"2257190507"</f>
        <v>2257190507</v>
      </c>
      <c r="G8247" s="1">
        <v>44769</v>
      </c>
      <c r="H8247" t="str">
        <f t="shared" si="1802"/>
        <v>94297</v>
      </c>
      <c r="I8247">
        <v>1</v>
      </c>
      <c r="J8247">
        <v>298</v>
      </c>
      <c r="K8247">
        <v>0</v>
      </c>
      <c r="L8247">
        <v>366.54</v>
      </c>
    </row>
    <row r="8248" spans="1:12" x14ac:dyDescent="0.25">
      <c r="A8248" t="str">
        <f t="shared" si="1792"/>
        <v>89301000</v>
      </c>
      <c r="B8248" t="str">
        <f t="shared" si="1798"/>
        <v>72100000</v>
      </c>
      <c r="C8248" t="str">
        <f t="shared" si="1799"/>
        <v>72100632</v>
      </c>
      <c r="D8248" t="str">
        <f t="shared" si="1800"/>
        <v>816</v>
      </c>
      <c r="E8248" t="str">
        <f t="shared" si="1801"/>
        <v>89301091</v>
      </c>
      <c r="F8248" t="str">
        <f>"2207200479"</f>
        <v>2207200479</v>
      </c>
      <c r="G8248" s="1">
        <v>44769</v>
      </c>
      <c r="H8248" t="str">
        <f t="shared" si="1802"/>
        <v>94297</v>
      </c>
      <c r="I8248">
        <v>1</v>
      </c>
      <c r="J8248">
        <v>298</v>
      </c>
      <c r="K8248">
        <v>0</v>
      </c>
      <c r="L8248">
        <v>366.54</v>
      </c>
    </row>
    <row r="8249" spans="1:12" x14ac:dyDescent="0.25">
      <c r="A8249" t="str">
        <f t="shared" si="1792"/>
        <v>89301000</v>
      </c>
      <c r="B8249" t="str">
        <f t="shared" si="1798"/>
        <v>72100000</v>
      </c>
      <c r="C8249" t="str">
        <f t="shared" si="1799"/>
        <v>72100632</v>
      </c>
      <c r="D8249" t="str">
        <f t="shared" si="1800"/>
        <v>816</v>
      </c>
      <c r="E8249" t="str">
        <f t="shared" si="1801"/>
        <v>89301091</v>
      </c>
      <c r="F8249" t="str">
        <f>"2207210632"</f>
        <v>2207210632</v>
      </c>
      <c r="G8249" s="1">
        <v>44769</v>
      </c>
      <c r="H8249" t="str">
        <f t="shared" si="1802"/>
        <v>94297</v>
      </c>
      <c r="I8249">
        <v>1</v>
      </c>
      <c r="J8249">
        <v>298</v>
      </c>
      <c r="K8249">
        <v>0</v>
      </c>
      <c r="L8249">
        <v>366.54</v>
      </c>
    </row>
    <row r="8250" spans="1:12" x14ac:dyDescent="0.25">
      <c r="A8250" t="str">
        <f t="shared" si="1792"/>
        <v>89301000</v>
      </c>
      <c r="B8250" t="str">
        <f t="shared" si="1798"/>
        <v>72100000</v>
      </c>
      <c r="C8250" t="str">
        <f t="shared" si="1799"/>
        <v>72100632</v>
      </c>
      <c r="D8250" t="str">
        <f t="shared" si="1800"/>
        <v>816</v>
      </c>
      <c r="E8250" t="str">
        <f t="shared" si="1801"/>
        <v>89301091</v>
      </c>
      <c r="F8250" t="str">
        <f>"2207210742"</f>
        <v>2207210742</v>
      </c>
      <c r="G8250" s="1">
        <v>44769</v>
      </c>
      <c r="H8250" t="str">
        <f t="shared" si="1802"/>
        <v>94297</v>
      </c>
      <c r="I8250">
        <v>1</v>
      </c>
      <c r="J8250">
        <v>298</v>
      </c>
      <c r="K8250">
        <v>0</v>
      </c>
      <c r="L8250">
        <v>366.54</v>
      </c>
    </row>
    <row r="8251" spans="1:12" x14ac:dyDescent="0.25">
      <c r="A8251" t="str">
        <f t="shared" si="1792"/>
        <v>89301000</v>
      </c>
      <c r="B8251" t="str">
        <f t="shared" si="1798"/>
        <v>72100000</v>
      </c>
      <c r="C8251" t="str">
        <f t="shared" si="1799"/>
        <v>72100632</v>
      </c>
      <c r="D8251" t="str">
        <f t="shared" si="1800"/>
        <v>816</v>
      </c>
      <c r="E8251" t="str">
        <f t="shared" si="1801"/>
        <v>89301091</v>
      </c>
      <c r="F8251" t="str">
        <f>"8657045804"</f>
        <v>8657045804</v>
      </c>
      <c r="G8251" s="1">
        <v>44770</v>
      </c>
      <c r="H8251" t="str">
        <f t="shared" si="1802"/>
        <v>94297</v>
      </c>
      <c r="I8251">
        <v>1</v>
      </c>
      <c r="J8251">
        <v>298</v>
      </c>
      <c r="K8251">
        <v>0</v>
      </c>
      <c r="L8251">
        <v>366.54</v>
      </c>
    </row>
    <row r="8252" spans="1:12" x14ac:dyDescent="0.25">
      <c r="A8252" t="str">
        <f t="shared" si="1792"/>
        <v>89301000</v>
      </c>
      <c r="B8252" t="str">
        <f t="shared" si="1798"/>
        <v>72100000</v>
      </c>
      <c r="C8252" t="str">
        <f t="shared" si="1799"/>
        <v>72100632</v>
      </c>
      <c r="D8252" t="str">
        <f t="shared" si="1800"/>
        <v>816</v>
      </c>
      <c r="E8252" t="str">
        <f t="shared" si="1801"/>
        <v>89301091</v>
      </c>
      <c r="F8252" t="str">
        <f>"9556096176"</f>
        <v>9556096176</v>
      </c>
      <c r="G8252" s="1">
        <v>44770</v>
      </c>
      <c r="H8252" t="str">
        <f t="shared" si="1802"/>
        <v>94297</v>
      </c>
      <c r="I8252">
        <v>1</v>
      </c>
      <c r="J8252">
        <v>298</v>
      </c>
      <c r="K8252">
        <v>0</v>
      </c>
      <c r="L8252">
        <v>366.54</v>
      </c>
    </row>
    <row r="8253" spans="1:12" x14ac:dyDescent="0.25">
      <c r="A8253" t="str">
        <f t="shared" si="1792"/>
        <v>89301000</v>
      </c>
      <c r="B8253" t="str">
        <f t="shared" si="1798"/>
        <v>72100000</v>
      </c>
      <c r="C8253" t="str">
        <f t="shared" si="1799"/>
        <v>72100632</v>
      </c>
      <c r="D8253" t="str">
        <f t="shared" si="1800"/>
        <v>816</v>
      </c>
      <c r="E8253" t="str">
        <f t="shared" si="1801"/>
        <v>89301091</v>
      </c>
      <c r="F8253" t="str">
        <f>"2207240178"</f>
        <v>2207240178</v>
      </c>
      <c r="G8253" s="1">
        <v>44771</v>
      </c>
      <c r="H8253" t="str">
        <f t="shared" si="1802"/>
        <v>94297</v>
      </c>
      <c r="I8253">
        <v>1</v>
      </c>
      <c r="J8253">
        <v>298</v>
      </c>
      <c r="K8253">
        <v>0</v>
      </c>
      <c r="L8253">
        <v>366.54</v>
      </c>
    </row>
    <row r="8254" spans="1:12" x14ac:dyDescent="0.25">
      <c r="A8254" t="str">
        <f t="shared" si="1792"/>
        <v>89301000</v>
      </c>
      <c r="B8254" t="str">
        <f t="shared" si="1798"/>
        <v>72100000</v>
      </c>
      <c r="C8254" t="str">
        <f t="shared" si="1799"/>
        <v>72100632</v>
      </c>
      <c r="D8254" t="str">
        <f t="shared" si="1800"/>
        <v>816</v>
      </c>
      <c r="E8254" t="str">
        <f t="shared" si="1801"/>
        <v>89301091</v>
      </c>
      <c r="F8254" t="str">
        <f>"2257240249"</f>
        <v>2257240249</v>
      </c>
      <c r="G8254" s="1">
        <v>44771</v>
      </c>
      <c r="H8254" t="str">
        <f t="shared" si="1802"/>
        <v>94297</v>
      </c>
      <c r="I8254">
        <v>1</v>
      </c>
      <c r="J8254">
        <v>298</v>
      </c>
      <c r="K8254">
        <v>0</v>
      </c>
      <c r="L8254">
        <v>366.54</v>
      </c>
    </row>
    <row r="8255" spans="1:12" x14ac:dyDescent="0.25">
      <c r="A8255" t="str">
        <f t="shared" si="1792"/>
        <v>89301000</v>
      </c>
      <c r="B8255" t="str">
        <f t="shared" si="1798"/>
        <v>72100000</v>
      </c>
      <c r="C8255" t="str">
        <f t="shared" si="1799"/>
        <v>72100632</v>
      </c>
      <c r="D8255" t="str">
        <f t="shared" si="1800"/>
        <v>816</v>
      </c>
      <c r="E8255" t="str">
        <f t="shared" si="1801"/>
        <v>89301091</v>
      </c>
      <c r="F8255" t="str">
        <f>"2257250006"</f>
        <v>2257250006</v>
      </c>
      <c r="G8255" s="1">
        <v>44771</v>
      </c>
      <c r="H8255" t="str">
        <f t="shared" si="1802"/>
        <v>94297</v>
      </c>
      <c r="I8255">
        <v>1</v>
      </c>
      <c r="J8255">
        <v>298</v>
      </c>
      <c r="K8255">
        <v>0</v>
      </c>
      <c r="L8255">
        <v>366.54</v>
      </c>
    </row>
    <row r="8256" spans="1:12" x14ac:dyDescent="0.25">
      <c r="A8256" t="str">
        <f t="shared" si="1792"/>
        <v>89301000</v>
      </c>
      <c r="B8256" t="str">
        <f t="shared" ref="B8256:B8287" si="1803">"06539000"</f>
        <v>06539000</v>
      </c>
      <c r="C8256" t="str">
        <f>"06539001"</f>
        <v>06539001</v>
      </c>
      <c r="D8256" t="str">
        <f>"801"</f>
        <v>801</v>
      </c>
      <c r="E8256" t="str">
        <f t="shared" ref="E8256:E8302" si="1804">"89301171"</f>
        <v>89301171</v>
      </c>
      <c r="F8256" t="str">
        <f t="shared" ref="F8256:F8302" si="1805">"7862144477"</f>
        <v>7862144477</v>
      </c>
      <c r="G8256" s="1">
        <v>44771</v>
      </c>
      <c r="H8256" t="str">
        <f>"81329"</f>
        <v>81329</v>
      </c>
      <c r="I8256">
        <v>1</v>
      </c>
      <c r="J8256">
        <v>16</v>
      </c>
      <c r="K8256">
        <v>0</v>
      </c>
      <c r="L8256">
        <v>12.48</v>
      </c>
    </row>
    <row r="8257" spans="1:12" x14ac:dyDescent="0.25">
      <c r="A8257" t="str">
        <f t="shared" si="1792"/>
        <v>89301000</v>
      </c>
      <c r="B8257" t="str">
        <f t="shared" si="1803"/>
        <v>06539000</v>
      </c>
      <c r="C8257" t="str">
        <f>"06539001"</f>
        <v>06539001</v>
      </c>
      <c r="D8257" t="str">
        <f>"801"</f>
        <v>801</v>
      </c>
      <c r="E8257" t="str">
        <f t="shared" si="1804"/>
        <v>89301171</v>
      </c>
      <c r="F8257" t="str">
        <f t="shared" si="1805"/>
        <v>7862144477</v>
      </c>
      <c r="G8257" s="1">
        <v>44771</v>
      </c>
      <c r="H8257" t="str">
        <f>"81331"</f>
        <v>81331</v>
      </c>
      <c r="I8257">
        <v>1</v>
      </c>
      <c r="J8257">
        <v>193</v>
      </c>
      <c r="K8257">
        <v>0</v>
      </c>
      <c r="L8257">
        <v>150.54</v>
      </c>
    </row>
    <row r="8258" spans="1:12" x14ac:dyDescent="0.25">
      <c r="A8258" t="str">
        <f t="shared" ref="A8258:A8321" si="1806">"89301000"</f>
        <v>89301000</v>
      </c>
      <c r="B8258" t="str">
        <f t="shared" si="1803"/>
        <v>06539000</v>
      </c>
      <c r="C8258" t="str">
        <f t="shared" ref="C8258:C8265" si="1807">"06539002"</f>
        <v>06539002</v>
      </c>
      <c r="D8258" t="str">
        <f t="shared" ref="D8258:D8265" si="1808">"802"</f>
        <v>802</v>
      </c>
      <c r="E8258" t="str">
        <f t="shared" si="1804"/>
        <v>89301171</v>
      </c>
      <c r="F8258" t="str">
        <f t="shared" si="1805"/>
        <v>7862144477</v>
      </c>
      <c r="G8258" s="1">
        <v>44771</v>
      </c>
      <c r="H8258" t="str">
        <f t="shared" ref="H8258:H8265" si="1809">"82097"</f>
        <v>82097</v>
      </c>
      <c r="I8258">
        <v>1</v>
      </c>
      <c r="J8258">
        <v>380</v>
      </c>
      <c r="K8258">
        <v>0</v>
      </c>
      <c r="L8258">
        <v>345.8</v>
      </c>
    </row>
    <row r="8259" spans="1:12" x14ac:dyDescent="0.25">
      <c r="A8259" t="str">
        <f t="shared" si="1806"/>
        <v>89301000</v>
      </c>
      <c r="B8259" t="str">
        <f t="shared" si="1803"/>
        <v>06539000</v>
      </c>
      <c r="C8259" t="str">
        <f t="shared" si="1807"/>
        <v>06539002</v>
      </c>
      <c r="D8259" t="str">
        <f t="shared" si="1808"/>
        <v>802</v>
      </c>
      <c r="E8259" t="str">
        <f t="shared" si="1804"/>
        <v>89301171</v>
      </c>
      <c r="F8259" t="str">
        <f t="shared" si="1805"/>
        <v>7862144477</v>
      </c>
      <c r="G8259" s="1">
        <v>44771</v>
      </c>
      <c r="H8259" t="str">
        <f t="shared" si="1809"/>
        <v>82097</v>
      </c>
      <c r="I8259">
        <v>1</v>
      </c>
      <c r="J8259">
        <v>380</v>
      </c>
      <c r="K8259">
        <v>0</v>
      </c>
      <c r="L8259">
        <v>345.8</v>
      </c>
    </row>
    <row r="8260" spans="1:12" x14ac:dyDescent="0.25">
      <c r="A8260" t="str">
        <f t="shared" si="1806"/>
        <v>89301000</v>
      </c>
      <c r="B8260" t="str">
        <f t="shared" si="1803"/>
        <v>06539000</v>
      </c>
      <c r="C8260" t="str">
        <f t="shared" si="1807"/>
        <v>06539002</v>
      </c>
      <c r="D8260" t="str">
        <f t="shared" si="1808"/>
        <v>802</v>
      </c>
      <c r="E8260" t="str">
        <f t="shared" si="1804"/>
        <v>89301171</v>
      </c>
      <c r="F8260" t="str">
        <f t="shared" si="1805"/>
        <v>7862144477</v>
      </c>
      <c r="G8260" s="1">
        <v>44771</v>
      </c>
      <c r="H8260" t="str">
        <f t="shared" si="1809"/>
        <v>82097</v>
      </c>
      <c r="I8260">
        <v>1</v>
      </c>
      <c r="J8260">
        <v>380</v>
      </c>
      <c r="K8260">
        <v>0</v>
      </c>
      <c r="L8260">
        <v>345.8</v>
      </c>
    </row>
    <row r="8261" spans="1:12" x14ac:dyDescent="0.25">
      <c r="A8261" t="str">
        <f t="shared" si="1806"/>
        <v>89301000</v>
      </c>
      <c r="B8261" t="str">
        <f t="shared" si="1803"/>
        <v>06539000</v>
      </c>
      <c r="C8261" t="str">
        <f t="shared" si="1807"/>
        <v>06539002</v>
      </c>
      <c r="D8261" t="str">
        <f t="shared" si="1808"/>
        <v>802</v>
      </c>
      <c r="E8261" t="str">
        <f t="shared" si="1804"/>
        <v>89301171</v>
      </c>
      <c r="F8261" t="str">
        <f t="shared" si="1805"/>
        <v>7862144477</v>
      </c>
      <c r="G8261" s="1">
        <v>44771</v>
      </c>
      <c r="H8261" t="str">
        <f t="shared" si="1809"/>
        <v>82097</v>
      </c>
      <c r="I8261">
        <v>1</v>
      </c>
      <c r="J8261">
        <v>380</v>
      </c>
      <c r="K8261">
        <v>0</v>
      </c>
      <c r="L8261">
        <v>345.8</v>
      </c>
    </row>
    <row r="8262" spans="1:12" x14ac:dyDescent="0.25">
      <c r="A8262" t="str">
        <f t="shared" si="1806"/>
        <v>89301000</v>
      </c>
      <c r="B8262" t="str">
        <f t="shared" si="1803"/>
        <v>06539000</v>
      </c>
      <c r="C8262" t="str">
        <f t="shared" si="1807"/>
        <v>06539002</v>
      </c>
      <c r="D8262" t="str">
        <f t="shared" si="1808"/>
        <v>802</v>
      </c>
      <c r="E8262" t="str">
        <f t="shared" si="1804"/>
        <v>89301171</v>
      </c>
      <c r="F8262" t="str">
        <f t="shared" si="1805"/>
        <v>7862144477</v>
      </c>
      <c r="G8262" s="1">
        <v>44771</v>
      </c>
      <c r="H8262" t="str">
        <f t="shared" si="1809"/>
        <v>82097</v>
      </c>
      <c r="I8262">
        <v>1</v>
      </c>
      <c r="J8262">
        <v>380</v>
      </c>
      <c r="K8262">
        <v>0</v>
      </c>
      <c r="L8262">
        <v>345.8</v>
      </c>
    </row>
    <row r="8263" spans="1:12" x14ac:dyDescent="0.25">
      <c r="A8263" t="str">
        <f t="shared" si="1806"/>
        <v>89301000</v>
      </c>
      <c r="B8263" t="str">
        <f t="shared" si="1803"/>
        <v>06539000</v>
      </c>
      <c r="C8263" t="str">
        <f t="shared" si="1807"/>
        <v>06539002</v>
      </c>
      <c r="D8263" t="str">
        <f t="shared" si="1808"/>
        <v>802</v>
      </c>
      <c r="E8263" t="str">
        <f t="shared" si="1804"/>
        <v>89301171</v>
      </c>
      <c r="F8263" t="str">
        <f t="shared" si="1805"/>
        <v>7862144477</v>
      </c>
      <c r="G8263" s="1">
        <v>44771</v>
      </c>
      <c r="H8263" t="str">
        <f t="shared" si="1809"/>
        <v>82097</v>
      </c>
      <c r="I8263">
        <v>1</v>
      </c>
      <c r="J8263">
        <v>380</v>
      </c>
      <c r="K8263">
        <v>0</v>
      </c>
      <c r="L8263">
        <v>345.8</v>
      </c>
    </row>
    <row r="8264" spans="1:12" x14ac:dyDescent="0.25">
      <c r="A8264" t="str">
        <f t="shared" si="1806"/>
        <v>89301000</v>
      </c>
      <c r="B8264" t="str">
        <f t="shared" si="1803"/>
        <v>06539000</v>
      </c>
      <c r="C8264" t="str">
        <f t="shared" si="1807"/>
        <v>06539002</v>
      </c>
      <c r="D8264" t="str">
        <f t="shared" si="1808"/>
        <v>802</v>
      </c>
      <c r="E8264" t="str">
        <f t="shared" si="1804"/>
        <v>89301171</v>
      </c>
      <c r="F8264" t="str">
        <f t="shared" si="1805"/>
        <v>7862144477</v>
      </c>
      <c r="G8264" s="1">
        <v>44771</v>
      </c>
      <c r="H8264" t="str">
        <f t="shared" si="1809"/>
        <v>82097</v>
      </c>
      <c r="I8264">
        <v>1</v>
      </c>
      <c r="J8264">
        <v>380</v>
      </c>
      <c r="K8264">
        <v>0</v>
      </c>
      <c r="L8264">
        <v>345.8</v>
      </c>
    </row>
    <row r="8265" spans="1:12" x14ac:dyDescent="0.25">
      <c r="A8265" t="str">
        <f t="shared" si="1806"/>
        <v>89301000</v>
      </c>
      <c r="B8265" t="str">
        <f t="shared" si="1803"/>
        <v>06539000</v>
      </c>
      <c r="C8265" t="str">
        <f t="shared" si="1807"/>
        <v>06539002</v>
      </c>
      <c r="D8265" t="str">
        <f t="shared" si="1808"/>
        <v>802</v>
      </c>
      <c r="E8265" t="str">
        <f t="shared" si="1804"/>
        <v>89301171</v>
      </c>
      <c r="F8265" t="str">
        <f t="shared" si="1805"/>
        <v>7862144477</v>
      </c>
      <c r="G8265" s="1">
        <v>44771</v>
      </c>
      <c r="H8265" t="str">
        <f t="shared" si="1809"/>
        <v>82097</v>
      </c>
      <c r="I8265">
        <v>1</v>
      </c>
      <c r="J8265">
        <v>380</v>
      </c>
      <c r="K8265">
        <v>0</v>
      </c>
      <c r="L8265">
        <v>345.8</v>
      </c>
    </row>
    <row r="8266" spans="1:12" x14ac:dyDescent="0.25">
      <c r="A8266" t="str">
        <f t="shared" si="1806"/>
        <v>89301000</v>
      </c>
      <c r="B8266" t="str">
        <f t="shared" si="1803"/>
        <v>06539000</v>
      </c>
      <c r="C8266" t="str">
        <f t="shared" ref="C8266:C8302" si="1810">"06539003"</f>
        <v>06539003</v>
      </c>
      <c r="D8266" t="str">
        <f t="shared" ref="D8266:D8302" si="1811">"813"</f>
        <v>813</v>
      </c>
      <c r="E8266" t="str">
        <f t="shared" si="1804"/>
        <v>89301171</v>
      </c>
      <c r="F8266" t="str">
        <f t="shared" si="1805"/>
        <v>7862144477</v>
      </c>
      <c r="G8266" s="1">
        <v>44774</v>
      </c>
      <c r="H8266" t="str">
        <f>"91439"</f>
        <v>91439</v>
      </c>
      <c r="I8266">
        <v>1</v>
      </c>
      <c r="J8266">
        <v>356</v>
      </c>
      <c r="K8266">
        <v>0</v>
      </c>
      <c r="L8266">
        <v>277.68</v>
      </c>
    </row>
    <row r="8267" spans="1:12" x14ac:dyDescent="0.25">
      <c r="A8267" t="str">
        <f t="shared" si="1806"/>
        <v>89301000</v>
      </c>
      <c r="B8267" t="str">
        <f t="shared" si="1803"/>
        <v>06539000</v>
      </c>
      <c r="C8267" t="str">
        <f t="shared" si="1810"/>
        <v>06539003</v>
      </c>
      <c r="D8267" t="str">
        <f t="shared" si="1811"/>
        <v>813</v>
      </c>
      <c r="E8267" t="str">
        <f t="shared" si="1804"/>
        <v>89301171</v>
      </c>
      <c r="F8267" t="str">
        <f t="shared" si="1805"/>
        <v>7862144477</v>
      </c>
      <c r="G8267" s="1">
        <v>44774</v>
      </c>
      <c r="H8267" t="str">
        <f>"91439"</f>
        <v>91439</v>
      </c>
      <c r="I8267">
        <v>1</v>
      </c>
      <c r="J8267">
        <v>356</v>
      </c>
      <c r="K8267">
        <v>0</v>
      </c>
      <c r="L8267">
        <v>277.68</v>
      </c>
    </row>
    <row r="8268" spans="1:12" x14ac:dyDescent="0.25">
      <c r="A8268" t="str">
        <f t="shared" si="1806"/>
        <v>89301000</v>
      </c>
      <c r="B8268" t="str">
        <f t="shared" si="1803"/>
        <v>06539000</v>
      </c>
      <c r="C8268" t="str">
        <f t="shared" si="1810"/>
        <v>06539003</v>
      </c>
      <c r="D8268" t="str">
        <f t="shared" si="1811"/>
        <v>813</v>
      </c>
      <c r="E8268" t="str">
        <f t="shared" si="1804"/>
        <v>89301171</v>
      </c>
      <c r="F8268" t="str">
        <f t="shared" si="1805"/>
        <v>7862144477</v>
      </c>
      <c r="G8268" s="1">
        <v>44774</v>
      </c>
      <c r="H8268" t="str">
        <f>"91439"</f>
        <v>91439</v>
      </c>
      <c r="I8268">
        <v>1</v>
      </c>
      <c r="J8268">
        <v>356</v>
      </c>
      <c r="K8268">
        <v>0</v>
      </c>
      <c r="L8268">
        <v>277.68</v>
      </c>
    </row>
    <row r="8269" spans="1:12" x14ac:dyDescent="0.25">
      <c r="A8269" t="str">
        <f t="shared" si="1806"/>
        <v>89301000</v>
      </c>
      <c r="B8269" t="str">
        <f t="shared" si="1803"/>
        <v>06539000</v>
      </c>
      <c r="C8269" t="str">
        <f t="shared" si="1810"/>
        <v>06539003</v>
      </c>
      <c r="D8269" t="str">
        <f t="shared" si="1811"/>
        <v>813</v>
      </c>
      <c r="E8269" t="str">
        <f t="shared" si="1804"/>
        <v>89301171</v>
      </c>
      <c r="F8269" t="str">
        <f t="shared" si="1805"/>
        <v>7862144477</v>
      </c>
      <c r="G8269" s="1">
        <v>44774</v>
      </c>
      <c r="H8269" t="str">
        <f>"91439"</f>
        <v>91439</v>
      </c>
      <c r="I8269">
        <v>1</v>
      </c>
      <c r="J8269">
        <v>356</v>
      </c>
      <c r="K8269">
        <v>0</v>
      </c>
      <c r="L8269">
        <v>277.68</v>
      </c>
    </row>
    <row r="8270" spans="1:12" x14ac:dyDescent="0.25">
      <c r="A8270" t="str">
        <f t="shared" si="1806"/>
        <v>89301000</v>
      </c>
      <c r="B8270" t="str">
        <f t="shared" si="1803"/>
        <v>06539000</v>
      </c>
      <c r="C8270" t="str">
        <f t="shared" si="1810"/>
        <v>06539003</v>
      </c>
      <c r="D8270" t="str">
        <f t="shared" si="1811"/>
        <v>813</v>
      </c>
      <c r="E8270" t="str">
        <f t="shared" si="1804"/>
        <v>89301171</v>
      </c>
      <c r="F8270" t="str">
        <f t="shared" si="1805"/>
        <v>7862144477</v>
      </c>
      <c r="G8270" s="1">
        <v>44774</v>
      </c>
      <c r="H8270" t="str">
        <f>"91439"</f>
        <v>91439</v>
      </c>
      <c r="I8270">
        <v>2</v>
      </c>
      <c r="J8270">
        <v>712</v>
      </c>
      <c r="K8270">
        <v>0</v>
      </c>
      <c r="L8270">
        <v>555.36</v>
      </c>
    </row>
    <row r="8271" spans="1:12" x14ac:dyDescent="0.25">
      <c r="A8271" t="str">
        <f t="shared" si="1806"/>
        <v>89301000</v>
      </c>
      <c r="B8271" t="str">
        <f t="shared" si="1803"/>
        <v>06539000</v>
      </c>
      <c r="C8271" t="str">
        <f t="shared" si="1810"/>
        <v>06539003</v>
      </c>
      <c r="D8271" t="str">
        <f t="shared" si="1811"/>
        <v>813</v>
      </c>
      <c r="E8271" t="str">
        <f t="shared" si="1804"/>
        <v>89301171</v>
      </c>
      <c r="F8271" t="str">
        <f t="shared" si="1805"/>
        <v>7862144477</v>
      </c>
      <c r="G8271" s="1">
        <v>44777</v>
      </c>
      <c r="H8271" t="str">
        <f t="shared" ref="H8271:H8280" si="1812">"91413"</f>
        <v>91413</v>
      </c>
      <c r="I8271">
        <v>1</v>
      </c>
      <c r="J8271">
        <v>853</v>
      </c>
      <c r="K8271">
        <v>0</v>
      </c>
      <c r="L8271">
        <v>665.34</v>
      </c>
    </row>
    <row r="8272" spans="1:12" x14ac:dyDescent="0.25">
      <c r="A8272" t="str">
        <f t="shared" si="1806"/>
        <v>89301000</v>
      </c>
      <c r="B8272" t="str">
        <f t="shared" si="1803"/>
        <v>06539000</v>
      </c>
      <c r="C8272" t="str">
        <f t="shared" si="1810"/>
        <v>06539003</v>
      </c>
      <c r="D8272" t="str">
        <f t="shared" si="1811"/>
        <v>813</v>
      </c>
      <c r="E8272" t="str">
        <f t="shared" si="1804"/>
        <v>89301171</v>
      </c>
      <c r="F8272" t="str">
        <f t="shared" si="1805"/>
        <v>7862144477</v>
      </c>
      <c r="G8272" s="1">
        <v>44777</v>
      </c>
      <c r="H8272" t="str">
        <f t="shared" si="1812"/>
        <v>91413</v>
      </c>
      <c r="I8272">
        <v>1</v>
      </c>
      <c r="J8272">
        <v>853</v>
      </c>
      <c r="K8272">
        <v>0</v>
      </c>
      <c r="L8272">
        <v>665.34</v>
      </c>
    </row>
    <row r="8273" spans="1:12" x14ac:dyDescent="0.25">
      <c r="A8273" t="str">
        <f t="shared" si="1806"/>
        <v>89301000</v>
      </c>
      <c r="B8273" t="str">
        <f t="shared" si="1803"/>
        <v>06539000</v>
      </c>
      <c r="C8273" t="str">
        <f t="shared" si="1810"/>
        <v>06539003</v>
      </c>
      <c r="D8273" t="str">
        <f t="shared" si="1811"/>
        <v>813</v>
      </c>
      <c r="E8273" t="str">
        <f t="shared" si="1804"/>
        <v>89301171</v>
      </c>
      <c r="F8273" t="str">
        <f t="shared" si="1805"/>
        <v>7862144477</v>
      </c>
      <c r="G8273" s="1">
        <v>44777</v>
      </c>
      <c r="H8273" t="str">
        <f t="shared" si="1812"/>
        <v>91413</v>
      </c>
      <c r="I8273">
        <v>1</v>
      </c>
      <c r="J8273">
        <v>853</v>
      </c>
      <c r="K8273">
        <v>0</v>
      </c>
      <c r="L8273">
        <v>665.34</v>
      </c>
    </row>
    <row r="8274" spans="1:12" x14ac:dyDescent="0.25">
      <c r="A8274" t="str">
        <f t="shared" si="1806"/>
        <v>89301000</v>
      </c>
      <c r="B8274" t="str">
        <f t="shared" si="1803"/>
        <v>06539000</v>
      </c>
      <c r="C8274" t="str">
        <f t="shared" si="1810"/>
        <v>06539003</v>
      </c>
      <c r="D8274" t="str">
        <f t="shared" si="1811"/>
        <v>813</v>
      </c>
      <c r="E8274" t="str">
        <f t="shared" si="1804"/>
        <v>89301171</v>
      </c>
      <c r="F8274" t="str">
        <f t="shared" si="1805"/>
        <v>7862144477</v>
      </c>
      <c r="G8274" s="1">
        <v>44777</v>
      </c>
      <c r="H8274" t="str">
        <f t="shared" si="1812"/>
        <v>91413</v>
      </c>
      <c r="I8274">
        <v>1</v>
      </c>
      <c r="J8274">
        <v>853</v>
      </c>
      <c r="K8274">
        <v>0</v>
      </c>
      <c r="L8274">
        <v>665.34</v>
      </c>
    </row>
    <row r="8275" spans="1:12" x14ac:dyDescent="0.25">
      <c r="A8275" t="str">
        <f t="shared" si="1806"/>
        <v>89301000</v>
      </c>
      <c r="B8275" t="str">
        <f t="shared" si="1803"/>
        <v>06539000</v>
      </c>
      <c r="C8275" t="str">
        <f t="shared" si="1810"/>
        <v>06539003</v>
      </c>
      <c r="D8275" t="str">
        <f t="shared" si="1811"/>
        <v>813</v>
      </c>
      <c r="E8275" t="str">
        <f t="shared" si="1804"/>
        <v>89301171</v>
      </c>
      <c r="F8275" t="str">
        <f t="shared" si="1805"/>
        <v>7862144477</v>
      </c>
      <c r="G8275" s="1">
        <v>44777</v>
      </c>
      <c r="H8275" t="str">
        <f t="shared" si="1812"/>
        <v>91413</v>
      </c>
      <c r="I8275">
        <v>1</v>
      </c>
      <c r="J8275">
        <v>853</v>
      </c>
      <c r="K8275">
        <v>0</v>
      </c>
      <c r="L8275">
        <v>665.34</v>
      </c>
    </row>
    <row r="8276" spans="1:12" x14ac:dyDescent="0.25">
      <c r="A8276" t="str">
        <f t="shared" si="1806"/>
        <v>89301000</v>
      </c>
      <c r="B8276" t="str">
        <f t="shared" si="1803"/>
        <v>06539000</v>
      </c>
      <c r="C8276" t="str">
        <f t="shared" si="1810"/>
        <v>06539003</v>
      </c>
      <c r="D8276" t="str">
        <f t="shared" si="1811"/>
        <v>813</v>
      </c>
      <c r="E8276" t="str">
        <f t="shared" si="1804"/>
        <v>89301171</v>
      </c>
      <c r="F8276" t="str">
        <f t="shared" si="1805"/>
        <v>7862144477</v>
      </c>
      <c r="G8276" s="1">
        <v>44776</v>
      </c>
      <c r="H8276" t="str">
        <f t="shared" si="1812"/>
        <v>91413</v>
      </c>
      <c r="I8276">
        <v>1</v>
      </c>
      <c r="J8276">
        <v>853</v>
      </c>
      <c r="K8276">
        <v>0</v>
      </c>
      <c r="L8276">
        <v>665.34</v>
      </c>
    </row>
    <row r="8277" spans="1:12" x14ac:dyDescent="0.25">
      <c r="A8277" t="str">
        <f t="shared" si="1806"/>
        <v>89301000</v>
      </c>
      <c r="B8277" t="str">
        <f t="shared" si="1803"/>
        <v>06539000</v>
      </c>
      <c r="C8277" t="str">
        <f t="shared" si="1810"/>
        <v>06539003</v>
      </c>
      <c r="D8277" t="str">
        <f t="shared" si="1811"/>
        <v>813</v>
      </c>
      <c r="E8277" t="str">
        <f t="shared" si="1804"/>
        <v>89301171</v>
      </c>
      <c r="F8277" t="str">
        <f t="shared" si="1805"/>
        <v>7862144477</v>
      </c>
      <c r="G8277" s="1">
        <v>44777</v>
      </c>
      <c r="H8277" t="str">
        <f t="shared" si="1812"/>
        <v>91413</v>
      </c>
      <c r="I8277">
        <v>1</v>
      </c>
      <c r="J8277">
        <v>853</v>
      </c>
      <c r="K8277">
        <v>0</v>
      </c>
      <c r="L8277">
        <v>665.34</v>
      </c>
    </row>
    <row r="8278" spans="1:12" x14ac:dyDescent="0.25">
      <c r="A8278" t="str">
        <f t="shared" si="1806"/>
        <v>89301000</v>
      </c>
      <c r="B8278" t="str">
        <f t="shared" si="1803"/>
        <v>06539000</v>
      </c>
      <c r="C8278" t="str">
        <f t="shared" si="1810"/>
        <v>06539003</v>
      </c>
      <c r="D8278" t="str">
        <f t="shared" si="1811"/>
        <v>813</v>
      </c>
      <c r="E8278" t="str">
        <f t="shared" si="1804"/>
        <v>89301171</v>
      </c>
      <c r="F8278" t="str">
        <f t="shared" si="1805"/>
        <v>7862144477</v>
      </c>
      <c r="G8278" s="1">
        <v>44777</v>
      </c>
      <c r="H8278" t="str">
        <f t="shared" si="1812"/>
        <v>91413</v>
      </c>
      <c r="I8278">
        <v>1</v>
      </c>
      <c r="J8278">
        <v>853</v>
      </c>
      <c r="K8278">
        <v>0</v>
      </c>
      <c r="L8278">
        <v>665.34</v>
      </c>
    </row>
    <row r="8279" spans="1:12" x14ac:dyDescent="0.25">
      <c r="A8279" t="str">
        <f t="shared" si="1806"/>
        <v>89301000</v>
      </c>
      <c r="B8279" t="str">
        <f t="shared" si="1803"/>
        <v>06539000</v>
      </c>
      <c r="C8279" t="str">
        <f t="shared" si="1810"/>
        <v>06539003</v>
      </c>
      <c r="D8279" t="str">
        <f t="shared" si="1811"/>
        <v>813</v>
      </c>
      <c r="E8279" t="str">
        <f t="shared" si="1804"/>
        <v>89301171</v>
      </c>
      <c r="F8279" t="str">
        <f t="shared" si="1805"/>
        <v>7862144477</v>
      </c>
      <c r="G8279" s="1">
        <v>44777</v>
      </c>
      <c r="H8279" t="str">
        <f t="shared" si="1812"/>
        <v>91413</v>
      </c>
      <c r="I8279">
        <v>1</v>
      </c>
      <c r="J8279">
        <v>853</v>
      </c>
      <c r="K8279">
        <v>0</v>
      </c>
      <c r="L8279">
        <v>665.34</v>
      </c>
    </row>
    <row r="8280" spans="1:12" x14ac:dyDescent="0.25">
      <c r="A8280" t="str">
        <f t="shared" si="1806"/>
        <v>89301000</v>
      </c>
      <c r="B8280" t="str">
        <f t="shared" si="1803"/>
        <v>06539000</v>
      </c>
      <c r="C8280" t="str">
        <f t="shared" si="1810"/>
        <v>06539003</v>
      </c>
      <c r="D8280" t="str">
        <f t="shared" si="1811"/>
        <v>813</v>
      </c>
      <c r="E8280" t="str">
        <f t="shared" si="1804"/>
        <v>89301171</v>
      </c>
      <c r="F8280" t="str">
        <f t="shared" si="1805"/>
        <v>7862144477</v>
      </c>
      <c r="G8280" s="1">
        <v>44777</v>
      </c>
      <c r="H8280" t="str">
        <f t="shared" si="1812"/>
        <v>91413</v>
      </c>
      <c r="I8280">
        <v>1</v>
      </c>
      <c r="J8280">
        <v>853</v>
      </c>
      <c r="K8280">
        <v>0</v>
      </c>
      <c r="L8280">
        <v>665.34</v>
      </c>
    </row>
    <row r="8281" spans="1:12" x14ac:dyDescent="0.25">
      <c r="A8281" t="str">
        <f t="shared" si="1806"/>
        <v>89301000</v>
      </c>
      <c r="B8281" t="str">
        <f t="shared" si="1803"/>
        <v>06539000</v>
      </c>
      <c r="C8281" t="str">
        <f t="shared" si="1810"/>
        <v>06539003</v>
      </c>
      <c r="D8281" t="str">
        <f t="shared" si="1811"/>
        <v>813</v>
      </c>
      <c r="E8281" t="str">
        <f t="shared" si="1804"/>
        <v>89301171</v>
      </c>
      <c r="F8281" t="str">
        <f t="shared" si="1805"/>
        <v>7862144477</v>
      </c>
      <c r="G8281" s="1">
        <v>44771</v>
      </c>
      <c r="H8281" t="str">
        <f t="shared" ref="H8281:H8287" si="1813">"91197"</f>
        <v>91197</v>
      </c>
      <c r="I8281">
        <v>1</v>
      </c>
      <c r="J8281">
        <v>1046</v>
      </c>
      <c r="K8281">
        <v>0</v>
      </c>
      <c r="L8281">
        <v>815.88</v>
      </c>
    </row>
    <row r="8282" spans="1:12" x14ac:dyDescent="0.25">
      <c r="A8282" t="str">
        <f t="shared" si="1806"/>
        <v>89301000</v>
      </c>
      <c r="B8282" t="str">
        <f t="shared" si="1803"/>
        <v>06539000</v>
      </c>
      <c r="C8282" t="str">
        <f t="shared" si="1810"/>
        <v>06539003</v>
      </c>
      <c r="D8282" t="str">
        <f t="shared" si="1811"/>
        <v>813</v>
      </c>
      <c r="E8282" t="str">
        <f t="shared" si="1804"/>
        <v>89301171</v>
      </c>
      <c r="F8282" t="str">
        <f t="shared" si="1805"/>
        <v>7862144477</v>
      </c>
      <c r="G8282" s="1">
        <v>44774</v>
      </c>
      <c r="H8282" t="str">
        <f t="shared" si="1813"/>
        <v>91197</v>
      </c>
      <c r="I8282">
        <v>1</v>
      </c>
      <c r="J8282">
        <v>1046</v>
      </c>
      <c r="K8282">
        <v>0</v>
      </c>
      <c r="L8282">
        <v>815.88</v>
      </c>
    </row>
    <row r="8283" spans="1:12" x14ac:dyDescent="0.25">
      <c r="A8283" t="str">
        <f t="shared" si="1806"/>
        <v>89301000</v>
      </c>
      <c r="B8283" t="str">
        <f t="shared" si="1803"/>
        <v>06539000</v>
      </c>
      <c r="C8283" t="str">
        <f t="shared" si="1810"/>
        <v>06539003</v>
      </c>
      <c r="D8283" t="str">
        <f t="shared" si="1811"/>
        <v>813</v>
      </c>
      <c r="E8283" t="str">
        <f t="shared" si="1804"/>
        <v>89301171</v>
      </c>
      <c r="F8283" t="str">
        <f t="shared" si="1805"/>
        <v>7862144477</v>
      </c>
      <c r="G8283" s="1">
        <v>44774</v>
      </c>
      <c r="H8283" t="str">
        <f t="shared" si="1813"/>
        <v>91197</v>
      </c>
      <c r="I8283">
        <v>1</v>
      </c>
      <c r="J8283">
        <v>1046</v>
      </c>
      <c r="K8283">
        <v>0</v>
      </c>
      <c r="L8283">
        <v>815.88</v>
      </c>
    </row>
    <row r="8284" spans="1:12" x14ac:dyDescent="0.25">
      <c r="A8284" t="str">
        <f t="shared" si="1806"/>
        <v>89301000</v>
      </c>
      <c r="B8284" t="str">
        <f t="shared" si="1803"/>
        <v>06539000</v>
      </c>
      <c r="C8284" t="str">
        <f t="shared" si="1810"/>
        <v>06539003</v>
      </c>
      <c r="D8284" t="str">
        <f t="shared" si="1811"/>
        <v>813</v>
      </c>
      <c r="E8284" t="str">
        <f t="shared" si="1804"/>
        <v>89301171</v>
      </c>
      <c r="F8284" t="str">
        <f t="shared" si="1805"/>
        <v>7862144477</v>
      </c>
      <c r="G8284" s="1">
        <v>44773</v>
      </c>
      <c r="H8284" t="str">
        <f t="shared" si="1813"/>
        <v>91197</v>
      </c>
      <c r="I8284">
        <v>1</v>
      </c>
      <c r="J8284">
        <v>1046</v>
      </c>
      <c r="K8284">
        <v>0</v>
      </c>
      <c r="L8284">
        <v>815.88</v>
      </c>
    </row>
    <row r="8285" spans="1:12" x14ac:dyDescent="0.25">
      <c r="A8285" t="str">
        <f t="shared" si="1806"/>
        <v>89301000</v>
      </c>
      <c r="B8285" t="str">
        <f t="shared" si="1803"/>
        <v>06539000</v>
      </c>
      <c r="C8285" t="str">
        <f t="shared" si="1810"/>
        <v>06539003</v>
      </c>
      <c r="D8285" t="str">
        <f t="shared" si="1811"/>
        <v>813</v>
      </c>
      <c r="E8285" t="str">
        <f t="shared" si="1804"/>
        <v>89301171</v>
      </c>
      <c r="F8285" t="str">
        <f t="shared" si="1805"/>
        <v>7862144477</v>
      </c>
      <c r="G8285" s="1">
        <v>44773</v>
      </c>
      <c r="H8285" t="str">
        <f t="shared" si="1813"/>
        <v>91197</v>
      </c>
      <c r="I8285">
        <v>1</v>
      </c>
      <c r="J8285">
        <v>1046</v>
      </c>
      <c r="K8285">
        <v>0</v>
      </c>
      <c r="L8285">
        <v>815.88</v>
      </c>
    </row>
    <row r="8286" spans="1:12" x14ac:dyDescent="0.25">
      <c r="A8286" t="str">
        <f t="shared" si="1806"/>
        <v>89301000</v>
      </c>
      <c r="B8286" t="str">
        <f t="shared" si="1803"/>
        <v>06539000</v>
      </c>
      <c r="C8286" t="str">
        <f t="shared" si="1810"/>
        <v>06539003</v>
      </c>
      <c r="D8286" t="str">
        <f t="shared" si="1811"/>
        <v>813</v>
      </c>
      <c r="E8286" t="str">
        <f t="shared" si="1804"/>
        <v>89301171</v>
      </c>
      <c r="F8286" t="str">
        <f t="shared" si="1805"/>
        <v>7862144477</v>
      </c>
      <c r="G8286" s="1">
        <v>44772</v>
      </c>
      <c r="H8286" t="str">
        <f t="shared" si="1813"/>
        <v>91197</v>
      </c>
      <c r="I8286">
        <v>1</v>
      </c>
      <c r="J8286">
        <v>1046</v>
      </c>
      <c r="K8286">
        <v>0</v>
      </c>
      <c r="L8286">
        <v>815.88</v>
      </c>
    </row>
    <row r="8287" spans="1:12" x14ac:dyDescent="0.25">
      <c r="A8287" t="str">
        <f t="shared" si="1806"/>
        <v>89301000</v>
      </c>
      <c r="B8287" t="str">
        <f t="shared" si="1803"/>
        <v>06539000</v>
      </c>
      <c r="C8287" t="str">
        <f t="shared" si="1810"/>
        <v>06539003</v>
      </c>
      <c r="D8287" t="str">
        <f t="shared" si="1811"/>
        <v>813</v>
      </c>
      <c r="E8287" t="str">
        <f t="shared" si="1804"/>
        <v>89301171</v>
      </c>
      <c r="F8287" t="str">
        <f t="shared" si="1805"/>
        <v>7862144477</v>
      </c>
      <c r="G8287" s="1">
        <v>44772</v>
      </c>
      <c r="H8287" t="str">
        <f t="shared" si="1813"/>
        <v>91197</v>
      </c>
      <c r="I8287">
        <v>1</v>
      </c>
      <c r="J8287">
        <v>1046</v>
      </c>
      <c r="K8287">
        <v>0</v>
      </c>
      <c r="L8287">
        <v>815.88</v>
      </c>
    </row>
    <row r="8288" spans="1:12" x14ac:dyDescent="0.25">
      <c r="A8288" t="str">
        <f t="shared" si="1806"/>
        <v>89301000</v>
      </c>
      <c r="B8288" t="str">
        <f t="shared" ref="B8288:B8319" si="1814">"06539000"</f>
        <v>06539000</v>
      </c>
      <c r="C8288" t="str">
        <f t="shared" si="1810"/>
        <v>06539003</v>
      </c>
      <c r="D8288" t="str">
        <f t="shared" si="1811"/>
        <v>813</v>
      </c>
      <c r="E8288" t="str">
        <f t="shared" si="1804"/>
        <v>89301171</v>
      </c>
      <c r="F8288" t="str">
        <f t="shared" si="1805"/>
        <v>7862144477</v>
      </c>
      <c r="G8288" s="1">
        <v>44776</v>
      </c>
      <c r="H8288" t="str">
        <f>"91329"</f>
        <v>91329</v>
      </c>
      <c r="I8288">
        <v>2</v>
      </c>
      <c r="J8288">
        <v>428</v>
      </c>
      <c r="K8288">
        <v>0</v>
      </c>
      <c r="L8288">
        <v>333.84</v>
      </c>
    </row>
    <row r="8289" spans="1:12" x14ac:dyDescent="0.25">
      <c r="A8289" t="str">
        <f t="shared" si="1806"/>
        <v>89301000</v>
      </c>
      <c r="B8289" t="str">
        <f t="shared" si="1814"/>
        <v>06539000</v>
      </c>
      <c r="C8289" t="str">
        <f t="shared" si="1810"/>
        <v>06539003</v>
      </c>
      <c r="D8289" t="str">
        <f t="shared" si="1811"/>
        <v>813</v>
      </c>
      <c r="E8289" t="str">
        <f t="shared" si="1804"/>
        <v>89301171</v>
      </c>
      <c r="F8289" t="str">
        <f t="shared" si="1805"/>
        <v>7862144477</v>
      </c>
      <c r="G8289" s="1">
        <v>44776</v>
      </c>
      <c r="H8289" t="str">
        <f>"91329"</f>
        <v>91329</v>
      </c>
      <c r="I8289">
        <v>2</v>
      </c>
      <c r="J8289">
        <v>428</v>
      </c>
      <c r="K8289">
        <v>0</v>
      </c>
      <c r="L8289">
        <v>333.84</v>
      </c>
    </row>
    <row r="8290" spans="1:12" x14ac:dyDescent="0.25">
      <c r="A8290" t="str">
        <f t="shared" si="1806"/>
        <v>89301000</v>
      </c>
      <c r="B8290" t="str">
        <f t="shared" si="1814"/>
        <v>06539000</v>
      </c>
      <c r="C8290" t="str">
        <f t="shared" si="1810"/>
        <v>06539003</v>
      </c>
      <c r="D8290" t="str">
        <f t="shared" si="1811"/>
        <v>813</v>
      </c>
      <c r="E8290" t="str">
        <f t="shared" si="1804"/>
        <v>89301171</v>
      </c>
      <c r="F8290" t="str">
        <f t="shared" si="1805"/>
        <v>7862144477</v>
      </c>
      <c r="G8290" s="1">
        <v>44776</v>
      </c>
      <c r="H8290" t="str">
        <f>"91329"</f>
        <v>91329</v>
      </c>
      <c r="I8290">
        <v>2</v>
      </c>
      <c r="J8290">
        <v>428</v>
      </c>
      <c r="K8290">
        <v>0</v>
      </c>
      <c r="L8290">
        <v>333.84</v>
      </c>
    </row>
    <row r="8291" spans="1:12" x14ac:dyDescent="0.25">
      <c r="A8291" t="str">
        <f t="shared" si="1806"/>
        <v>89301000</v>
      </c>
      <c r="B8291" t="str">
        <f t="shared" si="1814"/>
        <v>06539000</v>
      </c>
      <c r="C8291" t="str">
        <f t="shared" si="1810"/>
        <v>06539003</v>
      </c>
      <c r="D8291" t="str">
        <f t="shared" si="1811"/>
        <v>813</v>
      </c>
      <c r="E8291" t="str">
        <f t="shared" si="1804"/>
        <v>89301171</v>
      </c>
      <c r="F8291" t="str">
        <f t="shared" si="1805"/>
        <v>7862144477</v>
      </c>
      <c r="G8291" s="1">
        <v>44776</v>
      </c>
      <c r="H8291" t="str">
        <f>"91329"</f>
        <v>91329</v>
      </c>
      <c r="I8291">
        <v>2</v>
      </c>
      <c r="J8291">
        <v>428</v>
      </c>
      <c r="K8291">
        <v>0</v>
      </c>
      <c r="L8291">
        <v>333.84</v>
      </c>
    </row>
    <row r="8292" spans="1:12" x14ac:dyDescent="0.25">
      <c r="A8292" t="str">
        <f t="shared" si="1806"/>
        <v>89301000</v>
      </c>
      <c r="B8292" t="str">
        <f t="shared" si="1814"/>
        <v>06539000</v>
      </c>
      <c r="C8292" t="str">
        <f t="shared" si="1810"/>
        <v>06539003</v>
      </c>
      <c r="D8292" t="str">
        <f t="shared" si="1811"/>
        <v>813</v>
      </c>
      <c r="E8292" t="str">
        <f t="shared" si="1804"/>
        <v>89301171</v>
      </c>
      <c r="F8292" t="str">
        <f t="shared" si="1805"/>
        <v>7862144477</v>
      </c>
      <c r="G8292" s="1">
        <v>44774</v>
      </c>
      <c r="H8292" t="str">
        <f>"91129"</f>
        <v>91129</v>
      </c>
      <c r="I8292">
        <v>1</v>
      </c>
      <c r="J8292">
        <v>174</v>
      </c>
      <c r="K8292">
        <v>0</v>
      </c>
      <c r="L8292">
        <v>135.72</v>
      </c>
    </row>
    <row r="8293" spans="1:12" x14ac:dyDescent="0.25">
      <c r="A8293" t="str">
        <f t="shared" si="1806"/>
        <v>89301000</v>
      </c>
      <c r="B8293" t="str">
        <f t="shared" si="1814"/>
        <v>06539000</v>
      </c>
      <c r="C8293" t="str">
        <f t="shared" si="1810"/>
        <v>06539003</v>
      </c>
      <c r="D8293" t="str">
        <f t="shared" si="1811"/>
        <v>813</v>
      </c>
      <c r="E8293" t="str">
        <f t="shared" si="1804"/>
        <v>89301171</v>
      </c>
      <c r="F8293" t="str">
        <f t="shared" si="1805"/>
        <v>7862144477</v>
      </c>
      <c r="G8293" s="1">
        <v>44774</v>
      </c>
      <c r="H8293" t="str">
        <f>"91131"</f>
        <v>91131</v>
      </c>
      <c r="I8293">
        <v>1</v>
      </c>
      <c r="J8293">
        <v>171</v>
      </c>
      <c r="K8293">
        <v>0</v>
      </c>
      <c r="L8293">
        <v>133.38</v>
      </c>
    </row>
    <row r="8294" spans="1:12" x14ac:dyDescent="0.25">
      <c r="A8294" t="str">
        <f t="shared" si="1806"/>
        <v>89301000</v>
      </c>
      <c r="B8294" t="str">
        <f t="shared" si="1814"/>
        <v>06539000</v>
      </c>
      <c r="C8294" t="str">
        <f t="shared" si="1810"/>
        <v>06539003</v>
      </c>
      <c r="D8294" t="str">
        <f t="shared" si="1811"/>
        <v>813</v>
      </c>
      <c r="E8294" t="str">
        <f t="shared" si="1804"/>
        <v>89301171</v>
      </c>
      <c r="F8294" t="str">
        <f t="shared" si="1805"/>
        <v>7862144477</v>
      </c>
      <c r="G8294" s="1">
        <v>44774</v>
      </c>
      <c r="H8294" t="str">
        <f>"91133"</f>
        <v>91133</v>
      </c>
      <c r="I8294">
        <v>1</v>
      </c>
      <c r="J8294">
        <v>176</v>
      </c>
      <c r="K8294">
        <v>0</v>
      </c>
      <c r="L8294">
        <v>137.28</v>
      </c>
    </row>
    <row r="8295" spans="1:12" x14ac:dyDescent="0.25">
      <c r="A8295" t="str">
        <f t="shared" si="1806"/>
        <v>89301000</v>
      </c>
      <c r="B8295" t="str">
        <f t="shared" si="1814"/>
        <v>06539000</v>
      </c>
      <c r="C8295" t="str">
        <f t="shared" si="1810"/>
        <v>06539003</v>
      </c>
      <c r="D8295" t="str">
        <f t="shared" si="1811"/>
        <v>813</v>
      </c>
      <c r="E8295" t="str">
        <f t="shared" si="1804"/>
        <v>89301171</v>
      </c>
      <c r="F8295" t="str">
        <f t="shared" si="1805"/>
        <v>7862144477</v>
      </c>
      <c r="G8295" s="1">
        <v>44774</v>
      </c>
      <c r="H8295" t="str">
        <f>"91171"</f>
        <v>91171</v>
      </c>
      <c r="I8295">
        <v>1</v>
      </c>
      <c r="J8295">
        <v>360</v>
      </c>
      <c r="K8295">
        <v>0</v>
      </c>
      <c r="L8295">
        <v>280.8</v>
      </c>
    </row>
    <row r="8296" spans="1:12" x14ac:dyDescent="0.25">
      <c r="A8296" t="str">
        <f t="shared" si="1806"/>
        <v>89301000</v>
      </c>
      <c r="B8296" t="str">
        <f t="shared" si="1814"/>
        <v>06539000</v>
      </c>
      <c r="C8296" t="str">
        <f t="shared" si="1810"/>
        <v>06539003</v>
      </c>
      <c r="D8296" t="str">
        <f t="shared" si="1811"/>
        <v>813</v>
      </c>
      <c r="E8296" t="str">
        <f t="shared" si="1804"/>
        <v>89301171</v>
      </c>
      <c r="F8296" t="str">
        <f t="shared" si="1805"/>
        <v>7862144477</v>
      </c>
      <c r="G8296" s="1">
        <v>44771</v>
      </c>
      <c r="H8296" t="str">
        <f>"91173"</f>
        <v>91173</v>
      </c>
      <c r="I8296">
        <v>1</v>
      </c>
      <c r="J8296">
        <v>335</v>
      </c>
      <c r="K8296">
        <v>0</v>
      </c>
      <c r="L8296">
        <v>261.3</v>
      </c>
    </row>
    <row r="8297" spans="1:12" x14ac:dyDescent="0.25">
      <c r="A8297" t="str">
        <f t="shared" si="1806"/>
        <v>89301000</v>
      </c>
      <c r="B8297" t="str">
        <f t="shared" si="1814"/>
        <v>06539000</v>
      </c>
      <c r="C8297" t="str">
        <f t="shared" si="1810"/>
        <v>06539003</v>
      </c>
      <c r="D8297" t="str">
        <f t="shared" si="1811"/>
        <v>813</v>
      </c>
      <c r="E8297" t="str">
        <f t="shared" si="1804"/>
        <v>89301171</v>
      </c>
      <c r="F8297" t="str">
        <f t="shared" si="1805"/>
        <v>7862144477</v>
      </c>
      <c r="G8297" s="1">
        <v>44774</v>
      </c>
      <c r="H8297" t="str">
        <f>"91175"</f>
        <v>91175</v>
      </c>
      <c r="I8297">
        <v>1</v>
      </c>
      <c r="J8297">
        <v>360</v>
      </c>
      <c r="K8297">
        <v>0</v>
      </c>
      <c r="L8297">
        <v>280.8</v>
      </c>
    </row>
    <row r="8298" spans="1:12" x14ac:dyDescent="0.25">
      <c r="A8298" t="str">
        <f t="shared" si="1806"/>
        <v>89301000</v>
      </c>
      <c r="B8298" t="str">
        <f t="shared" si="1814"/>
        <v>06539000</v>
      </c>
      <c r="C8298" t="str">
        <f t="shared" si="1810"/>
        <v>06539003</v>
      </c>
      <c r="D8298" t="str">
        <f t="shared" si="1811"/>
        <v>813</v>
      </c>
      <c r="E8298" t="str">
        <f t="shared" si="1804"/>
        <v>89301171</v>
      </c>
      <c r="F8298" t="str">
        <f t="shared" si="1805"/>
        <v>7862144477</v>
      </c>
      <c r="G8298" s="1">
        <v>44772</v>
      </c>
      <c r="H8298" t="str">
        <f>"91167"</f>
        <v>91167</v>
      </c>
      <c r="I8298">
        <v>1</v>
      </c>
      <c r="J8298">
        <v>425</v>
      </c>
      <c r="K8298">
        <v>0</v>
      </c>
      <c r="L8298">
        <v>331.5</v>
      </c>
    </row>
    <row r="8299" spans="1:12" x14ac:dyDescent="0.25">
      <c r="A8299" t="str">
        <f t="shared" si="1806"/>
        <v>89301000</v>
      </c>
      <c r="B8299" t="str">
        <f t="shared" si="1814"/>
        <v>06539000</v>
      </c>
      <c r="C8299" t="str">
        <f t="shared" si="1810"/>
        <v>06539003</v>
      </c>
      <c r="D8299" t="str">
        <f t="shared" si="1811"/>
        <v>813</v>
      </c>
      <c r="E8299" t="str">
        <f t="shared" si="1804"/>
        <v>89301171</v>
      </c>
      <c r="F8299" t="str">
        <f t="shared" si="1805"/>
        <v>7862144477</v>
      </c>
      <c r="G8299" s="1">
        <v>44772</v>
      </c>
      <c r="H8299" t="str">
        <f>"91169"</f>
        <v>91169</v>
      </c>
      <c r="I8299">
        <v>1</v>
      </c>
      <c r="J8299">
        <v>425</v>
      </c>
      <c r="K8299">
        <v>0</v>
      </c>
      <c r="L8299">
        <v>331.5</v>
      </c>
    </row>
    <row r="8300" spans="1:12" x14ac:dyDescent="0.25">
      <c r="A8300" t="str">
        <f t="shared" si="1806"/>
        <v>89301000</v>
      </c>
      <c r="B8300" t="str">
        <f t="shared" si="1814"/>
        <v>06539000</v>
      </c>
      <c r="C8300" t="str">
        <f t="shared" si="1810"/>
        <v>06539003</v>
      </c>
      <c r="D8300" t="str">
        <f t="shared" si="1811"/>
        <v>813</v>
      </c>
      <c r="E8300" t="str">
        <f t="shared" si="1804"/>
        <v>89301171</v>
      </c>
      <c r="F8300" t="str">
        <f t="shared" si="1805"/>
        <v>7862144477</v>
      </c>
      <c r="G8300" s="1">
        <v>44771</v>
      </c>
      <c r="H8300" t="str">
        <f>"91167"</f>
        <v>91167</v>
      </c>
      <c r="I8300">
        <v>1</v>
      </c>
      <c r="J8300">
        <v>425</v>
      </c>
      <c r="K8300">
        <v>0</v>
      </c>
      <c r="L8300">
        <v>331.5</v>
      </c>
    </row>
    <row r="8301" spans="1:12" x14ac:dyDescent="0.25">
      <c r="A8301" t="str">
        <f t="shared" si="1806"/>
        <v>89301000</v>
      </c>
      <c r="B8301" t="str">
        <f t="shared" si="1814"/>
        <v>06539000</v>
      </c>
      <c r="C8301" t="str">
        <f t="shared" si="1810"/>
        <v>06539003</v>
      </c>
      <c r="D8301" t="str">
        <f t="shared" si="1811"/>
        <v>813</v>
      </c>
      <c r="E8301" t="str">
        <f t="shared" si="1804"/>
        <v>89301171</v>
      </c>
      <c r="F8301" t="str">
        <f t="shared" si="1805"/>
        <v>7862144477</v>
      </c>
      <c r="G8301" s="1">
        <v>44771</v>
      </c>
      <c r="H8301" t="str">
        <f>"91169"</f>
        <v>91169</v>
      </c>
      <c r="I8301">
        <v>1</v>
      </c>
      <c r="J8301">
        <v>425</v>
      </c>
      <c r="K8301">
        <v>0</v>
      </c>
      <c r="L8301">
        <v>331.5</v>
      </c>
    </row>
    <row r="8302" spans="1:12" x14ac:dyDescent="0.25">
      <c r="A8302" t="str">
        <f t="shared" si="1806"/>
        <v>89301000</v>
      </c>
      <c r="B8302" t="str">
        <f t="shared" si="1814"/>
        <v>06539000</v>
      </c>
      <c r="C8302" t="str">
        <f t="shared" si="1810"/>
        <v>06539003</v>
      </c>
      <c r="D8302" t="str">
        <f t="shared" si="1811"/>
        <v>813</v>
      </c>
      <c r="E8302" t="str">
        <f t="shared" si="1804"/>
        <v>89301171</v>
      </c>
      <c r="F8302" t="str">
        <f t="shared" si="1805"/>
        <v>7862144477</v>
      </c>
      <c r="G8302" s="1">
        <v>44771</v>
      </c>
      <c r="H8302" t="str">
        <f>"91475"</f>
        <v>91475</v>
      </c>
      <c r="I8302">
        <v>1</v>
      </c>
      <c r="J8302">
        <v>206</v>
      </c>
      <c r="K8302">
        <v>0</v>
      </c>
      <c r="L8302">
        <v>160.68</v>
      </c>
    </row>
    <row r="8303" spans="1:12" x14ac:dyDescent="0.25">
      <c r="A8303" t="str">
        <f t="shared" si="1806"/>
        <v>89301000</v>
      </c>
      <c r="B8303" t="str">
        <f t="shared" si="1814"/>
        <v>06539000</v>
      </c>
      <c r="C8303" t="str">
        <f>"06539001"</f>
        <v>06539001</v>
      </c>
      <c r="D8303" t="str">
        <f>"801"</f>
        <v>801</v>
      </c>
      <c r="E8303" t="str">
        <f t="shared" ref="E8303:E8334" si="1815">"89301172"</f>
        <v>89301172</v>
      </c>
      <c r="F8303" t="str">
        <f t="shared" ref="F8303:F8344" si="1816">"8262215346"</f>
        <v>8262215346</v>
      </c>
      <c r="G8303" s="1">
        <v>44771</v>
      </c>
      <c r="H8303" t="str">
        <f>"81329"</f>
        <v>81329</v>
      </c>
      <c r="I8303">
        <v>1</v>
      </c>
      <c r="J8303">
        <v>16</v>
      </c>
      <c r="K8303">
        <v>0</v>
      </c>
      <c r="L8303">
        <v>12.48</v>
      </c>
    </row>
    <row r="8304" spans="1:12" x14ac:dyDescent="0.25">
      <c r="A8304" t="str">
        <f t="shared" si="1806"/>
        <v>89301000</v>
      </c>
      <c r="B8304" t="str">
        <f t="shared" si="1814"/>
        <v>06539000</v>
      </c>
      <c r="C8304" t="str">
        <f>"06539001"</f>
        <v>06539001</v>
      </c>
      <c r="D8304" t="str">
        <f>"801"</f>
        <v>801</v>
      </c>
      <c r="E8304" t="str">
        <f t="shared" si="1815"/>
        <v>89301172</v>
      </c>
      <c r="F8304" t="str">
        <f t="shared" si="1816"/>
        <v>8262215346</v>
      </c>
      <c r="G8304" s="1">
        <v>44771</v>
      </c>
      <c r="H8304" t="str">
        <f>"81331"</f>
        <v>81331</v>
      </c>
      <c r="I8304">
        <v>1</v>
      </c>
      <c r="J8304">
        <v>193</v>
      </c>
      <c r="K8304">
        <v>0</v>
      </c>
      <c r="L8304">
        <v>150.54</v>
      </c>
    </row>
    <row r="8305" spans="1:12" x14ac:dyDescent="0.25">
      <c r="A8305" t="str">
        <f t="shared" si="1806"/>
        <v>89301000</v>
      </c>
      <c r="B8305" t="str">
        <f t="shared" si="1814"/>
        <v>06539000</v>
      </c>
      <c r="C8305" t="str">
        <f t="shared" ref="C8305:C8312" si="1817">"06539002"</f>
        <v>06539002</v>
      </c>
      <c r="D8305" t="str">
        <f t="shared" ref="D8305:D8312" si="1818">"802"</f>
        <v>802</v>
      </c>
      <c r="E8305" t="str">
        <f t="shared" si="1815"/>
        <v>89301172</v>
      </c>
      <c r="F8305" t="str">
        <f t="shared" si="1816"/>
        <v>8262215346</v>
      </c>
      <c r="G8305" s="1">
        <v>44771</v>
      </c>
      <c r="H8305" t="str">
        <f t="shared" ref="H8305:H8312" si="1819">"82097"</f>
        <v>82097</v>
      </c>
      <c r="I8305">
        <v>1</v>
      </c>
      <c r="J8305">
        <v>380</v>
      </c>
      <c r="K8305">
        <v>0</v>
      </c>
      <c r="L8305">
        <v>345.8</v>
      </c>
    </row>
    <row r="8306" spans="1:12" x14ac:dyDescent="0.25">
      <c r="A8306" t="str">
        <f t="shared" si="1806"/>
        <v>89301000</v>
      </c>
      <c r="B8306" t="str">
        <f t="shared" si="1814"/>
        <v>06539000</v>
      </c>
      <c r="C8306" t="str">
        <f t="shared" si="1817"/>
        <v>06539002</v>
      </c>
      <c r="D8306" t="str">
        <f t="shared" si="1818"/>
        <v>802</v>
      </c>
      <c r="E8306" t="str">
        <f t="shared" si="1815"/>
        <v>89301172</v>
      </c>
      <c r="F8306" t="str">
        <f t="shared" si="1816"/>
        <v>8262215346</v>
      </c>
      <c r="G8306" s="1">
        <v>44771</v>
      </c>
      <c r="H8306" t="str">
        <f t="shared" si="1819"/>
        <v>82097</v>
      </c>
      <c r="I8306">
        <v>1</v>
      </c>
      <c r="J8306">
        <v>380</v>
      </c>
      <c r="K8306">
        <v>0</v>
      </c>
      <c r="L8306">
        <v>345.8</v>
      </c>
    </row>
    <row r="8307" spans="1:12" x14ac:dyDescent="0.25">
      <c r="A8307" t="str">
        <f t="shared" si="1806"/>
        <v>89301000</v>
      </c>
      <c r="B8307" t="str">
        <f t="shared" si="1814"/>
        <v>06539000</v>
      </c>
      <c r="C8307" t="str">
        <f t="shared" si="1817"/>
        <v>06539002</v>
      </c>
      <c r="D8307" t="str">
        <f t="shared" si="1818"/>
        <v>802</v>
      </c>
      <c r="E8307" t="str">
        <f t="shared" si="1815"/>
        <v>89301172</v>
      </c>
      <c r="F8307" t="str">
        <f t="shared" si="1816"/>
        <v>8262215346</v>
      </c>
      <c r="G8307" s="1">
        <v>44771</v>
      </c>
      <c r="H8307" t="str">
        <f t="shared" si="1819"/>
        <v>82097</v>
      </c>
      <c r="I8307">
        <v>1</v>
      </c>
      <c r="J8307">
        <v>380</v>
      </c>
      <c r="K8307">
        <v>0</v>
      </c>
      <c r="L8307">
        <v>345.8</v>
      </c>
    </row>
    <row r="8308" spans="1:12" x14ac:dyDescent="0.25">
      <c r="A8308" t="str">
        <f t="shared" si="1806"/>
        <v>89301000</v>
      </c>
      <c r="B8308" t="str">
        <f t="shared" si="1814"/>
        <v>06539000</v>
      </c>
      <c r="C8308" t="str">
        <f t="shared" si="1817"/>
        <v>06539002</v>
      </c>
      <c r="D8308" t="str">
        <f t="shared" si="1818"/>
        <v>802</v>
      </c>
      <c r="E8308" t="str">
        <f t="shared" si="1815"/>
        <v>89301172</v>
      </c>
      <c r="F8308" t="str">
        <f t="shared" si="1816"/>
        <v>8262215346</v>
      </c>
      <c r="G8308" s="1">
        <v>44771</v>
      </c>
      <c r="H8308" t="str">
        <f t="shared" si="1819"/>
        <v>82097</v>
      </c>
      <c r="I8308">
        <v>1</v>
      </c>
      <c r="J8308">
        <v>380</v>
      </c>
      <c r="K8308">
        <v>0</v>
      </c>
      <c r="L8308">
        <v>345.8</v>
      </c>
    </row>
    <row r="8309" spans="1:12" x14ac:dyDescent="0.25">
      <c r="A8309" t="str">
        <f t="shared" si="1806"/>
        <v>89301000</v>
      </c>
      <c r="B8309" t="str">
        <f t="shared" si="1814"/>
        <v>06539000</v>
      </c>
      <c r="C8309" t="str">
        <f t="shared" si="1817"/>
        <v>06539002</v>
      </c>
      <c r="D8309" t="str">
        <f t="shared" si="1818"/>
        <v>802</v>
      </c>
      <c r="E8309" t="str">
        <f t="shared" si="1815"/>
        <v>89301172</v>
      </c>
      <c r="F8309" t="str">
        <f t="shared" si="1816"/>
        <v>8262215346</v>
      </c>
      <c r="G8309" s="1">
        <v>44771</v>
      </c>
      <c r="H8309" t="str">
        <f t="shared" si="1819"/>
        <v>82097</v>
      </c>
      <c r="I8309">
        <v>1</v>
      </c>
      <c r="J8309">
        <v>380</v>
      </c>
      <c r="K8309">
        <v>0</v>
      </c>
      <c r="L8309">
        <v>345.8</v>
      </c>
    </row>
    <row r="8310" spans="1:12" x14ac:dyDescent="0.25">
      <c r="A8310" t="str">
        <f t="shared" si="1806"/>
        <v>89301000</v>
      </c>
      <c r="B8310" t="str">
        <f t="shared" si="1814"/>
        <v>06539000</v>
      </c>
      <c r="C8310" t="str">
        <f t="shared" si="1817"/>
        <v>06539002</v>
      </c>
      <c r="D8310" t="str">
        <f t="shared" si="1818"/>
        <v>802</v>
      </c>
      <c r="E8310" t="str">
        <f t="shared" si="1815"/>
        <v>89301172</v>
      </c>
      <c r="F8310" t="str">
        <f t="shared" si="1816"/>
        <v>8262215346</v>
      </c>
      <c r="G8310" s="1">
        <v>44771</v>
      </c>
      <c r="H8310" t="str">
        <f t="shared" si="1819"/>
        <v>82097</v>
      </c>
      <c r="I8310">
        <v>1</v>
      </c>
      <c r="J8310">
        <v>380</v>
      </c>
      <c r="K8310">
        <v>0</v>
      </c>
      <c r="L8310">
        <v>345.8</v>
      </c>
    </row>
    <row r="8311" spans="1:12" x14ac:dyDescent="0.25">
      <c r="A8311" t="str">
        <f t="shared" si="1806"/>
        <v>89301000</v>
      </c>
      <c r="B8311" t="str">
        <f t="shared" si="1814"/>
        <v>06539000</v>
      </c>
      <c r="C8311" t="str">
        <f t="shared" si="1817"/>
        <v>06539002</v>
      </c>
      <c r="D8311" t="str">
        <f t="shared" si="1818"/>
        <v>802</v>
      </c>
      <c r="E8311" t="str">
        <f t="shared" si="1815"/>
        <v>89301172</v>
      </c>
      <c r="F8311" t="str">
        <f t="shared" si="1816"/>
        <v>8262215346</v>
      </c>
      <c r="G8311" s="1">
        <v>44771</v>
      </c>
      <c r="H8311" t="str">
        <f t="shared" si="1819"/>
        <v>82097</v>
      </c>
      <c r="I8311">
        <v>1</v>
      </c>
      <c r="J8311">
        <v>380</v>
      </c>
      <c r="K8311">
        <v>0</v>
      </c>
      <c r="L8311">
        <v>345.8</v>
      </c>
    </row>
    <row r="8312" spans="1:12" x14ac:dyDescent="0.25">
      <c r="A8312" t="str">
        <f t="shared" si="1806"/>
        <v>89301000</v>
      </c>
      <c r="B8312" t="str">
        <f t="shared" si="1814"/>
        <v>06539000</v>
      </c>
      <c r="C8312" t="str">
        <f t="shared" si="1817"/>
        <v>06539002</v>
      </c>
      <c r="D8312" t="str">
        <f t="shared" si="1818"/>
        <v>802</v>
      </c>
      <c r="E8312" t="str">
        <f t="shared" si="1815"/>
        <v>89301172</v>
      </c>
      <c r="F8312" t="str">
        <f t="shared" si="1816"/>
        <v>8262215346</v>
      </c>
      <c r="G8312" s="1">
        <v>44771</v>
      </c>
      <c r="H8312" t="str">
        <f t="shared" si="1819"/>
        <v>82097</v>
      </c>
      <c r="I8312">
        <v>1</v>
      </c>
      <c r="J8312">
        <v>380</v>
      </c>
      <c r="K8312">
        <v>0</v>
      </c>
      <c r="L8312">
        <v>345.8</v>
      </c>
    </row>
    <row r="8313" spans="1:12" x14ac:dyDescent="0.25">
      <c r="A8313" t="str">
        <f t="shared" si="1806"/>
        <v>89301000</v>
      </c>
      <c r="B8313" t="str">
        <f t="shared" si="1814"/>
        <v>06539000</v>
      </c>
      <c r="C8313" t="str">
        <f t="shared" ref="C8313:C8358" si="1820">"06539003"</f>
        <v>06539003</v>
      </c>
      <c r="D8313" t="str">
        <f t="shared" ref="D8313:D8358" si="1821">"813"</f>
        <v>813</v>
      </c>
      <c r="E8313" t="str">
        <f t="shared" si="1815"/>
        <v>89301172</v>
      </c>
      <c r="F8313" t="str">
        <f t="shared" si="1816"/>
        <v>8262215346</v>
      </c>
      <c r="G8313" s="1">
        <v>44776</v>
      </c>
      <c r="H8313" t="str">
        <f t="shared" ref="H8313:H8322" si="1822">"91413"</f>
        <v>91413</v>
      </c>
      <c r="I8313">
        <v>1</v>
      </c>
      <c r="J8313">
        <v>853</v>
      </c>
      <c r="K8313">
        <v>0</v>
      </c>
      <c r="L8313">
        <v>665.34</v>
      </c>
    </row>
    <row r="8314" spans="1:12" x14ac:dyDescent="0.25">
      <c r="A8314" t="str">
        <f t="shared" si="1806"/>
        <v>89301000</v>
      </c>
      <c r="B8314" t="str">
        <f t="shared" si="1814"/>
        <v>06539000</v>
      </c>
      <c r="C8314" t="str">
        <f t="shared" si="1820"/>
        <v>06539003</v>
      </c>
      <c r="D8314" t="str">
        <f t="shared" si="1821"/>
        <v>813</v>
      </c>
      <c r="E8314" t="str">
        <f t="shared" si="1815"/>
        <v>89301172</v>
      </c>
      <c r="F8314" t="str">
        <f t="shared" si="1816"/>
        <v>8262215346</v>
      </c>
      <c r="G8314" s="1">
        <v>44776</v>
      </c>
      <c r="H8314" t="str">
        <f t="shared" si="1822"/>
        <v>91413</v>
      </c>
      <c r="I8314">
        <v>1</v>
      </c>
      <c r="J8314">
        <v>853</v>
      </c>
      <c r="K8314">
        <v>0</v>
      </c>
      <c r="L8314">
        <v>665.34</v>
      </c>
    </row>
    <row r="8315" spans="1:12" x14ac:dyDescent="0.25">
      <c r="A8315" t="str">
        <f t="shared" si="1806"/>
        <v>89301000</v>
      </c>
      <c r="B8315" t="str">
        <f t="shared" si="1814"/>
        <v>06539000</v>
      </c>
      <c r="C8315" t="str">
        <f t="shared" si="1820"/>
        <v>06539003</v>
      </c>
      <c r="D8315" t="str">
        <f t="shared" si="1821"/>
        <v>813</v>
      </c>
      <c r="E8315" t="str">
        <f t="shared" si="1815"/>
        <v>89301172</v>
      </c>
      <c r="F8315" t="str">
        <f t="shared" si="1816"/>
        <v>8262215346</v>
      </c>
      <c r="G8315" s="1">
        <v>44778</v>
      </c>
      <c r="H8315" t="str">
        <f t="shared" si="1822"/>
        <v>91413</v>
      </c>
      <c r="I8315">
        <v>1</v>
      </c>
      <c r="J8315">
        <v>853</v>
      </c>
      <c r="K8315">
        <v>0</v>
      </c>
      <c r="L8315">
        <v>665.34</v>
      </c>
    </row>
    <row r="8316" spans="1:12" x14ac:dyDescent="0.25">
      <c r="A8316" t="str">
        <f t="shared" si="1806"/>
        <v>89301000</v>
      </c>
      <c r="B8316" t="str">
        <f t="shared" si="1814"/>
        <v>06539000</v>
      </c>
      <c r="C8316" t="str">
        <f t="shared" si="1820"/>
        <v>06539003</v>
      </c>
      <c r="D8316" t="str">
        <f t="shared" si="1821"/>
        <v>813</v>
      </c>
      <c r="E8316" t="str">
        <f t="shared" si="1815"/>
        <v>89301172</v>
      </c>
      <c r="F8316" t="str">
        <f t="shared" si="1816"/>
        <v>8262215346</v>
      </c>
      <c r="G8316" s="1">
        <v>44778</v>
      </c>
      <c r="H8316" t="str">
        <f t="shared" si="1822"/>
        <v>91413</v>
      </c>
      <c r="I8316">
        <v>1</v>
      </c>
      <c r="J8316">
        <v>853</v>
      </c>
      <c r="K8316">
        <v>0</v>
      </c>
      <c r="L8316">
        <v>665.34</v>
      </c>
    </row>
    <row r="8317" spans="1:12" x14ac:dyDescent="0.25">
      <c r="A8317" t="str">
        <f t="shared" si="1806"/>
        <v>89301000</v>
      </c>
      <c r="B8317" t="str">
        <f t="shared" si="1814"/>
        <v>06539000</v>
      </c>
      <c r="C8317" t="str">
        <f t="shared" si="1820"/>
        <v>06539003</v>
      </c>
      <c r="D8317" t="str">
        <f t="shared" si="1821"/>
        <v>813</v>
      </c>
      <c r="E8317" t="str">
        <f t="shared" si="1815"/>
        <v>89301172</v>
      </c>
      <c r="F8317" t="str">
        <f t="shared" si="1816"/>
        <v>8262215346</v>
      </c>
      <c r="G8317" s="1">
        <v>44776</v>
      </c>
      <c r="H8317" t="str">
        <f t="shared" si="1822"/>
        <v>91413</v>
      </c>
      <c r="I8317">
        <v>1</v>
      </c>
      <c r="J8317">
        <v>853</v>
      </c>
      <c r="K8317">
        <v>0</v>
      </c>
      <c r="L8317">
        <v>665.34</v>
      </c>
    </row>
    <row r="8318" spans="1:12" x14ac:dyDescent="0.25">
      <c r="A8318" t="str">
        <f t="shared" si="1806"/>
        <v>89301000</v>
      </c>
      <c r="B8318" t="str">
        <f t="shared" si="1814"/>
        <v>06539000</v>
      </c>
      <c r="C8318" t="str">
        <f t="shared" si="1820"/>
        <v>06539003</v>
      </c>
      <c r="D8318" t="str">
        <f t="shared" si="1821"/>
        <v>813</v>
      </c>
      <c r="E8318" t="str">
        <f t="shared" si="1815"/>
        <v>89301172</v>
      </c>
      <c r="F8318" t="str">
        <f t="shared" si="1816"/>
        <v>8262215346</v>
      </c>
      <c r="G8318" s="1">
        <v>44776</v>
      </c>
      <c r="H8318" t="str">
        <f t="shared" si="1822"/>
        <v>91413</v>
      </c>
      <c r="I8318">
        <v>1</v>
      </c>
      <c r="J8318">
        <v>853</v>
      </c>
      <c r="K8318">
        <v>0</v>
      </c>
      <c r="L8318">
        <v>665.34</v>
      </c>
    </row>
    <row r="8319" spans="1:12" x14ac:dyDescent="0.25">
      <c r="A8319" t="str">
        <f t="shared" si="1806"/>
        <v>89301000</v>
      </c>
      <c r="B8319" t="str">
        <f t="shared" si="1814"/>
        <v>06539000</v>
      </c>
      <c r="C8319" t="str">
        <f t="shared" si="1820"/>
        <v>06539003</v>
      </c>
      <c r="D8319" t="str">
        <f t="shared" si="1821"/>
        <v>813</v>
      </c>
      <c r="E8319" t="str">
        <f t="shared" si="1815"/>
        <v>89301172</v>
      </c>
      <c r="F8319" t="str">
        <f t="shared" si="1816"/>
        <v>8262215346</v>
      </c>
      <c r="G8319" s="1">
        <v>44778</v>
      </c>
      <c r="H8319" t="str">
        <f t="shared" si="1822"/>
        <v>91413</v>
      </c>
      <c r="I8319">
        <v>1</v>
      </c>
      <c r="J8319">
        <v>853</v>
      </c>
      <c r="K8319">
        <v>0</v>
      </c>
      <c r="L8319">
        <v>665.34</v>
      </c>
    </row>
    <row r="8320" spans="1:12" x14ac:dyDescent="0.25">
      <c r="A8320" t="str">
        <f t="shared" si="1806"/>
        <v>89301000</v>
      </c>
      <c r="B8320" t="str">
        <f t="shared" ref="B8320:B8351" si="1823">"06539000"</f>
        <v>06539000</v>
      </c>
      <c r="C8320" t="str">
        <f t="shared" si="1820"/>
        <v>06539003</v>
      </c>
      <c r="D8320" t="str">
        <f t="shared" si="1821"/>
        <v>813</v>
      </c>
      <c r="E8320" t="str">
        <f t="shared" si="1815"/>
        <v>89301172</v>
      </c>
      <c r="F8320" t="str">
        <f t="shared" si="1816"/>
        <v>8262215346</v>
      </c>
      <c r="G8320" s="1">
        <v>44778</v>
      </c>
      <c r="H8320" t="str">
        <f t="shared" si="1822"/>
        <v>91413</v>
      </c>
      <c r="I8320">
        <v>1</v>
      </c>
      <c r="J8320">
        <v>853</v>
      </c>
      <c r="K8320">
        <v>0</v>
      </c>
      <c r="L8320">
        <v>665.34</v>
      </c>
    </row>
    <row r="8321" spans="1:12" x14ac:dyDescent="0.25">
      <c r="A8321" t="str">
        <f t="shared" si="1806"/>
        <v>89301000</v>
      </c>
      <c r="B8321" t="str">
        <f t="shared" si="1823"/>
        <v>06539000</v>
      </c>
      <c r="C8321" t="str">
        <f t="shared" si="1820"/>
        <v>06539003</v>
      </c>
      <c r="D8321" t="str">
        <f t="shared" si="1821"/>
        <v>813</v>
      </c>
      <c r="E8321" t="str">
        <f t="shared" si="1815"/>
        <v>89301172</v>
      </c>
      <c r="F8321" t="str">
        <f t="shared" si="1816"/>
        <v>8262215346</v>
      </c>
      <c r="G8321" s="1">
        <v>44778</v>
      </c>
      <c r="H8321" t="str">
        <f t="shared" si="1822"/>
        <v>91413</v>
      </c>
      <c r="I8321">
        <v>1</v>
      </c>
      <c r="J8321">
        <v>853</v>
      </c>
      <c r="K8321">
        <v>0</v>
      </c>
      <c r="L8321">
        <v>665.34</v>
      </c>
    </row>
    <row r="8322" spans="1:12" x14ac:dyDescent="0.25">
      <c r="A8322" t="str">
        <f t="shared" ref="A8322:A8385" si="1824">"89301000"</f>
        <v>89301000</v>
      </c>
      <c r="B8322" t="str">
        <f t="shared" si="1823"/>
        <v>06539000</v>
      </c>
      <c r="C8322" t="str">
        <f t="shared" si="1820"/>
        <v>06539003</v>
      </c>
      <c r="D8322" t="str">
        <f t="shared" si="1821"/>
        <v>813</v>
      </c>
      <c r="E8322" t="str">
        <f t="shared" si="1815"/>
        <v>89301172</v>
      </c>
      <c r="F8322" t="str">
        <f t="shared" si="1816"/>
        <v>8262215346</v>
      </c>
      <c r="G8322" s="1">
        <v>44778</v>
      </c>
      <c r="H8322" t="str">
        <f t="shared" si="1822"/>
        <v>91413</v>
      </c>
      <c r="I8322">
        <v>1</v>
      </c>
      <c r="J8322">
        <v>853</v>
      </c>
      <c r="K8322">
        <v>0</v>
      </c>
      <c r="L8322">
        <v>665.34</v>
      </c>
    </row>
    <row r="8323" spans="1:12" x14ac:dyDescent="0.25">
      <c r="A8323" t="str">
        <f t="shared" si="1824"/>
        <v>89301000</v>
      </c>
      <c r="B8323" t="str">
        <f t="shared" si="1823"/>
        <v>06539000</v>
      </c>
      <c r="C8323" t="str">
        <f t="shared" si="1820"/>
        <v>06539003</v>
      </c>
      <c r="D8323" t="str">
        <f t="shared" si="1821"/>
        <v>813</v>
      </c>
      <c r="E8323" t="str">
        <f t="shared" si="1815"/>
        <v>89301172</v>
      </c>
      <c r="F8323" t="str">
        <f t="shared" si="1816"/>
        <v>8262215346</v>
      </c>
      <c r="G8323" s="1">
        <v>44771</v>
      </c>
      <c r="H8323" t="str">
        <f t="shared" ref="H8323:H8329" si="1825">"91197"</f>
        <v>91197</v>
      </c>
      <c r="I8323">
        <v>1</v>
      </c>
      <c r="J8323">
        <v>1046</v>
      </c>
      <c r="K8323">
        <v>0</v>
      </c>
      <c r="L8323">
        <v>815.88</v>
      </c>
    </row>
    <row r="8324" spans="1:12" x14ac:dyDescent="0.25">
      <c r="A8324" t="str">
        <f t="shared" si="1824"/>
        <v>89301000</v>
      </c>
      <c r="B8324" t="str">
        <f t="shared" si="1823"/>
        <v>06539000</v>
      </c>
      <c r="C8324" t="str">
        <f t="shared" si="1820"/>
        <v>06539003</v>
      </c>
      <c r="D8324" t="str">
        <f t="shared" si="1821"/>
        <v>813</v>
      </c>
      <c r="E8324" t="str">
        <f t="shared" si="1815"/>
        <v>89301172</v>
      </c>
      <c r="F8324" t="str">
        <f t="shared" si="1816"/>
        <v>8262215346</v>
      </c>
      <c r="G8324" s="1">
        <v>44774</v>
      </c>
      <c r="H8324" t="str">
        <f t="shared" si="1825"/>
        <v>91197</v>
      </c>
      <c r="I8324">
        <v>1</v>
      </c>
      <c r="J8324">
        <v>1046</v>
      </c>
      <c r="K8324">
        <v>0</v>
      </c>
      <c r="L8324">
        <v>815.88</v>
      </c>
    </row>
    <row r="8325" spans="1:12" x14ac:dyDescent="0.25">
      <c r="A8325" t="str">
        <f t="shared" si="1824"/>
        <v>89301000</v>
      </c>
      <c r="B8325" t="str">
        <f t="shared" si="1823"/>
        <v>06539000</v>
      </c>
      <c r="C8325" t="str">
        <f t="shared" si="1820"/>
        <v>06539003</v>
      </c>
      <c r="D8325" t="str">
        <f t="shared" si="1821"/>
        <v>813</v>
      </c>
      <c r="E8325" t="str">
        <f t="shared" si="1815"/>
        <v>89301172</v>
      </c>
      <c r="F8325" t="str">
        <f t="shared" si="1816"/>
        <v>8262215346</v>
      </c>
      <c r="G8325" s="1">
        <v>44774</v>
      </c>
      <c r="H8325" t="str">
        <f t="shared" si="1825"/>
        <v>91197</v>
      </c>
      <c r="I8325">
        <v>1</v>
      </c>
      <c r="J8325">
        <v>1046</v>
      </c>
      <c r="K8325">
        <v>0</v>
      </c>
      <c r="L8325">
        <v>815.88</v>
      </c>
    </row>
    <row r="8326" spans="1:12" x14ac:dyDescent="0.25">
      <c r="A8326" t="str">
        <f t="shared" si="1824"/>
        <v>89301000</v>
      </c>
      <c r="B8326" t="str">
        <f t="shared" si="1823"/>
        <v>06539000</v>
      </c>
      <c r="C8326" t="str">
        <f t="shared" si="1820"/>
        <v>06539003</v>
      </c>
      <c r="D8326" t="str">
        <f t="shared" si="1821"/>
        <v>813</v>
      </c>
      <c r="E8326" t="str">
        <f t="shared" si="1815"/>
        <v>89301172</v>
      </c>
      <c r="F8326" t="str">
        <f t="shared" si="1816"/>
        <v>8262215346</v>
      </c>
      <c r="G8326" s="1">
        <v>44773</v>
      </c>
      <c r="H8326" t="str">
        <f t="shared" si="1825"/>
        <v>91197</v>
      </c>
      <c r="I8326">
        <v>1</v>
      </c>
      <c r="J8326">
        <v>1046</v>
      </c>
      <c r="K8326">
        <v>0</v>
      </c>
      <c r="L8326">
        <v>815.88</v>
      </c>
    </row>
    <row r="8327" spans="1:12" x14ac:dyDescent="0.25">
      <c r="A8327" t="str">
        <f t="shared" si="1824"/>
        <v>89301000</v>
      </c>
      <c r="B8327" t="str">
        <f t="shared" si="1823"/>
        <v>06539000</v>
      </c>
      <c r="C8327" t="str">
        <f t="shared" si="1820"/>
        <v>06539003</v>
      </c>
      <c r="D8327" t="str">
        <f t="shared" si="1821"/>
        <v>813</v>
      </c>
      <c r="E8327" t="str">
        <f t="shared" si="1815"/>
        <v>89301172</v>
      </c>
      <c r="F8327" t="str">
        <f t="shared" si="1816"/>
        <v>8262215346</v>
      </c>
      <c r="G8327" s="1">
        <v>44773</v>
      </c>
      <c r="H8327" t="str">
        <f t="shared" si="1825"/>
        <v>91197</v>
      </c>
      <c r="I8327">
        <v>1</v>
      </c>
      <c r="J8327">
        <v>1046</v>
      </c>
      <c r="K8327">
        <v>0</v>
      </c>
      <c r="L8327">
        <v>815.88</v>
      </c>
    </row>
    <row r="8328" spans="1:12" x14ac:dyDescent="0.25">
      <c r="A8328" t="str">
        <f t="shared" si="1824"/>
        <v>89301000</v>
      </c>
      <c r="B8328" t="str">
        <f t="shared" si="1823"/>
        <v>06539000</v>
      </c>
      <c r="C8328" t="str">
        <f t="shared" si="1820"/>
        <v>06539003</v>
      </c>
      <c r="D8328" t="str">
        <f t="shared" si="1821"/>
        <v>813</v>
      </c>
      <c r="E8328" t="str">
        <f t="shared" si="1815"/>
        <v>89301172</v>
      </c>
      <c r="F8328" t="str">
        <f t="shared" si="1816"/>
        <v>8262215346</v>
      </c>
      <c r="G8328" s="1">
        <v>44772</v>
      </c>
      <c r="H8328" t="str">
        <f t="shared" si="1825"/>
        <v>91197</v>
      </c>
      <c r="I8328">
        <v>1</v>
      </c>
      <c r="J8328">
        <v>1046</v>
      </c>
      <c r="K8328">
        <v>0</v>
      </c>
      <c r="L8328">
        <v>815.88</v>
      </c>
    </row>
    <row r="8329" spans="1:12" x14ac:dyDescent="0.25">
      <c r="A8329" t="str">
        <f t="shared" si="1824"/>
        <v>89301000</v>
      </c>
      <c r="B8329" t="str">
        <f t="shared" si="1823"/>
        <v>06539000</v>
      </c>
      <c r="C8329" t="str">
        <f t="shared" si="1820"/>
        <v>06539003</v>
      </c>
      <c r="D8329" t="str">
        <f t="shared" si="1821"/>
        <v>813</v>
      </c>
      <c r="E8329" t="str">
        <f t="shared" si="1815"/>
        <v>89301172</v>
      </c>
      <c r="F8329" t="str">
        <f t="shared" si="1816"/>
        <v>8262215346</v>
      </c>
      <c r="G8329" s="1">
        <v>44772</v>
      </c>
      <c r="H8329" t="str">
        <f t="shared" si="1825"/>
        <v>91197</v>
      </c>
      <c r="I8329">
        <v>1</v>
      </c>
      <c r="J8329">
        <v>1046</v>
      </c>
      <c r="K8329">
        <v>0</v>
      </c>
      <c r="L8329">
        <v>815.88</v>
      </c>
    </row>
    <row r="8330" spans="1:12" x14ac:dyDescent="0.25">
      <c r="A8330" t="str">
        <f t="shared" si="1824"/>
        <v>89301000</v>
      </c>
      <c r="B8330" t="str">
        <f t="shared" si="1823"/>
        <v>06539000</v>
      </c>
      <c r="C8330" t="str">
        <f t="shared" si="1820"/>
        <v>06539003</v>
      </c>
      <c r="D8330" t="str">
        <f t="shared" si="1821"/>
        <v>813</v>
      </c>
      <c r="E8330" t="str">
        <f t="shared" si="1815"/>
        <v>89301172</v>
      </c>
      <c r="F8330" t="str">
        <f t="shared" si="1816"/>
        <v>8262215346</v>
      </c>
      <c r="G8330" s="1">
        <v>44776</v>
      </c>
      <c r="H8330" t="str">
        <f>"91329"</f>
        <v>91329</v>
      </c>
      <c r="I8330">
        <v>2</v>
      </c>
      <c r="J8330">
        <v>428</v>
      </c>
      <c r="K8330">
        <v>0</v>
      </c>
      <c r="L8330">
        <v>333.84</v>
      </c>
    </row>
    <row r="8331" spans="1:12" x14ac:dyDescent="0.25">
      <c r="A8331" t="str">
        <f t="shared" si="1824"/>
        <v>89301000</v>
      </c>
      <c r="B8331" t="str">
        <f t="shared" si="1823"/>
        <v>06539000</v>
      </c>
      <c r="C8331" t="str">
        <f t="shared" si="1820"/>
        <v>06539003</v>
      </c>
      <c r="D8331" t="str">
        <f t="shared" si="1821"/>
        <v>813</v>
      </c>
      <c r="E8331" t="str">
        <f t="shared" si="1815"/>
        <v>89301172</v>
      </c>
      <c r="F8331" t="str">
        <f t="shared" si="1816"/>
        <v>8262215346</v>
      </c>
      <c r="G8331" s="1">
        <v>44776</v>
      </c>
      <c r="H8331" t="str">
        <f>"91329"</f>
        <v>91329</v>
      </c>
      <c r="I8331">
        <v>2</v>
      </c>
      <c r="J8331">
        <v>428</v>
      </c>
      <c r="K8331">
        <v>0</v>
      </c>
      <c r="L8331">
        <v>333.84</v>
      </c>
    </row>
    <row r="8332" spans="1:12" x14ac:dyDescent="0.25">
      <c r="A8332" t="str">
        <f t="shared" si="1824"/>
        <v>89301000</v>
      </c>
      <c r="B8332" t="str">
        <f t="shared" si="1823"/>
        <v>06539000</v>
      </c>
      <c r="C8332" t="str">
        <f t="shared" si="1820"/>
        <v>06539003</v>
      </c>
      <c r="D8332" t="str">
        <f t="shared" si="1821"/>
        <v>813</v>
      </c>
      <c r="E8332" t="str">
        <f t="shared" si="1815"/>
        <v>89301172</v>
      </c>
      <c r="F8332" t="str">
        <f t="shared" si="1816"/>
        <v>8262215346</v>
      </c>
      <c r="G8332" s="1">
        <v>44776</v>
      </c>
      <c r="H8332" t="str">
        <f>"91329"</f>
        <v>91329</v>
      </c>
      <c r="I8332">
        <v>2</v>
      </c>
      <c r="J8332">
        <v>428</v>
      </c>
      <c r="K8332">
        <v>0</v>
      </c>
      <c r="L8332">
        <v>333.84</v>
      </c>
    </row>
    <row r="8333" spans="1:12" x14ac:dyDescent="0.25">
      <c r="A8333" t="str">
        <f t="shared" si="1824"/>
        <v>89301000</v>
      </c>
      <c r="B8333" t="str">
        <f t="shared" si="1823"/>
        <v>06539000</v>
      </c>
      <c r="C8333" t="str">
        <f t="shared" si="1820"/>
        <v>06539003</v>
      </c>
      <c r="D8333" t="str">
        <f t="shared" si="1821"/>
        <v>813</v>
      </c>
      <c r="E8333" t="str">
        <f t="shared" si="1815"/>
        <v>89301172</v>
      </c>
      <c r="F8333" t="str">
        <f t="shared" si="1816"/>
        <v>8262215346</v>
      </c>
      <c r="G8333" s="1">
        <v>44776</v>
      </c>
      <c r="H8333" t="str">
        <f>"91329"</f>
        <v>91329</v>
      </c>
      <c r="I8333">
        <v>2</v>
      </c>
      <c r="J8333">
        <v>428</v>
      </c>
      <c r="K8333">
        <v>0</v>
      </c>
      <c r="L8333">
        <v>333.84</v>
      </c>
    </row>
    <row r="8334" spans="1:12" x14ac:dyDescent="0.25">
      <c r="A8334" t="str">
        <f t="shared" si="1824"/>
        <v>89301000</v>
      </c>
      <c r="B8334" t="str">
        <f t="shared" si="1823"/>
        <v>06539000</v>
      </c>
      <c r="C8334" t="str">
        <f t="shared" si="1820"/>
        <v>06539003</v>
      </c>
      <c r="D8334" t="str">
        <f t="shared" si="1821"/>
        <v>813</v>
      </c>
      <c r="E8334" t="str">
        <f t="shared" si="1815"/>
        <v>89301172</v>
      </c>
      <c r="F8334" t="str">
        <f t="shared" si="1816"/>
        <v>8262215346</v>
      </c>
      <c r="G8334" s="1">
        <v>44774</v>
      </c>
      <c r="H8334" t="str">
        <f>"91129"</f>
        <v>91129</v>
      </c>
      <c r="I8334">
        <v>1</v>
      </c>
      <c r="J8334">
        <v>174</v>
      </c>
      <c r="K8334">
        <v>0</v>
      </c>
      <c r="L8334">
        <v>135.72</v>
      </c>
    </row>
    <row r="8335" spans="1:12" x14ac:dyDescent="0.25">
      <c r="A8335" t="str">
        <f t="shared" si="1824"/>
        <v>89301000</v>
      </c>
      <c r="B8335" t="str">
        <f t="shared" si="1823"/>
        <v>06539000</v>
      </c>
      <c r="C8335" t="str">
        <f t="shared" si="1820"/>
        <v>06539003</v>
      </c>
      <c r="D8335" t="str">
        <f t="shared" si="1821"/>
        <v>813</v>
      </c>
      <c r="E8335" t="str">
        <f t="shared" ref="E8335:E8358" si="1826">"89301172"</f>
        <v>89301172</v>
      </c>
      <c r="F8335" t="str">
        <f t="shared" si="1816"/>
        <v>8262215346</v>
      </c>
      <c r="G8335" s="1">
        <v>44774</v>
      </c>
      <c r="H8335" t="str">
        <f>"91131"</f>
        <v>91131</v>
      </c>
      <c r="I8335">
        <v>1</v>
      </c>
      <c r="J8335">
        <v>171</v>
      </c>
      <c r="K8335">
        <v>0</v>
      </c>
      <c r="L8335">
        <v>133.38</v>
      </c>
    </row>
    <row r="8336" spans="1:12" x14ac:dyDescent="0.25">
      <c r="A8336" t="str">
        <f t="shared" si="1824"/>
        <v>89301000</v>
      </c>
      <c r="B8336" t="str">
        <f t="shared" si="1823"/>
        <v>06539000</v>
      </c>
      <c r="C8336" t="str">
        <f t="shared" si="1820"/>
        <v>06539003</v>
      </c>
      <c r="D8336" t="str">
        <f t="shared" si="1821"/>
        <v>813</v>
      </c>
      <c r="E8336" t="str">
        <f t="shared" si="1826"/>
        <v>89301172</v>
      </c>
      <c r="F8336" t="str">
        <f t="shared" si="1816"/>
        <v>8262215346</v>
      </c>
      <c r="G8336" s="1">
        <v>44774</v>
      </c>
      <c r="H8336" t="str">
        <f>"91133"</f>
        <v>91133</v>
      </c>
      <c r="I8336">
        <v>1</v>
      </c>
      <c r="J8336">
        <v>176</v>
      </c>
      <c r="K8336">
        <v>0</v>
      </c>
      <c r="L8336">
        <v>137.28</v>
      </c>
    </row>
    <row r="8337" spans="1:12" x14ac:dyDescent="0.25">
      <c r="A8337" t="str">
        <f t="shared" si="1824"/>
        <v>89301000</v>
      </c>
      <c r="B8337" t="str">
        <f t="shared" si="1823"/>
        <v>06539000</v>
      </c>
      <c r="C8337" t="str">
        <f t="shared" si="1820"/>
        <v>06539003</v>
      </c>
      <c r="D8337" t="str">
        <f t="shared" si="1821"/>
        <v>813</v>
      </c>
      <c r="E8337" t="str">
        <f t="shared" si="1826"/>
        <v>89301172</v>
      </c>
      <c r="F8337" t="str">
        <f t="shared" si="1816"/>
        <v>8262215346</v>
      </c>
      <c r="G8337" s="1">
        <v>44774</v>
      </c>
      <c r="H8337" t="str">
        <f>"91171"</f>
        <v>91171</v>
      </c>
      <c r="I8337">
        <v>1</v>
      </c>
      <c r="J8337">
        <v>360</v>
      </c>
      <c r="K8337">
        <v>0</v>
      </c>
      <c r="L8337">
        <v>280.8</v>
      </c>
    </row>
    <row r="8338" spans="1:12" x14ac:dyDescent="0.25">
      <c r="A8338" t="str">
        <f t="shared" si="1824"/>
        <v>89301000</v>
      </c>
      <c r="B8338" t="str">
        <f t="shared" si="1823"/>
        <v>06539000</v>
      </c>
      <c r="C8338" t="str">
        <f t="shared" si="1820"/>
        <v>06539003</v>
      </c>
      <c r="D8338" t="str">
        <f t="shared" si="1821"/>
        <v>813</v>
      </c>
      <c r="E8338" t="str">
        <f t="shared" si="1826"/>
        <v>89301172</v>
      </c>
      <c r="F8338" t="str">
        <f t="shared" si="1816"/>
        <v>8262215346</v>
      </c>
      <c r="G8338" s="1">
        <v>44771</v>
      </c>
      <c r="H8338" t="str">
        <f>"91173"</f>
        <v>91173</v>
      </c>
      <c r="I8338">
        <v>1</v>
      </c>
      <c r="J8338">
        <v>335</v>
      </c>
      <c r="K8338">
        <v>0</v>
      </c>
      <c r="L8338">
        <v>261.3</v>
      </c>
    </row>
    <row r="8339" spans="1:12" x14ac:dyDescent="0.25">
      <c r="A8339" t="str">
        <f t="shared" si="1824"/>
        <v>89301000</v>
      </c>
      <c r="B8339" t="str">
        <f t="shared" si="1823"/>
        <v>06539000</v>
      </c>
      <c r="C8339" t="str">
        <f t="shared" si="1820"/>
        <v>06539003</v>
      </c>
      <c r="D8339" t="str">
        <f t="shared" si="1821"/>
        <v>813</v>
      </c>
      <c r="E8339" t="str">
        <f t="shared" si="1826"/>
        <v>89301172</v>
      </c>
      <c r="F8339" t="str">
        <f t="shared" si="1816"/>
        <v>8262215346</v>
      </c>
      <c r="G8339" s="1">
        <v>44774</v>
      </c>
      <c r="H8339" t="str">
        <f>"91175"</f>
        <v>91175</v>
      </c>
      <c r="I8339">
        <v>1</v>
      </c>
      <c r="J8339">
        <v>360</v>
      </c>
      <c r="K8339">
        <v>0</v>
      </c>
      <c r="L8339">
        <v>280.8</v>
      </c>
    </row>
    <row r="8340" spans="1:12" x14ac:dyDescent="0.25">
      <c r="A8340" t="str">
        <f t="shared" si="1824"/>
        <v>89301000</v>
      </c>
      <c r="B8340" t="str">
        <f t="shared" si="1823"/>
        <v>06539000</v>
      </c>
      <c r="C8340" t="str">
        <f t="shared" si="1820"/>
        <v>06539003</v>
      </c>
      <c r="D8340" t="str">
        <f t="shared" si="1821"/>
        <v>813</v>
      </c>
      <c r="E8340" t="str">
        <f t="shared" si="1826"/>
        <v>89301172</v>
      </c>
      <c r="F8340" t="str">
        <f t="shared" si="1816"/>
        <v>8262215346</v>
      </c>
      <c r="G8340" s="1">
        <v>44772</v>
      </c>
      <c r="H8340" t="str">
        <f>"91167"</f>
        <v>91167</v>
      </c>
      <c r="I8340">
        <v>1</v>
      </c>
      <c r="J8340">
        <v>425</v>
      </c>
      <c r="K8340">
        <v>0</v>
      </c>
      <c r="L8340">
        <v>331.5</v>
      </c>
    </row>
    <row r="8341" spans="1:12" x14ac:dyDescent="0.25">
      <c r="A8341" t="str">
        <f t="shared" si="1824"/>
        <v>89301000</v>
      </c>
      <c r="B8341" t="str">
        <f t="shared" si="1823"/>
        <v>06539000</v>
      </c>
      <c r="C8341" t="str">
        <f t="shared" si="1820"/>
        <v>06539003</v>
      </c>
      <c r="D8341" t="str">
        <f t="shared" si="1821"/>
        <v>813</v>
      </c>
      <c r="E8341" t="str">
        <f t="shared" si="1826"/>
        <v>89301172</v>
      </c>
      <c r="F8341" t="str">
        <f t="shared" si="1816"/>
        <v>8262215346</v>
      </c>
      <c r="G8341" s="1">
        <v>44772</v>
      </c>
      <c r="H8341" t="str">
        <f>"91169"</f>
        <v>91169</v>
      </c>
      <c r="I8341">
        <v>1</v>
      </c>
      <c r="J8341">
        <v>425</v>
      </c>
      <c r="K8341">
        <v>0</v>
      </c>
      <c r="L8341">
        <v>331.5</v>
      </c>
    </row>
    <row r="8342" spans="1:12" x14ac:dyDescent="0.25">
      <c r="A8342" t="str">
        <f t="shared" si="1824"/>
        <v>89301000</v>
      </c>
      <c r="B8342" t="str">
        <f t="shared" si="1823"/>
        <v>06539000</v>
      </c>
      <c r="C8342" t="str">
        <f t="shared" si="1820"/>
        <v>06539003</v>
      </c>
      <c r="D8342" t="str">
        <f t="shared" si="1821"/>
        <v>813</v>
      </c>
      <c r="E8342" t="str">
        <f t="shared" si="1826"/>
        <v>89301172</v>
      </c>
      <c r="F8342" t="str">
        <f t="shared" si="1816"/>
        <v>8262215346</v>
      </c>
      <c r="G8342" s="1">
        <v>44771</v>
      </c>
      <c r="H8342" t="str">
        <f>"91167"</f>
        <v>91167</v>
      </c>
      <c r="I8342">
        <v>1</v>
      </c>
      <c r="J8342">
        <v>425</v>
      </c>
      <c r="K8342">
        <v>0</v>
      </c>
      <c r="L8342">
        <v>331.5</v>
      </c>
    </row>
    <row r="8343" spans="1:12" x14ac:dyDescent="0.25">
      <c r="A8343" t="str">
        <f t="shared" si="1824"/>
        <v>89301000</v>
      </c>
      <c r="B8343" t="str">
        <f t="shared" si="1823"/>
        <v>06539000</v>
      </c>
      <c r="C8343" t="str">
        <f t="shared" si="1820"/>
        <v>06539003</v>
      </c>
      <c r="D8343" t="str">
        <f t="shared" si="1821"/>
        <v>813</v>
      </c>
      <c r="E8343" t="str">
        <f t="shared" si="1826"/>
        <v>89301172</v>
      </c>
      <c r="F8343" t="str">
        <f t="shared" si="1816"/>
        <v>8262215346</v>
      </c>
      <c r="G8343" s="1">
        <v>44771</v>
      </c>
      <c r="H8343" t="str">
        <f>"91169"</f>
        <v>91169</v>
      </c>
      <c r="I8343">
        <v>1</v>
      </c>
      <c r="J8343">
        <v>425</v>
      </c>
      <c r="K8343">
        <v>0</v>
      </c>
      <c r="L8343">
        <v>331.5</v>
      </c>
    </row>
    <row r="8344" spans="1:12" x14ac:dyDescent="0.25">
      <c r="A8344" t="str">
        <f t="shared" si="1824"/>
        <v>89301000</v>
      </c>
      <c r="B8344" t="str">
        <f t="shared" si="1823"/>
        <v>06539000</v>
      </c>
      <c r="C8344" t="str">
        <f t="shared" si="1820"/>
        <v>06539003</v>
      </c>
      <c r="D8344" t="str">
        <f t="shared" si="1821"/>
        <v>813</v>
      </c>
      <c r="E8344" t="str">
        <f t="shared" si="1826"/>
        <v>89301172</v>
      </c>
      <c r="F8344" t="str">
        <f t="shared" si="1816"/>
        <v>8262215346</v>
      </c>
      <c r="G8344" s="1">
        <v>44771</v>
      </c>
      <c r="H8344" t="str">
        <f>"91475"</f>
        <v>91475</v>
      </c>
      <c r="I8344">
        <v>1</v>
      </c>
      <c r="J8344">
        <v>206</v>
      </c>
      <c r="K8344">
        <v>0</v>
      </c>
      <c r="L8344">
        <v>160.68</v>
      </c>
    </row>
    <row r="8345" spans="1:12" x14ac:dyDescent="0.25">
      <c r="A8345" t="str">
        <f t="shared" si="1824"/>
        <v>89301000</v>
      </c>
      <c r="B8345" t="str">
        <f t="shared" si="1823"/>
        <v>06539000</v>
      </c>
      <c r="C8345" t="str">
        <f t="shared" si="1820"/>
        <v>06539003</v>
      </c>
      <c r="D8345" t="str">
        <f t="shared" si="1821"/>
        <v>813</v>
      </c>
      <c r="E8345" t="str">
        <f t="shared" si="1826"/>
        <v>89301172</v>
      </c>
      <c r="F8345" t="str">
        <f t="shared" ref="F8345:F8353" si="1827">"0005155711"</f>
        <v>0005155711</v>
      </c>
      <c r="G8345" s="1">
        <v>44783</v>
      </c>
      <c r="H8345" t="str">
        <f>"91329"</f>
        <v>91329</v>
      </c>
      <c r="I8345">
        <v>2</v>
      </c>
      <c r="J8345">
        <v>428</v>
      </c>
      <c r="K8345">
        <v>0</v>
      </c>
      <c r="L8345">
        <v>333.84</v>
      </c>
    </row>
    <row r="8346" spans="1:12" x14ac:dyDescent="0.25">
      <c r="A8346" t="str">
        <f t="shared" si="1824"/>
        <v>89301000</v>
      </c>
      <c r="B8346" t="str">
        <f t="shared" si="1823"/>
        <v>06539000</v>
      </c>
      <c r="C8346" t="str">
        <f t="shared" si="1820"/>
        <v>06539003</v>
      </c>
      <c r="D8346" t="str">
        <f t="shared" si="1821"/>
        <v>813</v>
      </c>
      <c r="E8346" t="str">
        <f t="shared" si="1826"/>
        <v>89301172</v>
      </c>
      <c r="F8346" t="str">
        <f t="shared" si="1827"/>
        <v>0005155711</v>
      </c>
      <c r="G8346" s="1">
        <v>44783</v>
      </c>
      <c r="H8346" t="str">
        <f>"91329"</f>
        <v>91329</v>
      </c>
      <c r="I8346">
        <v>2</v>
      </c>
      <c r="J8346">
        <v>428</v>
      </c>
      <c r="K8346">
        <v>0</v>
      </c>
      <c r="L8346">
        <v>333.84</v>
      </c>
    </row>
    <row r="8347" spans="1:12" x14ac:dyDescent="0.25">
      <c r="A8347" t="str">
        <f t="shared" si="1824"/>
        <v>89301000</v>
      </c>
      <c r="B8347" t="str">
        <f t="shared" si="1823"/>
        <v>06539000</v>
      </c>
      <c r="C8347" t="str">
        <f t="shared" si="1820"/>
        <v>06539003</v>
      </c>
      <c r="D8347" t="str">
        <f t="shared" si="1821"/>
        <v>813</v>
      </c>
      <c r="E8347" t="str">
        <f t="shared" si="1826"/>
        <v>89301172</v>
      </c>
      <c r="F8347" t="str">
        <f t="shared" si="1827"/>
        <v>0005155711</v>
      </c>
      <c r="G8347" s="1">
        <v>44783</v>
      </c>
      <c r="H8347" t="str">
        <f>"91329"</f>
        <v>91329</v>
      </c>
      <c r="I8347">
        <v>2</v>
      </c>
      <c r="J8347">
        <v>428</v>
      </c>
      <c r="K8347">
        <v>0</v>
      </c>
      <c r="L8347">
        <v>333.84</v>
      </c>
    </row>
    <row r="8348" spans="1:12" x14ac:dyDescent="0.25">
      <c r="A8348" t="str">
        <f t="shared" si="1824"/>
        <v>89301000</v>
      </c>
      <c r="B8348" t="str">
        <f t="shared" si="1823"/>
        <v>06539000</v>
      </c>
      <c r="C8348" t="str">
        <f t="shared" si="1820"/>
        <v>06539003</v>
      </c>
      <c r="D8348" t="str">
        <f t="shared" si="1821"/>
        <v>813</v>
      </c>
      <c r="E8348" t="str">
        <f t="shared" si="1826"/>
        <v>89301172</v>
      </c>
      <c r="F8348" t="str">
        <f t="shared" si="1827"/>
        <v>0005155711</v>
      </c>
      <c r="G8348" s="1">
        <v>44778</v>
      </c>
      <c r="H8348" t="str">
        <f>"91411"</f>
        <v>91411</v>
      </c>
      <c r="I8348">
        <v>1</v>
      </c>
      <c r="J8348">
        <v>1600</v>
      </c>
      <c r="K8348">
        <v>0</v>
      </c>
      <c r="L8348">
        <v>1248</v>
      </c>
    </row>
    <row r="8349" spans="1:12" x14ac:dyDescent="0.25">
      <c r="A8349" t="str">
        <f t="shared" si="1824"/>
        <v>89301000</v>
      </c>
      <c r="B8349" t="str">
        <f t="shared" si="1823"/>
        <v>06539000</v>
      </c>
      <c r="C8349" t="str">
        <f t="shared" si="1820"/>
        <v>06539003</v>
      </c>
      <c r="D8349" t="str">
        <f t="shared" si="1821"/>
        <v>813</v>
      </c>
      <c r="E8349" t="str">
        <f t="shared" si="1826"/>
        <v>89301172</v>
      </c>
      <c r="F8349" t="str">
        <f t="shared" si="1827"/>
        <v>0005155711</v>
      </c>
      <c r="G8349" s="1">
        <v>44783</v>
      </c>
      <c r="H8349" t="str">
        <f>"91329"</f>
        <v>91329</v>
      </c>
      <c r="I8349">
        <v>2</v>
      </c>
      <c r="J8349">
        <v>428</v>
      </c>
      <c r="K8349">
        <v>0</v>
      </c>
      <c r="L8349">
        <v>333.84</v>
      </c>
    </row>
    <row r="8350" spans="1:12" x14ac:dyDescent="0.25">
      <c r="A8350" t="str">
        <f t="shared" si="1824"/>
        <v>89301000</v>
      </c>
      <c r="B8350" t="str">
        <f t="shared" si="1823"/>
        <v>06539000</v>
      </c>
      <c r="C8350" t="str">
        <f t="shared" si="1820"/>
        <v>06539003</v>
      </c>
      <c r="D8350" t="str">
        <f t="shared" si="1821"/>
        <v>813</v>
      </c>
      <c r="E8350" t="str">
        <f t="shared" si="1826"/>
        <v>89301172</v>
      </c>
      <c r="F8350" t="str">
        <f t="shared" si="1827"/>
        <v>0005155711</v>
      </c>
      <c r="G8350" s="1">
        <v>44783</v>
      </c>
      <c r="H8350" t="str">
        <f>"91329"</f>
        <v>91329</v>
      </c>
      <c r="I8350">
        <v>2</v>
      </c>
      <c r="J8350">
        <v>428</v>
      </c>
      <c r="K8350">
        <v>0</v>
      </c>
      <c r="L8350">
        <v>333.84</v>
      </c>
    </row>
    <row r="8351" spans="1:12" x14ac:dyDescent="0.25">
      <c r="A8351" t="str">
        <f t="shared" si="1824"/>
        <v>89301000</v>
      </c>
      <c r="B8351" t="str">
        <f t="shared" si="1823"/>
        <v>06539000</v>
      </c>
      <c r="C8351" t="str">
        <f t="shared" si="1820"/>
        <v>06539003</v>
      </c>
      <c r="D8351" t="str">
        <f t="shared" si="1821"/>
        <v>813</v>
      </c>
      <c r="E8351" t="str">
        <f t="shared" si="1826"/>
        <v>89301172</v>
      </c>
      <c r="F8351" t="str">
        <f t="shared" si="1827"/>
        <v>0005155711</v>
      </c>
      <c r="G8351" s="1">
        <v>44783</v>
      </c>
      <c r="H8351" t="str">
        <f>"91329"</f>
        <v>91329</v>
      </c>
      <c r="I8351">
        <v>2</v>
      </c>
      <c r="J8351">
        <v>428</v>
      </c>
      <c r="K8351">
        <v>0</v>
      </c>
      <c r="L8351">
        <v>333.84</v>
      </c>
    </row>
    <row r="8352" spans="1:12" x14ac:dyDescent="0.25">
      <c r="A8352" t="str">
        <f t="shared" si="1824"/>
        <v>89301000</v>
      </c>
      <c r="B8352" t="str">
        <f t="shared" ref="B8352:B8358" si="1828">"06539000"</f>
        <v>06539000</v>
      </c>
      <c r="C8352" t="str">
        <f t="shared" si="1820"/>
        <v>06539003</v>
      </c>
      <c r="D8352" t="str">
        <f t="shared" si="1821"/>
        <v>813</v>
      </c>
      <c r="E8352" t="str">
        <f t="shared" si="1826"/>
        <v>89301172</v>
      </c>
      <c r="F8352" t="str">
        <f t="shared" si="1827"/>
        <v>0005155711</v>
      </c>
      <c r="G8352" s="1">
        <v>44783</v>
      </c>
      <c r="H8352" t="str">
        <f>"91329"</f>
        <v>91329</v>
      </c>
      <c r="I8352">
        <v>2</v>
      </c>
      <c r="J8352">
        <v>428</v>
      </c>
      <c r="K8352">
        <v>0</v>
      </c>
      <c r="L8352">
        <v>333.84</v>
      </c>
    </row>
    <row r="8353" spans="1:12" x14ac:dyDescent="0.25">
      <c r="A8353" t="str">
        <f t="shared" si="1824"/>
        <v>89301000</v>
      </c>
      <c r="B8353" t="str">
        <f t="shared" si="1828"/>
        <v>06539000</v>
      </c>
      <c r="C8353" t="str">
        <f t="shared" si="1820"/>
        <v>06539003</v>
      </c>
      <c r="D8353" t="str">
        <f t="shared" si="1821"/>
        <v>813</v>
      </c>
      <c r="E8353" t="str">
        <f t="shared" si="1826"/>
        <v>89301172</v>
      </c>
      <c r="F8353" t="str">
        <f t="shared" si="1827"/>
        <v>0005155711</v>
      </c>
      <c r="G8353" s="1">
        <v>44778</v>
      </c>
      <c r="H8353" t="str">
        <f>"91475"</f>
        <v>91475</v>
      </c>
      <c r="I8353">
        <v>1</v>
      </c>
      <c r="J8353">
        <v>206</v>
      </c>
      <c r="K8353">
        <v>0</v>
      </c>
      <c r="L8353">
        <v>160.68</v>
      </c>
    </row>
    <row r="8354" spans="1:12" x14ac:dyDescent="0.25">
      <c r="A8354" t="str">
        <f t="shared" si="1824"/>
        <v>89301000</v>
      </c>
      <c r="B8354" t="str">
        <f t="shared" si="1828"/>
        <v>06539000</v>
      </c>
      <c r="C8354" t="str">
        <f t="shared" si="1820"/>
        <v>06539003</v>
      </c>
      <c r="D8354" t="str">
        <f t="shared" si="1821"/>
        <v>813</v>
      </c>
      <c r="E8354" t="str">
        <f t="shared" si="1826"/>
        <v>89301172</v>
      </c>
      <c r="F8354" t="str">
        <f>"8952035004"</f>
        <v>8952035004</v>
      </c>
      <c r="G8354" s="1">
        <v>44788</v>
      </c>
      <c r="H8354" t="str">
        <f>"91329"</f>
        <v>91329</v>
      </c>
      <c r="I8354">
        <v>2</v>
      </c>
      <c r="J8354">
        <v>428</v>
      </c>
      <c r="K8354">
        <v>0</v>
      </c>
      <c r="L8354">
        <v>333.84</v>
      </c>
    </row>
    <row r="8355" spans="1:12" x14ac:dyDescent="0.25">
      <c r="A8355" t="str">
        <f t="shared" si="1824"/>
        <v>89301000</v>
      </c>
      <c r="B8355" t="str">
        <f t="shared" si="1828"/>
        <v>06539000</v>
      </c>
      <c r="C8355" t="str">
        <f t="shared" si="1820"/>
        <v>06539003</v>
      </c>
      <c r="D8355" t="str">
        <f t="shared" si="1821"/>
        <v>813</v>
      </c>
      <c r="E8355" t="str">
        <f t="shared" si="1826"/>
        <v>89301172</v>
      </c>
      <c r="F8355" t="str">
        <f>"8952035004"</f>
        <v>8952035004</v>
      </c>
      <c r="G8355" s="1">
        <v>44788</v>
      </c>
      <c r="H8355" t="str">
        <f>"91329"</f>
        <v>91329</v>
      </c>
      <c r="I8355">
        <v>2</v>
      </c>
      <c r="J8355">
        <v>428</v>
      </c>
      <c r="K8355">
        <v>0</v>
      </c>
      <c r="L8355">
        <v>333.84</v>
      </c>
    </row>
    <row r="8356" spans="1:12" x14ac:dyDescent="0.25">
      <c r="A8356" t="str">
        <f t="shared" si="1824"/>
        <v>89301000</v>
      </c>
      <c r="B8356" t="str">
        <f t="shared" si="1828"/>
        <v>06539000</v>
      </c>
      <c r="C8356" t="str">
        <f t="shared" si="1820"/>
        <v>06539003</v>
      </c>
      <c r="D8356" t="str">
        <f t="shared" si="1821"/>
        <v>813</v>
      </c>
      <c r="E8356" t="str">
        <f t="shared" si="1826"/>
        <v>89301172</v>
      </c>
      <c r="F8356" t="str">
        <f>"8952035004"</f>
        <v>8952035004</v>
      </c>
      <c r="G8356" s="1">
        <v>44782</v>
      </c>
      <c r="H8356" t="str">
        <f>"91329"</f>
        <v>91329</v>
      </c>
      <c r="I8356">
        <v>2</v>
      </c>
      <c r="J8356">
        <v>428</v>
      </c>
      <c r="K8356">
        <v>0</v>
      </c>
      <c r="L8356">
        <v>333.84</v>
      </c>
    </row>
    <row r="8357" spans="1:12" x14ac:dyDescent="0.25">
      <c r="A8357" t="str">
        <f t="shared" si="1824"/>
        <v>89301000</v>
      </c>
      <c r="B8357" t="str">
        <f t="shared" si="1828"/>
        <v>06539000</v>
      </c>
      <c r="C8357" t="str">
        <f t="shared" si="1820"/>
        <v>06539003</v>
      </c>
      <c r="D8357" t="str">
        <f t="shared" si="1821"/>
        <v>813</v>
      </c>
      <c r="E8357" t="str">
        <f t="shared" si="1826"/>
        <v>89301172</v>
      </c>
      <c r="F8357" t="str">
        <f>"8952035004"</f>
        <v>8952035004</v>
      </c>
      <c r="G8357" s="1">
        <v>44782</v>
      </c>
      <c r="H8357" t="str">
        <f>"91329"</f>
        <v>91329</v>
      </c>
      <c r="I8357">
        <v>2</v>
      </c>
      <c r="J8357">
        <v>428</v>
      </c>
      <c r="K8357">
        <v>0</v>
      </c>
      <c r="L8357">
        <v>333.84</v>
      </c>
    </row>
    <row r="8358" spans="1:12" x14ac:dyDescent="0.25">
      <c r="A8358" t="str">
        <f t="shared" si="1824"/>
        <v>89301000</v>
      </c>
      <c r="B8358" t="str">
        <f t="shared" si="1828"/>
        <v>06539000</v>
      </c>
      <c r="C8358" t="str">
        <f t="shared" si="1820"/>
        <v>06539003</v>
      </c>
      <c r="D8358" t="str">
        <f t="shared" si="1821"/>
        <v>813</v>
      </c>
      <c r="E8358" t="str">
        <f t="shared" si="1826"/>
        <v>89301172</v>
      </c>
      <c r="F8358" t="str">
        <f>"8952035004"</f>
        <v>8952035004</v>
      </c>
      <c r="G8358" s="1">
        <v>44778</v>
      </c>
      <c r="H8358" t="str">
        <f>"91475"</f>
        <v>91475</v>
      </c>
      <c r="I8358">
        <v>1</v>
      </c>
      <c r="J8358">
        <v>206</v>
      </c>
      <c r="K8358">
        <v>0</v>
      </c>
      <c r="L8358">
        <v>160.68</v>
      </c>
    </row>
    <row r="8359" spans="1:12" x14ac:dyDescent="0.25">
      <c r="A8359" t="str">
        <f t="shared" si="1824"/>
        <v>89301000</v>
      </c>
      <c r="B8359" t="str">
        <f t="shared" ref="B8359:B8367" si="1829">"06223000"</f>
        <v>06223000</v>
      </c>
      <c r="C8359" t="str">
        <f t="shared" ref="C8359:C8367" si="1830">"06223043"</f>
        <v>06223043</v>
      </c>
      <c r="D8359" t="str">
        <f t="shared" ref="D8359:D8367" si="1831">"801"</f>
        <v>801</v>
      </c>
      <c r="E8359" t="str">
        <f t="shared" ref="E8359:E8367" si="1832">"89301122"</f>
        <v>89301122</v>
      </c>
      <c r="F8359" t="str">
        <f>"391001404"</f>
        <v>391001404</v>
      </c>
      <c r="G8359" s="1">
        <v>44795</v>
      </c>
      <c r="H8359" t="str">
        <f t="shared" ref="H8359:H8364" si="1833">"81485"</f>
        <v>81485</v>
      </c>
      <c r="I8359">
        <v>1</v>
      </c>
      <c r="J8359">
        <v>453</v>
      </c>
      <c r="K8359">
        <v>0</v>
      </c>
      <c r="L8359">
        <v>353.34</v>
      </c>
    </row>
    <row r="8360" spans="1:12" x14ac:dyDescent="0.25">
      <c r="A8360" t="str">
        <f t="shared" si="1824"/>
        <v>89301000</v>
      </c>
      <c r="B8360" t="str">
        <f t="shared" si="1829"/>
        <v>06223000</v>
      </c>
      <c r="C8360" t="str">
        <f t="shared" si="1830"/>
        <v>06223043</v>
      </c>
      <c r="D8360" t="str">
        <f t="shared" si="1831"/>
        <v>801</v>
      </c>
      <c r="E8360" t="str">
        <f t="shared" si="1832"/>
        <v>89301122</v>
      </c>
      <c r="F8360" t="str">
        <f>"9204284298"</f>
        <v>9204284298</v>
      </c>
      <c r="G8360" s="1">
        <v>44795</v>
      </c>
      <c r="H8360" t="str">
        <f t="shared" si="1833"/>
        <v>81485</v>
      </c>
      <c r="I8360">
        <v>1</v>
      </c>
      <c r="J8360">
        <v>453</v>
      </c>
      <c r="K8360">
        <v>0</v>
      </c>
      <c r="L8360">
        <v>353.34</v>
      </c>
    </row>
    <row r="8361" spans="1:12" x14ac:dyDescent="0.25">
      <c r="A8361" t="str">
        <f t="shared" si="1824"/>
        <v>89301000</v>
      </c>
      <c r="B8361" t="str">
        <f t="shared" si="1829"/>
        <v>06223000</v>
      </c>
      <c r="C8361" t="str">
        <f t="shared" si="1830"/>
        <v>06223043</v>
      </c>
      <c r="D8361" t="str">
        <f t="shared" si="1831"/>
        <v>801</v>
      </c>
      <c r="E8361" t="str">
        <f t="shared" si="1832"/>
        <v>89301122</v>
      </c>
      <c r="F8361" t="str">
        <f>"8701234916"</f>
        <v>8701234916</v>
      </c>
      <c r="G8361" s="1">
        <v>44784</v>
      </c>
      <c r="H8361" t="str">
        <f t="shared" si="1833"/>
        <v>81485</v>
      </c>
      <c r="I8361">
        <v>1</v>
      </c>
      <c r="J8361">
        <v>453</v>
      </c>
      <c r="K8361">
        <v>0</v>
      </c>
      <c r="L8361">
        <v>353.34</v>
      </c>
    </row>
    <row r="8362" spans="1:12" x14ac:dyDescent="0.25">
      <c r="A8362" t="str">
        <f t="shared" si="1824"/>
        <v>89301000</v>
      </c>
      <c r="B8362" t="str">
        <f t="shared" si="1829"/>
        <v>06223000</v>
      </c>
      <c r="C8362" t="str">
        <f t="shared" si="1830"/>
        <v>06223043</v>
      </c>
      <c r="D8362" t="str">
        <f t="shared" si="1831"/>
        <v>801</v>
      </c>
      <c r="E8362" t="str">
        <f t="shared" si="1832"/>
        <v>89301122</v>
      </c>
      <c r="F8362" t="str">
        <f>"5708091521"</f>
        <v>5708091521</v>
      </c>
      <c r="G8362" s="1">
        <v>44784</v>
      </c>
      <c r="H8362" t="str">
        <f t="shared" si="1833"/>
        <v>81485</v>
      </c>
      <c r="I8362">
        <v>1</v>
      </c>
      <c r="J8362">
        <v>453</v>
      </c>
      <c r="K8362">
        <v>0</v>
      </c>
      <c r="L8362">
        <v>353.34</v>
      </c>
    </row>
    <row r="8363" spans="1:12" x14ac:dyDescent="0.25">
      <c r="A8363" t="str">
        <f t="shared" si="1824"/>
        <v>89301000</v>
      </c>
      <c r="B8363" t="str">
        <f t="shared" si="1829"/>
        <v>06223000</v>
      </c>
      <c r="C8363" t="str">
        <f t="shared" si="1830"/>
        <v>06223043</v>
      </c>
      <c r="D8363" t="str">
        <f t="shared" si="1831"/>
        <v>801</v>
      </c>
      <c r="E8363" t="str">
        <f t="shared" si="1832"/>
        <v>89301122</v>
      </c>
      <c r="F8363" t="str">
        <f>"490715085"</f>
        <v>490715085</v>
      </c>
      <c r="G8363" s="1">
        <v>44784</v>
      </c>
      <c r="H8363" t="str">
        <f t="shared" si="1833"/>
        <v>81485</v>
      </c>
      <c r="I8363">
        <v>1</v>
      </c>
      <c r="J8363">
        <v>453</v>
      </c>
      <c r="K8363">
        <v>0</v>
      </c>
      <c r="L8363">
        <v>353.34</v>
      </c>
    </row>
    <row r="8364" spans="1:12" x14ac:dyDescent="0.25">
      <c r="A8364" t="str">
        <f t="shared" si="1824"/>
        <v>89301000</v>
      </c>
      <c r="B8364" t="str">
        <f t="shared" si="1829"/>
        <v>06223000</v>
      </c>
      <c r="C8364" t="str">
        <f t="shared" si="1830"/>
        <v>06223043</v>
      </c>
      <c r="D8364" t="str">
        <f t="shared" si="1831"/>
        <v>801</v>
      </c>
      <c r="E8364" t="str">
        <f t="shared" si="1832"/>
        <v>89301122</v>
      </c>
      <c r="F8364" t="str">
        <f>"9305134872"</f>
        <v>9305134872</v>
      </c>
      <c r="G8364" s="1">
        <v>44784</v>
      </c>
      <c r="H8364" t="str">
        <f t="shared" si="1833"/>
        <v>81485</v>
      </c>
      <c r="I8364">
        <v>1</v>
      </c>
      <c r="J8364">
        <v>453</v>
      </c>
      <c r="K8364">
        <v>0</v>
      </c>
      <c r="L8364">
        <v>353.34</v>
      </c>
    </row>
    <row r="8365" spans="1:12" x14ac:dyDescent="0.25">
      <c r="A8365" t="str">
        <f t="shared" si="1824"/>
        <v>89301000</v>
      </c>
      <c r="B8365" t="str">
        <f t="shared" si="1829"/>
        <v>06223000</v>
      </c>
      <c r="C8365" t="str">
        <f t="shared" si="1830"/>
        <v>06223043</v>
      </c>
      <c r="D8365" t="str">
        <f t="shared" si="1831"/>
        <v>801</v>
      </c>
      <c r="E8365" t="str">
        <f t="shared" si="1832"/>
        <v>89301122</v>
      </c>
      <c r="F8365" t="str">
        <f>"8855305976"</f>
        <v>8855305976</v>
      </c>
      <c r="G8365" s="1">
        <v>44796</v>
      </c>
      <c r="H8365" t="str">
        <f>"92165"</f>
        <v>92165</v>
      </c>
      <c r="I8365">
        <v>1</v>
      </c>
      <c r="J8365">
        <v>2113</v>
      </c>
      <c r="K8365">
        <v>0</v>
      </c>
      <c r="L8365">
        <v>1648.14</v>
      </c>
    </row>
    <row r="8366" spans="1:12" x14ac:dyDescent="0.25">
      <c r="A8366" t="str">
        <f t="shared" si="1824"/>
        <v>89301000</v>
      </c>
      <c r="B8366" t="str">
        <f t="shared" si="1829"/>
        <v>06223000</v>
      </c>
      <c r="C8366" t="str">
        <f t="shared" si="1830"/>
        <v>06223043</v>
      </c>
      <c r="D8366" t="str">
        <f t="shared" si="1831"/>
        <v>801</v>
      </c>
      <c r="E8366" t="str">
        <f t="shared" si="1832"/>
        <v>89301122</v>
      </c>
      <c r="F8366" t="str">
        <f>"7754154474"</f>
        <v>7754154474</v>
      </c>
      <c r="G8366" s="1">
        <v>44795</v>
      </c>
      <c r="H8366" t="str">
        <f>"81485"</f>
        <v>81485</v>
      </c>
      <c r="I8366">
        <v>1</v>
      </c>
      <c r="J8366">
        <v>453</v>
      </c>
      <c r="K8366">
        <v>0</v>
      </c>
      <c r="L8366">
        <v>353.34</v>
      </c>
    </row>
    <row r="8367" spans="1:12" x14ac:dyDescent="0.25">
      <c r="A8367" t="str">
        <f t="shared" si="1824"/>
        <v>89301000</v>
      </c>
      <c r="B8367" t="str">
        <f t="shared" si="1829"/>
        <v>06223000</v>
      </c>
      <c r="C8367" t="str">
        <f t="shared" si="1830"/>
        <v>06223043</v>
      </c>
      <c r="D8367" t="str">
        <f t="shared" si="1831"/>
        <v>801</v>
      </c>
      <c r="E8367" t="str">
        <f t="shared" si="1832"/>
        <v>89301122</v>
      </c>
      <c r="F8367" t="str">
        <f>"8305285307"</f>
        <v>8305285307</v>
      </c>
      <c r="G8367" s="1">
        <v>44784</v>
      </c>
      <c r="H8367" t="str">
        <f>"81485"</f>
        <v>81485</v>
      </c>
      <c r="I8367">
        <v>1</v>
      </c>
      <c r="J8367">
        <v>453</v>
      </c>
      <c r="K8367">
        <v>0</v>
      </c>
      <c r="L8367">
        <v>353.34</v>
      </c>
    </row>
    <row r="8368" spans="1:12" x14ac:dyDescent="0.25">
      <c r="A8368" t="str">
        <f t="shared" si="1824"/>
        <v>89301000</v>
      </c>
      <c r="B8368" t="str">
        <f>"75002000"</f>
        <v>75002000</v>
      </c>
      <c r="C8368" t="str">
        <f>"75002418"</f>
        <v>75002418</v>
      </c>
      <c r="D8368" t="str">
        <f t="shared" ref="D8368:D8376" si="1834">"809"</f>
        <v>809</v>
      </c>
      <c r="E8368" t="str">
        <f>"89301172"</f>
        <v>89301172</v>
      </c>
      <c r="F8368" t="str">
        <f>"6458191410"</f>
        <v>6458191410</v>
      </c>
      <c r="G8368" s="1">
        <v>44791</v>
      </c>
      <c r="H8368" t="str">
        <f>"89131"</f>
        <v>89131</v>
      </c>
      <c r="I8368">
        <v>1</v>
      </c>
      <c r="J8368">
        <v>187</v>
      </c>
      <c r="K8368">
        <v>0</v>
      </c>
      <c r="L8368">
        <v>261.8</v>
      </c>
    </row>
    <row r="8369" spans="1:12" x14ac:dyDescent="0.25">
      <c r="A8369" t="str">
        <f t="shared" si="1824"/>
        <v>89301000</v>
      </c>
      <c r="B8369" t="str">
        <f>"75002000"</f>
        <v>75002000</v>
      </c>
      <c r="C8369" t="str">
        <f>"75002418"</f>
        <v>75002418</v>
      </c>
      <c r="D8369" t="str">
        <f t="shared" si="1834"/>
        <v>809</v>
      </c>
      <c r="E8369" t="str">
        <f>"89301172"</f>
        <v>89301172</v>
      </c>
      <c r="F8369" t="str">
        <f>"6458191410"</f>
        <v>6458191410</v>
      </c>
      <c r="G8369" s="1">
        <v>44791</v>
      </c>
      <c r="H8369" t="str">
        <f>"89513"</f>
        <v>89513</v>
      </c>
      <c r="I8369">
        <v>1</v>
      </c>
      <c r="J8369">
        <v>371</v>
      </c>
      <c r="K8369">
        <v>0</v>
      </c>
      <c r="L8369">
        <v>519.4</v>
      </c>
    </row>
    <row r="8370" spans="1:12" x14ac:dyDescent="0.25">
      <c r="A8370" t="str">
        <f t="shared" si="1824"/>
        <v>89301000</v>
      </c>
      <c r="B8370" t="str">
        <f>"75002000"</f>
        <v>75002000</v>
      </c>
      <c r="C8370" t="str">
        <f>"75002418"</f>
        <v>75002418</v>
      </c>
      <c r="D8370" t="str">
        <f t="shared" si="1834"/>
        <v>809</v>
      </c>
      <c r="E8370" t="str">
        <f>"89301172"</f>
        <v>89301172</v>
      </c>
      <c r="F8370" t="str">
        <f>"6458191410"</f>
        <v>6458191410</v>
      </c>
      <c r="G8370" s="1">
        <v>44791</v>
      </c>
      <c r="H8370" t="str">
        <f>"89514"</f>
        <v>89514</v>
      </c>
      <c r="I8370">
        <v>1</v>
      </c>
      <c r="J8370">
        <v>371</v>
      </c>
      <c r="K8370">
        <v>0</v>
      </c>
      <c r="L8370">
        <v>519.4</v>
      </c>
    </row>
    <row r="8371" spans="1:12" x14ac:dyDescent="0.25">
      <c r="A8371" t="str">
        <f t="shared" si="1824"/>
        <v>89301000</v>
      </c>
      <c r="B8371" t="str">
        <f t="shared" ref="B8371:B8376" si="1835">"92002000"</f>
        <v>92002000</v>
      </c>
      <c r="C8371" t="str">
        <f>"92002175"</f>
        <v>92002175</v>
      </c>
      <c r="D8371" t="str">
        <f t="shared" si="1834"/>
        <v>809</v>
      </c>
      <c r="E8371" t="str">
        <f t="shared" ref="E8371:E8376" si="1836">"89301212"</f>
        <v>89301212</v>
      </c>
      <c r="F8371" t="str">
        <f>"535414122"</f>
        <v>535414122</v>
      </c>
      <c r="G8371" s="1">
        <v>44792</v>
      </c>
      <c r="H8371" t="str">
        <f>"89512"</f>
        <v>89512</v>
      </c>
      <c r="I8371">
        <v>1</v>
      </c>
      <c r="J8371">
        <v>277</v>
      </c>
      <c r="K8371">
        <v>0</v>
      </c>
      <c r="L8371">
        <v>387.8</v>
      </c>
    </row>
    <row r="8372" spans="1:12" x14ac:dyDescent="0.25">
      <c r="A8372" t="str">
        <f t="shared" si="1824"/>
        <v>89301000</v>
      </c>
      <c r="B8372" t="str">
        <f t="shared" si="1835"/>
        <v>92002000</v>
      </c>
      <c r="C8372" t="str">
        <f>"92002175"</f>
        <v>92002175</v>
      </c>
      <c r="D8372" t="str">
        <f t="shared" si="1834"/>
        <v>809</v>
      </c>
      <c r="E8372" t="str">
        <f t="shared" si="1836"/>
        <v>89301212</v>
      </c>
      <c r="F8372" t="str">
        <f>"7552173519"</f>
        <v>7552173519</v>
      </c>
      <c r="G8372" s="1">
        <v>44796</v>
      </c>
      <c r="H8372" t="str">
        <f>"89512"</f>
        <v>89512</v>
      </c>
      <c r="I8372">
        <v>1</v>
      </c>
      <c r="J8372">
        <v>277</v>
      </c>
      <c r="K8372">
        <v>0</v>
      </c>
      <c r="L8372">
        <v>387.8</v>
      </c>
    </row>
    <row r="8373" spans="1:12" x14ac:dyDescent="0.25">
      <c r="A8373" t="str">
        <f t="shared" si="1824"/>
        <v>89301000</v>
      </c>
      <c r="B8373" t="str">
        <f t="shared" si="1835"/>
        <v>92002000</v>
      </c>
      <c r="C8373" t="str">
        <f>"92002175"</f>
        <v>92002175</v>
      </c>
      <c r="D8373" t="str">
        <f t="shared" si="1834"/>
        <v>809</v>
      </c>
      <c r="E8373" t="str">
        <f t="shared" si="1836"/>
        <v>89301212</v>
      </c>
      <c r="F8373" t="str">
        <f>"7257264410"</f>
        <v>7257264410</v>
      </c>
      <c r="G8373" s="1">
        <v>44796</v>
      </c>
      <c r="H8373" t="str">
        <f>"89180"</f>
        <v>89180</v>
      </c>
      <c r="I8373">
        <v>2</v>
      </c>
      <c r="J8373">
        <v>752</v>
      </c>
      <c r="K8373">
        <v>0</v>
      </c>
      <c r="L8373">
        <v>1052.8</v>
      </c>
    </row>
    <row r="8374" spans="1:12" x14ac:dyDescent="0.25">
      <c r="A8374" t="str">
        <f t="shared" si="1824"/>
        <v>89301000</v>
      </c>
      <c r="B8374" t="str">
        <f t="shared" si="1835"/>
        <v>92002000</v>
      </c>
      <c r="C8374" t="str">
        <f>"92002175"</f>
        <v>92002175</v>
      </c>
      <c r="D8374" t="str">
        <f t="shared" si="1834"/>
        <v>809</v>
      </c>
      <c r="E8374" t="str">
        <f t="shared" si="1836"/>
        <v>89301212</v>
      </c>
      <c r="F8374" t="str">
        <f>"7257264410"</f>
        <v>7257264410</v>
      </c>
      <c r="G8374" s="1">
        <v>44796</v>
      </c>
      <c r="H8374" t="str">
        <f>"89512"</f>
        <v>89512</v>
      </c>
      <c r="I8374">
        <v>1</v>
      </c>
      <c r="J8374">
        <v>277</v>
      </c>
      <c r="K8374">
        <v>0</v>
      </c>
      <c r="L8374">
        <v>387.8</v>
      </c>
    </row>
    <row r="8375" spans="1:12" x14ac:dyDescent="0.25">
      <c r="A8375" t="str">
        <f t="shared" si="1824"/>
        <v>89301000</v>
      </c>
      <c r="B8375" t="str">
        <f t="shared" si="1835"/>
        <v>92002000</v>
      </c>
      <c r="C8375" t="str">
        <f>"92002027"</f>
        <v>92002027</v>
      </c>
      <c r="D8375" t="str">
        <f t="shared" si="1834"/>
        <v>809</v>
      </c>
      <c r="E8375" t="str">
        <f t="shared" si="1836"/>
        <v>89301212</v>
      </c>
      <c r="F8375" t="str">
        <f>"7257264410"</f>
        <v>7257264410</v>
      </c>
      <c r="G8375" s="1">
        <v>44798</v>
      </c>
      <c r="H8375" t="str">
        <f>"89513"</f>
        <v>89513</v>
      </c>
      <c r="I8375">
        <v>1</v>
      </c>
      <c r="J8375">
        <v>371</v>
      </c>
      <c r="K8375">
        <v>0</v>
      </c>
      <c r="L8375">
        <v>519.4</v>
      </c>
    </row>
    <row r="8376" spans="1:12" x14ac:dyDescent="0.25">
      <c r="A8376" t="str">
        <f t="shared" si="1824"/>
        <v>89301000</v>
      </c>
      <c r="B8376" t="str">
        <f t="shared" si="1835"/>
        <v>92002000</v>
      </c>
      <c r="C8376" t="str">
        <f>"92002027"</f>
        <v>92002027</v>
      </c>
      <c r="D8376" t="str">
        <f t="shared" si="1834"/>
        <v>809</v>
      </c>
      <c r="E8376" t="str">
        <f t="shared" si="1836"/>
        <v>89301212</v>
      </c>
      <c r="F8376" t="str">
        <f>"7257264410"</f>
        <v>7257264410</v>
      </c>
      <c r="G8376" s="1">
        <v>44798</v>
      </c>
      <c r="H8376" t="str">
        <f>"89514"</f>
        <v>89514</v>
      </c>
      <c r="I8376">
        <v>1</v>
      </c>
      <c r="J8376">
        <v>371</v>
      </c>
      <c r="K8376">
        <v>0</v>
      </c>
      <c r="L8376">
        <v>519.4</v>
      </c>
    </row>
    <row r="8377" spans="1:12" x14ac:dyDescent="0.25">
      <c r="A8377" t="str">
        <f t="shared" si="1824"/>
        <v>89301000</v>
      </c>
      <c r="B8377" t="str">
        <f t="shared" ref="B8377:B8384" si="1837">"02004000"</f>
        <v>02004000</v>
      </c>
      <c r="C8377" t="str">
        <f t="shared" ref="C8377:C8384" si="1838">"02004556"</f>
        <v>02004556</v>
      </c>
      <c r="D8377" t="str">
        <f t="shared" ref="D8377:D8384" si="1839">"813"</f>
        <v>813</v>
      </c>
      <c r="E8377" t="str">
        <f>"89301028"</f>
        <v>89301028</v>
      </c>
      <c r="F8377" t="str">
        <f>"6705251938"</f>
        <v>6705251938</v>
      </c>
      <c r="G8377" s="1">
        <v>44783</v>
      </c>
      <c r="H8377" t="str">
        <f>"91249"</f>
        <v>91249</v>
      </c>
      <c r="I8377">
        <v>1</v>
      </c>
      <c r="J8377">
        <v>1489</v>
      </c>
      <c r="K8377">
        <v>0</v>
      </c>
      <c r="L8377">
        <v>1161.42</v>
      </c>
    </row>
    <row r="8378" spans="1:12" x14ac:dyDescent="0.25">
      <c r="A8378" t="str">
        <f t="shared" si="1824"/>
        <v>89301000</v>
      </c>
      <c r="B8378" t="str">
        <f t="shared" si="1837"/>
        <v>02004000</v>
      </c>
      <c r="C8378" t="str">
        <f t="shared" si="1838"/>
        <v>02004556</v>
      </c>
      <c r="D8378" t="str">
        <f t="shared" si="1839"/>
        <v>813</v>
      </c>
      <c r="E8378" t="str">
        <f>"89301028"</f>
        <v>89301028</v>
      </c>
      <c r="F8378" t="str">
        <f>"6705251938"</f>
        <v>6705251938</v>
      </c>
      <c r="G8378" s="1">
        <v>44783</v>
      </c>
      <c r="H8378" t="str">
        <f>"91251"</f>
        <v>91251</v>
      </c>
      <c r="I8378">
        <v>1</v>
      </c>
      <c r="J8378">
        <v>1489</v>
      </c>
      <c r="K8378">
        <v>0</v>
      </c>
      <c r="L8378">
        <v>1161.42</v>
      </c>
    </row>
    <row r="8379" spans="1:12" x14ac:dyDescent="0.25">
      <c r="A8379" t="str">
        <f t="shared" si="1824"/>
        <v>89301000</v>
      </c>
      <c r="B8379" t="str">
        <f t="shared" si="1837"/>
        <v>02004000</v>
      </c>
      <c r="C8379" t="str">
        <f t="shared" si="1838"/>
        <v>02004556</v>
      </c>
      <c r="D8379" t="str">
        <f t="shared" si="1839"/>
        <v>813</v>
      </c>
      <c r="E8379" t="str">
        <f>"89301028"</f>
        <v>89301028</v>
      </c>
      <c r="F8379" t="str">
        <f>"0109254860"</f>
        <v>0109254860</v>
      </c>
      <c r="G8379" s="1">
        <v>44784</v>
      </c>
      <c r="H8379" t="str">
        <f>"91249"</f>
        <v>91249</v>
      </c>
      <c r="I8379">
        <v>1</v>
      </c>
      <c r="J8379">
        <v>1489</v>
      </c>
      <c r="K8379">
        <v>0</v>
      </c>
      <c r="L8379">
        <v>1161.42</v>
      </c>
    </row>
    <row r="8380" spans="1:12" x14ac:dyDescent="0.25">
      <c r="A8380" t="str">
        <f t="shared" si="1824"/>
        <v>89301000</v>
      </c>
      <c r="B8380" t="str">
        <f t="shared" si="1837"/>
        <v>02004000</v>
      </c>
      <c r="C8380" t="str">
        <f t="shared" si="1838"/>
        <v>02004556</v>
      </c>
      <c r="D8380" t="str">
        <f t="shared" si="1839"/>
        <v>813</v>
      </c>
      <c r="E8380" t="str">
        <f>"89301028"</f>
        <v>89301028</v>
      </c>
      <c r="F8380" t="str">
        <f>"0109254860"</f>
        <v>0109254860</v>
      </c>
      <c r="G8380" s="1">
        <v>44784</v>
      </c>
      <c r="H8380" t="str">
        <f>"91251"</f>
        <v>91251</v>
      </c>
      <c r="I8380">
        <v>1</v>
      </c>
      <c r="J8380">
        <v>1489</v>
      </c>
      <c r="K8380">
        <v>0</v>
      </c>
      <c r="L8380">
        <v>1161.42</v>
      </c>
    </row>
    <row r="8381" spans="1:12" x14ac:dyDescent="0.25">
      <c r="A8381" t="str">
        <f t="shared" si="1824"/>
        <v>89301000</v>
      </c>
      <c r="B8381" t="str">
        <f t="shared" si="1837"/>
        <v>02004000</v>
      </c>
      <c r="C8381" t="str">
        <f t="shared" si="1838"/>
        <v>02004556</v>
      </c>
      <c r="D8381" t="str">
        <f t="shared" si="1839"/>
        <v>813</v>
      </c>
      <c r="E8381" t="str">
        <f>"89301102"</f>
        <v>89301102</v>
      </c>
      <c r="F8381" t="str">
        <f>"0756083383"</f>
        <v>0756083383</v>
      </c>
      <c r="G8381" s="1">
        <v>44763</v>
      </c>
      <c r="H8381" t="str">
        <f>"91249"</f>
        <v>91249</v>
      </c>
      <c r="I8381">
        <v>1</v>
      </c>
      <c r="J8381">
        <v>1489</v>
      </c>
      <c r="K8381">
        <v>0</v>
      </c>
      <c r="L8381">
        <v>1161.42</v>
      </c>
    </row>
    <row r="8382" spans="1:12" x14ac:dyDescent="0.25">
      <c r="A8382" t="str">
        <f t="shared" si="1824"/>
        <v>89301000</v>
      </c>
      <c r="B8382" t="str">
        <f t="shared" si="1837"/>
        <v>02004000</v>
      </c>
      <c r="C8382" t="str">
        <f t="shared" si="1838"/>
        <v>02004556</v>
      </c>
      <c r="D8382" t="str">
        <f t="shared" si="1839"/>
        <v>813</v>
      </c>
      <c r="E8382" t="str">
        <f>"89301102"</f>
        <v>89301102</v>
      </c>
      <c r="F8382" t="str">
        <f>"0756083383"</f>
        <v>0756083383</v>
      </c>
      <c r="G8382" s="1">
        <v>44763</v>
      </c>
      <c r="H8382" t="str">
        <f>"91251"</f>
        <v>91251</v>
      </c>
      <c r="I8382">
        <v>1</v>
      </c>
      <c r="J8382">
        <v>1489</v>
      </c>
      <c r="K8382">
        <v>0</v>
      </c>
      <c r="L8382">
        <v>1161.42</v>
      </c>
    </row>
    <row r="8383" spans="1:12" x14ac:dyDescent="0.25">
      <c r="A8383" t="str">
        <f t="shared" si="1824"/>
        <v>89301000</v>
      </c>
      <c r="B8383" t="str">
        <f t="shared" si="1837"/>
        <v>02004000</v>
      </c>
      <c r="C8383" t="str">
        <f t="shared" si="1838"/>
        <v>02004556</v>
      </c>
      <c r="D8383" t="str">
        <f t="shared" si="1839"/>
        <v>813</v>
      </c>
      <c r="E8383" t="str">
        <f>"89301102"</f>
        <v>89301102</v>
      </c>
      <c r="F8383" t="str">
        <f>"0707116157"</f>
        <v>0707116157</v>
      </c>
      <c r="G8383" s="1">
        <v>44757</v>
      </c>
      <c r="H8383" t="str">
        <f>"91249"</f>
        <v>91249</v>
      </c>
      <c r="I8383">
        <v>1</v>
      </c>
      <c r="J8383">
        <v>1489</v>
      </c>
      <c r="K8383">
        <v>0</v>
      </c>
      <c r="L8383">
        <v>1161.42</v>
      </c>
    </row>
    <row r="8384" spans="1:12" x14ac:dyDescent="0.25">
      <c r="A8384" t="str">
        <f t="shared" si="1824"/>
        <v>89301000</v>
      </c>
      <c r="B8384" t="str">
        <f t="shared" si="1837"/>
        <v>02004000</v>
      </c>
      <c r="C8384" t="str">
        <f t="shared" si="1838"/>
        <v>02004556</v>
      </c>
      <c r="D8384" t="str">
        <f t="shared" si="1839"/>
        <v>813</v>
      </c>
      <c r="E8384" t="str">
        <f>"89301102"</f>
        <v>89301102</v>
      </c>
      <c r="F8384" t="str">
        <f>"0707116157"</f>
        <v>0707116157</v>
      </c>
      <c r="G8384" s="1">
        <v>44757</v>
      </c>
      <c r="H8384" t="str">
        <f>"91251"</f>
        <v>91251</v>
      </c>
      <c r="I8384">
        <v>1</v>
      </c>
      <c r="J8384">
        <v>1489</v>
      </c>
      <c r="K8384">
        <v>0</v>
      </c>
      <c r="L8384">
        <v>1161.42</v>
      </c>
    </row>
    <row r="8385" spans="1:12" x14ac:dyDescent="0.25">
      <c r="A8385" t="str">
        <f t="shared" si="1824"/>
        <v>89301000</v>
      </c>
      <c r="B8385" t="str">
        <f>"77140000"</f>
        <v>77140000</v>
      </c>
      <c r="C8385" t="str">
        <f>"77140001"</f>
        <v>77140001</v>
      </c>
      <c r="D8385" t="str">
        <f>"809"</f>
        <v>809</v>
      </c>
      <c r="E8385" t="str">
        <f>"89301212"</f>
        <v>89301212</v>
      </c>
      <c r="F8385" t="str">
        <f>"5656022119"</f>
        <v>5656022119</v>
      </c>
      <c r="G8385" s="1">
        <v>44795</v>
      </c>
      <c r="H8385" t="str">
        <f>"89513"</f>
        <v>89513</v>
      </c>
      <c r="I8385">
        <v>1</v>
      </c>
      <c r="J8385">
        <v>371</v>
      </c>
      <c r="K8385">
        <v>0</v>
      </c>
      <c r="L8385">
        <v>519.4</v>
      </c>
    </row>
    <row r="8386" spans="1:12" x14ac:dyDescent="0.25">
      <c r="A8386" t="str">
        <f t="shared" ref="A8386:A8449" si="1840">"89301000"</f>
        <v>89301000</v>
      </c>
      <c r="B8386" t="str">
        <f>"77140000"</f>
        <v>77140000</v>
      </c>
      <c r="C8386" t="str">
        <f>"77140001"</f>
        <v>77140001</v>
      </c>
      <c r="D8386" t="str">
        <f>"809"</f>
        <v>809</v>
      </c>
      <c r="E8386" t="str">
        <f>"89301212"</f>
        <v>89301212</v>
      </c>
      <c r="F8386" t="str">
        <f>"5656022119"</f>
        <v>5656022119</v>
      </c>
      <c r="G8386" s="1">
        <v>44795</v>
      </c>
      <c r="H8386" t="str">
        <f>"89514"</f>
        <v>89514</v>
      </c>
      <c r="I8386">
        <v>1</v>
      </c>
      <c r="J8386">
        <v>371</v>
      </c>
      <c r="K8386">
        <v>0</v>
      </c>
      <c r="L8386">
        <v>519.4</v>
      </c>
    </row>
    <row r="8387" spans="1:12" x14ac:dyDescent="0.25">
      <c r="A8387" t="str">
        <f t="shared" si="1840"/>
        <v>89301000</v>
      </c>
      <c r="B8387" t="str">
        <f t="shared" ref="B8387:B8394" si="1841">"05002000"</f>
        <v>05002000</v>
      </c>
      <c r="C8387" t="str">
        <f>"05002397"</f>
        <v>05002397</v>
      </c>
      <c r="D8387" t="str">
        <f>"818"</f>
        <v>818</v>
      </c>
      <c r="E8387" t="str">
        <f>"89301105"</f>
        <v>89301105</v>
      </c>
      <c r="F8387" t="str">
        <f>"0653313265"</f>
        <v>0653313265</v>
      </c>
      <c r="G8387" s="1">
        <v>44783</v>
      </c>
      <c r="H8387" t="str">
        <f>"94225"</f>
        <v>94225</v>
      </c>
      <c r="I8387">
        <v>1</v>
      </c>
      <c r="J8387">
        <v>1187</v>
      </c>
      <c r="K8387">
        <v>0</v>
      </c>
      <c r="L8387">
        <v>1080.17</v>
      </c>
    </row>
    <row r="8388" spans="1:12" x14ac:dyDescent="0.25">
      <c r="A8388" t="str">
        <f t="shared" si="1840"/>
        <v>89301000</v>
      </c>
      <c r="B8388" t="str">
        <f t="shared" si="1841"/>
        <v>05002000</v>
      </c>
      <c r="C8388" t="str">
        <f>"05002397"</f>
        <v>05002397</v>
      </c>
      <c r="D8388" t="str">
        <f>"818"</f>
        <v>818</v>
      </c>
      <c r="E8388" t="str">
        <f>"89301105"</f>
        <v>89301105</v>
      </c>
      <c r="F8388" t="str">
        <f>"0653313265"</f>
        <v>0653313265</v>
      </c>
      <c r="G8388" s="1">
        <v>44783</v>
      </c>
      <c r="H8388" t="str">
        <f>"94337"</f>
        <v>94337</v>
      </c>
      <c r="I8388">
        <v>4</v>
      </c>
      <c r="J8388">
        <v>35840</v>
      </c>
      <c r="K8388">
        <v>0</v>
      </c>
      <c r="L8388">
        <v>32614.400000000001</v>
      </c>
    </row>
    <row r="8389" spans="1:12" x14ac:dyDescent="0.25">
      <c r="A8389" t="str">
        <f t="shared" si="1840"/>
        <v>89301000</v>
      </c>
      <c r="B8389" t="str">
        <f t="shared" si="1841"/>
        <v>05002000</v>
      </c>
      <c r="C8389" t="str">
        <f>"05002397"</f>
        <v>05002397</v>
      </c>
      <c r="D8389" t="str">
        <f>"818"</f>
        <v>818</v>
      </c>
      <c r="E8389" t="str">
        <f>"89301105"</f>
        <v>89301105</v>
      </c>
      <c r="F8389" t="str">
        <f>"0653313265"</f>
        <v>0653313265</v>
      </c>
      <c r="G8389" s="1">
        <v>44785</v>
      </c>
      <c r="H8389" t="str">
        <f>"94225"</f>
        <v>94225</v>
      </c>
      <c r="I8389">
        <v>1</v>
      </c>
      <c r="J8389">
        <v>1187</v>
      </c>
      <c r="K8389">
        <v>0</v>
      </c>
      <c r="L8389">
        <v>1080.17</v>
      </c>
    </row>
    <row r="8390" spans="1:12" x14ac:dyDescent="0.25">
      <c r="A8390" t="str">
        <f t="shared" si="1840"/>
        <v>89301000</v>
      </c>
      <c r="B8390" t="str">
        <f t="shared" si="1841"/>
        <v>05002000</v>
      </c>
      <c r="C8390" t="str">
        <f>"05002397"</f>
        <v>05002397</v>
      </c>
      <c r="D8390" t="str">
        <f>"818"</f>
        <v>818</v>
      </c>
      <c r="E8390" t="str">
        <f>"89301105"</f>
        <v>89301105</v>
      </c>
      <c r="F8390" t="str">
        <f>"0653313265"</f>
        <v>0653313265</v>
      </c>
      <c r="G8390" s="1">
        <v>44785</v>
      </c>
      <c r="H8390" t="str">
        <f>"94195"</f>
        <v>94195</v>
      </c>
      <c r="I8390">
        <v>1</v>
      </c>
      <c r="J8390">
        <v>378</v>
      </c>
      <c r="K8390">
        <v>0</v>
      </c>
      <c r="L8390">
        <v>343.98</v>
      </c>
    </row>
    <row r="8391" spans="1:12" x14ac:dyDescent="0.25">
      <c r="A8391" t="str">
        <f t="shared" si="1840"/>
        <v>89301000</v>
      </c>
      <c r="B8391" t="str">
        <f t="shared" si="1841"/>
        <v>05002000</v>
      </c>
      <c r="C8391" t="str">
        <f>"05002397"</f>
        <v>05002397</v>
      </c>
      <c r="D8391" t="str">
        <f>"818"</f>
        <v>818</v>
      </c>
      <c r="E8391" t="str">
        <f>"89301105"</f>
        <v>89301105</v>
      </c>
      <c r="F8391" t="str">
        <f>"0653313265"</f>
        <v>0653313265</v>
      </c>
      <c r="G8391" s="1">
        <v>44785</v>
      </c>
      <c r="H8391" t="str">
        <f>"94337"</f>
        <v>94337</v>
      </c>
      <c r="I8391">
        <v>3</v>
      </c>
      <c r="J8391">
        <v>26880</v>
      </c>
      <c r="K8391">
        <v>0</v>
      </c>
      <c r="L8391">
        <v>24460.799999999999</v>
      </c>
    </row>
    <row r="8392" spans="1:12" x14ac:dyDescent="0.25">
      <c r="A8392" t="str">
        <f t="shared" si="1840"/>
        <v>89301000</v>
      </c>
      <c r="B8392" t="str">
        <f t="shared" si="1841"/>
        <v>05002000</v>
      </c>
      <c r="C8392" t="str">
        <f>"05002174"</f>
        <v>05002174</v>
      </c>
      <c r="D8392" t="str">
        <f>"802"</f>
        <v>802</v>
      </c>
      <c r="E8392" t="str">
        <f>"89301172"</f>
        <v>89301172</v>
      </c>
      <c r="F8392" t="str">
        <f>"6961184659"</f>
        <v>6961184659</v>
      </c>
      <c r="G8392" s="1">
        <v>44753</v>
      </c>
      <c r="H8392" t="str">
        <f>"85115"</f>
        <v>85115</v>
      </c>
      <c r="I8392">
        <v>1</v>
      </c>
      <c r="J8392">
        <v>2423</v>
      </c>
      <c r="K8392">
        <v>0</v>
      </c>
      <c r="L8392">
        <v>2204.9299999999998</v>
      </c>
    </row>
    <row r="8393" spans="1:12" x14ac:dyDescent="0.25">
      <c r="A8393" t="str">
        <f t="shared" si="1840"/>
        <v>89301000</v>
      </c>
      <c r="B8393" t="str">
        <f t="shared" si="1841"/>
        <v>05002000</v>
      </c>
      <c r="C8393" t="str">
        <f>"05002174"</f>
        <v>05002174</v>
      </c>
      <c r="D8393" t="str">
        <f>"802"</f>
        <v>802</v>
      </c>
      <c r="E8393" t="str">
        <f>"89301172"</f>
        <v>89301172</v>
      </c>
      <c r="F8393" t="str">
        <f>"9151144849"</f>
        <v>9151144849</v>
      </c>
      <c r="G8393" s="1">
        <v>44767</v>
      </c>
      <c r="H8393" t="str">
        <f>"85115"</f>
        <v>85115</v>
      </c>
      <c r="I8393">
        <v>1</v>
      </c>
      <c r="J8393">
        <v>2423</v>
      </c>
      <c r="K8393">
        <v>0</v>
      </c>
      <c r="L8393">
        <v>2204.9299999999998</v>
      </c>
    </row>
    <row r="8394" spans="1:12" x14ac:dyDescent="0.25">
      <c r="A8394" t="str">
        <f t="shared" si="1840"/>
        <v>89301000</v>
      </c>
      <c r="B8394" t="str">
        <f t="shared" si="1841"/>
        <v>05002000</v>
      </c>
      <c r="C8394" t="str">
        <f>"05002141"</f>
        <v>05002141</v>
      </c>
      <c r="D8394" t="str">
        <f>"816"</f>
        <v>816</v>
      </c>
      <c r="E8394" t="str">
        <f>"89301282"</f>
        <v>89301282</v>
      </c>
      <c r="F8394" t="str">
        <f>"7858095707"</f>
        <v>7858095707</v>
      </c>
      <c r="G8394" s="1">
        <v>44704</v>
      </c>
      <c r="H8394" t="str">
        <f>"94331"</f>
        <v>94331</v>
      </c>
      <c r="I8394">
        <v>1</v>
      </c>
      <c r="J8394">
        <v>7778</v>
      </c>
      <c r="K8394">
        <v>0</v>
      </c>
      <c r="L8394">
        <v>6611.3</v>
      </c>
    </row>
    <row r="8395" spans="1:12" x14ac:dyDescent="0.25">
      <c r="A8395" t="str">
        <f t="shared" si="1840"/>
        <v>89301000</v>
      </c>
      <c r="B8395" t="str">
        <f t="shared" ref="B8395:B8410" si="1842">"44564000"</f>
        <v>44564000</v>
      </c>
      <c r="C8395" t="str">
        <f>"44564004"</f>
        <v>44564004</v>
      </c>
      <c r="D8395" t="str">
        <f>"807"</f>
        <v>807</v>
      </c>
      <c r="E8395" t="str">
        <f t="shared" ref="E8395:E8410" si="1843">"89301212"</f>
        <v>89301212</v>
      </c>
      <c r="F8395" t="str">
        <f>"350805412"</f>
        <v>350805412</v>
      </c>
      <c r="G8395" s="1">
        <v>44614</v>
      </c>
      <c r="H8395" t="str">
        <f>"99795"</f>
        <v>99795</v>
      </c>
      <c r="I8395">
        <v>1</v>
      </c>
      <c r="J8395">
        <v>7556</v>
      </c>
      <c r="K8395">
        <v>0</v>
      </c>
      <c r="L8395">
        <v>5893.68</v>
      </c>
    </row>
    <row r="8396" spans="1:12" x14ac:dyDescent="0.25">
      <c r="A8396" t="str">
        <f t="shared" si="1840"/>
        <v>89301000</v>
      </c>
      <c r="B8396" t="str">
        <f t="shared" si="1842"/>
        <v>44564000</v>
      </c>
      <c r="C8396" t="str">
        <f t="shared" ref="C8396:C8404" si="1844">"44564006"</f>
        <v>44564006</v>
      </c>
      <c r="D8396" t="str">
        <f t="shared" ref="D8396:D8404" si="1845">"816"</f>
        <v>816</v>
      </c>
      <c r="E8396" t="str">
        <f t="shared" si="1843"/>
        <v>89301212</v>
      </c>
      <c r="F8396" t="str">
        <f>"460321413"</f>
        <v>460321413</v>
      </c>
      <c r="G8396" s="1">
        <v>44564</v>
      </c>
      <c r="H8396" t="str">
        <f t="shared" ref="H8396:H8401" si="1846">"94365"</f>
        <v>94365</v>
      </c>
      <c r="I8396">
        <v>1</v>
      </c>
      <c r="J8396">
        <v>36422</v>
      </c>
      <c r="K8396">
        <v>0</v>
      </c>
      <c r="L8396">
        <v>30958.7</v>
      </c>
    </row>
    <row r="8397" spans="1:12" x14ac:dyDescent="0.25">
      <c r="A8397" t="str">
        <f t="shared" si="1840"/>
        <v>89301000</v>
      </c>
      <c r="B8397" t="str">
        <f t="shared" si="1842"/>
        <v>44564000</v>
      </c>
      <c r="C8397" t="str">
        <f t="shared" si="1844"/>
        <v>44564006</v>
      </c>
      <c r="D8397" t="str">
        <f t="shared" si="1845"/>
        <v>816</v>
      </c>
      <c r="E8397" t="str">
        <f t="shared" si="1843"/>
        <v>89301212</v>
      </c>
      <c r="F8397" t="str">
        <f>"5911010611"</f>
        <v>5911010611</v>
      </c>
      <c r="G8397" s="1">
        <v>44580</v>
      </c>
      <c r="H8397" t="str">
        <f t="shared" si="1846"/>
        <v>94365</v>
      </c>
      <c r="I8397">
        <v>1</v>
      </c>
      <c r="J8397">
        <v>36422</v>
      </c>
      <c r="K8397">
        <v>0</v>
      </c>
      <c r="L8397">
        <v>30958.7</v>
      </c>
    </row>
    <row r="8398" spans="1:12" x14ac:dyDescent="0.25">
      <c r="A8398" t="str">
        <f t="shared" si="1840"/>
        <v>89301000</v>
      </c>
      <c r="B8398" t="str">
        <f t="shared" si="1842"/>
        <v>44564000</v>
      </c>
      <c r="C8398" t="str">
        <f t="shared" si="1844"/>
        <v>44564006</v>
      </c>
      <c r="D8398" t="str">
        <f t="shared" si="1845"/>
        <v>816</v>
      </c>
      <c r="E8398" t="str">
        <f t="shared" si="1843"/>
        <v>89301212</v>
      </c>
      <c r="F8398" t="str">
        <f>"5462103163"</f>
        <v>5462103163</v>
      </c>
      <c r="G8398" s="1">
        <v>44594</v>
      </c>
      <c r="H8398" t="str">
        <f t="shared" si="1846"/>
        <v>94365</v>
      </c>
      <c r="I8398">
        <v>1</v>
      </c>
      <c r="J8398">
        <v>36422</v>
      </c>
      <c r="K8398">
        <v>0</v>
      </c>
      <c r="L8398">
        <v>30958.7</v>
      </c>
    </row>
    <row r="8399" spans="1:12" x14ac:dyDescent="0.25">
      <c r="A8399" t="str">
        <f t="shared" si="1840"/>
        <v>89301000</v>
      </c>
      <c r="B8399" t="str">
        <f t="shared" si="1842"/>
        <v>44564000</v>
      </c>
      <c r="C8399" t="str">
        <f t="shared" si="1844"/>
        <v>44564006</v>
      </c>
      <c r="D8399" t="str">
        <f t="shared" si="1845"/>
        <v>816</v>
      </c>
      <c r="E8399" t="str">
        <f t="shared" si="1843"/>
        <v>89301212</v>
      </c>
      <c r="F8399" t="str">
        <f>"5655071389"</f>
        <v>5655071389</v>
      </c>
      <c r="G8399" s="1">
        <v>44615</v>
      </c>
      <c r="H8399" t="str">
        <f t="shared" si="1846"/>
        <v>94365</v>
      </c>
      <c r="I8399">
        <v>1</v>
      </c>
      <c r="J8399">
        <v>36422</v>
      </c>
      <c r="K8399">
        <v>0</v>
      </c>
      <c r="L8399">
        <v>30958.7</v>
      </c>
    </row>
    <row r="8400" spans="1:12" x14ac:dyDescent="0.25">
      <c r="A8400" t="str">
        <f t="shared" si="1840"/>
        <v>89301000</v>
      </c>
      <c r="B8400" t="str">
        <f t="shared" si="1842"/>
        <v>44564000</v>
      </c>
      <c r="C8400" t="str">
        <f t="shared" si="1844"/>
        <v>44564006</v>
      </c>
      <c r="D8400" t="str">
        <f t="shared" si="1845"/>
        <v>816</v>
      </c>
      <c r="E8400" t="str">
        <f t="shared" si="1843"/>
        <v>89301212</v>
      </c>
      <c r="F8400" t="str">
        <f>"6410040769"</f>
        <v>6410040769</v>
      </c>
      <c r="G8400" s="1">
        <v>44640</v>
      </c>
      <c r="H8400" t="str">
        <f t="shared" si="1846"/>
        <v>94365</v>
      </c>
      <c r="I8400">
        <v>1</v>
      </c>
      <c r="J8400">
        <v>36422</v>
      </c>
      <c r="K8400">
        <v>0</v>
      </c>
      <c r="L8400">
        <v>30958.7</v>
      </c>
    </row>
    <row r="8401" spans="1:12" x14ac:dyDescent="0.25">
      <c r="A8401" t="str">
        <f t="shared" si="1840"/>
        <v>89301000</v>
      </c>
      <c r="B8401" t="str">
        <f t="shared" si="1842"/>
        <v>44564000</v>
      </c>
      <c r="C8401" t="str">
        <f t="shared" si="1844"/>
        <v>44564006</v>
      </c>
      <c r="D8401" t="str">
        <f t="shared" si="1845"/>
        <v>816</v>
      </c>
      <c r="E8401" t="str">
        <f t="shared" si="1843"/>
        <v>89301212</v>
      </c>
      <c r="F8401" t="str">
        <f>"6406241006"</f>
        <v>6406241006</v>
      </c>
      <c r="G8401" s="1">
        <v>44640</v>
      </c>
      <c r="H8401" t="str">
        <f t="shared" si="1846"/>
        <v>94365</v>
      </c>
      <c r="I8401">
        <v>1</v>
      </c>
      <c r="J8401">
        <v>36422</v>
      </c>
      <c r="K8401">
        <v>0</v>
      </c>
      <c r="L8401">
        <v>30958.7</v>
      </c>
    </row>
    <row r="8402" spans="1:12" x14ac:dyDescent="0.25">
      <c r="A8402" t="str">
        <f t="shared" si="1840"/>
        <v>89301000</v>
      </c>
      <c r="B8402" t="str">
        <f t="shared" si="1842"/>
        <v>44564000</v>
      </c>
      <c r="C8402" t="str">
        <f t="shared" si="1844"/>
        <v>44564006</v>
      </c>
      <c r="D8402" t="str">
        <f t="shared" si="1845"/>
        <v>816</v>
      </c>
      <c r="E8402" t="str">
        <f t="shared" si="1843"/>
        <v>89301212</v>
      </c>
      <c r="F8402" t="str">
        <f>"6204011957"</f>
        <v>6204011957</v>
      </c>
      <c r="G8402" s="1">
        <v>44691</v>
      </c>
      <c r="H8402" t="str">
        <f>"94223"</f>
        <v>94223</v>
      </c>
      <c r="I8402">
        <v>9</v>
      </c>
      <c r="J8402">
        <v>22077</v>
      </c>
      <c r="K8402">
        <v>0</v>
      </c>
      <c r="L8402">
        <v>18765.45</v>
      </c>
    </row>
    <row r="8403" spans="1:12" x14ac:dyDescent="0.25">
      <c r="A8403" t="str">
        <f t="shared" si="1840"/>
        <v>89301000</v>
      </c>
      <c r="B8403" t="str">
        <f t="shared" si="1842"/>
        <v>44564000</v>
      </c>
      <c r="C8403" t="str">
        <f t="shared" si="1844"/>
        <v>44564006</v>
      </c>
      <c r="D8403" t="str">
        <f t="shared" si="1845"/>
        <v>816</v>
      </c>
      <c r="E8403" t="str">
        <f t="shared" si="1843"/>
        <v>89301212</v>
      </c>
      <c r="F8403" t="str">
        <f>"6204011957"</f>
        <v>6204011957</v>
      </c>
      <c r="G8403" s="1">
        <v>44691</v>
      </c>
      <c r="H8403" t="str">
        <f>"94223"</f>
        <v>94223</v>
      </c>
      <c r="I8403">
        <v>6</v>
      </c>
      <c r="J8403">
        <v>14718</v>
      </c>
      <c r="K8403">
        <v>0</v>
      </c>
      <c r="L8403">
        <v>12510.3</v>
      </c>
    </row>
    <row r="8404" spans="1:12" x14ac:dyDescent="0.25">
      <c r="A8404" t="str">
        <f t="shared" si="1840"/>
        <v>89301000</v>
      </c>
      <c r="B8404" t="str">
        <f t="shared" si="1842"/>
        <v>44564000</v>
      </c>
      <c r="C8404" t="str">
        <f t="shared" si="1844"/>
        <v>44564006</v>
      </c>
      <c r="D8404" t="str">
        <f t="shared" si="1845"/>
        <v>816</v>
      </c>
      <c r="E8404" t="str">
        <f t="shared" si="1843"/>
        <v>89301212</v>
      </c>
      <c r="F8404" t="str">
        <f>"5803102800"</f>
        <v>5803102800</v>
      </c>
      <c r="G8404" s="1">
        <v>44690</v>
      </c>
      <c r="H8404" t="str">
        <f>"94223"</f>
        <v>94223</v>
      </c>
      <c r="I8404">
        <v>3</v>
      </c>
      <c r="J8404">
        <v>7359</v>
      </c>
      <c r="K8404">
        <v>0</v>
      </c>
      <c r="L8404">
        <v>6255.15</v>
      </c>
    </row>
    <row r="8405" spans="1:12" x14ac:dyDescent="0.25">
      <c r="A8405" t="str">
        <f t="shared" si="1840"/>
        <v>89301000</v>
      </c>
      <c r="B8405" t="str">
        <f t="shared" si="1842"/>
        <v>44564000</v>
      </c>
      <c r="C8405" t="str">
        <f>"44564004"</f>
        <v>44564004</v>
      </c>
      <c r="D8405" t="str">
        <f>"807"</f>
        <v>807</v>
      </c>
      <c r="E8405" t="str">
        <f t="shared" si="1843"/>
        <v>89301212</v>
      </c>
      <c r="F8405" t="str">
        <f>"531222301"</f>
        <v>531222301</v>
      </c>
      <c r="G8405" s="1">
        <v>44735</v>
      </c>
      <c r="H8405" t="str">
        <f>"99795"</f>
        <v>99795</v>
      </c>
      <c r="I8405">
        <v>1</v>
      </c>
      <c r="J8405">
        <v>7556</v>
      </c>
      <c r="K8405">
        <v>0</v>
      </c>
      <c r="L8405">
        <v>5893.68</v>
      </c>
    </row>
    <row r="8406" spans="1:12" x14ac:dyDescent="0.25">
      <c r="A8406" t="str">
        <f t="shared" si="1840"/>
        <v>89301000</v>
      </c>
      <c r="B8406" t="str">
        <f t="shared" si="1842"/>
        <v>44564000</v>
      </c>
      <c r="C8406" t="str">
        <f>"44564004"</f>
        <v>44564004</v>
      </c>
      <c r="D8406" t="str">
        <f>"807"</f>
        <v>807</v>
      </c>
      <c r="E8406" t="str">
        <f t="shared" si="1843"/>
        <v>89301212</v>
      </c>
      <c r="F8406" t="str">
        <f>"8156164456"</f>
        <v>8156164456</v>
      </c>
      <c r="G8406" s="1">
        <v>44718</v>
      </c>
      <c r="H8406" t="str">
        <f>"99795"</f>
        <v>99795</v>
      </c>
      <c r="I8406">
        <v>1</v>
      </c>
      <c r="J8406">
        <v>7556</v>
      </c>
      <c r="K8406">
        <v>0</v>
      </c>
      <c r="L8406">
        <v>5893.68</v>
      </c>
    </row>
    <row r="8407" spans="1:12" x14ac:dyDescent="0.25">
      <c r="A8407" t="str">
        <f t="shared" si="1840"/>
        <v>89301000</v>
      </c>
      <c r="B8407" t="str">
        <f t="shared" si="1842"/>
        <v>44564000</v>
      </c>
      <c r="C8407" t="str">
        <f>"44564006"</f>
        <v>44564006</v>
      </c>
      <c r="D8407" t="str">
        <f>"816"</f>
        <v>816</v>
      </c>
      <c r="E8407" t="str">
        <f t="shared" si="1843"/>
        <v>89301212</v>
      </c>
      <c r="F8407" t="str">
        <f>"526005112"</f>
        <v>526005112</v>
      </c>
      <c r="G8407" s="1">
        <v>44658</v>
      </c>
      <c r="H8407" t="str">
        <f>"94365"</f>
        <v>94365</v>
      </c>
      <c r="I8407">
        <v>1</v>
      </c>
      <c r="J8407">
        <v>36422</v>
      </c>
      <c r="K8407">
        <v>0</v>
      </c>
      <c r="L8407">
        <v>30958.7</v>
      </c>
    </row>
    <row r="8408" spans="1:12" x14ac:dyDescent="0.25">
      <c r="A8408" t="str">
        <f t="shared" si="1840"/>
        <v>89301000</v>
      </c>
      <c r="B8408" t="str">
        <f t="shared" si="1842"/>
        <v>44564000</v>
      </c>
      <c r="C8408" t="str">
        <f>"44564006"</f>
        <v>44564006</v>
      </c>
      <c r="D8408" t="str">
        <f>"816"</f>
        <v>816</v>
      </c>
      <c r="E8408" t="str">
        <f t="shared" si="1843"/>
        <v>89301212</v>
      </c>
      <c r="F8408" t="str">
        <f>"6060281524"</f>
        <v>6060281524</v>
      </c>
      <c r="G8408" s="1">
        <v>44658</v>
      </c>
      <c r="H8408" t="str">
        <f>"94365"</f>
        <v>94365</v>
      </c>
      <c r="I8408">
        <v>1</v>
      </c>
      <c r="J8408">
        <v>36422</v>
      </c>
      <c r="K8408">
        <v>0</v>
      </c>
      <c r="L8408">
        <v>30958.7</v>
      </c>
    </row>
    <row r="8409" spans="1:12" x14ac:dyDescent="0.25">
      <c r="A8409" t="str">
        <f t="shared" si="1840"/>
        <v>89301000</v>
      </c>
      <c r="B8409" t="str">
        <f t="shared" si="1842"/>
        <v>44564000</v>
      </c>
      <c r="C8409" t="str">
        <f>"44564006"</f>
        <v>44564006</v>
      </c>
      <c r="D8409" t="str">
        <f>"816"</f>
        <v>816</v>
      </c>
      <c r="E8409" t="str">
        <f t="shared" si="1843"/>
        <v>89301212</v>
      </c>
      <c r="F8409" t="str">
        <f>"490401278"</f>
        <v>490401278</v>
      </c>
      <c r="G8409" s="1">
        <v>44719</v>
      </c>
      <c r="H8409" t="str">
        <f>"94365"</f>
        <v>94365</v>
      </c>
      <c r="I8409">
        <v>1</v>
      </c>
      <c r="J8409">
        <v>36422</v>
      </c>
      <c r="K8409">
        <v>0</v>
      </c>
      <c r="L8409">
        <v>30958.7</v>
      </c>
    </row>
    <row r="8410" spans="1:12" x14ac:dyDescent="0.25">
      <c r="A8410" t="str">
        <f t="shared" si="1840"/>
        <v>89301000</v>
      </c>
      <c r="B8410" t="str">
        <f t="shared" si="1842"/>
        <v>44564000</v>
      </c>
      <c r="C8410" t="str">
        <f>"44564006"</f>
        <v>44564006</v>
      </c>
      <c r="D8410" t="str">
        <f>"816"</f>
        <v>816</v>
      </c>
      <c r="E8410" t="str">
        <f t="shared" si="1843"/>
        <v>89301212</v>
      </c>
      <c r="F8410" t="str">
        <f>"5853132604"</f>
        <v>5853132604</v>
      </c>
      <c r="G8410" s="1">
        <v>44734</v>
      </c>
      <c r="H8410" t="str">
        <f>"94365"</f>
        <v>94365</v>
      </c>
      <c r="I8410">
        <v>1</v>
      </c>
      <c r="J8410">
        <v>36422</v>
      </c>
      <c r="K8410">
        <v>0</v>
      </c>
      <c r="L8410">
        <v>30958.7</v>
      </c>
    </row>
    <row r="8411" spans="1:12" x14ac:dyDescent="0.25">
      <c r="A8411" t="str">
        <f t="shared" si="1840"/>
        <v>89301000</v>
      </c>
      <c r="B8411" t="str">
        <f>"95498000"</f>
        <v>95498000</v>
      </c>
      <c r="C8411" t="str">
        <f>"95498001"</f>
        <v>95498001</v>
      </c>
      <c r="D8411" t="str">
        <f t="shared" ref="D8411:D8442" si="1847">"809"</f>
        <v>809</v>
      </c>
      <c r="E8411" t="str">
        <f>"89301132"</f>
        <v>89301132</v>
      </c>
      <c r="F8411" t="str">
        <f>"7758105795"</f>
        <v>7758105795</v>
      </c>
      <c r="G8411" s="1">
        <v>44833</v>
      </c>
      <c r="H8411" t="str">
        <f>"89115"</f>
        <v>89115</v>
      </c>
      <c r="I8411">
        <v>2</v>
      </c>
      <c r="J8411">
        <v>352</v>
      </c>
      <c r="K8411">
        <v>0</v>
      </c>
      <c r="L8411">
        <v>492.8</v>
      </c>
    </row>
    <row r="8412" spans="1:12" x14ac:dyDescent="0.25">
      <c r="A8412" t="str">
        <f t="shared" si="1840"/>
        <v>89301000</v>
      </c>
      <c r="B8412" t="str">
        <f>"93699000"</f>
        <v>93699000</v>
      </c>
      <c r="C8412" t="str">
        <f>"93699001"</f>
        <v>93699001</v>
      </c>
      <c r="D8412" t="str">
        <f t="shared" si="1847"/>
        <v>809</v>
      </c>
      <c r="E8412" t="str">
        <f>"89301162"</f>
        <v>89301162</v>
      </c>
      <c r="F8412" t="str">
        <f>"445606409"</f>
        <v>445606409</v>
      </c>
      <c r="G8412" s="1">
        <v>44810</v>
      </c>
      <c r="H8412" t="str">
        <f>"89131"</f>
        <v>89131</v>
      </c>
      <c r="I8412">
        <v>2</v>
      </c>
      <c r="J8412">
        <v>374</v>
      </c>
      <c r="K8412">
        <v>0</v>
      </c>
      <c r="L8412">
        <v>523.6</v>
      </c>
    </row>
    <row r="8413" spans="1:12" x14ac:dyDescent="0.25">
      <c r="A8413" t="str">
        <f t="shared" si="1840"/>
        <v>89301000</v>
      </c>
      <c r="B8413" t="str">
        <f t="shared" ref="B8413:B8444" si="1848">"78915000"</f>
        <v>78915000</v>
      </c>
      <c r="C8413" t="str">
        <f t="shared" ref="C8413:C8444" si="1849">"78915001"</f>
        <v>78915001</v>
      </c>
      <c r="D8413" t="str">
        <f t="shared" si="1847"/>
        <v>809</v>
      </c>
      <c r="E8413" t="str">
        <f>"89301606"</f>
        <v>89301606</v>
      </c>
      <c r="F8413" t="str">
        <f>"0307244850"</f>
        <v>0307244850</v>
      </c>
      <c r="G8413" s="1">
        <v>44821</v>
      </c>
      <c r="H8413" t="str">
        <f>"89713"</f>
        <v>89713</v>
      </c>
      <c r="I8413">
        <v>1</v>
      </c>
      <c r="J8413">
        <v>5362</v>
      </c>
      <c r="K8413">
        <v>0</v>
      </c>
      <c r="L8413">
        <v>3217.2</v>
      </c>
    </row>
    <row r="8414" spans="1:12" x14ac:dyDescent="0.25">
      <c r="A8414" t="str">
        <f t="shared" si="1840"/>
        <v>89301000</v>
      </c>
      <c r="B8414" t="str">
        <f t="shared" si="1848"/>
        <v>78915000</v>
      </c>
      <c r="C8414" t="str">
        <f t="shared" si="1849"/>
        <v>78915001</v>
      </c>
      <c r="D8414" t="str">
        <f t="shared" si="1847"/>
        <v>809</v>
      </c>
      <c r="E8414" t="str">
        <f>"89301606"</f>
        <v>89301606</v>
      </c>
      <c r="F8414" t="str">
        <f>"0307244850"</f>
        <v>0307244850</v>
      </c>
      <c r="G8414" s="1">
        <v>44821</v>
      </c>
      <c r="H8414" t="str">
        <f>"89725"</f>
        <v>89725</v>
      </c>
      <c r="I8414">
        <v>1</v>
      </c>
      <c r="J8414">
        <v>2839</v>
      </c>
      <c r="K8414">
        <v>0</v>
      </c>
      <c r="L8414">
        <v>1703.4</v>
      </c>
    </row>
    <row r="8415" spans="1:12" x14ac:dyDescent="0.25">
      <c r="A8415" t="str">
        <f t="shared" si="1840"/>
        <v>89301000</v>
      </c>
      <c r="B8415" t="str">
        <f t="shared" si="1848"/>
        <v>78915000</v>
      </c>
      <c r="C8415" t="str">
        <f t="shared" si="1849"/>
        <v>78915001</v>
      </c>
      <c r="D8415" t="str">
        <f t="shared" si="1847"/>
        <v>809</v>
      </c>
      <c r="E8415" t="str">
        <f>"89301312"</f>
        <v>89301312</v>
      </c>
      <c r="F8415" t="str">
        <f>"0653276085"</f>
        <v>0653276085</v>
      </c>
      <c r="G8415" s="1">
        <v>44827</v>
      </c>
      <c r="H8415" t="str">
        <f>"09569"</f>
        <v>09569</v>
      </c>
      <c r="I8415">
        <v>1</v>
      </c>
      <c r="J8415">
        <v>0</v>
      </c>
      <c r="K8415">
        <v>0</v>
      </c>
      <c r="L8415">
        <v>0</v>
      </c>
    </row>
    <row r="8416" spans="1:12" x14ac:dyDescent="0.25">
      <c r="A8416" t="str">
        <f t="shared" si="1840"/>
        <v>89301000</v>
      </c>
      <c r="B8416" t="str">
        <f t="shared" si="1848"/>
        <v>78915000</v>
      </c>
      <c r="C8416" t="str">
        <f t="shared" si="1849"/>
        <v>78915001</v>
      </c>
      <c r="D8416" t="str">
        <f t="shared" si="1847"/>
        <v>809</v>
      </c>
      <c r="E8416" t="str">
        <f>"89301312"</f>
        <v>89301312</v>
      </c>
      <c r="F8416" t="str">
        <f>"0653276085"</f>
        <v>0653276085</v>
      </c>
      <c r="G8416" s="1">
        <v>44827</v>
      </c>
      <c r="H8416" t="str">
        <f>"89713"</f>
        <v>89713</v>
      </c>
      <c r="I8416">
        <v>1</v>
      </c>
      <c r="J8416">
        <v>5362</v>
      </c>
      <c r="K8416">
        <v>0</v>
      </c>
      <c r="L8416">
        <v>3217.2</v>
      </c>
    </row>
    <row r="8417" spans="1:12" x14ac:dyDescent="0.25">
      <c r="A8417" t="str">
        <f t="shared" si="1840"/>
        <v>89301000</v>
      </c>
      <c r="B8417" t="str">
        <f t="shared" si="1848"/>
        <v>78915000</v>
      </c>
      <c r="C8417" t="str">
        <f t="shared" si="1849"/>
        <v>78915001</v>
      </c>
      <c r="D8417" t="str">
        <f t="shared" si="1847"/>
        <v>809</v>
      </c>
      <c r="E8417" t="str">
        <f>"89301606"</f>
        <v>89301606</v>
      </c>
      <c r="F8417" t="str">
        <f>"450510701"</f>
        <v>450510701</v>
      </c>
      <c r="G8417" s="1">
        <v>44816</v>
      </c>
      <c r="H8417" t="str">
        <f>"89713"</f>
        <v>89713</v>
      </c>
      <c r="I8417">
        <v>1</v>
      </c>
      <c r="J8417">
        <v>5362</v>
      </c>
      <c r="K8417">
        <v>0</v>
      </c>
      <c r="L8417">
        <v>3217.2</v>
      </c>
    </row>
    <row r="8418" spans="1:12" x14ac:dyDescent="0.25">
      <c r="A8418" t="str">
        <f t="shared" si="1840"/>
        <v>89301000</v>
      </c>
      <c r="B8418" t="str">
        <f t="shared" si="1848"/>
        <v>78915000</v>
      </c>
      <c r="C8418" t="str">
        <f t="shared" si="1849"/>
        <v>78915001</v>
      </c>
      <c r="D8418" t="str">
        <f t="shared" si="1847"/>
        <v>809</v>
      </c>
      <c r="E8418" t="str">
        <f>"89301606"</f>
        <v>89301606</v>
      </c>
      <c r="F8418" t="str">
        <f>"450510701"</f>
        <v>450510701</v>
      </c>
      <c r="G8418" s="1">
        <v>44816</v>
      </c>
      <c r="H8418" t="str">
        <f>"89725"</f>
        <v>89725</v>
      </c>
      <c r="I8418">
        <v>1</v>
      </c>
      <c r="J8418">
        <v>2839</v>
      </c>
      <c r="K8418">
        <v>0</v>
      </c>
      <c r="L8418">
        <v>1703.4</v>
      </c>
    </row>
    <row r="8419" spans="1:12" x14ac:dyDescent="0.25">
      <c r="A8419" t="str">
        <f t="shared" si="1840"/>
        <v>89301000</v>
      </c>
      <c r="B8419" t="str">
        <f t="shared" si="1848"/>
        <v>78915000</v>
      </c>
      <c r="C8419" t="str">
        <f t="shared" si="1849"/>
        <v>78915001</v>
      </c>
      <c r="D8419" t="str">
        <f t="shared" si="1847"/>
        <v>809</v>
      </c>
      <c r="E8419" t="str">
        <f>"89301062"</f>
        <v>89301062</v>
      </c>
      <c r="F8419" t="str">
        <f>"491030116"</f>
        <v>491030116</v>
      </c>
      <c r="G8419" s="1">
        <v>44820</v>
      </c>
      <c r="H8419" t="str">
        <f>"89713"</f>
        <v>89713</v>
      </c>
      <c r="I8419">
        <v>1</v>
      </c>
      <c r="J8419">
        <v>5362</v>
      </c>
      <c r="K8419">
        <v>0</v>
      </c>
      <c r="L8419">
        <v>3217.2</v>
      </c>
    </row>
    <row r="8420" spans="1:12" x14ac:dyDescent="0.25">
      <c r="A8420" t="str">
        <f t="shared" si="1840"/>
        <v>89301000</v>
      </c>
      <c r="B8420" t="str">
        <f t="shared" si="1848"/>
        <v>78915000</v>
      </c>
      <c r="C8420" t="str">
        <f t="shared" si="1849"/>
        <v>78915001</v>
      </c>
      <c r="D8420" t="str">
        <f t="shared" si="1847"/>
        <v>809</v>
      </c>
      <c r="E8420" t="str">
        <f>"89301062"</f>
        <v>89301062</v>
      </c>
      <c r="F8420" t="str">
        <f>"491030116"</f>
        <v>491030116</v>
      </c>
      <c r="G8420" s="1">
        <v>44820</v>
      </c>
      <c r="H8420" t="str">
        <f>"89725"</f>
        <v>89725</v>
      </c>
      <c r="I8420">
        <v>1</v>
      </c>
      <c r="J8420">
        <v>2839</v>
      </c>
      <c r="K8420">
        <v>0</v>
      </c>
      <c r="L8420">
        <v>1703.4</v>
      </c>
    </row>
    <row r="8421" spans="1:12" x14ac:dyDescent="0.25">
      <c r="A8421" t="str">
        <f t="shared" si="1840"/>
        <v>89301000</v>
      </c>
      <c r="B8421" t="str">
        <f t="shared" si="1848"/>
        <v>78915000</v>
      </c>
      <c r="C8421" t="str">
        <f t="shared" si="1849"/>
        <v>78915001</v>
      </c>
      <c r="D8421" t="str">
        <f t="shared" si="1847"/>
        <v>809</v>
      </c>
      <c r="E8421" t="str">
        <f>"89301045"</f>
        <v>89301045</v>
      </c>
      <c r="F8421" t="str">
        <f>"505105165"</f>
        <v>505105165</v>
      </c>
      <c r="G8421" s="1">
        <v>44818</v>
      </c>
      <c r="H8421" t="str">
        <f>"89715"</f>
        <v>89715</v>
      </c>
      <c r="I8421">
        <v>1</v>
      </c>
      <c r="J8421">
        <v>5474</v>
      </c>
      <c r="K8421">
        <v>0</v>
      </c>
      <c r="L8421">
        <v>3284.4</v>
      </c>
    </row>
    <row r="8422" spans="1:12" x14ac:dyDescent="0.25">
      <c r="A8422" t="str">
        <f t="shared" si="1840"/>
        <v>89301000</v>
      </c>
      <c r="B8422" t="str">
        <f t="shared" si="1848"/>
        <v>78915000</v>
      </c>
      <c r="C8422" t="str">
        <f t="shared" si="1849"/>
        <v>78915001</v>
      </c>
      <c r="D8422" t="str">
        <f t="shared" si="1847"/>
        <v>809</v>
      </c>
      <c r="E8422" t="str">
        <f>"89301045"</f>
        <v>89301045</v>
      </c>
      <c r="F8422" t="str">
        <f>"505105165"</f>
        <v>505105165</v>
      </c>
      <c r="G8422" s="1">
        <v>44818</v>
      </c>
      <c r="H8422" t="str">
        <f>"89725"</f>
        <v>89725</v>
      </c>
      <c r="I8422">
        <v>1</v>
      </c>
      <c r="J8422">
        <v>2839</v>
      </c>
      <c r="K8422">
        <v>0</v>
      </c>
      <c r="L8422">
        <v>1703.4</v>
      </c>
    </row>
    <row r="8423" spans="1:12" x14ac:dyDescent="0.25">
      <c r="A8423" t="str">
        <f t="shared" si="1840"/>
        <v>89301000</v>
      </c>
      <c r="B8423" t="str">
        <f t="shared" si="1848"/>
        <v>78915000</v>
      </c>
      <c r="C8423" t="str">
        <f t="shared" si="1849"/>
        <v>78915001</v>
      </c>
      <c r="D8423" t="str">
        <f t="shared" si="1847"/>
        <v>809</v>
      </c>
      <c r="E8423" t="str">
        <f>"89301045"</f>
        <v>89301045</v>
      </c>
      <c r="F8423" t="str">
        <f>"505105165"</f>
        <v>505105165</v>
      </c>
      <c r="G8423" s="1">
        <v>44818</v>
      </c>
      <c r="H8423" t="str">
        <f>"0207733"</f>
        <v>0207733</v>
      </c>
      <c r="I8423">
        <v>1</v>
      </c>
      <c r="K8423">
        <v>2590.5300000000002</v>
      </c>
      <c r="L8423">
        <v>2590.5300000000002</v>
      </c>
    </row>
    <row r="8424" spans="1:12" x14ac:dyDescent="0.25">
      <c r="A8424" t="str">
        <f t="shared" si="1840"/>
        <v>89301000</v>
      </c>
      <c r="B8424" t="str">
        <f t="shared" si="1848"/>
        <v>78915000</v>
      </c>
      <c r="C8424" t="str">
        <f t="shared" si="1849"/>
        <v>78915001</v>
      </c>
      <c r="D8424" t="str">
        <f t="shared" si="1847"/>
        <v>809</v>
      </c>
      <c r="E8424" t="str">
        <f>"89301062"</f>
        <v>89301062</v>
      </c>
      <c r="F8424" t="str">
        <f>"5612040962"</f>
        <v>5612040962</v>
      </c>
      <c r="G8424" s="1">
        <v>44819</v>
      </c>
      <c r="H8424" t="str">
        <f>"89713"</f>
        <v>89713</v>
      </c>
      <c r="I8424">
        <v>1</v>
      </c>
      <c r="J8424">
        <v>5362</v>
      </c>
      <c r="K8424">
        <v>0</v>
      </c>
      <c r="L8424">
        <v>3217.2</v>
      </c>
    </row>
    <row r="8425" spans="1:12" x14ac:dyDescent="0.25">
      <c r="A8425" t="str">
        <f t="shared" si="1840"/>
        <v>89301000</v>
      </c>
      <c r="B8425" t="str">
        <f t="shared" si="1848"/>
        <v>78915000</v>
      </c>
      <c r="C8425" t="str">
        <f t="shared" si="1849"/>
        <v>78915001</v>
      </c>
      <c r="D8425" t="str">
        <f t="shared" si="1847"/>
        <v>809</v>
      </c>
      <c r="E8425" t="str">
        <f>"89301062"</f>
        <v>89301062</v>
      </c>
      <c r="F8425" t="str">
        <f>"5612040962"</f>
        <v>5612040962</v>
      </c>
      <c r="G8425" s="1">
        <v>44819</v>
      </c>
      <c r="H8425" t="str">
        <f>"89725"</f>
        <v>89725</v>
      </c>
      <c r="I8425">
        <v>1</v>
      </c>
      <c r="J8425">
        <v>2839</v>
      </c>
      <c r="K8425">
        <v>0</v>
      </c>
      <c r="L8425">
        <v>1703.4</v>
      </c>
    </row>
    <row r="8426" spans="1:12" x14ac:dyDescent="0.25">
      <c r="A8426" t="str">
        <f t="shared" si="1840"/>
        <v>89301000</v>
      </c>
      <c r="B8426" t="str">
        <f t="shared" si="1848"/>
        <v>78915000</v>
      </c>
      <c r="C8426" t="str">
        <f t="shared" si="1849"/>
        <v>78915001</v>
      </c>
      <c r="D8426" t="str">
        <f t="shared" si="1847"/>
        <v>809</v>
      </c>
      <c r="E8426" t="str">
        <f>"89301112"</f>
        <v>89301112</v>
      </c>
      <c r="F8426" t="str">
        <f>"5803240784"</f>
        <v>5803240784</v>
      </c>
      <c r="G8426" s="1">
        <v>44831</v>
      </c>
      <c r="H8426" t="str">
        <f>"09569"</f>
        <v>09569</v>
      </c>
      <c r="I8426">
        <v>1</v>
      </c>
      <c r="J8426">
        <v>0</v>
      </c>
      <c r="K8426">
        <v>0</v>
      </c>
      <c r="L8426">
        <v>0</v>
      </c>
    </row>
    <row r="8427" spans="1:12" x14ac:dyDescent="0.25">
      <c r="A8427" t="str">
        <f t="shared" si="1840"/>
        <v>89301000</v>
      </c>
      <c r="B8427" t="str">
        <f t="shared" si="1848"/>
        <v>78915000</v>
      </c>
      <c r="C8427" t="str">
        <f t="shared" si="1849"/>
        <v>78915001</v>
      </c>
      <c r="D8427" t="str">
        <f t="shared" si="1847"/>
        <v>809</v>
      </c>
      <c r="E8427" t="str">
        <f>"89301112"</f>
        <v>89301112</v>
      </c>
      <c r="F8427" t="str">
        <f>"5803240784"</f>
        <v>5803240784</v>
      </c>
      <c r="G8427" s="1">
        <v>44831</v>
      </c>
      <c r="H8427" t="str">
        <f>"89713"</f>
        <v>89713</v>
      </c>
      <c r="I8427">
        <v>1</v>
      </c>
      <c r="J8427">
        <v>5362</v>
      </c>
      <c r="K8427">
        <v>0</v>
      </c>
      <c r="L8427">
        <v>3217.2</v>
      </c>
    </row>
    <row r="8428" spans="1:12" x14ac:dyDescent="0.25">
      <c r="A8428" t="str">
        <f t="shared" si="1840"/>
        <v>89301000</v>
      </c>
      <c r="B8428" t="str">
        <f t="shared" si="1848"/>
        <v>78915000</v>
      </c>
      <c r="C8428" t="str">
        <f t="shared" si="1849"/>
        <v>78915001</v>
      </c>
      <c r="D8428" t="str">
        <f t="shared" si="1847"/>
        <v>809</v>
      </c>
      <c r="E8428" t="str">
        <f t="shared" ref="E8428:E8433" si="1850">"89301062"</f>
        <v>89301062</v>
      </c>
      <c r="F8428" t="str">
        <f>"6201201644"</f>
        <v>6201201644</v>
      </c>
      <c r="G8428" s="1">
        <v>44809</v>
      </c>
      <c r="H8428" t="str">
        <f>"89713"</f>
        <v>89713</v>
      </c>
      <c r="I8428">
        <v>1</v>
      </c>
      <c r="J8428">
        <v>5362</v>
      </c>
      <c r="K8428">
        <v>0</v>
      </c>
      <c r="L8428">
        <v>3217.2</v>
      </c>
    </row>
    <row r="8429" spans="1:12" x14ac:dyDescent="0.25">
      <c r="A8429" t="str">
        <f t="shared" si="1840"/>
        <v>89301000</v>
      </c>
      <c r="B8429" t="str">
        <f t="shared" si="1848"/>
        <v>78915000</v>
      </c>
      <c r="C8429" t="str">
        <f t="shared" si="1849"/>
        <v>78915001</v>
      </c>
      <c r="D8429" t="str">
        <f t="shared" si="1847"/>
        <v>809</v>
      </c>
      <c r="E8429" t="str">
        <f t="shared" si="1850"/>
        <v>89301062</v>
      </c>
      <c r="F8429" t="str">
        <f>"6201201644"</f>
        <v>6201201644</v>
      </c>
      <c r="G8429" s="1">
        <v>44809</v>
      </c>
      <c r="H8429" t="str">
        <f>"89725"</f>
        <v>89725</v>
      </c>
      <c r="I8429">
        <v>1</v>
      </c>
      <c r="J8429">
        <v>2839</v>
      </c>
      <c r="K8429">
        <v>0</v>
      </c>
      <c r="L8429">
        <v>1703.4</v>
      </c>
    </row>
    <row r="8430" spans="1:12" x14ac:dyDescent="0.25">
      <c r="A8430" t="str">
        <f t="shared" si="1840"/>
        <v>89301000</v>
      </c>
      <c r="B8430" t="str">
        <f t="shared" si="1848"/>
        <v>78915000</v>
      </c>
      <c r="C8430" t="str">
        <f t="shared" si="1849"/>
        <v>78915001</v>
      </c>
      <c r="D8430" t="str">
        <f t="shared" si="1847"/>
        <v>809</v>
      </c>
      <c r="E8430" t="str">
        <f t="shared" si="1850"/>
        <v>89301062</v>
      </c>
      <c r="F8430" t="str">
        <f>"6310310600"</f>
        <v>6310310600</v>
      </c>
      <c r="G8430" s="1">
        <v>44819</v>
      </c>
      <c r="H8430" t="str">
        <f>"89713"</f>
        <v>89713</v>
      </c>
      <c r="I8430">
        <v>2</v>
      </c>
      <c r="J8430">
        <v>10724</v>
      </c>
      <c r="K8430">
        <v>0</v>
      </c>
      <c r="L8430">
        <v>6434.4</v>
      </c>
    </row>
    <row r="8431" spans="1:12" x14ac:dyDescent="0.25">
      <c r="A8431" t="str">
        <f t="shared" si="1840"/>
        <v>89301000</v>
      </c>
      <c r="B8431" t="str">
        <f t="shared" si="1848"/>
        <v>78915000</v>
      </c>
      <c r="C8431" t="str">
        <f t="shared" si="1849"/>
        <v>78915001</v>
      </c>
      <c r="D8431" t="str">
        <f t="shared" si="1847"/>
        <v>809</v>
      </c>
      <c r="E8431" t="str">
        <f t="shared" si="1850"/>
        <v>89301062</v>
      </c>
      <c r="F8431" t="str">
        <f>"6310310600"</f>
        <v>6310310600</v>
      </c>
      <c r="G8431" s="1">
        <v>44819</v>
      </c>
      <c r="H8431" t="str">
        <f>"89725"</f>
        <v>89725</v>
      </c>
      <c r="I8431">
        <v>1</v>
      </c>
      <c r="J8431">
        <v>2839</v>
      </c>
      <c r="K8431">
        <v>0</v>
      </c>
      <c r="L8431">
        <v>1703.4</v>
      </c>
    </row>
    <row r="8432" spans="1:12" x14ac:dyDescent="0.25">
      <c r="A8432" t="str">
        <f t="shared" si="1840"/>
        <v>89301000</v>
      </c>
      <c r="B8432" t="str">
        <f t="shared" si="1848"/>
        <v>78915000</v>
      </c>
      <c r="C8432" t="str">
        <f t="shared" si="1849"/>
        <v>78915001</v>
      </c>
      <c r="D8432" t="str">
        <f t="shared" si="1847"/>
        <v>809</v>
      </c>
      <c r="E8432" t="str">
        <f t="shared" si="1850"/>
        <v>89301062</v>
      </c>
      <c r="F8432" t="str">
        <f>"6651301283"</f>
        <v>6651301283</v>
      </c>
      <c r="G8432" s="1">
        <v>44820</v>
      </c>
      <c r="H8432" t="str">
        <f>"89713"</f>
        <v>89713</v>
      </c>
      <c r="I8432">
        <v>1</v>
      </c>
      <c r="J8432">
        <v>5362</v>
      </c>
      <c r="K8432">
        <v>0</v>
      </c>
      <c r="L8432">
        <v>3217.2</v>
      </c>
    </row>
    <row r="8433" spans="1:12" x14ac:dyDescent="0.25">
      <c r="A8433" t="str">
        <f t="shared" si="1840"/>
        <v>89301000</v>
      </c>
      <c r="B8433" t="str">
        <f t="shared" si="1848"/>
        <v>78915000</v>
      </c>
      <c r="C8433" t="str">
        <f t="shared" si="1849"/>
        <v>78915001</v>
      </c>
      <c r="D8433" t="str">
        <f t="shared" si="1847"/>
        <v>809</v>
      </c>
      <c r="E8433" t="str">
        <f t="shared" si="1850"/>
        <v>89301062</v>
      </c>
      <c r="F8433" t="str">
        <f>"6651301283"</f>
        <v>6651301283</v>
      </c>
      <c r="G8433" s="1">
        <v>44820</v>
      </c>
      <c r="H8433" t="str">
        <f>"89725"</f>
        <v>89725</v>
      </c>
      <c r="I8433">
        <v>1</v>
      </c>
      <c r="J8433">
        <v>2839</v>
      </c>
      <c r="K8433">
        <v>0</v>
      </c>
      <c r="L8433">
        <v>1703.4</v>
      </c>
    </row>
    <row r="8434" spans="1:12" x14ac:dyDescent="0.25">
      <c r="A8434" t="str">
        <f t="shared" si="1840"/>
        <v>89301000</v>
      </c>
      <c r="B8434" t="str">
        <f t="shared" si="1848"/>
        <v>78915000</v>
      </c>
      <c r="C8434" t="str">
        <f t="shared" si="1849"/>
        <v>78915001</v>
      </c>
      <c r="D8434" t="str">
        <f t="shared" si="1847"/>
        <v>809</v>
      </c>
      <c r="E8434" t="str">
        <f>"89301112"</f>
        <v>89301112</v>
      </c>
      <c r="F8434" t="str">
        <f>"6951314117"</f>
        <v>6951314117</v>
      </c>
      <c r="G8434" s="1">
        <v>44826</v>
      </c>
      <c r="H8434" t="str">
        <f>"09567"</f>
        <v>09567</v>
      </c>
      <c r="I8434">
        <v>1</v>
      </c>
      <c r="J8434">
        <v>0</v>
      </c>
      <c r="K8434">
        <v>0</v>
      </c>
      <c r="L8434">
        <v>0</v>
      </c>
    </row>
    <row r="8435" spans="1:12" x14ac:dyDescent="0.25">
      <c r="A8435" t="str">
        <f t="shared" si="1840"/>
        <v>89301000</v>
      </c>
      <c r="B8435" t="str">
        <f t="shared" si="1848"/>
        <v>78915000</v>
      </c>
      <c r="C8435" t="str">
        <f t="shared" si="1849"/>
        <v>78915001</v>
      </c>
      <c r="D8435" t="str">
        <f t="shared" si="1847"/>
        <v>809</v>
      </c>
      <c r="E8435" t="str">
        <f>"89301112"</f>
        <v>89301112</v>
      </c>
      <c r="F8435" t="str">
        <f>"6951314117"</f>
        <v>6951314117</v>
      </c>
      <c r="G8435" s="1">
        <v>44826</v>
      </c>
      <c r="H8435" t="str">
        <f>"89713"</f>
        <v>89713</v>
      </c>
      <c r="I8435">
        <v>1</v>
      </c>
      <c r="J8435">
        <v>5362</v>
      </c>
      <c r="K8435">
        <v>0</v>
      </c>
      <c r="L8435">
        <v>3217.2</v>
      </c>
    </row>
    <row r="8436" spans="1:12" x14ac:dyDescent="0.25">
      <c r="A8436" t="str">
        <f t="shared" si="1840"/>
        <v>89301000</v>
      </c>
      <c r="B8436" t="str">
        <f t="shared" si="1848"/>
        <v>78915000</v>
      </c>
      <c r="C8436" t="str">
        <f t="shared" si="1849"/>
        <v>78915001</v>
      </c>
      <c r="D8436" t="str">
        <f t="shared" si="1847"/>
        <v>809</v>
      </c>
      <c r="E8436" t="str">
        <f>"89301062"</f>
        <v>89301062</v>
      </c>
      <c r="F8436" t="str">
        <f>"6957125307"</f>
        <v>6957125307</v>
      </c>
      <c r="G8436" s="1">
        <v>44816</v>
      </c>
      <c r="H8436" t="str">
        <f>"89713"</f>
        <v>89713</v>
      </c>
      <c r="I8436">
        <v>1</v>
      </c>
      <c r="J8436">
        <v>5362</v>
      </c>
      <c r="K8436">
        <v>0</v>
      </c>
      <c r="L8436">
        <v>3217.2</v>
      </c>
    </row>
    <row r="8437" spans="1:12" x14ac:dyDescent="0.25">
      <c r="A8437" t="str">
        <f t="shared" si="1840"/>
        <v>89301000</v>
      </c>
      <c r="B8437" t="str">
        <f t="shared" si="1848"/>
        <v>78915000</v>
      </c>
      <c r="C8437" t="str">
        <f t="shared" si="1849"/>
        <v>78915001</v>
      </c>
      <c r="D8437" t="str">
        <f t="shared" si="1847"/>
        <v>809</v>
      </c>
      <c r="E8437" t="str">
        <f>"89301062"</f>
        <v>89301062</v>
      </c>
      <c r="F8437" t="str">
        <f>"6957125307"</f>
        <v>6957125307</v>
      </c>
      <c r="G8437" s="1">
        <v>44816</v>
      </c>
      <c r="H8437" t="str">
        <f>"89725"</f>
        <v>89725</v>
      </c>
      <c r="I8437">
        <v>1</v>
      </c>
      <c r="J8437">
        <v>2839</v>
      </c>
      <c r="K8437">
        <v>0</v>
      </c>
      <c r="L8437">
        <v>1703.4</v>
      </c>
    </row>
    <row r="8438" spans="1:12" x14ac:dyDescent="0.25">
      <c r="A8438" t="str">
        <f t="shared" si="1840"/>
        <v>89301000</v>
      </c>
      <c r="B8438" t="str">
        <f t="shared" si="1848"/>
        <v>78915000</v>
      </c>
      <c r="C8438" t="str">
        <f t="shared" si="1849"/>
        <v>78915001</v>
      </c>
      <c r="D8438" t="str">
        <f t="shared" si="1847"/>
        <v>809</v>
      </c>
      <c r="E8438" t="str">
        <f>"89301112"</f>
        <v>89301112</v>
      </c>
      <c r="F8438" t="str">
        <f>"7003215318"</f>
        <v>7003215318</v>
      </c>
      <c r="G8438" s="1">
        <v>44827</v>
      </c>
      <c r="H8438" t="str">
        <f>"09567"</f>
        <v>09567</v>
      </c>
      <c r="I8438">
        <v>1</v>
      </c>
      <c r="J8438">
        <v>0</v>
      </c>
      <c r="K8438">
        <v>0</v>
      </c>
      <c r="L8438">
        <v>0</v>
      </c>
    </row>
    <row r="8439" spans="1:12" x14ac:dyDescent="0.25">
      <c r="A8439" t="str">
        <f t="shared" si="1840"/>
        <v>89301000</v>
      </c>
      <c r="B8439" t="str">
        <f t="shared" si="1848"/>
        <v>78915000</v>
      </c>
      <c r="C8439" t="str">
        <f t="shared" si="1849"/>
        <v>78915001</v>
      </c>
      <c r="D8439" t="str">
        <f t="shared" si="1847"/>
        <v>809</v>
      </c>
      <c r="E8439" t="str">
        <f>"89301112"</f>
        <v>89301112</v>
      </c>
      <c r="F8439" t="str">
        <f>"7003215318"</f>
        <v>7003215318</v>
      </c>
      <c r="G8439" s="1">
        <v>44827</v>
      </c>
      <c r="H8439" t="str">
        <f>"89713"</f>
        <v>89713</v>
      </c>
      <c r="I8439">
        <v>1</v>
      </c>
      <c r="J8439">
        <v>5362</v>
      </c>
      <c r="K8439">
        <v>0</v>
      </c>
      <c r="L8439">
        <v>3217.2</v>
      </c>
    </row>
    <row r="8440" spans="1:12" x14ac:dyDescent="0.25">
      <c r="A8440" t="str">
        <f t="shared" si="1840"/>
        <v>89301000</v>
      </c>
      <c r="B8440" t="str">
        <f t="shared" si="1848"/>
        <v>78915000</v>
      </c>
      <c r="C8440" t="str">
        <f t="shared" si="1849"/>
        <v>78915001</v>
      </c>
      <c r="D8440" t="str">
        <f t="shared" si="1847"/>
        <v>809</v>
      </c>
      <c r="E8440" t="str">
        <f>"89301062"</f>
        <v>89301062</v>
      </c>
      <c r="F8440" t="str">
        <f>"7203205339"</f>
        <v>7203205339</v>
      </c>
      <c r="G8440" s="1">
        <v>44817</v>
      </c>
      <c r="H8440" t="str">
        <f>"89713"</f>
        <v>89713</v>
      </c>
      <c r="I8440">
        <v>1</v>
      </c>
      <c r="J8440">
        <v>5362</v>
      </c>
      <c r="K8440">
        <v>0</v>
      </c>
      <c r="L8440">
        <v>3217.2</v>
      </c>
    </row>
    <row r="8441" spans="1:12" x14ac:dyDescent="0.25">
      <c r="A8441" t="str">
        <f t="shared" si="1840"/>
        <v>89301000</v>
      </c>
      <c r="B8441" t="str">
        <f t="shared" si="1848"/>
        <v>78915000</v>
      </c>
      <c r="C8441" t="str">
        <f t="shared" si="1849"/>
        <v>78915001</v>
      </c>
      <c r="D8441" t="str">
        <f t="shared" si="1847"/>
        <v>809</v>
      </c>
      <c r="E8441" t="str">
        <f>"89301062"</f>
        <v>89301062</v>
      </c>
      <c r="F8441" t="str">
        <f>"7203205339"</f>
        <v>7203205339</v>
      </c>
      <c r="G8441" s="1">
        <v>44817</v>
      </c>
      <c r="H8441" t="str">
        <f>"89725"</f>
        <v>89725</v>
      </c>
      <c r="I8441">
        <v>1</v>
      </c>
      <c r="J8441">
        <v>2839</v>
      </c>
      <c r="K8441">
        <v>0</v>
      </c>
      <c r="L8441">
        <v>1703.4</v>
      </c>
    </row>
    <row r="8442" spans="1:12" x14ac:dyDescent="0.25">
      <c r="A8442" t="str">
        <f t="shared" si="1840"/>
        <v>89301000</v>
      </c>
      <c r="B8442" t="str">
        <f t="shared" si="1848"/>
        <v>78915000</v>
      </c>
      <c r="C8442" t="str">
        <f t="shared" si="1849"/>
        <v>78915001</v>
      </c>
      <c r="D8442" t="str">
        <f t="shared" si="1847"/>
        <v>809</v>
      </c>
      <c r="E8442" t="str">
        <f>"89301606"</f>
        <v>89301606</v>
      </c>
      <c r="F8442" t="str">
        <f>"7360115367"</f>
        <v>7360115367</v>
      </c>
      <c r="G8442" s="1">
        <v>44812</v>
      </c>
      <c r="H8442" t="str">
        <f>"89713"</f>
        <v>89713</v>
      </c>
      <c r="I8442">
        <v>1</v>
      </c>
      <c r="J8442">
        <v>5362</v>
      </c>
      <c r="K8442">
        <v>0</v>
      </c>
      <c r="L8442">
        <v>3217.2</v>
      </c>
    </row>
    <row r="8443" spans="1:12" x14ac:dyDescent="0.25">
      <c r="A8443" t="str">
        <f t="shared" si="1840"/>
        <v>89301000</v>
      </c>
      <c r="B8443" t="str">
        <f t="shared" si="1848"/>
        <v>78915000</v>
      </c>
      <c r="C8443" t="str">
        <f t="shared" si="1849"/>
        <v>78915001</v>
      </c>
      <c r="D8443" t="str">
        <f t="shared" ref="D8443:D8474" si="1851">"809"</f>
        <v>809</v>
      </c>
      <c r="E8443" t="str">
        <f>"89301606"</f>
        <v>89301606</v>
      </c>
      <c r="F8443" t="str">
        <f>"7360115367"</f>
        <v>7360115367</v>
      </c>
      <c r="G8443" s="1">
        <v>44812</v>
      </c>
      <c r="H8443" t="str">
        <f>"89723"</f>
        <v>89723</v>
      </c>
      <c r="I8443">
        <v>1</v>
      </c>
      <c r="J8443">
        <v>5880</v>
      </c>
      <c r="K8443">
        <v>0</v>
      </c>
      <c r="L8443">
        <v>3528</v>
      </c>
    </row>
    <row r="8444" spans="1:12" x14ac:dyDescent="0.25">
      <c r="A8444" t="str">
        <f t="shared" si="1840"/>
        <v>89301000</v>
      </c>
      <c r="B8444" t="str">
        <f t="shared" si="1848"/>
        <v>78915000</v>
      </c>
      <c r="C8444" t="str">
        <f t="shared" si="1849"/>
        <v>78915001</v>
      </c>
      <c r="D8444" t="str">
        <f t="shared" si="1851"/>
        <v>809</v>
      </c>
      <c r="E8444" t="str">
        <f>"89301606"</f>
        <v>89301606</v>
      </c>
      <c r="F8444" t="str">
        <f>"7360115367"</f>
        <v>7360115367</v>
      </c>
      <c r="G8444" s="1">
        <v>44812</v>
      </c>
      <c r="H8444" t="str">
        <f>"89725"</f>
        <v>89725</v>
      </c>
      <c r="I8444">
        <v>1</v>
      </c>
      <c r="J8444">
        <v>2839</v>
      </c>
      <c r="K8444">
        <v>0</v>
      </c>
      <c r="L8444">
        <v>1703.4</v>
      </c>
    </row>
    <row r="8445" spans="1:12" x14ac:dyDescent="0.25">
      <c r="A8445" t="str">
        <f t="shared" si="1840"/>
        <v>89301000</v>
      </c>
      <c r="B8445" t="str">
        <f t="shared" ref="B8445:B8472" si="1852">"78915000"</f>
        <v>78915000</v>
      </c>
      <c r="C8445" t="str">
        <f t="shared" ref="C8445:C8472" si="1853">"78915001"</f>
        <v>78915001</v>
      </c>
      <c r="D8445" t="str">
        <f t="shared" si="1851"/>
        <v>809</v>
      </c>
      <c r="E8445" t="str">
        <f>"89301062"</f>
        <v>89301062</v>
      </c>
      <c r="F8445" t="str">
        <f>"7602017984"</f>
        <v>7602017984</v>
      </c>
      <c r="G8445" s="1">
        <v>44810</v>
      </c>
      <c r="H8445" t="str">
        <f>"89713"</f>
        <v>89713</v>
      </c>
      <c r="I8445">
        <v>1</v>
      </c>
      <c r="J8445">
        <v>5362</v>
      </c>
      <c r="K8445">
        <v>0</v>
      </c>
      <c r="L8445">
        <v>3217.2</v>
      </c>
    </row>
    <row r="8446" spans="1:12" x14ac:dyDescent="0.25">
      <c r="A8446" t="str">
        <f t="shared" si="1840"/>
        <v>89301000</v>
      </c>
      <c r="B8446" t="str">
        <f t="shared" si="1852"/>
        <v>78915000</v>
      </c>
      <c r="C8446" t="str">
        <f t="shared" si="1853"/>
        <v>78915001</v>
      </c>
      <c r="D8446" t="str">
        <f t="shared" si="1851"/>
        <v>809</v>
      </c>
      <c r="E8446" t="str">
        <f>"89301062"</f>
        <v>89301062</v>
      </c>
      <c r="F8446" t="str">
        <f>"7602017984"</f>
        <v>7602017984</v>
      </c>
      <c r="G8446" s="1">
        <v>44810</v>
      </c>
      <c r="H8446" t="str">
        <f>"89725"</f>
        <v>89725</v>
      </c>
      <c r="I8446">
        <v>1</v>
      </c>
      <c r="J8446">
        <v>2839</v>
      </c>
      <c r="K8446">
        <v>0</v>
      </c>
      <c r="L8446">
        <v>1703.4</v>
      </c>
    </row>
    <row r="8447" spans="1:12" x14ac:dyDescent="0.25">
      <c r="A8447" t="str">
        <f t="shared" si="1840"/>
        <v>89301000</v>
      </c>
      <c r="B8447" t="str">
        <f t="shared" si="1852"/>
        <v>78915000</v>
      </c>
      <c r="C8447" t="str">
        <f t="shared" si="1853"/>
        <v>78915001</v>
      </c>
      <c r="D8447" t="str">
        <f t="shared" si="1851"/>
        <v>809</v>
      </c>
      <c r="E8447" t="str">
        <f>"89301606"</f>
        <v>89301606</v>
      </c>
      <c r="F8447" t="str">
        <f>"7606135306"</f>
        <v>7606135306</v>
      </c>
      <c r="G8447" s="1">
        <v>44817</v>
      </c>
      <c r="H8447" t="str">
        <f>"89713"</f>
        <v>89713</v>
      </c>
      <c r="I8447">
        <v>1</v>
      </c>
      <c r="J8447">
        <v>5362</v>
      </c>
      <c r="K8447">
        <v>0</v>
      </c>
      <c r="L8447">
        <v>3217.2</v>
      </c>
    </row>
    <row r="8448" spans="1:12" x14ac:dyDescent="0.25">
      <c r="A8448" t="str">
        <f t="shared" si="1840"/>
        <v>89301000</v>
      </c>
      <c r="B8448" t="str">
        <f t="shared" si="1852"/>
        <v>78915000</v>
      </c>
      <c r="C8448" t="str">
        <f t="shared" si="1853"/>
        <v>78915001</v>
      </c>
      <c r="D8448" t="str">
        <f t="shared" si="1851"/>
        <v>809</v>
      </c>
      <c r="E8448" t="str">
        <f>"89301606"</f>
        <v>89301606</v>
      </c>
      <c r="F8448" t="str">
        <f>"7606135306"</f>
        <v>7606135306</v>
      </c>
      <c r="G8448" s="1">
        <v>44817</v>
      </c>
      <c r="H8448" t="str">
        <f>"89725"</f>
        <v>89725</v>
      </c>
      <c r="I8448">
        <v>1</v>
      </c>
      <c r="J8448">
        <v>2839</v>
      </c>
      <c r="K8448">
        <v>0</v>
      </c>
      <c r="L8448">
        <v>1703.4</v>
      </c>
    </row>
    <row r="8449" spans="1:12" x14ac:dyDescent="0.25">
      <c r="A8449" t="str">
        <f t="shared" si="1840"/>
        <v>89301000</v>
      </c>
      <c r="B8449" t="str">
        <f t="shared" si="1852"/>
        <v>78915000</v>
      </c>
      <c r="C8449" t="str">
        <f t="shared" si="1853"/>
        <v>78915001</v>
      </c>
      <c r="D8449" t="str">
        <f t="shared" si="1851"/>
        <v>809</v>
      </c>
      <c r="E8449" t="str">
        <f>"89301112"</f>
        <v>89301112</v>
      </c>
      <c r="F8449" t="str">
        <f>"7704245406"</f>
        <v>7704245406</v>
      </c>
      <c r="G8449" s="1">
        <v>44820</v>
      </c>
      <c r="H8449" t="str">
        <f>"09567"</f>
        <v>09567</v>
      </c>
      <c r="I8449">
        <v>1</v>
      </c>
      <c r="J8449">
        <v>0</v>
      </c>
      <c r="K8449">
        <v>0</v>
      </c>
      <c r="L8449">
        <v>0</v>
      </c>
    </row>
    <row r="8450" spans="1:12" x14ac:dyDescent="0.25">
      <c r="A8450" t="str">
        <f t="shared" ref="A8450:A8513" si="1854">"89301000"</f>
        <v>89301000</v>
      </c>
      <c r="B8450" t="str">
        <f t="shared" si="1852"/>
        <v>78915000</v>
      </c>
      <c r="C8450" t="str">
        <f t="shared" si="1853"/>
        <v>78915001</v>
      </c>
      <c r="D8450" t="str">
        <f t="shared" si="1851"/>
        <v>809</v>
      </c>
      <c r="E8450" t="str">
        <f>"89301112"</f>
        <v>89301112</v>
      </c>
      <c r="F8450" t="str">
        <f>"7704245406"</f>
        <v>7704245406</v>
      </c>
      <c r="G8450" s="1">
        <v>44820</v>
      </c>
      <c r="H8450" t="str">
        <f>"89713"</f>
        <v>89713</v>
      </c>
      <c r="I8450">
        <v>1</v>
      </c>
      <c r="J8450">
        <v>5362</v>
      </c>
      <c r="K8450">
        <v>0</v>
      </c>
      <c r="L8450">
        <v>3217.2</v>
      </c>
    </row>
    <row r="8451" spans="1:12" x14ac:dyDescent="0.25">
      <c r="A8451" t="str">
        <f t="shared" si="1854"/>
        <v>89301000</v>
      </c>
      <c r="B8451" t="str">
        <f t="shared" si="1852"/>
        <v>78915000</v>
      </c>
      <c r="C8451" t="str">
        <f t="shared" si="1853"/>
        <v>78915001</v>
      </c>
      <c r="D8451" t="str">
        <f t="shared" si="1851"/>
        <v>809</v>
      </c>
      <c r="E8451" t="str">
        <f>"89301045"</f>
        <v>89301045</v>
      </c>
      <c r="F8451" t="str">
        <f>"7752055729"</f>
        <v>7752055729</v>
      </c>
      <c r="G8451" s="1">
        <v>44811</v>
      </c>
      <c r="H8451" t="str">
        <f>"89715"</f>
        <v>89715</v>
      </c>
      <c r="I8451">
        <v>1</v>
      </c>
      <c r="J8451">
        <v>5474</v>
      </c>
      <c r="K8451">
        <v>0</v>
      </c>
      <c r="L8451">
        <v>3284.4</v>
      </c>
    </row>
    <row r="8452" spans="1:12" x14ac:dyDescent="0.25">
      <c r="A8452" t="str">
        <f t="shared" si="1854"/>
        <v>89301000</v>
      </c>
      <c r="B8452" t="str">
        <f t="shared" si="1852"/>
        <v>78915000</v>
      </c>
      <c r="C8452" t="str">
        <f t="shared" si="1853"/>
        <v>78915001</v>
      </c>
      <c r="D8452" t="str">
        <f t="shared" si="1851"/>
        <v>809</v>
      </c>
      <c r="E8452" t="str">
        <f>"89301045"</f>
        <v>89301045</v>
      </c>
      <c r="F8452" t="str">
        <f>"7752055729"</f>
        <v>7752055729</v>
      </c>
      <c r="G8452" s="1">
        <v>44811</v>
      </c>
      <c r="H8452" t="str">
        <f>"89725"</f>
        <v>89725</v>
      </c>
      <c r="I8452">
        <v>1</v>
      </c>
      <c r="J8452">
        <v>2839</v>
      </c>
      <c r="K8452">
        <v>0</v>
      </c>
      <c r="L8452">
        <v>1703.4</v>
      </c>
    </row>
    <row r="8453" spans="1:12" x14ac:dyDescent="0.25">
      <c r="A8453" t="str">
        <f t="shared" si="1854"/>
        <v>89301000</v>
      </c>
      <c r="B8453" t="str">
        <f t="shared" si="1852"/>
        <v>78915000</v>
      </c>
      <c r="C8453" t="str">
        <f t="shared" si="1853"/>
        <v>78915001</v>
      </c>
      <c r="D8453" t="str">
        <f t="shared" si="1851"/>
        <v>809</v>
      </c>
      <c r="E8453" t="str">
        <f>"89301045"</f>
        <v>89301045</v>
      </c>
      <c r="F8453" t="str">
        <f>"7752055729"</f>
        <v>7752055729</v>
      </c>
      <c r="G8453" s="1">
        <v>44811</v>
      </c>
      <c r="H8453" t="str">
        <f>"0207733"</f>
        <v>0207733</v>
      </c>
      <c r="I8453">
        <v>1</v>
      </c>
      <c r="K8453">
        <v>2590.5300000000002</v>
      </c>
      <c r="L8453">
        <v>2590.5300000000002</v>
      </c>
    </row>
    <row r="8454" spans="1:12" x14ac:dyDescent="0.25">
      <c r="A8454" t="str">
        <f t="shared" si="1854"/>
        <v>89301000</v>
      </c>
      <c r="B8454" t="str">
        <f t="shared" si="1852"/>
        <v>78915000</v>
      </c>
      <c r="C8454" t="str">
        <f t="shared" si="1853"/>
        <v>78915001</v>
      </c>
      <c r="D8454" t="str">
        <f t="shared" si="1851"/>
        <v>809</v>
      </c>
      <c r="E8454" t="str">
        <f>"89301606"</f>
        <v>89301606</v>
      </c>
      <c r="F8454" t="str">
        <f>"7804255316"</f>
        <v>7804255316</v>
      </c>
      <c r="G8454" s="1">
        <v>44816</v>
      </c>
      <c r="H8454" t="str">
        <f>"89713"</f>
        <v>89713</v>
      </c>
      <c r="I8454">
        <v>1</v>
      </c>
      <c r="J8454">
        <v>5362</v>
      </c>
      <c r="K8454">
        <v>0</v>
      </c>
      <c r="L8454">
        <v>3217.2</v>
      </c>
    </row>
    <row r="8455" spans="1:12" x14ac:dyDescent="0.25">
      <c r="A8455" t="str">
        <f t="shared" si="1854"/>
        <v>89301000</v>
      </c>
      <c r="B8455" t="str">
        <f t="shared" si="1852"/>
        <v>78915000</v>
      </c>
      <c r="C8455" t="str">
        <f t="shared" si="1853"/>
        <v>78915001</v>
      </c>
      <c r="D8455" t="str">
        <f t="shared" si="1851"/>
        <v>809</v>
      </c>
      <c r="E8455" t="str">
        <f>"89301606"</f>
        <v>89301606</v>
      </c>
      <c r="F8455" t="str">
        <f>"7804255316"</f>
        <v>7804255316</v>
      </c>
      <c r="G8455" s="1">
        <v>44816</v>
      </c>
      <c r="H8455" t="str">
        <f>"89725"</f>
        <v>89725</v>
      </c>
      <c r="I8455">
        <v>1</v>
      </c>
      <c r="J8455">
        <v>2839</v>
      </c>
      <c r="K8455">
        <v>0</v>
      </c>
      <c r="L8455">
        <v>1703.4</v>
      </c>
    </row>
    <row r="8456" spans="1:12" x14ac:dyDescent="0.25">
      <c r="A8456" t="str">
        <f t="shared" si="1854"/>
        <v>89301000</v>
      </c>
      <c r="B8456" t="str">
        <f t="shared" si="1852"/>
        <v>78915000</v>
      </c>
      <c r="C8456" t="str">
        <f t="shared" si="1853"/>
        <v>78915001</v>
      </c>
      <c r="D8456" t="str">
        <f t="shared" si="1851"/>
        <v>809</v>
      </c>
      <c r="E8456" t="str">
        <f>"89301172"</f>
        <v>89301172</v>
      </c>
      <c r="F8456" t="str">
        <f>"7908065770"</f>
        <v>7908065770</v>
      </c>
      <c r="G8456" s="1">
        <v>44809</v>
      </c>
      <c r="H8456" t="str">
        <f>"89713"</f>
        <v>89713</v>
      </c>
      <c r="I8456">
        <v>1</v>
      </c>
      <c r="J8456">
        <v>5362</v>
      </c>
      <c r="K8456">
        <v>0</v>
      </c>
      <c r="L8456">
        <v>3217.2</v>
      </c>
    </row>
    <row r="8457" spans="1:12" x14ac:dyDescent="0.25">
      <c r="A8457" t="str">
        <f t="shared" si="1854"/>
        <v>89301000</v>
      </c>
      <c r="B8457" t="str">
        <f t="shared" si="1852"/>
        <v>78915000</v>
      </c>
      <c r="C8457" t="str">
        <f t="shared" si="1853"/>
        <v>78915001</v>
      </c>
      <c r="D8457" t="str">
        <f t="shared" si="1851"/>
        <v>809</v>
      </c>
      <c r="E8457" t="str">
        <f>"89301172"</f>
        <v>89301172</v>
      </c>
      <c r="F8457" t="str">
        <f>"7908065770"</f>
        <v>7908065770</v>
      </c>
      <c r="G8457" s="1">
        <v>44809</v>
      </c>
      <c r="H8457" t="str">
        <f>"89725"</f>
        <v>89725</v>
      </c>
      <c r="I8457">
        <v>1</v>
      </c>
      <c r="J8457">
        <v>2839</v>
      </c>
      <c r="K8457">
        <v>0</v>
      </c>
      <c r="L8457">
        <v>1703.4</v>
      </c>
    </row>
    <row r="8458" spans="1:12" x14ac:dyDescent="0.25">
      <c r="A8458" t="str">
        <f t="shared" si="1854"/>
        <v>89301000</v>
      </c>
      <c r="B8458" t="str">
        <f t="shared" si="1852"/>
        <v>78915000</v>
      </c>
      <c r="C8458" t="str">
        <f t="shared" si="1853"/>
        <v>78915001</v>
      </c>
      <c r="D8458" t="str">
        <f t="shared" si="1851"/>
        <v>809</v>
      </c>
      <c r="E8458" t="str">
        <f>"89301062"</f>
        <v>89301062</v>
      </c>
      <c r="F8458" t="str">
        <f>"8009225334"</f>
        <v>8009225334</v>
      </c>
      <c r="G8458" s="1">
        <v>44813</v>
      </c>
      <c r="H8458" t="str">
        <f>"89713"</f>
        <v>89713</v>
      </c>
      <c r="I8458">
        <v>1</v>
      </c>
      <c r="J8458">
        <v>5362</v>
      </c>
      <c r="K8458">
        <v>0</v>
      </c>
      <c r="L8458">
        <v>3217.2</v>
      </c>
    </row>
    <row r="8459" spans="1:12" x14ac:dyDescent="0.25">
      <c r="A8459" t="str">
        <f t="shared" si="1854"/>
        <v>89301000</v>
      </c>
      <c r="B8459" t="str">
        <f t="shared" si="1852"/>
        <v>78915000</v>
      </c>
      <c r="C8459" t="str">
        <f t="shared" si="1853"/>
        <v>78915001</v>
      </c>
      <c r="D8459" t="str">
        <f t="shared" si="1851"/>
        <v>809</v>
      </c>
      <c r="E8459" t="str">
        <f>"89301062"</f>
        <v>89301062</v>
      </c>
      <c r="F8459" t="str">
        <f>"8009225334"</f>
        <v>8009225334</v>
      </c>
      <c r="G8459" s="1">
        <v>44813</v>
      </c>
      <c r="H8459" t="str">
        <f>"89725"</f>
        <v>89725</v>
      </c>
      <c r="I8459">
        <v>1</v>
      </c>
      <c r="J8459">
        <v>2839</v>
      </c>
      <c r="K8459">
        <v>0</v>
      </c>
      <c r="L8459">
        <v>1703.4</v>
      </c>
    </row>
    <row r="8460" spans="1:12" x14ac:dyDescent="0.25">
      <c r="A8460" t="str">
        <f t="shared" si="1854"/>
        <v>89301000</v>
      </c>
      <c r="B8460" t="str">
        <f t="shared" si="1852"/>
        <v>78915000</v>
      </c>
      <c r="C8460" t="str">
        <f t="shared" si="1853"/>
        <v>78915001</v>
      </c>
      <c r="D8460" t="str">
        <f t="shared" si="1851"/>
        <v>809</v>
      </c>
      <c r="E8460" t="str">
        <f>"89301212"</f>
        <v>89301212</v>
      </c>
      <c r="F8460" t="str">
        <f>"8054205302"</f>
        <v>8054205302</v>
      </c>
      <c r="G8460" s="1">
        <v>44811</v>
      </c>
      <c r="H8460" t="str">
        <f>"89715"</f>
        <v>89715</v>
      </c>
      <c r="I8460">
        <v>1</v>
      </c>
      <c r="J8460">
        <v>5474</v>
      </c>
      <c r="K8460">
        <v>0</v>
      </c>
      <c r="L8460">
        <v>3284.4</v>
      </c>
    </row>
    <row r="8461" spans="1:12" x14ac:dyDescent="0.25">
      <c r="A8461" t="str">
        <f t="shared" si="1854"/>
        <v>89301000</v>
      </c>
      <c r="B8461" t="str">
        <f t="shared" si="1852"/>
        <v>78915000</v>
      </c>
      <c r="C8461" t="str">
        <f t="shared" si="1853"/>
        <v>78915001</v>
      </c>
      <c r="D8461" t="str">
        <f t="shared" si="1851"/>
        <v>809</v>
      </c>
      <c r="E8461" t="str">
        <f>"89301212"</f>
        <v>89301212</v>
      </c>
      <c r="F8461" t="str">
        <f>"8054205302"</f>
        <v>8054205302</v>
      </c>
      <c r="G8461" s="1">
        <v>44811</v>
      </c>
      <c r="H8461" t="str">
        <f>"89725"</f>
        <v>89725</v>
      </c>
      <c r="I8461">
        <v>1</v>
      </c>
      <c r="J8461">
        <v>2839</v>
      </c>
      <c r="K8461">
        <v>0</v>
      </c>
      <c r="L8461">
        <v>1703.4</v>
      </c>
    </row>
    <row r="8462" spans="1:12" x14ac:dyDescent="0.25">
      <c r="A8462" t="str">
        <f t="shared" si="1854"/>
        <v>89301000</v>
      </c>
      <c r="B8462" t="str">
        <f t="shared" si="1852"/>
        <v>78915000</v>
      </c>
      <c r="C8462" t="str">
        <f t="shared" si="1853"/>
        <v>78915001</v>
      </c>
      <c r="D8462" t="str">
        <f t="shared" si="1851"/>
        <v>809</v>
      </c>
      <c r="E8462" t="str">
        <f>"89301212"</f>
        <v>89301212</v>
      </c>
      <c r="F8462" t="str">
        <f>"8054205302"</f>
        <v>8054205302</v>
      </c>
      <c r="G8462" s="1">
        <v>44811</v>
      </c>
      <c r="H8462" t="str">
        <f>"0207733"</f>
        <v>0207733</v>
      </c>
      <c r="I8462">
        <v>1</v>
      </c>
      <c r="K8462">
        <v>2590.5300000000002</v>
      </c>
      <c r="L8462">
        <v>2590.5300000000002</v>
      </c>
    </row>
    <row r="8463" spans="1:12" x14ac:dyDescent="0.25">
      <c r="A8463" t="str">
        <f t="shared" si="1854"/>
        <v>89301000</v>
      </c>
      <c r="B8463" t="str">
        <f t="shared" si="1852"/>
        <v>78915000</v>
      </c>
      <c r="C8463" t="str">
        <f t="shared" si="1853"/>
        <v>78915001</v>
      </c>
      <c r="D8463" t="str">
        <f t="shared" si="1851"/>
        <v>809</v>
      </c>
      <c r="E8463" t="str">
        <f>"89301112"</f>
        <v>89301112</v>
      </c>
      <c r="F8463" t="str">
        <f>"8156164456"</f>
        <v>8156164456</v>
      </c>
      <c r="G8463" s="1">
        <v>44823</v>
      </c>
      <c r="H8463" t="str">
        <f>"89713"</f>
        <v>89713</v>
      </c>
      <c r="I8463">
        <v>1</v>
      </c>
      <c r="J8463">
        <v>5362</v>
      </c>
      <c r="K8463">
        <v>0</v>
      </c>
      <c r="L8463">
        <v>3217.2</v>
      </c>
    </row>
    <row r="8464" spans="1:12" x14ac:dyDescent="0.25">
      <c r="A8464" t="str">
        <f t="shared" si="1854"/>
        <v>89301000</v>
      </c>
      <c r="B8464" t="str">
        <f t="shared" si="1852"/>
        <v>78915000</v>
      </c>
      <c r="C8464" t="str">
        <f t="shared" si="1853"/>
        <v>78915001</v>
      </c>
      <c r="D8464" t="str">
        <f t="shared" si="1851"/>
        <v>809</v>
      </c>
      <c r="E8464" t="str">
        <f>"89301606"</f>
        <v>89301606</v>
      </c>
      <c r="F8464" t="str">
        <f>"8651025812"</f>
        <v>8651025812</v>
      </c>
      <c r="G8464" s="1">
        <v>44814</v>
      </c>
      <c r="H8464" t="str">
        <f>"89713"</f>
        <v>89713</v>
      </c>
      <c r="I8464">
        <v>1</v>
      </c>
      <c r="J8464">
        <v>5362</v>
      </c>
      <c r="K8464">
        <v>0</v>
      </c>
      <c r="L8464">
        <v>3217.2</v>
      </c>
    </row>
    <row r="8465" spans="1:12" x14ac:dyDescent="0.25">
      <c r="A8465" t="str">
        <f t="shared" si="1854"/>
        <v>89301000</v>
      </c>
      <c r="B8465" t="str">
        <f t="shared" si="1852"/>
        <v>78915000</v>
      </c>
      <c r="C8465" t="str">
        <f t="shared" si="1853"/>
        <v>78915001</v>
      </c>
      <c r="D8465" t="str">
        <f t="shared" si="1851"/>
        <v>809</v>
      </c>
      <c r="E8465" t="str">
        <f>"89301606"</f>
        <v>89301606</v>
      </c>
      <c r="F8465" t="str">
        <f>"8651025812"</f>
        <v>8651025812</v>
      </c>
      <c r="G8465" s="1">
        <v>44814</v>
      </c>
      <c r="H8465" t="str">
        <f>"89725"</f>
        <v>89725</v>
      </c>
      <c r="I8465">
        <v>1</v>
      </c>
      <c r="J8465">
        <v>2839</v>
      </c>
      <c r="K8465">
        <v>0</v>
      </c>
      <c r="L8465">
        <v>1703.4</v>
      </c>
    </row>
    <row r="8466" spans="1:12" x14ac:dyDescent="0.25">
      <c r="A8466" t="str">
        <f t="shared" si="1854"/>
        <v>89301000</v>
      </c>
      <c r="B8466" t="str">
        <f t="shared" si="1852"/>
        <v>78915000</v>
      </c>
      <c r="C8466" t="str">
        <f t="shared" si="1853"/>
        <v>78915001</v>
      </c>
      <c r="D8466" t="str">
        <f t="shared" si="1851"/>
        <v>809</v>
      </c>
      <c r="E8466" t="str">
        <f>"89301606"</f>
        <v>89301606</v>
      </c>
      <c r="F8466" t="str">
        <f>"8651025812"</f>
        <v>8651025812</v>
      </c>
      <c r="G8466" s="1">
        <v>44814</v>
      </c>
      <c r="H8466" t="str">
        <f>"0207733"</f>
        <v>0207733</v>
      </c>
      <c r="I8466">
        <v>1.53</v>
      </c>
      <c r="K8466">
        <v>3963.51</v>
      </c>
      <c r="L8466">
        <v>3963.51</v>
      </c>
    </row>
    <row r="8467" spans="1:12" x14ac:dyDescent="0.25">
      <c r="A8467" t="str">
        <f t="shared" si="1854"/>
        <v>89301000</v>
      </c>
      <c r="B8467" t="str">
        <f t="shared" si="1852"/>
        <v>78915000</v>
      </c>
      <c r="C8467" t="str">
        <f t="shared" si="1853"/>
        <v>78915001</v>
      </c>
      <c r="D8467" t="str">
        <f t="shared" si="1851"/>
        <v>809</v>
      </c>
      <c r="E8467" t="str">
        <f>"89301112"</f>
        <v>89301112</v>
      </c>
      <c r="F8467" t="str">
        <f>"9406225708"</f>
        <v>9406225708</v>
      </c>
      <c r="G8467" s="1">
        <v>44834</v>
      </c>
      <c r="H8467" t="str">
        <f>"09569"</f>
        <v>09569</v>
      </c>
      <c r="I8467">
        <v>1</v>
      </c>
      <c r="J8467">
        <v>0</v>
      </c>
      <c r="K8467">
        <v>0</v>
      </c>
      <c r="L8467">
        <v>0</v>
      </c>
    </row>
    <row r="8468" spans="1:12" x14ac:dyDescent="0.25">
      <c r="A8468" t="str">
        <f t="shared" si="1854"/>
        <v>89301000</v>
      </c>
      <c r="B8468" t="str">
        <f t="shared" si="1852"/>
        <v>78915000</v>
      </c>
      <c r="C8468" t="str">
        <f t="shared" si="1853"/>
        <v>78915001</v>
      </c>
      <c r="D8468" t="str">
        <f t="shared" si="1851"/>
        <v>809</v>
      </c>
      <c r="E8468" t="str">
        <f>"89301112"</f>
        <v>89301112</v>
      </c>
      <c r="F8468" t="str">
        <f>"9406225708"</f>
        <v>9406225708</v>
      </c>
      <c r="G8468" s="1">
        <v>44834</v>
      </c>
      <c r="H8468" t="str">
        <f>"89713"</f>
        <v>89713</v>
      </c>
      <c r="I8468">
        <v>1</v>
      </c>
      <c r="J8468">
        <v>5362</v>
      </c>
      <c r="K8468">
        <v>0</v>
      </c>
      <c r="L8468">
        <v>3217.2</v>
      </c>
    </row>
    <row r="8469" spans="1:12" x14ac:dyDescent="0.25">
      <c r="A8469" t="str">
        <f t="shared" si="1854"/>
        <v>89301000</v>
      </c>
      <c r="B8469" t="str">
        <f t="shared" si="1852"/>
        <v>78915000</v>
      </c>
      <c r="C8469" t="str">
        <f t="shared" si="1853"/>
        <v>78915001</v>
      </c>
      <c r="D8469" t="str">
        <f t="shared" si="1851"/>
        <v>809</v>
      </c>
      <c r="E8469" t="str">
        <f>"89301112"</f>
        <v>89301112</v>
      </c>
      <c r="F8469" t="str">
        <f>"9457125755"</f>
        <v>9457125755</v>
      </c>
      <c r="G8469" s="1">
        <v>44820</v>
      </c>
      <c r="H8469" t="str">
        <f>"09567"</f>
        <v>09567</v>
      </c>
      <c r="I8469">
        <v>1</v>
      </c>
      <c r="J8469">
        <v>0</v>
      </c>
      <c r="K8469">
        <v>0</v>
      </c>
      <c r="L8469">
        <v>0</v>
      </c>
    </row>
    <row r="8470" spans="1:12" x14ac:dyDescent="0.25">
      <c r="A8470" t="str">
        <f t="shared" si="1854"/>
        <v>89301000</v>
      </c>
      <c r="B8470" t="str">
        <f t="shared" si="1852"/>
        <v>78915000</v>
      </c>
      <c r="C8470" t="str">
        <f t="shared" si="1853"/>
        <v>78915001</v>
      </c>
      <c r="D8470" t="str">
        <f t="shared" si="1851"/>
        <v>809</v>
      </c>
      <c r="E8470" t="str">
        <f>"89301112"</f>
        <v>89301112</v>
      </c>
      <c r="F8470" t="str">
        <f>"9457125755"</f>
        <v>9457125755</v>
      </c>
      <c r="G8470" s="1">
        <v>44820</v>
      </c>
      <c r="H8470" t="str">
        <f>"89713"</f>
        <v>89713</v>
      </c>
      <c r="I8470">
        <v>1</v>
      </c>
      <c r="J8470">
        <v>5362</v>
      </c>
      <c r="K8470">
        <v>0</v>
      </c>
      <c r="L8470">
        <v>3217.2</v>
      </c>
    </row>
    <row r="8471" spans="1:12" x14ac:dyDescent="0.25">
      <c r="A8471" t="str">
        <f t="shared" si="1854"/>
        <v>89301000</v>
      </c>
      <c r="B8471" t="str">
        <f t="shared" si="1852"/>
        <v>78915000</v>
      </c>
      <c r="C8471" t="str">
        <f t="shared" si="1853"/>
        <v>78915001</v>
      </c>
      <c r="D8471" t="str">
        <f t="shared" si="1851"/>
        <v>809</v>
      </c>
      <c r="E8471" t="str">
        <f>"89301172"</f>
        <v>89301172</v>
      </c>
      <c r="F8471" t="str">
        <f>"9458116162"</f>
        <v>9458116162</v>
      </c>
      <c r="G8471" s="1">
        <v>44809</v>
      </c>
      <c r="H8471" t="str">
        <f>"89713"</f>
        <v>89713</v>
      </c>
      <c r="I8471">
        <v>2</v>
      </c>
      <c r="J8471">
        <v>10724</v>
      </c>
      <c r="K8471">
        <v>0</v>
      </c>
      <c r="L8471">
        <v>6434.4</v>
      </c>
    </row>
    <row r="8472" spans="1:12" x14ac:dyDescent="0.25">
      <c r="A8472" t="str">
        <f t="shared" si="1854"/>
        <v>89301000</v>
      </c>
      <c r="B8472" t="str">
        <f t="shared" si="1852"/>
        <v>78915000</v>
      </c>
      <c r="C8472" t="str">
        <f t="shared" si="1853"/>
        <v>78915001</v>
      </c>
      <c r="D8472" t="str">
        <f t="shared" si="1851"/>
        <v>809</v>
      </c>
      <c r="E8472" t="str">
        <f>"89301172"</f>
        <v>89301172</v>
      </c>
      <c r="F8472" t="str">
        <f>"9458116162"</f>
        <v>9458116162</v>
      </c>
      <c r="G8472" s="1">
        <v>44809</v>
      </c>
      <c r="H8472" t="str">
        <f>"89725"</f>
        <v>89725</v>
      </c>
      <c r="I8472">
        <v>1</v>
      </c>
      <c r="J8472">
        <v>2839</v>
      </c>
      <c r="K8472">
        <v>0</v>
      </c>
      <c r="L8472">
        <v>1703.4</v>
      </c>
    </row>
    <row r="8473" spans="1:12" x14ac:dyDescent="0.25">
      <c r="A8473" t="str">
        <f t="shared" si="1854"/>
        <v>89301000</v>
      </c>
      <c r="B8473" t="str">
        <f>"89511000"</f>
        <v>89511000</v>
      </c>
      <c r="C8473" t="str">
        <f>"89511001"</f>
        <v>89511001</v>
      </c>
      <c r="D8473" t="str">
        <f t="shared" si="1851"/>
        <v>809</v>
      </c>
      <c r="E8473" t="str">
        <f>"89301212"</f>
        <v>89301212</v>
      </c>
      <c r="F8473" t="str">
        <f>"506227139"</f>
        <v>506227139</v>
      </c>
      <c r="G8473" s="1">
        <v>44805</v>
      </c>
      <c r="H8473" t="str">
        <f>"89131"</f>
        <v>89131</v>
      </c>
      <c r="I8473">
        <v>2</v>
      </c>
      <c r="J8473">
        <v>374</v>
      </c>
      <c r="K8473">
        <v>0</v>
      </c>
      <c r="L8473">
        <v>523.6</v>
      </c>
    </row>
    <row r="8474" spans="1:12" x14ac:dyDescent="0.25">
      <c r="A8474" t="str">
        <f t="shared" si="1854"/>
        <v>89301000</v>
      </c>
      <c r="B8474" t="str">
        <f>"89511000"</f>
        <v>89511000</v>
      </c>
      <c r="C8474" t="str">
        <f>"89511001"</f>
        <v>89511001</v>
      </c>
      <c r="D8474" t="str">
        <f t="shared" si="1851"/>
        <v>809</v>
      </c>
      <c r="E8474" t="str">
        <f>"89301212"</f>
        <v>89301212</v>
      </c>
      <c r="F8474" t="str">
        <f>"506227139"</f>
        <v>506227139</v>
      </c>
      <c r="G8474" s="1">
        <v>44805</v>
      </c>
      <c r="H8474" t="str">
        <f>"89513"</f>
        <v>89513</v>
      </c>
      <c r="I8474">
        <v>1</v>
      </c>
      <c r="J8474">
        <v>371</v>
      </c>
      <c r="K8474">
        <v>0</v>
      </c>
      <c r="L8474">
        <v>519.4</v>
      </c>
    </row>
    <row r="8475" spans="1:12" x14ac:dyDescent="0.25">
      <c r="A8475" t="str">
        <f t="shared" si="1854"/>
        <v>89301000</v>
      </c>
      <c r="B8475" t="str">
        <f>"89511000"</f>
        <v>89511000</v>
      </c>
      <c r="C8475" t="str">
        <f>"89511001"</f>
        <v>89511001</v>
      </c>
      <c r="D8475" t="str">
        <f t="shared" ref="D8475:D8506" si="1855">"809"</f>
        <v>809</v>
      </c>
      <c r="E8475" t="str">
        <f>"89301212"</f>
        <v>89301212</v>
      </c>
      <c r="F8475" t="str">
        <f>"506227139"</f>
        <v>506227139</v>
      </c>
      <c r="G8475" s="1">
        <v>44805</v>
      </c>
      <c r="H8475" t="str">
        <f>"89514"</f>
        <v>89514</v>
      </c>
      <c r="I8475">
        <v>1</v>
      </c>
      <c r="J8475">
        <v>371</v>
      </c>
      <c r="K8475">
        <v>0</v>
      </c>
      <c r="L8475">
        <v>519.4</v>
      </c>
    </row>
    <row r="8476" spans="1:12" x14ac:dyDescent="0.25">
      <c r="A8476" t="str">
        <f t="shared" si="1854"/>
        <v>89301000</v>
      </c>
      <c r="B8476" t="str">
        <f>"89511000"</f>
        <v>89511000</v>
      </c>
      <c r="C8476" t="str">
        <f>"89511001"</f>
        <v>89511001</v>
      </c>
      <c r="D8476" t="str">
        <f t="shared" si="1855"/>
        <v>809</v>
      </c>
      <c r="E8476" t="str">
        <f>"89301212"</f>
        <v>89301212</v>
      </c>
      <c r="F8476" t="str">
        <f>"5605047019"</f>
        <v>5605047019</v>
      </c>
      <c r="G8476" s="1">
        <v>44825</v>
      </c>
      <c r="H8476" t="str">
        <f>"89513"</f>
        <v>89513</v>
      </c>
      <c r="I8476">
        <v>1</v>
      </c>
      <c r="J8476">
        <v>371</v>
      </c>
      <c r="K8476">
        <v>0</v>
      </c>
      <c r="L8476">
        <v>519.4</v>
      </c>
    </row>
    <row r="8477" spans="1:12" x14ac:dyDescent="0.25">
      <c r="A8477" t="str">
        <f t="shared" si="1854"/>
        <v>89301000</v>
      </c>
      <c r="B8477" t="str">
        <f>"89511000"</f>
        <v>89511000</v>
      </c>
      <c r="C8477" t="str">
        <f>"89511001"</f>
        <v>89511001</v>
      </c>
      <c r="D8477" t="str">
        <f t="shared" si="1855"/>
        <v>809</v>
      </c>
      <c r="E8477" t="str">
        <f>"89301212"</f>
        <v>89301212</v>
      </c>
      <c r="F8477" t="str">
        <f>"5605047019"</f>
        <v>5605047019</v>
      </c>
      <c r="G8477" s="1">
        <v>44825</v>
      </c>
      <c r="H8477" t="str">
        <f>"89514"</f>
        <v>89514</v>
      </c>
      <c r="I8477">
        <v>1</v>
      </c>
      <c r="J8477">
        <v>371</v>
      </c>
      <c r="K8477">
        <v>0</v>
      </c>
      <c r="L8477">
        <v>519.4</v>
      </c>
    </row>
    <row r="8478" spans="1:12" x14ac:dyDescent="0.25">
      <c r="A8478" t="str">
        <f t="shared" si="1854"/>
        <v>89301000</v>
      </c>
      <c r="B8478" t="str">
        <f t="shared" ref="B8478:C8497" si="1856">"89063000"</f>
        <v>89063000</v>
      </c>
      <c r="C8478" t="str">
        <f t="shared" si="1856"/>
        <v>89063000</v>
      </c>
      <c r="D8478" t="str">
        <f t="shared" si="1855"/>
        <v>809</v>
      </c>
      <c r="E8478" t="str">
        <f t="shared" ref="E8478:E8483" si="1857">"89301037"</f>
        <v>89301037</v>
      </c>
      <c r="F8478" t="str">
        <f>"5562081580"</f>
        <v>5562081580</v>
      </c>
      <c r="G8478" s="1">
        <v>44805</v>
      </c>
      <c r="H8478" t="str">
        <f t="shared" ref="H8478:H8509" si="1858">"89312"</f>
        <v>89312</v>
      </c>
      <c r="I8478">
        <v>3</v>
      </c>
      <c r="J8478">
        <v>906</v>
      </c>
      <c r="K8478">
        <v>0</v>
      </c>
      <c r="L8478">
        <v>951.3</v>
      </c>
    </row>
    <row r="8479" spans="1:12" x14ac:dyDescent="0.25">
      <c r="A8479" t="str">
        <f t="shared" si="1854"/>
        <v>89301000</v>
      </c>
      <c r="B8479" t="str">
        <f t="shared" si="1856"/>
        <v>89063000</v>
      </c>
      <c r="C8479" t="str">
        <f t="shared" si="1856"/>
        <v>89063000</v>
      </c>
      <c r="D8479" t="str">
        <f t="shared" si="1855"/>
        <v>809</v>
      </c>
      <c r="E8479" t="str">
        <f t="shared" si="1857"/>
        <v>89301037</v>
      </c>
      <c r="F8479" t="str">
        <f>"6352061254"</f>
        <v>6352061254</v>
      </c>
      <c r="G8479" s="1">
        <v>44809</v>
      </c>
      <c r="H8479" t="str">
        <f t="shared" si="1858"/>
        <v>89312</v>
      </c>
      <c r="I8479">
        <v>3</v>
      </c>
      <c r="J8479">
        <v>906</v>
      </c>
      <c r="K8479">
        <v>0</v>
      </c>
      <c r="L8479">
        <v>951.3</v>
      </c>
    </row>
    <row r="8480" spans="1:12" x14ac:dyDescent="0.25">
      <c r="A8480" t="str">
        <f t="shared" si="1854"/>
        <v>89301000</v>
      </c>
      <c r="B8480" t="str">
        <f t="shared" si="1856"/>
        <v>89063000</v>
      </c>
      <c r="C8480" t="str">
        <f t="shared" si="1856"/>
        <v>89063000</v>
      </c>
      <c r="D8480" t="str">
        <f t="shared" si="1855"/>
        <v>809</v>
      </c>
      <c r="E8480" t="str">
        <f t="shared" si="1857"/>
        <v>89301037</v>
      </c>
      <c r="F8480" t="str">
        <f>"8054115311"</f>
        <v>8054115311</v>
      </c>
      <c r="G8480" s="1">
        <v>44809</v>
      </c>
      <c r="H8480" t="str">
        <f t="shared" si="1858"/>
        <v>89312</v>
      </c>
      <c r="I8480">
        <v>3</v>
      </c>
      <c r="J8480">
        <v>906</v>
      </c>
      <c r="K8480">
        <v>0</v>
      </c>
      <c r="L8480">
        <v>951.3</v>
      </c>
    </row>
    <row r="8481" spans="1:12" x14ac:dyDescent="0.25">
      <c r="A8481" t="str">
        <f t="shared" si="1854"/>
        <v>89301000</v>
      </c>
      <c r="B8481" t="str">
        <f t="shared" si="1856"/>
        <v>89063000</v>
      </c>
      <c r="C8481" t="str">
        <f t="shared" si="1856"/>
        <v>89063000</v>
      </c>
      <c r="D8481" t="str">
        <f t="shared" si="1855"/>
        <v>809</v>
      </c>
      <c r="E8481" t="str">
        <f t="shared" si="1857"/>
        <v>89301037</v>
      </c>
      <c r="F8481" t="str">
        <f>"5957042146"</f>
        <v>5957042146</v>
      </c>
      <c r="G8481" s="1">
        <v>44809</v>
      </c>
      <c r="H8481" t="str">
        <f t="shared" si="1858"/>
        <v>89312</v>
      </c>
      <c r="I8481">
        <v>3</v>
      </c>
      <c r="J8481">
        <v>906</v>
      </c>
      <c r="K8481">
        <v>0</v>
      </c>
      <c r="L8481">
        <v>951.3</v>
      </c>
    </row>
    <row r="8482" spans="1:12" x14ac:dyDescent="0.25">
      <c r="A8482" t="str">
        <f t="shared" si="1854"/>
        <v>89301000</v>
      </c>
      <c r="B8482" t="str">
        <f t="shared" si="1856"/>
        <v>89063000</v>
      </c>
      <c r="C8482" t="str">
        <f t="shared" si="1856"/>
        <v>89063000</v>
      </c>
      <c r="D8482" t="str">
        <f t="shared" si="1855"/>
        <v>809</v>
      </c>
      <c r="E8482" t="str">
        <f t="shared" si="1857"/>
        <v>89301037</v>
      </c>
      <c r="F8482" t="str">
        <f>"9856263208"</f>
        <v>9856263208</v>
      </c>
      <c r="G8482" s="1">
        <v>44809</v>
      </c>
      <c r="H8482" t="str">
        <f t="shared" si="1858"/>
        <v>89312</v>
      </c>
      <c r="I8482">
        <v>3</v>
      </c>
      <c r="J8482">
        <v>906</v>
      </c>
      <c r="K8482">
        <v>0</v>
      </c>
      <c r="L8482">
        <v>951.3</v>
      </c>
    </row>
    <row r="8483" spans="1:12" x14ac:dyDescent="0.25">
      <c r="A8483" t="str">
        <f t="shared" si="1854"/>
        <v>89301000</v>
      </c>
      <c r="B8483" t="str">
        <f t="shared" si="1856"/>
        <v>89063000</v>
      </c>
      <c r="C8483" t="str">
        <f t="shared" si="1856"/>
        <v>89063000</v>
      </c>
      <c r="D8483" t="str">
        <f t="shared" si="1855"/>
        <v>809</v>
      </c>
      <c r="E8483" t="str">
        <f t="shared" si="1857"/>
        <v>89301037</v>
      </c>
      <c r="F8483" t="str">
        <f>"516014216"</f>
        <v>516014216</v>
      </c>
      <c r="G8483" s="1">
        <v>44809</v>
      </c>
      <c r="H8483" t="str">
        <f t="shared" si="1858"/>
        <v>89312</v>
      </c>
      <c r="I8483">
        <v>3</v>
      </c>
      <c r="J8483">
        <v>906</v>
      </c>
      <c r="K8483">
        <v>0</v>
      </c>
      <c r="L8483">
        <v>951.3</v>
      </c>
    </row>
    <row r="8484" spans="1:12" x14ac:dyDescent="0.25">
      <c r="A8484" t="str">
        <f t="shared" si="1854"/>
        <v>89301000</v>
      </c>
      <c r="B8484" t="str">
        <f t="shared" si="1856"/>
        <v>89063000</v>
      </c>
      <c r="C8484" t="str">
        <f t="shared" si="1856"/>
        <v>89063000</v>
      </c>
      <c r="D8484" t="str">
        <f t="shared" si="1855"/>
        <v>809</v>
      </c>
      <c r="E8484" t="str">
        <f>"89301162"</f>
        <v>89301162</v>
      </c>
      <c r="F8484" t="str">
        <f>"9760105850"</f>
        <v>9760105850</v>
      </c>
      <c r="G8484" s="1">
        <v>44809</v>
      </c>
      <c r="H8484" t="str">
        <f t="shared" si="1858"/>
        <v>89312</v>
      </c>
      <c r="I8484">
        <v>3</v>
      </c>
      <c r="J8484">
        <v>906</v>
      </c>
      <c r="K8484">
        <v>0</v>
      </c>
      <c r="L8484">
        <v>951.3</v>
      </c>
    </row>
    <row r="8485" spans="1:12" x14ac:dyDescent="0.25">
      <c r="A8485" t="str">
        <f t="shared" si="1854"/>
        <v>89301000</v>
      </c>
      <c r="B8485" t="str">
        <f t="shared" si="1856"/>
        <v>89063000</v>
      </c>
      <c r="C8485" t="str">
        <f t="shared" si="1856"/>
        <v>89063000</v>
      </c>
      <c r="D8485" t="str">
        <f t="shared" si="1855"/>
        <v>809</v>
      </c>
      <c r="E8485" t="str">
        <f>"89301036"</f>
        <v>89301036</v>
      </c>
      <c r="F8485" t="str">
        <f>"5957060835"</f>
        <v>5957060835</v>
      </c>
      <c r="G8485" s="1">
        <v>44809</v>
      </c>
      <c r="H8485" t="str">
        <f t="shared" si="1858"/>
        <v>89312</v>
      </c>
      <c r="I8485">
        <v>3</v>
      </c>
      <c r="J8485">
        <v>906</v>
      </c>
      <c r="K8485">
        <v>0</v>
      </c>
      <c r="L8485">
        <v>951.3</v>
      </c>
    </row>
    <row r="8486" spans="1:12" x14ac:dyDescent="0.25">
      <c r="A8486" t="str">
        <f t="shared" si="1854"/>
        <v>89301000</v>
      </c>
      <c r="B8486" t="str">
        <f t="shared" si="1856"/>
        <v>89063000</v>
      </c>
      <c r="C8486" t="str">
        <f t="shared" si="1856"/>
        <v>89063000</v>
      </c>
      <c r="D8486" t="str">
        <f t="shared" si="1855"/>
        <v>809</v>
      </c>
      <c r="E8486" t="str">
        <f>"89301037"</f>
        <v>89301037</v>
      </c>
      <c r="F8486" t="str">
        <f>"340726431"</f>
        <v>340726431</v>
      </c>
      <c r="G8486" s="1">
        <v>44810</v>
      </c>
      <c r="H8486" t="str">
        <f t="shared" si="1858"/>
        <v>89312</v>
      </c>
      <c r="I8486">
        <v>3</v>
      </c>
      <c r="J8486">
        <v>906</v>
      </c>
      <c r="K8486">
        <v>0</v>
      </c>
      <c r="L8486">
        <v>951.3</v>
      </c>
    </row>
    <row r="8487" spans="1:12" x14ac:dyDescent="0.25">
      <c r="A8487" t="str">
        <f t="shared" si="1854"/>
        <v>89301000</v>
      </c>
      <c r="B8487" t="str">
        <f t="shared" si="1856"/>
        <v>89063000</v>
      </c>
      <c r="C8487" t="str">
        <f t="shared" si="1856"/>
        <v>89063000</v>
      </c>
      <c r="D8487" t="str">
        <f t="shared" si="1855"/>
        <v>809</v>
      </c>
      <c r="E8487" t="str">
        <f>"89301162"</f>
        <v>89301162</v>
      </c>
      <c r="F8487" t="str">
        <f>"6005210783"</f>
        <v>6005210783</v>
      </c>
      <c r="G8487" s="1">
        <v>44811</v>
      </c>
      <c r="H8487" t="str">
        <f t="shared" si="1858"/>
        <v>89312</v>
      </c>
      <c r="I8487">
        <v>3</v>
      </c>
      <c r="J8487">
        <v>906</v>
      </c>
      <c r="K8487">
        <v>0</v>
      </c>
      <c r="L8487">
        <v>951.3</v>
      </c>
    </row>
    <row r="8488" spans="1:12" x14ac:dyDescent="0.25">
      <c r="A8488" t="str">
        <f t="shared" si="1854"/>
        <v>89301000</v>
      </c>
      <c r="B8488" t="str">
        <f t="shared" si="1856"/>
        <v>89063000</v>
      </c>
      <c r="C8488" t="str">
        <f t="shared" si="1856"/>
        <v>89063000</v>
      </c>
      <c r="D8488" t="str">
        <f t="shared" si="1855"/>
        <v>809</v>
      </c>
      <c r="E8488" t="str">
        <f>"89301037"</f>
        <v>89301037</v>
      </c>
      <c r="F8488" t="str">
        <f>"505501040"</f>
        <v>505501040</v>
      </c>
      <c r="G8488" s="1">
        <v>44811</v>
      </c>
      <c r="H8488" t="str">
        <f t="shared" si="1858"/>
        <v>89312</v>
      </c>
      <c r="I8488">
        <v>3</v>
      </c>
      <c r="J8488">
        <v>906</v>
      </c>
      <c r="K8488">
        <v>0</v>
      </c>
      <c r="L8488">
        <v>951.3</v>
      </c>
    </row>
    <row r="8489" spans="1:12" x14ac:dyDescent="0.25">
      <c r="A8489" t="str">
        <f t="shared" si="1854"/>
        <v>89301000</v>
      </c>
      <c r="B8489" t="str">
        <f t="shared" si="1856"/>
        <v>89063000</v>
      </c>
      <c r="C8489" t="str">
        <f t="shared" si="1856"/>
        <v>89063000</v>
      </c>
      <c r="D8489" t="str">
        <f t="shared" si="1855"/>
        <v>809</v>
      </c>
      <c r="E8489" t="str">
        <f>"89301037"</f>
        <v>89301037</v>
      </c>
      <c r="F8489" t="str">
        <f>"475616482"</f>
        <v>475616482</v>
      </c>
      <c r="G8489" s="1">
        <v>44811</v>
      </c>
      <c r="H8489" t="str">
        <f t="shared" si="1858"/>
        <v>89312</v>
      </c>
      <c r="I8489">
        <v>3</v>
      </c>
      <c r="J8489">
        <v>906</v>
      </c>
      <c r="K8489">
        <v>0</v>
      </c>
      <c r="L8489">
        <v>951.3</v>
      </c>
    </row>
    <row r="8490" spans="1:12" x14ac:dyDescent="0.25">
      <c r="A8490" t="str">
        <f t="shared" si="1854"/>
        <v>89301000</v>
      </c>
      <c r="B8490" t="str">
        <f t="shared" si="1856"/>
        <v>89063000</v>
      </c>
      <c r="C8490" t="str">
        <f t="shared" si="1856"/>
        <v>89063000</v>
      </c>
      <c r="D8490" t="str">
        <f t="shared" si="1855"/>
        <v>809</v>
      </c>
      <c r="E8490" t="str">
        <f>"89301037"</f>
        <v>89301037</v>
      </c>
      <c r="F8490" t="str">
        <f>"7062122980"</f>
        <v>7062122980</v>
      </c>
      <c r="G8490" s="1">
        <v>44811</v>
      </c>
      <c r="H8490" t="str">
        <f t="shared" si="1858"/>
        <v>89312</v>
      </c>
      <c r="I8490">
        <v>3</v>
      </c>
      <c r="J8490">
        <v>906</v>
      </c>
      <c r="K8490">
        <v>0</v>
      </c>
      <c r="L8490">
        <v>951.3</v>
      </c>
    </row>
    <row r="8491" spans="1:12" x14ac:dyDescent="0.25">
      <c r="A8491" t="str">
        <f t="shared" si="1854"/>
        <v>89301000</v>
      </c>
      <c r="B8491" t="str">
        <f t="shared" si="1856"/>
        <v>89063000</v>
      </c>
      <c r="C8491" t="str">
        <f t="shared" si="1856"/>
        <v>89063000</v>
      </c>
      <c r="D8491" t="str">
        <f t="shared" si="1855"/>
        <v>809</v>
      </c>
      <c r="E8491" t="str">
        <f>"89301037"</f>
        <v>89301037</v>
      </c>
      <c r="F8491" t="str">
        <f>"6159271206"</f>
        <v>6159271206</v>
      </c>
      <c r="G8491" s="1">
        <v>44811</v>
      </c>
      <c r="H8491" t="str">
        <f t="shared" si="1858"/>
        <v>89312</v>
      </c>
      <c r="I8491">
        <v>3</v>
      </c>
      <c r="J8491">
        <v>906</v>
      </c>
      <c r="K8491">
        <v>0</v>
      </c>
      <c r="L8491">
        <v>951.3</v>
      </c>
    </row>
    <row r="8492" spans="1:12" x14ac:dyDescent="0.25">
      <c r="A8492" t="str">
        <f t="shared" si="1854"/>
        <v>89301000</v>
      </c>
      <c r="B8492" t="str">
        <f t="shared" si="1856"/>
        <v>89063000</v>
      </c>
      <c r="C8492" t="str">
        <f t="shared" si="1856"/>
        <v>89063000</v>
      </c>
      <c r="D8492" t="str">
        <f t="shared" si="1855"/>
        <v>809</v>
      </c>
      <c r="E8492" t="str">
        <f>"89301037"</f>
        <v>89301037</v>
      </c>
      <c r="F8492" t="str">
        <f>"6755070751"</f>
        <v>6755070751</v>
      </c>
      <c r="G8492" s="1">
        <v>44811</v>
      </c>
      <c r="H8492" t="str">
        <f t="shared" si="1858"/>
        <v>89312</v>
      </c>
      <c r="I8492">
        <v>3</v>
      </c>
      <c r="J8492">
        <v>906</v>
      </c>
      <c r="K8492">
        <v>0</v>
      </c>
      <c r="L8492">
        <v>951.3</v>
      </c>
    </row>
    <row r="8493" spans="1:12" x14ac:dyDescent="0.25">
      <c r="A8493" t="str">
        <f t="shared" si="1854"/>
        <v>89301000</v>
      </c>
      <c r="B8493" t="str">
        <f t="shared" si="1856"/>
        <v>89063000</v>
      </c>
      <c r="C8493" t="str">
        <f t="shared" si="1856"/>
        <v>89063000</v>
      </c>
      <c r="D8493" t="str">
        <f t="shared" si="1855"/>
        <v>809</v>
      </c>
      <c r="E8493" t="str">
        <f>"89301039"</f>
        <v>89301039</v>
      </c>
      <c r="F8493" t="str">
        <f>"510605244"</f>
        <v>510605244</v>
      </c>
      <c r="G8493" s="1">
        <v>44811</v>
      </c>
      <c r="H8493" t="str">
        <f t="shared" si="1858"/>
        <v>89312</v>
      </c>
      <c r="I8493">
        <v>3</v>
      </c>
      <c r="J8493">
        <v>906</v>
      </c>
      <c r="K8493">
        <v>0</v>
      </c>
      <c r="L8493">
        <v>951.3</v>
      </c>
    </row>
    <row r="8494" spans="1:12" x14ac:dyDescent="0.25">
      <c r="A8494" t="str">
        <f t="shared" si="1854"/>
        <v>89301000</v>
      </c>
      <c r="B8494" t="str">
        <f t="shared" si="1856"/>
        <v>89063000</v>
      </c>
      <c r="C8494" t="str">
        <f t="shared" si="1856"/>
        <v>89063000</v>
      </c>
      <c r="D8494" t="str">
        <f t="shared" si="1855"/>
        <v>809</v>
      </c>
      <c r="E8494" t="str">
        <f>"89301039"</f>
        <v>89301039</v>
      </c>
      <c r="F8494" t="str">
        <f>"500111206"</f>
        <v>500111206</v>
      </c>
      <c r="G8494" s="1">
        <v>44811</v>
      </c>
      <c r="H8494" t="str">
        <f t="shared" si="1858"/>
        <v>89312</v>
      </c>
      <c r="I8494">
        <v>3</v>
      </c>
      <c r="J8494">
        <v>906</v>
      </c>
      <c r="K8494">
        <v>0</v>
      </c>
      <c r="L8494">
        <v>951.3</v>
      </c>
    </row>
    <row r="8495" spans="1:12" x14ac:dyDescent="0.25">
      <c r="A8495" t="str">
        <f t="shared" si="1854"/>
        <v>89301000</v>
      </c>
      <c r="B8495" t="str">
        <f t="shared" si="1856"/>
        <v>89063000</v>
      </c>
      <c r="C8495" t="str">
        <f t="shared" si="1856"/>
        <v>89063000</v>
      </c>
      <c r="D8495" t="str">
        <f t="shared" si="1855"/>
        <v>809</v>
      </c>
      <c r="E8495" t="str">
        <f>"89301036"</f>
        <v>89301036</v>
      </c>
      <c r="F8495" t="str">
        <f>"7159255796"</f>
        <v>7159255796</v>
      </c>
      <c r="G8495" s="1">
        <v>44811</v>
      </c>
      <c r="H8495" t="str">
        <f t="shared" si="1858"/>
        <v>89312</v>
      </c>
      <c r="I8495">
        <v>3</v>
      </c>
      <c r="J8495">
        <v>906</v>
      </c>
      <c r="K8495">
        <v>0</v>
      </c>
      <c r="L8495">
        <v>951.3</v>
      </c>
    </row>
    <row r="8496" spans="1:12" x14ac:dyDescent="0.25">
      <c r="A8496" t="str">
        <f t="shared" si="1854"/>
        <v>89301000</v>
      </c>
      <c r="B8496" t="str">
        <f t="shared" si="1856"/>
        <v>89063000</v>
      </c>
      <c r="C8496" t="str">
        <f t="shared" si="1856"/>
        <v>89063000</v>
      </c>
      <c r="D8496" t="str">
        <f t="shared" si="1855"/>
        <v>809</v>
      </c>
      <c r="E8496" t="str">
        <f>"89301036"</f>
        <v>89301036</v>
      </c>
      <c r="F8496" t="str">
        <f>"5553310598"</f>
        <v>5553310598</v>
      </c>
      <c r="G8496" s="1">
        <v>44811</v>
      </c>
      <c r="H8496" t="str">
        <f t="shared" si="1858"/>
        <v>89312</v>
      </c>
      <c r="I8496">
        <v>3</v>
      </c>
      <c r="J8496">
        <v>906</v>
      </c>
      <c r="K8496">
        <v>0</v>
      </c>
      <c r="L8496">
        <v>951.3</v>
      </c>
    </row>
    <row r="8497" spans="1:12" x14ac:dyDescent="0.25">
      <c r="A8497" t="str">
        <f t="shared" si="1854"/>
        <v>89301000</v>
      </c>
      <c r="B8497" t="str">
        <f t="shared" si="1856"/>
        <v>89063000</v>
      </c>
      <c r="C8497" t="str">
        <f t="shared" si="1856"/>
        <v>89063000</v>
      </c>
      <c r="D8497" t="str">
        <f t="shared" si="1855"/>
        <v>809</v>
      </c>
      <c r="E8497" t="str">
        <f>"89301162"</f>
        <v>89301162</v>
      </c>
      <c r="F8497" t="str">
        <f>"6108061113"</f>
        <v>6108061113</v>
      </c>
      <c r="G8497" s="1">
        <v>44811</v>
      </c>
      <c r="H8497" t="str">
        <f t="shared" si="1858"/>
        <v>89312</v>
      </c>
      <c r="I8497">
        <v>3</v>
      </c>
      <c r="J8497">
        <v>906</v>
      </c>
      <c r="K8497">
        <v>0</v>
      </c>
      <c r="L8497">
        <v>951.3</v>
      </c>
    </row>
    <row r="8498" spans="1:12" x14ac:dyDescent="0.25">
      <c r="A8498" t="str">
        <f t="shared" si="1854"/>
        <v>89301000</v>
      </c>
      <c r="B8498" t="str">
        <f t="shared" ref="B8498:C8517" si="1859">"89063000"</f>
        <v>89063000</v>
      </c>
      <c r="C8498" t="str">
        <f t="shared" si="1859"/>
        <v>89063000</v>
      </c>
      <c r="D8498" t="str">
        <f t="shared" si="1855"/>
        <v>809</v>
      </c>
      <c r="E8498" t="str">
        <f>"89301039"</f>
        <v>89301039</v>
      </c>
      <c r="F8498" t="str">
        <f>"6602161401"</f>
        <v>6602161401</v>
      </c>
      <c r="G8498" s="1">
        <v>44812</v>
      </c>
      <c r="H8498" t="str">
        <f t="shared" si="1858"/>
        <v>89312</v>
      </c>
      <c r="I8498">
        <v>3</v>
      </c>
      <c r="J8498">
        <v>906</v>
      </c>
      <c r="K8498">
        <v>0</v>
      </c>
      <c r="L8498">
        <v>951.3</v>
      </c>
    </row>
    <row r="8499" spans="1:12" x14ac:dyDescent="0.25">
      <c r="A8499" t="str">
        <f t="shared" si="1854"/>
        <v>89301000</v>
      </c>
      <c r="B8499" t="str">
        <f t="shared" si="1859"/>
        <v>89063000</v>
      </c>
      <c r="C8499" t="str">
        <f t="shared" si="1859"/>
        <v>89063000</v>
      </c>
      <c r="D8499" t="str">
        <f t="shared" si="1855"/>
        <v>809</v>
      </c>
      <c r="E8499" t="str">
        <f>"89301102"</f>
        <v>89301102</v>
      </c>
      <c r="F8499" t="str">
        <f>"1701271935"</f>
        <v>1701271935</v>
      </c>
      <c r="G8499" s="1">
        <v>44812</v>
      </c>
      <c r="H8499" t="str">
        <f t="shared" si="1858"/>
        <v>89312</v>
      </c>
      <c r="I8499">
        <v>1</v>
      </c>
      <c r="J8499">
        <v>302</v>
      </c>
      <c r="K8499">
        <v>0</v>
      </c>
      <c r="L8499">
        <v>317.10000000000002</v>
      </c>
    </row>
    <row r="8500" spans="1:12" x14ac:dyDescent="0.25">
      <c r="A8500" t="str">
        <f t="shared" si="1854"/>
        <v>89301000</v>
      </c>
      <c r="B8500" t="str">
        <f t="shared" si="1859"/>
        <v>89063000</v>
      </c>
      <c r="C8500" t="str">
        <f t="shared" si="1859"/>
        <v>89063000</v>
      </c>
      <c r="D8500" t="str">
        <f t="shared" si="1855"/>
        <v>809</v>
      </c>
      <c r="E8500" t="str">
        <f>"89301037"</f>
        <v>89301037</v>
      </c>
      <c r="F8500" t="str">
        <f>"515503034"</f>
        <v>515503034</v>
      </c>
      <c r="G8500" s="1">
        <v>44812</v>
      </c>
      <c r="H8500" t="str">
        <f t="shared" si="1858"/>
        <v>89312</v>
      </c>
      <c r="I8500">
        <v>3</v>
      </c>
      <c r="J8500">
        <v>906</v>
      </c>
      <c r="K8500">
        <v>0</v>
      </c>
      <c r="L8500">
        <v>951.3</v>
      </c>
    </row>
    <row r="8501" spans="1:12" x14ac:dyDescent="0.25">
      <c r="A8501" t="str">
        <f t="shared" si="1854"/>
        <v>89301000</v>
      </c>
      <c r="B8501" t="str">
        <f t="shared" si="1859"/>
        <v>89063000</v>
      </c>
      <c r="C8501" t="str">
        <f t="shared" si="1859"/>
        <v>89063000</v>
      </c>
      <c r="D8501" t="str">
        <f t="shared" si="1855"/>
        <v>809</v>
      </c>
      <c r="E8501" t="str">
        <f>"89301039"</f>
        <v>89301039</v>
      </c>
      <c r="F8501" t="str">
        <f>"8761114923"</f>
        <v>8761114923</v>
      </c>
      <c r="G8501" s="1">
        <v>44813</v>
      </c>
      <c r="H8501" t="str">
        <f t="shared" si="1858"/>
        <v>89312</v>
      </c>
      <c r="I8501">
        <v>3</v>
      </c>
      <c r="J8501">
        <v>906</v>
      </c>
      <c r="K8501">
        <v>0</v>
      </c>
      <c r="L8501">
        <v>951.3</v>
      </c>
    </row>
    <row r="8502" spans="1:12" x14ac:dyDescent="0.25">
      <c r="A8502" t="str">
        <f t="shared" si="1854"/>
        <v>89301000</v>
      </c>
      <c r="B8502" t="str">
        <f t="shared" si="1859"/>
        <v>89063000</v>
      </c>
      <c r="C8502" t="str">
        <f t="shared" si="1859"/>
        <v>89063000</v>
      </c>
      <c r="D8502" t="str">
        <f t="shared" si="1855"/>
        <v>809</v>
      </c>
      <c r="E8502" t="str">
        <f>"89301039"</f>
        <v>89301039</v>
      </c>
      <c r="F8502" t="str">
        <f>"8356014876"</f>
        <v>8356014876</v>
      </c>
      <c r="G8502" s="1">
        <v>44813</v>
      </c>
      <c r="H8502" t="str">
        <f t="shared" si="1858"/>
        <v>89312</v>
      </c>
      <c r="I8502">
        <v>3</v>
      </c>
      <c r="J8502">
        <v>906</v>
      </c>
      <c r="K8502">
        <v>0</v>
      </c>
      <c r="L8502">
        <v>951.3</v>
      </c>
    </row>
    <row r="8503" spans="1:12" x14ac:dyDescent="0.25">
      <c r="A8503" t="str">
        <f t="shared" si="1854"/>
        <v>89301000</v>
      </c>
      <c r="B8503" t="str">
        <f t="shared" si="1859"/>
        <v>89063000</v>
      </c>
      <c r="C8503" t="str">
        <f t="shared" si="1859"/>
        <v>89063000</v>
      </c>
      <c r="D8503" t="str">
        <f t="shared" si="1855"/>
        <v>809</v>
      </c>
      <c r="E8503" t="str">
        <f>"89301039"</f>
        <v>89301039</v>
      </c>
      <c r="F8503" t="str">
        <f>"8507095817"</f>
        <v>8507095817</v>
      </c>
      <c r="G8503" s="1">
        <v>44813</v>
      </c>
      <c r="H8503" t="str">
        <f t="shared" si="1858"/>
        <v>89312</v>
      </c>
      <c r="I8503">
        <v>3</v>
      </c>
      <c r="J8503">
        <v>906</v>
      </c>
      <c r="K8503">
        <v>0</v>
      </c>
      <c r="L8503">
        <v>951.3</v>
      </c>
    </row>
    <row r="8504" spans="1:12" x14ac:dyDescent="0.25">
      <c r="A8504" t="str">
        <f t="shared" si="1854"/>
        <v>89301000</v>
      </c>
      <c r="B8504" t="str">
        <f t="shared" si="1859"/>
        <v>89063000</v>
      </c>
      <c r="C8504" t="str">
        <f t="shared" si="1859"/>
        <v>89063000</v>
      </c>
      <c r="D8504" t="str">
        <f t="shared" si="1855"/>
        <v>809</v>
      </c>
      <c r="E8504" t="str">
        <f>"89301037"</f>
        <v>89301037</v>
      </c>
      <c r="F8504" t="str">
        <f>"8552255767"</f>
        <v>8552255767</v>
      </c>
      <c r="G8504" s="1">
        <v>44816</v>
      </c>
      <c r="H8504" t="str">
        <f t="shared" si="1858"/>
        <v>89312</v>
      </c>
      <c r="I8504">
        <v>3</v>
      </c>
      <c r="J8504">
        <v>906</v>
      </c>
      <c r="K8504">
        <v>0</v>
      </c>
      <c r="L8504">
        <v>951.3</v>
      </c>
    </row>
    <row r="8505" spans="1:12" x14ac:dyDescent="0.25">
      <c r="A8505" t="str">
        <f t="shared" si="1854"/>
        <v>89301000</v>
      </c>
      <c r="B8505" t="str">
        <f t="shared" si="1859"/>
        <v>89063000</v>
      </c>
      <c r="C8505" t="str">
        <f t="shared" si="1859"/>
        <v>89063000</v>
      </c>
      <c r="D8505" t="str">
        <f t="shared" si="1855"/>
        <v>809</v>
      </c>
      <c r="E8505" t="str">
        <f>"89301102"</f>
        <v>89301102</v>
      </c>
      <c r="F8505" t="str">
        <f>"0906033249"</f>
        <v>0906033249</v>
      </c>
      <c r="G8505" s="1">
        <v>44816</v>
      </c>
      <c r="H8505" t="str">
        <f t="shared" si="1858"/>
        <v>89312</v>
      </c>
      <c r="I8505">
        <v>1</v>
      </c>
      <c r="J8505">
        <v>302</v>
      </c>
      <c r="K8505">
        <v>0</v>
      </c>
      <c r="L8505">
        <v>317.10000000000002</v>
      </c>
    </row>
    <row r="8506" spans="1:12" x14ac:dyDescent="0.25">
      <c r="A8506" t="str">
        <f t="shared" si="1854"/>
        <v>89301000</v>
      </c>
      <c r="B8506" t="str">
        <f t="shared" si="1859"/>
        <v>89063000</v>
      </c>
      <c r="C8506" t="str">
        <f t="shared" si="1859"/>
        <v>89063000</v>
      </c>
      <c r="D8506" t="str">
        <f t="shared" si="1855"/>
        <v>809</v>
      </c>
      <c r="E8506" t="str">
        <f>"89301036"</f>
        <v>89301036</v>
      </c>
      <c r="F8506" t="str">
        <f>"491024028"</f>
        <v>491024028</v>
      </c>
      <c r="G8506" s="1">
        <v>44816</v>
      </c>
      <c r="H8506" t="str">
        <f t="shared" si="1858"/>
        <v>89312</v>
      </c>
      <c r="I8506">
        <v>3</v>
      </c>
      <c r="J8506">
        <v>906</v>
      </c>
      <c r="K8506">
        <v>0</v>
      </c>
      <c r="L8506">
        <v>951.3</v>
      </c>
    </row>
    <row r="8507" spans="1:12" x14ac:dyDescent="0.25">
      <c r="A8507" t="str">
        <f t="shared" si="1854"/>
        <v>89301000</v>
      </c>
      <c r="B8507" t="str">
        <f t="shared" si="1859"/>
        <v>89063000</v>
      </c>
      <c r="C8507" t="str">
        <f t="shared" si="1859"/>
        <v>89063000</v>
      </c>
      <c r="D8507" t="str">
        <f t="shared" ref="D8507:D8538" si="1860">"809"</f>
        <v>809</v>
      </c>
      <c r="E8507" t="str">
        <f>"89301037"</f>
        <v>89301037</v>
      </c>
      <c r="F8507" t="str">
        <f>"506122161"</f>
        <v>506122161</v>
      </c>
      <c r="G8507" s="1">
        <v>44817</v>
      </c>
      <c r="H8507" t="str">
        <f t="shared" si="1858"/>
        <v>89312</v>
      </c>
      <c r="I8507">
        <v>3</v>
      </c>
      <c r="J8507">
        <v>906</v>
      </c>
      <c r="K8507">
        <v>0</v>
      </c>
      <c r="L8507">
        <v>951.3</v>
      </c>
    </row>
    <row r="8508" spans="1:12" x14ac:dyDescent="0.25">
      <c r="A8508" t="str">
        <f t="shared" si="1854"/>
        <v>89301000</v>
      </c>
      <c r="B8508" t="str">
        <f t="shared" si="1859"/>
        <v>89063000</v>
      </c>
      <c r="C8508" t="str">
        <f t="shared" si="1859"/>
        <v>89063000</v>
      </c>
      <c r="D8508" t="str">
        <f t="shared" si="1860"/>
        <v>809</v>
      </c>
      <c r="E8508" t="str">
        <f>"89301037"</f>
        <v>89301037</v>
      </c>
      <c r="F8508" t="str">
        <f>"476008402"</f>
        <v>476008402</v>
      </c>
      <c r="G8508" s="1">
        <v>44817</v>
      </c>
      <c r="H8508" t="str">
        <f t="shared" si="1858"/>
        <v>89312</v>
      </c>
      <c r="I8508">
        <v>3</v>
      </c>
      <c r="J8508">
        <v>906</v>
      </c>
      <c r="K8508">
        <v>0</v>
      </c>
      <c r="L8508">
        <v>951.3</v>
      </c>
    </row>
    <row r="8509" spans="1:12" x14ac:dyDescent="0.25">
      <c r="A8509" t="str">
        <f t="shared" si="1854"/>
        <v>89301000</v>
      </c>
      <c r="B8509" t="str">
        <f t="shared" si="1859"/>
        <v>89063000</v>
      </c>
      <c r="C8509" t="str">
        <f t="shared" si="1859"/>
        <v>89063000</v>
      </c>
      <c r="D8509" t="str">
        <f t="shared" si="1860"/>
        <v>809</v>
      </c>
      <c r="E8509" t="str">
        <f>"89301702"</f>
        <v>89301702</v>
      </c>
      <c r="F8509" t="str">
        <f>"1153310257"</f>
        <v>1153310257</v>
      </c>
      <c r="G8509" s="1">
        <v>44817</v>
      </c>
      <c r="H8509" t="str">
        <f t="shared" si="1858"/>
        <v>89312</v>
      </c>
      <c r="I8509">
        <v>1</v>
      </c>
      <c r="J8509">
        <v>302</v>
      </c>
      <c r="K8509">
        <v>0</v>
      </c>
      <c r="L8509">
        <v>317.10000000000002</v>
      </c>
    </row>
    <row r="8510" spans="1:12" x14ac:dyDescent="0.25">
      <c r="A8510" t="str">
        <f t="shared" si="1854"/>
        <v>89301000</v>
      </c>
      <c r="B8510" t="str">
        <f t="shared" si="1859"/>
        <v>89063000</v>
      </c>
      <c r="C8510" t="str">
        <f t="shared" si="1859"/>
        <v>89063000</v>
      </c>
      <c r="D8510" t="str">
        <f t="shared" si="1860"/>
        <v>809</v>
      </c>
      <c r="E8510" t="str">
        <f t="shared" ref="E8510:E8518" si="1861">"89301037"</f>
        <v>89301037</v>
      </c>
      <c r="F8510" t="str">
        <f>"6560151664"</f>
        <v>6560151664</v>
      </c>
      <c r="G8510" s="1">
        <v>44818</v>
      </c>
      <c r="H8510" t="str">
        <f t="shared" ref="H8510:H8541" si="1862">"89312"</f>
        <v>89312</v>
      </c>
      <c r="I8510">
        <v>3</v>
      </c>
      <c r="J8510">
        <v>906</v>
      </c>
      <c r="K8510">
        <v>0</v>
      </c>
      <c r="L8510">
        <v>951.3</v>
      </c>
    </row>
    <row r="8511" spans="1:12" x14ac:dyDescent="0.25">
      <c r="A8511" t="str">
        <f t="shared" si="1854"/>
        <v>89301000</v>
      </c>
      <c r="B8511" t="str">
        <f t="shared" si="1859"/>
        <v>89063000</v>
      </c>
      <c r="C8511" t="str">
        <f t="shared" si="1859"/>
        <v>89063000</v>
      </c>
      <c r="D8511" t="str">
        <f t="shared" si="1860"/>
        <v>809</v>
      </c>
      <c r="E8511" t="str">
        <f t="shared" si="1861"/>
        <v>89301037</v>
      </c>
      <c r="F8511" t="str">
        <f>"7453155765"</f>
        <v>7453155765</v>
      </c>
      <c r="G8511" s="1">
        <v>44818</v>
      </c>
      <c r="H8511" t="str">
        <f t="shared" si="1862"/>
        <v>89312</v>
      </c>
      <c r="I8511">
        <v>3</v>
      </c>
      <c r="J8511">
        <v>906</v>
      </c>
      <c r="K8511">
        <v>0</v>
      </c>
      <c r="L8511">
        <v>951.3</v>
      </c>
    </row>
    <row r="8512" spans="1:12" x14ac:dyDescent="0.25">
      <c r="A8512" t="str">
        <f t="shared" si="1854"/>
        <v>89301000</v>
      </c>
      <c r="B8512" t="str">
        <f t="shared" si="1859"/>
        <v>89063000</v>
      </c>
      <c r="C8512" t="str">
        <f t="shared" si="1859"/>
        <v>89063000</v>
      </c>
      <c r="D8512" t="str">
        <f t="shared" si="1860"/>
        <v>809</v>
      </c>
      <c r="E8512" t="str">
        <f t="shared" si="1861"/>
        <v>89301037</v>
      </c>
      <c r="F8512" t="str">
        <f>"6458121637"</f>
        <v>6458121637</v>
      </c>
      <c r="G8512" s="1">
        <v>44818</v>
      </c>
      <c r="H8512" t="str">
        <f t="shared" si="1862"/>
        <v>89312</v>
      </c>
      <c r="I8512">
        <v>3</v>
      </c>
      <c r="J8512">
        <v>906</v>
      </c>
      <c r="K8512">
        <v>0</v>
      </c>
      <c r="L8512">
        <v>951.3</v>
      </c>
    </row>
    <row r="8513" spans="1:12" x14ac:dyDescent="0.25">
      <c r="A8513" t="str">
        <f t="shared" si="1854"/>
        <v>89301000</v>
      </c>
      <c r="B8513" t="str">
        <f t="shared" si="1859"/>
        <v>89063000</v>
      </c>
      <c r="C8513" t="str">
        <f t="shared" si="1859"/>
        <v>89063000</v>
      </c>
      <c r="D8513" t="str">
        <f t="shared" si="1860"/>
        <v>809</v>
      </c>
      <c r="E8513" t="str">
        <f t="shared" si="1861"/>
        <v>89301037</v>
      </c>
      <c r="F8513" t="str">
        <f>"8353145383"</f>
        <v>8353145383</v>
      </c>
      <c r="G8513" s="1">
        <v>44819</v>
      </c>
      <c r="H8513" t="str">
        <f t="shared" si="1862"/>
        <v>89312</v>
      </c>
      <c r="I8513">
        <v>3</v>
      </c>
      <c r="J8513">
        <v>906</v>
      </c>
      <c r="K8513">
        <v>0</v>
      </c>
      <c r="L8513">
        <v>951.3</v>
      </c>
    </row>
    <row r="8514" spans="1:12" x14ac:dyDescent="0.25">
      <c r="A8514" t="str">
        <f t="shared" ref="A8514:A8577" si="1863">"89301000"</f>
        <v>89301000</v>
      </c>
      <c r="B8514" t="str">
        <f t="shared" si="1859"/>
        <v>89063000</v>
      </c>
      <c r="C8514" t="str">
        <f t="shared" si="1859"/>
        <v>89063000</v>
      </c>
      <c r="D8514" t="str">
        <f t="shared" si="1860"/>
        <v>809</v>
      </c>
      <c r="E8514" t="str">
        <f t="shared" si="1861"/>
        <v>89301037</v>
      </c>
      <c r="F8514" t="str">
        <f>"435315412"</f>
        <v>435315412</v>
      </c>
      <c r="G8514" s="1">
        <v>44819</v>
      </c>
      <c r="H8514" t="str">
        <f t="shared" si="1862"/>
        <v>89312</v>
      </c>
      <c r="I8514">
        <v>3</v>
      </c>
      <c r="J8514">
        <v>906</v>
      </c>
      <c r="K8514">
        <v>0</v>
      </c>
      <c r="L8514">
        <v>951.3</v>
      </c>
    </row>
    <row r="8515" spans="1:12" x14ac:dyDescent="0.25">
      <c r="A8515" t="str">
        <f t="shared" si="1863"/>
        <v>89301000</v>
      </c>
      <c r="B8515" t="str">
        <f t="shared" si="1859"/>
        <v>89063000</v>
      </c>
      <c r="C8515" t="str">
        <f t="shared" si="1859"/>
        <v>89063000</v>
      </c>
      <c r="D8515" t="str">
        <f t="shared" si="1860"/>
        <v>809</v>
      </c>
      <c r="E8515" t="str">
        <f t="shared" si="1861"/>
        <v>89301037</v>
      </c>
      <c r="F8515" t="str">
        <f>"465812176"</f>
        <v>465812176</v>
      </c>
      <c r="G8515" s="1">
        <v>44831</v>
      </c>
      <c r="H8515" t="str">
        <f t="shared" si="1862"/>
        <v>89312</v>
      </c>
      <c r="I8515">
        <v>3</v>
      </c>
      <c r="J8515">
        <v>906</v>
      </c>
      <c r="K8515">
        <v>0</v>
      </c>
      <c r="L8515">
        <v>951.3</v>
      </c>
    </row>
    <row r="8516" spans="1:12" x14ac:dyDescent="0.25">
      <c r="A8516" t="str">
        <f t="shared" si="1863"/>
        <v>89301000</v>
      </c>
      <c r="B8516" t="str">
        <f t="shared" si="1859"/>
        <v>89063000</v>
      </c>
      <c r="C8516" t="str">
        <f t="shared" si="1859"/>
        <v>89063000</v>
      </c>
      <c r="D8516" t="str">
        <f t="shared" si="1860"/>
        <v>809</v>
      </c>
      <c r="E8516" t="str">
        <f t="shared" si="1861"/>
        <v>89301037</v>
      </c>
      <c r="F8516" t="str">
        <f>"8257155335"</f>
        <v>8257155335</v>
      </c>
      <c r="G8516" s="1">
        <v>44820</v>
      </c>
      <c r="H8516" t="str">
        <f t="shared" si="1862"/>
        <v>89312</v>
      </c>
      <c r="I8516">
        <v>3</v>
      </c>
      <c r="J8516">
        <v>906</v>
      </c>
      <c r="K8516">
        <v>0</v>
      </c>
      <c r="L8516">
        <v>951.3</v>
      </c>
    </row>
    <row r="8517" spans="1:12" x14ac:dyDescent="0.25">
      <c r="A8517" t="str">
        <f t="shared" si="1863"/>
        <v>89301000</v>
      </c>
      <c r="B8517" t="str">
        <f t="shared" si="1859"/>
        <v>89063000</v>
      </c>
      <c r="C8517" t="str">
        <f t="shared" si="1859"/>
        <v>89063000</v>
      </c>
      <c r="D8517" t="str">
        <f t="shared" si="1860"/>
        <v>809</v>
      </c>
      <c r="E8517" t="str">
        <f t="shared" si="1861"/>
        <v>89301037</v>
      </c>
      <c r="F8517" t="str">
        <f>"7062065450"</f>
        <v>7062065450</v>
      </c>
      <c r="G8517" s="1">
        <v>44820</v>
      </c>
      <c r="H8517" t="str">
        <f t="shared" si="1862"/>
        <v>89312</v>
      </c>
      <c r="I8517">
        <v>3</v>
      </c>
      <c r="J8517">
        <v>906</v>
      </c>
      <c r="K8517">
        <v>0</v>
      </c>
      <c r="L8517">
        <v>951.3</v>
      </c>
    </row>
    <row r="8518" spans="1:12" x14ac:dyDescent="0.25">
      <c r="A8518" t="str">
        <f t="shared" si="1863"/>
        <v>89301000</v>
      </c>
      <c r="B8518" t="str">
        <f t="shared" ref="B8518:C8537" si="1864">"89063000"</f>
        <v>89063000</v>
      </c>
      <c r="C8518" t="str">
        <f t="shared" si="1864"/>
        <v>89063000</v>
      </c>
      <c r="D8518" t="str">
        <f t="shared" si="1860"/>
        <v>809</v>
      </c>
      <c r="E8518" t="str">
        <f t="shared" si="1861"/>
        <v>89301037</v>
      </c>
      <c r="F8518" t="str">
        <f>"8156085311"</f>
        <v>8156085311</v>
      </c>
      <c r="G8518" s="1">
        <v>44820</v>
      </c>
      <c r="H8518" t="str">
        <f t="shared" si="1862"/>
        <v>89312</v>
      </c>
      <c r="I8518">
        <v>3</v>
      </c>
      <c r="J8518">
        <v>906</v>
      </c>
      <c r="K8518">
        <v>0</v>
      </c>
      <c r="L8518">
        <v>951.3</v>
      </c>
    </row>
    <row r="8519" spans="1:12" x14ac:dyDescent="0.25">
      <c r="A8519" t="str">
        <f t="shared" si="1863"/>
        <v>89301000</v>
      </c>
      <c r="B8519" t="str">
        <f t="shared" si="1864"/>
        <v>89063000</v>
      </c>
      <c r="C8519" t="str">
        <f t="shared" si="1864"/>
        <v>89063000</v>
      </c>
      <c r="D8519" t="str">
        <f t="shared" si="1860"/>
        <v>809</v>
      </c>
      <c r="E8519" t="str">
        <f>"89301039"</f>
        <v>89301039</v>
      </c>
      <c r="F8519" t="str">
        <f>"9361125400"</f>
        <v>9361125400</v>
      </c>
      <c r="G8519" s="1">
        <v>44820</v>
      </c>
      <c r="H8519" t="str">
        <f t="shared" si="1862"/>
        <v>89312</v>
      </c>
      <c r="I8519">
        <v>3</v>
      </c>
      <c r="J8519">
        <v>906</v>
      </c>
      <c r="K8519">
        <v>0</v>
      </c>
      <c r="L8519">
        <v>951.3</v>
      </c>
    </row>
    <row r="8520" spans="1:12" x14ac:dyDescent="0.25">
      <c r="A8520" t="str">
        <f t="shared" si="1863"/>
        <v>89301000</v>
      </c>
      <c r="B8520" t="str">
        <f t="shared" si="1864"/>
        <v>89063000</v>
      </c>
      <c r="C8520" t="str">
        <f t="shared" si="1864"/>
        <v>89063000</v>
      </c>
      <c r="D8520" t="str">
        <f t="shared" si="1860"/>
        <v>809</v>
      </c>
      <c r="E8520" t="str">
        <f t="shared" ref="E8520:E8528" si="1865">"89301037"</f>
        <v>89301037</v>
      </c>
      <c r="F8520" t="str">
        <f>"7360215764"</f>
        <v>7360215764</v>
      </c>
      <c r="G8520" s="1">
        <v>44820</v>
      </c>
      <c r="H8520" t="str">
        <f t="shared" si="1862"/>
        <v>89312</v>
      </c>
      <c r="I8520">
        <v>3</v>
      </c>
      <c r="J8520">
        <v>906</v>
      </c>
      <c r="K8520">
        <v>0</v>
      </c>
      <c r="L8520">
        <v>951.3</v>
      </c>
    </row>
    <row r="8521" spans="1:12" x14ac:dyDescent="0.25">
      <c r="A8521" t="str">
        <f t="shared" si="1863"/>
        <v>89301000</v>
      </c>
      <c r="B8521" t="str">
        <f t="shared" si="1864"/>
        <v>89063000</v>
      </c>
      <c r="C8521" t="str">
        <f t="shared" si="1864"/>
        <v>89063000</v>
      </c>
      <c r="D8521" t="str">
        <f t="shared" si="1860"/>
        <v>809</v>
      </c>
      <c r="E8521" t="str">
        <f t="shared" si="1865"/>
        <v>89301037</v>
      </c>
      <c r="F8521" t="str">
        <f>"515821071"</f>
        <v>515821071</v>
      </c>
      <c r="G8521" s="1">
        <v>44820</v>
      </c>
      <c r="H8521" t="str">
        <f t="shared" si="1862"/>
        <v>89312</v>
      </c>
      <c r="I8521">
        <v>3</v>
      </c>
      <c r="J8521">
        <v>906</v>
      </c>
      <c r="K8521">
        <v>0</v>
      </c>
      <c r="L8521">
        <v>951.3</v>
      </c>
    </row>
    <row r="8522" spans="1:12" x14ac:dyDescent="0.25">
      <c r="A8522" t="str">
        <f t="shared" si="1863"/>
        <v>89301000</v>
      </c>
      <c r="B8522" t="str">
        <f t="shared" si="1864"/>
        <v>89063000</v>
      </c>
      <c r="C8522" t="str">
        <f t="shared" si="1864"/>
        <v>89063000</v>
      </c>
      <c r="D8522" t="str">
        <f t="shared" si="1860"/>
        <v>809</v>
      </c>
      <c r="E8522" t="str">
        <f t="shared" si="1865"/>
        <v>89301037</v>
      </c>
      <c r="F8522" t="str">
        <f>"7155015307"</f>
        <v>7155015307</v>
      </c>
      <c r="G8522" s="1">
        <v>44823</v>
      </c>
      <c r="H8522" t="str">
        <f t="shared" si="1862"/>
        <v>89312</v>
      </c>
      <c r="I8522">
        <v>3</v>
      </c>
      <c r="J8522">
        <v>906</v>
      </c>
      <c r="K8522">
        <v>0</v>
      </c>
      <c r="L8522">
        <v>951.3</v>
      </c>
    </row>
    <row r="8523" spans="1:12" x14ac:dyDescent="0.25">
      <c r="A8523" t="str">
        <f t="shared" si="1863"/>
        <v>89301000</v>
      </c>
      <c r="B8523" t="str">
        <f t="shared" si="1864"/>
        <v>89063000</v>
      </c>
      <c r="C8523" t="str">
        <f t="shared" si="1864"/>
        <v>89063000</v>
      </c>
      <c r="D8523" t="str">
        <f t="shared" si="1860"/>
        <v>809</v>
      </c>
      <c r="E8523" t="str">
        <f t="shared" si="1865"/>
        <v>89301037</v>
      </c>
      <c r="F8523" t="str">
        <f>"7759164886"</f>
        <v>7759164886</v>
      </c>
      <c r="G8523" s="1">
        <v>44823</v>
      </c>
      <c r="H8523" t="str">
        <f t="shared" si="1862"/>
        <v>89312</v>
      </c>
      <c r="I8523">
        <v>3</v>
      </c>
      <c r="J8523">
        <v>906</v>
      </c>
      <c r="K8523">
        <v>0</v>
      </c>
      <c r="L8523">
        <v>951.3</v>
      </c>
    </row>
    <row r="8524" spans="1:12" x14ac:dyDescent="0.25">
      <c r="A8524" t="str">
        <f t="shared" si="1863"/>
        <v>89301000</v>
      </c>
      <c r="B8524" t="str">
        <f t="shared" si="1864"/>
        <v>89063000</v>
      </c>
      <c r="C8524" t="str">
        <f t="shared" si="1864"/>
        <v>89063000</v>
      </c>
      <c r="D8524" t="str">
        <f t="shared" si="1860"/>
        <v>809</v>
      </c>
      <c r="E8524" t="str">
        <f t="shared" si="1865"/>
        <v>89301037</v>
      </c>
      <c r="F8524" t="str">
        <f>"5959091468"</f>
        <v>5959091468</v>
      </c>
      <c r="G8524" s="1">
        <v>44823</v>
      </c>
      <c r="H8524" t="str">
        <f t="shared" si="1862"/>
        <v>89312</v>
      </c>
      <c r="I8524">
        <v>3</v>
      </c>
      <c r="J8524">
        <v>906</v>
      </c>
      <c r="K8524">
        <v>0</v>
      </c>
      <c r="L8524">
        <v>951.3</v>
      </c>
    </row>
    <row r="8525" spans="1:12" x14ac:dyDescent="0.25">
      <c r="A8525" t="str">
        <f t="shared" si="1863"/>
        <v>89301000</v>
      </c>
      <c r="B8525" t="str">
        <f t="shared" si="1864"/>
        <v>89063000</v>
      </c>
      <c r="C8525" t="str">
        <f t="shared" si="1864"/>
        <v>89063000</v>
      </c>
      <c r="D8525" t="str">
        <f t="shared" si="1860"/>
        <v>809</v>
      </c>
      <c r="E8525" t="str">
        <f t="shared" si="1865"/>
        <v>89301037</v>
      </c>
      <c r="F8525" t="str">
        <f>"6861060602"</f>
        <v>6861060602</v>
      </c>
      <c r="G8525" s="1">
        <v>44823</v>
      </c>
      <c r="H8525" t="str">
        <f t="shared" si="1862"/>
        <v>89312</v>
      </c>
      <c r="I8525">
        <v>3</v>
      </c>
      <c r="J8525">
        <v>906</v>
      </c>
      <c r="K8525">
        <v>0</v>
      </c>
      <c r="L8525">
        <v>951.3</v>
      </c>
    </row>
    <row r="8526" spans="1:12" x14ac:dyDescent="0.25">
      <c r="A8526" t="str">
        <f t="shared" si="1863"/>
        <v>89301000</v>
      </c>
      <c r="B8526" t="str">
        <f t="shared" si="1864"/>
        <v>89063000</v>
      </c>
      <c r="C8526" t="str">
        <f t="shared" si="1864"/>
        <v>89063000</v>
      </c>
      <c r="D8526" t="str">
        <f t="shared" si="1860"/>
        <v>809</v>
      </c>
      <c r="E8526" t="str">
        <f t="shared" si="1865"/>
        <v>89301037</v>
      </c>
      <c r="F8526" t="str">
        <f>"6251050025"</f>
        <v>6251050025</v>
      </c>
      <c r="G8526" s="1">
        <v>44823</v>
      </c>
      <c r="H8526" t="str">
        <f t="shared" si="1862"/>
        <v>89312</v>
      </c>
      <c r="I8526">
        <v>3</v>
      </c>
      <c r="J8526">
        <v>906</v>
      </c>
      <c r="K8526">
        <v>0</v>
      </c>
      <c r="L8526">
        <v>951.3</v>
      </c>
    </row>
    <row r="8527" spans="1:12" x14ac:dyDescent="0.25">
      <c r="A8527" t="str">
        <f t="shared" si="1863"/>
        <v>89301000</v>
      </c>
      <c r="B8527" t="str">
        <f t="shared" si="1864"/>
        <v>89063000</v>
      </c>
      <c r="C8527" t="str">
        <f t="shared" si="1864"/>
        <v>89063000</v>
      </c>
      <c r="D8527" t="str">
        <f t="shared" si="1860"/>
        <v>809</v>
      </c>
      <c r="E8527" t="str">
        <f t="shared" si="1865"/>
        <v>89301037</v>
      </c>
      <c r="F8527" t="str">
        <f>"5802270144"</f>
        <v>5802270144</v>
      </c>
      <c r="G8527" s="1">
        <v>44824</v>
      </c>
      <c r="H8527" t="str">
        <f t="shared" si="1862"/>
        <v>89312</v>
      </c>
      <c r="I8527">
        <v>3</v>
      </c>
      <c r="J8527">
        <v>906</v>
      </c>
      <c r="K8527">
        <v>0</v>
      </c>
      <c r="L8527">
        <v>951.3</v>
      </c>
    </row>
    <row r="8528" spans="1:12" x14ac:dyDescent="0.25">
      <c r="A8528" t="str">
        <f t="shared" si="1863"/>
        <v>89301000</v>
      </c>
      <c r="B8528" t="str">
        <f t="shared" si="1864"/>
        <v>89063000</v>
      </c>
      <c r="C8528" t="str">
        <f t="shared" si="1864"/>
        <v>89063000</v>
      </c>
      <c r="D8528" t="str">
        <f t="shared" si="1860"/>
        <v>809</v>
      </c>
      <c r="E8528" t="str">
        <f t="shared" si="1865"/>
        <v>89301037</v>
      </c>
      <c r="F8528" t="str">
        <f>"7555055398"</f>
        <v>7555055398</v>
      </c>
      <c r="G8528" s="1">
        <v>44824</v>
      </c>
      <c r="H8528" t="str">
        <f t="shared" si="1862"/>
        <v>89312</v>
      </c>
      <c r="I8528">
        <v>3</v>
      </c>
      <c r="J8528">
        <v>906</v>
      </c>
      <c r="K8528">
        <v>0</v>
      </c>
      <c r="L8528">
        <v>951.3</v>
      </c>
    </row>
    <row r="8529" spans="1:12" x14ac:dyDescent="0.25">
      <c r="A8529" t="str">
        <f t="shared" si="1863"/>
        <v>89301000</v>
      </c>
      <c r="B8529" t="str">
        <f t="shared" si="1864"/>
        <v>89063000</v>
      </c>
      <c r="C8529" t="str">
        <f t="shared" si="1864"/>
        <v>89063000</v>
      </c>
      <c r="D8529" t="str">
        <f t="shared" si="1860"/>
        <v>809</v>
      </c>
      <c r="E8529" t="str">
        <f>"89301212"</f>
        <v>89301212</v>
      </c>
      <c r="F8529" t="str">
        <f>"475419412"</f>
        <v>475419412</v>
      </c>
      <c r="G8529" s="1">
        <v>44824</v>
      </c>
      <c r="H8529" t="str">
        <f t="shared" si="1862"/>
        <v>89312</v>
      </c>
      <c r="I8529">
        <v>3</v>
      </c>
      <c r="J8529">
        <v>906</v>
      </c>
      <c r="K8529">
        <v>0</v>
      </c>
      <c r="L8529">
        <v>951.3</v>
      </c>
    </row>
    <row r="8530" spans="1:12" x14ac:dyDescent="0.25">
      <c r="A8530" t="str">
        <f t="shared" si="1863"/>
        <v>89301000</v>
      </c>
      <c r="B8530" t="str">
        <f t="shared" si="1864"/>
        <v>89063000</v>
      </c>
      <c r="C8530" t="str">
        <f t="shared" si="1864"/>
        <v>89063000</v>
      </c>
      <c r="D8530" t="str">
        <f t="shared" si="1860"/>
        <v>809</v>
      </c>
      <c r="E8530" t="str">
        <f>"89301702"</f>
        <v>89301702</v>
      </c>
      <c r="F8530" t="str">
        <f>"0458163255"</f>
        <v>0458163255</v>
      </c>
      <c r="G8530" s="1">
        <v>44824</v>
      </c>
      <c r="H8530" t="str">
        <f t="shared" si="1862"/>
        <v>89312</v>
      </c>
      <c r="I8530">
        <v>1</v>
      </c>
      <c r="J8530">
        <v>302</v>
      </c>
      <c r="K8530">
        <v>0</v>
      </c>
      <c r="L8530">
        <v>317.10000000000002</v>
      </c>
    </row>
    <row r="8531" spans="1:12" x14ac:dyDescent="0.25">
      <c r="A8531" t="str">
        <f t="shared" si="1863"/>
        <v>89301000</v>
      </c>
      <c r="B8531" t="str">
        <f t="shared" si="1864"/>
        <v>89063000</v>
      </c>
      <c r="C8531" t="str">
        <f t="shared" si="1864"/>
        <v>89063000</v>
      </c>
      <c r="D8531" t="str">
        <f t="shared" si="1860"/>
        <v>809</v>
      </c>
      <c r="E8531" t="str">
        <f>"89301703"</f>
        <v>89301703</v>
      </c>
      <c r="F8531" t="str">
        <f>"0553303256"</f>
        <v>0553303256</v>
      </c>
      <c r="G8531" s="1">
        <v>44824</v>
      </c>
      <c r="H8531" t="str">
        <f t="shared" si="1862"/>
        <v>89312</v>
      </c>
      <c r="I8531">
        <v>1</v>
      </c>
      <c r="J8531">
        <v>302</v>
      </c>
      <c r="K8531">
        <v>0</v>
      </c>
      <c r="L8531">
        <v>317.10000000000002</v>
      </c>
    </row>
    <row r="8532" spans="1:12" x14ac:dyDescent="0.25">
      <c r="A8532" t="str">
        <f t="shared" si="1863"/>
        <v>89301000</v>
      </c>
      <c r="B8532" t="str">
        <f t="shared" si="1864"/>
        <v>89063000</v>
      </c>
      <c r="C8532" t="str">
        <f t="shared" si="1864"/>
        <v>89063000</v>
      </c>
      <c r="D8532" t="str">
        <f t="shared" si="1860"/>
        <v>809</v>
      </c>
      <c r="E8532" t="str">
        <f>"89301037"</f>
        <v>89301037</v>
      </c>
      <c r="F8532" t="str">
        <f>"430624714"</f>
        <v>430624714</v>
      </c>
      <c r="G8532" s="1">
        <v>44825</v>
      </c>
      <c r="H8532" t="str">
        <f t="shared" si="1862"/>
        <v>89312</v>
      </c>
      <c r="I8532">
        <v>3</v>
      </c>
      <c r="J8532">
        <v>906</v>
      </c>
      <c r="K8532">
        <v>0</v>
      </c>
      <c r="L8532">
        <v>951.3</v>
      </c>
    </row>
    <row r="8533" spans="1:12" x14ac:dyDescent="0.25">
      <c r="A8533" t="str">
        <f t="shared" si="1863"/>
        <v>89301000</v>
      </c>
      <c r="B8533" t="str">
        <f t="shared" si="1864"/>
        <v>89063000</v>
      </c>
      <c r="C8533" t="str">
        <f t="shared" si="1864"/>
        <v>89063000</v>
      </c>
      <c r="D8533" t="str">
        <f t="shared" si="1860"/>
        <v>809</v>
      </c>
      <c r="E8533" t="str">
        <f>"89301036"</f>
        <v>89301036</v>
      </c>
      <c r="F8533" t="str">
        <f>"9062166168"</f>
        <v>9062166168</v>
      </c>
      <c r="G8533" s="1">
        <v>44825</v>
      </c>
      <c r="H8533" t="str">
        <f t="shared" si="1862"/>
        <v>89312</v>
      </c>
      <c r="I8533">
        <v>3</v>
      </c>
      <c r="J8533">
        <v>906</v>
      </c>
      <c r="K8533">
        <v>0</v>
      </c>
      <c r="L8533">
        <v>951.3</v>
      </c>
    </row>
    <row r="8534" spans="1:12" x14ac:dyDescent="0.25">
      <c r="A8534" t="str">
        <f t="shared" si="1863"/>
        <v>89301000</v>
      </c>
      <c r="B8534" t="str">
        <f t="shared" si="1864"/>
        <v>89063000</v>
      </c>
      <c r="C8534" t="str">
        <f t="shared" si="1864"/>
        <v>89063000</v>
      </c>
      <c r="D8534" t="str">
        <f t="shared" si="1860"/>
        <v>809</v>
      </c>
      <c r="E8534" t="str">
        <f>"89301036"</f>
        <v>89301036</v>
      </c>
      <c r="F8534" t="str">
        <f>"6858151520"</f>
        <v>6858151520</v>
      </c>
      <c r="G8534" s="1">
        <v>44825</v>
      </c>
      <c r="H8534" t="str">
        <f t="shared" si="1862"/>
        <v>89312</v>
      </c>
      <c r="I8534">
        <v>3</v>
      </c>
      <c r="J8534">
        <v>906</v>
      </c>
      <c r="K8534">
        <v>0</v>
      </c>
      <c r="L8534">
        <v>951.3</v>
      </c>
    </row>
    <row r="8535" spans="1:12" x14ac:dyDescent="0.25">
      <c r="A8535" t="str">
        <f t="shared" si="1863"/>
        <v>89301000</v>
      </c>
      <c r="B8535" t="str">
        <f t="shared" si="1864"/>
        <v>89063000</v>
      </c>
      <c r="C8535" t="str">
        <f t="shared" si="1864"/>
        <v>89063000</v>
      </c>
      <c r="D8535" t="str">
        <f t="shared" si="1860"/>
        <v>809</v>
      </c>
      <c r="E8535" t="str">
        <f>"89301212"</f>
        <v>89301212</v>
      </c>
      <c r="F8535" t="str">
        <f>"6257230485"</f>
        <v>6257230485</v>
      </c>
      <c r="G8535" s="1">
        <v>44825</v>
      </c>
      <c r="H8535" t="str">
        <f t="shared" si="1862"/>
        <v>89312</v>
      </c>
      <c r="I8535">
        <v>3</v>
      </c>
      <c r="J8535">
        <v>906</v>
      </c>
      <c r="K8535">
        <v>0</v>
      </c>
      <c r="L8535">
        <v>951.3</v>
      </c>
    </row>
    <row r="8536" spans="1:12" x14ac:dyDescent="0.25">
      <c r="A8536" t="str">
        <f t="shared" si="1863"/>
        <v>89301000</v>
      </c>
      <c r="B8536" t="str">
        <f t="shared" si="1864"/>
        <v>89063000</v>
      </c>
      <c r="C8536" t="str">
        <f t="shared" si="1864"/>
        <v>89063000</v>
      </c>
      <c r="D8536" t="str">
        <f t="shared" si="1860"/>
        <v>809</v>
      </c>
      <c r="E8536" t="str">
        <f>"89301037"</f>
        <v>89301037</v>
      </c>
      <c r="F8536" t="str">
        <f>"8253145351"</f>
        <v>8253145351</v>
      </c>
      <c r="G8536" s="1">
        <v>44826</v>
      </c>
      <c r="H8536" t="str">
        <f t="shared" si="1862"/>
        <v>89312</v>
      </c>
      <c r="I8536">
        <v>3</v>
      </c>
      <c r="J8536">
        <v>906</v>
      </c>
      <c r="K8536">
        <v>0</v>
      </c>
      <c r="L8536">
        <v>951.3</v>
      </c>
    </row>
    <row r="8537" spans="1:12" x14ac:dyDescent="0.25">
      <c r="A8537" t="str">
        <f t="shared" si="1863"/>
        <v>89301000</v>
      </c>
      <c r="B8537" t="str">
        <f t="shared" si="1864"/>
        <v>89063000</v>
      </c>
      <c r="C8537" t="str">
        <f t="shared" si="1864"/>
        <v>89063000</v>
      </c>
      <c r="D8537" t="str">
        <f t="shared" si="1860"/>
        <v>809</v>
      </c>
      <c r="E8537" t="str">
        <f>"89301212"</f>
        <v>89301212</v>
      </c>
      <c r="F8537" t="str">
        <f>"7454188489"</f>
        <v>7454188489</v>
      </c>
      <c r="G8537" s="1">
        <v>44826</v>
      </c>
      <c r="H8537" t="str">
        <f t="shared" si="1862"/>
        <v>89312</v>
      </c>
      <c r="I8537">
        <v>3</v>
      </c>
      <c r="J8537">
        <v>906</v>
      </c>
      <c r="K8537">
        <v>0</v>
      </c>
      <c r="L8537">
        <v>951.3</v>
      </c>
    </row>
    <row r="8538" spans="1:12" x14ac:dyDescent="0.25">
      <c r="A8538" t="str">
        <f t="shared" si="1863"/>
        <v>89301000</v>
      </c>
      <c r="B8538" t="str">
        <f t="shared" ref="B8538:C8558" si="1866">"89063000"</f>
        <v>89063000</v>
      </c>
      <c r="C8538" t="str">
        <f t="shared" si="1866"/>
        <v>89063000</v>
      </c>
      <c r="D8538" t="str">
        <f t="shared" si="1860"/>
        <v>809</v>
      </c>
      <c r="E8538" t="str">
        <f>"89301215"</f>
        <v>89301215</v>
      </c>
      <c r="F8538" t="str">
        <f>"6561210733"</f>
        <v>6561210733</v>
      </c>
      <c r="G8538" s="1">
        <v>44826</v>
      </c>
      <c r="H8538" t="str">
        <f t="shared" si="1862"/>
        <v>89312</v>
      </c>
      <c r="I8538">
        <v>3</v>
      </c>
      <c r="J8538">
        <v>906</v>
      </c>
      <c r="K8538">
        <v>0</v>
      </c>
      <c r="L8538">
        <v>951.3</v>
      </c>
    </row>
    <row r="8539" spans="1:12" x14ac:dyDescent="0.25">
      <c r="A8539" t="str">
        <f t="shared" si="1863"/>
        <v>89301000</v>
      </c>
      <c r="B8539" t="str">
        <f t="shared" si="1866"/>
        <v>89063000</v>
      </c>
      <c r="C8539" t="str">
        <f t="shared" si="1866"/>
        <v>89063000</v>
      </c>
      <c r="D8539" t="str">
        <f t="shared" ref="D8539:D8558" si="1867">"809"</f>
        <v>809</v>
      </c>
      <c r="E8539" t="str">
        <f>"89301102"</f>
        <v>89301102</v>
      </c>
      <c r="F8539" t="str">
        <f>"0911183229"</f>
        <v>0911183229</v>
      </c>
      <c r="G8539" s="1">
        <v>44826</v>
      </c>
      <c r="H8539" t="str">
        <f t="shared" si="1862"/>
        <v>89312</v>
      </c>
      <c r="I8539">
        <v>1</v>
      </c>
      <c r="J8539">
        <v>302</v>
      </c>
      <c r="K8539">
        <v>0</v>
      </c>
      <c r="L8539">
        <v>317.10000000000002</v>
      </c>
    </row>
    <row r="8540" spans="1:12" x14ac:dyDescent="0.25">
      <c r="A8540" t="str">
        <f t="shared" si="1863"/>
        <v>89301000</v>
      </c>
      <c r="B8540" t="str">
        <f t="shared" si="1866"/>
        <v>89063000</v>
      </c>
      <c r="C8540" t="str">
        <f t="shared" si="1866"/>
        <v>89063000</v>
      </c>
      <c r="D8540" t="str">
        <f t="shared" si="1867"/>
        <v>809</v>
      </c>
      <c r="E8540" t="str">
        <f>"89301162"</f>
        <v>89301162</v>
      </c>
      <c r="F8540" t="str">
        <f>"8003065532"</f>
        <v>8003065532</v>
      </c>
      <c r="G8540" s="1">
        <v>44826</v>
      </c>
      <c r="H8540" t="str">
        <f t="shared" si="1862"/>
        <v>89312</v>
      </c>
      <c r="I8540">
        <v>3</v>
      </c>
      <c r="J8540">
        <v>906</v>
      </c>
      <c r="K8540">
        <v>0</v>
      </c>
      <c r="L8540">
        <v>951.3</v>
      </c>
    </row>
    <row r="8541" spans="1:12" x14ac:dyDescent="0.25">
      <c r="A8541" t="str">
        <f t="shared" si="1863"/>
        <v>89301000</v>
      </c>
      <c r="B8541" t="str">
        <f t="shared" si="1866"/>
        <v>89063000</v>
      </c>
      <c r="C8541" t="str">
        <f t="shared" si="1866"/>
        <v>89063000</v>
      </c>
      <c r="D8541" t="str">
        <f t="shared" si="1867"/>
        <v>809</v>
      </c>
      <c r="E8541" t="str">
        <f>"89301037"</f>
        <v>89301037</v>
      </c>
      <c r="F8541" t="str">
        <f>"5759060439"</f>
        <v>5759060439</v>
      </c>
      <c r="G8541" s="1">
        <v>44826</v>
      </c>
      <c r="H8541" t="str">
        <f t="shared" si="1862"/>
        <v>89312</v>
      </c>
      <c r="I8541">
        <v>3</v>
      </c>
      <c r="J8541">
        <v>906</v>
      </c>
      <c r="K8541">
        <v>0</v>
      </c>
      <c r="L8541">
        <v>951.3</v>
      </c>
    </row>
    <row r="8542" spans="1:12" x14ac:dyDescent="0.25">
      <c r="A8542" t="str">
        <f t="shared" si="1863"/>
        <v>89301000</v>
      </c>
      <c r="B8542" t="str">
        <f t="shared" si="1866"/>
        <v>89063000</v>
      </c>
      <c r="C8542" t="str">
        <f t="shared" si="1866"/>
        <v>89063000</v>
      </c>
      <c r="D8542" t="str">
        <f t="shared" si="1867"/>
        <v>809</v>
      </c>
      <c r="E8542" t="str">
        <f>"89301702"</f>
        <v>89301702</v>
      </c>
      <c r="F8542" t="str">
        <f>"0812183229"</f>
        <v>0812183229</v>
      </c>
      <c r="G8542" s="1">
        <v>44826</v>
      </c>
      <c r="H8542" t="str">
        <f t="shared" ref="H8542:H8558" si="1868">"89312"</f>
        <v>89312</v>
      </c>
      <c r="I8542">
        <v>1</v>
      </c>
      <c r="J8542">
        <v>302</v>
      </c>
      <c r="K8542">
        <v>0</v>
      </c>
      <c r="L8542">
        <v>317.10000000000002</v>
      </c>
    </row>
    <row r="8543" spans="1:12" x14ac:dyDescent="0.25">
      <c r="A8543" t="str">
        <f t="shared" si="1863"/>
        <v>89301000</v>
      </c>
      <c r="B8543" t="str">
        <f t="shared" si="1866"/>
        <v>89063000</v>
      </c>
      <c r="C8543" t="str">
        <f t="shared" si="1866"/>
        <v>89063000</v>
      </c>
      <c r="D8543" t="str">
        <f t="shared" si="1867"/>
        <v>809</v>
      </c>
      <c r="E8543" t="str">
        <f>"89301037"</f>
        <v>89301037</v>
      </c>
      <c r="F8543" t="str">
        <f>"6162200759"</f>
        <v>6162200759</v>
      </c>
      <c r="G8543" s="1">
        <v>44826</v>
      </c>
      <c r="H8543" t="str">
        <f t="shared" si="1868"/>
        <v>89312</v>
      </c>
      <c r="I8543">
        <v>3</v>
      </c>
      <c r="J8543">
        <v>906</v>
      </c>
      <c r="K8543">
        <v>0</v>
      </c>
      <c r="L8543">
        <v>951.3</v>
      </c>
    </row>
    <row r="8544" spans="1:12" x14ac:dyDescent="0.25">
      <c r="A8544" t="str">
        <f t="shared" si="1863"/>
        <v>89301000</v>
      </c>
      <c r="B8544" t="str">
        <f t="shared" si="1866"/>
        <v>89063000</v>
      </c>
      <c r="C8544" t="str">
        <f t="shared" si="1866"/>
        <v>89063000</v>
      </c>
      <c r="D8544" t="str">
        <f t="shared" si="1867"/>
        <v>809</v>
      </c>
      <c r="E8544" t="str">
        <f>"89301212"</f>
        <v>89301212</v>
      </c>
      <c r="F8544" t="str">
        <f>"6457251053"</f>
        <v>6457251053</v>
      </c>
      <c r="G8544" s="1">
        <v>44827</v>
      </c>
      <c r="H8544" t="str">
        <f t="shared" si="1868"/>
        <v>89312</v>
      </c>
      <c r="I8544">
        <v>3</v>
      </c>
      <c r="J8544">
        <v>906</v>
      </c>
      <c r="K8544">
        <v>0</v>
      </c>
      <c r="L8544">
        <v>951.3</v>
      </c>
    </row>
    <row r="8545" spans="1:12" x14ac:dyDescent="0.25">
      <c r="A8545" t="str">
        <f t="shared" si="1863"/>
        <v>89301000</v>
      </c>
      <c r="B8545" t="str">
        <f t="shared" si="1866"/>
        <v>89063000</v>
      </c>
      <c r="C8545" t="str">
        <f t="shared" si="1866"/>
        <v>89063000</v>
      </c>
      <c r="D8545" t="str">
        <f t="shared" si="1867"/>
        <v>809</v>
      </c>
      <c r="E8545" t="str">
        <f>"89301037"</f>
        <v>89301037</v>
      </c>
      <c r="F8545" t="str">
        <f>"7560015331"</f>
        <v>7560015331</v>
      </c>
      <c r="G8545" s="1">
        <v>44830</v>
      </c>
      <c r="H8545" t="str">
        <f t="shared" si="1868"/>
        <v>89312</v>
      </c>
      <c r="I8545">
        <v>3</v>
      </c>
      <c r="J8545">
        <v>906</v>
      </c>
      <c r="K8545">
        <v>0</v>
      </c>
      <c r="L8545">
        <v>951.3</v>
      </c>
    </row>
    <row r="8546" spans="1:12" x14ac:dyDescent="0.25">
      <c r="A8546" t="str">
        <f t="shared" si="1863"/>
        <v>89301000</v>
      </c>
      <c r="B8546" t="str">
        <f t="shared" si="1866"/>
        <v>89063000</v>
      </c>
      <c r="C8546" t="str">
        <f t="shared" si="1866"/>
        <v>89063000</v>
      </c>
      <c r="D8546" t="str">
        <f t="shared" si="1867"/>
        <v>809</v>
      </c>
      <c r="E8546" t="str">
        <f>"89301037"</f>
        <v>89301037</v>
      </c>
      <c r="F8546" t="str">
        <f>"7653065816"</f>
        <v>7653065816</v>
      </c>
      <c r="G8546" s="1">
        <v>44830</v>
      </c>
      <c r="H8546" t="str">
        <f t="shared" si="1868"/>
        <v>89312</v>
      </c>
      <c r="I8546">
        <v>3</v>
      </c>
      <c r="J8546">
        <v>906</v>
      </c>
      <c r="K8546">
        <v>0</v>
      </c>
      <c r="L8546">
        <v>951.3</v>
      </c>
    </row>
    <row r="8547" spans="1:12" x14ac:dyDescent="0.25">
      <c r="A8547" t="str">
        <f t="shared" si="1863"/>
        <v>89301000</v>
      </c>
      <c r="B8547" t="str">
        <f t="shared" si="1866"/>
        <v>89063000</v>
      </c>
      <c r="C8547" t="str">
        <f t="shared" si="1866"/>
        <v>89063000</v>
      </c>
      <c r="D8547" t="str">
        <f t="shared" si="1867"/>
        <v>809</v>
      </c>
      <c r="E8547" t="str">
        <f>"89301037"</f>
        <v>89301037</v>
      </c>
      <c r="F8547" t="str">
        <f>"485105401"</f>
        <v>485105401</v>
      </c>
      <c r="G8547" s="1">
        <v>44830</v>
      </c>
      <c r="H8547" t="str">
        <f t="shared" si="1868"/>
        <v>89312</v>
      </c>
      <c r="I8547">
        <v>3</v>
      </c>
      <c r="J8547">
        <v>906</v>
      </c>
      <c r="K8547">
        <v>0</v>
      </c>
      <c r="L8547">
        <v>951.3</v>
      </c>
    </row>
    <row r="8548" spans="1:12" x14ac:dyDescent="0.25">
      <c r="A8548" t="str">
        <f t="shared" si="1863"/>
        <v>89301000</v>
      </c>
      <c r="B8548" t="str">
        <f t="shared" si="1866"/>
        <v>89063000</v>
      </c>
      <c r="C8548" t="str">
        <f t="shared" si="1866"/>
        <v>89063000</v>
      </c>
      <c r="D8548" t="str">
        <f t="shared" si="1867"/>
        <v>809</v>
      </c>
      <c r="E8548" t="str">
        <f>"89301212"</f>
        <v>89301212</v>
      </c>
      <c r="F8548" t="str">
        <f>"486107067"</f>
        <v>486107067</v>
      </c>
      <c r="G8548" s="1">
        <v>44830</v>
      </c>
      <c r="H8548" t="str">
        <f t="shared" si="1868"/>
        <v>89312</v>
      </c>
      <c r="I8548">
        <v>3</v>
      </c>
      <c r="J8548">
        <v>906</v>
      </c>
      <c r="K8548">
        <v>0</v>
      </c>
      <c r="L8548">
        <v>951.3</v>
      </c>
    </row>
    <row r="8549" spans="1:12" x14ac:dyDescent="0.25">
      <c r="A8549" t="str">
        <f t="shared" si="1863"/>
        <v>89301000</v>
      </c>
      <c r="B8549" t="str">
        <f t="shared" si="1866"/>
        <v>89063000</v>
      </c>
      <c r="C8549" t="str">
        <f t="shared" si="1866"/>
        <v>89063000</v>
      </c>
      <c r="D8549" t="str">
        <f t="shared" si="1867"/>
        <v>809</v>
      </c>
      <c r="E8549" t="str">
        <f>"89301102"</f>
        <v>89301102</v>
      </c>
      <c r="F8549" t="str">
        <f>"0857083392"</f>
        <v>0857083392</v>
      </c>
      <c r="G8549" s="1">
        <v>44830</v>
      </c>
      <c r="H8549" t="str">
        <f t="shared" si="1868"/>
        <v>89312</v>
      </c>
      <c r="I8549">
        <v>1</v>
      </c>
      <c r="J8549">
        <v>302</v>
      </c>
      <c r="K8549">
        <v>0</v>
      </c>
      <c r="L8549">
        <v>317.10000000000002</v>
      </c>
    </row>
    <row r="8550" spans="1:12" x14ac:dyDescent="0.25">
      <c r="A8550" t="str">
        <f t="shared" si="1863"/>
        <v>89301000</v>
      </c>
      <c r="B8550" t="str">
        <f t="shared" si="1866"/>
        <v>89063000</v>
      </c>
      <c r="C8550" t="str">
        <f t="shared" si="1866"/>
        <v>89063000</v>
      </c>
      <c r="D8550" t="str">
        <f t="shared" si="1867"/>
        <v>809</v>
      </c>
      <c r="E8550" t="str">
        <f t="shared" ref="E8550:E8556" si="1869">"89301037"</f>
        <v>89301037</v>
      </c>
      <c r="F8550" t="str">
        <f>"8762226231"</f>
        <v>8762226231</v>
      </c>
      <c r="G8550" s="1">
        <v>44830</v>
      </c>
      <c r="H8550" t="str">
        <f t="shared" si="1868"/>
        <v>89312</v>
      </c>
      <c r="I8550">
        <v>3</v>
      </c>
      <c r="J8550">
        <v>906</v>
      </c>
      <c r="K8550">
        <v>0</v>
      </c>
      <c r="L8550">
        <v>951.3</v>
      </c>
    </row>
    <row r="8551" spans="1:12" x14ac:dyDescent="0.25">
      <c r="A8551" t="str">
        <f t="shared" si="1863"/>
        <v>89301000</v>
      </c>
      <c r="B8551" t="str">
        <f t="shared" si="1866"/>
        <v>89063000</v>
      </c>
      <c r="C8551" t="str">
        <f t="shared" si="1866"/>
        <v>89063000</v>
      </c>
      <c r="D8551" t="str">
        <f t="shared" si="1867"/>
        <v>809</v>
      </c>
      <c r="E8551" t="str">
        <f t="shared" si="1869"/>
        <v>89301037</v>
      </c>
      <c r="F8551" t="str">
        <f>"6059021474"</f>
        <v>6059021474</v>
      </c>
      <c r="G8551" s="1">
        <v>44833</v>
      </c>
      <c r="H8551" t="str">
        <f t="shared" si="1868"/>
        <v>89312</v>
      </c>
      <c r="I8551">
        <v>3</v>
      </c>
      <c r="J8551">
        <v>906</v>
      </c>
      <c r="K8551">
        <v>0</v>
      </c>
      <c r="L8551">
        <v>951.3</v>
      </c>
    </row>
    <row r="8552" spans="1:12" x14ac:dyDescent="0.25">
      <c r="A8552" t="str">
        <f t="shared" si="1863"/>
        <v>89301000</v>
      </c>
      <c r="B8552" t="str">
        <f t="shared" si="1866"/>
        <v>89063000</v>
      </c>
      <c r="C8552" t="str">
        <f t="shared" si="1866"/>
        <v>89063000</v>
      </c>
      <c r="D8552" t="str">
        <f t="shared" si="1867"/>
        <v>809</v>
      </c>
      <c r="E8552" t="str">
        <f t="shared" si="1869"/>
        <v>89301037</v>
      </c>
      <c r="F8552" t="str">
        <f>"6755121714"</f>
        <v>6755121714</v>
      </c>
      <c r="G8552" s="1">
        <v>44833</v>
      </c>
      <c r="H8552" t="str">
        <f t="shared" si="1868"/>
        <v>89312</v>
      </c>
      <c r="I8552">
        <v>3</v>
      </c>
      <c r="J8552">
        <v>906</v>
      </c>
      <c r="K8552">
        <v>0</v>
      </c>
      <c r="L8552">
        <v>951.3</v>
      </c>
    </row>
    <row r="8553" spans="1:12" x14ac:dyDescent="0.25">
      <c r="A8553" t="str">
        <f t="shared" si="1863"/>
        <v>89301000</v>
      </c>
      <c r="B8553" t="str">
        <f t="shared" si="1866"/>
        <v>89063000</v>
      </c>
      <c r="C8553" t="str">
        <f t="shared" si="1866"/>
        <v>89063000</v>
      </c>
      <c r="D8553" t="str">
        <f t="shared" si="1867"/>
        <v>809</v>
      </c>
      <c r="E8553" t="str">
        <f t="shared" si="1869"/>
        <v>89301037</v>
      </c>
      <c r="F8553" t="str">
        <f>"5656201419"</f>
        <v>5656201419</v>
      </c>
      <c r="G8553" s="1">
        <v>44833</v>
      </c>
      <c r="H8553" t="str">
        <f t="shared" si="1868"/>
        <v>89312</v>
      </c>
      <c r="I8553">
        <v>3</v>
      </c>
      <c r="J8553">
        <v>906</v>
      </c>
      <c r="K8553">
        <v>0</v>
      </c>
      <c r="L8553">
        <v>951.3</v>
      </c>
    </row>
    <row r="8554" spans="1:12" x14ac:dyDescent="0.25">
      <c r="A8554" t="str">
        <f t="shared" si="1863"/>
        <v>89301000</v>
      </c>
      <c r="B8554" t="str">
        <f t="shared" si="1866"/>
        <v>89063000</v>
      </c>
      <c r="C8554" t="str">
        <f t="shared" si="1866"/>
        <v>89063000</v>
      </c>
      <c r="D8554" t="str">
        <f t="shared" si="1867"/>
        <v>809</v>
      </c>
      <c r="E8554" t="str">
        <f t="shared" si="1869"/>
        <v>89301037</v>
      </c>
      <c r="F8554" t="str">
        <f>"515203077"</f>
        <v>515203077</v>
      </c>
      <c r="G8554" s="1">
        <v>44834</v>
      </c>
      <c r="H8554" t="str">
        <f t="shared" si="1868"/>
        <v>89312</v>
      </c>
      <c r="I8554">
        <v>3</v>
      </c>
      <c r="J8554">
        <v>906</v>
      </c>
      <c r="K8554">
        <v>0</v>
      </c>
      <c r="L8554">
        <v>951.3</v>
      </c>
    </row>
    <row r="8555" spans="1:12" x14ac:dyDescent="0.25">
      <c r="A8555" t="str">
        <f t="shared" si="1863"/>
        <v>89301000</v>
      </c>
      <c r="B8555" t="str">
        <f t="shared" si="1866"/>
        <v>89063000</v>
      </c>
      <c r="C8555" t="str">
        <f t="shared" si="1866"/>
        <v>89063000</v>
      </c>
      <c r="D8555" t="str">
        <f t="shared" si="1867"/>
        <v>809</v>
      </c>
      <c r="E8555" t="str">
        <f t="shared" si="1869"/>
        <v>89301037</v>
      </c>
      <c r="F8555" t="str">
        <f>"435425456"</f>
        <v>435425456</v>
      </c>
      <c r="G8555" s="1">
        <v>44834</v>
      </c>
      <c r="H8555" t="str">
        <f t="shared" si="1868"/>
        <v>89312</v>
      </c>
      <c r="I8555">
        <v>3</v>
      </c>
      <c r="J8555">
        <v>906</v>
      </c>
      <c r="K8555">
        <v>0</v>
      </c>
      <c r="L8555">
        <v>951.3</v>
      </c>
    </row>
    <row r="8556" spans="1:12" x14ac:dyDescent="0.25">
      <c r="A8556" t="str">
        <f t="shared" si="1863"/>
        <v>89301000</v>
      </c>
      <c r="B8556" t="str">
        <f t="shared" si="1866"/>
        <v>89063000</v>
      </c>
      <c r="C8556" t="str">
        <f t="shared" si="1866"/>
        <v>89063000</v>
      </c>
      <c r="D8556" t="str">
        <f t="shared" si="1867"/>
        <v>809</v>
      </c>
      <c r="E8556" t="str">
        <f t="shared" si="1869"/>
        <v>89301037</v>
      </c>
      <c r="F8556" t="str">
        <f>"9059077258"</f>
        <v>9059077258</v>
      </c>
      <c r="G8556" s="1">
        <v>44834</v>
      </c>
      <c r="H8556" t="str">
        <f t="shared" si="1868"/>
        <v>89312</v>
      </c>
      <c r="I8556">
        <v>3</v>
      </c>
      <c r="J8556">
        <v>906</v>
      </c>
      <c r="K8556">
        <v>0</v>
      </c>
      <c r="L8556">
        <v>951.3</v>
      </c>
    </row>
    <row r="8557" spans="1:12" x14ac:dyDescent="0.25">
      <c r="A8557" t="str">
        <f t="shared" si="1863"/>
        <v>89301000</v>
      </c>
      <c r="B8557" t="str">
        <f t="shared" si="1866"/>
        <v>89063000</v>
      </c>
      <c r="C8557" t="str">
        <f t="shared" si="1866"/>
        <v>89063000</v>
      </c>
      <c r="D8557" t="str">
        <f t="shared" si="1867"/>
        <v>809</v>
      </c>
      <c r="E8557" t="str">
        <f>"89301212"</f>
        <v>89301212</v>
      </c>
      <c r="F8557" t="str">
        <f>"7261044461"</f>
        <v>7261044461</v>
      </c>
      <c r="G8557" s="1">
        <v>44834</v>
      </c>
      <c r="H8557" t="str">
        <f t="shared" si="1868"/>
        <v>89312</v>
      </c>
      <c r="I8557">
        <v>3</v>
      </c>
      <c r="J8557">
        <v>906</v>
      </c>
      <c r="K8557">
        <v>0</v>
      </c>
      <c r="L8557">
        <v>951.3</v>
      </c>
    </row>
    <row r="8558" spans="1:12" x14ac:dyDescent="0.25">
      <c r="A8558" t="str">
        <f t="shared" si="1863"/>
        <v>89301000</v>
      </c>
      <c r="B8558" t="str">
        <f t="shared" si="1866"/>
        <v>89063000</v>
      </c>
      <c r="C8558" t="str">
        <f t="shared" si="1866"/>
        <v>89063000</v>
      </c>
      <c r="D8558" t="str">
        <f t="shared" si="1867"/>
        <v>809</v>
      </c>
      <c r="E8558" t="str">
        <f>"89301037"</f>
        <v>89301037</v>
      </c>
      <c r="F8558" t="str">
        <f>"6657021184"</f>
        <v>6657021184</v>
      </c>
      <c r="G8558" s="1">
        <v>44834</v>
      </c>
      <c r="H8558" t="str">
        <f t="shared" si="1868"/>
        <v>89312</v>
      </c>
      <c r="I8558">
        <v>3</v>
      </c>
      <c r="J8558">
        <v>906</v>
      </c>
      <c r="K8558">
        <v>0</v>
      </c>
      <c r="L8558">
        <v>951.3</v>
      </c>
    </row>
    <row r="8559" spans="1:12" x14ac:dyDescent="0.25">
      <c r="A8559" t="str">
        <f t="shared" si="1863"/>
        <v>89301000</v>
      </c>
      <c r="B8559" t="str">
        <f>"92503000"</f>
        <v>92503000</v>
      </c>
      <c r="C8559" t="str">
        <f>"92503000"</f>
        <v>92503000</v>
      </c>
      <c r="D8559" t="str">
        <f>"807"</f>
        <v>807</v>
      </c>
      <c r="E8559" t="str">
        <f>"89301082"</f>
        <v>89301082</v>
      </c>
      <c r="F8559" t="str">
        <f>"1553010019"</f>
        <v>1553010019</v>
      </c>
      <c r="G8559" s="1">
        <v>44819</v>
      </c>
      <c r="H8559" t="str">
        <f>"87433"</f>
        <v>87433</v>
      </c>
      <c r="I8559">
        <v>1</v>
      </c>
      <c r="J8559">
        <v>41</v>
      </c>
      <c r="K8559">
        <v>0</v>
      </c>
      <c r="L8559">
        <v>31.98</v>
      </c>
    </row>
    <row r="8560" spans="1:12" x14ac:dyDescent="0.25">
      <c r="A8560" t="str">
        <f t="shared" si="1863"/>
        <v>89301000</v>
      </c>
      <c r="B8560" t="str">
        <f>"92503000"</f>
        <v>92503000</v>
      </c>
      <c r="C8560" t="str">
        <f>"92503000"</f>
        <v>92503000</v>
      </c>
      <c r="D8560" t="str">
        <f>"807"</f>
        <v>807</v>
      </c>
      <c r="E8560" t="str">
        <f>"89301082"</f>
        <v>89301082</v>
      </c>
      <c r="F8560" t="str">
        <f>"1553010019"</f>
        <v>1553010019</v>
      </c>
      <c r="G8560" s="1">
        <v>44819</v>
      </c>
      <c r="H8560" t="str">
        <f>"87519"</f>
        <v>87519</v>
      </c>
      <c r="I8560">
        <v>1</v>
      </c>
      <c r="J8560">
        <v>310</v>
      </c>
      <c r="K8560">
        <v>0</v>
      </c>
      <c r="L8560">
        <v>241.8</v>
      </c>
    </row>
    <row r="8561" spans="1:12" x14ac:dyDescent="0.25">
      <c r="A8561" t="str">
        <f t="shared" si="1863"/>
        <v>89301000</v>
      </c>
      <c r="B8561" t="str">
        <f t="shared" ref="B8561:B8592" si="1870">"93501000"</f>
        <v>93501000</v>
      </c>
      <c r="C8561" t="str">
        <f t="shared" ref="C8561:C8590" si="1871">"93501001"</f>
        <v>93501001</v>
      </c>
      <c r="D8561" t="str">
        <f t="shared" ref="D8561:D8590" si="1872">"801"</f>
        <v>801</v>
      </c>
      <c r="E8561" t="str">
        <f t="shared" ref="E8561:E8578" si="1873">"89301167"</f>
        <v>89301167</v>
      </c>
      <c r="F8561" t="str">
        <f t="shared" ref="F8561:F8578" si="1874">"470127462"</f>
        <v>470127462</v>
      </c>
      <c r="G8561" s="1">
        <v>44817</v>
      </c>
      <c r="H8561" t="str">
        <f>"81329"</f>
        <v>81329</v>
      </c>
      <c r="I8561">
        <v>1</v>
      </c>
      <c r="J8561">
        <v>16</v>
      </c>
      <c r="K8561">
        <v>0</v>
      </c>
      <c r="L8561">
        <v>12.48</v>
      </c>
    </row>
    <row r="8562" spans="1:12" x14ac:dyDescent="0.25">
      <c r="A8562" t="str">
        <f t="shared" si="1863"/>
        <v>89301000</v>
      </c>
      <c r="B8562" t="str">
        <f t="shared" si="1870"/>
        <v>93501000</v>
      </c>
      <c r="C8562" t="str">
        <f t="shared" si="1871"/>
        <v>93501001</v>
      </c>
      <c r="D8562" t="str">
        <f t="shared" si="1872"/>
        <v>801</v>
      </c>
      <c r="E8562" t="str">
        <f t="shared" si="1873"/>
        <v>89301167</v>
      </c>
      <c r="F8562" t="str">
        <f t="shared" si="1874"/>
        <v>470127462</v>
      </c>
      <c r="G8562" s="1">
        <v>44817</v>
      </c>
      <c r="H8562" t="str">
        <f>"81337"</f>
        <v>81337</v>
      </c>
      <c r="I8562">
        <v>1</v>
      </c>
      <c r="J8562">
        <v>19</v>
      </c>
      <c r="K8562">
        <v>0</v>
      </c>
      <c r="L8562">
        <v>14.82</v>
      </c>
    </row>
    <row r="8563" spans="1:12" x14ac:dyDescent="0.25">
      <c r="A8563" t="str">
        <f t="shared" si="1863"/>
        <v>89301000</v>
      </c>
      <c r="B8563" t="str">
        <f t="shared" si="1870"/>
        <v>93501000</v>
      </c>
      <c r="C8563" t="str">
        <f t="shared" si="1871"/>
        <v>93501001</v>
      </c>
      <c r="D8563" t="str">
        <f t="shared" si="1872"/>
        <v>801</v>
      </c>
      <c r="E8563" t="str">
        <f t="shared" si="1873"/>
        <v>89301167</v>
      </c>
      <c r="F8563" t="str">
        <f t="shared" si="1874"/>
        <v>470127462</v>
      </c>
      <c r="G8563" s="1">
        <v>44817</v>
      </c>
      <c r="H8563" t="str">
        <f>"81357"</f>
        <v>81357</v>
      </c>
      <c r="I8563">
        <v>1</v>
      </c>
      <c r="J8563">
        <v>19</v>
      </c>
      <c r="K8563">
        <v>0</v>
      </c>
      <c r="L8563">
        <v>14.82</v>
      </c>
    </row>
    <row r="8564" spans="1:12" x14ac:dyDescent="0.25">
      <c r="A8564" t="str">
        <f t="shared" si="1863"/>
        <v>89301000</v>
      </c>
      <c r="B8564" t="str">
        <f t="shared" si="1870"/>
        <v>93501000</v>
      </c>
      <c r="C8564" t="str">
        <f t="shared" si="1871"/>
        <v>93501001</v>
      </c>
      <c r="D8564" t="str">
        <f t="shared" si="1872"/>
        <v>801</v>
      </c>
      <c r="E8564" t="str">
        <f t="shared" si="1873"/>
        <v>89301167</v>
      </c>
      <c r="F8564" t="str">
        <f t="shared" si="1874"/>
        <v>470127462</v>
      </c>
      <c r="G8564" s="1">
        <v>44817</v>
      </c>
      <c r="H8564" t="str">
        <f>"81361"</f>
        <v>81361</v>
      </c>
      <c r="I8564">
        <v>1</v>
      </c>
      <c r="J8564">
        <v>17</v>
      </c>
      <c r="K8564">
        <v>0</v>
      </c>
      <c r="L8564">
        <v>13.26</v>
      </c>
    </row>
    <row r="8565" spans="1:12" x14ac:dyDescent="0.25">
      <c r="A8565" t="str">
        <f t="shared" si="1863"/>
        <v>89301000</v>
      </c>
      <c r="B8565" t="str">
        <f t="shared" si="1870"/>
        <v>93501000</v>
      </c>
      <c r="C8565" t="str">
        <f t="shared" si="1871"/>
        <v>93501001</v>
      </c>
      <c r="D8565" t="str">
        <f t="shared" si="1872"/>
        <v>801</v>
      </c>
      <c r="E8565" t="str">
        <f t="shared" si="1873"/>
        <v>89301167</v>
      </c>
      <c r="F8565" t="str">
        <f t="shared" si="1874"/>
        <v>470127462</v>
      </c>
      <c r="G8565" s="1">
        <v>44817</v>
      </c>
      <c r="H8565" t="str">
        <f>"81365"</f>
        <v>81365</v>
      </c>
      <c r="I8565">
        <v>1</v>
      </c>
      <c r="J8565">
        <v>16</v>
      </c>
      <c r="K8565">
        <v>0</v>
      </c>
      <c r="L8565">
        <v>12.48</v>
      </c>
    </row>
    <row r="8566" spans="1:12" x14ac:dyDescent="0.25">
      <c r="A8566" t="str">
        <f t="shared" si="1863"/>
        <v>89301000</v>
      </c>
      <c r="B8566" t="str">
        <f t="shared" si="1870"/>
        <v>93501000</v>
      </c>
      <c r="C8566" t="str">
        <f t="shared" si="1871"/>
        <v>93501001</v>
      </c>
      <c r="D8566" t="str">
        <f t="shared" si="1872"/>
        <v>801</v>
      </c>
      <c r="E8566" t="str">
        <f t="shared" si="1873"/>
        <v>89301167</v>
      </c>
      <c r="F8566" t="str">
        <f t="shared" si="1874"/>
        <v>470127462</v>
      </c>
      <c r="G8566" s="1">
        <v>44817</v>
      </c>
      <c r="H8566" t="str">
        <f>"81383"</f>
        <v>81383</v>
      </c>
      <c r="I8566">
        <v>1</v>
      </c>
      <c r="J8566">
        <v>23</v>
      </c>
      <c r="K8566">
        <v>0</v>
      </c>
      <c r="L8566">
        <v>17.940000000000001</v>
      </c>
    </row>
    <row r="8567" spans="1:12" x14ac:dyDescent="0.25">
      <c r="A8567" t="str">
        <f t="shared" si="1863"/>
        <v>89301000</v>
      </c>
      <c r="B8567" t="str">
        <f t="shared" si="1870"/>
        <v>93501000</v>
      </c>
      <c r="C8567" t="str">
        <f t="shared" si="1871"/>
        <v>93501001</v>
      </c>
      <c r="D8567" t="str">
        <f t="shared" si="1872"/>
        <v>801</v>
      </c>
      <c r="E8567" t="str">
        <f t="shared" si="1873"/>
        <v>89301167</v>
      </c>
      <c r="F8567" t="str">
        <f t="shared" si="1874"/>
        <v>470127462</v>
      </c>
      <c r="G8567" s="1">
        <v>44817</v>
      </c>
      <c r="H8567" t="str">
        <f>"81393"</f>
        <v>81393</v>
      </c>
      <c r="I8567">
        <v>1</v>
      </c>
      <c r="J8567">
        <v>24</v>
      </c>
      <c r="K8567">
        <v>0</v>
      </c>
      <c r="L8567">
        <v>18.72</v>
      </c>
    </row>
    <row r="8568" spans="1:12" x14ac:dyDescent="0.25">
      <c r="A8568" t="str">
        <f t="shared" si="1863"/>
        <v>89301000</v>
      </c>
      <c r="B8568" t="str">
        <f t="shared" si="1870"/>
        <v>93501000</v>
      </c>
      <c r="C8568" t="str">
        <f t="shared" si="1871"/>
        <v>93501001</v>
      </c>
      <c r="D8568" t="str">
        <f t="shared" si="1872"/>
        <v>801</v>
      </c>
      <c r="E8568" t="str">
        <f t="shared" si="1873"/>
        <v>89301167</v>
      </c>
      <c r="F8568" t="str">
        <f t="shared" si="1874"/>
        <v>470127462</v>
      </c>
      <c r="G8568" s="1">
        <v>44817</v>
      </c>
      <c r="H8568" t="str">
        <f>"81421"</f>
        <v>81421</v>
      </c>
      <c r="I8568">
        <v>1</v>
      </c>
      <c r="J8568">
        <v>19</v>
      </c>
      <c r="K8568">
        <v>0</v>
      </c>
      <c r="L8568">
        <v>14.82</v>
      </c>
    </row>
    <row r="8569" spans="1:12" x14ac:dyDescent="0.25">
      <c r="A8569" t="str">
        <f t="shared" si="1863"/>
        <v>89301000</v>
      </c>
      <c r="B8569" t="str">
        <f t="shared" si="1870"/>
        <v>93501000</v>
      </c>
      <c r="C8569" t="str">
        <f t="shared" si="1871"/>
        <v>93501001</v>
      </c>
      <c r="D8569" t="str">
        <f t="shared" si="1872"/>
        <v>801</v>
      </c>
      <c r="E8569" t="str">
        <f t="shared" si="1873"/>
        <v>89301167</v>
      </c>
      <c r="F8569" t="str">
        <f t="shared" si="1874"/>
        <v>470127462</v>
      </c>
      <c r="G8569" s="1">
        <v>44817</v>
      </c>
      <c r="H8569" t="str">
        <f>"81435"</f>
        <v>81435</v>
      </c>
      <c r="I8569">
        <v>1</v>
      </c>
      <c r="J8569">
        <v>22</v>
      </c>
      <c r="K8569">
        <v>0</v>
      </c>
      <c r="L8569">
        <v>17.16</v>
      </c>
    </row>
    <row r="8570" spans="1:12" x14ac:dyDescent="0.25">
      <c r="A8570" t="str">
        <f t="shared" si="1863"/>
        <v>89301000</v>
      </c>
      <c r="B8570" t="str">
        <f t="shared" si="1870"/>
        <v>93501000</v>
      </c>
      <c r="C8570" t="str">
        <f t="shared" si="1871"/>
        <v>93501001</v>
      </c>
      <c r="D8570" t="str">
        <f t="shared" si="1872"/>
        <v>801</v>
      </c>
      <c r="E8570" t="str">
        <f t="shared" si="1873"/>
        <v>89301167</v>
      </c>
      <c r="F8570" t="str">
        <f t="shared" si="1874"/>
        <v>470127462</v>
      </c>
      <c r="G8570" s="1">
        <v>44817</v>
      </c>
      <c r="H8570" t="str">
        <f>"81439"</f>
        <v>81439</v>
      </c>
      <c r="I8570">
        <v>1</v>
      </c>
      <c r="J8570">
        <v>16</v>
      </c>
      <c r="K8570">
        <v>0</v>
      </c>
      <c r="L8570">
        <v>12.48</v>
      </c>
    </row>
    <row r="8571" spans="1:12" x14ac:dyDescent="0.25">
      <c r="A8571" t="str">
        <f t="shared" si="1863"/>
        <v>89301000</v>
      </c>
      <c r="B8571" t="str">
        <f t="shared" si="1870"/>
        <v>93501000</v>
      </c>
      <c r="C8571" t="str">
        <f t="shared" si="1871"/>
        <v>93501001</v>
      </c>
      <c r="D8571" t="str">
        <f t="shared" si="1872"/>
        <v>801</v>
      </c>
      <c r="E8571" t="str">
        <f t="shared" si="1873"/>
        <v>89301167</v>
      </c>
      <c r="F8571" t="str">
        <f t="shared" si="1874"/>
        <v>470127462</v>
      </c>
      <c r="G8571" s="1">
        <v>44817</v>
      </c>
      <c r="H8571" t="str">
        <f>"81469"</f>
        <v>81469</v>
      </c>
      <c r="I8571">
        <v>1</v>
      </c>
      <c r="J8571">
        <v>16</v>
      </c>
      <c r="K8571">
        <v>0</v>
      </c>
      <c r="L8571">
        <v>12.48</v>
      </c>
    </row>
    <row r="8572" spans="1:12" x14ac:dyDescent="0.25">
      <c r="A8572" t="str">
        <f t="shared" si="1863"/>
        <v>89301000</v>
      </c>
      <c r="B8572" t="str">
        <f t="shared" si="1870"/>
        <v>93501000</v>
      </c>
      <c r="C8572" t="str">
        <f t="shared" si="1871"/>
        <v>93501001</v>
      </c>
      <c r="D8572" t="str">
        <f t="shared" si="1872"/>
        <v>801</v>
      </c>
      <c r="E8572" t="str">
        <f t="shared" si="1873"/>
        <v>89301167</v>
      </c>
      <c r="F8572" t="str">
        <f t="shared" si="1874"/>
        <v>470127462</v>
      </c>
      <c r="G8572" s="1">
        <v>44817</v>
      </c>
      <c r="H8572" t="str">
        <f>"81499"</f>
        <v>81499</v>
      </c>
      <c r="I8572">
        <v>1</v>
      </c>
      <c r="J8572">
        <v>18</v>
      </c>
      <c r="K8572">
        <v>0</v>
      </c>
      <c r="L8572">
        <v>14.04</v>
      </c>
    </row>
    <row r="8573" spans="1:12" x14ac:dyDescent="0.25">
      <c r="A8573" t="str">
        <f t="shared" si="1863"/>
        <v>89301000</v>
      </c>
      <c r="B8573" t="str">
        <f t="shared" si="1870"/>
        <v>93501000</v>
      </c>
      <c r="C8573" t="str">
        <f t="shared" si="1871"/>
        <v>93501001</v>
      </c>
      <c r="D8573" t="str">
        <f t="shared" si="1872"/>
        <v>801</v>
      </c>
      <c r="E8573" t="str">
        <f t="shared" si="1873"/>
        <v>89301167</v>
      </c>
      <c r="F8573" t="str">
        <f t="shared" si="1874"/>
        <v>470127462</v>
      </c>
      <c r="G8573" s="1">
        <v>44817</v>
      </c>
      <c r="H8573" t="str">
        <f>"81523"</f>
        <v>81523</v>
      </c>
      <c r="I8573">
        <v>1</v>
      </c>
      <c r="J8573">
        <v>23</v>
      </c>
      <c r="K8573">
        <v>0</v>
      </c>
      <c r="L8573">
        <v>17.940000000000001</v>
      </c>
    </row>
    <row r="8574" spans="1:12" x14ac:dyDescent="0.25">
      <c r="A8574" t="str">
        <f t="shared" si="1863"/>
        <v>89301000</v>
      </c>
      <c r="B8574" t="str">
        <f t="shared" si="1870"/>
        <v>93501000</v>
      </c>
      <c r="C8574" t="str">
        <f t="shared" si="1871"/>
        <v>93501001</v>
      </c>
      <c r="D8574" t="str">
        <f t="shared" si="1872"/>
        <v>801</v>
      </c>
      <c r="E8574" t="str">
        <f t="shared" si="1873"/>
        <v>89301167</v>
      </c>
      <c r="F8574" t="str">
        <f t="shared" si="1874"/>
        <v>470127462</v>
      </c>
      <c r="G8574" s="1">
        <v>44817</v>
      </c>
      <c r="H8574" t="str">
        <f>"81593"</f>
        <v>81593</v>
      </c>
      <c r="I8574">
        <v>1</v>
      </c>
      <c r="J8574">
        <v>22</v>
      </c>
      <c r="K8574">
        <v>0</v>
      </c>
      <c r="L8574">
        <v>17.16</v>
      </c>
    </row>
    <row r="8575" spans="1:12" x14ac:dyDescent="0.25">
      <c r="A8575" t="str">
        <f t="shared" si="1863"/>
        <v>89301000</v>
      </c>
      <c r="B8575" t="str">
        <f t="shared" si="1870"/>
        <v>93501000</v>
      </c>
      <c r="C8575" t="str">
        <f t="shared" si="1871"/>
        <v>93501001</v>
      </c>
      <c r="D8575" t="str">
        <f t="shared" si="1872"/>
        <v>801</v>
      </c>
      <c r="E8575" t="str">
        <f t="shared" si="1873"/>
        <v>89301167</v>
      </c>
      <c r="F8575" t="str">
        <f t="shared" si="1874"/>
        <v>470127462</v>
      </c>
      <c r="G8575" s="1">
        <v>44817</v>
      </c>
      <c r="H8575" t="str">
        <f>"81621"</f>
        <v>81621</v>
      </c>
      <c r="I8575">
        <v>1</v>
      </c>
      <c r="J8575">
        <v>19</v>
      </c>
      <c r="K8575">
        <v>0</v>
      </c>
      <c r="L8575">
        <v>14.82</v>
      </c>
    </row>
    <row r="8576" spans="1:12" x14ac:dyDescent="0.25">
      <c r="A8576" t="str">
        <f t="shared" si="1863"/>
        <v>89301000</v>
      </c>
      <c r="B8576" t="str">
        <f t="shared" si="1870"/>
        <v>93501000</v>
      </c>
      <c r="C8576" t="str">
        <f t="shared" si="1871"/>
        <v>93501001</v>
      </c>
      <c r="D8576" t="str">
        <f t="shared" si="1872"/>
        <v>801</v>
      </c>
      <c r="E8576" t="str">
        <f t="shared" si="1873"/>
        <v>89301167</v>
      </c>
      <c r="F8576" t="str">
        <f t="shared" si="1874"/>
        <v>470127462</v>
      </c>
      <c r="G8576" s="1">
        <v>44817</v>
      </c>
      <c r="H8576" t="str">
        <f>"81625"</f>
        <v>81625</v>
      </c>
      <c r="I8576">
        <v>1</v>
      </c>
      <c r="J8576">
        <v>20</v>
      </c>
      <c r="K8576">
        <v>0</v>
      </c>
      <c r="L8576">
        <v>15.6</v>
      </c>
    </row>
    <row r="8577" spans="1:12" x14ac:dyDescent="0.25">
      <c r="A8577" t="str">
        <f t="shared" si="1863"/>
        <v>89301000</v>
      </c>
      <c r="B8577" t="str">
        <f t="shared" si="1870"/>
        <v>93501000</v>
      </c>
      <c r="C8577" t="str">
        <f t="shared" si="1871"/>
        <v>93501001</v>
      </c>
      <c r="D8577" t="str">
        <f t="shared" si="1872"/>
        <v>801</v>
      </c>
      <c r="E8577" t="str">
        <f t="shared" si="1873"/>
        <v>89301167</v>
      </c>
      <c r="F8577" t="str">
        <f t="shared" si="1874"/>
        <v>470127462</v>
      </c>
      <c r="G8577" s="1">
        <v>44817</v>
      </c>
      <c r="H8577" t="str">
        <f>"91153"</f>
        <v>91153</v>
      </c>
      <c r="I8577">
        <v>1</v>
      </c>
      <c r="J8577">
        <v>152</v>
      </c>
      <c r="K8577">
        <v>0</v>
      </c>
      <c r="L8577">
        <v>118.56</v>
      </c>
    </row>
    <row r="8578" spans="1:12" x14ac:dyDescent="0.25">
      <c r="A8578" t="str">
        <f t="shared" ref="A8578:A8641" si="1875">"89301000"</f>
        <v>89301000</v>
      </c>
      <c r="B8578" t="str">
        <f t="shared" si="1870"/>
        <v>93501000</v>
      </c>
      <c r="C8578" t="str">
        <f t="shared" si="1871"/>
        <v>93501001</v>
      </c>
      <c r="D8578" t="str">
        <f t="shared" si="1872"/>
        <v>801</v>
      </c>
      <c r="E8578" t="str">
        <f t="shared" si="1873"/>
        <v>89301167</v>
      </c>
      <c r="F8578" t="str">
        <f t="shared" si="1874"/>
        <v>470127462</v>
      </c>
      <c r="G8578" s="1">
        <v>44817</v>
      </c>
      <c r="H8578" t="str">
        <f>"97111"</f>
        <v>97111</v>
      </c>
      <c r="I8578">
        <v>1</v>
      </c>
      <c r="J8578">
        <v>18</v>
      </c>
      <c r="K8578">
        <v>0</v>
      </c>
      <c r="L8578">
        <v>14.04</v>
      </c>
    </row>
    <row r="8579" spans="1:12" x14ac:dyDescent="0.25">
      <c r="A8579" t="str">
        <f t="shared" si="1875"/>
        <v>89301000</v>
      </c>
      <c r="B8579" t="str">
        <f t="shared" si="1870"/>
        <v>93501000</v>
      </c>
      <c r="C8579" t="str">
        <f t="shared" si="1871"/>
        <v>93501001</v>
      </c>
      <c r="D8579" t="str">
        <f t="shared" si="1872"/>
        <v>801</v>
      </c>
      <c r="E8579" t="str">
        <f t="shared" ref="E8579:E8591" si="1876">"89301037"</f>
        <v>89301037</v>
      </c>
      <c r="F8579" t="str">
        <f t="shared" ref="F8579:F8591" si="1877">"6461161542"</f>
        <v>6461161542</v>
      </c>
      <c r="G8579" s="1">
        <v>44826</v>
      </c>
      <c r="H8579" t="str">
        <f>"81337"</f>
        <v>81337</v>
      </c>
      <c r="I8579">
        <v>1</v>
      </c>
      <c r="J8579">
        <v>19</v>
      </c>
      <c r="K8579">
        <v>0</v>
      </c>
      <c r="L8579">
        <v>14.82</v>
      </c>
    </row>
    <row r="8580" spans="1:12" x14ac:dyDescent="0.25">
      <c r="A8580" t="str">
        <f t="shared" si="1875"/>
        <v>89301000</v>
      </c>
      <c r="B8580" t="str">
        <f t="shared" si="1870"/>
        <v>93501000</v>
      </c>
      <c r="C8580" t="str">
        <f t="shared" si="1871"/>
        <v>93501001</v>
      </c>
      <c r="D8580" t="str">
        <f t="shared" si="1872"/>
        <v>801</v>
      </c>
      <c r="E8580" t="str">
        <f t="shared" si="1876"/>
        <v>89301037</v>
      </c>
      <c r="F8580" t="str">
        <f t="shared" si="1877"/>
        <v>6461161542</v>
      </c>
      <c r="G8580" s="1">
        <v>44826</v>
      </c>
      <c r="H8580" t="str">
        <f>"81357"</f>
        <v>81357</v>
      </c>
      <c r="I8580">
        <v>1</v>
      </c>
      <c r="J8580">
        <v>19</v>
      </c>
      <c r="K8580">
        <v>0</v>
      </c>
      <c r="L8580">
        <v>14.82</v>
      </c>
    </row>
    <row r="8581" spans="1:12" x14ac:dyDescent="0.25">
      <c r="A8581" t="str">
        <f t="shared" si="1875"/>
        <v>89301000</v>
      </c>
      <c r="B8581" t="str">
        <f t="shared" si="1870"/>
        <v>93501000</v>
      </c>
      <c r="C8581" t="str">
        <f t="shared" si="1871"/>
        <v>93501001</v>
      </c>
      <c r="D8581" t="str">
        <f t="shared" si="1872"/>
        <v>801</v>
      </c>
      <c r="E8581" t="str">
        <f t="shared" si="1876"/>
        <v>89301037</v>
      </c>
      <c r="F8581" t="str">
        <f t="shared" si="1877"/>
        <v>6461161542</v>
      </c>
      <c r="G8581" s="1">
        <v>44826</v>
      </c>
      <c r="H8581" t="str">
        <f>"81393"</f>
        <v>81393</v>
      </c>
      <c r="I8581">
        <v>1</v>
      </c>
      <c r="J8581">
        <v>24</v>
      </c>
      <c r="K8581">
        <v>0</v>
      </c>
      <c r="L8581">
        <v>18.72</v>
      </c>
    </row>
    <row r="8582" spans="1:12" x14ac:dyDescent="0.25">
      <c r="A8582" t="str">
        <f t="shared" si="1875"/>
        <v>89301000</v>
      </c>
      <c r="B8582" t="str">
        <f t="shared" si="1870"/>
        <v>93501000</v>
      </c>
      <c r="C8582" t="str">
        <f t="shared" si="1871"/>
        <v>93501001</v>
      </c>
      <c r="D8582" t="str">
        <f t="shared" si="1872"/>
        <v>801</v>
      </c>
      <c r="E8582" t="str">
        <f t="shared" si="1876"/>
        <v>89301037</v>
      </c>
      <c r="F8582" t="str">
        <f t="shared" si="1877"/>
        <v>6461161542</v>
      </c>
      <c r="G8582" s="1">
        <v>44826</v>
      </c>
      <c r="H8582" t="str">
        <f>"81421"</f>
        <v>81421</v>
      </c>
      <c r="I8582">
        <v>1</v>
      </c>
      <c r="J8582">
        <v>19</v>
      </c>
      <c r="K8582">
        <v>0</v>
      </c>
      <c r="L8582">
        <v>14.82</v>
      </c>
    </row>
    <row r="8583" spans="1:12" x14ac:dyDescent="0.25">
      <c r="A8583" t="str">
        <f t="shared" si="1875"/>
        <v>89301000</v>
      </c>
      <c r="B8583" t="str">
        <f t="shared" si="1870"/>
        <v>93501000</v>
      </c>
      <c r="C8583" t="str">
        <f t="shared" si="1871"/>
        <v>93501001</v>
      </c>
      <c r="D8583" t="str">
        <f t="shared" si="1872"/>
        <v>801</v>
      </c>
      <c r="E8583" t="str">
        <f t="shared" si="1876"/>
        <v>89301037</v>
      </c>
      <c r="F8583" t="str">
        <f t="shared" si="1877"/>
        <v>6461161542</v>
      </c>
      <c r="G8583" s="1">
        <v>44826</v>
      </c>
      <c r="H8583" t="str">
        <f>"81435"</f>
        <v>81435</v>
      </c>
      <c r="I8583">
        <v>1</v>
      </c>
      <c r="J8583">
        <v>22</v>
      </c>
      <c r="K8583">
        <v>0</v>
      </c>
      <c r="L8583">
        <v>17.16</v>
      </c>
    </row>
    <row r="8584" spans="1:12" x14ac:dyDescent="0.25">
      <c r="A8584" t="str">
        <f t="shared" si="1875"/>
        <v>89301000</v>
      </c>
      <c r="B8584" t="str">
        <f t="shared" si="1870"/>
        <v>93501000</v>
      </c>
      <c r="C8584" t="str">
        <f t="shared" si="1871"/>
        <v>93501001</v>
      </c>
      <c r="D8584" t="str">
        <f t="shared" si="1872"/>
        <v>801</v>
      </c>
      <c r="E8584" t="str">
        <f t="shared" si="1876"/>
        <v>89301037</v>
      </c>
      <c r="F8584" t="str">
        <f t="shared" si="1877"/>
        <v>6461161542</v>
      </c>
      <c r="G8584" s="1">
        <v>44826</v>
      </c>
      <c r="H8584" t="str">
        <f>"81469"</f>
        <v>81469</v>
      </c>
      <c r="I8584">
        <v>1</v>
      </c>
      <c r="J8584">
        <v>16</v>
      </c>
      <c r="K8584">
        <v>0</v>
      </c>
      <c r="L8584">
        <v>12.48</v>
      </c>
    </row>
    <row r="8585" spans="1:12" x14ac:dyDescent="0.25">
      <c r="A8585" t="str">
        <f t="shared" si="1875"/>
        <v>89301000</v>
      </c>
      <c r="B8585" t="str">
        <f t="shared" si="1870"/>
        <v>93501000</v>
      </c>
      <c r="C8585" t="str">
        <f t="shared" si="1871"/>
        <v>93501001</v>
      </c>
      <c r="D8585" t="str">
        <f t="shared" si="1872"/>
        <v>801</v>
      </c>
      <c r="E8585" t="str">
        <f t="shared" si="1876"/>
        <v>89301037</v>
      </c>
      <c r="F8585" t="str">
        <f t="shared" si="1877"/>
        <v>6461161542</v>
      </c>
      <c r="G8585" s="1">
        <v>44826</v>
      </c>
      <c r="H8585" t="str">
        <f>"81499"</f>
        <v>81499</v>
      </c>
      <c r="I8585">
        <v>1</v>
      </c>
      <c r="J8585">
        <v>18</v>
      </c>
      <c r="K8585">
        <v>0</v>
      </c>
      <c r="L8585">
        <v>14.04</v>
      </c>
    </row>
    <row r="8586" spans="1:12" x14ac:dyDescent="0.25">
      <c r="A8586" t="str">
        <f t="shared" si="1875"/>
        <v>89301000</v>
      </c>
      <c r="B8586" t="str">
        <f t="shared" si="1870"/>
        <v>93501000</v>
      </c>
      <c r="C8586" t="str">
        <f t="shared" si="1871"/>
        <v>93501001</v>
      </c>
      <c r="D8586" t="str">
        <f t="shared" si="1872"/>
        <v>801</v>
      </c>
      <c r="E8586" t="str">
        <f t="shared" si="1876"/>
        <v>89301037</v>
      </c>
      <c r="F8586" t="str">
        <f t="shared" si="1877"/>
        <v>6461161542</v>
      </c>
      <c r="G8586" s="1">
        <v>44826</v>
      </c>
      <c r="H8586" t="str">
        <f>"81523"</f>
        <v>81523</v>
      </c>
      <c r="I8586">
        <v>1</v>
      </c>
      <c r="J8586">
        <v>23</v>
      </c>
      <c r="K8586">
        <v>0</v>
      </c>
      <c r="L8586">
        <v>17.940000000000001</v>
      </c>
    </row>
    <row r="8587" spans="1:12" x14ac:dyDescent="0.25">
      <c r="A8587" t="str">
        <f t="shared" si="1875"/>
        <v>89301000</v>
      </c>
      <c r="B8587" t="str">
        <f t="shared" si="1870"/>
        <v>93501000</v>
      </c>
      <c r="C8587" t="str">
        <f t="shared" si="1871"/>
        <v>93501001</v>
      </c>
      <c r="D8587" t="str">
        <f t="shared" si="1872"/>
        <v>801</v>
      </c>
      <c r="E8587" t="str">
        <f t="shared" si="1876"/>
        <v>89301037</v>
      </c>
      <c r="F8587" t="str">
        <f t="shared" si="1877"/>
        <v>6461161542</v>
      </c>
      <c r="G8587" s="1">
        <v>44826</v>
      </c>
      <c r="H8587" t="str">
        <f>"81593"</f>
        <v>81593</v>
      </c>
      <c r="I8587">
        <v>1</v>
      </c>
      <c r="J8587">
        <v>22</v>
      </c>
      <c r="K8587">
        <v>0</v>
      </c>
      <c r="L8587">
        <v>17.16</v>
      </c>
    </row>
    <row r="8588" spans="1:12" x14ac:dyDescent="0.25">
      <c r="A8588" t="str">
        <f t="shared" si="1875"/>
        <v>89301000</v>
      </c>
      <c r="B8588" t="str">
        <f t="shared" si="1870"/>
        <v>93501000</v>
      </c>
      <c r="C8588" t="str">
        <f t="shared" si="1871"/>
        <v>93501001</v>
      </c>
      <c r="D8588" t="str">
        <f t="shared" si="1872"/>
        <v>801</v>
      </c>
      <c r="E8588" t="str">
        <f t="shared" si="1876"/>
        <v>89301037</v>
      </c>
      <c r="F8588" t="str">
        <f t="shared" si="1877"/>
        <v>6461161542</v>
      </c>
      <c r="G8588" s="1">
        <v>44826</v>
      </c>
      <c r="H8588" t="str">
        <f>"81621"</f>
        <v>81621</v>
      </c>
      <c r="I8588">
        <v>1</v>
      </c>
      <c r="J8588">
        <v>19</v>
      </c>
      <c r="K8588">
        <v>0</v>
      </c>
      <c r="L8588">
        <v>14.82</v>
      </c>
    </row>
    <row r="8589" spans="1:12" x14ac:dyDescent="0.25">
      <c r="A8589" t="str">
        <f t="shared" si="1875"/>
        <v>89301000</v>
      </c>
      <c r="B8589" t="str">
        <f t="shared" si="1870"/>
        <v>93501000</v>
      </c>
      <c r="C8589" t="str">
        <f t="shared" si="1871"/>
        <v>93501001</v>
      </c>
      <c r="D8589" t="str">
        <f t="shared" si="1872"/>
        <v>801</v>
      </c>
      <c r="E8589" t="str">
        <f t="shared" si="1876"/>
        <v>89301037</v>
      </c>
      <c r="F8589" t="str">
        <f t="shared" si="1877"/>
        <v>6461161542</v>
      </c>
      <c r="G8589" s="1">
        <v>44826</v>
      </c>
      <c r="H8589" t="str">
        <f>"93195"</f>
        <v>93195</v>
      </c>
      <c r="I8589">
        <v>1</v>
      </c>
      <c r="J8589">
        <v>181</v>
      </c>
      <c r="K8589">
        <v>0</v>
      </c>
      <c r="L8589">
        <v>141.18</v>
      </c>
    </row>
    <row r="8590" spans="1:12" x14ac:dyDescent="0.25">
      <c r="A8590" t="str">
        <f t="shared" si="1875"/>
        <v>89301000</v>
      </c>
      <c r="B8590" t="str">
        <f t="shared" si="1870"/>
        <v>93501000</v>
      </c>
      <c r="C8590" t="str">
        <f t="shared" si="1871"/>
        <v>93501001</v>
      </c>
      <c r="D8590" t="str">
        <f t="shared" si="1872"/>
        <v>801</v>
      </c>
      <c r="E8590" t="str">
        <f t="shared" si="1876"/>
        <v>89301037</v>
      </c>
      <c r="F8590" t="str">
        <f t="shared" si="1877"/>
        <v>6461161542</v>
      </c>
      <c r="G8590" s="1">
        <v>44826</v>
      </c>
      <c r="H8590" t="str">
        <f>"97111"</f>
        <v>97111</v>
      </c>
      <c r="I8590">
        <v>1</v>
      </c>
      <c r="J8590">
        <v>18</v>
      </c>
      <c r="K8590">
        <v>0</v>
      </c>
      <c r="L8590">
        <v>14.04</v>
      </c>
    </row>
    <row r="8591" spans="1:12" x14ac:dyDescent="0.25">
      <c r="A8591" t="str">
        <f t="shared" si="1875"/>
        <v>89301000</v>
      </c>
      <c r="B8591" t="str">
        <f t="shared" si="1870"/>
        <v>93501000</v>
      </c>
      <c r="C8591" t="str">
        <f>"93501005"</f>
        <v>93501005</v>
      </c>
      <c r="D8591" t="str">
        <f>"818"</f>
        <v>818</v>
      </c>
      <c r="E8591" t="str">
        <f t="shared" si="1876"/>
        <v>89301037</v>
      </c>
      <c r="F8591" t="str">
        <f t="shared" si="1877"/>
        <v>6461161542</v>
      </c>
      <c r="G8591" s="1">
        <v>44826</v>
      </c>
      <c r="H8591" t="str">
        <f>"96163"</f>
        <v>96163</v>
      </c>
      <c r="I8591">
        <v>1</v>
      </c>
      <c r="J8591">
        <v>27</v>
      </c>
      <c r="K8591">
        <v>0</v>
      </c>
      <c r="L8591">
        <v>24.57</v>
      </c>
    </row>
    <row r="8592" spans="1:12" x14ac:dyDescent="0.25">
      <c r="A8592" t="str">
        <f t="shared" si="1875"/>
        <v>89301000</v>
      </c>
      <c r="B8592" t="str">
        <f t="shared" si="1870"/>
        <v>93501000</v>
      </c>
      <c r="C8592" t="str">
        <f>"93501005"</f>
        <v>93501005</v>
      </c>
      <c r="D8592" t="str">
        <f>"818"</f>
        <v>818</v>
      </c>
      <c r="E8592" t="str">
        <f>"89301167"</f>
        <v>89301167</v>
      </c>
      <c r="F8592" t="str">
        <f>"470127462"</f>
        <v>470127462</v>
      </c>
      <c r="G8592" s="1">
        <v>44817</v>
      </c>
      <c r="H8592" t="str">
        <f>"96167"</f>
        <v>96167</v>
      </c>
      <c r="I8592">
        <v>1</v>
      </c>
      <c r="J8592">
        <v>67</v>
      </c>
      <c r="K8592">
        <v>0</v>
      </c>
      <c r="L8592">
        <v>60.97</v>
      </c>
    </row>
    <row r="8593" spans="1:12" x14ac:dyDescent="0.25">
      <c r="A8593" t="str">
        <f t="shared" si="1875"/>
        <v>89301000</v>
      </c>
      <c r="B8593" t="str">
        <f t="shared" ref="B8593:B8624" si="1878">"78051000"</f>
        <v>78051000</v>
      </c>
      <c r="C8593" t="str">
        <f t="shared" ref="C8593:C8624" si="1879">"78051004"</f>
        <v>78051004</v>
      </c>
      <c r="D8593" t="str">
        <f t="shared" ref="D8593:D8624" si="1880">"809"</f>
        <v>809</v>
      </c>
      <c r="E8593" t="str">
        <f t="shared" ref="E8593:E8624" si="1881">"89301062"</f>
        <v>89301062</v>
      </c>
      <c r="F8593" t="str">
        <f>"8001195334"</f>
        <v>8001195334</v>
      </c>
      <c r="G8593" s="1">
        <v>44810</v>
      </c>
      <c r="H8593" t="str">
        <f>"89311"</f>
        <v>89311</v>
      </c>
      <c r="I8593">
        <v>1</v>
      </c>
      <c r="J8593">
        <v>936</v>
      </c>
      <c r="K8593">
        <v>0</v>
      </c>
      <c r="L8593">
        <v>1310.4000000000001</v>
      </c>
    </row>
    <row r="8594" spans="1:12" x14ac:dyDescent="0.25">
      <c r="A8594" t="str">
        <f t="shared" si="1875"/>
        <v>89301000</v>
      </c>
      <c r="B8594" t="str">
        <f t="shared" si="1878"/>
        <v>78051000</v>
      </c>
      <c r="C8594" t="str">
        <f t="shared" si="1879"/>
        <v>78051004</v>
      </c>
      <c r="D8594" t="str">
        <f t="shared" si="1880"/>
        <v>809</v>
      </c>
      <c r="E8594" t="str">
        <f t="shared" si="1881"/>
        <v>89301062</v>
      </c>
      <c r="F8594" t="str">
        <f>"8001195334"</f>
        <v>8001195334</v>
      </c>
      <c r="G8594" s="1">
        <v>44810</v>
      </c>
      <c r="H8594" t="str">
        <f>"0090044"</f>
        <v>0090044</v>
      </c>
      <c r="I8594">
        <v>1</v>
      </c>
      <c r="K8594">
        <v>16.8</v>
      </c>
      <c r="L8594">
        <v>16.8</v>
      </c>
    </row>
    <row r="8595" spans="1:12" x14ac:dyDescent="0.25">
      <c r="A8595" t="str">
        <f t="shared" si="1875"/>
        <v>89301000</v>
      </c>
      <c r="B8595" t="str">
        <f t="shared" si="1878"/>
        <v>78051000</v>
      </c>
      <c r="C8595" t="str">
        <f t="shared" si="1879"/>
        <v>78051004</v>
      </c>
      <c r="D8595" t="str">
        <f t="shared" si="1880"/>
        <v>809</v>
      </c>
      <c r="E8595" t="str">
        <f t="shared" si="1881"/>
        <v>89301062</v>
      </c>
      <c r="F8595" t="str">
        <f>"8001195334"</f>
        <v>8001195334</v>
      </c>
      <c r="G8595" s="1">
        <v>44810</v>
      </c>
      <c r="H8595" t="str">
        <f>"0225891"</f>
        <v>0225891</v>
      </c>
      <c r="I8595">
        <v>0.2</v>
      </c>
      <c r="K8595">
        <v>73.540000000000006</v>
      </c>
      <c r="L8595">
        <v>73.540000000000006</v>
      </c>
    </row>
    <row r="8596" spans="1:12" x14ac:dyDescent="0.25">
      <c r="A8596" t="str">
        <f t="shared" si="1875"/>
        <v>89301000</v>
      </c>
      <c r="B8596" t="str">
        <f t="shared" si="1878"/>
        <v>78051000</v>
      </c>
      <c r="C8596" t="str">
        <f t="shared" si="1879"/>
        <v>78051004</v>
      </c>
      <c r="D8596" t="str">
        <f t="shared" si="1880"/>
        <v>809</v>
      </c>
      <c r="E8596" t="str">
        <f t="shared" si="1881"/>
        <v>89301062</v>
      </c>
      <c r="F8596" t="str">
        <f>"8001195334"</f>
        <v>8001195334</v>
      </c>
      <c r="G8596" s="1">
        <v>44810</v>
      </c>
      <c r="H8596" t="str">
        <f>"0096251"</f>
        <v>0096251</v>
      </c>
      <c r="I8596">
        <v>0.17</v>
      </c>
      <c r="K8596">
        <v>198.83</v>
      </c>
      <c r="L8596">
        <v>198.83</v>
      </c>
    </row>
    <row r="8597" spans="1:12" x14ac:dyDescent="0.25">
      <c r="A8597" t="str">
        <f t="shared" si="1875"/>
        <v>89301000</v>
      </c>
      <c r="B8597" t="str">
        <f t="shared" si="1878"/>
        <v>78051000</v>
      </c>
      <c r="C8597" t="str">
        <f t="shared" si="1879"/>
        <v>78051004</v>
      </c>
      <c r="D8597" t="str">
        <f t="shared" si="1880"/>
        <v>809</v>
      </c>
      <c r="E8597" t="str">
        <f t="shared" si="1881"/>
        <v>89301062</v>
      </c>
      <c r="F8597" t="str">
        <f>"8001195334"</f>
        <v>8001195334</v>
      </c>
      <c r="G8597" s="1">
        <v>44810</v>
      </c>
      <c r="H8597" t="str">
        <f>"0098943"</f>
        <v>0098943</v>
      </c>
      <c r="I8597">
        <v>1</v>
      </c>
      <c r="K8597">
        <v>293.81</v>
      </c>
      <c r="L8597">
        <v>293.81</v>
      </c>
    </row>
    <row r="8598" spans="1:12" x14ac:dyDescent="0.25">
      <c r="A8598" t="str">
        <f t="shared" si="1875"/>
        <v>89301000</v>
      </c>
      <c r="B8598" t="str">
        <f t="shared" si="1878"/>
        <v>78051000</v>
      </c>
      <c r="C8598" t="str">
        <f t="shared" si="1879"/>
        <v>78051004</v>
      </c>
      <c r="D8598" t="str">
        <f t="shared" si="1880"/>
        <v>809</v>
      </c>
      <c r="E8598" t="str">
        <f t="shared" si="1881"/>
        <v>89301062</v>
      </c>
      <c r="F8598" t="str">
        <f>"455403425"</f>
        <v>455403425</v>
      </c>
      <c r="G8598" s="1">
        <v>44810</v>
      </c>
      <c r="H8598" t="str">
        <f>"89311"</f>
        <v>89311</v>
      </c>
      <c r="I8598">
        <v>1</v>
      </c>
      <c r="J8598">
        <v>936</v>
      </c>
      <c r="K8598">
        <v>0</v>
      </c>
      <c r="L8598">
        <v>1310.4000000000001</v>
      </c>
    </row>
    <row r="8599" spans="1:12" x14ac:dyDescent="0.25">
      <c r="A8599" t="str">
        <f t="shared" si="1875"/>
        <v>89301000</v>
      </c>
      <c r="B8599" t="str">
        <f t="shared" si="1878"/>
        <v>78051000</v>
      </c>
      <c r="C8599" t="str">
        <f t="shared" si="1879"/>
        <v>78051004</v>
      </c>
      <c r="D8599" t="str">
        <f t="shared" si="1880"/>
        <v>809</v>
      </c>
      <c r="E8599" t="str">
        <f t="shared" si="1881"/>
        <v>89301062</v>
      </c>
      <c r="F8599" t="str">
        <f>"455403425"</f>
        <v>455403425</v>
      </c>
      <c r="G8599" s="1">
        <v>44810</v>
      </c>
      <c r="H8599" t="str">
        <f>"0090044"</f>
        <v>0090044</v>
      </c>
      <c r="I8599">
        <v>1</v>
      </c>
      <c r="K8599">
        <v>16.8</v>
      </c>
      <c r="L8599">
        <v>16.8</v>
      </c>
    </row>
    <row r="8600" spans="1:12" x14ac:dyDescent="0.25">
      <c r="A8600" t="str">
        <f t="shared" si="1875"/>
        <v>89301000</v>
      </c>
      <c r="B8600" t="str">
        <f t="shared" si="1878"/>
        <v>78051000</v>
      </c>
      <c r="C8600" t="str">
        <f t="shared" si="1879"/>
        <v>78051004</v>
      </c>
      <c r="D8600" t="str">
        <f t="shared" si="1880"/>
        <v>809</v>
      </c>
      <c r="E8600" t="str">
        <f t="shared" si="1881"/>
        <v>89301062</v>
      </c>
      <c r="F8600" t="str">
        <f>"455403425"</f>
        <v>455403425</v>
      </c>
      <c r="G8600" s="1">
        <v>44810</v>
      </c>
      <c r="H8600" t="str">
        <f>"0225891"</f>
        <v>0225891</v>
      </c>
      <c r="I8600">
        <v>0.2</v>
      </c>
      <c r="K8600">
        <v>73.540000000000006</v>
      </c>
      <c r="L8600">
        <v>73.540000000000006</v>
      </c>
    </row>
    <row r="8601" spans="1:12" x14ac:dyDescent="0.25">
      <c r="A8601" t="str">
        <f t="shared" si="1875"/>
        <v>89301000</v>
      </c>
      <c r="B8601" t="str">
        <f t="shared" si="1878"/>
        <v>78051000</v>
      </c>
      <c r="C8601" t="str">
        <f t="shared" si="1879"/>
        <v>78051004</v>
      </c>
      <c r="D8601" t="str">
        <f t="shared" si="1880"/>
        <v>809</v>
      </c>
      <c r="E8601" t="str">
        <f t="shared" si="1881"/>
        <v>89301062</v>
      </c>
      <c r="F8601" t="str">
        <f>"455403425"</f>
        <v>455403425</v>
      </c>
      <c r="G8601" s="1">
        <v>44810</v>
      </c>
      <c r="H8601" t="str">
        <f>"0096251"</f>
        <v>0096251</v>
      </c>
      <c r="I8601">
        <v>0.17</v>
      </c>
      <c r="K8601">
        <v>198.83</v>
      </c>
      <c r="L8601">
        <v>198.83</v>
      </c>
    </row>
    <row r="8602" spans="1:12" x14ac:dyDescent="0.25">
      <c r="A8602" t="str">
        <f t="shared" si="1875"/>
        <v>89301000</v>
      </c>
      <c r="B8602" t="str">
        <f t="shared" si="1878"/>
        <v>78051000</v>
      </c>
      <c r="C8602" t="str">
        <f t="shared" si="1879"/>
        <v>78051004</v>
      </c>
      <c r="D8602" t="str">
        <f t="shared" si="1880"/>
        <v>809</v>
      </c>
      <c r="E8602" t="str">
        <f t="shared" si="1881"/>
        <v>89301062</v>
      </c>
      <c r="F8602" t="str">
        <f>"455403425"</f>
        <v>455403425</v>
      </c>
      <c r="G8602" s="1">
        <v>44810</v>
      </c>
      <c r="H8602" t="str">
        <f>"0098943"</f>
        <v>0098943</v>
      </c>
      <c r="I8602">
        <v>1</v>
      </c>
      <c r="K8602">
        <v>293.81</v>
      </c>
      <c r="L8602">
        <v>293.81</v>
      </c>
    </row>
    <row r="8603" spans="1:12" x14ac:dyDescent="0.25">
      <c r="A8603" t="str">
        <f t="shared" si="1875"/>
        <v>89301000</v>
      </c>
      <c r="B8603" t="str">
        <f t="shared" si="1878"/>
        <v>78051000</v>
      </c>
      <c r="C8603" t="str">
        <f t="shared" si="1879"/>
        <v>78051004</v>
      </c>
      <c r="D8603" t="str">
        <f t="shared" si="1880"/>
        <v>809</v>
      </c>
      <c r="E8603" t="str">
        <f t="shared" si="1881"/>
        <v>89301062</v>
      </c>
      <c r="F8603" t="str">
        <f>"6757051675"</f>
        <v>6757051675</v>
      </c>
      <c r="G8603" s="1">
        <v>44810</v>
      </c>
      <c r="H8603" t="str">
        <f>"89311"</f>
        <v>89311</v>
      </c>
      <c r="I8603">
        <v>1</v>
      </c>
      <c r="J8603">
        <v>936</v>
      </c>
      <c r="K8603">
        <v>0</v>
      </c>
      <c r="L8603">
        <v>1310.4000000000001</v>
      </c>
    </row>
    <row r="8604" spans="1:12" x14ac:dyDescent="0.25">
      <c r="A8604" t="str">
        <f t="shared" si="1875"/>
        <v>89301000</v>
      </c>
      <c r="B8604" t="str">
        <f t="shared" si="1878"/>
        <v>78051000</v>
      </c>
      <c r="C8604" t="str">
        <f t="shared" si="1879"/>
        <v>78051004</v>
      </c>
      <c r="D8604" t="str">
        <f t="shared" si="1880"/>
        <v>809</v>
      </c>
      <c r="E8604" t="str">
        <f t="shared" si="1881"/>
        <v>89301062</v>
      </c>
      <c r="F8604" t="str">
        <f>"6757051675"</f>
        <v>6757051675</v>
      </c>
      <c r="G8604" s="1">
        <v>44810</v>
      </c>
      <c r="H8604" t="str">
        <f>"0090044"</f>
        <v>0090044</v>
      </c>
      <c r="I8604">
        <v>1</v>
      </c>
      <c r="K8604">
        <v>16.8</v>
      </c>
      <c r="L8604">
        <v>16.8</v>
      </c>
    </row>
    <row r="8605" spans="1:12" x14ac:dyDescent="0.25">
      <c r="A8605" t="str">
        <f t="shared" si="1875"/>
        <v>89301000</v>
      </c>
      <c r="B8605" t="str">
        <f t="shared" si="1878"/>
        <v>78051000</v>
      </c>
      <c r="C8605" t="str">
        <f t="shared" si="1879"/>
        <v>78051004</v>
      </c>
      <c r="D8605" t="str">
        <f t="shared" si="1880"/>
        <v>809</v>
      </c>
      <c r="E8605" t="str">
        <f t="shared" si="1881"/>
        <v>89301062</v>
      </c>
      <c r="F8605" t="str">
        <f>"6757051675"</f>
        <v>6757051675</v>
      </c>
      <c r="G8605" s="1">
        <v>44810</v>
      </c>
      <c r="H8605" t="str">
        <f>"0225891"</f>
        <v>0225891</v>
      </c>
      <c r="I8605">
        <v>0.2</v>
      </c>
      <c r="K8605">
        <v>73.540000000000006</v>
      </c>
      <c r="L8605">
        <v>73.540000000000006</v>
      </c>
    </row>
    <row r="8606" spans="1:12" x14ac:dyDescent="0.25">
      <c r="A8606" t="str">
        <f t="shared" si="1875"/>
        <v>89301000</v>
      </c>
      <c r="B8606" t="str">
        <f t="shared" si="1878"/>
        <v>78051000</v>
      </c>
      <c r="C8606" t="str">
        <f t="shared" si="1879"/>
        <v>78051004</v>
      </c>
      <c r="D8606" t="str">
        <f t="shared" si="1880"/>
        <v>809</v>
      </c>
      <c r="E8606" t="str">
        <f t="shared" si="1881"/>
        <v>89301062</v>
      </c>
      <c r="F8606" t="str">
        <f>"6757051675"</f>
        <v>6757051675</v>
      </c>
      <c r="G8606" s="1">
        <v>44810</v>
      </c>
      <c r="H8606" t="str">
        <f>"0096251"</f>
        <v>0096251</v>
      </c>
      <c r="I8606">
        <v>0.17</v>
      </c>
      <c r="K8606">
        <v>198.83</v>
      </c>
      <c r="L8606">
        <v>198.83</v>
      </c>
    </row>
    <row r="8607" spans="1:12" x14ac:dyDescent="0.25">
      <c r="A8607" t="str">
        <f t="shared" si="1875"/>
        <v>89301000</v>
      </c>
      <c r="B8607" t="str">
        <f t="shared" si="1878"/>
        <v>78051000</v>
      </c>
      <c r="C8607" t="str">
        <f t="shared" si="1879"/>
        <v>78051004</v>
      </c>
      <c r="D8607" t="str">
        <f t="shared" si="1880"/>
        <v>809</v>
      </c>
      <c r="E8607" t="str">
        <f t="shared" si="1881"/>
        <v>89301062</v>
      </c>
      <c r="F8607" t="str">
        <f>"6757051675"</f>
        <v>6757051675</v>
      </c>
      <c r="G8607" s="1">
        <v>44810</v>
      </c>
      <c r="H8607" t="str">
        <f>"0098943"</f>
        <v>0098943</v>
      </c>
      <c r="I8607">
        <v>1</v>
      </c>
      <c r="K8607">
        <v>293.81</v>
      </c>
      <c r="L8607">
        <v>293.81</v>
      </c>
    </row>
    <row r="8608" spans="1:12" x14ac:dyDescent="0.25">
      <c r="A8608" t="str">
        <f t="shared" si="1875"/>
        <v>89301000</v>
      </c>
      <c r="B8608" t="str">
        <f t="shared" si="1878"/>
        <v>78051000</v>
      </c>
      <c r="C8608" t="str">
        <f t="shared" si="1879"/>
        <v>78051004</v>
      </c>
      <c r="D8608" t="str">
        <f t="shared" si="1880"/>
        <v>809</v>
      </c>
      <c r="E8608" t="str">
        <f t="shared" si="1881"/>
        <v>89301062</v>
      </c>
      <c r="F8608" t="str">
        <f>"430317472"</f>
        <v>430317472</v>
      </c>
      <c r="G8608" s="1">
        <v>44810</v>
      </c>
      <c r="H8608" t="str">
        <f>"89311"</f>
        <v>89311</v>
      </c>
      <c r="I8608">
        <v>1</v>
      </c>
      <c r="J8608">
        <v>936</v>
      </c>
      <c r="K8608">
        <v>0</v>
      </c>
      <c r="L8608">
        <v>1310.4000000000001</v>
      </c>
    </row>
    <row r="8609" spans="1:12" x14ac:dyDescent="0.25">
      <c r="A8609" t="str">
        <f t="shared" si="1875"/>
        <v>89301000</v>
      </c>
      <c r="B8609" t="str">
        <f t="shared" si="1878"/>
        <v>78051000</v>
      </c>
      <c r="C8609" t="str">
        <f t="shared" si="1879"/>
        <v>78051004</v>
      </c>
      <c r="D8609" t="str">
        <f t="shared" si="1880"/>
        <v>809</v>
      </c>
      <c r="E8609" t="str">
        <f t="shared" si="1881"/>
        <v>89301062</v>
      </c>
      <c r="F8609" t="str">
        <f>"430317472"</f>
        <v>430317472</v>
      </c>
      <c r="G8609" s="1">
        <v>44810</v>
      </c>
      <c r="H8609" t="str">
        <f>"0090044"</f>
        <v>0090044</v>
      </c>
      <c r="I8609">
        <v>1</v>
      </c>
      <c r="K8609">
        <v>16.8</v>
      </c>
      <c r="L8609">
        <v>16.8</v>
      </c>
    </row>
    <row r="8610" spans="1:12" x14ac:dyDescent="0.25">
      <c r="A8610" t="str">
        <f t="shared" si="1875"/>
        <v>89301000</v>
      </c>
      <c r="B8610" t="str">
        <f t="shared" si="1878"/>
        <v>78051000</v>
      </c>
      <c r="C8610" t="str">
        <f t="shared" si="1879"/>
        <v>78051004</v>
      </c>
      <c r="D8610" t="str">
        <f t="shared" si="1880"/>
        <v>809</v>
      </c>
      <c r="E8610" t="str">
        <f t="shared" si="1881"/>
        <v>89301062</v>
      </c>
      <c r="F8610" t="str">
        <f>"430317472"</f>
        <v>430317472</v>
      </c>
      <c r="G8610" s="1">
        <v>44810</v>
      </c>
      <c r="H8610" t="str">
        <f>"0225891"</f>
        <v>0225891</v>
      </c>
      <c r="I8610">
        <v>0.2</v>
      </c>
      <c r="K8610">
        <v>73.540000000000006</v>
      </c>
      <c r="L8610">
        <v>73.540000000000006</v>
      </c>
    </row>
    <row r="8611" spans="1:12" x14ac:dyDescent="0.25">
      <c r="A8611" t="str">
        <f t="shared" si="1875"/>
        <v>89301000</v>
      </c>
      <c r="B8611" t="str">
        <f t="shared" si="1878"/>
        <v>78051000</v>
      </c>
      <c r="C8611" t="str">
        <f t="shared" si="1879"/>
        <v>78051004</v>
      </c>
      <c r="D8611" t="str">
        <f t="shared" si="1880"/>
        <v>809</v>
      </c>
      <c r="E8611" t="str">
        <f t="shared" si="1881"/>
        <v>89301062</v>
      </c>
      <c r="F8611" t="str">
        <f>"430317472"</f>
        <v>430317472</v>
      </c>
      <c r="G8611" s="1">
        <v>44810</v>
      </c>
      <c r="H8611" t="str">
        <f>"0096251"</f>
        <v>0096251</v>
      </c>
      <c r="I8611">
        <v>0.17</v>
      </c>
      <c r="K8611">
        <v>198.83</v>
      </c>
      <c r="L8611">
        <v>198.83</v>
      </c>
    </row>
    <row r="8612" spans="1:12" x14ac:dyDescent="0.25">
      <c r="A8612" t="str">
        <f t="shared" si="1875"/>
        <v>89301000</v>
      </c>
      <c r="B8612" t="str">
        <f t="shared" si="1878"/>
        <v>78051000</v>
      </c>
      <c r="C8612" t="str">
        <f t="shared" si="1879"/>
        <v>78051004</v>
      </c>
      <c r="D8612" t="str">
        <f t="shared" si="1880"/>
        <v>809</v>
      </c>
      <c r="E8612" t="str">
        <f t="shared" si="1881"/>
        <v>89301062</v>
      </c>
      <c r="F8612" t="str">
        <f>"430317472"</f>
        <v>430317472</v>
      </c>
      <c r="G8612" s="1">
        <v>44810</v>
      </c>
      <c r="H8612" t="str">
        <f>"0098943"</f>
        <v>0098943</v>
      </c>
      <c r="I8612">
        <v>1</v>
      </c>
      <c r="K8612">
        <v>293.81</v>
      </c>
      <c r="L8612">
        <v>293.81</v>
      </c>
    </row>
    <row r="8613" spans="1:12" x14ac:dyDescent="0.25">
      <c r="A8613" t="str">
        <f t="shared" si="1875"/>
        <v>89301000</v>
      </c>
      <c r="B8613" t="str">
        <f t="shared" si="1878"/>
        <v>78051000</v>
      </c>
      <c r="C8613" t="str">
        <f t="shared" si="1879"/>
        <v>78051004</v>
      </c>
      <c r="D8613" t="str">
        <f t="shared" si="1880"/>
        <v>809</v>
      </c>
      <c r="E8613" t="str">
        <f t="shared" si="1881"/>
        <v>89301062</v>
      </c>
      <c r="F8613" t="str">
        <f>"6259010153"</f>
        <v>6259010153</v>
      </c>
      <c r="G8613" s="1">
        <v>44810</v>
      </c>
      <c r="H8613" t="str">
        <f>"89311"</f>
        <v>89311</v>
      </c>
      <c r="I8613">
        <v>1</v>
      </c>
      <c r="J8613">
        <v>936</v>
      </c>
      <c r="K8613">
        <v>0</v>
      </c>
      <c r="L8613">
        <v>1310.4000000000001</v>
      </c>
    </row>
    <row r="8614" spans="1:12" x14ac:dyDescent="0.25">
      <c r="A8614" t="str">
        <f t="shared" si="1875"/>
        <v>89301000</v>
      </c>
      <c r="B8614" t="str">
        <f t="shared" si="1878"/>
        <v>78051000</v>
      </c>
      <c r="C8614" t="str">
        <f t="shared" si="1879"/>
        <v>78051004</v>
      </c>
      <c r="D8614" t="str">
        <f t="shared" si="1880"/>
        <v>809</v>
      </c>
      <c r="E8614" t="str">
        <f t="shared" si="1881"/>
        <v>89301062</v>
      </c>
      <c r="F8614" t="str">
        <f>"6259010153"</f>
        <v>6259010153</v>
      </c>
      <c r="G8614" s="1">
        <v>44810</v>
      </c>
      <c r="H8614" t="str">
        <f>"0090044"</f>
        <v>0090044</v>
      </c>
      <c r="I8614">
        <v>1</v>
      </c>
      <c r="K8614">
        <v>16.8</v>
      </c>
      <c r="L8614">
        <v>16.8</v>
      </c>
    </row>
    <row r="8615" spans="1:12" x14ac:dyDescent="0.25">
      <c r="A8615" t="str">
        <f t="shared" si="1875"/>
        <v>89301000</v>
      </c>
      <c r="B8615" t="str">
        <f t="shared" si="1878"/>
        <v>78051000</v>
      </c>
      <c r="C8615" t="str">
        <f t="shared" si="1879"/>
        <v>78051004</v>
      </c>
      <c r="D8615" t="str">
        <f t="shared" si="1880"/>
        <v>809</v>
      </c>
      <c r="E8615" t="str">
        <f t="shared" si="1881"/>
        <v>89301062</v>
      </c>
      <c r="F8615" t="str">
        <f>"6259010153"</f>
        <v>6259010153</v>
      </c>
      <c r="G8615" s="1">
        <v>44810</v>
      </c>
      <c r="H8615" t="str">
        <f>"0225891"</f>
        <v>0225891</v>
      </c>
      <c r="I8615">
        <v>0.2</v>
      </c>
      <c r="K8615">
        <v>73.540000000000006</v>
      </c>
      <c r="L8615">
        <v>73.540000000000006</v>
      </c>
    </row>
    <row r="8616" spans="1:12" x14ac:dyDescent="0.25">
      <c r="A8616" t="str">
        <f t="shared" si="1875"/>
        <v>89301000</v>
      </c>
      <c r="B8616" t="str">
        <f t="shared" si="1878"/>
        <v>78051000</v>
      </c>
      <c r="C8616" t="str">
        <f t="shared" si="1879"/>
        <v>78051004</v>
      </c>
      <c r="D8616" t="str">
        <f t="shared" si="1880"/>
        <v>809</v>
      </c>
      <c r="E8616" t="str">
        <f t="shared" si="1881"/>
        <v>89301062</v>
      </c>
      <c r="F8616" t="str">
        <f>"6259010153"</f>
        <v>6259010153</v>
      </c>
      <c r="G8616" s="1">
        <v>44810</v>
      </c>
      <c r="H8616" t="str">
        <f>"0096251"</f>
        <v>0096251</v>
      </c>
      <c r="I8616">
        <v>0.17</v>
      </c>
      <c r="K8616">
        <v>198.83</v>
      </c>
      <c r="L8616">
        <v>198.83</v>
      </c>
    </row>
    <row r="8617" spans="1:12" x14ac:dyDescent="0.25">
      <c r="A8617" t="str">
        <f t="shared" si="1875"/>
        <v>89301000</v>
      </c>
      <c r="B8617" t="str">
        <f t="shared" si="1878"/>
        <v>78051000</v>
      </c>
      <c r="C8617" t="str">
        <f t="shared" si="1879"/>
        <v>78051004</v>
      </c>
      <c r="D8617" t="str">
        <f t="shared" si="1880"/>
        <v>809</v>
      </c>
      <c r="E8617" t="str">
        <f t="shared" si="1881"/>
        <v>89301062</v>
      </c>
      <c r="F8617" t="str">
        <f>"6259010153"</f>
        <v>6259010153</v>
      </c>
      <c r="G8617" s="1">
        <v>44810</v>
      </c>
      <c r="H8617" t="str">
        <f>"0098943"</f>
        <v>0098943</v>
      </c>
      <c r="I8617">
        <v>1</v>
      </c>
      <c r="K8617">
        <v>293.81</v>
      </c>
      <c r="L8617">
        <v>293.81</v>
      </c>
    </row>
    <row r="8618" spans="1:12" x14ac:dyDescent="0.25">
      <c r="A8618" t="str">
        <f t="shared" si="1875"/>
        <v>89301000</v>
      </c>
      <c r="B8618" t="str">
        <f t="shared" si="1878"/>
        <v>78051000</v>
      </c>
      <c r="C8618" t="str">
        <f t="shared" si="1879"/>
        <v>78051004</v>
      </c>
      <c r="D8618" t="str">
        <f t="shared" si="1880"/>
        <v>809</v>
      </c>
      <c r="E8618" t="str">
        <f t="shared" si="1881"/>
        <v>89301062</v>
      </c>
      <c r="F8618" t="str">
        <f>"8806145810"</f>
        <v>8806145810</v>
      </c>
      <c r="G8618" s="1">
        <v>44817</v>
      </c>
      <c r="H8618" t="str">
        <f>"89311"</f>
        <v>89311</v>
      </c>
      <c r="I8618">
        <v>1</v>
      </c>
      <c r="J8618">
        <v>936</v>
      </c>
      <c r="K8618">
        <v>0</v>
      </c>
      <c r="L8618">
        <v>1310.4000000000001</v>
      </c>
    </row>
    <row r="8619" spans="1:12" x14ac:dyDescent="0.25">
      <c r="A8619" t="str">
        <f t="shared" si="1875"/>
        <v>89301000</v>
      </c>
      <c r="B8619" t="str">
        <f t="shared" si="1878"/>
        <v>78051000</v>
      </c>
      <c r="C8619" t="str">
        <f t="shared" si="1879"/>
        <v>78051004</v>
      </c>
      <c r="D8619" t="str">
        <f t="shared" si="1880"/>
        <v>809</v>
      </c>
      <c r="E8619" t="str">
        <f t="shared" si="1881"/>
        <v>89301062</v>
      </c>
      <c r="F8619" t="str">
        <f>"8806145810"</f>
        <v>8806145810</v>
      </c>
      <c r="G8619" s="1">
        <v>44817</v>
      </c>
      <c r="H8619" t="str">
        <f>"0090044"</f>
        <v>0090044</v>
      </c>
      <c r="I8619">
        <v>1</v>
      </c>
      <c r="K8619">
        <v>16.8</v>
      </c>
      <c r="L8619">
        <v>16.8</v>
      </c>
    </row>
    <row r="8620" spans="1:12" x14ac:dyDescent="0.25">
      <c r="A8620" t="str">
        <f t="shared" si="1875"/>
        <v>89301000</v>
      </c>
      <c r="B8620" t="str">
        <f t="shared" si="1878"/>
        <v>78051000</v>
      </c>
      <c r="C8620" t="str">
        <f t="shared" si="1879"/>
        <v>78051004</v>
      </c>
      <c r="D8620" t="str">
        <f t="shared" si="1880"/>
        <v>809</v>
      </c>
      <c r="E8620" t="str">
        <f t="shared" si="1881"/>
        <v>89301062</v>
      </c>
      <c r="F8620" t="str">
        <f>"8806145810"</f>
        <v>8806145810</v>
      </c>
      <c r="G8620" s="1">
        <v>44817</v>
      </c>
      <c r="H8620" t="str">
        <f>"0225891"</f>
        <v>0225891</v>
      </c>
      <c r="I8620">
        <v>0.2</v>
      </c>
      <c r="K8620">
        <v>73.540000000000006</v>
      </c>
      <c r="L8620">
        <v>73.540000000000006</v>
      </c>
    </row>
    <row r="8621" spans="1:12" x14ac:dyDescent="0.25">
      <c r="A8621" t="str">
        <f t="shared" si="1875"/>
        <v>89301000</v>
      </c>
      <c r="B8621" t="str">
        <f t="shared" si="1878"/>
        <v>78051000</v>
      </c>
      <c r="C8621" t="str">
        <f t="shared" si="1879"/>
        <v>78051004</v>
      </c>
      <c r="D8621" t="str">
        <f t="shared" si="1880"/>
        <v>809</v>
      </c>
      <c r="E8621" t="str">
        <f t="shared" si="1881"/>
        <v>89301062</v>
      </c>
      <c r="F8621" t="str">
        <f>"8806145810"</f>
        <v>8806145810</v>
      </c>
      <c r="G8621" s="1">
        <v>44817</v>
      </c>
      <c r="H8621" t="str">
        <f>"0096251"</f>
        <v>0096251</v>
      </c>
      <c r="I8621">
        <v>0.17</v>
      </c>
      <c r="K8621">
        <v>198.83</v>
      </c>
      <c r="L8621">
        <v>198.83</v>
      </c>
    </row>
    <row r="8622" spans="1:12" x14ac:dyDescent="0.25">
      <c r="A8622" t="str">
        <f t="shared" si="1875"/>
        <v>89301000</v>
      </c>
      <c r="B8622" t="str">
        <f t="shared" si="1878"/>
        <v>78051000</v>
      </c>
      <c r="C8622" t="str">
        <f t="shared" si="1879"/>
        <v>78051004</v>
      </c>
      <c r="D8622" t="str">
        <f t="shared" si="1880"/>
        <v>809</v>
      </c>
      <c r="E8622" t="str">
        <f t="shared" si="1881"/>
        <v>89301062</v>
      </c>
      <c r="F8622" t="str">
        <f>"8806145810"</f>
        <v>8806145810</v>
      </c>
      <c r="G8622" s="1">
        <v>44817</v>
      </c>
      <c r="H8622" t="str">
        <f>"0098943"</f>
        <v>0098943</v>
      </c>
      <c r="I8622">
        <v>1</v>
      </c>
      <c r="K8622">
        <v>293.81</v>
      </c>
      <c r="L8622">
        <v>293.81</v>
      </c>
    </row>
    <row r="8623" spans="1:12" x14ac:dyDescent="0.25">
      <c r="A8623" t="str">
        <f t="shared" si="1875"/>
        <v>89301000</v>
      </c>
      <c r="B8623" t="str">
        <f t="shared" si="1878"/>
        <v>78051000</v>
      </c>
      <c r="C8623" t="str">
        <f t="shared" si="1879"/>
        <v>78051004</v>
      </c>
      <c r="D8623" t="str">
        <f t="shared" si="1880"/>
        <v>809</v>
      </c>
      <c r="E8623" t="str">
        <f t="shared" si="1881"/>
        <v>89301062</v>
      </c>
      <c r="F8623" t="str">
        <f>"5956210909"</f>
        <v>5956210909</v>
      </c>
      <c r="G8623" s="1">
        <v>44817</v>
      </c>
      <c r="H8623" t="str">
        <f>"89311"</f>
        <v>89311</v>
      </c>
      <c r="I8623">
        <v>1</v>
      </c>
      <c r="J8623">
        <v>936</v>
      </c>
      <c r="K8623">
        <v>0</v>
      </c>
      <c r="L8623">
        <v>1310.4000000000001</v>
      </c>
    </row>
    <row r="8624" spans="1:12" x14ac:dyDescent="0.25">
      <c r="A8624" t="str">
        <f t="shared" si="1875"/>
        <v>89301000</v>
      </c>
      <c r="B8624" t="str">
        <f t="shared" si="1878"/>
        <v>78051000</v>
      </c>
      <c r="C8624" t="str">
        <f t="shared" si="1879"/>
        <v>78051004</v>
      </c>
      <c r="D8624" t="str">
        <f t="shared" si="1880"/>
        <v>809</v>
      </c>
      <c r="E8624" t="str">
        <f t="shared" si="1881"/>
        <v>89301062</v>
      </c>
      <c r="F8624" t="str">
        <f>"5956210909"</f>
        <v>5956210909</v>
      </c>
      <c r="G8624" s="1">
        <v>44817</v>
      </c>
      <c r="H8624" t="str">
        <f>"0090044"</f>
        <v>0090044</v>
      </c>
      <c r="I8624">
        <v>1</v>
      </c>
      <c r="K8624">
        <v>16.8</v>
      </c>
      <c r="L8624">
        <v>16.8</v>
      </c>
    </row>
    <row r="8625" spans="1:12" x14ac:dyDescent="0.25">
      <c r="A8625" t="str">
        <f t="shared" si="1875"/>
        <v>89301000</v>
      </c>
      <c r="B8625" t="str">
        <f t="shared" ref="B8625:B8656" si="1882">"78051000"</f>
        <v>78051000</v>
      </c>
      <c r="C8625" t="str">
        <f t="shared" ref="C8625:C8656" si="1883">"78051004"</f>
        <v>78051004</v>
      </c>
      <c r="D8625" t="str">
        <f t="shared" ref="D8625:D8656" si="1884">"809"</f>
        <v>809</v>
      </c>
      <c r="E8625" t="str">
        <f t="shared" ref="E8625:E8656" si="1885">"89301062"</f>
        <v>89301062</v>
      </c>
      <c r="F8625" t="str">
        <f>"5956210909"</f>
        <v>5956210909</v>
      </c>
      <c r="G8625" s="1">
        <v>44817</v>
      </c>
      <c r="H8625" t="str">
        <f>"0225891"</f>
        <v>0225891</v>
      </c>
      <c r="I8625">
        <v>0.2</v>
      </c>
      <c r="K8625">
        <v>73.540000000000006</v>
      </c>
      <c r="L8625">
        <v>73.540000000000006</v>
      </c>
    </row>
    <row r="8626" spans="1:12" x14ac:dyDescent="0.25">
      <c r="A8626" t="str">
        <f t="shared" si="1875"/>
        <v>89301000</v>
      </c>
      <c r="B8626" t="str">
        <f t="shared" si="1882"/>
        <v>78051000</v>
      </c>
      <c r="C8626" t="str">
        <f t="shared" si="1883"/>
        <v>78051004</v>
      </c>
      <c r="D8626" t="str">
        <f t="shared" si="1884"/>
        <v>809</v>
      </c>
      <c r="E8626" t="str">
        <f t="shared" si="1885"/>
        <v>89301062</v>
      </c>
      <c r="F8626" t="str">
        <f>"5956210909"</f>
        <v>5956210909</v>
      </c>
      <c r="G8626" s="1">
        <v>44817</v>
      </c>
      <c r="H8626" t="str">
        <f>"0096251"</f>
        <v>0096251</v>
      </c>
      <c r="I8626">
        <v>0.17</v>
      </c>
      <c r="K8626">
        <v>198.83</v>
      </c>
      <c r="L8626">
        <v>198.83</v>
      </c>
    </row>
    <row r="8627" spans="1:12" x14ac:dyDescent="0.25">
      <c r="A8627" t="str">
        <f t="shared" si="1875"/>
        <v>89301000</v>
      </c>
      <c r="B8627" t="str">
        <f t="shared" si="1882"/>
        <v>78051000</v>
      </c>
      <c r="C8627" t="str">
        <f t="shared" si="1883"/>
        <v>78051004</v>
      </c>
      <c r="D8627" t="str">
        <f t="shared" si="1884"/>
        <v>809</v>
      </c>
      <c r="E8627" t="str">
        <f t="shared" si="1885"/>
        <v>89301062</v>
      </c>
      <c r="F8627" t="str">
        <f>"5956210909"</f>
        <v>5956210909</v>
      </c>
      <c r="G8627" s="1">
        <v>44817</v>
      </c>
      <c r="H8627" t="str">
        <f>"0098943"</f>
        <v>0098943</v>
      </c>
      <c r="I8627">
        <v>1</v>
      </c>
      <c r="K8627">
        <v>293.81</v>
      </c>
      <c r="L8627">
        <v>293.81</v>
      </c>
    </row>
    <row r="8628" spans="1:12" x14ac:dyDescent="0.25">
      <c r="A8628" t="str">
        <f t="shared" si="1875"/>
        <v>89301000</v>
      </c>
      <c r="B8628" t="str">
        <f t="shared" si="1882"/>
        <v>78051000</v>
      </c>
      <c r="C8628" t="str">
        <f t="shared" si="1883"/>
        <v>78051004</v>
      </c>
      <c r="D8628" t="str">
        <f t="shared" si="1884"/>
        <v>809</v>
      </c>
      <c r="E8628" t="str">
        <f t="shared" si="1885"/>
        <v>89301062</v>
      </c>
      <c r="F8628" t="str">
        <f>"6207262050"</f>
        <v>6207262050</v>
      </c>
      <c r="G8628" s="1">
        <v>44825</v>
      </c>
      <c r="H8628" t="str">
        <f>"89311"</f>
        <v>89311</v>
      </c>
      <c r="I8628">
        <v>1</v>
      </c>
      <c r="J8628">
        <v>936</v>
      </c>
      <c r="K8628">
        <v>0</v>
      </c>
      <c r="L8628">
        <v>1310.4000000000001</v>
      </c>
    </row>
    <row r="8629" spans="1:12" x14ac:dyDescent="0.25">
      <c r="A8629" t="str">
        <f t="shared" si="1875"/>
        <v>89301000</v>
      </c>
      <c r="B8629" t="str">
        <f t="shared" si="1882"/>
        <v>78051000</v>
      </c>
      <c r="C8629" t="str">
        <f t="shared" si="1883"/>
        <v>78051004</v>
      </c>
      <c r="D8629" t="str">
        <f t="shared" si="1884"/>
        <v>809</v>
      </c>
      <c r="E8629" t="str">
        <f t="shared" si="1885"/>
        <v>89301062</v>
      </c>
      <c r="F8629" t="str">
        <f>"6207262050"</f>
        <v>6207262050</v>
      </c>
      <c r="G8629" s="1">
        <v>44825</v>
      </c>
      <c r="H8629" t="str">
        <f>"0090044"</f>
        <v>0090044</v>
      </c>
      <c r="I8629">
        <v>1</v>
      </c>
      <c r="K8629">
        <v>16.8</v>
      </c>
      <c r="L8629">
        <v>16.8</v>
      </c>
    </row>
    <row r="8630" spans="1:12" x14ac:dyDescent="0.25">
      <c r="A8630" t="str">
        <f t="shared" si="1875"/>
        <v>89301000</v>
      </c>
      <c r="B8630" t="str">
        <f t="shared" si="1882"/>
        <v>78051000</v>
      </c>
      <c r="C8630" t="str">
        <f t="shared" si="1883"/>
        <v>78051004</v>
      </c>
      <c r="D8630" t="str">
        <f t="shared" si="1884"/>
        <v>809</v>
      </c>
      <c r="E8630" t="str">
        <f t="shared" si="1885"/>
        <v>89301062</v>
      </c>
      <c r="F8630" t="str">
        <f>"6207262050"</f>
        <v>6207262050</v>
      </c>
      <c r="G8630" s="1">
        <v>44825</v>
      </c>
      <c r="H8630" t="str">
        <f>"0225891"</f>
        <v>0225891</v>
      </c>
      <c r="I8630">
        <v>0.2</v>
      </c>
      <c r="K8630">
        <v>73.540000000000006</v>
      </c>
      <c r="L8630">
        <v>73.540000000000006</v>
      </c>
    </row>
    <row r="8631" spans="1:12" x14ac:dyDescent="0.25">
      <c r="A8631" t="str">
        <f t="shared" si="1875"/>
        <v>89301000</v>
      </c>
      <c r="B8631" t="str">
        <f t="shared" si="1882"/>
        <v>78051000</v>
      </c>
      <c r="C8631" t="str">
        <f t="shared" si="1883"/>
        <v>78051004</v>
      </c>
      <c r="D8631" t="str">
        <f t="shared" si="1884"/>
        <v>809</v>
      </c>
      <c r="E8631" t="str">
        <f t="shared" si="1885"/>
        <v>89301062</v>
      </c>
      <c r="F8631" t="str">
        <f>"6207262050"</f>
        <v>6207262050</v>
      </c>
      <c r="G8631" s="1">
        <v>44825</v>
      </c>
      <c r="H8631" t="str">
        <f>"0096251"</f>
        <v>0096251</v>
      </c>
      <c r="I8631">
        <v>0.17</v>
      </c>
      <c r="K8631">
        <v>198.83</v>
      </c>
      <c r="L8631">
        <v>198.83</v>
      </c>
    </row>
    <row r="8632" spans="1:12" x14ac:dyDescent="0.25">
      <c r="A8632" t="str">
        <f t="shared" si="1875"/>
        <v>89301000</v>
      </c>
      <c r="B8632" t="str">
        <f t="shared" si="1882"/>
        <v>78051000</v>
      </c>
      <c r="C8632" t="str">
        <f t="shared" si="1883"/>
        <v>78051004</v>
      </c>
      <c r="D8632" t="str">
        <f t="shared" si="1884"/>
        <v>809</v>
      </c>
      <c r="E8632" t="str">
        <f t="shared" si="1885"/>
        <v>89301062</v>
      </c>
      <c r="F8632" t="str">
        <f>"6207262050"</f>
        <v>6207262050</v>
      </c>
      <c r="G8632" s="1">
        <v>44825</v>
      </c>
      <c r="H8632" t="str">
        <f>"0098943"</f>
        <v>0098943</v>
      </c>
      <c r="I8632">
        <v>1</v>
      </c>
      <c r="K8632">
        <v>293.81</v>
      </c>
      <c r="L8632">
        <v>293.81</v>
      </c>
    </row>
    <row r="8633" spans="1:12" x14ac:dyDescent="0.25">
      <c r="A8633" t="str">
        <f t="shared" si="1875"/>
        <v>89301000</v>
      </c>
      <c r="B8633" t="str">
        <f t="shared" si="1882"/>
        <v>78051000</v>
      </c>
      <c r="C8633" t="str">
        <f t="shared" si="1883"/>
        <v>78051004</v>
      </c>
      <c r="D8633" t="str">
        <f t="shared" si="1884"/>
        <v>809</v>
      </c>
      <c r="E8633" t="str">
        <f t="shared" si="1885"/>
        <v>89301062</v>
      </c>
      <c r="F8633" t="str">
        <f>"7359255783"</f>
        <v>7359255783</v>
      </c>
      <c r="G8633" s="1">
        <v>44825</v>
      </c>
      <c r="H8633" t="str">
        <f>"89311"</f>
        <v>89311</v>
      </c>
      <c r="I8633">
        <v>1</v>
      </c>
      <c r="J8633">
        <v>936</v>
      </c>
      <c r="K8633">
        <v>0</v>
      </c>
      <c r="L8633">
        <v>1310.4000000000001</v>
      </c>
    </row>
    <row r="8634" spans="1:12" x14ac:dyDescent="0.25">
      <c r="A8634" t="str">
        <f t="shared" si="1875"/>
        <v>89301000</v>
      </c>
      <c r="B8634" t="str">
        <f t="shared" si="1882"/>
        <v>78051000</v>
      </c>
      <c r="C8634" t="str">
        <f t="shared" si="1883"/>
        <v>78051004</v>
      </c>
      <c r="D8634" t="str">
        <f t="shared" si="1884"/>
        <v>809</v>
      </c>
      <c r="E8634" t="str">
        <f t="shared" si="1885"/>
        <v>89301062</v>
      </c>
      <c r="F8634" t="str">
        <f>"7359255783"</f>
        <v>7359255783</v>
      </c>
      <c r="G8634" s="1">
        <v>44825</v>
      </c>
      <c r="H8634" t="str">
        <f>"0090044"</f>
        <v>0090044</v>
      </c>
      <c r="I8634">
        <v>1</v>
      </c>
      <c r="K8634">
        <v>16.8</v>
      </c>
      <c r="L8634">
        <v>16.8</v>
      </c>
    </row>
    <row r="8635" spans="1:12" x14ac:dyDescent="0.25">
      <c r="A8635" t="str">
        <f t="shared" si="1875"/>
        <v>89301000</v>
      </c>
      <c r="B8635" t="str">
        <f t="shared" si="1882"/>
        <v>78051000</v>
      </c>
      <c r="C8635" t="str">
        <f t="shared" si="1883"/>
        <v>78051004</v>
      </c>
      <c r="D8635" t="str">
        <f t="shared" si="1884"/>
        <v>809</v>
      </c>
      <c r="E8635" t="str">
        <f t="shared" si="1885"/>
        <v>89301062</v>
      </c>
      <c r="F8635" t="str">
        <f>"7359255783"</f>
        <v>7359255783</v>
      </c>
      <c r="G8635" s="1">
        <v>44825</v>
      </c>
      <c r="H8635" t="str">
        <f>"0225891"</f>
        <v>0225891</v>
      </c>
      <c r="I8635">
        <v>0.2</v>
      </c>
      <c r="K8635">
        <v>73.540000000000006</v>
      </c>
      <c r="L8635">
        <v>73.540000000000006</v>
      </c>
    </row>
    <row r="8636" spans="1:12" x14ac:dyDescent="0.25">
      <c r="A8636" t="str">
        <f t="shared" si="1875"/>
        <v>89301000</v>
      </c>
      <c r="B8636" t="str">
        <f t="shared" si="1882"/>
        <v>78051000</v>
      </c>
      <c r="C8636" t="str">
        <f t="shared" si="1883"/>
        <v>78051004</v>
      </c>
      <c r="D8636" t="str">
        <f t="shared" si="1884"/>
        <v>809</v>
      </c>
      <c r="E8636" t="str">
        <f t="shared" si="1885"/>
        <v>89301062</v>
      </c>
      <c r="F8636" t="str">
        <f>"7359255783"</f>
        <v>7359255783</v>
      </c>
      <c r="G8636" s="1">
        <v>44825</v>
      </c>
      <c r="H8636" t="str">
        <f>"0096251"</f>
        <v>0096251</v>
      </c>
      <c r="I8636">
        <v>0.17</v>
      </c>
      <c r="K8636">
        <v>198.83</v>
      </c>
      <c r="L8636">
        <v>198.83</v>
      </c>
    </row>
    <row r="8637" spans="1:12" x14ac:dyDescent="0.25">
      <c r="A8637" t="str">
        <f t="shared" si="1875"/>
        <v>89301000</v>
      </c>
      <c r="B8637" t="str">
        <f t="shared" si="1882"/>
        <v>78051000</v>
      </c>
      <c r="C8637" t="str">
        <f t="shared" si="1883"/>
        <v>78051004</v>
      </c>
      <c r="D8637" t="str">
        <f t="shared" si="1884"/>
        <v>809</v>
      </c>
      <c r="E8637" t="str">
        <f t="shared" si="1885"/>
        <v>89301062</v>
      </c>
      <c r="F8637" t="str">
        <f>"7359255783"</f>
        <v>7359255783</v>
      </c>
      <c r="G8637" s="1">
        <v>44825</v>
      </c>
      <c r="H8637" t="str">
        <f>"0098943"</f>
        <v>0098943</v>
      </c>
      <c r="I8637">
        <v>1</v>
      </c>
      <c r="K8637">
        <v>293.81</v>
      </c>
      <c r="L8637">
        <v>293.81</v>
      </c>
    </row>
    <row r="8638" spans="1:12" x14ac:dyDescent="0.25">
      <c r="A8638" t="str">
        <f t="shared" si="1875"/>
        <v>89301000</v>
      </c>
      <c r="B8638" t="str">
        <f t="shared" si="1882"/>
        <v>78051000</v>
      </c>
      <c r="C8638" t="str">
        <f t="shared" si="1883"/>
        <v>78051004</v>
      </c>
      <c r="D8638" t="str">
        <f t="shared" si="1884"/>
        <v>809</v>
      </c>
      <c r="E8638" t="str">
        <f t="shared" si="1885"/>
        <v>89301062</v>
      </c>
      <c r="F8638" t="str">
        <f>"535509375"</f>
        <v>535509375</v>
      </c>
      <c r="G8638" s="1">
        <v>44825</v>
      </c>
      <c r="H8638" t="str">
        <f>"89311"</f>
        <v>89311</v>
      </c>
      <c r="I8638">
        <v>1</v>
      </c>
      <c r="J8638">
        <v>936</v>
      </c>
      <c r="K8638">
        <v>0</v>
      </c>
      <c r="L8638">
        <v>1310.4000000000001</v>
      </c>
    </row>
    <row r="8639" spans="1:12" x14ac:dyDescent="0.25">
      <c r="A8639" t="str">
        <f t="shared" si="1875"/>
        <v>89301000</v>
      </c>
      <c r="B8639" t="str">
        <f t="shared" si="1882"/>
        <v>78051000</v>
      </c>
      <c r="C8639" t="str">
        <f t="shared" si="1883"/>
        <v>78051004</v>
      </c>
      <c r="D8639" t="str">
        <f t="shared" si="1884"/>
        <v>809</v>
      </c>
      <c r="E8639" t="str">
        <f t="shared" si="1885"/>
        <v>89301062</v>
      </c>
      <c r="F8639" t="str">
        <f>"535509375"</f>
        <v>535509375</v>
      </c>
      <c r="G8639" s="1">
        <v>44825</v>
      </c>
      <c r="H8639" t="str">
        <f>"0090044"</f>
        <v>0090044</v>
      </c>
      <c r="I8639">
        <v>1</v>
      </c>
      <c r="K8639">
        <v>16.8</v>
      </c>
      <c r="L8639">
        <v>16.8</v>
      </c>
    </row>
    <row r="8640" spans="1:12" x14ac:dyDescent="0.25">
      <c r="A8640" t="str">
        <f t="shared" si="1875"/>
        <v>89301000</v>
      </c>
      <c r="B8640" t="str">
        <f t="shared" si="1882"/>
        <v>78051000</v>
      </c>
      <c r="C8640" t="str">
        <f t="shared" si="1883"/>
        <v>78051004</v>
      </c>
      <c r="D8640" t="str">
        <f t="shared" si="1884"/>
        <v>809</v>
      </c>
      <c r="E8640" t="str">
        <f t="shared" si="1885"/>
        <v>89301062</v>
      </c>
      <c r="F8640" t="str">
        <f>"535509375"</f>
        <v>535509375</v>
      </c>
      <c r="G8640" s="1">
        <v>44825</v>
      </c>
      <c r="H8640" t="str">
        <f>"0225891"</f>
        <v>0225891</v>
      </c>
      <c r="I8640">
        <v>0.2</v>
      </c>
      <c r="K8640">
        <v>73.540000000000006</v>
      </c>
      <c r="L8640">
        <v>73.540000000000006</v>
      </c>
    </row>
    <row r="8641" spans="1:12" x14ac:dyDescent="0.25">
      <c r="A8641" t="str">
        <f t="shared" si="1875"/>
        <v>89301000</v>
      </c>
      <c r="B8641" t="str">
        <f t="shared" si="1882"/>
        <v>78051000</v>
      </c>
      <c r="C8641" t="str">
        <f t="shared" si="1883"/>
        <v>78051004</v>
      </c>
      <c r="D8641" t="str">
        <f t="shared" si="1884"/>
        <v>809</v>
      </c>
      <c r="E8641" t="str">
        <f t="shared" si="1885"/>
        <v>89301062</v>
      </c>
      <c r="F8641" t="str">
        <f>"535509375"</f>
        <v>535509375</v>
      </c>
      <c r="G8641" s="1">
        <v>44825</v>
      </c>
      <c r="H8641" t="str">
        <f>"0096251"</f>
        <v>0096251</v>
      </c>
      <c r="I8641">
        <v>0.17</v>
      </c>
      <c r="K8641">
        <v>198.83</v>
      </c>
      <c r="L8641">
        <v>198.83</v>
      </c>
    </row>
    <row r="8642" spans="1:12" x14ac:dyDescent="0.25">
      <c r="A8642" t="str">
        <f t="shared" ref="A8642:A8705" si="1886">"89301000"</f>
        <v>89301000</v>
      </c>
      <c r="B8642" t="str">
        <f t="shared" si="1882"/>
        <v>78051000</v>
      </c>
      <c r="C8642" t="str">
        <f t="shared" si="1883"/>
        <v>78051004</v>
      </c>
      <c r="D8642" t="str">
        <f t="shared" si="1884"/>
        <v>809</v>
      </c>
      <c r="E8642" t="str">
        <f t="shared" si="1885"/>
        <v>89301062</v>
      </c>
      <c r="F8642" t="str">
        <f>"535509375"</f>
        <v>535509375</v>
      </c>
      <c r="G8642" s="1">
        <v>44825</v>
      </c>
      <c r="H8642" t="str">
        <f>"0098943"</f>
        <v>0098943</v>
      </c>
      <c r="I8642">
        <v>1</v>
      </c>
      <c r="K8642">
        <v>293.81</v>
      </c>
      <c r="L8642">
        <v>293.81</v>
      </c>
    </row>
    <row r="8643" spans="1:12" x14ac:dyDescent="0.25">
      <c r="A8643" t="str">
        <f t="shared" si="1886"/>
        <v>89301000</v>
      </c>
      <c r="B8643" t="str">
        <f t="shared" si="1882"/>
        <v>78051000</v>
      </c>
      <c r="C8643" t="str">
        <f t="shared" si="1883"/>
        <v>78051004</v>
      </c>
      <c r="D8643" t="str">
        <f t="shared" si="1884"/>
        <v>809</v>
      </c>
      <c r="E8643" t="str">
        <f t="shared" si="1885"/>
        <v>89301062</v>
      </c>
      <c r="F8643" t="str">
        <f>"5605221721"</f>
        <v>5605221721</v>
      </c>
      <c r="G8643" s="1">
        <v>44825</v>
      </c>
      <c r="H8643" t="str">
        <f>"89311"</f>
        <v>89311</v>
      </c>
      <c r="I8643">
        <v>1</v>
      </c>
      <c r="J8643">
        <v>936</v>
      </c>
      <c r="K8643">
        <v>0</v>
      </c>
      <c r="L8643">
        <v>1310.4000000000001</v>
      </c>
    </row>
    <row r="8644" spans="1:12" x14ac:dyDescent="0.25">
      <c r="A8644" t="str">
        <f t="shared" si="1886"/>
        <v>89301000</v>
      </c>
      <c r="B8644" t="str">
        <f t="shared" si="1882"/>
        <v>78051000</v>
      </c>
      <c r="C8644" t="str">
        <f t="shared" si="1883"/>
        <v>78051004</v>
      </c>
      <c r="D8644" t="str">
        <f t="shared" si="1884"/>
        <v>809</v>
      </c>
      <c r="E8644" t="str">
        <f t="shared" si="1885"/>
        <v>89301062</v>
      </c>
      <c r="F8644" t="str">
        <f>"5605221721"</f>
        <v>5605221721</v>
      </c>
      <c r="G8644" s="1">
        <v>44825</v>
      </c>
      <c r="H8644" t="str">
        <f>"0090044"</f>
        <v>0090044</v>
      </c>
      <c r="I8644">
        <v>1</v>
      </c>
      <c r="K8644">
        <v>16.8</v>
      </c>
      <c r="L8644">
        <v>16.8</v>
      </c>
    </row>
    <row r="8645" spans="1:12" x14ac:dyDescent="0.25">
      <c r="A8645" t="str">
        <f t="shared" si="1886"/>
        <v>89301000</v>
      </c>
      <c r="B8645" t="str">
        <f t="shared" si="1882"/>
        <v>78051000</v>
      </c>
      <c r="C8645" t="str">
        <f t="shared" si="1883"/>
        <v>78051004</v>
      </c>
      <c r="D8645" t="str">
        <f t="shared" si="1884"/>
        <v>809</v>
      </c>
      <c r="E8645" t="str">
        <f t="shared" si="1885"/>
        <v>89301062</v>
      </c>
      <c r="F8645" t="str">
        <f>"5605221721"</f>
        <v>5605221721</v>
      </c>
      <c r="G8645" s="1">
        <v>44825</v>
      </c>
      <c r="H8645" t="str">
        <f>"0225891"</f>
        <v>0225891</v>
      </c>
      <c r="I8645">
        <v>0.2</v>
      </c>
      <c r="K8645">
        <v>73.540000000000006</v>
      </c>
      <c r="L8645">
        <v>73.540000000000006</v>
      </c>
    </row>
    <row r="8646" spans="1:12" x14ac:dyDescent="0.25">
      <c r="A8646" t="str">
        <f t="shared" si="1886"/>
        <v>89301000</v>
      </c>
      <c r="B8646" t="str">
        <f t="shared" si="1882"/>
        <v>78051000</v>
      </c>
      <c r="C8646" t="str">
        <f t="shared" si="1883"/>
        <v>78051004</v>
      </c>
      <c r="D8646" t="str">
        <f t="shared" si="1884"/>
        <v>809</v>
      </c>
      <c r="E8646" t="str">
        <f t="shared" si="1885"/>
        <v>89301062</v>
      </c>
      <c r="F8646" t="str">
        <f>"5605221721"</f>
        <v>5605221721</v>
      </c>
      <c r="G8646" s="1">
        <v>44825</v>
      </c>
      <c r="H8646" t="str">
        <f>"0096251"</f>
        <v>0096251</v>
      </c>
      <c r="I8646">
        <v>0.17</v>
      </c>
      <c r="K8646">
        <v>198.83</v>
      </c>
      <c r="L8646">
        <v>198.83</v>
      </c>
    </row>
    <row r="8647" spans="1:12" x14ac:dyDescent="0.25">
      <c r="A8647" t="str">
        <f t="shared" si="1886"/>
        <v>89301000</v>
      </c>
      <c r="B8647" t="str">
        <f t="shared" si="1882"/>
        <v>78051000</v>
      </c>
      <c r="C8647" t="str">
        <f t="shared" si="1883"/>
        <v>78051004</v>
      </c>
      <c r="D8647" t="str">
        <f t="shared" si="1884"/>
        <v>809</v>
      </c>
      <c r="E8647" t="str">
        <f t="shared" si="1885"/>
        <v>89301062</v>
      </c>
      <c r="F8647" t="str">
        <f>"5605221721"</f>
        <v>5605221721</v>
      </c>
      <c r="G8647" s="1">
        <v>44825</v>
      </c>
      <c r="H8647" t="str">
        <f>"0098943"</f>
        <v>0098943</v>
      </c>
      <c r="I8647">
        <v>1</v>
      </c>
      <c r="K8647">
        <v>293.81</v>
      </c>
      <c r="L8647">
        <v>293.81</v>
      </c>
    </row>
    <row r="8648" spans="1:12" x14ac:dyDescent="0.25">
      <c r="A8648" t="str">
        <f t="shared" si="1886"/>
        <v>89301000</v>
      </c>
      <c r="B8648" t="str">
        <f t="shared" si="1882"/>
        <v>78051000</v>
      </c>
      <c r="C8648" t="str">
        <f t="shared" si="1883"/>
        <v>78051004</v>
      </c>
      <c r="D8648" t="str">
        <f t="shared" si="1884"/>
        <v>809</v>
      </c>
      <c r="E8648" t="str">
        <f t="shared" si="1885"/>
        <v>89301062</v>
      </c>
      <c r="F8648" t="str">
        <f>"440327440"</f>
        <v>440327440</v>
      </c>
      <c r="G8648" s="1">
        <v>44825</v>
      </c>
      <c r="H8648" t="str">
        <f>"89311"</f>
        <v>89311</v>
      </c>
      <c r="I8648">
        <v>1</v>
      </c>
      <c r="J8648">
        <v>936</v>
      </c>
      <c r="K8648">
        <v>0</v>
      </c>
      <c r="L8648">
        <v>1310.4000000000001</v>
      </c>
    </row>
    <row r="8649" spans="1:12" x14ac:dyDescent="0.25">
      <c r="A8649" t="str">
        <f t="shared" si="1886"/>
        <v>89301000</v>
      </c>
      <c r="B8649" t="str">
        <f t="shared" si="1882"/>
        <v>78051000</v>
      </c>
      <c r="C8649" t="str">
        <f t="shared" si="1883"/>
        <v>78051004</v>
      </c>
      <c r="D8649" t="str">
        <f t="shared" si="1884"/>
        <v>809</v>
      </c>
      <c r="E8649" t="str">
        <f t="shared" si="1885"/>
        <v>89301062</v>
      </c>
      <c r="F8649" t="str">
        <f>"440327440"</f>
        <v>440327440</v>
      </c>
      <c r="G8649" s="1">
        <v>44825</v>
      </c>
      <c r="H8649" t="str">
        <f>"0090044"</f>
        <v>0090044</v>
      </c>
      <c r="I8649">
        <v>1</v>
      </c>
      <c r="K8649">
        <v>16.8</v>
      </c>
      <c r="L8649">
        <v>16.8</v>
      </c>
    </row>
    <row r="8650" spans="1:12" x14ac:dyDescent="0.25">
      <c r="A8650" t="str">
        <f t="shared" si="1886"/>
        <v>89301000</v>
      </c>
      <c r="B8650" t="str">
        <f t="shared" si="1882"/>
        <v>78051000</v>
      </c>
      <c r="C8650" t="str">
        <f t="shared" si="1883"/>
        <v>78051004</v>
      </c>
      <c r="D8650" t="str">
        <f t="shared" si="1884"/>
        <v>809</v>
      </c>
      <c r="E8650" t="str">
        <f t="shared" si="1885"/>
        <v>89301062</v>
      </c>
      <c r="F8650" t="str">
        <f>"440327440"</f>
        <v>440327440</v>
      </c>
      <c r="G8650" s="1">
        <v>44825</v>
      </c>
      <c r="H8650" t="str">
        <f>"0225891"</f>
        <v>0225891</v>
      </c>
      <c r="I8650">
        <v>0.2</v>
      </c>
      <c r="K8650">
        <v>73.540000000000006</v>
      </c>
      <c r="L8650">
        <v>73.540000000000006</v>
      </c>
    </row>
    <row r="8651" spans="1:12" x14ac:dyDescent="0.25">
      <c r="A8651" t="str">
        <f t="shared" si="1886"/>
        <v>89301000</v>
      </c>
      <c r="B8651" t="str">
        <f t="shared" si="1882"/>
        <v>78051000</v>
      </c>
      <c r="C8651" t="str">
        <f t="shared" si="1883"/>
        <v>78051004</v>
      </c>
      <c r="D8651" t="str">
        <f t="shared" si="1884"/>
        <v>809</v>
      </c>
      <c r="E8651" t="str">
        <f t="shared" si="1885"/>
        <v>89301062</v>
      </c>
      <c r="F8651" t="str">
        <f>"440327440"</f>
        <v>440327440</v>
      </c>
      <c r="G8651" s="1">
        <v>44825</v>
      </c>
      <c r="H8651" t="str">
        <f>"0096251"</f>
        <v>0096251</v>
      </c>
      <c r="I8651">
        <v>0.17</v>
      </c>
      <c r="K8651">
        <v>198.83</v>
      </c>
      <c r="L8651">
        <v>198.83</v>
      </c>
    </row>
    <row r="8652" spans="1:12" x14ac:dyDescent="0.25">
      <c r="A8652" t="str">
        <f t="shared" si="1886"/>
        <v>89301000</v>
      </c>
      <c r="B8652" t="str">
        <f t="shared" si="1882"/>
        <v>78051000</v>
      </c>
      <c r="C8652" t="str">
        <f t="shared" si="1883"/>
        <v>78051004</v>
      </c>
      <c r="D8652" t="str">
        <f t="shared" si="1884"/>
        <v>809</v>
      </c>
      <c r="E8652" t="str">
        <f t="shared" si="1885"/>
        <v>89301062</v>
      </c>
      <c r="F8652" t="str">
        <f>"440327440"</f>
        <v>440327440</v>
      </c>
      <c r="G8652" s="1">
        <v>44825</v>
      </c>
      <c r="H8652" t="str">
        <f>"0098943"</f>
        <v>0098943</v>
      </c>
      <c r="I8652">
        <v>1</v>
      </c>
      <c r="K8652">
        <v>293.81</v>
      </c>
      <c r="L8652">
        <v>293.81</v>
      </c>
    </row>
    <row r="8653" spans="1:12" x14ac:dyDescent="0.25">
      <c r="A8653" t="str">
        <f t="shared" si="1886"/>
        <v>89301000</v>
      </c>
      <c r="B8653" t="str">
        <f t="shared" si="1882"/>
        <v>78051000</v>
      </c>
      <c r="C8653" t="str">
        <f t="shared" si="1883"/>
        <v>78051004</v>
      </c>
      <c r="D8653" t="str">
        <f t="shared" si="1884"/>
        <v>809</v>
      </c>
      <c r="E8653" t="str">
        <f t="shared" si="1885"/>
        <v>89301062</v>
      </c>
      <c r="F8653" t="str">
        <f>"7659215773"</f>
        <v>7659215773</v>
      </c>
      <c r="G8653" s="1">
        <v>44825</v>
      </c>
      <c r="H8653" t="str">
        <f>"89311"</f>
        <v>89311</v>
      </c>
      <c r="I8653">
        <v>1</v>
      </c>
      <c r="J8653">
        <v>936</v>
      </c>
      <c r="K8653">
        <v>0</v>
      </c>
      <c r="L8653">
        <v>1310.4000000000001</v>
      </c>
    </row>
    <row r="8654" spans="1:12" x14ac:dyDescent="0.25">
      <c r="A8654" t="str">
        <f t="shared" si="1886"/>
        <v>89301000</v>
      </c>
      <c r="B8654" t="str">
        <f t="shared" si="1882"/>
        <v>78051000</v>
      </c>
      <c r="C8654" t="str">
        <f t="shared" si="1883"/>
        <v>78051004</v>
      </c>
      <c r="D8654" t="str">
        <f t="shared" si="1884"/>
        <v>809</v>
      </c>
      <c r="E8654" t="str">
        <f t="shared" si="1885"/>
        <v>89301062</v>
      </c>
      <c r="F8654" t="str">
        <f>"7659215773"</f>
        <v>7659215773</v>
      </c>
      <c r="G8654" s="1">
        <v>44825</v>
      </c>
      <c r="H8654" t="str">
        <f>"0090044"</f>
        <v>0090044</v>
      </c>
      <c r="I8654">
        <v>1</v>
      </c>
      <c r="K8654">
        <v>16.8</v>
      </c>
      <c r="L8654">
        <v>16.8</v>
      </c>
    </row>
    <row r="8655" spans="1:12" x14ac:dyDescent="0.25">
      <c r="A8655" t="str">
        <f t="shared" si="1886"/>
        <v>89301000</v>
      </c>
      <c r="B8655" t="str">
        <f t="shared" si="1882"/>
        <v>78051000</v>
      </c>
      <c r="C8655" t="str">
        <f t="shared" si="1883"/>
        <v>78051004</v>
      </c>
      <c r="D8655" t="str">
        <f t="shared" si="1884"/>
        <v>809</v>
      </c>
      <c r="E8655" t="str">
        <f t="shared" si="1885"/>
        <v>89301062</v>
      </c>
      <c r="F8655" t="str">
        <f>"7659215773"</f>
        <v>7659215773</v>
      </c>
      <c r="G8655" s="1">
        <v>44825</v>
      </c>
      <c r="H8655" t="str">
        <f>"0225891"</f>
        <v>0225891</v>
      </c>
      <c r="I8655">
        <v>0.2</v>
      </c>
      <c r="K8655">
        <v>73.540000000000006</v>
      </c>
      <c r="L8655">
        <v>73.540000000000006</v>
      </c>
    </row>
    <row r="8656" spans="1:12" x14ac:dyDescent="0.25">
      <c r="A8656" t="str">
        <f t="shared" si="1886"/>
        <v>89301000</v>
      </c>
      <c r="B8656" t="str">
        <f t="shared" si="1882"/>
        <v>78051000</v>
      </c>
      <c r="C8656" t="str">
        <f t="shared" si="1883"/>
        <v>78051004</v>
      </c>
      <c r="D8656" t="str">
        <f t="shared" si="1884"/>
        <v>809</v>
      </c>
      <c r="E8656" t="str">
        <f t="shared" si="1885"/>
        <v>89301062</v>
      </c>
      <c r="F8656" t="str">
        <f>"7659215773"</f>
        <v>7659215773</v>
      </c>
      <c r="G8656" s="1">
        <v>44825</v>
      </c>
      <c r="H8656" t="str">
        <f>"0096251"</f>
        <v>0096251</v>
      </c>
      <c r="I8656">
        <v>0.17</v>
      </c>
      <c r="K8656">
        <v>198.83</v>
      </c>
      <c r="L8656">
        <v>198.83</v>
      </c>
    </row>
    <row r="8657" spans="1:12" x14ac:dyDescent="0.25">
      <c r="A8657" t="str">
        <f t="shared" si="1886"/>
        <v>89301000</v>
      </c>
      <c r="B8657" t="str">
        <f t="shared" ref="B8657:B8688" si="1887">"78051000"</f>
        <v>78051000</v>
      </c>
      <c r="C8657" t="str">
        <f t="shared" ref="C8657:C8688" si="1888">"78051004"</f>
        <v>78051004</v>
      </c>
      <c r="D8657" t="str">
        <f t="shared" ref="D8657:D8688" si="1889">"809"</f>
        <v>809</v>
      </c>
      <c r="E8657" t="str">
        <f t="shared" ref="E8657:E8688" si="1890">"89301062"</f>
        <v>89301062</v>
      </c>
      <c r="F8657" t="str">
        <f>"7659215773"</f>
        <v>7659215773</v>
      </c>
      <c r="G8657" s="1">
        <v>44825</v>
      </c>
      <c r="H8657" t="str">
        <f>"0098943"</f>
        <v>0098943</v>
      </c>
      <c r="I8657">
        <v>1</v>
      </c>
      <c r="K8657">
        <v>293.81</v>
      </c>
      <c r="L8657">
        <v>293.81</v>
      </c>
    </row>
    <row r="8658" spans="1:12" x14ac:dyDescent="0.25">
      <c r="A8658" t="str">
        <f t="shared" si="1886"/>
        <v>89301000</v>
      </c>
      <c r="B8658" t="str">
        <f t="shared" si="1887"/>
        <v>78051000</v>
      </c>
      <c r="C8658" t="str">
        <f t="shared" si="1888"/>
        <v>78051004</v>
      </c>
      <c r="D8658" t="str">
        <f t="shared" si="1889"/>
        <v>809</v>
      </c>
      <c r="E8658" t="str">
        <f t="shared" si="1890"/>
        <v>89301062</v>
      </c>
      <c r="F8658" t="str">
        <f>"525608081"</f>
        <v>525608081</v>
      </c>
      <c r="G8658" s="1">
        <v>44825</v>
      </c>
      <c r="H8658" t="str">
        <f>"89311"</f>
        <v>89311</v>
      </c>
      <c r="I8658">
        <v>1</v>
      </c>
      <c r="J8658">
        <v>936</v>
      </c>
      <c r="K8658">
        <v>0</v>
      </c>
      <c r="L8658">
        <v>1310.4000000000001</v>
      </c>
    </row>
    <row r="8659" spans="1:12" x14ac:dyDescent="0.25">
      <c r="A8659" t="str">
        <f t="shared" si="1886"/>
        <v>89301000</v>
      </c>
      <c r="B8659" t="str">
        <f t="shared" si="1887"/>
        <v>78051000</v>
      </c>
      <c r="C8659" t="str">
        <f t="shared" si="1888"/>
        <v>78051004</v>
      </c>
      <c r="D8659" t="str">
        <f t="shared" si="1889"/>
        <v>809</v>
      </c>
      <c r="E8659" t="str">
        <f t="shared" si="1890"/>
        <v>89301062</v>
      </c>
      <c r="F8659" t="str">
        <f>"525608081"</f>
        <v>525608081</v>
      </c>
      <c r="G8659" s="1">
        <v>44825</v>
      </c>
      <c r="H8659" t="str">
        <f>"0090044"</f>
        <v>0090044</v>
      </c>
      <c r="I8659">
        <v>1</v>
      </c>
      <c r="K8659">
        <v>16.8</v>
      </c>
      <c r="L8659">
        <v>16.8</v>
      </c>
    </row>
    <row r="8660" spans="1:12" x14ac:dyDescent="0.25">
      <c r="A8660" t="str">
        <f t="shared" si="1886"/>
        <v>89301000</v>
      </c>
      <c r="B8660" t="str">
        <f t="shared" si="1887"/>
        <v>78051000</v>
      </c>
      <c r="C8660" t="str">
        <f t="shared" si="1888"/>
        <v>78051004</v>
      </c>
      <c r="D8660" t="str">
        <f t="shared" si="1889"/>
        <v>809</v>
      </c>
      <c r="E8660" t="str">
        <f t="shared" si="1890"/>
        <v>89301062</v>
      </c>
      <c r="F8660" t="str">
        <f>"525608081"</f>
        <v>525608081</v>
      </c>
      <c r="G8660" s="1">
        <v>44825</v>
      </c>
      <c r="H8660" t="str">
        <f>"0225891"</f>
        <v>0225891</v>
      </c>
      <c r="I8660">
        <v>0.2</v>
      </c>
      <c r="K8660">
        <v>73.540000000000006</v>
      </c>
      <c r="L8660">
        <v>73.540000000000006</v>
      </c>
    </row>
    <row r="8661" spans="1:12" x14ac:dyDescent="0.25">
      <c r="A8661" t="str">
        <f t="shared" si="1886"/>
        <v>89301000</v>
      </c>
      <c r="B8661" t="str">
        <f t="shared" si="1887"/>
        <v>78051000</v>
      </c>
      <c r="C8661" t="str">
        <f t="shared" si="1888"/>
        <v>78051004</v>
      </c>
      <c r="D8661" t="str">
        <f t="shared" si="1889"/>
        <v>809</v>
      </c>
      <c r="E8661" t="str">
        <f t="shared" si="1890"/>
        <v>89301062</v>
      </c>
      <c r="F8661" t="str">
        <f>"525608081"</f>
        <v>525608081</v>
      </c>
      <c r="G8661" s="1">
        <v>44825</v>
      </c>
      <c r="H8661" t="str">
        <f>"0096251"</f>
        <v>0096251</v>
      </c>
      <c r="I8661">
        <v>0.17</v>
      </c>
      <c r="K8661">
        <v>198.83</v>
      </c>
      <c r="L8661">
        <v>198.83</v>
      </c>
    </row>
    <row r="8662" spans="1:12" x14ac:dyDescent="0.25">
      <c r="A8662" t="str">
        <f t="shared" si="1886"/>
        <v>89301000</v>
      </c>
      <c r="B8662" t="str">
        <f t="shared" si="1887"/>
        <v>78051000</v>
      </c>
      <c r="C8662" t="str">
        <f t="shared" si="1888"/>
        <v>78051004</v>
      </c>
      <c r="D8662" t="str">
        <f t="shared" si="1889"/>
        <v>809</v>
      </c>
      <c r="E8662" t="str">
        <f t="shared" si="1890"/>
        <v>89301062</v>
      </c>
      <c r="F8662" t="str">
        <f>"525608081"</f>
        <v>525608081</v>
      </c>
      <c r="G8662" s="1">
        <v>44825</v>
      </c>
      <c r="H8662" t="str">
        <f>"0098943"</f>
        <v>0098943</v>
      </c>
      <c r="I8662">
        <v>1</v>
      </c>
      <c r="K8662">
        <v>293.81</v>
      </c>
      <c r="L8662">
        <v>293.81</v>
      </c>
    </row>
    <row r="8663" spans="1:12" x14ac:dyDescent="0.25">
      <c r="A8663" t="str">
        <f t="shared" si="1886"/>
        <v>89301000</v>
      </c>
      <c r="B8663" t="str">
        <f t="shared" si="1887"/>
        <v>78051000</v>
      </c>
      <c r="C8663" t="str">
        <f t="shared" si="1888"/>
        <v>78051004</v>
      </c>
      <c r="D8663" t="str">
        <f t="shared" si="1889"/>
        <v>809</v>
      </c>
      <c r="E8663" t="str">
        <f t="shared" si="1890"/>
        <v>89301062</v>
      </c>
      <c r="F8663" t="str">
        <f>"8358215316"</f>
        <v>8358215316</v>
      </c>
      <c r="G8663" s="1">
        <v>44825</v>
      </c>
      <c r="H8663" t="str">
        <f>"89311"</f>
        <v>89311</v>
      </c>
      <c r="I8663">
        <v>1</v>
      </c>
      <c r="J8663">
        <v>936</v>
      </c>
      <c r="K8663">
        <v>0</v>
      </c>
      <c r="L8663">
        <v>1310.4000000000001</v>
      </c>
    </row>
    <row r="8664" spans="1:12" x14ac:dyDescent="0.25">
      <c r="A8664" t="str">
        <f t="shared" si="1886"/>
        <v>89301000</v>
      </c>
      <c r="B8664" t="str">
        <f t="shared" si="1887"/>
        <v>78051000</v>
      </c>
      <c r="C8664" t="str">
        <f t="shared" si="1888"/>
        <v>78051004</v>
      </c>
      <c r="D8664" t="str">
        <f t="shared" si="1889"/>
        <v>809</v>
      </c>
      <c r="E8664" t="str">
        <f t="shared" si="1890"/>
        <v>89301062</v>
      </c>
      <c r="F8664" t="str">
        <f>"8358215316"</f>
        <v>8358215316</v>
      </c>
      <c r="G8664" s="1">
        <v>44825</v>
      </c>
      <c r="H8664" t="str">
        <f>"0090044"</f>
        <v>0090044</v>
      </c>
      <c r="I8664">
        <v>1</v>
      </c>
      <c r="K8664">
        <v>16.8</v>
      </c>
      <c r="L8664">
        <v>16.8</v>
      </c>
    </row>
    <row r="8665" spans="1:12" x14ac:dyDescent="0.25">
      <c r="A8665" t="str">
        <f t="shared" si="1886"/>
        <v>89301000</v>
      </c>
      <c r="B8665" t="str">
        <f t="shared" si="1887"/>
        <v>78051000</v>
      </c>
      <c r="C8665" t="str">
        <f t="shared" si="1888"/>
        <v>78051004</v>
      </c>
      <c r="D8665" t="str">
        <f t="shared" si="1889"/>
        <v>809</v>
      </c>
      <c r="E8665" t="str">
        <f t="shared" si="1890"/>
        <v>89301062</v>
      </c>
      <c r="F8665" t="str">
        <f>"8358215316"</f>
        <v>8358215316</v>
      </c>
      <c r="G8665" s="1">
        <v>44825</v>
      </c>
      <c r="H8665" t="str">
        <f>"0225891"</f>
        <v>0225891</v>
      </c>
      <c r="I8665">
        <v>0.2</v>
      </c>
      <c r="K8665">
        <v>73.540000000000006</v>
      </c>
      <c r="L8665">
        <v>73.540000000000006</v>
      </c>
    </row>
    <row r="8666" spans="1:12" x14ac:dyDescent="0.25">
      <c r="A8666" t="str">
        <f t="shared" si="1886"/>
        <v>89301000</v>
      </c>
      <c r="B8666" t="str">
        <f t="shared" si="1887"/>
        <v>78051000</v>
      </c>
      <c r="C8666" t="str">
        <f t="shared" si="1888"/>
        <v>78051004</v>
      </c>
      <c r="D8666" t="str">
        <f t="shared" si="1889"/>
        <v>809</v>
      </c>
      <c r="E8666" t="str">
        <f t="shared" si="1890"/>
        <v>89301062</v>
      </c>
      <c r="F8666" t="str">
        <f>"8358215316"</f>
        <v>8358215316</v>
      </c>
      <c r="G8666" s="1">
        <v>44825</v>
      </c>
      <c r="H8666" t="str">
        <f>"0096251"</f>
        <v>0096251</v>
      </c>
      <c r="I8666">
        <v>0.17</v>
      </c>
      <c r="K8666">
        <v>198.83</v>
      </c>
      <c r="L8666">
        <v>198.83</v>
      </c>
    </row>
    <row r="8667" spans="1:12" x14ac:dyDescent="0.25">
      <c r="A8667" t="str">
        <f t="shared" si="1886"/>
        <v>89301000</v>
      </c>
      <c r="B8667" t="str">
        <f t="shared" si="1887"/>
        <v>78051000</v>
      </c>
      <c r="C8667" t="str">
        <f t="shared" si="1888"/>
        <v>78051004</v>
      </c>
      <c r="D8667" t="str">
        <f t="shared" si="1889"/>
        <v>809</v>
      </c>
      <c r="E8667" t="str">
        <f t="shared" si="1890"/>
        <v>89301062</v>
      </c>
      <c r="F8667" t="str">
        <f>"8358215316"</f>
        <v>8358215316</v>
      </c>
      <c r="G8667" s="1">
        <v>44825</v>
      </c>
      <c r="H8667" t="str">
        <f>"0098943"</f>
        <v>0098943</v>
      </c>
      <c r="I8667">
        <v>1</v>
      </c>
      <c r="K8667">
        <v>293.81</v>
      </c>
      <c r="L8667">
        <v>293.81</v>
      </c>
    </row>
    <row r="8668" spans="1:12" x14ac:dyDescent="0.25">
      <c r="A8668" t="str">
        <f t="shared" si="1886"/>
        <v>89301000</v>
      </c>
      <c r="B8668" t="str">
        <f t="shared" si="1887"/>
        <v>78051000</v>
      </c>
      <c r="C8668" t="str">
        <f t="shared" si="1888"/>
        <v>78051004</v>
      </c>
      <c r="D8668" t="str">
        <f t="shared" si="1889"/>
        <v>809</v>
      </c>
      <c r="E8668" t="str">
        <f t="shared" si="1890"/>
        <v>89301062</v>
      </c>
      <c r="F8668" t="str">
        <f>"6704130422"</f>
        <v>6704130422</v>
      </c>
      <c r="G8668" s="1">
        <v>44831</v>
      </c>
      <c r="H8668" t="str">
        <f>"89311"</f>
        <v>89311</v>
      </c>
      <c r="I8668">
        <v>1</v>
      </c>
      <c r="J8668">
        <v>936</v>
      </c>
      <c r="K8668">
        <v>0</v>
      </c>
      <c r="L8668">
        <v>1310.4000000000001</v>
      </c>
    </row>
    <row r="8669" spans="1:12" x14ac:dyDescent="0.25">
      <c r="A8669" t="str">
        <f t="shared" si="1886"/>
        <v>89301000</v>
      </c>
      <c r="B8669" t="str">
        <f t="shared" si="1887"/>
        <v>78051000</v>
      </c>
      <c r="C8669" t="str">
        <f t="shared" si="1888"/>
        <v>78051004</v>
      </c>
      <c r="D8669" t="str">
        <f t="shared" si="1889"/>
        <v>809</v>
      </c>
      <c r="E8669" t="str">
        <f t="shared" si="1890"/>
        <v>89301062</v>
      </c>
      <c r="F8669" t="str">
        <f>"6704130422"</f>
        <v>6704130422</v>
      </c>
      <c r="G8669" s="1">
        <v>44831</v>
      </c>
      <c r="H8669" t="str">
        <f>"0090044"</f>
        <v>0090044</v>
      </c>
      <c r="I8669">
        <v>1</v>
      </c>
      <c r="K8669">
        <v>16.8</v>
      </c>
      <c r="L8669">
        <v>16.8</v>
      </c>
    </row>
    <row r="8670" spans="1:12" x14ac:dyDescent="0.25">
      <c r="A8670" t="str">
        <f t="shared" si="1886"/>
        <v>89301000</v>
      </c>
      <c r="B8670" t="str">
        <f t="shared" si="1887"/>
        <v>78051000</v>
      </c>
      <c r="C8670" t="str">
        <f t="shared" si="1888"/>
        <v>78051004</v>
      </c>
      <c r="D8670" t="str">
        <f t="shared" si="1889"/>
        <v>809</v>
      </c>
      <c r="E8670" t="str">
        <f t="shared" si="1890"/>
        <v>89301062</v>
      </c>
      <c r="F8670" t="str">
        <f>"6704130422"</f>
        <v>6704130422</v>
      </c>
      <c r="G8670" s="1">
        <v>44831</v>
      </c>
      <c r="H8670" t="str">
        <f>"0225891"</f>
        <v>0225891</v>
      </c>
      <c r="I8670">
        <v>0.2</v>
      </c>
      <c r="K8670">
        <v>73.540000000000006</v>
      </c>
      <c r="L8670">
        <v>73.540000000000006</v>
      </c>
    </row>
    <row r="8671" spans="1:12" x14ac:dyDescent="0.25">
      <c r="A8671" t="str">
        <f t="shared" si="1886"/>
        <v>89301000</v>
      </c>
      <c r="B8671" t="str">
        <f t="shared" si="1887"/>
        <v>78051000</v>
      </c>
      <c r="C8671" t="str">
        <f t="shared" si="1888"/>
        <v>78051004</v>
      </c>
      <c r="D8671" t="str">
        <f t="shared" si="1889"/>
        <v>809</v>
      </c>
      <c r="E8671" t="str">
        <f t="shared" si="1890"/>
        <v>89301062</v>
      </c>
      <c r="F8671" t="str">
        <f>"6704130422"</f>
        <v>6704130422</v>
      </c>
      <c r="G8671" s="1">
        <v>44831</v>
      </c>
      <c r="H8671" t="str">
        <f>"0096251"</f>
        <v>0096251</v>
      </c>
      <c r="I8671">
        <v>0.17</v>
      </c>
      <c r="K8671">
        <v>198.83</v>
      </c>
      <c r="L8671">
        <v>198.83</v>
      </c>
    </row>
    <row r="8672" spans="1:12" x14ac:dyDescent="0.25">
      <c r="A8672" t="str">
        <f t="shared" si="1886"/>
        <v>89301000</v>
      </c>
      <c r="B8672" t="str">
        <f t="shared" si="1887"/>
        <v>78051000</v>
      </c>
      <c r="C8672" t="str">
        <f t="shared" si="1888"/>
        <v>78051004</v>
      </c>
      <c r="D8672" t="str">
        <f t="shared" si="1889"/>
        <v>809</v>
      </c>
      <c r="E8672" t="str">
        <f t="shared" si="1890"/>
        <v>89301062</v>
      </c>
      <c r="F8672" t="str">
        <f>"6704130422"</f>
        <v>6704130422</v>
      </c>
      <c r="G8672" s="1">
        <v>44831</v>
      </c>
      <c r="H8672" t="str">
        <f>"0098943"</f>
        <v>0098943</v>
      </c>
      <c r="I8672">
        <v>1</v>
      </c>
      <c r="K8672">
        <v>293.81</v>
      </c>
      <c r="L8672">
        <v>293.81</v>
      </c>
    </row>
    <row r="8673" spans="1:12" x14ac:dyDescent="0.25">
      <c r="A8673" t="str">
        <f t="shared" si="1886"/>
        <v>89301000</v>
      </c>
      <c r="B8673" t="str">
        <f t="shared" si="1887"/>
        <v>78051000</v>
      </c>
      <c r="C8673" t="str">
        <f t="shared" si="1888"/>
        <v>78051004</v>
      </c>
      <c r="D8673" t="str">
        <f t="shared" si="1889"/>
        <v>809</v>
      </c>
      <c r="E8673" t="str">
        <f t="shared" si="1890"/>
        <v>89301062</v>
      </c>
      <c r="F8673" t="str">
        <f>"7403184470"</f>
        <v>7403184470</v>
      </c>
      <c r="G8673" s="1">
        <v>44831</v>
      </c>
      <c r="H8673" t="str">
        <f>"89311"</f>
        <v>89311</v>
      </c>
      <c r="I8673">
        <v>1</v>
      </c>
      <c r="J8673">
        <v>936</v>
      </c>
      <c r="K8673">
        <v>0</v>
      </c>
      <c r="L8673">
        <v>1310.4000000000001</v>
      </c>
    </row>
    <row r="8674" spans="1:12" x14ac:dyDescent="0.25">
      <c r="A8674" t="str">
        <f t="shared" si="1886"/>
        <v>89301000</v>
      </c>
      <c r="B8674" t="str">
        <f t="shared" si="1887"/>
        <v>78051000</v>
      </c>
      <c r="C8674" t="str">
        <f t="shared" si="1888"/>
        <v>78051004</v>
      </c>
      <c r="D8674" t="str">
        <f t="shared" si="1889"/>
        <v>809</v>
      </c>
      <c r="E8674" t="str">
        <f t="shared" si="1890"/>
        <v>89301062</v>
      </c>
      <c r="F8674" t="str">
        <f>"7403184470"</f>
        <v>7403184470</v>
      </c>
      <c r="G8674" s="1">
        <v>44831</v>
      </c>
      <c r="H8674" t="str">
        <f>"0090044"</f>
        <v>0090044</v>
      </c>
      <c r="I8674">
        <v>1</v>
      </c>
      <c r="K8674">
        <v>16.8</v>
      </c>
      <c r="L8674">
        <v>16.8</v>
      </c>
    </row>
    <row r="8675" spans="1:12" x14ac:dyDescent="0.25">
      <c r="A8675" t="str">
        <f t="shared" si="1886"/>
        <v>89301000</v>
      </c>
      <c r="B8675" t="str">
        <f t="shared" si="1887"/>
        <v>78051000</v>
      </c>
      <c r="C8675" t="str">
        <f t="shared" si="1888"/>
        <v>78051004</v>
      </c>
      <c r="D8675" t="str">
        <f t="shared" si="1889"/>
        <v>809</v>
      </c>
      <c r="E8675" t="str">
        <f t="shared" si="1890"/>
        <v>89301062</v>
      </c>
      <c r="F8675" t="str">
        <f>"7403184470"</f>
        <v>7403184470</v>
      </c>
      <c r="G8675" s="1">
        <v>44831</v>
      </c>
      <c r="H8675" t="str">
        <f>"0225891"</f>
        <v>0225891</v>
      </c>
      <c r="I8675">
        <v>0.2</v>
      </c>
      <c r="K8675">
        <v>73.540000000000006</v>
      </c>
      <c r="L8675">
        <v>73.540000000000006</v>
      </c>
    </row>
    <row r="8676" spans="1:12" x14ac:dyDescent="0.25">
      <c r="A8676" t="str">
        <f t="shared" si="1886"/>
        <v>89301000</v>
      </c>
      <c r="B8676" t="str">
        <f t="shared" si="1887"/>
        <v>78051000</v>
      </c>
      <c r="C8676" t="str">
        <f t="shared" si="1888"/>
        <v>78051004</v>
      </c>
      <c r="D8676" t="str">
        <f t="shared" si="1889"/>
        <v>809</v>
      </c>
      <c r="E8676" t="str">
        <f t="shared" si="1890"/>
        <v>89301062</v>
      </c>
      <c r="F8676" t="str">
        <f>"7403184470"</f>
        <v>7403184470</v>
      </c>
      <c r="G8676" s="1">
        <v>44831</v>
      </c>
      <c r="H8676" t="str">
        <f>"0096251"</f>
        <v>0096251</v>
      </c>
      <c r="I8676">
        <v>0.17</v>
      </c>
      <c r="K8676">
        <v>198.83</v>
      </c>
      <c r="L8676">
        <v>198.83</v>
      </c>
    </row>
    <row r="8677" spans="1:12" x14ac:dyDescent="0.25">
      <c r="A8677" t="str">
        <f t="shared" si="1886"/>
        <v>89301000</v>
      </c>
      <c r="B8677" t="str">
        <f t="shared" si="1887"/>
        <v>78051000</v>
      </c>
      <c r="C8677" t="str">
        <f t="shared" si="1888"/>
        <v>78051004</v>
      </c>
      <c r="D8677" t="str">
        <f t="shared" si="1889"/>
        <v>809</v>
      </c>
      <c r="E8677" t="str">
        <f t="shared" si="1890"/>
        <v>89301062</v>
      </c>
      <c r="F8677" t="str">
        <f>"7403184470"</f>
        <v>7403184470</v>
      </c>
      <c r="G8677" s="1">
        <v>44831</v>
      </c>
      <c r="H8677" t="str">
        <f>"0098943"</f>
        <v>0098943</v>
      </c>
      <c r="I8677">
        <v>1</v>
      </c>
      <c r="K8677">
        <v>293.81</v>
      </c>
      <c r="L8677">
        <v>293.81</v>
      </c>
    </row>
    <row r="8678" spans="1:12" x14ac:dyDescent="0.25">
      <c r="A8678" t="str">
        <f t="shared" si="1886"/>
        <v>89301000</v>
      </c>
      <c r="B8678" t="str">
        <f t="shared" si="1887"/>
        <v>78051000</v>
      </c>
      <c r="C8678" t="str">
        <f t="shared" si="1888"/>
        <v>78051004</v>
      </c>
      <c r="D8678" t="str">
        <f t="shared" si="1889"/>
        <v>809</v>
      </c>
      <c r="E8678" t="str">
        <f t="shared" si="1890"/>
        <v>89301062</v>
      </c>
      <c r="F8678" t="str">
        <f>"7359015334"</f>
        <v>7359015334</v>
      </c>
      <c r="G8678" s="1">
        <v>44831</v>
      </c>
      <c r="H8678" t="str">
        <f>"89311"</f>
        <v>89311</v>
      </c>
      <c r="I8678">
        <v>1</v>
      </c>
      <c r="J8678">
        <v>936</v>
      </c>
      <c r="K8678">
        <v>0</v>
      </c>
      <c r="L8678">
        <v>1310.4000000000001</v>
      </c>
    </row>
    <row r="8679" spans="1:12" x14ac:dyDescent="0.25">
      <c r="A8679" t="str">
        <f t="shared" si="1886"/>
        <v>89301000</v>
      </c>
      <c r="B8679" t="str">
        <f t="shared" si="1887"/>
        <v>78051000</v>
      </c>
      <c r="C8679" t="str">
        <f t="shared" si="1888"/>
        <v>78051004</v>
      </c>
      <c r="D8679" t="str">
        <f t="shared" si="1889"/>
        <v>809</v>
      </c>
      <c r="E8679" t="str">
        <f t="shared" si="1890"/>
        <v>89301062</v>
      </c>
      <c r="F8679" t="str">
        <f>"7359015334"</f>
        <v>7359015334</v>
      </c>
      <c r="G8679" s="1">
        <v>44831</v>
      </c>
      <c r="H8679" t="str">
        <f>"0090044"</f>
        <v>0090044</v>
      </c>
      <c r="I8679">
        <v>1</v>
      </c>
      <c r="K8679">
        <v>16.8</v>
      </c>
      <c r="L8679">
        <v>16.8</v>
      </c>
    </row>
    <row r="8680" spans="1:12" x14ac:dyDescent="0.25">
      <c r="A8680" t="str">
        <f t="shared" si="1886"/>
        <v>89301000</v>
      </c>
      <c r="B8680" t="str">
        <f t="shared" si="1887"/>
        <v>78051000</v>
      </c>
      <c r="C8680" t="str">
        <f t="shared" si="1888"/>
        <v>78051004</v>
      </c>
      <c r="D8680" t="str">
        <f t="shared" si="1889"/>
        <v>809</v>
      </c>
      <c r="E8680" t="str">
        <f t="shared" si="1890"/>
        <v>89301062</v>
      </c>
      <c r="F8680" t="str">
        <f>"7359015334"</f>
        <v>7359015334</v>
      </c>
      <c r="G8680" s="1">
        <v>44831</v>
      </c>
      <c r="H8680" t="str">
        <f>"0225891"</f>
        <v>0225891</v>
      </c>
      <c r="I8680">
        <v>0.2</v>
      </c>
      <c r="K8680">
        <v>73.540000000000006</v>
      </c>
      <c r="L8680">
        <v>73.540000000000006</v>
      </c>
    </row>
    <row r="8681" spans="1:12" x14ac:dyDescent="0.25">
      <c r="A8681" t="str">
        <f t="shared" si="1886"/>
        <v>89301000</v>
      </c>
      <c r="B8681" t="str">
        <f t="shared" si="1887"/>
        <v>78051000</v>
      </c>
      <c r="C8681" t="str">
        <f t="shared" si="1888"/>
        <v>78051004</v>
      </c>
      <c r="D8681" t="str">
        <f t="shared" si="1889"/>
        <v>809</v>
      </c>
      <c r="E8681" t="str">
        <f t="shared" si="1890"/>
        <v>89301062</v>
      </c>
      <c r="F8681" t="str">
        <f>"7359015334"</f>
        <v>7359015334</v>
      </c>
      <c r="G8681" s="1">
        <v>44831</v>
      </c>
      <c r="H8681" t="str">
        <f>"0096251"</f>
        <v>0096251</v>
      </c>
      <c r="I8681">
        <v>0.17</v>
      </c>
      <c r="K8681">
        <v>198.83</v>
      </c>
      <c r="L8681">
        <v>198.83</v>
      </c>
    </row>
    <row r="8682" spans="1:12" x14ac:dyDescent="0.25">
      <c r="A8682" t="str">
        <f t="shared" si="1886"/>
        <v>89301000</v>
      </c>
      <c r="B8682" t="str">
        <f t="shared" si="1887"/>
        <v>78051000</v>
      </c>
      <c r="C8682" t="str">
        <f t="shared" si="1888"/>
        <v>78051004</v>
      </c>
      <c r="D8682" t="str">
        <f t="shared" si="1889"/>
        <v>809</v>
      </c>
      <c r="E8682" t="str">
        <f t="shared" si="1890"/>
        <v>89301062</v>
      </c>
      <c r="F8682" t="str">
        <f>"7359015334"</f>
        <v>7359015334</v>
      </c>
      <c r="G8682" s="1">
        <v>44831</v>
      </c>
      <c r="H8682" t="str">
        <f>"0098943"</f>
        <v>0098943</v>
      </c>
      <c r="I8682">
        <v>1</v>
      </c>
      <c r="K8682">
        <v>293.81</v>
      </c>
      <c r="L8682">
        <v>293.81</v>
      </c>
    </row>
    <row r="8683" spans="1:12" x14ac:dyDescent="0.25">
      <c r="A8683" t="str">
        <f t="shared" si="1886"/>
        <v>89301000</v>
      </c>
      <c r="B8683" t="str">
        <f t="shared" si="1887"/>
        <v>78051000</v>
      </c>
      <c r="C8683" t="str">
        <f t="shared" si="1888"/>
        <v>78051004</v>
      </c>
      <c r="D8683" t="str">
        <f t="shared" si="1889"/>
        <v>809</v>
      </c>
      <c r="E8683" t="str">
        <f t="shared" si="1890"/>
        <v>89301062</v>
      </c>
      <c r="F8683" t="str">
        <f>"5853181213"</f>
        <v>5853181213</v>
      </c>
      <c r="G8683" s="1">
        <v>44831</v>
      </c>
      <c r="H8683" t="str">
        <f>"89311"</f>
        <v>89311</v>
      </c>
      <c r="I8683">
        <v>1</v>
      </c>
      <c r="J8683">
        <v>936</v>
      </c>
      <c r="K8683">
        <v>0</v>
      </c>
      <c r="L8683">
        <v>1310.4000000000001</v>
      </c>
    </row>
    <row r="8684" spans="1:12" x14ac:dyDescent="0.25">
      <c r="A8684" t="str">
        <f t="shared" si="1886"/>
        <v>89301000</v>
      </c>
      <c r="B8684" t="str">
        <f t="shared" si="1887"/>
        <v>78051000</v>
      </c>
      <c r="C8684" t="str">
        <f t="shared" si="1888"/>
        <v>78051004</v>
      </c>
      <c r="D8684" t="str">
        <f t="shared" si="1889"/>
        <v>809</v>
      </c>
      <c r="E8684" t="str">
        <f t="shared" si="1890"/>
        <v>89301062</v>
      </c>
      <c r="F8684" t="str">
        <f>"5853181213"</f>
        <v>5853181213</v>
      </c>
      <c r="G8684" s="1">
        <v>44831</v>
      </c>
      <c r="H8684" t="str">
        <f>"0090044"</f>
        <v>0090044</v>
      </c>
      <c r="I8684">
        <v>1</v>
      </c>
      <c r="K8684">
        <v>16.8</v>
      </c>
      <c r="L8684">
        <v>16.8</v>
      </c>
    </row>
    <row r="8685" spans="1:12" x14ac:dyDescent="0.25">
      <c r="A8685" t="str">
        <f t="shared" si="1886"/>
        <v>89301000</v>
      </c>
      <c r="B8685" t="str">
        <f t="shared" si="1887"/>
        <v>78051000</v>
      </c>
      <c r="C8685" t="str">
        <f t="shared" si="1888"/>
        <v>78051004</v>
      </c>
      <c r="D8685" t="str">
        <f t="shared" si="1889"/>
        <v>809</v>
      </c>
      <c r="E8685" t="str">
        <f t="shared" si="1890"/>
        <v>89301062</v>
      </c>
      <c r="F8685" t="str">
        <f>"5853181213"</f>
        <v>5853181213</v>
      </c>
      <c r="G8685" s="1">
        <v>44831</v>
      </c>
      <c r="H8685" t="str">
        <f>"0225891"</f>
        <v>0225891</v>
      </c>
      <c r="I8685">
        <v>0.2</v>
      </c>
      <c r="K8685">
        <v>73.540000000000006</v>
      </c>
      <c r="L8685">
        <v>73.540000000000006</v>
      </c>
    </row>
    <row r="8686" spans="1:12" x14ac:dyDescent="0.25">
      <c r="A8686" t="str">
        <f t="shared" si="1886"/>
        <v>89301000</v>
      </c>
      <c r="B8686" t="str">
        <f t="shared" si="1887"/>
        <v>78051000</v>
      </c>
      <c r="C8686" t="str">
        <f t="shared" si="1888"/>
        <v>78051004</v>
      </c>
      <c r="D8686" t="str">
        <f t="shared" si="1889"/>
        <v>809</v>
      </c>
      <c r="E8686" t="str">
        <f t="shared" si="1890"/>
        <v>89301062</v>
      </c>
      <c r="F8686" t="str">
        <f>"5853181213"</f>
        <v>5853181213</v>
      </c>
      <c r="G8686" s="1">
        <v>44831</v>
      </c>
      <c r="H8686" t="str">
        <f>"0096251"</f>
        <v>0096251</v>
      </c>
      <c r="I8686">
        <v>0.17</v>
      </c>
      <c r="K8686">
        <v>198.83</v>
      </c>
      <c r="L8686">
        <v>198.83</v>
      </c>
    </row>
    <row r="8687" spans="1:12" x14ac:dyDescent="0.25">
      <c r="A8687" t="str">
        <f t="shared" si="1886"/>
        <v>89301000</v>
      </c>
      <c r="B8687" t="str">
        <f t="shared" si="1887"/>
        <v>78051000</v>
      </c>
      <c r="C8687" t="str">
        <f t="shared" si="1888"/>
        <v>78051004</v>
      </c>
      <c r="D8687" t="str">
        <f t="shared" si="1889"/>
        <v>809</v>
      </c>
      <c r="E8687" t="str">
        <f t="shared" si="1890"/>
        <v>89301062</v>
      </c>
      <c r="F8687" t="str">
        <f>"5853181213"</f>
        <v>5853181213</v>
      </c>
      <c r="G8687" s="1">
        <v>44831</v>
      </c>
      <c r="H8687" t="str">
        <f>"0098943"</f>
        <v>0098943</v>
      </c>
      <c r="I8687">
        <v>1</v>
      </c>
      <c r="K8687">
        <v>293.81</v>
      </c>
      <c r="L8687">
        <v>293.81</v>
      </c>
    </row>
    <row r="8688" spans="1:12" x14ac:dyDescent="0.25">
      <c r="A8688" t="str">
        <f t="shared" si="1886"/>
        <v>89301000</v>
      </c>
      <c r="B8688" t="str">
        <f t="shared" si="1887"/>
        <v>78051000</v>
      </c>
      <c r="C8688" t="str">
        <f t="shared" si="1888"/>
        <v>78051004</v>
      </c>
      <c r="D8688" t="str">
        <f t="shared" si="1889"/>
        <v>809</v>
      </c>
      <c r="E8688" t="str">
        <f t="shared" si="1890"/>
        <v>89301062</v>
      </c>
      <c r="F8688" t="str">
        <f>"6952075779"</f>
        <v>6952075779</v>
      </c>
      <c r="G8688" s="1">
        <v>44831</v>
      </c>
      <c r="H8688" t="str">
        <f>"89311"</f>
        <v>89311</v>
      </c>
      <c r="I8688">
        <v>1</v>
      </c>
      <c r="J8688">
        <v>936</v>
      </c>
      <c r="K8688">
        <v>0</v>
      </c>
      <c r="L8688">
        <v>1310.4000000000001</v>
      </c>
    </row>
    <row r="8689" spans="1:12" x14ac:dyDescent="0.25">
      <c r="A8689" t="str">
        <f t="shared" si="1886"/>
        <v>89301000</v>
      </c>
      <c r="B8689" t="str">
        <f t="shared" ref="B8689:B8724" si="1891">"78051000"</f>
        <v>78051000</v>
      </c>
      <c r="C8689" t="str">
        <f t="shared" ref="C8689:C8702" si="1892">"78051004"</f>
        <v>78051004</v>
      </c>
      <c r="D8689" t="str">
        <f t="shared" ref="D8689:D8702" si="1893">"809"</f>
        <v>809</v>
      </c>
      <c r="E8689" t="str">
        <f t="shared" ref="E8689:E8724" si="1894">"89301062"</f>
        <v>89301062</v>
      </c>
      <c r="F8689" t="str">
        <f>"6952075779"</f>
        <v>6952075779</v>
      </c>
      <c r="G8689" s="1">
        <v>44831</v>
      </c>
      <c r="H8689" t="str">
        <f>"0090044"</f>
        <v>0090044</v>
      </c>
      <c r="I8689">
        <v>1</v>
      </c>
      <c r="K8689">
        <v>16.8</v>
      </c>
      <c r="L8689">
        <v>16.8</v>
      </c>
    </row>
    <row r="8690" spans="1:12" x14ac:dyDescent="0.25">
      <c r="A8690" t="str">
        <f t="shared" si="1886"/>
        <v>89301000</v>
      </c>
      <c r="B8690" t="str">
        <f t="shared" si="1891"/>
        <v>78051000</v>
      </c>
      <c r="C8690" t="str">
        <f t="shared" si="1892"/>
        <v>78051004</v>
      </c>
      <c r="D8690" t="str">
        <f t="shared" si="1893"/>
        <v>809</v>
      </c>
      <c r="E8690" t="str">
        <f t="shared" si="1894"/>
        <v>89301062</v>
      </c>
      <c r="F8690" t="str">
        <f>"6952075779"</f>
        <v>6952075779</v>
      </c>
      <c r="G8690" s="1">
        <v>44831</v>
      </c>
      <c r="H8690" t="str">
        <f>"0225891"</f>
        <v>0225891</v>
      </c>
      <c r="I8690">
        <v>0.2</v>
      </c>
      <c r="K8690">
        <v>73.540000000000006</v>
      </c>
      <c r="L8690">
        <v>73.540000000000006</v>
      </c>
    </row>
    <row r="8691" spans="1:12" x14ac:dyDescent="0.25">
      <c r="A8691" t="str">
        <f t="shared" si="1886"/>
        <v>89301000</v>
      </c>
      <c r="B8691" t="str">
        <f t="shared" si="1891"/>
        <v>78051000</v>
      </c>
      <c r="C8691" t="str">
        <f t="shared" si="1892"/>
        <v>78051004</v>
      </c>
      <c r="D8691" t="str">
        <f t="shared" si="1893"/>
        <v>809</v>
      </c>
      <c r="E8691" t="str">
        <f t="shared" si="1894"/>
        <v>89301062</v>
      </c>
      <c r="F8691" t="str">
        <f>"6952075779"</f>
        <v>6952075779</v>
      </c>
      <c r="G8691" s="1">
        <v>44831</v>
      </c>
      <c r="H8691" t="str">
        <f>"0096251"</f>
        <v>0096251</v>
      </c>
      <c r="I8691">
        <v>0.17</v>
      </c>
      <c r="K8691">
        <v>198.83</v>
      </c>
      <c r="L8691">
        <v>198.83</v>
      </c>
    </row>
    <row r="8692" spans="1:12" x14ac:dyDescent="0.25">
      <c r="A8692" t="str">
        <f t="shared" si="1886"/>
        <v>89301000</v>
      </c>
      <c r="B8692" t="str">
        <f t="shared" si="1891"/>
        <v>78051000</v>
      </c>
      <c r="C8692" t="str">
        <f t="shared" si="1892"/>
        <v>78051004</v>
      </c>
      <c r="D8692" t="str">
        <f t="shared" si="1893"/>
        <v>809</v>
      </c>
      <c r="E8692" t="str">
        <f t="shared" si="1894"/>
        <v>89301062</v>
      </c>
      <c r="F8692" t="str">
        <f>"6952075779"</f>
        <v>6952075779</v>
      </c>
      <c r="G8692" s="1">
        <v>44831</v>
      </c>
      <c r="H8692" t="str">
        <f>"0098943"</f>
        <v>0098943</v>
      </c>
      <c r="I8692">
        <v>1</v>
      </c>
      <c r="K8692">
        <v>293.81</v>
      </c>
      <c r="L8692">
        <v>293.81</v>
      </c>
    </row>
    <row r="8693" spans="1:12" x14ac:dyDescent="0.25">
      <c r="A8693" t="str">
        <f t="shared" si="1886"/>
        <v>89301000</v>
      </c>
      <c r="B8693" t="str">
        <f t="shared" si="1891"/>
        <v>78051000</v>
      </c>
      <c r="C8693" t="str">
        <f t="shared" si="1892"/>
        <v>78051004</v>
      </c>
      <c r="D8693" t="str">
        <f t="shared" si="1893"/>
        <v>809</v>
      </c>
      <c r="E8693" t="str">
        <f t="shared" si="1894"/>
        <v>89301062</v>
      </c>
      <c r="F8693" t="str">
        <f>"5910031457"</f>
        <v>5910031457</v>
      </c>
      <c r="G8693" s="1">
        <v>44831</v>
      </c>
      <c r="H8693" t="str">
        <f>"89311"</f>
        <v>89311</v>
      </c>
      <c r="I8693">
        <v>1</v>
      </c>
      <c r="J8693">
        <v>936</v>
      </c>
      <c r="K8693">
        <v>0</v>
      </c>
      <c r="L8693">
        <v>1310.4000000000001</v>
      </c>
    </row>
    <row r="8694" spans="1:12" x14ac:dyDescent="0.25">
      <c r="A8694" t="str">
        <f t="shared" si="1886"/>
        <v>89301000</v>
      </c>
      <c r="B8694" t="str">
        <f t="shared" si="1891"/>
        <v>78051000</v>
      </c>
      <c r="C8694" t="str">
        <f t="shared" si="1892"/>
        <v>78051004</v>
      </c>
      <c r="D8694" t="str">
        <f t="shared" si="1893"/>
        <v>809</v>
      </c>
      <c r="E8694" t="str">
        <f t="shared" si="1894"/>
        <v>89301062</v>
      </c>
      <c r="F8694" t="str">
        <f>"5910031457"</f>
        <v>5910031457</v>
      </c>
      <c r="G8694" s="1">
        <v>44831</v>
      </c>
      <c r="H8694" t="str">
        <f>"0090044"</f>
        <v>0090044</v>
      </c>
      <c r="I8694">
        <v>1</v>
      </c>
      <c r="K8694">
        <v>16.8</v>
      </c>
      <c r="L8694">
        <v>16.8</v>
      </c>
    </row>
    <row r="8695" spans="1:12" x14ac:dyDescent="0.25">
      <c r="A8695" t="str">
        <f t="shared" si="1886"/>
        <v>89301000</v>
      </c>
      <c r="B8695" t="str">
        <f t="shared" si="1891"/>
        <v>78051000</v>
      </c>
      <c r="C8695" t="str">
        <f t="shared" si="1892"/>
        <v>78051004</v>
      </c>
      <c r="D8695" t="str">
        <f t="shared" si="1893"/>
        <v>809</v>
      </c>
      <c r="E8695" t="str">
        <f t="shared" si="1894"/>
        <v>89301062</v>
      </c>
      <c r="F8695" t="str">
        <f>"5910031457"</f>
        <v>5910031457</v>
      </c>
      <c r="G8695" s="1">
        <v>44831</v>
      </c>
      <c r="H8695" t="str">
        <f>"0225891"</f>
        <v>0225891</v>
      </c>
      <c r="I8695">
        <v>0.2</v>
      </c>
      <c r="K8695">
        <v>73.540000000000006</v>
      </c>
      <c r="L8695">
        <v>73.540000000000006</v>
      </c>
    </row>
    <row r="8696" spans="1:12" x14ac:dyDescent="0.25">
      <c r="A8696" t="str">
        <f t="shared" si="1886"/>
        <v>89301000</v>
      </c>
      <c r="B8696" t="str">
        <f t="shared" si="1891"/>
        <v>78051000</v>
      </c>
      <c r="C8696" t="str">
        <f t="shared" si="1892"/>
        <v>78051004</v>
      </c>
      <c r="D8696" t="str">
        <f t="shared" si="1893"/>
        <v>809</v>
      </c>
      <c r="E8696" t="str">
        <f t="shared" si="1894"/>
        <v>89301062</v>
      </c>
      <c r="F8696" t="str">
        <f>"5910031457"</f>
        <v>5910031457</v>
      </c>
      <c r="G8696" s="1">
        <v>44831</v>
      </c>
      <c r="H8696" t="str">
        <f>"0096251"</f>
        <v>0096251</v>
      </c>
      <c r="I8696">
        <v>0.17</v>
      </c>
      <c r="K8696">
        <v>198.83</v>
      </c>
      <c r="L8696">
        <v>198.83</v>
      </c>
    </row>
    <row r="8697" spans="1:12" x14ac:dyDescent="0.25">
      <c r="A8697" t="str">
        <f t="shared" si="1886"/>
        <v>89301000</v>
      </c>
      <c r="B8697" t="str">
        <f t="shared" si="1891"/>
        <v>78051000</v>
      </c>
      <c r="C8697" t="str">
        <f t="shared" si="1892"/>
        <v>78051004</v>
      </c>
      <c r="D8697" t="str">
        <f t="shared" si="1893"/>
        <v>809</v>
      </c>
      <c r="E8697" t="str">
        <f t="shared" si="1894"/>
        <v>89301062</v>
      </c>
      <c r="F8697" t="str">
        <f>"5910031457"</f>
        <v>5910031457</v>
      </c>
      <c r="G8697" s="1">
        <v>44831</v>
      </c>
      <c r="H8697" t="str">
        <f>"0098943"</f>
        <v>0098943</v>
      </c>
      <c r="I8697">
        <v>1</v>
      </c>
      <c r="K8697">
        <v>293.81</v>
      </c>
      <c r="L8697">
        <v>293.81</v>
      </c>
    </row>
    <row r="8698" spans="1:12" x14ac:dyDescent="0.25">
      <c r="A8698" t="str">
        <f t="shared" si="1886"/>
        <v>89301000</v>
      </c>
      <c r="B8698" t="str">
        <f t="shared" si="1891"/>
        <v>78051000</v>
      </c>
      <c r="C8698" t="str">
        <f t="shared" si="1892"/>
        <v>78051004</v>
      </c>
      <c r="D8698" t="str">
        <f t="shared" si="1893"/>
        <v>809</v>
      </c>
      <c r="E8698" t="str">
        <f t="shared" si="1894"/>
        <v>89301062</v>
      </c>
      <c r="F8698" t="str">
        <f>"6855090088"</f>
        <v>6855090088</v>
      </c>
      <c r="G8698" s="1">
        <v>44831</v>
      </c>
      <c r="H8698" t="str">
        <f>"89311"</f>
        <v>89311</v>
      </c>
      <c r="I8698">
        <v>1</v>
      </c>
      <c r="J8698">
        <v>936</v>
      </c>
      <c r="K8698">
        <v>0</v>
      </c>
      <c r="L8698">
        <v>1310.4000000000001</v>
      </c>
    </row>
    <row r="8699" spans="1:12" x14ac:dyDescent="0.25">
      <c r="A8699" t="str">
        <f t="shared" si="1886"/>
        <v>89301000</v>
      </c>
      <c r="B8699" t="str">
        <f t="shared" si="1891"/>
        <v>78051000</v>
      </c>
      <c r="C8699" t="str">
        <f t="shared" si="1892"/>
        <v>78051004</v>
      </c>
      <c r="D8699" t="str">
        <f t="shared" si="1893"/>
        <v>809</v>
      </c>
      <c r="E8699" t="str">
        <f t="shared" si="1894"/>
        <v>89301062</v>
      </c>
      <c r="F8699" t="str">
        <f>"6855090088"</f>
        <v>6855090088</v>
      </c>
      <c r="G8699" s="1">
        <v>44831</v>
      </c>
      <c r="H8699" t="str">
        <f>"0090044"</f>
        <v>0090044</v>
      </c>
      <c r="I8699">
        <v>1</v>
      </c>
      <c r="K8699">
        <v>16.8</v>
      </c>
      <c r="L8699">
        <v>16.8</v>
      </c>
    </row>
    <row r="8700" spans="1:12" x14ac:dyDescent="0.25">
      <c r="A8700" t="str">
        <f t="shared" si="1886"/>
        <v>89301000</v>
      </c>
      <c r="B8700" t="str">
        <f t="shared" si="1891"/>
        <v>78051000</v>
      </c>
      <c r="C8700" t="str">
        <f t="shared" si="1892"/>
        <v>78051004</v>
      </c>
      <c r="D8700" t="str">
        <f t="shared" si="1893"/>
        <v>809</v>
      </c>
      <c r="E8700" t="str">
        <f t="shared" si="1894"/>
        <v>89301062</v>
      </c>
      <c r="F8700" t="str">
        <f>"6855090088"</f>
        <v>6855090088</v>
      </c>
      <c r="G8700" s="1">
        <v>44831</v>
      </c>
      <c r="H8700" t="str">
        <f>"0225891"</f>
        <v>0225891</v>
      </c>
      <c r="I8700">
        <v>0.2</v>
      </c>
      <c r="K8700">
        <v>73.540000000000006</v>
      </c>
      <c r="L8700">
        <v>73.540000000000006</v>
      </c>
    </row>
    <row r="8701" spans="1:12" x14ac:dyDescent="0.25">
      <c r="A8701" t="str">
        <f t="shared" si="1886"/>
        <v>89301000</v>
      </c>
      <c r="B8701" t="str">
        <f t="shared" si="1891"/>
        <v>78051000</v>
      </c>
      <c r="C8701" t="str">
        <f t="shared" si="1892"/>
        <v>78051004</v>
      </c>
      <c r="D8701" t="str">
        <f t="shared" si="1893"/>
        <v>809</v>
      </c>
      <c r="E8701" t="str">
        <f t="shared" si="1894"/>
        <v>89301062</v>
      </c>
      <c r="F8701" t="str">
        <f>"6855090088"</f>
        <v>6855090088</v>
      </c>
      <c r="G8701" s="1">
        <v>44831</v>
      </c>
      <c r="H8701" t="str">
        <f>"0096251"</f>
        <v>0096251</v>
      </c>
      <c r="I8701">
        <v>0.17</v>
      </c>
      <c r="K8701">
        <v>198.83</v>
      </c>
      <c r="L8701">
        <v>198.83</v>
      </c>
    </row>
    <row r="8702" spans="1:12" x14ac:dyDescent="0.25">
      <c r="A8702" t="str">
        <f t="shared" si="1886"/>
        <v>89301000</v>
      </c>
      <c r="B8702" t="str">
        <f t="shared" si="1891"/>
        <v>78051000</v>
      </c>
      <c r="C8702" t="str">
        <f t="shared" si="1892"/>
        <v>78051004</v>
      </c>
      <c r="D8702" t="str">
        <f t="shared" si="1893"/>
        <v>809</v>
      </c>
      <c r="E8702" t="str">
        <f t="shared" si="1894"/>
        <v>89301062</v>
      </c>
      <c r="F8702" t="str">
        <f>"6855090088"</f>
        <v>6855090088</v>
      </c>
      <c r="G8702" s="1">
        <v>44831</v>
      </c>
      <c r="H8702" t="str">
        <f>"0098943"</f>
        <v>0098943</v>
      </c>
      <c r="I8702">
        <v>1</v>
      </c>
      <c r="K8702">
        <v>293.81</v>
      </c>
      <c r="L8702">
        <v>293.81</v>
      </c>
    </row>
    <row r="8703" spans="1:12" x14ac:dyDescent="0.25">
      <c r="A8703" t="str">
        <f t="shared" si="1886"/>
        <v>89301000</v>
      </c>
      <c r="B8703" t="str">
        <f t="shared" si="1891"/>
        <v>78051000</v>
      </c>
      <c r="C8703" t="str">
        <f t="shared" ref="C8703:C8724" si="1895">"78051017"</f>
        <v>78051017</v>
      </c>
      <c r="D8703" t="str">
        <f t="shared" ref="D8703:D8724" si="1896">"810"</f>
        <v>810</v>
      </c>
      <c r="E8703" t="str">
        <f t="shared" si="1894"/>
        <v>89301062</v>
      </c>
      <c r="F8703" t="str">
        <f>"8001195334"</f>
        <v>8001195334</v>
      </c>
      <c r="G8703" s="1">
        <v>44810</v>
      </c>
      <c r="H8703" t="str">
        <f t="shared" ref="H8703:H8724" si="1897">"89615"</f>
        <v>89615</v>
      </c>
      <c r="I8703">
        <v>1</v>
      </c>
      <c r="J8703">
        <v>2170</v>
      </c>
      <c r="K8703">
        <v>0</v>
      </c>
      <c r="L8703">
        <v>1302</v>
      </c>
    </row>
    <row r="8704" spans="1:12" x14ac:dyDescent="0.25">
      <c r="A8704" t="str">
        <f t="shared" si="1886"/>
        <v>89301000</v>
      </c>
      <c r="B8704" t="str">
        <f t="shared" si="1891"/>
        <v>78051000</v>
      </c>
      <c r="C8704" t="str">
        <f t="shared" si="1895"/>
        <v>78051017</v>
      </c>
      <c r="D8704" t="str">
        <f t="shared" si="1896"/>
        <v>810</v>
      </c>
      <c r="E8704" t="str">
        <f t="shared" si="1894"/>
        <v>89301062</v>
      </c>
      <c r="F8704" t="str">
        <f>"455403425"</f>
        <v>455403425</v>
      </c>
      <c r="G8704" s="1">
        <v>44810</v>
      </c>
      <c r="H8704" t="str">
        <f t="shared" si="1897"/>
        <v>89615</v>
      </c>
      <c r="I8704">
        <v>1</v>
      </c>
      <c r="J8704">
        <v>2170</v>
      </c>
      <c r="K8704">
        <v>0</v>
      </c>
      <c r="L8704">
        <v>1302</v>
      </c>
    </row>
    <row r="8705" spans="1:12" x14ac:dyDescent="0.25">
      <c r="A8705" t="str">
        <f t="shared" si="1886"/>
        <v>89301000</v>
      </c>
      <c r="B8705" t="str">
        <f t="shared" si="1891"/>
        <v>78051000</v>
      </c>
      <c r="C8705" t="str">
        <f t="shared" si="1895"/>
        <v>78051017</v>
      </c>
      <c r="D8705" t="str">
        <f t="shared" si="1896"/>
        <v>810</v>
      </c>
      <c r="E8705" t="str">
        <f t="shared" si="1894"/>
        <v>89301062</v>
      </c>
      <c r="F8705" t="str">
        <f>"6757051675"</f>
        <v>6757051675</v>
      </c>
      <c r="G8705" s="1">
        <v>44810</v>
      </c>
      <c r="H8705" t="str">
        <f t="shared" si="1897"/>
        <v>89615</v>
      </c>
      <c r="I8705">
        <v>1</v>
      </c>
      <c r="J8705">
        <v>2170</v>
      </c>
      <c r="K8705">
        <v>0</v>
      </c>
      <c r="L8705">
        <v>1302</v>
      </c>
    </row>
    <row r="8706" spans="1:12" x14ac:dyDescent="0.25">
      <c r="A8706" t="str">
        <f t="shared" ref="A8706:A8769" si="1898">"89301000"</f>
        <v>89301000</v>
      </c>
      <c r="B8706" t="str">
        <f t="shared" si="1891"/>
        <v>78051000</v>
      </c>
      <c r="C8706" t="str">
        <f t="shared" si="1895"/>
        <v>78051017</v>
      </c>
      <c r="D8706" t="str">
        <f t="shared" si="1896"/>
        <v>810</v>
      </c>
      <c r="E8706" t="str">
        <f t="shared" si="1894"/>
        <v>89301062</v>
      </c>
      <c r="F8706" t="str">
        <f>"430317472"</f>
        <v>430317472</v>
      </c>
      <c r="G8706" s="1">
        <v>44810</v>
      </c>
      <c r="H8706" t="str">
        <f t="shared" si="1897"/>
        <v>89615</v>
      </c>
      <c r="I8706">
        <v>1</v>
      </c>
      <c r="J8706">
        <v>2170</v>
      </c>
      <c r="K8706">
        <v>0</v>
      </c>
      <c r="L8706">
        <v>1302</v>
      </c>
    </row>
    <row r="8707" spans="1:12" x14ac:dyDescent="0.25">
      <c r="A8707" t="str">
        <f t="shared" si="1898"/>
        <v>89301000</v>
      </c>
      <c r="B8707" t="str">
        <f t="shared" si="1891"/>
        <v>78051000</v>
      </c>
      <c r="C8707" t="str">
        <f t="shared" si="1895"/>
        <v>78051017</v>
      </c>
      <c r="D8707" t="str">
        <f t="shared" si="1896"/>
        <v>810</v>
      </c>
      <c r="E8707" t="str">
        <f t="shared" si="1894"/>
        <v>89301062</v>
      </c>
      <c r="F8707" t="str">
        <f>"6259010153"</f>
        <v>6259010153</v>
      </c>
      <c r="G8707" s="1">
        <v>44810</v>
      </c>
      <c r="H8707" t="str">
        <f t="shared" si="1897"/>
        <v>89615</v>
      </c>
      <c r="I8707">
        <v>1</v>
      </c>
      <c r="J8707">
        <v>2170</v>
      </c>
      <c r="K8707">
        <v>0</v>
      </c>
      <c r="L8707">
        <v>1302</v>
      </c>
    </row>
    <row r="8708" spans="1:12" x14ac:dyDescent="0.25">
      <c r="A8708" t="str">
        <f t="shared" si="1898"/>
        <v>89301000</v>
      </c>
      <c r="B8708" t="str">
        <f t="shared" si="1891"/>
        <v>78051000</v>
      </c>
      <c r="C8708" t="str">
        <f t="shared" si="1895"/>
        <v>78051017</v>
      </c>
      <c r="D8708" t="str">
        <f t="shared" si="1896"/>
        <v>810</v>
      </c>
      <c r="E8708" t="str">
        <f t="shared" si="1894"/>
        <v>89301062</v>
      </c>
      <c r="F8708" t="str">
        <f>"8806145810"</f>
        <v>8806145810</v>
      </c>
      <c r="G8708" s="1">
        <v>44817</v>
      </c>
      <c r="H8708" t="str">
        <f t="shared" si="1897"/>
        <v>89615</v>
      </c>
      <c r="I8708">
        <v>1</v>
      </c>
      <c r="J8708">
        <v>2170</v>
      </c>
      <c r="K8708">
        <v>0</v>
      </c>
      <c r="L8708">
        <v>1302</v>
      </c>
    </row>
    <row r="8709" spans="1:12" x14ac:dyDescent="0.25">
      <c r="A8709" t="str">
        <f t="shared" si="1898"/>
        <v>89301000</v>
      </c>
      <c r="B8709" t="str">
        <f t="shared" si="1891"/>
        <v>78051000</v>
      </c>
      <c r="C8709" t="str">
        <f t="shared" si="1895"/>
        <v>78051017</v>
      </c>
      <c r="D8709" t="str">
        <f t="shared" si="1896"/>
        <v>810</v>
      </c>
      <c r="E8709" t="str">
        <f t="shared" si="1894"/>
        <v>89301062</v>
      </c>
      <c r="F8709" t="str">
        <f>"5956210909"</f>
        <v>5956210909</v>
      </c>
      <c r="G8709" s="1">
        <v>44817</v>
      </c>
      <c r="H8709" t="str">
        <f t="shared" si="1897"/>
        <v>89615</v>
      </c>
      <c r="I8709">
        <v>1</v>
      </c>
      <c r="J8709">
        <v>2170</v>
      </c>
      <c r="K8709">
        <v>0</v>
      </c>
      <c r="L8709">
        <v>1302</v>
      </c>
    </row>
    <row r="8710" spans="1:12" x14ac:dyDescent="0.25">
      <c r="A8710" t="str">
        <f t="shared" si="1898"/>
        <v>89301000</v>
      </c>
      <c r="B8710" t="str">
        <f t="shared" si="1891"/>
        <v>78051000</v>
      </c>
      <c r="C8710" t="str">
        <f t="shared" si="1895"/>
        <v>78051017</v>
      </c>
      <c r="D8710" t="str">
        <f t="shared" si="1896"/>
        <v>810</v>
      </c>
      <c r="E8710" t="str">
        <f t="shared" si="1894"/>
        <v>89301062</v>
      </c>
      <c r="F8710" t="str">
        <f>"6207262050"</f>
        <v>6207262050</v>
      </c>
      <c r="G8710" s="1">
        <v>44825</v>
      </c>
      <c r="H8710" t="str">
        <f t="shared" si="1897"/>
        <v>89615</v>
      </c>
      <c r="I8710">
        <v>1</v>
      </c>
      <c r="J8710">
        <v>2170</v>
      </c>
      <c r="K8710">
        <v>0</v>
      </c>
      <c r="L8710">
        <v>1302</v>
      </c>
    </row>
    <row r="8711" spans="1:12" x14ac:dyDescent="0.25">
      <c r="A8711" t="str">
        <f t="shared" si="1898"/>
        <v>89301000</v>
      </c>
      <c r="B8711" t="str">
        <f t="shared" si="1891"/>
        <v>78051000</v>
      </c>
      <c r="C8711" t="str">
        <f t="shared" si="1895"/>
        <v>78051017</v>
      </c>
      <c r="D8711" t="str">
        <f t="shared" si="1896"/>
        <v>810</v>
      </c>
      <c r="E8711" t="str">
        <f t="shared" si="1894"/>
        <v>89301062</v>
      </c>
      <c r="F8711" t="str">
        <f>"7359255783"</f>
        <v>7359255783</v>
      </c>
      <c r="G8711" s="1">
        <v>44825</v>
      </c>
      <c r="H8711" t="str">
        <f t="shared" si="1897"/>
        <v>89615</v>
      </c>
      <c r="I8711">
        <v>1</v>
      </c>
      <c r="J8711">
        <v>2170</v>
      </c>
      <c r="K8711">
        <v>0</v>
      </c>
      <c r="L8711">
        <v>1302</v>
      </c>
    </row>
    <row r="8712" spans="1:12" x14ac:dyDescent="0.25">
      <c r="A8712" t="str">
        <f t="shared" si="1898"/>
        <v>89301000</v>
      </c>
      <c r="B8712" t="str">
        <f t="shared" si="1891"/>
        <v>78051000</v>
      </c>
      <c r="C8712" t="str">
        <f t="shared" si="1895"/>
        <v>78051017</v>
      </c>
      <c r="D8712" t="str">
        <f t="shared" si="1896"/>
        <v>810</v>
      </c>
      <c r="E8712" t="str">
        <f t="shared" si="1894"/>
        <v>89301062</v>
      </c>
      <c r="F8712" t="str">
        <f>"535509375"</f>
        <v>535509375</v>
      </c>
      <c r="G8712" s="1">
        <v>44825</v>
      </c>
      <c r="H8712" t="str">
        <f t="shared" si="1897"/>
        <v>89615</v>
      </c>
      <c r="I8712">
        <v>1</v>
      </c>
      <c r="J8712">
        <v>2170</v>
      </c>
      <c r="K8712">
        <v>0</v>
      </c>
      <c r="L8712">
        <v>1302</v>
      </c>
    </row>
    <row r="8713" spans="1:12" x14ac:dyDescent="0.25">
      <c r="A8713" t="str">
        <f t="shared" si="1898"/>
        <v>89301000</v>
      </c>
      <c r="B8713" t="str">
        <f t="shared" si="1891"/>
        <v>78051000</v>
      </c>
      <c r="C8713" t="str">
        <f t="shared" si="1895"/>
        <v>78051017</v>
      </c>
      <c r="D8713" t="str">
        <f t="shared" si="1896"/>
        <v>810</v>
      </c>
      <c r="E8713" t="str">
        <f t="shared" si="1894"/>
        <v>89301062</v>
      </c>
      <c r="F8713" t="str">
        <f>"5605221721"</f>
        <v>5605221721</v>
      </c>
      <c r="G8713" s="1">
        <v>44825</v>
      </c>
      <c r="H8713" t="str">
        <f t="shared" si="1897"/>
        <v>89615</v>
      </c>
      <c r="I8713">
        <v>1</v>
      </c>
      <c r="J8713">
        <v>2170</v>
      </c>
      <c r="K8713">
        <v>0</v>
      </c>
      <c r="L8713">
        <v>1302</v>
      </c>
    </row>
    <row r="8714" spans="1:12" x14ac:dyDescent="0.25">
      <c r="A8714" t="str">
        <f t="shared" si="1898"/>
        <v>89301000</v>
      </c>
      <c r="B8714" t="str">
        <f t="shared" si="1891"/>
        <v>78051000</v>
      </c>
      <c r="C8714" t="str">
        <f t="shared" si="1895"/>
        <v>78051017</v>
      </c>
      <c r="D8714" t="str">
        <f t="shared" si="1896"/>
        <v>810</v>
      </c>
      <c r="E8714" t="str">
        <f t="shared" si="1894"/>
        <v>89301062</v>
      </c>
      <c r="F8714" t="str">
        <f>"440327440"</f>
        <v>440327440</v>
      </c>
      <c r="G8714" s="1">
        <v>44825</v>
      </c>
      <c r="H8714" t="str">
        <f t="shared" si="1897"/>
        <v>89615</v>
      </c>
      <c r="I8714">
        <v>1</v>
      </c>
      <c r="J8714">
        <v>2170</v>
      </c>
      <c r="K8714">
        <v>0</v>
      </c>
      <c r="L8714">
        <v>1302</v>
      </c>
    </row>
    <row r="8715" spans="1:12" x14ac:dyDescent="0.25">
      <c r="A8715" t="str">
        <f t="shared" si="1898"/>
        <v>89301000</v>
      </c>
      <c r="B8715" t="str">
        <f t="shared" si="1891"/>
        <v>78051000</v>
      </c>
      <c r="C8715" t="str">
        <f t="shared" si="1895"/>
        <v>78051017</v>
      </c>
      <c r="D8715" t="str">
        <f t="shared" si="1896"/>
        <v>810</v>
      </c>
      <c r="E8715" t="str">
        <f t="shared" si="1894"/>
        <v>89301062</v>
      </c>
      <c r="F8715" t="str">
        <f>"7659215773"</f>
        <v>7659215773</v>
      </c>
      <c r="G8715" s="1">
        <v>44825</v>
      </c>
      <c r="H8715" t="str">
        <f t="shared" si="1897"/>
        <v>89615</v>
      </c>
      <c r="I8715">
        <v>1</v>
      </c>
      <c r="J8715">
        <v>2170</v>
      </c>
      <c r="K8715">
        <v>0</v>
      </c>
      <c r="L8715">
        <v>1302</v>
      </c>
    </row>
    <row r="8716" spans="1:12" x14ac:dyDescent="0.25">
      <c r="A8716" t="str">
        <f t="shared" si="1898"/>
        <v>89301000</v>
      </c>
      <c r="B8716" t="str">
        <f t="shared" si="1891"/>
        <v>78051000</v>
      </c>
      <c r="C8716" t="str">
        <f t="shared" si="1895"/>
        <v>78051017</v>
      </c>
      <c r="D8716" t="str">
        <f t="shared" si="1896"/>
        <v>810</v>
      </c>
      <c r="E8716" t="str">
        <f t="shared" si="1894"/>
        <v>89301062</v>
      </c>
      <c r="F8716" t="str">
        <f>"525608081"</f>
        <v>525608081</v>
      </c>
      <c r="G8716" s="1">
        <v>44825</v>
      </c>
      <c r="H8716" t="str">
        <f t="shared" si="1897"/>
        <v>89615</v>
      </c>
      <c r="I8716">
        <v>1</v>
      </c>
      <c r="J8716">
        <v>2170</v>
      </c>
      <c r="K8716">
        <v>0</v>
      </c>
      <c r="L8716">
        <v>1302</v>
      </c>
    </row>
    <row r="8717" spans="1:12" x14ac:dyDescent="0.25">
      <c r="A8717" t="str">
        <f t="shared" si="1898"/>
        <v>89301000</v>
      </c>
      <c r="B8717" t="str">
        <f t="shared" si="1891"/>
        <v>78051000</v>
      </c>
      <c r="C8717" t="str">
        <f t="shared" si="1895"/>
        <v>78051017</v>
      </c>
      <c r="D8717" t="str">
        <f t="shared" si="1896"/>
        <v>810</v>
      </c>
      <c r="E8717" t="str">
        <f t="shared" si="1894"/>
        <v>89301062</v>
      </c>
      <c r="F8717" t="str">
        <f>"8358215316"</f>
        <v>8358215316</v>
      </c>
      <c r="G8717" s="1">
        <v>44825</v>
      </c>
      <c r="H8717" t="str">
        <f t="shared" si="1897"/>
        <v>89615</v>
      </c>
      <c r="I8717">
        <v>1</v>
      </c>
      <c r="J8717">
        <v>2170</v>
      </c>
      <c r="K8717">
        <v>0</v>
      </c>
      <c r="L8717">
        <v>1302</v>
      </c>
    </row>
    <row r="8718" spans="1:12" x14ac:dyDescent="0.25">
      <c r="A8718" t="str">
        <f t="shared" si="1898"/>
        <v>89301000</v>
      </c>
      <c r="B8718" t="str">
        <f t="shared" si="1891"/>
        <v>78051000</v>
      </c>
      <c r="C8718" t="str">
        <f t="shared" si="1895"/>
        <v>78051017</v>
      </c>
      <c r="D8718" t="str">
        <f t="shared" si="1896"/>
        <v>810</v>
      </c>
      <c r="E8718" t="str">
        <f t="shared" si="1894"/>
        <v>89301062</v>
      </c>
      <c r="F8718" t="str">
        <f>"6704130422"</f>
        <v>6704130422</v>
      </c>
      <c r="G8718" s="1">
        <v>44831</v>
      </c>
      <c r="H8718" t="str">
        <f t="shared" si="1897"/>
        <v>89615</v>
      </c>
      <c r="I8718">
        <v>1</v>
      </c>
      <c r="J8718">
        <v>2170</v>
      </c>
      <c r="K8718">
        <v>0</v>
      </c>
      <c r="L8718">
        <v>1302</v>
      </c>
    </row>
    <row r="8719" spans="1:12" x14ac:dyDescent="0.25">
      <c r="A8719" t="str">
        <f t="shared" si="1898"/>
        <v>89301000</v>
      </c>
      <c r="B8719" t="str">
        <f t="shared" si="1891"/>
        <v>78051000</v>
      </c>
      <c r="C8719" t="str">
        <f t="shared" si="1895"/>
        <v>78051017</v>
      </c>
      <c r="D8719" t="str">
        <f t="shared" si="1896"/>
        <v>810</v>
      </c>
      <c r="E8719" t="str">
        <f t="shared" si="1894"/>
        <v>89301062</v>
      </c>
      <c r="F8719" t="str">
        <f>"7403184470"</f>
        <v>7403184470</v>
      </c>
      <c r="G8719" s="1">
        <v>44831</v>
      </c>
      <c r="H8719" t="str">
        <f t="shared" si="1897"/>
        <v>89615</v>
      </c>
      <c r="I8719">
        <v>1</v>
      </c>
      <c r="J8719">
        <v>2170</v>
      </c>
      <c r="K8719">
        <v>0</v>
      </c>
      <c r="L8719">
        <v>1302</v>
      </c>
    </row>
    <row r="8720" spans="1:12" x14ac:dyDescent="0.25">
      <c r="A8720" t="str">
        <f t="shared" si="1898"/>
        <v>89301000</v>
      </c>
      <c r="B8720" t="str">
        <f t="shared" si="1891"/>
        <v>78051000</v>
      </c>
      <c r="C8720" t="str">
        <f t="shared" si="1895"/>
        <v>78051017</v>
      </c>
      <c r="D8720" t="str">
        <f t="shared" si="1896"/>
        <v>810</v>
      </c>
      <c r="E8720" t="str">
        <f t="shared" si="1894"/>
        <v>89301062</v>
      </c>
      <c r="F8720" t="str">
        <f>"7359015334"</f>
        <v>7359015334</v>
      </c>
      <c r="G8720" s="1">
        <v>44831</v>
      </c>
      <c r="H8720" t="str">
        <f t="shared" si="1897"/>
        <v>89615</v>
      </c>
      <c r="I8720">
        <v>1</v>
      </c>
      <c r="J8720">
        <v>2170</v>
      </c>
      <c r="K8720">
        <v>0</v>
      </c>
      <c r="L8720">
        <v>1302</v>
      </c>
    </row>
    <row r="8721" spans="1:12" x14ac:dyDescent="0.25">
      <c r="A8721" t="str">
        <f t="shared" si="1898"/>
        <v>89301000</v>
      </c>
      <c r="B8721" t="str">
        <f t="shared" si="1891"/>
        <v>78051000</v>
      </c>
      <c r="C8721" t="str">
        <f t="shared" si="1895"/>
        <v>78051017</v>
      </c>
      <c r="D8721" t="str">
        <f t="shared" si="1896"/>
        <v>810</v>
      </c>
      <c r="E8721" t="str">
        <f t="shared" si="1894"/>
        <v>89301062</v>
      </c>
      <c r="F8721" t="str">
        <f>"5853181213"</f>
        <v>5853181213</v>
      </c>
      <c r="G8721" s="1">
        <v>44831</v>
      </c>
      <c r="H8721" t="str">
        <f t="shared" si="1897"/>
        <v>89615</v>
      </c>
      <c r="I8721">
        <v>1</v>
      </c>
      <c r="J8721">
        <v>2170</v>
      </c>
      <c r="K8721">
        <v>0</v>
      </c>
      <c r="L8721">
        <v>1302</v>
      </c>
    </row>
    <row r="8722" spans="1:12" x14ac:dyDescent="0.25">
      <c r="A8722" t="str">
        <f t="shared" si="1898"/>
        <v>89301000</v>
      </c>
      <c r="B8722" t="str">
        <f t="shared" si="1891"/>
        <v>78051000</v>
      </c>
      <c r="C8722" t="str">
        <f t="shared" si="1895"/>
        <v>78051017</v>
      </c>
      <c r="D8722" t="str">
        <f t="shared" si="1896"/>
        <v>810</v>
      </c>
      <c r="E8722" t="str">
        <f t="shared" si="1894"/>
        <v>89301062</v>
      </c>
      <c r="F8722" t="str">
        <f>"6952075779"</f>
        <v>6952075779</v>
      </c>
      <c r="G8722" s="1">
        <v>44831</v>
      </c>
      <c r="H8722" t="str">
        <f t="shared" si="1897"/>
        <v>89615</v>
      </c>
      <c r="I8722">
        <v>1</v>
      </c>
      <c r="J8722">
        <v>2170</v>
      </c>
      <c r="K8722">
        <v>0</v>
      </c>
      <c r="L8722">
        <v>1302</v>
      </c>
    </row>
    <row r="8723" spans="1:12" x14ac:dyDescent="0.25">
      <c r="A8723" t="str">
        <f t="shared" si="1898"/>
        <v>89301000</v>
      </c>
      <c r="B8723" t="str">
        <f t="shared" si="1891"/>
        <v>78051000</v>
      </c>
      <c r="C8723" t="str">
        <f t="shared" si="1895"/>
        <v>78051017</v>
      </c>
      <c r="D8723" t="str">
        <f t="shared" si="1896"/>
        <v>810</v>
      </c>
      <c r="E8723" t="str">
        <f t="shared" si="1894"/>
        <v>89301062</v>
      </c>
      <c r="F8723" t="str">
        <f>"5910031457"</f>
        <v>5910031457</v>
      </c>
      <c r="G8723" s="1">
        <v>44831</v>
      </c>
      <c r="H8723" t="str">
        <f t="shared" si="1897"/>
        <v>89615</v>
      </c>
      <c r="I8723">
        <v>1</v>
      </c>
      <c r="J8723">
        <v>2170</v>
      </c>
      <c r="K8723">
        <v>0</v>
      </c>
      <c r="L8723">
        <v>1302</v>
      </c>
    </row>
    <row r="8724" spans="1:12" x14ac:dyDescent="0.25">
      <c r="A8724" t="str">
        <f t="shared" si="1898"/>
        <v>89301000</v>
      </c>
      <c r="B8724" t="str">
        <f t="shared" si="1891"/>
        <v>78051000</v>
      </c>
      <c r="C8724" t="str">
        <f t="shared" si="1895"/>
        <v>78051017</v>
      </c>
      <c r="D8724" t="str">
        <f t="shared" si="1896"/>
        <v>810</v>
      </c>
      <c r="E8724" t="str">
        <f t="shared" si="1894"/>
        <v>89301062</v>
      </c>
      <c r="F8724" t="str">
        <f>"6855090088"</f>
        <v>6855090088</v>
      </c>
      <c r="G8724" s="1">
        <v>44831</v>
      </c>
      <c r="H8724" t="str">
        <f t="shared" si="1897"/>
        <v>89615</v>
      </c>
      <c r="I8724">
        <v>1</v>
      </c>
      <c r="J8724">
        <v>2170</v>
      </c>
      <c r="K8724">
        <v>0</v>
      </c>
      <c r="L8724">
        <v>1302</v>
      </c>
    </row>
    <row r="8725" spans="1:12" x14ac:dyDescent="0.25">
      <c r="A8725" t="str">
        <f t="shared" si="1898"/>
        <v>89301000</v>
      </c>
      <c r="B8725" t="str">
        <f>"89345401"</f>
        <v>89345401</v>
      </c>
      <c r="C8725" t="str">
        <f>"89345401"</f>
        <v>89345401</v>
      </c>
      <c r="D8725" t="str">
        <f>"809"</f>
        <v>809</v>
      </c>
      <c r="E8725" t="str">
        <f>"89301037"</f>
        <v>89301037</v>
      </c>
      <c r="F8725" t="str">
        <f>"7854135410"</f>
        <v>7854135410</v>
      </c>
      <c r="G8725" s="1">
        <v>44806</v>
      </c>
      <c r="H8725" t="str">
        <f>"89517"</f>
        <v>89517</v>
      </c>
      <c r="I8725">
        <v>1</v>
      </c>
      <c r="J8725">
        <v>970</v>
      </c>
      <c r="K8725">
        <v>0</v>
      </c>
      <c r="L8725">
        <v>1358</v>
      </c>
    </row>
    <row r="8726" spans="1:12" x14ac:dyDescent="0.25">
      <c r="A8726" t="str">
        <f t="shared" si="1898"/>
        <v>89301000</v>
      </c>
      <c r="B8726" t="str">
        <f t="shared" ref="B8726:B8738" si="1899">"91866000"</f>
        <v>91866000</v>
      </c>
      <c r="C8726" t="str">
        <f t="shared" ref="C8726:C8738" si="1900">"91866313"</f>
        <v>91866313</v>
      </c>
      <c r="D8726" t="str">
        <f t="shared" ref="D8726:D8738" si="1901">"802"</f>
        <v>802</v>
      </c>
      <c r="E8726" t="str">
        <f>"89301162"</f>
        <v>89301162</v>
      </c>
      <c r="F8726" t="str">
        <f>"5557071311"</f>
        <v>5557071311</v>
      </c>
      <c r="G8726" s="1">
        <v>44826</v>
      </c>
      <c r="H8726" t="str">
        <f>"82041"</f>
        <v>82041</v>
      </c>
      <c r="I8726">
        <v>1</v>
      </c>
      <c r="J8726">
        <v>1090</v>
      </c>
      <c r="K8726">
        <v>0</v>
      </c>
      <c r="L8726">
        <v>991.9</v>
      </c>
    </row>
    <row r="8727" spans="1:12" x14ac:dyDescent="0.25">
      <c r="A8727" t="str">
        <f t="shared" si="1898"/>
        <v>89301000</v>
      </c>
      <c r="B8727" t="str">
        <f t="shared" si="1899"/>
        <v>91866000</v>
      </c>
      <c r="C8727" t="str">
        <f t="shared" si="1900"/>
        <v>91866313</v>
      </c>
      <c r="D8727" t="str">
        <f t="shared" si="1901"/>
        <v>802</v>
      </c>
      <c r="E8727" t="str">
        <f>"89301162"</f>
        <v>89301162</v>
      </c>
      <c r="F8727" t="str">
        <f>"5557071311"</f>
        <v>5557071311</v>
      </c>
      <c r="G8727" s="1">
        <v>44826</v>
      </c>
      <c r="H8727" t="str">
        <f>"82225"</f>
        <v>82225</v>
      </c>
      <c r="I8727">
        <v>1</v>
      </c>
      <c r="J8727">
        <v>663</v>
      </c>
      <c r="K8727">
        <v>0</v>
      </c>
      <c r="L8727">
        <v>603.33000000000004</v>
      </c>
    </row>
    <row r="8728" spans="1:12" x14ac:dyDescent="0.25">
      <c r="A8728" t="str">
        <f t="shared" si="1898"/>
        <v>89301000</v>
      </c>
      <c r="B8728" t="str">
        <f t="shared" si="1899"/>
        <v>91866000</v>
      </c>
      <c r="C8728" t="str">
        <f t="shared" si="1900"/>
        <v>91866313</v>
      </c>
      <c r="D8728" t="str">
        <f t="shared" si="1901"/>
        <v>802</v>
      </c>
      <c r="E8728" t="str">
        <f>"89301162"</f>
        <v>89301162</v>
      </c>
      <c r="F8728" t="str">
        <f>"5557071311"</f>
        <v>5557071311</v>
      </c>
      <c r="G8728" s="1">
        <v>44826</v>
      </c>
      <c r="H8728" t="str">
        <f>"82034"</f>
        <v>82034</v>
      </c>
      <c r="I8728">
        <v>1</v>
      </c>
      <c r="J8728">
        <v>348</v>
      </c>
      <c r="K8728">
        <v>0</v>
      </c>
      <c r="L8728">
        <v>316.68</v>
      </c>
    </row>
    <row r="8729" spans="1:12" x14ac:dyDescent="0.25">
      <c r="A8729" t="str">
        <f t="shared" si="1898"/>
        <v>89301000</v>
      </c>
      <c r="B8729" t="str">
        <f t="shared" si="1899"/>
        <v>91866000</v>
      </c>
      <c r="C8729" t="str">
        <f t="shared" si="1900"/>
        <v>91866313</v>
      </c>
      <c r="D8729" t="str">
        <f t="shared" si="1901"/>
        <v>802</v>
      </c>
      <c r="E8729" t="str">
        <f t="shared" ref="E8729:E8736" si="1902">"89301109"</f>
        <v>89301109</v>
      </c>
      <c r="F8729" t="str">
        <f t="shared" ref="F8729:F8736" si="1903">"0612173232"</f>
        <v>0612173232</v>
      </c>
      <c r="G8729" s="1">
        <v>44833</v>
      </c>
      <c r="H8729" t="str">
        <f>"97111"</f>
        <v>97111</v>
      </c>
      <c r="I8729">
        <v>1</v>
      </c>
      <c r="J8729">
        <v>18</v>
      </c>
      <c r="K8729">
        <v>0</v>
      </c>
      <c r="L8729">
        <v>16.38</v>
      </c>
    </row>
    <row r="8730" spans="1:12" x14ac:dyDescent="0.25">
      <c r="A8730" t="str">
        <f t="shared" si="1898"/>
        <v>89301000</v>
      </c>
      <c r="B8730" t="str">
        <f t="shared" si="1899"/>
        <v>91866000</v>
      </c>
      <c r="C8730" t="str">
        <f t="shared" si="1900"/>
        <v>91866313</v>
      </c>
      <c r="D8730" t="str">
        <f t="shared" si="1901"/>
        <v>802</v>
      </c>
      <c r="E8730" t="str">
        <f t="shared" si="1902"/>
        <v>89301109</v>
      </c>
      <c r="F8730" t="str">
        <f t="shared" si="1903"/>
        <v>0612173232</v>
      </c>
      <c r="G8730" s="1">
        <v>44833</v>
      </c>
      <c r="H8730" t="str">
        <f t="shared" ref="H8730:H8736" si="1904">"82079"</f>
        <v>82079</v>
      </c>
      <c r="I8730">
        <v>1</v>
      </c>
      <c r="J8730">
        <v>332</v>
      </c>
      <c r="K8730">
        <v>0</v>
      </c>
      <c r="L8730">
        <v>302.12</v>
      </c>
    </row>
    <row r="8731" spans="1:12" x14ac:dyDescent="0.25">
      <c r="A8731" t="str">
        <f t="shared" si="1898"/>
        <v>89301000</v>
      </c>
      <c r="B8731" t="str">
        <f t="shared" si="1899"/>
        <v>91866000</v>
      </c>
      <c r="C8731" t="str">
        <f t="shared" si="1900"/>
        <v>91866313</v>
      </c>
      <c r="D8731" t="str">
        <f t="shared" si="1901"/>
        <v>802</v>
      </c>
      <c r="E8731" t="str">
        <f t="shared" si="1902"/>
        <v>89301109</v>
      </c>
      <c r="F8731" t="str">
        <f t="shared" si="1903"/>
        <v>0612173232</v>
      </c>
      <c r="G8731" s="1">
        <v>44833</v>
      </c>
      <c r="H8731" t="str">
        <f t="shared" si="1904"/>
        <v>82079</v>
      </c>
      <c r="I8731">
        <v>1</v>
      </c>
      <c r="J8731">
        <v>332</v>
      </c>
      <c r="K8731">
        <v>0</v>
      </c>
      <c r="L8731">
        <v>302.12</v>
      </c>
    </row>
    <row r="8732" spans="1:12" x14ac:dyDescent="0.25">
      <c r="A8732" t="str">
        <f t="shared" si="1898"/>
        <v>89301000</v>
      </c>
      <c r="B8732" t="str">
        <f t="shared" si="1899"/>
        <v>91866000</v>
      </c>
      <c r="C8732" t="str">
        <f t="shared" si="1900"/>
        <v>91866313</v>
      </c>
      <c r="D8732" t="str">
        <f t="shared" si="1901"/>
        <v>802</v>
      </c>
      <c r="E8732" t="str">
        <f t="shared" si="1902"/>
        <v>89301109</v>
      </c>
      <c r="F8732" t="str">
        <f t="shared" si="1903"/>
        <v>0612173232</v>
      </c>
      <c r="G8732" s="1">
        <v>44833</v>
      </c>
      <c r="H8732" t="str">
        <f t="shared" si="1904"/>
        <v>82079</v>
      </c>
      <c r="I8732">
        <v>1</v>
      </c>
      <c r="J8732">
        <v>332</v>
      </c>
      <c r="K8732">
        <v>0</v>
      </c>
      <c r="L8732">
        <v>302.12</v>
      </c>
    </row>
    <row r="8733" spans="1:12" x14ac:dyDescent="0.25">
      <c r="A8733" t="str">
        <f t="shared" si="1898"/>
        <v>89301000</v>
      </c>
      <c r="B8733" t="str">
        <f t="shared" si="1899"/>
        <v>91866000</v>
      </c>
      <c r="C8733" t="str">
        <f t="shared" si="1900"/>
        <v>91866313</v>
      </c>
      <c r="D8733" t="str">
        <f t="shared" si="1901"/>
        <v>802</v>
      </c>
      <c r="E8733" t="str">
        <f t="shared" si="1902"/>
        <v>89301109</v>
      </c>
      <c r="F8733" t="str">
        <f t="shared" si="1903"/>
        <v>0612173232</v>
      </c>
      <c r="G8733" s="1">
        <v>44834</v>
      </c>
      <c r="H8733" t="str">
        <f t="shared" si="1904"/>
        <v>82079</v>
      </c>
      <c r="I8733">
        <v>1</v>
      </c>
      <c r="J8733">
        <v>332</v>
      </c>
      <c r="K8733">
        <v>0</v>
      </c>
      <c r="L8733">
        <v>302.12</v>
      </c>
    </row>
    <row r="8734" spans="1:12" x14ac:dyDescent="0.25">
      <c r="A8734" t="str">
        <f t="shared" si="1898"/>
        <v>89301000</v>
      </c>
      <c r="B8734" t="str">
        <f t="shared" si="1899"/>
        <v>91866000</v>
      </c>
      <c r="C8734" t="str">
        <f t="shared" si="1900"/>
        <v>91866313</v>
      </c>
      <c r="D8734" t="str">
        <f t="shared" si="1901"/>
        <v>802</v>
      </c>
      <c r="E8734" t="str">
        <f t="shared" si="1902"/>
        <v>89301109</v>
      </c>
      <c r="F8734" t="str">
        <f t="shared" si="1903"/>
        <v>0612173232</v>
      </c>
      <c r="G8734" s="1">
        <v>44833</v>
      </c>
      <c r="H8734" t="str">
        <f t="shared" si="1904"/>
        <v>82079</v>
      </c>
      <c r="I8734">
        <v>1</v>
      </c>
      <c r="J8734">
        <v>332</v>
      </c>
      <c r="K8734">
        <v>0</v>
      </c>
      <c r="L8734">
        <v>302.12</v>
      </c>
    </row>
    <row r="8735" spans="1:12" x14ac:dyDescent="0.25">
      <c r="A8735" t="str">
        <f t="shared" si="1898"/>
        <v>89301000</v>
      </c>
      <c r="B8735" t="str">
        <f t="shared" si="1899"/>
        <v>91866000</v>
      </c>
      <c r="C8735" t="str">
        <f t="shared" si="1900"/>
        <v>91866313</v>
      </c>
      <c r="D8735" t="str">
        <f t="shared" si="1901"/>
        <v>802</v>
      </c>
      <c r="E8735" t="str">
        <f t="shared" si="1902"/>
        <v>89301109</v>
      </c>
      <c r="F8735" t="str">
        <f t="shared" si="1903"/>
        <v>0612173232</v>
      </c>
      <c r="G8735" s="1">
        <v>44833</v>
      </c>
      <c r="H8735" t="str">
        <f t="shared" si="1904"/>
        <v>82079</v>
      </c>
      <c r="I8735">
        <v>1</v>
      </c>
      <c r="J8735">
        <v>332</v>
      </c>
      <c r="K8735">
        <v>0</v>
      </c>
      <c r="L8735">
        <v>302.12</v>
      </c>
    </row>
    <row r="8736" spans="1:12" x14ac:dyDescent="0.25">
      <c r="A8736" t="str">
        <f t="shared" si="1898"/>
        <v>89301000</v>
      </c>
      <c r="B8736" t="str">
        <f t="shared" si="1899"/>
        <v>91866000</v>
      </c>
      <c r="C8736" t="str">
        <f t="shared" si="1900"/>
        <v>91866313</v>
      </c>
      <c r="D8736" t="str">
        <f t="shared" si="1901"/>
        <v>802</v>
      </c>
      <c r="E8736" t="str">
        <f t="shared" si="1902"/>
        <v>89301109</v>
      </c>
      <c r="F8736" t="str">
        <f t="shared" si="1903"/>
        <v>0612173232</v>
      </c>
      <c r="G8736" s="1">
        <v>44833</v>
      </c>
      <c r="H8736" t="str">
        <f t="shared" si="1904"/>
        <v>82079</v>
      </c>
      <c r="I8736">
        <v>1</v>
      </c>
      <c r="J8736">
        <v>332</v>
      </c>
      <c r="K8736">
        <v>0</v>
      </c>
      <c r="L8736">
        <v>302.12</v>
      </c>
    </row>
    <row r="8737" spans="1:12" x14ac:dyDescent="0.25">
      <c r="A8737" t="str">
        <f t="shared" si="1898"/>
        <v>89301000</v>
      </c>
      <c r="B8737" t="str">
        <f t="shared" si="1899"/>
        <v>91866000</v>
      </c>
      <c r="C8737" t="str">
        <f t="shared" si="1900"/>
        <v>91866313</v>
      </c>
      <c r="D8737" t="str">
        <f t="shared" si="1901"/>
        <v>802</v>
      </c>
      <c r="E8737" t="str">
        <f>"89301101"</f>
        <v>89301101</v>
      </c>
      <c r="F8737" t="str">
        <f>"1455211285"</f>
        <v>1455211285</v>
      </c>
      <c r="G8737" s="1">
        <v>44812</v>
      </c>
      <c r="H8737" t="str">
        <f>"82147"</f>
        <v>82147</v>
      </c>
      <c r="I8737">
        <v>3</v>
      </c>
      <c r="J8737">
        <v>714</v>
      </c>
      <c r="K8737">
        <v>0</v>
      </c>
      <c r="L8737">
        <v>649.74</v>
      </c>
    </row>
    <row r="8738" spans="1:12" x14ac:dyDescent="0.25">
      <c r="A8738" t="str">
        <f t="shared" si="1898"/>
        <v>89301000</v>
      </c>
      <c r="B8738" t="str">
        <f t="shared" si="1899"/>
        <v>91866000</v>
      </c>
      <c r="C8738" t="str">
        <f t="shared" si="1900"/>
        <v>91866313</v>
      </c>
      <c r="D8738" t="str">
        <f t="shared" si="1901"/>
        <v>802</v>
      </c>
      <c r="E8738" t="str">
        <f>"89301101"</f>
        <v>89301101</v>
      </c>
      <c r="F8738" t="str">
        <f>"1455211285"</f>
        <v>1455211285</v>
      </c>
      <c r="G8738" s="1">
        <v>44812</v>
      </c>
      <c r="H8738" t="str">
        <f>"82147"</f>
        <v>82147</v>
      </c>
      <c r="I8738">
        <v>9</v>
      </c>
      <c r="J8738">
        <v>2142</v>
      </c>
      <c r="K8738">
        <v>0</v>
      </c>
      <c r="L8738">
        <v>1949.22</v>
      </c>
    </row>
    <row r="8739" spans="1:12" x14ac:dyDescent="0.25">
      <c r="A8739" t="str">
        <f t="shared" si="1898"/>
        <v>89301000</v>
      </c>
      <c r="B8739" t="str">
        <f>"65547000"</f>
        <v>65547000</v>
      </c>
      <c r="C8739" t="str">
        <f>"65547001"</f>
        <v>65547001</v>
      </c>
      <c r="D8739" t="str">
        <f>"810"</f>
        <v>810</v>
      </c>
      <c r="E8739" t="str">
        <f>"89301102"</f>
        <v>89301102</v>
      </c>
      <c r="F8739" t="str">
        <f>"0607176207"</f>
        <v>0607176207</v>
      </c>
      <c r="G8739" s="1">
        <v>44821</v>
      </c>
      <c r="H8739" t="str">
        <f>"89725"</f>
        <v>89725</v>
      </c>
      <c r="I8739">
        <v>1</v>
      </c>
      <c r="J8739">
        <v>2839</v>
      </c>
      <c r="K8739">
        <v>0</v>
      </c>
      <c r="L8739">
        <v>1703.4</v>
      </c>
    </row>
    <row r="8740" spans="1:12" x14ac:dyDescent="0.25">
      <c r="A8740" t="str">
        <f t="shared" si="1898"/>
        <v>89301000</v>
      </c>
      <c r="B8740" t="str">
        <f>"65547000"</f>
        <v>65547000</v>
      </c>
      <c r="C8740" t="str">
        <f>"65547001"</f>
        <v>65547001</v>
      </c>
      <c r="D8740" t="str">
        <f>"810"</f>
        <v>810</v>
      </c>
      <c r="E8740" t="str">
        <f>"89301102"</f>
        <v>89301102</v>
      </c>
      <c r="F8740" t="str">
        <f>"0607176207"</f>
        <v>0607176207</v>
      </c>
      <c r="G8740" s="1">
        <v>44821</v>
      </c>
      <c r="H8740" t="str">
        <f>"89713"</f>
        <v>89713</v>
      </c>
      <c r="I8740">
        <v>1</v>
      </c>
      <c r="J8740">
        <v>5362</v>
      </c>
      <c r="K8740">
        <v>0</v>
      </c>
      <c r="L8740">
        <v>3217.2</v>
      </c>
    </row>
    <row r="8741" spans="1:12" x14ac:dyDescent="0.25">
      <c r="A8741" t="str">
        <f t="shared" si="1898"/>
        <v>89301000</v>
      </c>
      <c r="B8741" t="str">
        <f>"72077000"</f>
        <v>72077000</v>
      </c>
      <c r="C8741" t="str">
        <f>"72077001"</f>
        <v>72077001</v>
      </c>
      <c r="D8741" t="str">
        <f>"813"</f>
        <v>813</v>
      </c>
      <c r="E8741" t="str">
        <f>"89301152"</f>
        <v>89301152</v>
      </c>
      <c r="F8741" t="str">
        <f>"7558045352"</f>
        <v>7558045352</v>
      </c>
      <c r="G8741" s="1">
        <v>44705</v>
      </c>
      <c r="H8741" t="str">
        <f>"91219"</f>
        <v>91219</v>
      </c>
      <c r="I8741">
        <v>3</v>
      </c>
      <c r="J8741">
        <v>1026</v>
      </c>
      <c r="K8741">
        <v>0</v>
      </c>
      <c r="L8741">
        <v>800.28</v>
      </c>
    </row>
    <row r="8742" spans="1:12" x14ac:dyDescent="0.25">
      <c r="A8742" t="str">
        <f t="shared" si="1898"/>
        <v>89301000</v>
      </c>
      <c r="B8742" t="str">
        <f>"72077000"</f>
        <v>72077000</v>
      </c>
      <c r="C8742" t="str">
        <f>"72077001"</f>
        <v>72077001</v>
      </c>
      <c r="D8742" t="str">
        <f>"813"</f>
        <v>813</v>
      </c>
      <c r="E8742" t="str">
        <f>"89301152"</f>
        <v>89301152</v>
      </c>
      <c r="F8742" t="str">
        <f>"7558045352"</f>
        <v>7558045352</v>
      </c>
      <c r="G8742" s="1">
        <v>44705</v>
      </c>
      <c r="H8742" t="str">
        <f>"91465"</f>
        <v>91465</v>
      </c>
      <c r="I8742">
        <v>1</v>
      </c>
      <c r="J8742">
        <v>1404</v>
      </c>
      <c r="K8742">
        <v>0</v>
      </c>
      <c r="L8742">
        <v>1095.1199999999999</v>
      </c>
    </row>
    <row r="8743" spans="1:12" x14ac:dyDescent="0.25">
      <c r="A8743" t="str">
        <f t="shared" si="1898"/>
        <v>89301000</v>
      </c>
      <c r="B8743" t="str">
        <f>"72077000"</f>
        <v>72077000</v>
      </c>
      <c r="C8743" t="str">
        <f>"72077001"</f>
        <v>72077001</v>
      </c>
      <c r="D8743" t="str">
        <f>"813"</f>
        <v>813</v>
      </c>
      <c r="E8743" t="str">
        <f>"89301152"</f>
        <v>89301152</v>
      </c>
      <c r="F8743" t="str">
        <f>"7558045352"</f>
        <v>7558045352</v>
      </c>
      <c r="G8743" s="1">
        <v>44707</v>
      </c>
      <c r="H8743" t="str">
        <f>"91197"</f>
        <v>91197</v>
      </c>
      <c r="I8743">
        <v>1</v>
      </c>
      <c r="J8743">
        <v>1046</v>
      </c>
      <c r="K8743">
        <v>0</v>
      </c>
      <c r="L8743">
        <v>815.88</v>
      </c>
    </row>
    <row r="8744" spans="1:12" x14ac:dyDescent="0.25">
      <c r="A8744" t="str">
        <f t="shared" si="1898"/>
        <v>89301000</v>
      </c>
      <c r="B8744" t="str">
        <f>"91950000"</f>
        <v>91950000</v>
      </c>
      <c r="C8744" t="str">
        <f>"91950028"</f>
        <v>91950028</v>
      </c>
      <c r="D8744" t="str">
        <f>"809"</f>
        <v>809</v>
      </c>
      <c r="E8744" t="str">
        <f>"89301212"</f>
        <v>89301212</v>
      </c>
      <c r="F8744" t="str">
        <f>"5461282651"</f>
        <v>5461282651</v>
      </c>
      <c r="G8744" s="1">
        <v>44830</v>
      </c>
      <c r="H8744" t="str">
        <f>"89131"</f>
        <v>89131</v>
      </c>
      <c r="I8744">
        <v>1</v>
      </c>
      <c r="J8744">
        <v>187</v>
      </c>
      <c r="K8744">
        <v>0</v>
      </c>
      <c r="L8744">
        <v>261.8</v>
      </c>
    </row>
    <row r="8745" spans="1:12" x14ac:dyDescent="0.25">
      <c r="A8745" t="str">
        <f t="shared" si="1898"/>
        <v>89301000</v>
      </c>
      <c r="B8745" t="str">
        <f>"91950000"</f>
        <v>91950000</v>
      </c>
      <c r="C8745" t="str">
        <f>"91950028"</f>
        <v>91950028</v>
      </c>
      <c r="D8745" t="str">
        <f>"809"</f>
        <v>809</v>
      </c>
      <c r="E8745" t="str">
        <f>"89301212"</f>
        <v>89301212</v>
      </c>
      <c r="F8745" t="str">
        <f>"5461282651"</f>
        <v>5461282651</v>
      </c>
      <c r="G8745" s="1">
        <v>44830</v>
      </c>
      <c r="H8745" t="str">
        <f>"89514"</f>
        <v>89514</v>
      </c>
      <c r="I8745">
        <v>1</v>
      </c>
      <c r="J8745">
        <v>371</v>
      </c>
      <c r="K8745">
        <v>0</v>
      </c>
      <c r="L8745">
        <v>519.4</v>
      </c>
    </row>
    <row r="8746" spans="1:12" x14ac:dyDescent="0.25">
      <c r="A8746" t="str">
        <f t="shared" si="1898"/>
        <v>89301000</v>
      </c>
      <c r="B8746" t="str">
        <f>"91950000"</f>
        <v>91950000</v>
      </c>
      <c r="C8746" t="str">
        <f>"91950028"</f>
        <v>91950028</v>
      </c>
      <c r="D8746" t="str">
        <f>"809"</f>
        <v>809</v>
      </c>
      <c r="E8746" t="str">
        <f>"89301212"</f>
        <v>89301212</v>
      </c>
      <c r="F8746" t="str">
        <f>"5461282651"</f>
        <v>5461282651</v>
      </c>
      <c r="G8746" s="1">
        <v>44830</v>
      </c>
      <c r="H8746" t="str">
        <f>"89513"</f>
        <v>89513</v>
      </c>
      <c r="I8746">
        <v>1</v>
      </c>
      <c r="J8746">
        <v>371</v>
      </c>
      <c r="K8746">
        <v>0</v>
      </c>
      <c r="L8746">
        <v>519.4</v>
      </c>
    </row>
    <row r="8747" spans="1:12" x14ac:dyDescent="0.25">
      <c r="A8747" t="str">
        <f t="shared" si="1898"/>
        <v>89301000</v>
      </c>
      <c r="B8747" t="str">
        <f>"91950000"</f>
        <v>91950000</v>
      </c>
      <c r="C8747" t="str">
        <f>"91950028"</f>
        <v>91950028</v>
      </c>
      <c r="D8747" t="str">
        <f>"809"</f>
        <v>809</v>
      </c>
      <c r="E8747" t="str">
        <f>"89301212"</f>
        <v>89301212</v>
      </c>
      <c r="F8747" t="str">
        <f>"5461282651"</f>
        <v>5461282651</v>
      </c>
      <c r="G8747" s="1">
        <v>44833</v>
      </c>
      <c r="H8747" t="str">
        <f>"89512"</f>
        <v>89512</v>
      </c>
      <c r="I8747">
        <v>1</v>
      </c>
      <c r="J8747">
        <v>277</v>
      </c>
      <c r="K8747">
        <v>0</v>
      </c>
      <c r="L8747">
        <v>387.8</v>
      </c>
    </row>
    <row r="8748" spans="1:12" x14ac:dyDescent="0.25">
      <c r="A8748" t="str">
        <f t="shared" si="1898"/>
        <v>89301000</v>
      </c>
      <c r="B8748" t="str">
        <f t="shared" ref="B8748:B8779" si="1905">"72077000"</f>
        <v>72077000</v>
      </c>
      <c r="C8748" t="str">
        <f t="shared" ref="C8748:C8779" si="1906">"72077001"</f>
        <v>72077001</v>
      </c>
      <c r="D8748" t="str">
        <f t="shared" ref="D8748:D8779" si="1907">"813"</f>
        <v>813</v>
      </c>
      <c r="E8748" t="str">
        <f t="shared" ref="E8748:E8779" si="1908">"89301152"</f>
        <v>89301152</v>
      </c>
      <c r="F8748" t="str">
        <f>"9552244856"</f>
        <v>9552244856</v>
      </c>
      <c r="G8748" s="1">
        <v>44820</v>
      </c>
      <c r="H8748" t="str">
        <f>"91197"</f>
        <v>91197</v>
      </c>
      <c r="I8748">
        <v>1</v>
      </c>
      <c r="J8748">
        <v>1046</v>
      </c>
      <c r="K8748">
        <v>0</v>
      </c>
      <c r="L8748">
        <v>815.88</v>
      </c>
    </row>
    <row r="8749" spans="1:12" x14ac:dyDescent="0.25">
      <c r="A8749" t="str">
        <f t="shared" si="1898"/>
        <v>89301000</v>
      </c>
      <c r="B8749" t="str">
        <f t="shared" si="1905"/>
        <v>72077000</v>
      </c>
      <c r="C8749" t="str">
        <f t="shared" si="1906"/>
        <v>72077001</v>
      </c>
      <c r="D8749" t="str">
        <f t="shared" si="1907"/>
        <v>813</v>
      </c>
      <c r="E8749" t="str">
        <f t="shared" si="1908"/>
        <v>89301152</v>
      </c>
      <c r="F8749" t="str">
        <f>"9552244856"</f>
        <v>9552244856</v>
      </c>
      <c r="G8749" s="1">
        <v>44826</v>
      </c>
      <c r="H8749" t="str">
        <f>"91465"</f>
        <v>91465</v>
      </c>
      <c r="I8749">
        <v>1</v>
      </c>
      <c r="J8749">
        <v>1404</v>
      </c>
      <c r="K8749">
        <v>0</v>
      </c>
      <c r="L8749">
        <v>1095.1199999999999</v>
      </c>
    </row>
    <row r="8750" spans="1:12" x14ac:dyDescent="0.25">
      <c r="A8750" t="str">
        <f t="shared" si="1898"/>
        <v>89301000</v>
      </c>
      <c r="B8750" t="str">
        <f t="shared" si="1905"/>
        <v>72077000</v>
      </c>
      <c r="C8750" t="str">
        <f t="shared" si="1906"/>
        <v>72077001</v>
      </c>
      <c r="D8750" t="str">
        <f t="shared" si="1907"/>
        <v>813</v>
      </c>
      <c r="E8750" t="str">
        <f t="shared" si="1908"/>
        <v>89301152</v>
      </c>
      <c r="F8750" t="str">
        <f>"470503435"</f>
        <v>470503435</v>
      </c>
      <c r="G8750" s="1">
        <v>44830</v>
      </c>
      <c r="H8750" t="str">
        <f>"91197"</f>
        <v>91197</v>
      </c>
      <c r="I8750">
        <v>1</v>
      </c>
      <c r="J8750">
        <v>1046</v>
      </c>
      <c r="K8750">
        <v>0</v>
      </c>
      <c r="L8750">
        <v>815.88</v>
      </c>
    </row>
    <row r="8751" spans="1:12" x14ac:dyDescent="0.25">
      <c r="A8751" t="str">
        <f t="shared" si="1898"/>
        <v>89301000</v>
      </c>
      <c r="B8751" t="str">
        <f t="shared" si="1905"/>
        <v>72077000</v>
      </c>
      <c r="C8751" t="str">
        <f t="shared" si="1906"/>
        <v>72077001</v>
      </c>
      <c r="D8751" t="str">
        <f t="shared" si="1907"/>
        <v>813</v>
      </c>
      <c r="E8751" t="str">
        <f t="shared" si="1908"/>
        <v>89301152</v>
      </c>
      <c r="F8751" t="str">
        <f>"470503435"</f>
        <v>470503435</v>
      </c>
      <c r="G8751" s="1">
        <v>44831</v>
      </c>
      <c r="H8751" t="str">
        <f>"91465"</f>
        <v>91465</v>
      </c>
      <c r="I8751">
        <v>1</v>
      </c>
      <c r="J8751">
        <v>1404</v>
      </c>
      <c r="K8751">
        <v>0</v>
      </c>
      <c r="L8751">
        <v>1095.1199999999999</v>
      </c>
    </row>
    <row r="8752" spans="1:12" x14ac:dyDescent="0.25">
      <c r="A8752" t="str">
        <f t="shared" si="1898"/>
        <v>89301000</v>
      </c>
      <c r="B8752" t="str">
        <f t="shared" si="1905"/>
        <v>72077000</v>
      </c>
      <c r="C8752" t="str">
        <f t="shared" si="1906"/>
        <v>72077001</v>
      </c>
      <c r="D8752" t="str">
        <f t="shared" si="1907"/>
        <v>813</v>
      </c>
      <c r="E8752" t="str">
        <f t="shared" si="1908"/>
        <v>89301152</v>
      </c>
      <c r="F8752" t="str">
        <f>"7812115333"</f>
        <v>7812115333</v>
      </c>
      <c r="G8752" s="1">
        <v>44820</v>
      </c>
      <c r="H8752" t="str">
        <f>"91197"</f>
        <v>91197</v>
      </c>
      <c r="I8752">
        <v>1</v>
      </c>
      <c r="J8752">
        <v>1046</v>
      </c>
      <c r="K8752">
        <v>0</v>
      </c>
      <c r="L8752">
        <v>815.88</v>
      </c>
    </row>
    <row r="8753" spans="1:12" x14ac:dyDescent="0.25">
      <c r="A8753" t="str">
        <f t="shared" si="1898"/>
        <v>89301000</v>
      </c>
      <c r="B8753" t="str">
        <f t="shared" si="1905"/>
        <v>72077000</v>
      </c>
      <c r="C8753" t="str">
        <f t="shared" si="1906"/>
        <v>72077001</v>
      </c>
      <c r="D8753" t="str">
        <f t="shared" si="1907"/>
        <v>813</v>
      </c>
      <c r="E8753" t="str">
        <f t="shared" si="1908"/>
        <v>89301152</v>
      </c>
      <c r="F8753" t="str">
        <f>"7812115333"</f>
        <v>7812115333</v>
      </c>
      <c r="G8753" s="1">
        <v>44826</v>
      </c>
      <c r="H8753" t="str">
        <f>"91465"</f>
        <v>91465</v>
      </c>
      <c r="I8753">
        <v>1</v>
      </c>
      <c r="J8753">
        <v>1404</v>
      </c>
      <c r="K8753">
        <v>0</v>
      </c>
      <c r="L8753">
        <v>1095.1199999999999</v>
      </c>
    </row>
    <row r="8754" spans="1:12" x14ac:dyDescent="0.25">
      <c r="A8754" t="str">
        <f t="shared" si="1898"/>
        <v>89301000</v>
      </c>
      <c r="B8754" t="str">
        <f t="shared" si="1905"/>
        <v>72077000</v>
      </c>
      <c r="C8754" t="str">
        <f t="shared" si="1906"/>
        <v>72077001</v>
      </c>
      <c r="D8754" t="str">
        <f t="shared" si="1907"/>
        <v>813</v>
      </c>
      <c r="E8754" t="str">
        <f t="shared" si="1908"/>
        <v>89301152</v>
      </c>
      <c r="F8754" t="str">
        <f t="shared" ref="F8754:F8759" si="1909">"7259075692"</f>
        <v>7259075692</v>
      </c>
      <c r="G8754" s="1">
        <v>44817</v>
      </c>
      <c r="H8754" t="str">
        <f>"91161"</f>
        <v>91161</v>
      </c>
      <c r="I8754">
        <v>1</v>
      </c>
      <c r="J8754">
        <v>177</v>
      </c>
      <c r="K8754">
        <v>0</v>
      </c>
      <c r="L8754">
        <v>138.06</v>
      </c>
    </row>
    <row r="8755" spans="1:12" x14ac:dyDescent="0.25">
      <c r="A8755" t="str">
        <f t="shared" si="1898"/>
        <v>89301000</v>
      </c>
      <c r="B8755" t="str">
        <f t="shared" si="1905"/>
        <v>72077000</v>
      </c>
      <c r="C8755" t="str">
        <f t="shared" si="1906"/>
        <v>72077001</v>
      </c>
      <c r="D8755" t="str">
        <f t="shared" si="1907"/>
        <v>813</v>
      </c>
      <c r="E8755" t="str">
        <f t="shared" si="1908"/>
        <v>89301152</v>
      </c>
      <c r="F8755" t="str">
        <f t="shared" si="1909"/>
        <v>7259075692</v>
      </c>
      <c r="G8755" s="1">
        <v>44817</v>
      </c>
      <c r="H8755" t="str">
        <f>"91159"</f>
        <v>91159</v>
      </c>
      <c r="I8755">
        <v>1</v>
      </c>
      <c r="J8755">
        <v>171</v>
      </c>
      <c r="K8755">
        <v>0</v>
      </c>
      <c r="L8755">
        <v>133.38</v>
      </c>
    </row>
    <row r="8756" spans="1:12" x14ac:dyDescent="0.25">
      <c r="A8756" t="str">
        <f t="shared" si="1898"/>
        <v>89301000</v>
      </c>
      <c r="B8756" t="str">
        <f t="shared" si="1905"/>
        <v>72077000</v>
      </c>
      <c r="C8756" t="str">
        <f t="shared" si="1906"/>
        <v>72077001</v>
      </c>
      <c r="D8756" t="str">
        <f t="shared" si="1907"/>
        <v>813</v>
      </c>
      <c r="E8756" t="str">
        <f t="shared" si="1908"/>
        <v>89301152</v>
      </c>
      <c r="F8756" t="str">
        <f t="shared" si="1909"/>
        <v>7259075692</v>
      </c>
      <c r="G8756" s="1">
        <v>44818</v>
      </c>
      <c r="H8756" t="str">
        <f>"91197"</f>
        <v>91197</v>
      </c>
      <c r="I8756">
        <v>1</v>
      </c>
      <c r="J8756">
        <v>1046</v>
      </c>
      <c r="K8756">
        <v>0</v>
      </c>
      <c r="L8756">
        <v>815.88</v>
      </c>
    </row>
    <row r="8757" spans="1:12" x14ac:dyDescent="0.25">
      <c r="A8757" t="str">
        <f t="shared" si="1898"/>
        <v>89301000</v>
      </c>
      <c r="B8757" t="str">
        <f t="shared" si="1905"/>
        <v>72077000</v>
      </c>
      <c r="C8757" t="str">
        <f t="shared" si="1906"/>
        <v>72077001</v>
      </c>
      <c r="D8757" t="str">
        <f t="shared" si="1907"/>
        <v>813</v>
      </c>
      <c r="E8757" t="str">
        <f t="shared" si="1908"/>
        <v>89301152</v>
      </c>
      <c r="F8757" t="str">
        <f t="shared" si="1909"/>
        <v>7259075692</v>
      </c>
      <c r="G8757" s="1">
        <v>44819</v>
      </c>
      <c r="H8757" t="str">
        <f>"91465"</f>
        <v>91465</v>
      </c>
      <c r="I8757">
        <v>1</v>
      </c>
      <c r="J8757">
        <v>1404</v>
      </c>
      <c r="K8757">
        <v>0</v>
      </c>
      <c r="L8757">
        <v>1095.1199999999999</v>
      </c>
    </row>
    <row r="8758" spans="1:12" x14ac:dyDescent="0.25">
      <c r="A8758" t="str">
        <f t="shared" si="1898"/>
        <v>89301000</v>
      </c>
      <c r="B8758" t="str">
        <f t="shared" si="1905"/>
        <v>72077000</v>
      </c>
      <c r="C8758" t="str">
        <f t="shared" si="1906"/>
        <v>72077001</v>
      </c>
      <c r="D8758" t="str">
        <f t="shared" si="1907"/>
        <v>813</v>
      </c>
      <c r="E8758" t="str">
        <f t="shared" si="1908"/>
        <v>89301152</v>
      </c>
      <c r="F8758" t="str">
        <f t="shared" si="1909"/>
        <v>7259075692</v>
      </c>
      <c r="G8758" s="1">
        <v>44823</v>
      </c>
      <c r="H8758" t="str">
        <f>"91363"</f>
        <v>91363</v>
      </c>
      <c r="I8758">
        <v>1</v>
      </c>
      <c r="J8758">
        <v>426</v>
      </c>
      <c r="K8758">
        <v>0</v>
      </c>
      <c r="L8758">
        <v>332.28</v>
      </c>
    </row>
    <row r="8759" spans="1:12" x14ac:dyDescent="0.25">
      <c r="A8759" t="str">
        <f t="shared" si="1898"/>
        <v>89301000</v>
      </c>
      <c r="B8759" t="str">
        <f t="shared" si="1905"/>
        <v>72077000</v>
      </c>
      <c r="C8759" t="str">
        <f t="shared" si="1906"/>
        <v>72077001</v>
      </c>
      <c r="D8759" t="str">
        <f t="shared" si="1907"/>
        <v>813</v>
      </c>
      <c r="E8759" t="str">
        <f t="shared" si="1908"/>
        <v>89301152</v>
      </c>
      <c r="F8759" t="str">
        <f t="shared" si="1909"/>
        <v>7259075692</v>
      </c>
      <c r="G8759" s="1">
        <v>44823</v>
      </c>
      <c r="H8759" t="str">
        <f>"91125"</f>
        <v>91125</v>
      </c>
      <c r="I8759">
        <v>1</v>
      </c>
      <c r="J8759">
        <v>255</v>
      </c>
      <c r="K8759">
        <v>0</v>
      </c>
      <c r="L8759">
        <v>198.9</v>
      </c>
    </row>
    <row r="8760" spans="1:12" x14ac:dyDescent="0.25">
      <c r="A8760" t="str">
        <f t="shared" si="1898"/>
        <v>89301000</v>
      </c>
      <c r="B8760" t="str">
        <f t="shared" si="1905"/>
        <v>72077000</v>
      </c>
      <c r="C8760" t="str">
        <f t="shared" si="1906"/>
        <v>72077001</v>
      </c>
      <c r="D8760" t="str">
        <f t="shared" si="1907"/>
        <v>813</v>
      </c>
      <c r="E8760" t="str">
        <f t="shared" si="1908"/>
        <v>89301152</v>
      </c>
      <c r="F8760" t="str">
        <f>"6906285342"</f>
        <v>6906285342</v>
      </c>
      <c r="G8760" s="1">
        <v>44827</v>
      </c>
      <c r="H8760" t="str">
        <f>"91171"</f>
        <v>91171</v>
      </c>
      <c r="I8760">
        <v>1</v>
      </c>
      <c r="J8760">
        <v>360</v>
      </c>
      <c r="K8760">
        <v>0</v>
      </c>
      <c r="L8760">
        <v>280.8</v>
      </c>
    </row>
    <row r="8761" spans="1:12" x14ac:dyDescent="0.25">
      <c r="A8761" t="str">
        <f t="shared" si="1898"/>
        <v>89301000</v>
      </c>
      <c r="B8761" t="str">
        <f t="shared" si="1905"/>
        <v>72077000</v>
      </c>
      <c r="C8761" t="str">
        <f t="shared" si="1906"/>
        <v>72077001</v>
      </c>
      <c r="D8761" t="str">
        <f t="shared" si="1907"/>
        <v>813</v>
      </c>
      <c r="E8761" t="str">
        <f t="shared" si="1908"/>
        <v>89301152</v>
      </c>
      <c r="F8761" t="str">
        <f>"9551286140"</f>
        <v>9551286140</v>
      </c>
      <c r="G8761" s="1">
        <v>44816</v>
      </c>
      <c r="H8761" t="str">
        <f>"91197"</f>
        <v>91197</v>
      </c>
      <c r="I8761">
        <v>1</v>
      </c>
      <c r="J8761">
        <v>1046</v>
      </c>
      <c r="K8761">
        <v>0</v>
      </c>
      <c r="L8761">
        <v>815.88</v>
      </c>
    </row>
    <row r="8762" spans="1:12" x14ac:dyDescent="0.25">
      <c r="A8762" t="str">
        <f t="shared" si="1898"/>
        <v>89301000</v>
      </c>
      <c r="B8762" t="str">
        <f t="shared" si="1905"/>
        <v>72077000</v>
      </c>
      <c r="C8762" t="str">
        <f t="shared" si="1906"/>
        <v>72077001</v>
      </c>
      <c r="D8762" t="str">
        <f t="shared" si="1907"/>
        <v>813</v>
      </c>
      <c r="E8762" t="str">
        <f t="shared" si="1908"/>
        <v>89301152</v>
      </c>
      <c r="F8762" t="str">
        <f>"9551286140"</f>
        <v>9551286140</v>
      </c>
      <c r="G8762" s="1">
        <v>44817</v>
      </c>
      <c r="H8762" t="str">
        <f>"91465"</f>
        <v>91465</v>
      </c>
      <c r="I8762">
        <v>1</v>
      </c>
      <c r="J8762">
        <v>1404</v>
      </c>
      <c r="K8762">
        <v>0</v>
      </c>
      <c r="L8762">
        <v>1095.1199999999999</v>
      </c>
    </row>
    <row r="8763" spans="1:12" x14ac:dyDescent="0.25">
      <c r="A8763" t="str">
        <f t="shared" si="1898"/>
        <v>89301000</v>
      </c>
      <c r="B8763" t="str">
        <f t="shared" si="1905"/>
        <v>72077000</v>
      </c>
      <c r="C8763" t="str">
        <f t="shared" si="1906"/>
        <v>72077001</v>
      </c>
      <c r="D8763" t="str">
        <f t="shared" si="1907"/>
        <v>813</v>
      </c>
      <c r="E8763" t="str">
        <f t="shared" si="1908"/>
        <v>89301152</v>
      </c>
      <c r="F8763" t="str">
        <f>"9252266067"</f>
        <v>9252266067</v>
      </c>
      <c r="G8763" s="1">
        <v>44809</v>
      </c>
      <c r="H8763" t="str">
        <f>"91197"</f>
        <v>91197</v>
      </c>
      <c r="I8763">
        <v>1</v>
      </c>
      <c r="J8763">
        <v>1046</v>
      </c>
      <c r="K8763">
        <v>0</v>
      </c>
      <c r="L8763">
        <v>815.88</v>
      </c>
    </row>
    <row r="8764" spans="1:12" x14ac:dyDescent="0.25">
      <c r="A8764" t="str">
        <f t="shared" si="1898"/>
        <v>89301000</v>
      </c>
      <c r="B8764" t="str">
        <f t="shared" si="1905"/>
        <v>72077000</v>
      </c>
      <c r="C8764" t="str">
        <f t="shared" si="1906"/>
        <v>72077001</v>
      </c>
      <c r="D8764" t="str">
        <f t="shared" si="1907"/>
        <v>813</v>
      </c>
      <c r="E8764" t="str">
        <f t="shared" si="1908"/>
        <v>89301152</v>
      </c>
      <c r="F8764" t="str">
        <f>"9252266067"</f>
        <v>9252266067</v>
      </c>
      <c r="G8764" s="1">
        <v>44810</v>
      </c>
      <c r="H8764" t="str">
        <f>"91465"</f>
        <v>91465</v>
      </c>
      <c r="I8764">
        <v>1</v>
      </c>
      <c r="J8764">
        <v>1404</v>
      </c>
      <c r="K8764">
        <v>0</v>
      </c>
      <c r="L8764">
        <v>1095.1199999999999</v>
      </c>
    </row>
    <row r="8765" spans="1:12" x14ac:dyDescent="0.25">
      <c r="A8765" t="str">
        <f t="shared" si="1898"/>
        <v>89301000</v>
      </c>
      <c r="B8765" t="str">
        <f t="shared" si="1905"/>
        <v>72077000</v>
      </c>
      <c r="C8765" t="str">
        <f t="shared" si="1906"/>
        <v>72077001</v>
      </c>
      <c r="D8765" t="str">
        <f t="shared" si="1907"/>
        <v>813</v>
      </c>
      <c r="E8765" t="str">
        <f t="shared" si="1908"/>
        <v>89301152</v>
      </c>
      <c r="F8765" t="str">
        <f>"6062281401"</f>
        <v>6062281401</v>
      </c>
      <c r="G8765" s="1">
        <v>44809</v>
      </c>
      <c r="H8765" t="str">
        <f>"91197"</f>
        <v>91197</v>
      </c>
      <c r="I8765">
        <v>1</v>
      </c>
      <c r="J8765">
        <v>1046</v>
      </c>
      <c r="K8765">
        <v>0</v>
      </c>
      <c r="L8765">
        <v>815.88</v>
      </c>
    </row>
    <row r="8766" spans="1:12" x14ac:dyDescent="0.25">
      <c r="A8766" t="str">
        <f t="shared" si="1898"/>
        <v>89301000</v>
      </c>
      <c r="B8766" t="str">
        <f t="shared" si="1905"/>
        <v>72077000</v>
      </c>
      <c r="C8766" t="str">
        <f t="shared" si="1906"/>
        <v>72077001</v>
      </c>
      <c r="D8766" t="str">
        <f t="shared" si="1907"/>
        <v>813</v>
      </c>
      <c r="E8766" t="str">
        <f t="shared" si="1908"/>
        <v>89301152</v>
      </c>
      <c r="F8766" t="str">
        <f>"6062281401"</f>
        <v>6062281401</v>
      </c>
      <c r="G8766" s="1">
        <v>44810</v>
      </c>
      <c r="H8766" t="str">
        <f>"91465"</f>
        <v>91465</v>
      </c>
      <c r="I8766">
        <v>1</v>
      </c>
      <c r="J8766">
        <v>1404</v>
      </c>
      <c r="K8766">
        <v>0</v>
      </c>
      <c r="L8766">
        <v>1095.1199999999999</v>
      </c>
    </row>
    <row r="8767" spans="1:12" x14ac:dyDescent="0.25">
      <c r="A8767" t="str">
        <f t="shared" si="1898"/>
        <v>89301000</v>
      </c>
      <c r="B8767" t="str">
        <f t="shared" si="1905"/>
        <v>72077000</v>
      </c>
      <c r="C8767" t="str">
        <f t="shared" si="1906"/>
        <v>72077001</v>
      </c>
      <c r="D8767" t="str">
        <f t="shared" si="1907"/>
        <v>813</v>
      </c>
      <c r="E8767" t="str">
        <f t="shared" si="1908"/>
        <v>89301152</v>
      </c>
      <c r="F8767" t="str">
        <f>"8810155772"</f>
        <v>8810155772</v>
      </c>
      <c r="G8767" s="1">
        <v>44809</v>
      </c>
      <c r="H8767" t="str">
        <f>"91197"</f>
        <v>91197</v>
      </c>
      <c r="I8767">
        <v>1</v>
      </c>
      <c r="J8767">
        <v>1046</v>
      </c>
      <c r="K8767">
        <v>0</v>
      </c>
      <c r="L8767">
        <v>815.88</v>
      </c>
    </row>
    <row r="8768" spans="1:12" x14ac:dyDescent="0.25">
      <c r="A8768" t="str">
        <f t="shared" si="1898"/>
        <v>89301000</v>
      </c>
      <c r="B8768" t="str">
        <f t="shared" si="1905"/>
        <v>72077000</v>
      </c>
      <c r="C8768" t="str">
        <f t="shared" si="1906"/>
        <v>72077001</v>
      </c>
      <c r="D8768" t="str">
        <f t="shared" si="1907"/>
        <v>813</v>
      </c>
      <c r="E8768" t="str">
        <f t="shared" si="1908"/>
        <v>89301152</v>
      </c>
      <c r="F8768" t="str">
        <f>"8810155772"</f>
        <v>8810155772</v>
      </c>
      <c r="G8768" s="1">
        <v>44810</v>
      </c>
      <c r="H8768" t="str">
        <f>"91465"</f>
        <v>91465</v>
      </c>
      <c r="I8768">
        <v>1</v>
      </c>
      <c r="J8768">
        <v>1404</v>
      </c>
      <c r="K8768">
        <v>0</v>
      </c>
      <c r="L8768">
        <v>1095.1199999999999</v>
      </c>
    </row>
    <row r="8769" spans="1:12" x14ac:dyDescent="0.25">
      <c r="A8769" t="str">
        <f t="shared" si="1898"/>
        <v>89301000</v>
      </c>
      <c r="B8769" t="str">
        <f t="shared" si="1905"/>
        <v>72077000</v>
      </c>
      <c r="C8769" t="str">
        <f t="shared" si="1906"/>
        <v>72077001</v>
      </c>
      <c r="D8769" t="str">
        <f t="shared" si="1907"/>
        <v>813</v>
      </c>
      <c r="E8769" t="str">
        <f t="shared" si="1908"/>
        <v>89301152</v>
      </c>
      <c r="F8769" t="str">
        <f>"8309284456"</f>
        <v>8309284456</v>
      </c>
      <c r="G8769" s="1">
        <v>44805</v>
      </c>
      <c r="H8769" t="str">
        <f>"91213"</f>
        <v>91213</v>
      </c>
      <c r="I8769">
        <v>1</v>
      </c>
      <c r="J8769">
        <v>347</v>
      </c>
      <c r="K8769">
        <v>0</v>
      </c>
      <c r="L8769">
        <v>270.66000000000003</v>
      </c>
    </row>
    <row r="8770" spans="1:12" x14ac:dyDescent="0.25">
      <c r="A8770" t="str">
        <f t="shared" ref="A8770:A8833" si="1910">"89301000"</f>
        <v>89301000</v>
      </c>
      <c r="B8770" t="str">
        <f t="shared" si="1905"/>
        <v>72077000</v>
      </c>
      <c r="C8770" t="str">
        <f t="shared" si="1906"/>
        <v>72077001</v>
      </c>
      <c r="D8770" t="str">
        <f t="shared" si="1907"/>
        <v>813</v>
      </c>
      <c r="E8770" t="str">
        <f t="shared" si="1908"/>
        <v>89301152</v>
      </c>
      <c r="F8770" t="str">
        <f>"8309284456"</f>
        <v>8309284456</v>
      </c>
      <c r="G8770" s="1">
        <v>44805</v>
      </c>
      <c r="H8770" t="str">
        <f>"91219"</f>
        <v>91219</v>
      </c>
      <c r="I8770">
        <v>1</v>
      </c>
      <c r="J8770">
        <v>342</v>
      </c>
      <c r="K8770">
        <v>0</v>
      </c>
      <c r="L8770">
        <v>266.76</v>
      </c>
    </row>
    <row r="8771" spans="1:12" x14ac:dyDescent="0.25">
      <c r="A8771" t="str">
        <f t="shared" si="1910"/>
        <v>89301000</v>
      </c>
      <c r="B8771" t="str">
        <f t="shared" si="1905"/>
        <v>72077000</v>
      </c>
      <c r="C8771" t="str">
        <f t="shared" si="1906"/>
        <v>72077001</v>
      </c>
      <c r="D8771" t="str">
        <f t="shared" si="1907"/>
        <v>813</v>
      </c>
      <c r="E8771" t="str">
        <f t="shared" si="1908"/>
        <v>89301152</v>
      </c>
      <c r="F8771" t="str">
        <f>"8309284456"</f>
        <v>8309284456</v>
      </c>
      <c r="G8771" s="1">
        <v>44805</v>
      </c>
      <c r="H8771" t="str">
        <f>"91219"</f>
        <v>91219</v>
      </c>
      <c r="I8771">
        <v>1</v>
      </c>
      <c r="J8771">
        <v>342</v>
      </c>
      <c r="K8771">
        <v>0</v>
      </c>
      <c r="L8771">
        <v>266.76</v>
      </c>
    </row>
    <row r="8772" spans="1:12" x14ac:dyDescent="0.25">
      <c r="A8772" t="str">
        <f t="shared" si="1910"/>
        <v>89301000</v>
      </c>
      <c r="B8772" t="str">
        <f t="shared" si="1905"/>
        <v>72077000</v>
      </c>
      <c r="C8772" t="str">
        <f t="shared" si="1906"/>
        <v>72077001</v>
      </c>
      <c r="D8772" t="str">
        <f t="shared" si="1907"/>
        <v>813</v>
      </c>
      <c r="E8772" t="str">
        <f t="shared" si="1908"/>
        <v>89301152</v>
      </c>
      <c r="F8772" t="str">
        <f>"7759265305"</f>
        <v>7759265305</v>
      </c>
      <c r="G8772" s="1">
        <v>44809</v>
      </c>
      <c r="H8772" t="str">
        <f>"91197"</f>
        <v>91197</v>
      </c>
      <c r="I8772">
        <v>1</v>
      </c>
      <c r="J8772">
        <v>1046</v>
      </c>
      <c r="K8772">
        <v>0</v>
      </c>
      <c r="L8772">
        <v>815.88</v>
      </c>
    </row>
    <row r="8773" spans="1:12" x14ac:dyDescent="0.25">
      <c r="A8773" t="str">
        <f t="shared" si="1910"/>
        <v>89301000</v>
      </c>
      <c r="B8773" t="str">
        <f t="shared" si="1905"/>
        <v>72077000</v>
      </c>
      <c r="C8773" t="str">
        <f t="shared" si="1906"/>
        <v>72077001</v>
      </c>
      <c r="D8773" t="str">
        <f t="shared" si="1907"/>
        <v>813</v>
      </c>
      <c r="E8773" t="str">
        <f t="shared" si="1908"/>
        <v>89301152</v>
      </c>
      <c r="F8773" t="str">
        <f>"7759265305"</f>
        <v>7759265305</v>
      </c>
      <c r="G8773" s="1">
        <v>44810</v>
      </c>
      <c r="H8773" t="str">
        <f>"91465"</f>
        <v>91465</v>
      </c>
      <c r="I8773">
        <v>1</v>
      </c>
      <c r="J8773">
        <v>1404</v>
      </c>
      <c r="K8773">
        <v>0</v>
      </c>
      <c r="L8773">
        <v>1095.1199999999999</v>
      </c>
    </row>
    <row r="8774" spans="1:12" x14ac:dyDescent="0.25">
      <c r="A8774" t="str">
        <f t="shared" si="1910"/>
        <v>89301000</v>
      </c>
      <c r="B8774" t="str">
        <f t="shared" si="1905"/>
        <v>72077000</v>
      </c>
      <c r="C8774" t="str">
        <f t="shared" si="1906"/>
        <v>72077001</v>
      </c>
      <c r="D8774" t="str">
        <f t="shared" si="1907"/>
        <v>813</v>
      </c>
      <c r="E8774" t="str">
        <f t="shared" si="1908"/>
        <v>89301152</v>
      </c>
      <c r="F8774" t="str">
        <f>"0162275707"</f>
        <v>0162275707</v>
      </c>
      <c r="G8774" s="1">
        <v>44809</v>
      </c>
      <c r="H8774" t="str">
        <f>"91197"</f>
        <v>91197</v>
      </c>
      <c r="I8774">
        <v>1</v>
      </c>
      <c r="J8774">
        <v>1046</v>
      </c>
      <c r="K8774">
        <v>0</v>
      </c>
      <c r="L8774">
        <v>815.88</v>
      </c>
    </row>
    <row r="8775" spans="1:12" x14ac:dyDescent="0.25">
      <c r="A8775" t="str">
        <f t="shared" si="1910"/>
        <v>89301000</v>
      </c>
      <c r="B8775" t="str">
        <f t="shared" si="1905"/>
        <v>72077000</v>
      </c>
      <c r="C8775" t="str">
        <f t="shared" si="1906"/>
        <v>72077001</v>
      </c>
      <c r="D8775" t="str">
        <f t="shared" si="1907"/>
        <v>813</v>
      </c>
      <c r="E8775" t="str">
        <f t="shared" si="1908"/>
        <v>89301152</v>
      </c>
      <c r="F8775" t="str">
        <f>"0162275707"</f>
        <v>0162275707</v>
      </c>
      <c r="G8775" s="1">
        <v>44810</v>
      </c>
      <c r="H8775" t="str">
        <f>"91465"</f>
        <v>91465</v>
      </c>
      <c r="I8775">
        <v>1</v>
      </c>
      <c r="J8775">
        <v>1404</v>
      </c>
      <c r="K8775">
        <v>0</v>
      </c>
      <c r="L8775">
        <v>1095.1199999999999</v>
      </c>
    </row>
    <row r="8776" spans="1:12" x14ac:dyDescent="0.25">
      <c r="A8776" t="str">
        <f t="shared" si="1910"/>
        <v>89301000</v>
      </c>
      <c r="B8776" t="str">
        <f t="shared" si="1905"/>
        <v>72077000</v>
      </c>
      <c r="C8776" t="str">
        <f t="shared" si="1906"/>
        <v>72077001</v>
      </c>
      <c r="D8776" t="str">
        <f t="shared" si="1907"/>
        <v>813</v>
      </c>
      <c r="E8776" t="str">
        <f t="shared" si="1908"/>
        <v>89301152</v>
      </c>
      <c r="F8776" t="str">
        <f>"0360076145"</f>
        <v>0360076145</v>
      </c>
      <c r="G8776" s="1">
        <v>44809</v>
      </c>
      <c r="H8776" t="str">
        <f>"91197"</f>
        <v>91197</v>
      </c>
      <c r="I8776">
        <v>1</v>
      </c>
      <c r="J8776">
        <v>1046</v>
      </c>
      <c r="K8776">
        <v>0</v>
      </c>
      <c r="L8776">
        <v>815.88</v>
      </c>
    </row>
    <row r="8777" spans="1:12" x14ac:dyDescent="0.25">
      <c r="A8777" t="str">
        <f t="shared" si="1910"/>
        <v>89301000</v>
      </c>
      <c r="B8777" t="str">
        <f t="shared" si="1905"/>
        <v>72077000</v>
      </c>
      <c r="C8777" t="str">
        <f t="shared" si="1906"/>
        <v>72077001</v>
      </c>
      <c r="D8777" t="str">
        <f t="shared" si="1907"/>
        <v>813</v>
      </c>
      <c r="E8777" t="str">
        <f t="shared" si="1908"/>
        <v>89301152</v>
      </c>
      <c r="F8777" t="str">
        <f>"0360076145"</f>
        <v>0360076145</v>
      </c>
      <c r="G8777" s="1">
        <v>44810</v>
      </c>
      <c r="H8777" t="str">
        <f>"91465"</f>
        <v>91465</v>
      </c>
      <c r="I8777">
        <v>1</v>
      </c>
      <c r="J8777">
        <v>1404</v>
      </c>
      <c r="K8777">
        <v>0</v>
      </c>
      <c r="L8777">
        <v>1095.1199999999999</v>
      </c>
    </row>
    <row r="8778" spans="1:12" x14ac:dyDescent="0.25">
      <c r="A8778" t="str">
        <f t="shared" si="1910"/>
        <v>89301000</v>
      </c>
      <c r="B8778" t="str">
        <f t="shared" si="1905"/>
        <v>72077000</v>
      </c>
      <c r="C8778" t="str">
        <f t="shared" si="1906"/>
        <v>72077001</v>
      </c>
      <c r="D8778" t="str">
        <f t="shared" si="1907"/>
        <v>813</v>
      </c>
      <c r="E8778" t="str">
        <f t="shared" si="1908"/>
        <v>89301152</v>
      </c>
      <c r="F8778" t="str">
        <f>"7456225546"</f>
        <v>7456225546</v>
      </c>
      <c r="G8778" s="1">
        <v>44812</v>
      </c>
      <c r="H8778" t="str">
        <f>"91197"</f>
        <v>91197</v>
      </c>
      <c r="I8778">
        <v>1</v>
      </c>
      <c r="J8778">
        <v>1046</v>
      </c>
      <c r="K8778">
        <v>0</v>
      </c>
      <c r="L8778">
        <v>815.88</v>
      </c>
    </row>
    <row r="8779" spans="1:12" x14ac:dyDescent="0.25">
      <c r="A8779" t="str">
        <f t="shared" si="1910"/>
        <v>89301000</v>
      </c>
      <c r="B8779" t="str">
        <f t="shared" si="1905"/>
        <v>72077000</v>
      </c>
      <c r="C8779" t="str">
        <f t="shared" si="1906"/>
        <v>72077001</v>
      </c>
      <c r="D8779" t="str">
        <f t="shared" si="1907"/>
        <v>813</v>
      </c>
      <c r="E8779" t="str">
        <f t="shared" si="1908"/>
        <v>89301152</v>
      </c>
      <c r="F8779" t="str">
        <f>"7456225546"</f>
        <v>7456225546</v>
      </c>
      <c r="G8779" s="1">
        <v>44812</v>
      </c>
      <c r="H8779" t="str">
        <f>"91465"</f>
        <v>91465</v>
      </c>
      <c r="I8779">
        <v>1</v>
      </c>
      <c r="J8779">
        <v>1404</v>
      </c>
      <c r="K8779">
        <v>0</v>
      </c>
      <c r="L8779">
        <v>1095.1199999999999</v>
      </c>
    </row>
    <row r="8780" spans="1:12" x14ac:dyDescent="0.25">
      <c r="A8780" t="str">
        <f t="shared" si="1910"/>
        <v>89301000</v>
      </c>
      <c r="B8780" t="str">
        <f t="shared" ref="B8780:B8809" si="1911">"72077000"</f>
        <v>72077000</v>
      </c>
      <c r="C8780" t="str">
        <f t="shared" ref="C8780:C8809" si="1912">"72077001"</f>
        <v>72077001</v>
      </c>
      <c r="D8780" t="str">
        <f t="shared" ref="D8780:D8809" si="1913">"813"</f>
        <v>813</v>
      </c>
      <c r="E8780" t="str">
        <f t="shared" ref="E8780:E8809" si="1914">"89301152"</f>
        <v>89301152</v>
      </c>
      <c r="F8780" t="str">
        <f>"6555051074"</f>
        <v>6555051074</v>
      </c>
      <c r="G8780" s="1">
        <v>44812</v>
      </c>
      <c r="H8780" t="str">
        <f>"91171"</f>
        <v>91171</v>
      </c>
      <c r="I8780">
        <v>1</v>
      </c>
      <c r="J8780">
        <v>360</v>
      </c>
      <c r="K8780">
        <v>0</v>
      </c>
      <c r="L8780">
        <v>280.8</v>
      </c>
    </row>
    <row r="8781" spans="1:12" x14ac:dyDescent="0.25">
      <c r="A8781" t="str">
        <f t="shared" si="1910"/>
        <v>89301000</v>
      </c>
      <c r="B8781" t="str">
        <f t="shared" si="1911"/>
        <v>72077000</v>
      </c>
      <c r="C8781" t="str">
        <f t="shared" si="1912"/>
        <v>72077001</v>
      </c>
      <c r="D8781" t="str">
        <f t="shared" si="1913"/>
        <v>813</v>
      </c>
      <c r="E8781" t="str">
        <f t="shared" si="1914"/>
        <v>89301152</v>
      </c>
      <c r="F8781" t="str">
        <f>"6555051074"</f>
        <v>6555051074</v>
      </c>
      <c r="G8781" s="1">
        <v>44812</v>
      </c>
      <c r="H8781" t="str">
        <f>"91197"</f>
        <v>91197</v>
      </c>
      <c r="I8781">
        <v>1</v>
      </c>
      <c r="J8781">
        <v>1046</v>
      </c>
      <c r="K8781">
        <v>0</v>
      </c>
      <c r="L8781">
        <v>815.88</v>
      </c>
    </row>
    <row r="8782" spans="1:12" x14ac:dyDescent="0.25">
      <c r="A8782" t="str">
        <f t="shared" si="1910"/>
        <v>89301000</v>
      </c>
      <c r="B8782" t="str">
        <f t="shared" si="1911"/>
        <v>72077000</v>
      </c>
      <c r="C8782" t="str">
        <f t="shared" si="1912"/>
        <v>72077001</v>
      </c>
      <c r="D8782" t="str">
        <f t="shared" si="1913"/>
        <v>813</v>
      </c>
      <c r="E8782" t="str">
        <f t="shared" si="1914"/>
        <v>89301152</v>
      </c>
      <c r="F8782" t="str">
        <f>"6555051074"</f>
        <v>6555051074</v>
      </c>
      <c r="G8782" s="1">
        <v>44812</v>
      </c>
      <c r="H8782" t="str">
        <f>"91465"</f>
        <v>91465</v>
      </c>
      <c r="I8782">
        <v>1</v>
      </c>
      <c r="J8782">
        <v>1404</v>
      </c>
      <c r="K8782">
        <v>0</v>
      </c>
      <c r="L8782">
        <v>1095.1199999999999</v>
      </c>
    </row>
    <row r="8783" spans="1:12" x14ac:dyDescent="0.25">
      <c r="A8783" t="str">
        <f t="shared" si="1910"/>
        <v>89301000</v>
      </c>
      <c r="B8783" t="str">
        <f t="shared" si="1911"/>
        <v>72077000</v>
      </c>
      <c r="C8783" t="str">
        <f t="shared" si="1912"/>
        <v>72077001</v>
      </c>
      <c r="D8783" t="str">
        <f t="shared" si="1913"/>
        <v>813</v>
      </c>
      <c r="E8783" t="str">
        <f t="shared" si="1914"/>
        <v>89301152</v>
      </c>
      <c r="F8783" t="str">
        <f>"7555145334"</f>
        <v>7555145334</v>
      </c>
      <c r="G8783" s="1">
        <v>44812</v>
      </c>
      <c r="H8783" t="str">
        <f>"91197"</f>
        <v>91197</v>
      </c>
      <c r="I8783">
        <v>1</v>
      </c>
      <c r="J8783">
        <v>1046</v>
      </c>
      <c r="K8783">
        <v>0</v>
      </c>
      <c r="L8783">
        <v>815.88</v>
      </c>
    </row>
    <row r="8784" spans="1:12" x14ac:dyDescent="0.25">
      <c r="A8784" t="str">
        <f t="shared" si="1910"/>
        <v>89301000</v>
      </c>
      <c r="B8784" t="str">
        <f t="shared" si="1911"/>
        <v>72077000</v>
      </c>
      <c r="C8784" t="str">
        <f t="shared" si="1912"/>
        <v>72077001</v>
      </c>
      <c r="D8784" t="str">
        <f t="shared" si="1913"/>
        <v>813</v>
      </c>
      <c r="E8784" t="str">
        <f t="shared" si="1914"/>
        <v>89301152</v>
      </c>
      <c r="F8784" t="str">
        <f>"7555145334"</f>
        <v>7555145334</v>
      </c>
      <c r="G8784" s="1">
        <v>44812</v>
      </c>
      <c r="H8784" t="str">
        <f>"91465"</f>
        <v>91465</v>
      </c>
      <c r="I8784">
        <v>1</v>
      </c>
      <c r="J8784">
        <v>1404</v>
      </c>
      <c r="K8784">
        <v>0</v>
      </c>
      <c r="L8784">
        <v>1095.1199999999999</v>
      </c>
    </row>
    <row r="8785" spans="1:12" x14ac:dyDescent="0.25">
      <c r="A8785" t="str">
        <f t="shared" si="1910"/>
        <v>89301000</v>
      </c>
      <c r="B8785" t="str">
        <f t="shared" si="1911"/>
        <v>72077000</v>
      </c>
      <c r="C8785" t="str">
        <f t="shared" si="1912"/>
        <v>72077001</v>
      </c>
      <c r="D8785" t="str">
        <f t="shared" si="1913"/>
        <v>813</v>
      </c>
      <c r="E8785" t="str">
        <f t="shared" si="1914"/>
        <v>89301152</v>
      </c>
      <c r="F8785" t="str">
        <f>"7262155307"</f>
        <v>7262155307</v>
      </c>
      <c r="G8785" s="1">
        <v>44816</v>
      </c>
      <c r="H8785" t="str">
        <f>"91197"</f>
        <v>91197</v>
      </c>
      <c r="I8785">
        <v>1</v>
      </c>
      <c r="J8785">
        <v>1046</v>
      </c>
      <c r="K8785">
        <v>0</v>
      </c>
      <c r="L8785">
        <v>815.88</v>
      </c>
    </row>
    <row r="8786" spans="1:12" x14ac:dyDescent="0.25">
      <c r="A8786" t="str">
        <f t="shared" si="1910"/>
        <v>89301000</v>
      </c>
      <c r="B8786" t="str">
        <f t="shared" si="1911"/>
        <v>72077000</v>
      </c>
      <c r="C8786" t="str">
        <f t="shared" si="1912"/>
        <v>72077001</v>
      </c>
      <c r="D8786" t="str">
        <f t="shared" si="1913"/>
        <v>813</v>
      </c>
      <c r="E8786" t="str">
        <f t="shared" si="1914"/>
        <v>89301152</v>
      </c>
      <c r="F8786" t="str">
        <f>"7262155307"</f>
        <v>7262155307</v>
      </c>
      <c r="G8786" s="1">
        <v>44817</v>
      </c>
      <c r="H8786" t="str">
        <f>"91465"</f>
        <v>91465</v>
      </c>
      <c r="I8786">
        <v>1</v>
      </c>
      <c r="J8786">
        <v>1404</v>
      </c>
      <c r="K8786">
        <v>0</v>
      </c>
      <c r="L8786">
        <v>1095.1199999999999</v>
      </c>
    </row>
    <row r="8787" spans="1:12" x14ac:dyDescent="0.25">
      <c r="A8787" t="str">
        <f t="shared" si="1910"/>
        <v>89301000</v>
      </c>
      <c r="B8787" t="str">
        <f t="shared" si="1911"/>
        <v>72077000</v>
      </c>
      <c r="C8787" t="str">
        <f t="shared" si="1912"/>
        <v>72077001</v>
      </c>
      <c r="D8787" t="str">
        <f t="shared" si="1913"/>
        <v>813</v>
      </c>
      <c r="E8787" t="str">
        <f t="shared" si="1914"/>
        <v>89301152</v>
      </c>
      <c r="F8787" t="str">
        <f>"7953313687"</f>
        <v>7953313687</v>
      </c>
      <c r="G8787" s="1">
        <v>44818</v>
      </c>
      <c r="H8787" t="str">
        <f>"91197"</f>
        <v>91197</v>
      </c>
      <c r="I8787">
        <v>1</v>
      </c>
      <c r="J8787">
        <v>1046</v>
      </c>
      <c r="K8787">
        <v>0</v>
      </c>
      <c r="L8787">
        <v>815.88</v>
      </c>
    </row>
    <row r="8788" spans="1:12" x14ac:dyDescent="0.25">
      <c r="A8788" t="str">
        <f t="shared" si="1910"/>
        <v>89301000</v>
      </c>
      <c r="B8788" t="str">
        <f t="shared" si="1911"/>
        <v>72077000</v>
      </c>
      <c r="C8788" t="str">
        <f t="shared" si="1912"/>
        <v>72077001</v>
      </c>
      <c r="D8788" t="str">
        <f t="shared" si="1913"/>
        <v>813</v>
      </c>
      <c r="E8788" t="str">
        <f t="shared" si="1914"/>
        <v>89301152</v>
      </c>
      <c r="F8788" t="str">
        <f>"7953313687"</f>
        <v>7953313687</v>
      </c>
      <c r="G8788" s="1">
        <v>44819</v>
      </c>
      <c r="H8788" t="str">
        <f>"91465"</f>
        <v>91465</v>
      </c>
      <c r="I8788">
        <v>1</v>
      </c>
      <c r="J8788">
        <v>1404</v>
      </c>
      <c r="K8788">
        <v>0</v>
      </c>
      <c r="L8788">
        <v>1095.1199999999999</v>
      </c>
    </row>
    <row r="8789" spans="1:12" x14ac:dyDescent="0.25">
      <c r="A8789" t="str">
        <f t="shared" si="1910"/>
        <v>89301000</v>
      </c>
      <c r="B8789" t="str">
        <f t="shared" si="1911"/>
        <v>72077000</v>
      </c>
      <c r="C8789" t="str">
        <f t="shared" si="1912"/>
        <v>72077001</v>
      </c>
      <c r="D8789" t="str">
        <f t="shared" si="1913"/>
        <v>813</v>
      </c>
      <c r="E8789" t="str">
        <f t="shared" si="1914"/>
        <v>89301152</v>
      </c>
      <c r="F8789" t="str">
        <f>"7851055685"</f>
        <v>7851055685</v>
      </c>
      <c r="G8789" s="1">
        <v>44818</v>
      </c>
      <c r="H8789" t="str">
        <f>"91197"</f>
        <v>91197</v>
      </c>
      <c r="I8789">
        <v>1</v>
      </c>
      <c r="J8789">
        <v>1046</v>
      </c>
      <c r="K8789">
        <v>0</v>
      </c>
      <c r="L8789">
        <v>815.88</v>
      </c>
    </row>
    <row r="8790" spans="1:12" x14ac:dyDescent="0.25">
      <c r="A8790" t="str">
        <f t="shared" si="1910"/>
        <v>89301000</v>
      </c>
      <c r="B8790" t="str">
        <f t="shared" si="1911"/>
        <v>72077000</v>
      </c>
      <c r="C8790" t="str">
        <f t="shared" si="1912"/>
        <v>72077001</v>
      </c>
      <c r="D8790" t="str">
        <f t="shared" si="1913"/>
        <v>813</v>
      </c>
      <c r="E8790" t="str">
        <f t="shared" si="1914"/>
        <v>89301152</v>
      </c>
      <c r="F8790" t="str">
        <f>"7851055685"</f>
        <v>7851055685</v>
      </c>
      <c r="G8790" s="1">
        <v>44819</v>
      </c>
      <c r="H8790" t="str">
        <f>"91465"</f>
        <v>91465</v>
      </c>
      <c r="I8790">
        <v>1</v>
      </c>
      <c r="J8790">
        <v>1404</v>
      </c>
      <c r="K8790">
        <v>0</v>
      </c>
      <c r="L8790">
        <v>1095.1199999999999</v>
      </c>
    </row>
    <row r="8791" spans="1:12" x14ac:dyDescent="0.25">
      <c r="A8791" t="str">
        <f t="shared" si="1910"/>
        <v>89301000</v>
      </c>
      <c r="B8791" t="str">
        <f t="shared" si="1911"/>
        <v>72077000</v>
      </c>
      <c r="C8791" t="str">
        <f t="shared" si="1912"/>
        <v>72077001</v>
      </c>
      <c r="D8791" t="str">
        <f t="shared" si="1913"/>
        <v>813</v>
      </c>
      <c r="E8791" t="str">
        <f t="shared" si="1914"/>
        <v>89301152</v>
      </c>
      <c r="F8791" t="str">
        <f>"8561154932"</f>
        <v>8561154932</v>
      </c>
      <c r="G8791" s="1">
        <v>44820</v>
      </c>
      <c r="H8791" t="str">
        <f>"91197"</f>
        <v>91197</v>
      </c>
      <c r="I8791">
        <v>1</v>
      </c>
      <c r="J8791">
        <v>1046</v>
      </c>
      <c r="K8791">
        <v>0</v>
      </c>
      <c r="L8791">
        <v>815.88</v>
      </c>
    </row>
    <row r="8792" spans="1:12" x14ac:dyDescent="0.25">
      <c r="A8792" t="str">
        <f t="shared" si="1910"/>
        <v>89301000</v>
      </c>
      <c r="B8792" t="str">
        <f t="shared" si="1911"/>
        <v>72077000</v>
      </c>
      <c r="C8792" t="str">
        <f t="shared" si="1912"/>
        <v>72077001</v>
      </c>
      <c r="D8792" t="str">
        <f t="shared" si="1913"/>
        <v>813</v>
      </c>
      <c r="E8792" t="str">
        <f t="shared" si="1914"/>
        <v>89301152</v>
      </c>
      <c r="F8792" t="str">
        <f>"8561154932"</f>
        <v>8561154932</v>
      </c>
      <c r="G8792" s="1">
        <v>44826</v>
      </c>
      <c r="H8792" t="str">
        <f>"91465"</f>
        <v>91465</v>
      </c>
      <c r="I8792">
        <v>1</v>
      </c>
      <c r="J8792">
        <v>1404</v>
      </c>
      <c r="K8792">
        <v>0</v>
      </c>
      <c r="L8792">
        <v>1095.1199999999999</v>
      </c>
    </row>
    <row r="8793" spans="1:12" x14ac:dyDescent="0.25">
      <c r="A8793" t="str">
        <f t="shared" si="1910"/>
        <v>89301000</v>
      </c>
      <c r="B8793" t="str">
        <f t="shared" si="1911"/>
        <v>72077000</v>
      </c>
      <c r="C8793" t="str">
        <f t="shared" si="1912"/>
        <v>72077001</v>
      </c>
      <c r="D8793" t="str">
        <f t="shared" si="1913"/>
        <v>813</v>
      </c>
      <c r="E8793" t="str">
        <f t="shared" si="1914"/>
        <v>89301152</v>
      </c>
      <c r="F8793" t="str">
        <f>"0259215308"</f>
        <v>0259215308</v>
      </c>
      <c r="G8793" s="1">
        <v>44820</v>
      </c>
      <c r="H8793" t="str">
        <f>"91197"</f>
        <v>91197</v>
      </c>
      <c r="I8793">
        <v>1</v>
      </c>
      <c r="J8793">
        <v>1046</v>
      </c>
      <c r="K8793">
        <v>0</v>
      </c>
      <c r="L8793">
        <v>815.88</v>
      </c>
    </row>
    <row r="8794" spans="1:12" x14ac:dyDescent="0.25">
      <c r="A8794" t="str">
        <f t="shared" si="1910"/>
        <v>89301000</v>
      </c>
      <c r="B8794" t="str">
        <f t="shared" si="1911"/>
        <v>72077000</v>
      </c>
      <c r="C8794" t="str">
        <f t="shared" si="1912"/>
        <v>72077001</v>
      </c>
      <c r="D8794" t="str">
        <f t="shared" si="1913"/>
        <v>813</v>
      </c>
      <c r="E8794" t="str">
        <f t="shared" si="1914"/>
        <v>89301152</v>
      </c>
      <c r="F8794" t="str">
        <f>"0259215308"</f>
        <v>0259215308</v>
      </c>
      <c r="G8794" s="1">
        <v>44826</v>
      </c>
      <c r="H8794" t="str">
        <f>"91465"</f>
        <v>91465</v>
      </c>
      <c r="I8794">
        <v>1</v>
      </c>
      <c r="J8794">
        <v>1404</v>
      </c>
      <c r="K8794">
        <v>0</v>
      </c>
      <c r="L8794">
        <v>1095.1199999999999</v>
      </c>
    </row>
    <row r="8795" spans="1:12" x14ac:dyDescent="0.25">
      <c r="A8795" t="str">
        <f t="shared" si="1910"/>
        <v>89301000</v>
      </c>
      <c r="B8795" t="str">
        <f t="shared" si="1911"/>
        <v>72077000</v>
      </c>
      <c r="C8795" t="str">
        <f t="shared" si="1912"/>
        <v>72077001</v>
      </c>
      <c r="D8795" t="str">
        <f t="shared" si="1913"/>
        <v>813</v>
      </c>
      <c r="E8795" t="str">
        <f t="shared" si="1914"/>
        <v>89301152</v>
      </c>
      <c r="F8795" t="str">
        <f>"8954296263"</f>
        <v>8954296263</v>
      </c>
      <c r="G8795" s="1">
        <v>44820</v>
      </c>
      <c r="H8795" t="str">
        <f>"91197"</f>
        <v>91197</v>
      </c>
      <c r="I8795">
        <v>1</v>
      </c>
      <c r="J8795">
        <v>1046</v>
      </c>
      <c r="K8795">
        <v>0</v>
      </c>
      <c r="L8795">
        <v>815.88</v>
      </c>
    </row>
    <row r="8796" spans="1:12" x14ac:dyDescent="0.25">
      <c r="A8796" t="str">
        <f t="shared" si="1910"/>
        <v>89301000</v>
      </c>
      <c r="B8796" t="str">
        <f t="shared" si="1911"/>
        <v>72077000</v>
      </c>
      <c r="C8796" t="str">
        <f t="shared" si="1912"/>
        <v>72077001</v>
      </c>
      <c r="D8796" t="str">
        <f t="shared" si="1913"/>
        <v>813</v>
      </c>
      <c r="E8796" t="str">
        <f t="shared" si="1914"/>
        <v>89301152</v>
      </c>
      <c r="F8796" t="str">
        <f>"8954296263"</f>
        <v>8954296263</v>
      </c>
      <c r="G8796" s="1">
        <v>44826</v>
      </c>
      <c r="H8796" t="str">
        <f>"91465"</f>
        <v>91465</v>
      </c>
      <c r="I8796">
        <v>1</v>
      </c>
      <c r="J8796">
        <v>1404</v>
      </c>
      <c r="K8796">
        <v>0</v>
      </c>
      <c r="L8796">
        <v>1095.1199999999999</v>
      </c>
    </row>
    <row r="8797" spans="1:12" x14ac:dyDescent="0.25">
      <c r="A8797" t="str">
        <f t="shared" si="1910"/>
        <v>89301000</v>
      </c>
      <c r="B8797" t="str">
        <f t="shared" si="1911"/>
        <v>72077000</v>
      </c>
      <c r="C8797" t="str">
        <f t="shared" si="1912"/>
        <v>72077001</v>
      </c>
      <c r="D8797" t="str">
        <f t="shared" si="1913"/>
        <v>813</v>
      </c>
      <c r="E8797" t="str">
        <f t="shared" si="1914"/>
        <v>89301152</v>
      </c>
      <c r="F8797" t="str">
        <f>"6410010728"</f>
        <v>6410010728</v>
      </c>
      <c r="G8797" s="1">
        <v>44825</v>
      </c>
      <c r="H8797" t="str">
        <f>"91197"</f>
        <v>91197</v>
      </c>
      <c r="I8797">
        <v>1</v>
      </c>
      <c r="J8797">
        <v>1046</v>
      </c>
      <c r="K8797">
        <v>0</v>
      </c>
      <c r="L8797">
        <v>815.88</v>
      </c>
    </row>
    <row r="8798" spans="1:12" x14ac:dyDescent="0.25">
      <c r="A8798" t="str">
        <f t="shared" si="1910"/>
        <v>89301000</v>
      </c>
      <c r="B8798" t="str">
        <f t="shared" si="1911"/>
        <v>72077000</v>
      </c>
      <c r="C8798" t="str">
        <f t="shared" si="1912"/>
        <v>72077001</v>
      </c>
      <c r="D8798" t="str">
        <f t="shared" si="1913"/>
        <v>813</v>
      </c>
      <c r="E8798" t="str">
        <f t="shared" si="1914"/>
        <v>89301152</v>
      </c>
      <c r="F8798" t="str">
        <f>"6410010728"</f>
        <v>6410010728</v>
      </c>
      <c r="G8798" s="1">
        <v>44827</v>
      </c>
      <c r="H8798" t="str">
        <f>"91465"</f>
        <v>91465</v>
      </c>
      <c r="I8798">
        <v>1</v>
      </c>
      <c r="J8798">
        <v>1404</v>
      </c>
      <c r="K8798">
        <v>0</v>
      </c>
      <c r="L8798">
        <v>1095.1199999999999</v>
      </c>
    </row>
    <row r="8799" spans="1:12" x14ac:dyDescent="0.25">
      <c r="A8799" t="str">
        <f t="shared" si="1910"/>
        <v>89301000</v>
      </c>
      <c r="B8799" t="str">
        <f t="shared" si="1911"/>
        <v>72077000</v>
      </c>
      <c r="C8799" t="str">
        <f t="shared" si="1912"/>
        <v>72077001</v>
      </c>
      <c r="D8799" t="str">
        <f t="shared" si="1913"/>
        <v>813</v>
      </c>
      <c r="E8799" t="str">
        <f t="shared" si="1914"/>
        <v>89301152</v>
      </c>
      <c r="F8799" t="str">
        <f>"6410010728"</f>
        <v>6410010728</v>
      </c>
      <c r="G8799" s="1">
        <v>44830</v>
      </c>
      <c r="H8799" t="str">
        <f>"91219"</f>
        <v>91219</v>
      </c>
      <c r="I8799">
        <v>1</v>
      </c>
      <c r="J8799">
        <v>342</v>
      </c>
      <c r="K8799">
        <v>0</v>
      </c>
      <c r="L8799">
        <v>266.76</v>
      </c>
    </row>
    <row r="8800" spans="1:12" x14ac:dyDescent="0.25">
      <c r="A8800" t="str">
        <f t="shared" si="1910"/>
        <v>89301000</v>
      </c>
      <c r="B8800" t="str">
        <f t="shared" si="1911"/>
        <v>72077000</v>
      </c>
      <c r="C8800" t="str">
        <f t="shared" si="1912"/>
        <v>72077001</v>
      </c>
      <c r="D8800" t="str">
        <f t="shared" si="1913"/>
        <v>813</v>
      </c>
      <c r="E8800" t="str">
        <f t="shared" si="1914"/>
        <v>89301152</v>
      </c>
      <c r="F8800" t="str">
        <f>"8351155692"</f>
        <v>8351155692</v>
      </c>
      <c r="G8800" s="1">
        <v>44825</v>
      </c>
      <c r="H8800" t="str">
        <f>"91197"</f>
        <v>91197</v>
      </c>
      <c r="I8800">
        <v>1</v>
      </c>
      <c r="J8800">
        <v>1046</v>
      </c>
      <c r="K8800">
        <v>0</v>
      </c>
      <c r="L8800">
        <v>815.88</v>
      </c>
    </row>
    <row r="8801" spans="1:12" x14ac:dyDescent="0.25">
      <c r="A8801" t="str">
        <f t="shared" si="1910"/>
        <v>89301000</v>
      </c>
      <c r="B8801" t="str">
        <f t="shared" si="1911"/>
        <v>72077000</v>
      </c>
      <c r="C8801" t="str">
        <f t="shared" si="1912"/>
        <v>72077001</v>
      </c>
      <c r="D8801" t="str">
        <f t="shared" si="1913"/>
        <v>813</v>
      </c>
      <c r="E8801" t="str">
        <f t="shared" si="1914"/>
        <v>89301152</v>
      </c>
      <c r="F8801" t="str">
        <f>"8351155692"</f>
        <v>8351155692</v>
      </c>
      <c r="G8801" s="1">
        <v>44827</v>
      </c>
      <c r="H8801" t="str">
        <f>"91465"</f>
        <v>91465</v>
      </c>
      <c r="I8801">
        <v>1</v>
      </c>
      <c r="J8801">
        <v>1404</v>
      </c>
      <c r="K8801">
        <v>0</v>
      </c>
      <c r="L8801">
        <v>1095.1199999999999</v>
      </c>
    </row>
    <row r="8802" spans="1:12" x14ac:dyDescent="0.25">
      <c r="A8802" t="str">
        <f t="shared" si="1910"/>
        <v>89301000</v>
      </c>
      <c r="B8802" t="str">
        <f t="shared" si="1911"/>
        <v>72077000</v>
      </c>
      <c r="C8802" t="str">
        <f t="shared" si="1912"/>
        <v>72077001</v>
      </c>
      <c r="D8802" t="str">
        <f t="shared" si="1913"/>
        <v>813</v>
      </c>
      <c r="E8802" t="str">
        <f t="shared" si="1914"/>
        <v>89301152</v>
      </c>
      <c r="F8802" t="str">
        <f>"5705150836"</f>
        <v>5705150836</v>
      </c>
      <c r="G8802" s="1">
        <v>44825</v>
      </c>
      <c r="H8802" t="str">
        <f>"91197"</f>
        <v>91197</v>
      </c>
      <c r="I8802">
        <v>1</v>
      </c>
      <c r="J8802">
        <v>1046</v>
      </c>
      <c r="K8802">
        <v>0</v>
      </c>
      <c r="L8802">
        <v>815.88</v>
      </c>
    </row>
    <row r="8803" spans="1:12" x14ac:dyDescent="0.25">
      <c r="A8803" t="str">
        <f t="shared" si="1910"/>
        <v>89301000</v>
      </c>
      <c r="B8803" t="str">
        <f t="shared" si="1911"/>
        <v>72077000</v>
      </c>
      <c r="C8803" t="str">
        <f t="shared" si="1912"/>
        <v>72077001</v>
      </c>
      <c r="D8803" t="str">
        <f t="shared" si="1913"/>
        <v>813</v>
      </c>
      <c r="E8803" t="str">
        <f t="shared" si="1914"/>
        <v>89301152</v>
      </c>
      <c r="F8803" t="str">
        <f>"5705150836"</f>
        <v>5705150836</v>
      </c>
      <c r="G8803" s="1">
        <v>44827</v>
      </c>
      <c r="H8803" t="str">
        <f>"91465"</f>
        <v>91465</v>
      </c>
      <c r="I8803">
        <v>1</v>
      </c>
      <c r="J8803">
        <v>1404</v>
      </c>
      <c r="K8803">
        <v>0</v>
      </c>
      <c r="L8803">
        <v>1095.1199999999999</v>
      </c>
    </row>
    <row r="8804" spans="1:12" x14ac:dyDescent="0.25">
      <c r="A8804" t="str">
        <f t="shared" si="1910"/>
        <v>89301000</v>
      </c>
      <c r="B8804" t="str">
        <f t="shared" si="1911"/>
        <v>72077000</v>
      </c>
      <c r="C8804" t="str">
        <f t="shared" si="1912"/>
        <v>72077001</v>
      </c>
      <c r="D8804" t="str">
        <f t="shared" si="1913"/>
        <v>813</v>
      </c>
      <c r="E8804" t="str">
        <f t="shared" si="1914"/>
        <v>89301152</v>
      </c>
      <c r="F8804" t="str">
        <f>"9461305700"</f>
        <v>9461305700</v>
      </c>
      <c r="G8804" s="1">
        <v>44830</v>
      </c>
      <c r="H8804" t="str">
        <f>"91197"</f>
        <v>91197</v>
      </c>
      <c r="I8804">
        <v>1</v>
      </c>
      <c r="J8804">
        <v>1046</v>
      </c>
      <c r="K8804">
        <v>0</v>
      </c>
      <c r="L8804">
        <v>815.88</v>
      </c>
    </row>
    <row r="8805" spans="1:12" x14ac:dyDescent="0.25">
      <c r="A8805" t="str">
        <f t="shared" si="1910"/>
        <v>89301000</v>
      </c>
      <c r="B8805" t="str">
        <f t="shared" si="1911"/>
        <v>72077000</v>
      </c>
      <c r="C8805" t="str">
        <f t="shared" si="1912"/>
        <v>72077001</v>
      </c>
      <c r="D8805" t="str">
        <f t="shared" si="1913"/>
        <v>813</v>
      </c>
      <c r="E8805" t="str">
        <f t="shared" si="1914"/>
        <v>89301152</v>
      </c>
      <c r="F8805" t="str">
        <f>"9461305700"</f>
        <v>9461305700</v>
      </c>
      <c r="G8805" s="1">
        <v>44831</v>
      </c>
      <c r="H8805" t="str">
        <f>"91465"</f>
        <v>91465</v>
      </c>
      <c r="I8805">
        <v>1</v>
      </c>
      <c r="J8805">
        <v>1404</v>
      </c>
      <c r="K8805">
        <v>0</v>
      </c>
      <c r="L8805">
        <v>1095.1199999999999</v>
      </c>
    </row>
    <row r="8806" spans="1:12" x14ac:dyDescent="0.25">
      <c r="A8806" t="str">
        <f t="shared" si="1910"/>
        <v>89301000</v>
      </c>
      <c r="B8806" t="str">
        <f t="shared" si="1911"/>
        <v>72077000</v>
      </c>
      <c r="C8806" t="str">
        <f t="shared" si="1912"/>
        <v>72077001</v>
      </c>
      <c r="D8806" t="str">
        <f t="shared" si="1913"/>
        <v>813</v>
      </c>
      <c r="E8806" t="str">
        <f t="shared" si="1914"/>
        <v>89301152</v>
      </c>
      <c r="F8806" t="str">
        <f>"6904034478"</f>
        <v>6904034478</v>
      </c>
      <c r="G8806" s="1">
        <v>44830</v>
      </c>
      <c r="H8806" t="str">
        <f>"91197"</f>
        <v>91197</v>
      </c>
      <c r="I8806">
        <v>1</v>
      </c>
      <c r="J8806">
        <v>1046</v>
      </c>
      <c r="K8806">
        <v>0</v>
      </c>
      <c r="L8806">
        <v>815.88</v>
      </c>
    </row>
    <row r="8807" spans="1:12" x14ac:dyDescent="0.25">
      <c r="A8807" t="str">
        <f t="shared" si="1910"/>
        <v>89301000</v>
      </c>
      <c r="B8807" t="str">
        <f t="shared" si="1911"/>
        <v>72077000</v>
      </c>
      <c r="C8807" t="str">
        <f t="shared" si="1912"/>
        <v>72077001</v>
      </c>
      <c r="D8807" t="str">
        <f t="shared" si="1913"/>
        <v>813</v>
      </c>
      <c r="E8807" t="str">
        <f t="shared" si="1914"/>
        <v>89301152</v>
      </c>
      <c r="F8807" t="str">
        <f>"6904034478"</f>
        <v>6904034478</v>
      </c>
      <c r="G8807" s="1">
        <v>44831</v>
      </c>
      <c r="H8807" t="str">
        <f>"91465"</f>
        <v>91465</v>
      </c>
      <c r="I8807">
        <v>1</v>
      </c>
      <c r="J8807">
        <v>1404</v>
      </c>
      <c r="K8807">
        <v>0</v>
      </c>
      <c r="L8807">
        <v>1095.1199999999999</v>
      </c>
    </row>
    <row r="8808" spans="1:12" x14ac:dyDescent="0.25">
      <c r="A8808" t="str">
        <f t="shared" si="1910"/>
        <v>89301000</v>
      </c>
      <c r="B8808" t="str">
        <f t="shared" si="1911"/>
        <v>72077000</v>
      </c>
      <c r="C8808" t="str">
        <f t="shared" si="1912"/>
        <v>72077001</v>
      </c>
      <c r="D8808" t="str">
        <f t="shared" si="1913"/>
        <v>813</v>
      </c>
      <c r="E8808" t="str">
        <f t="shared" si="1914"/>
        <v>89301152</v>
      </c>
      <c r="F8808" t="str">
        <f>"9653045699"</f>
        <v>9653045699</v>
      </c>
      <c r="G8808" s="1">
        <v>44830</v>
      </c>
      <c r="H8808" t="str">
        <f>"91197"</f>
        <v>91197</v>
      </c>
      <c r="I8808">
        <v>1</v>
      </c>
      <c r="J8808">
        <v>1046</v>
      </c>
      <c r="K8808">
        <v>0</v>
      </c>
      <c r="L8808">
        <v>815.88</v>
      </c>
    </row>
    <row r="8809" spans="1:12" x14ac:dyDescent="0.25">
      <c r="A8809" t="str">
        <f t="shared" si="1910"/>
        <v>89301000</v>
      </c>
      <c r="B8809" t="str">
        <f t="shared" si="1911"/>
        <v>72077000</v>
      </c>
      <c r="C8809" t="str">
        <f t="shared" si="1912"/>
        <v>72077001</v>
      </c>
      <c r="D8809" t="str">
        <f t="shared" si="1913"/>
        <v>813</v>
      </c>
      <c r="E8809" t="str">
        <f t="shared" si="1914"/>
        <v>89301152</v>
      </c>
      <c r="F8809" t="str">
        <f>"9653045699"</f>
        <v>9653045699</v>
      </c>
      <c r="G8809" s="1">
        <v>44831</v>
      </c>
      <c r="H8809" t="str">
        <f>"91465"</f>
        <v>91465</v>
      </c>
      <c r="I8809">
        <v>1</v>
      </c>
      <c r="J8809">
        <v>1404</v>
      </c>
      <c r="K8809">
        <v>0</v>
      </c>
      <c r="L8809">
        <v>1095.1199999999999</v>
      </c>
    </row>
    <row r="8810" spans="1:12" x14ac:dyDescent="0.25">
      <c r="A8810" t="str">
        <f t="shared" si="1910"/>
        <v>89301000</v>
      </c>
      <c r="B8810" t="str">
        <f t="shared" ref="B8810:B8831" si="1915">"93201000"</f>
        <v>93201000</v>
      </c>
      <c r="C8810" t="str">
        <f t="shared" ref="C8810:C8831" si="1916">"93201250"</f>
        <v>93201250</v>
      </c>
      <c r="D8810" t="str">
        <f t="shared" ref="D8810:D8831" si="1917">"801"</f>
        <v>801</v>
      </c>
      <c r="E8810" t="str">
        <f t="shared" ref="E8810:E8831" si="1918">"89301167"</f>
        <v>89301167</v>
      </c>
      <c r="F8810" t="str">
        <f t="shared" ref="F8810:F8831" si="1919">"7657065790"</f>
        <v>7657065790</v>
      </c>
      <c r="G8810" s="1">
        <v>44809</v>
      </c>
      <c r="H8810" t="str">
        <f>"81361"</f>
        <v>81361</v>
      </c>
      <c r="I8810">
        <v>1</v>
      </c>
      <c r="J8810">
        <v>17</v>
      </c>
      <c r="K8810">
        <v>0</v>
      </c>
      <c r="L8810">
        <v>13.26</v>
      </c>
    </row>
    <row r="8811" spans="1:12" x14ac:dyDescent="0.25">
      <c r="A8811" t="str">
        <f t="shared" si="1910"/>
        <v>89301000</v>
      </c>
      <c r="B8811" t="str">
        <f t="shared" si="1915"/>
        <v>93201000</v>
      </c>
      <c r="C8811" t="str">
        <f t="shared" si="1916"/>
        <v>93201250</v>
      </c>
      <c r="D8811" t="str">
        <f t="shared" si="1917"/>
        <v>801</v>
      </c>
      <c r="E8811" t="str">
        <f t="shared" si="1918"/>
        <v>89301167</v>
      </c>
      <c r="F8811" t="str">
        <f t="shared" si="1919"/>
        <v>7657065790</v>
      </c>
      <c r="G8811" s="1">
        <v>44809</v>
      </c>
      <c r="H8811" t="str">
        <f>"81471"</f>
        <v>81471</v>
      </c>
      <c r="I8811">
        <v>1</v>
      </c>
      <c r="J8811">
        <v>24</v>
      </c>
      <c r="K8811">
        <v>0</v>
      </c>
      <c r="L8811">
        <v>18.72</v>
      </c>
    </row>
    <row r="8812" spans="1:12" x14ac:dyDescent="0.25">
      <c r="A8812" t="str">
        <f t="shared" si="1910"/>
        <v>89301000</v>
      </c>
      <c r="B8812" t="str">
        <f t="shared" si="1915"/>
        <v>93201000</v>
      </c>
      <c r="C8812" t="str">
        <f t="shared" si="1916"/>
        <v>93201250</v>
      </c>
      <c r="D8812" t="str">
        <f t="shared" si="1917"/>
        <v>801</v>
      </c>
      <c r="E8812" t="str">
        <f t="shared" si="1918"/>
        <v>89301167</v>
      </c>
      <c r="F8812" t="str">
        <f t="shared" si="1919"/>
        <v>7657065790</v>
      </c>
      <c r="G8812" s="1">
        <v>44809</v>
      </c>
      <c r="H8812" t="str">
        <f>"81249"</f>
        <v>81249</v>
      </c>
      <c r="I8812">
        <v>1</v>
      </c>
      <c r="J8812">
        <v>333</v>
      </c>
      <c r="K8812">
        <v>0</v>
      </c>
      <c r="L8812">
        <v>259.74</v>
      </c>
    </row>
    <row r="8813" spans="1:12" x14ac:dyDescent="0.25">
      <c r="A8813" t="str">
        <f t="shared" si="1910"/>
        <v>89301000</v>
      </c>
      <c r="B8813" t="str">
        <f t="shared" si="1915"/>
        <v>93201000</v>
      </c>
      <c r="C8813" t="str">
        <f t="shared" si="1916"/>
        <v>93201250</v>
      </c>
      <c r="D8813" t="str">
        <f t="shared" si="1917"/>
        <v>801</v>
      </c>
      <c r="E8813" t="str">
        <f t="shared" si="1918"/>
        <v>89301167</v>
      </c>
      <c r="F8813" t="str">
        <f t="shared" si="1919"/>
        <v>7657065790</v>
      </c>
      <c r="G8813" s="1">
        <v>44809</v>
      </c>
      <c r="H8813" t="str">
        <f>"81469"</f>
        <v>81469</v>
      </c>
      <c r="I8813">
        <v>1</v>
      </c>
      <c r="J8813">
        <v>16</v>
      </c>
      <c r="K8813">
        <v>0</v>
      </c>
      <c r="L8813">
        <v>12.48</v>
      </c>
    </row>
    <row r="8814" spans="1:12" x14ac:dyDescent="0.25">
      <c r="A8814" t="str">
        <f t="shared" si="1910"/>
        <v>89301000</v>
      </c>
      <c r="B8814" t="str">
        <f t="shared" si="1915"/>
        <v>93201000</v>
      </c>
      <c r="C8814" t="str">
        <f t="shared" si="1916"/>
        <v>93201250</v>
      </c>
      <c r="D8814" t="str">
        <f t="shared" si="1917"/>
        <v>801</v>
      </c>
      <c r="E8814" t="str">
        <f t="shared" si="1918"/>
        <v>89301167</v>
      </c>
      <c r="F8814" t="str">
        <f t="shared" si="1919"/>
        <v>7657065790</v>
      </c>
      <c r="G8814" s="1">
        <v>44809</v>
      </c>
      <c r="H8814" t="str">
        <f>"81439"</f>
        <v>81439</v>
      </c>
      <c r="I8814">
        <v>1</v>
      </c>
      <c r="J8814">
        <v>16</v>
      </c>
      <c r="K8814">
        <v>0</v>
      </c>
      <c r="L8814">
        <v>12.48</v>
      </c>
    </row>
    <row r="8815" spans="1:12" x14ac:dyDescent="0.25">
      <c r="A8815" t="str">
        <f t="shared" si="1910"/>
        <v>89301000</v>
      </c>
      <c r="B8815" t="str">
        <f t="shared" si="1915"/>
        <v>93201000</v>
      </c>
      <c r="C8815" t="str">
        <f t="shared" si="1916"/>
        <v>93201250</v>
      </c>
      <c r="D8815" t="str">
        <f t="shared" si="1917"/>
        <v>801</v>
      </c>
      <c r="E8815" t="str">
        <f t="shared" si="1918"/>
        <v>89301167</v>
      </c>
      <c r="F8815" t="str">
        <f t="shared" si="1919"/>
        <v>7657065790</v>
      </c>
      <c r="G8815" s="1">
        <v>44809</v>
      </c>
      <c r="H8815" t="str">
        <f>"81435"</f>
        <v>81435</v>
      </c>
      <c r="I8815">
        <v>1</v>
      </c>
      <c r="J8815">
        <v>22</v>
      </c>
      <c r="K8815">
        <v>0</v>
      </c>
      <c r="L8815">
        <v>17.16</v>
      </c>
    </row>
    <row r="8816" spans="1:12" x14ac:dyDescent="0.25">
      <c r="A8816" t="str">
        <f t="shared" si="1910"/>
        <v>89301000</v>
      </c>
      <c r="B8816" t="str">
        <f t="shared" si="1915"/>
        <v>93201000</v>
      </c>
      <c r="C8816" t="str">
        <f t="shared" si="1916"/>
        <v>93201250</v>
      </c>
      <c r="D8816" t="str">
        <f t="shared" si="1917"/>
        <v>801</v>
      </c>
      <c r="E8816" t="str">
        <f t="shared" si="1918"/>
        <v>89301167</v>
      </c>
      <c r="F8816" t="str">
        <f t="shared" si="1919"/>
        <v>7657065790</v>
      </c>
      <c r="G8816" s="1">
        <v>44809</v>
      </c>
      <c r="H8816" t="str">
        <f>"81495"</f>
        <v>81495</v>
      </c>
      <c r="I8816">
        <v>1</v>
      </c>
      <c r="J8816">
        <v>31</v>
      </c>
      <c r="K8816">
        <v>0</v>
      </c>
      <c r="L8816">
        <v>24.18</v>
      </c>
    </row>
    <row r="8817" spans="1:12" x14ac:dyDescent="0.25">
      <c r="A8817" t="str">
        <f t="shared" si="1910"/>
        <v>89301000</v>
      </c>
      <c r="B8817" t="str">
        <f t="shared" si="1915"/>
        <v>93201000</v>
      </c>
      <c r="C8817" t="str">
        <f t="shared" si="1916"/>
        <v>93201250</v>
      </c>
      <c r="D8817" t="str">
        <f t="shared" si="1917"/>
        <v>801</v>
      </c>
      <c r="E8817" t="str">
        <f t="shared" si="1918"/>
        <v>89301167</v>
      </c>
      <c r="F8817" t="str">
        <f t="shared" si="1919"/>
        <v>7657065790</v>
      </c>
      <c r="G8817" s="1">
        <v>44809</v>
      </c>
      <c r="H8817" t="str">
        <f>"81393"</f>
        <v>81393</v>
      </c>
      <c r="I8817">
        <v>1</v>
      </c>
      <c r="J8817">
        <v>24</v>
      </c>
      <c r="K8817">
        <v>0</v>
      </c>
      <c r="L8817">
        <v>18.72</v>
      </c>
    </row>
    <row r="8818" spans="1:12" x14ac:dyDescent="0.25">
      <c r="A8818" t="str">
        <f t="shared" si="1910"/>
        <v>89301000</v>
      </c>
      <c r="B8818" t="str">
        <f t="shared" si="1915"/>
        <v>93201000</v>
      </c>
      <c r="C8818" t="str">
        <f t="shared" si="1916"/>
        <v>93201250</v>
      </c>
      <c r="D8818" t="str">
        <f t="shared" si="1917"/>
        <v>801</v>
      </c>
      <c r="E8818" t="str">
        <f t="shared" si="1918"/>
        <v>89301167</v>
      </c>
      <c r="F8818" t="str">
        <f t="shared" si="1919"/>
        <v>7657065790</v>
      </c>
      <c r="G8818" s="1">
        <v>44809</v>
      </c>
      <c r="H8818" t="str">
        <f>"81499"</f>
        <v>81499</v>
      </c>
      <c r="I8818">
        <v>1</v>
      </c>
      <c r="J8818">
        <v>18</v>
      </c>
      <c r="K8818">
        <v>0</v>
      </c>
      <c r="L8818">
        <v>14.04</v>
      </c>
    </row>
    <row r="8819" spans="1:12" x14ac:dyDescent="0.25">
      <c r="A8819" t="str">
        <f t="shared" si="1910"/>
        <v>89301000</v>
      </c>
      <c r="B8819" t="str">
        <f t="shared" si="1915"/>
        <v>93201000</v>
      </c>
      <c r="C8819" t="str">
        <f t="shared" si="1916"/>
        <v>93201250</v>
      </c>
      <c r="D8819" t="str">
        <f t="shared" si="1917"/>
        <v>801</v>
      </c>
      <c r="E8819" t="str">
        <f t="shared" si="1918"/>
        <v>89301167</v>
      </c>
      <c r="F8819" t="str">
        <f t="shared" si="1919"/>
        <v>7657065790</v>
      </c>
      <c r="G8819" s="1">
        <v>44809</v>
      </c>
      <c r="H8819" t="str">
        <f>"81523"</f>
        <v>81523</v>
      </c>
      <c r="I8819">
        <v>1</v>
      </c>
      <c r="J8819">
        <v>23</v>
      </c>
      <c r="K8819">
        <v>0</v>
      </c>
      <c r="L8819">
        <v>17.940000000000001</v>
      </c>
    </row>
    <row r="8820" spans="1:12" x14ac:dyDescent="0.25">
      <c r="A8820" t="str">
        <f t="shared" si="1910"/>
        <v>89301000</v>
      </c>
      <c r="B8820" t="str">
        <f t="shared" si="1915"/>
        <v>93201000</v>
      </c>
      <c r="C8820" t="str">
        <f t="shared" si="1916"/>
        <v>93201250</v>
      </c>
      <c r="D8820" t="str">
        <f t="shared" si="1917"/>
        <v>801</v>
      </c>
      <c r="E8820" t="str">
        <f t="shared" si="1918"/>
        <v>89301167</v>
      </c>
      <c r="F8820" t="str">
        <f t="shared" si="1919"/>
        <v>7657065790</v>
      </c>
      <c r="G8820" s="1">
        <v>44809</v>
      </c>
      <c r="H8820" t="str">
        <f>"81593"</f>
        <v>81593</v>
      </c>
      <c r="I8820">
        <v>1</v>
      </c>
      <c r="J8820">
        <v>22</v>
      </c>
      <c r="K8820">
        <v>0</v>
      </c>
      <c r="L8820">
        <v>17.16</v>
      </c>
    </row>
    <row r="8821" spans="1:12" x14ac:dyDescent="0.25">
      <c r="A8821" t="str">
        <f t="shared" si="1910"/>
        <v>89301000</v>
      </c>
      <c r="B8821" t="str">
        <f t="shared" si="1915"/>
        <v>93201000</v>
      </c>
      <c r="C8821" t="str">
        <f t="shared" si="1916"/>
        <v>93201250</v>
      </c>
      <c r="D8821" t="str">
        <f t="shared" si="1917"/>
        <v>801</v>
      </c>
      <c r="E8821" t="str">
        <f t="shared" si="1918"/>
        <v>89301167</v>
      </c>
      <c r="F8821" t="str">
        <f t="shared" si="1919"/>
        <v>7657065790</v>
      </c>
      <c r="G8821" s="1">
        <v>44809</v>
      </c>
      <c r="H8821" t="str">
        <f>"81383"</f>
        <v>81383</v>
      </c>
      <c r="I8821">
        <v>1</v>
      </c>
      <c r="J8821">
        <v>23</v>
      </c>
      <c r="K8821">
        <v>0</v>
      </c>
      <c r="L8821">
        <v>17.940000000000001</v>
      </c>
    </row>
    <row r="8822" spans="1:12" x14ac:dyDescent="0.25">
      <c r="A8822" t="str">
        <f t="shared" si="1910"/>
        <v>89301000</v>
      </c>
      <c r="B8822" t="str">
        <f t="shared" si="1915"/>
        <v>93201000</v>
      </c>
      <c r="C8822" t="str">
        <f t="shared" si="1916"/>
        <v>93201250</v>
      </c>
      <c r="D8822" t="str">
        <f t="shared" si="1917"/>
        <v>801</v>
      </c>
      <c r="E8822" t="str">
        <f t="shared" si="1918"/>
        <v>89301167</v>
      </c>
      <c r="F8822" t="str">
        <f t="shared" si="1919"/>
        <v>7657065790</v>
      </c>
      <c r="G8822" s="1">
        <v>44809</v>
      </c>
      <c r="H8822" t="str">
        <f>"81365"</f>
        <v>81365</v>
      </c>
      <c r="I8822">
        <v>1</v>
      </c>
      <c r="J8822">
        <v>16</v>
      </c>
      <c r="K8822">
        <v>0</v>
      </c>
      <c r="L8822">
        <v>12.48</v>
      </c>
    </row>
    <row r="8823" spans="1:12" x14ac:dyDescent="0.25">
      <c r="A8823" t="str">
        <f t="shared" si="1910"/>
        <v>89301000</v>
      </c>
      <c r="B8823" t="str">
        <f t="shared" si="1915"/>
        <v>93201000</v>
      </c>
      <c r="C8823" t="str">
        <f t="shared" si="1916"/>
        <v>93201250</v>
      </c>
      <c r="D8823" t="str">
        <f t="shared" si="1917"/>
        <v>801</v>
      </c>
      <c r="E8823" t="str">
        <f t="shared" si="1918"/>
        <v>89301167</v>
      </c>
      <c r="F8823" t="str">
        <f t="shared" si="1919"/>
        <v>7657065790</v>
      </c>
      <c r="G8823" s="1">
        <v>44809</v>
      </c>
      <c r="H8823" t="str">
        <f>"81611"</f>
        <v>81611</v>
      </c>
      <c r="I8823">
        <v>1</v>
      </c>
      <c r="J8823">
        <v>29</v>
      </c>
      <c r="K8823">
        <v>0</v>
      </c>
      <c r="L8823">
        <v>22.62</v>
      </c>
    </row>
    <row r="8824" spans="1:12" x14ac:dyDescent="0.25">
      <c r="A8824" t="str">
        <f t="shared" si="1910"/>
        <v>89301000</v>
      </c>
      <c r="B8824" t="str">
        <f t="shared" si="1915"/>
        <v>93201000</v>
      </c>
      <c r="C8824" t="str">
        <f t="shared" si="1916"/>
        <v>93201250</v>
      </c>
      <c r="D8824" t="str">
        <f t="shared" si="1917"/>
        <v>801</v>
      </c>
      <c r="E8824" t="str">
        <f t="shared" si="1918"/>
        <v>89301167</v>
      </c>
      <c r="F8824" t="str">
        <f t="shared" si="1919"/>
        <v>7657065790</v>
      </c>
      <c r="G8824" s="1">
        <v>44809</v>
      </c>
      <c r="H8824" t="str">
        <f>"81621"</f>
        <v>81621</v>
      </c>
      <c r="I8824">
        <v>1</v>
      </c>
      <c r="J8824">
        <v>19</v>
      </c>
      <c r="K8824">
        <v>0</v>
      </c>
      <c r="L8824">
        <v>14.82</v>
      </c>
    </row>
    <row r="8825" spans="1:12" x14ac:dyDescent="0.25">
      <c r="A8825" t="str">
        <f t="shared" si="1910"/>
        <v>89301000</v>
      </c>
      <c r="B8825" t="str">
        <f t="shared" si="1915"/>
        <v>93201000</v>
      </c>
      <c r="C8825" t="str">
        <f t="shared" si="1916"/>
        <v>93201250</v>
      </c>
      <c r="D8825" t="str">
        <f t="shared" si="1917"/>
        <v>801</v>
      </c>
      <c r="E8825" t="str">
        <f t="shared" si="1918"/>
        <v>89301167</v>
      </c>
      <c r="F8825" t="str">
        <f t="shared" si="1919"/>
        <v>7657065790</v>
      </c>
      <c r="G8825" s="1">
        <v>44809</v>
      </c>
      <c r="H8825" t="str">
        <f>"81563"</f>
        <v>81563</v>
      </c>
      <c r="I8825">
        <v>1</v>
      </c>
      <c r="J8825">
        <v>14</v>
      </c>
      <c r="K8825">
        <v>0</v>
      </c>
      <c r="L8825">
        <v>10.92</v>
      </c>
    </row>
    <row r="8826" spans="1:12" x14ac:dyDescent="0.25">
      <c r="A8826" t="str">
        <f t="shared" si="1910"/>
        <v>89301000</v>
      </c>
      <c r="B8826" t="str">
        <f t="shared" si="1915"/>
        <v>93201000</v>
      </c>
      <c r="C8826" t="str">
        <f t="shared" si="1916"/>
        <v>93201250</v>
      </c>
      <c r="D8826" t="str">
        <f t="shared" si="1917"/>
        <v>801</v>
      </c>
      <c r="E8826" t="str">
        <f t="shared" si="1918"/>
        <v>89301167</v>
      </c>
      <c r="F8826" t="str">
        <f t="shared" si="1919"/>
        <v>7657065790</v>
      </c>
      <c r="G8826" s="1">
        <v>44809</v>
      </c>
      <c r="H8826" t="str">
        <f>"97111"</f>
        <v>97111</v>
      </c>
      <c r="I8826">
        <v>1</v>
      </c>
      <c r="J8826">
        <v>18</v>
      </c>
      <c r="K8826">
        <v>0</v>
      </c>
      <c r="L8826">
        <v>14.04</v>
      </c>
    </row>
    <row r="8827" spans="1:12" x14ac:dyDescent="0.25">
      <c r="A8827" t="str">
        <f t="shared" si="1910"/>
        <v>89301000</v>
      </c>
      <c r="B8827" t="str">
        <f t="shared" si="1915"/>
        <v>93201000</v>
      </c>
      <c r="C8827" t="str">
        <f t="shared" si="1916"/>
        <v>93201250</v>
      </c>
      <c r="D8827" t="str">
        <f t="shared" si="1917"/>
        <v>801</v>
      </c>
      <c r="E8827" t="str">
        <f t="shared" si="1918"/>
        <v>89301167</v>
      </c>
      <c r="F8827" t="str">
        <f t="shared" si="1919"/>
        <v>7657065790</v>
      </c>
      <c r="G8827" s="1">
        <v>44809</v>
      </c>
      <c r="H8827" t="str">
        <f>"81329"</f>
        <v>81329</v>
      </c>
      <c r="I8827">
        <v>1</v>
      </c>
      <c r="J8827">
        <v>16</v>
      </c>
      <c r="K8827">
        <v>0</v>
      </c>
      <c r="L8827">
        <v>12.48</v>
      </c>
    </row>
    <row r="8828" spans="1:12" x14ac:dyDescent="0.25">
      <c r="A8828" t="str">
        <f t="shared" si="1910"/>
        <v>89301000</v>
      </c>
      <c r="B8828" t="str">
        <f t="shared" si="1915"/>
        <v>93201000</v>
      </c>
      <c r="C8828" t="str">
        <f t="shared" si="1916"/>
        <v>93201250</v>
      </c>
      <c r="D8828" t="str">
        <f t="shared" si="1917"/>
        <v>801</v>
      </c>
      <c r="E8828" t="str">
        <f t="shared" si="1918"/>
        <v>89301167</v>
      </c>
      <c r="F8828" t="str">
        <f t="shared" si="1919"/>
        <v>7657065790</v>
      </c>
      <c r="G8828" s="1">
        <v>44809</v>
      </c>
      <c r="H8828" t="str">
        <f>"81337"</f>
        <v>81337</v>
      </c>
      <c r="I8828">
        <v>1</v>
      </c>
      <c r="J8828">
        <v>19</v>
      </c>
      <c r="K8828">
        <v>0</v>
      </c>
      <c r="L8828">
        <v>14.82</v>
      </c>
    </row>
    <row r="8829" spans="1:12" x14ac:dyDescent="0.25">
      <c r="A8829" t="str">
        <f t="shared" si="1910"/>
        <v>89301000</v>
      </c>
      <c r="B8829" t="str">
        <f t="shared" si="1915"/>
        <v>93201000</v>
      </c>
      <c r="C8829" t="str">
        <f t="shared" si="1916"/>
        <v>93201250</v>
      </c>
      <c r="D8829" t="str">
        <f t="shared" si="1917"/>
        <v>801</v>
      </c>
      <c r="E8829" t="str">
        <f t="shared" si="1918"/>
        <v>89301167</v>
      </c>
      <c r="F8829" t="str">
        <f t="shared" si="1919"/>
        <v>7657065790</v>
      </c>
      <c r="G8829" s="1">
        <v>44809</v>
      </c>
      <c r="H8829" t="str">
        <f>"81357"</f>
        <v>81357</v>
      </c>
      <c r="I8829">
        <v>1</v>
      </c>
      <c r="J8829">
        <v>19</v>
      </c>
      <c r="K8829">
        <v>0</v>
      </c>
      <c r="L8829">
        <v>14.82</v>
      </c>
    </row>
    <row r="8830" spans="1:12" x14ac:dyDescent="0.25">
      <c r="A8830" t="str">
        <f t="shared" si="1910"/>
        <v>89301000</v>
      </c>
      <c r="B8830" t="str">
        <f t="shared" si="1915"/>
        <v>93201000</v>
      </c>
      <c r="C8830" t="str">
        <f t="shared" si="1916"/>
        <v>93201250</v>
      </c>
      <c r="D8830" t="str">
        <f t="shared" si="1917"/>
        <v>801</v>
      </c>
      <c r="E8830" t="str">
        <f t="shared" si="1918"/>
        <v>89301167</v>
      </c>
      <c r="F8830" t="str">
        <f t="shared" si="1919"/>
        <v>7657065790</v>
      </c>
      <c r="G8830" s="1">
        <v>44809</v>
      </c>
      <c r="H8830" t="str">
        <f>"81421"</f>
        <v>81421</v>
      </c>
      <c r="I8830">
        <v>1</v>
      </c>
      <c r="J8830">
        <v>19</v>
      </c>
      <c r="K8830">
        <v>0</v>
      </c>
      <c r="L8830">
        <v>14.82</v>
      </c>
    </row>
    <row r="8831" spans="1:12" x14ac:dyDescent="0.25">
      <c r="A8831" t="str">
        <f t="shared" si="1910"/>
        <v>89301000</v>
      </c>
      <c r="B8831" t="str">
        <f t="shared" si="1915"/>
        <v>93201000</v>
      </c>
      <c r="C8831" t="str">
        <f t="shared" si="1916"/>
        <v>93201250</v>
      </c>
      <c r="D8831" t="str">
        <f t="shared" si="1917"/>
        <v>801</v>
      </c>
      <c r="E8831" t="str">
        <f t="shared" si="1918"/>
        <v>89301167</v>
      </c>
      <c r="F8831" t="str">
        <f t="shared" si="1919"/>
        <v>7657065790</v>
      </c>
      <c r="G8831" s="1">
        <v>44809</v>
      </c>
      <c r="H8831" t="str">
        <f>"81625"</f>
        <v>81625</v>
      </c>
      <c r="I8831">
        <v>1</v>
      </c>
      <c r="J8831">
        <v>20</v>
      </c>
      <c r="K8831">
        <v>0</v>
      </c>
      <c r="L8831">
        <v>15.6</v>
      </c>
    </row>
    <row r="8832" spans="1:12" x14ac:dyDescent="0.25">
      <c r="A8832" t="str">
        <f t="shared" si="1910"/>
        <v>89301000</v>
      </c>
      <c r="B8832" t="str">
        <f t="shared" ref="B8832:B8862" si="1920">"89895000"</f>
        <v>89895000</v>
      </c>
      <c r="C8832" t="str">
        <f t="shared" ref="C8832:C8862" si="1921">"89895002"</f>
        <v>89895002</v>
      </c>
      <c r="D8832" t="str">
        <f t="shared" ref="D8832:D8862" si="1922">"809"</f>
        <v>809</v>
      </c>
      <c r="E8832" t="str">
        <f>"89301212"</f>
        <v>89301212</v>
      </c>
      <c r="F8832" t="str">
        <f>"356205759"</f>
        <v>356205759</v>
      </c>
      <c r="G8832" s="1">
        <v>44827</v>
      </c>
      <c r="H8832" t="str">
        <f>"89512"</f>
        <v>89512</v>
      </c>
      <c r="I8832">
        <v>1</v>
      </c>
      <c r="J8832">
        <v>277</v>
      </c>
      <c r="K8832">
        <v>0</v>
      </c>
      <c r="L8832">
        <v>387.8</v>
      </c>
    </row>
    <row r="8833" spans="1:12" x14ac:dyDescent="0.25">
      <c r="A8833" t="str">
        <f t="shared" si="1910"/>
        <v>89301000</v>
      </c>
      <c r="B8833" t="str">
        <f t="shared" si="1920"/>
        <v>89895000</v>
      </c>
      <c r="C8833" t="str">
        <f t="shared" si="1921"/>
        <v>89895002</v>
      </c>
      <c r="D8833" t="str">
        <f t="shared" si="1922"/>
        <v>809</v>
      </c>
      <c r="E8833" t="str">
        <f>"89301212"</f>
        <v>89301212</v>
      </c>
      <c r="F8833" t="str">
        <f>"405510426"</f>
        <v>405510426</v>
      </c>
      <c r="G8833" s="1">
        <v>44830</v>
      </c>
      <c r="H8833" t="str">
        <f>"89512"</f>
        <v>89512</v>
      </c>
      <c r="I8833">
        <v>1</v>
      </c>
      <c r="J8833">
        <v>277</v>
      </c>
      <c r="K8833">
        <v>0</v>
      </c>
      <c r="L8833">
        <v>387.8</v>
      </c>
    </row>
    <row r="8834" spans="1:12" x14ac:dyDescent="0.25">
      <c r="A8834" t="str">
        <f t="shared" ref="A8834:A8897" si="1923">"89301000"</f>
        <v>89301000</v>
      </c>
      <c r="B8834" t="str">
        <f t="shared" si="1920"/>
        <v>89895000</v>
      </c>
      <c r="C8834" t="str">
        <f t="shared" si="1921"/>
        <v>89895002</v>
      </c>
      <c r="D8834" t="str">
        <f t="shared" si="1922"/>
        <v>809</v>
      </c>
      <c r="E8834" t="str">
        <f>"89301212"</f>
        <v>89301212</v>
      </c>
      <c r="F8834" t="str">
        <f>"475419412"</f>
        <v>475419412</v>
      </c>
      <c r="G8834" s="1">
        <v>44818</v>
      </c>
      <c r="H8834" t="str">
        <f>"89180"</f>
        <v>89180</v>
      </c>
      <c r="I8834">
        <v>2</v>
      </c>
      <c r="J8834">
        <v>752</v>
      </c>
      <c r="K8834">
        <v>0</v>
      </c>
      <c r="L8834">
        <v>1052.8</v>
      </c>
    </row>
    <row r="8835" spans="1:12" x14ac:dyDescent="0.25">
      <c r="A8835" t="str">
        <f t="shared" si="1923"/>
        <v>89301000</v>
      </c>
      <c r="B8835" t="str">
        <f t="shared" si="1920"/>
        <v>89895000</v>
      </c>
      <c r="C8835" t="str">
        <f t="shared" si="1921"/>
        <v>89895002</v>
      </c>
      <c r="D8835" t="str">
        <f t="shared" si="1922"/>
        <v>809</v>
      </c>
      <c r="E8835" t="str">
        <f>"89301215"</f>
        <v>89301215</v>
      </c>
      <c r="F8835" t="str">
        <f>"475819437"</f>
        <v>475819437</v>
      </c>
      <c r="G8835" s="1">
        <v>44823</v>
      </c>
      <c r="H8835" t="str">
        <f>"89180"</f>
        <v>89180</v>
      </c>
      <c r="I8835">
        <v>1</v>
      </c>
      <c r="J8835">
        <v>376</v>
      </c>
      <c r="K8835">
        <v>0</v>
      </c>
      <c r="L8835">
        <v>526.4</v>
      </c>
    </row>
    <row r="8836" spans="1:12" x14ac:dyDescent="0.25">
      <c r="A8836" t="str">
        <f t="shared" si="1923"/>
        <v>89301000</v>
      </c>
      <c r="B8836" t="str">
        <f t="shared" si="1920"/>
        <v>89895000</v>
      </c>
      <c r="C8836" t="str">
        <f t="shared" si="1921"/>
        <v>89895002</v>
      </c>
      <c r="D8836" t="str">
        <f t="shared" si="1922"/>
        <v>809</v>
      </c>
      <c r="E8836" t="str">
        <f>"89301215"</f>
        <v>89301215</v>
      </c>
      <c r="F8836" t="str">
        <f>"475819437"</f>
        <v>475819437</v>
      </c>
      <c r="G8836" s="1">
        <v>44823</v>
      </c>
      <c r="H8836" t="str">
        <f>"89512"</f>
        <v>89512</v>
      </c>
      <c r="I8836">
        <v>1</v>
      </c>
      <c r="J8836">
        <v>277</v>
      </c>
      <c r="K8836">
        <v>0</v>
      </c>
      <c r="L8836">
        <v>387.8</v>
      </c>
    </row>
    <row r="8837" spans="1:12" x14ac:dyDescent="0.25">
      <c r="A8837" t="str">
        <f t="shared" si="1923"/>
        <v>89301000</v>
      </c>
      <c r="B8837" t="str">
        <f t="shared" si="1920"/>
        <v>89895000</v>
      </c>
      <c r="C8837" t="str">
        <f t="shared" si="1921"/>
        <v>89895002</v>
      </c>
      <c r="D8837" t="str">
        <f t="shared" si="1922"/>
        <v>809</v>
      </c>
      <c r="E8837" t="str">
        <f t="shared" ref="E8837:E8862" si="1924">"89301212"</f>
        <v>89301212</v>
      </c>
      <c r="F8837" t="str">
        <f>"485308405"</f>
        <v>485308405</v>
      </c>
      <c r="G8837" s="1">
        <v>44825</v>
      </c>
      <c r="H8837" t="str">
        <f>"89180"</f>
        <v>89180</v>
      </c>
      <c r="I8837">
        <v>2</v>
      </c>
      <c r="J8837">
        <v>752</v>
      </c>
      <c r="K8837">
        <v>0</v>
      </c>
      <c r="L8837">
        <v>1052.8</v>
      </c>
    </row>
    <row r="8838" spans="1:12" x14ac:dyDescent="0.25">
      <c r="A8838" t="str">
        <f t="shared" si="1923"/>
        <v>89301000</v>
      </c>
      <c r="B8838" t="str">
        <f t="shared" si="1920"/>
        <v>89895000</v>
      </c>
      <c r="C8838" t="str">
        <f t="shared" si="1921"/>
        <v>89895002</v>
      </c>
      <c r="D8838" t="str">
        <f t="shared" si="1922"/>
        <v>809</v>
      </c>
      <c r="E8838" t="str">
        <f t="shared" si="1924"/>
        <v>89301212</v>
      </c>
      <c r="F8838" t="str">
        <f>"485308405"</f>
        <v>485308405</v>
      </c>
      <c r="G8838" s="1">
        <v>44825</v>
      </c>
      <c r="H8838" t="str">
        <f>"89512"</f>
        <v>89512</v>
      </c>
      <c r="I8838">
        <v>1</v>
      </c>
      <c r="J8838">
        <v>277</v>
      </c>
      <c r="K8838">
        <v>0</v>
      </c>
      <c r="L8838">
        <v>387.8</v>
      </c>
    </row>
    <row r="8839" spans="1:12" x14ac:dyDescent="0.25">
      <c r="A8839" t="str">
        <f t="shared" si="1923"/>
        <v>89301000</v>
      </c>
      <c r="B8839" t="str">
        <f t="shared" si="1920"/>
        <v>89895000</v>
      </c>
      <c r="C8839" t="str">
        <f t="shared" si="1921"/>
        <v>89895002</v>
      </c>
      <c r="D8839" t="str">
        <f t="shared" si="1922"/>
        <v>809</v>
      </c>
      <c r="E8839" t="str">
        <f t="shared" si="1924"/>
        <v>89301212</v>
      </c>
      <c r="F8839" t="str">
        <f>"506227139"</f>
        <v>506227139</v>
      </c>
      <c r="G8839" s="1">
        <v>44823</v>
      </c>
      <c r="H8839" t="str">
        <f>"89180"</f>
        <v>89180</v>
      </c>
      <c r="I8839">
        <v>2</v>
      </c>
      <c r="J8839">
        <v>752</v>
      </c>
      <c r="K8839">
        <v>0</v>
      </c>
      <c r="L8839">
        <v>1052.8</v>
      </c>
    </row>
    <row r="8840" spans="1:12" x14ac:dyDescent="0.25">
      <c r="A8840" t="str">
        <f t="shared" si="1923"/>
        <v>89301000</v>
      </c>
      <c r="B8840" t="str">
        <f t="shared" si="1920"/>
        <v>89895000</v>
      </c>
      <c r="C8840" t="str">
        <f t="shared" si="1921"/>
        <v>89895002</v>
      </c>
      <c r="D8840" t="str">
        <f t="shared" si="1922"/>
        <v>809</v>
      </c>
      <c r="E8840" t="str">
        <f t="shared" si="1924"/>
        <v>89301212</v>
      </c>
      <c r="F8840" t="str">
        <f>"506227139"</f>
        <v>506227139</v>
      </c>
      <c r="G8840" s="1">
        <v>44823</v>
      </c>
      <c r="H8840" t="str">
        <f>"89512"</f>
        <v>89512</v>
      </c>
      <c r="I8840">
        <v>1</v>
      </c>
      <c r="J8840">
        <v>277</v>
      </c>
      <c r="K8840">
        <v>0</v>
      </c>
      <c r="L8840">
        <v>387.8</v>
      </c>
    </row>
    <row r="8841" spans="1:12" x14ac:dyDescent="0.25">
      <c r="A8841" t="str">
        <f t="shared" si="1923"/>
        <v>89301000</v>
      </c>
      <c r="B8841" t="str">
        <f t="shared" si="1920"/>
        <v>89895000</v>
      </c>
      <c r="C8841" t="str">
        <f t="shared" si="1921"/>
        <v>89895002</v>
      </c>
      <c r="D8841" t="str">
        <f t="shared" si="1922"/>
        <v>809</v>
      </c>
      <c r="E8841" t="str">
        <f t="shared" si="1924"/>
        <v>89301212</v>
      </c>
      <c r="F8841" t="str">
        <f>"506227139"</f>
        <v>506227139</v>
      </c>
      <c r="G8841" s="1">
        <v>44823</v>
      </c>
      <c r="H8841" t="str">
        <f>"09511"</f>
        <v>09511</v>
      </c>
      <c r="I8841">
        <v>1</v>
      </c>
      <c r="J8841">
        <v>43</v>
      </c>
      <c r="K8841">
        <v>0</v>
      </c>
      <c r="L8841">
        <v>60.2</v>
      </c>
    </row>
    <row r="8842" spans="1:12" x14ac:dyDescent="0.25">
      <c r="A8842" t="str">
        <f t="shared" si="1923"/>
        <v>89301000</v>
      </c>
      <c r="B8842" t="str">
        <f t="shared" si="1920"/>
        <v>89895000</v>
      </c>
      <c r="C8842" t="str">
        <f t="shared" si="1921"/>
        <v>89895002</v>
      </c>
      <c r="D8842" t="str">
        <f t="shared" si="1922"/>
        <v>809</v>
      </c>
      <c r="E8842" t="str">
        <f t="shared" si="1924"/>
        <v>89301212</v>
      </c>
      <c r="F8842" t="str">
        <f>"5762211851"</f>
        <v>5762211851</v>
      </c>
      <c r="G8842" s="1">
        <v>44817</v>
      </c>
      <c r="H8842" t="str">
        <f>"89180"</f>
        <v>89180</v>
      </c>
      <c r="I8842">
        <v>2</v>
      </c>
      <c r="J8842">
        <v>752</v>
      </c>
      <c r="K8842">
        <v>0</v>
      </c>
      <c r="L8842">
        <v>1052.8</v>
      </c>
    </row>
    <row r="8843" spans="1:12" x14ac:dyDescent="0.25">
      <c r="A8843" t="str">
        <f t="shared" si="1923"/>
        <v>89301000</v>
      </c>
      <c r="B8843" t="str">
        <f t="shared" si="1920"/>
        <v>89895000</v>
      </c>
      <c r="C8843" t="str">
        <f t="shared" si="1921"/>
        <v>89895002</v>
      </c>
      <c r="D8843" t="str">
        <f t="shared" si="1922"/>
        <v>809</v>
      </c>
      <c r="E8843" t="str">
        <f t="shared" si="1924"/>
        <v>89301212</v>
      </c>
      <c r="F8843" t="str">
        <f>"5762211851"</f>
        <v>5762211851</v>
      </c>
      <c r="G8843" s="1">
        <v>44817</v>
      </c>
      <c r="H8843" t="str">
        <f>"89512"</f>
        <v>89512</v>
      </c>
      <c r="I8843">
        <v>1</v>
      </c>
      <c r="J8843">
        <v>277</v>
      </c>
      <c r="K8843">
        <v>0</v>
      </c>
      <c r="L8843">
        <v>387.8</v>
      </c>
    </row>
    <row r="8844" spans="1:12" x14ac:dyDescent="0.25">
      <c r="A8844" t="str">
        <f t="shared" si="1923"/>
        <v>89301000</v>
      </c>
      <c r="B8844" t="str">
        <f t="shared" si="1920"/>
        <v>89895000</v>
      </c>
      <c r="C8844" t="str">
        <f t="shared" si="1921"/>
        <v>89895002</v>
      </c>
      <c r="D8844" t="str">
        <f t="shared" si="1922"/>
        <v>809</v>
      </c>
      <c r="E8844" t="str">
        <f t="shared" si="1924"/>
        <v>89301212</v>
      </c>
      <c r="F8844" t="str">
        <f>"5762211851"</f>
        <v>5762211851</v>
      </c>
      <c r="G8844" s="1">
        <v>44817</v>
      </c>
      <c r="H8844" t="str">
        <f>"09511"</f>
        <v>09511</v>
      </c>
      <c r="I8844">
        <v>1</v>
      </c>
      <c r="J8844">
        <v>43</v>
      </c>
      <c r="K8844">
        <v>0</v>
      </c>
      <c r="L8844">
        <v>60.2</v>
      </c>
    </row>
    <row r="8845" spans="1:12" x14ac:dyDescent="0.25">
      <c r="A8845" t="str">
        <f t="shared" si="1923"/>
        <v>89301000</v>
      </c>
      <c r="B8845" t="str">
        <f t="shared" si="1920"/>
        <v>89895000</v>
      </c>
      <c r="C8845" t="str">
        <f t="shared" si="1921"/>
        <v>89895002</v>
      </c>
      <c r="D8845" t="str">
        <f t="shared" si="1922"/>
        <v>809</v>
      </c>
      <c r="E8845" t="str">
        <f t="shared" si="1924"/>
        <v>89301212</v>
      </c>
      <c r="F8845" t="str">
        <f>"5956232249"</f>
        <v>5956232249</v>
      </c>
      <c r="G8845" s="1">
        <v>44806</v>
      </c>
      <c r="H8845" t="str">
        <f>"89512"</f>
        <v>89512</v>
      </c>
      <c r="I8845">
        <v>1</v>
      </c>
      <c r="J8845">
        <v>277</v>
      </c>
      <c r="K8845">
        <v>0</v>
      </c>
      <c r="L8845">
        <v>387.8</v>
      </c>
    </row>
    <row r="8846" spans="1:12" x14ac:dyDescent="0.25">
      <c r="A8846" t="str">
        <f t="shared" si="1923"/>
        <v>89301000</v>
      </c>
      <c r="B8846" t="str">
        <f t="shared" si="1920"/>
        <v>89895000</v>
      </c>
      <c r="C8846" t="str">
        <f t="shared" si="1921"/>
        <v>89895002</v>
      </c>
      <c r="D8846" t="str">
        <f t="shared" si="1922"/>
        <v>809</v>
      </c>
      <c r="E8846" t="str">
        <f t="shared" si="1924"/>
        <v>89301212</v>
      </c>
      <c r="F8846" t="str">
        <f>"6257230485"</f>
        <v>6257230485</v>
      </c>
      <c r="G8846" s="1">
        <v>44813</v>
      </c>
      <c r="H8846" t="str">
        <f>"89513"</f>
        <v>89513</v>
      </c>
      <c r="I8846">
        <v>1</v>
      </c>
      <c r="J8846">
        <v>371</v>
      </c>
      <c r="K8846">
        <v>0</v>
      </c>
      <c r="L8846">
        <v>519.4</v>
      </c>
    </row>
    <row r="8847" spans="1:12" x14ac:dyDescent="0.25">
      <c r="A8847" t="str">
        <f t="shared" si="1923"/>
        <v>89301000</v>
      </c>
      <c r="B8847" t="str">
        <f t="shared" si="1920"/>
        <v>89895000</v>
      </c>
      <c r="C8847" t="str">
        <f t="shared" si="1921"/>
        <v>89895002</v>
      </c>
      <c r="D8847" t="str">
        <f t="shared" si="1922"/>
        <v>809</v>
      </c>
      <c r="E8847" t="str">
        <f t="shared" si="1924"/>
        <v>89301212</v>
      </c>
      <c r="F8847" t="str">
        <f>"6257230485"</f>
        <v>6257230485</v>
      </c>
      <c r="G8847" s="1">
        <v>44813</v>
      </c>
      <c r="H8847" t="str">
        <f>"89514"</f>
        <v>89514</v>
      </c>
      <c r="I8847">
        <v>1</v>
      </c>
      <c r="J8847">
        <v>371</v>
      </c>
      <c r="K8847">
        <v>0</v>
      </c>
      <c r="L8847">
        <v>519.4</v>
      </c>
    </row>
    <row r="8848" spans="1:12" x14ac:dyDescent="0.25">
      <c r="A8848" t="str">
        <f t="shared" si="1923"/>
        <v>89301000</v>
      </c>
      <c r="B8848" t="str">
        <f t="shared" si="1920"/>
        <v>89895000</v>
      </c>
      <c r="C8848" t="str">
        <f t="shared" si="1921"/>
        <v>89895002</v>
      </c>
      <c r="D8848" t="str">
        <f t="shared" si="1922"/>
        <v>809</v>
      </c>
      <c r="E8848" t="str">
        <f t="shared" si="1924"/>
        <v>89301212</v>
      </c>
      <c r="F8848" t="str">
        <f>"6360290673"</f>
        <v>6360290673</v>
      </c>
      <c r="G8848" s="1">
        <v>44830</v>
      </c>
      <c r="H8848" t="str">
        <f>"89514"</f>
        <v>89514</v>
      </c>
      <c r="I8848">
        <v>1</v>
      </c>
      <c r="J8848">
        <v>371</v>
      </c>
      <c r="K8848">
        <v>0</v>
      </c>
      <c r="L8848">
        <v>519.4</v>
      </c>
    </row>
    <row r="8849" spans="1:12" x14ac:dyDescent="0.25">
      <c r="A8849" t="str">
        <f t="shared" si="1923"/>
        <v>89301000</v>
      </c>
      <c r="B8849" t="str">
        <f t="shared" si="1920"/>
        <v>89895000</v>
      </c>
      <c r="C8849" t="str">
        <f t="shared" si="1921"/>
        <v>89895002</v>
      </c>
      <c r="D8849" t="str">
        <f t="shared" si="1922"/>
        <v>809</v>
      </c>
      <c r="E8849" t="str">
        <f t="shared" si="1924"/>
        <v>89301212</v>
      </c>
      <c r="F8849" t="str">
        <f>"6360290673"</f>
        <v>6360290673</v>
      </c>
      <c r="G8849" s="1">
        <v>44830</v>
      </c>
      <c r="H8849" t="str">
        <f>"89513"</f>
        <v>89513</v>
      </c>
      <c r="I8849">
        <v>1</v>
      </c>
      <c r="J8849">
        <v>371</v>
      </c>
      <c r="K8849">
        <v>0</v>
      </c>
      <c r="L8849">
        <v>519.4</v>
      </c>
    </row>
    <row r="8850" spans="1:12" x14ac:dyDescent="0.25">
      <c r="A8850" t="str">
        <f t="shared" si="1923"/>
        <v>89301000</v>
      </c>
      <c r="B8850" t="str">
        <f t="shared" si="1920"/>
        <v>89895000</v>
      </c>
      <c r="C8850" t="str">
        <f t="shared" si="1921"/>
        <v>89895002</v>
      </c>
      <c r="D8850" t="str">
        <f t="shared" si="1922"/>
        <v>809</v>
      </c>
      <c r="E8850" t="str">
        <f t="shared" si="1924"/>
        <v>89301212</v>
      </c>
      <c r="F8850" t="str">
        <f>"6652120508"</f>
        <v>6652120508</v>
      </c>
      <c r="G8850" s="1">
        <v>44830</v>
      </c>
      <c r="H8850" t="str">
        <f>"89514"</f>
        <v>89514</v>
      </c>
      <c r="I8850">
        <v>1</v>
      </c>
      <c r="J8850">
        <v>371</v>
      </c>
      <c r="K8850">
        <v>0</v>
      </c>
      <c r="L8850">
        <v>519.4</v>
      </c>
    </row>
    <row r="8851" spans="1:12" x14ac:dyDescent="0.25">
      <c r="A8851" t="str">
        <f t="shared" si="1923"/>
        <v>89301000</v>
      </c>
      <c r="B8851" t="str">
        <f t="shared" si="1920"/>
        <v>89895000</v>
      </c>
      <c r="C8851" t="str">
        <f t="shared" si="1921"/>
        <v>89895002</v>
      </c>
      <c r="D8851" t="str">
        <f t="shared" si="1922"/>
        <v>809</v>
      </c>
      <c r="E8851" t="str">
        <f t="shared" si="1924"/>
        <v>89301212</v>
      </c>
      <c r="F8851" t="str">
        <f>"6652120508"</f>
        <v>6652120508</v>
      </c>
      <c r="G8851" s="1">
        <v>44830</v>
      </c>
      <c r="H8851" t="str">
        <f>"89513"</f>
        <v>89513</v>
      </c>
      <c r="I8851">
        <v>1</v>
      </c>
      <c r="J8851">
        <v>371</v>
      </c>
      <c r="K8851">
        <v>0</v>
      </c>
      <c r="L8851">
        <v>519.4</v>
      </c>
    </row>
    <row r="8852" spans="1:12" x14ac:dyDescent="0.25">
      <c r="A8852" t="str">
        <f t="shared" si="1923"/>
        <v>89301000</v>
      </c>
      <c r="B8852" t="str">
        <f t="shared" si="1920"/>
        <v>89895000</v>
      </c>
      <c r="C8852" t="str">
        <f t="shared" si="1921"/>
        <v>89895002</v>
      </c>
      <c r="D8852" t="str">
        <f t="shared" si="1922"/>
        <v>809</v>
      </c>
      <c r="E8852" t="str">
        <f t="shared" si="1924"/>
        <v>89301212</v>
      </c>
      <c r="F8852" t="str">
        <f>"6862291953"</f>
        <v>6862291953</v>
      </c>
      <c r="G8852" s="1">
        <v>44819</v>
      </c>
      <c r="H8852" t="str">
        <f>"89513"</f>
        <v>89513</v>
      </c>
      <c r="I8852">
        <v>1</v>
      </c>
      <c r="J8852">
        <v>371</v>
      </c>
      <c r="K8852">
        <v>0</v>
      </c>
      <c r="L8852">
        <v>519.4</v>
      </c>
    </row>
    <row r="8853" spans="1:12" x14ac:dyDescent="0.25">
      <c r="A8853" t="str">
        <f t="shared" si="1923"/>
        <v>89301000</v>
      </c>
      <c r="B8853" t="str">
        <f t="shared" si="1920"/>
        <v>89895000</v>
      </c>
      <c r="C8853" t="str">
        <f t="shared" si="1921"/>
        <v>89895002</v>
      </c>
      <c r="D8853" t="str">
        <f t="shared" si="1922"/>
        <v>809</v>
      </c>
      <c r="E8853" t="str">
        <f t="shared" si="1924"/>
        <v>89301212</v>
      </c>
      <c r="F8853" t="str">
        <f>"6862291953"</f>
        <v>6862291953</v>
      </c>
      <c r="G8853" s="1">
        <v>44819</v>
      </c>
      <c r="H8853" t="str">
        <f>"89180"</f>
        <v>89180</v>
      </c>
      <c r="I8853">
        <v>2</v>
      </c>
      <c r="J8853">
        <v>752</v>
      </c>
      <c r="K8853">
        <v>0</v>
      </c>
      <c r="L8853">
        <v>1052.8</v>
      </c>
    </row>
    <row r="8854" spans="1:12" x14ac:dyDescent="0.25">
      <c r="A8854" t="str">
        <f t="shared" si="1923"/>
        <v>89301000</v>
      </c>
      <c r="B8854" t="str">
        <f t="shared" si="1920"/>
        <v>89895000</v>
      </c>
      <c r="C8854" t="str">
        <f t="shared" si="1921"/>
        <v>89895002</v>
      </c>
      <c r="D8854" t="str">
        <f t="shared" si="1922"/>
        <v>809</v>
      </c>
      <c r="E8854" t="str">
        <f t="shared" si="1924"/>
        <v>89301212</v>
      </c>
      <c r="F8854" t="str">
        <f>"6862291953"</f>
        <v>6862291953</v>
      </c>
      <c r="G8854" s="1">
        <v>44819</v>
      </c>
      <c r="H8854" t="str">
        <f>"89514"</f>
        <v>89514</v>
      </c>
      <c r="I8854">
        <v>1</v>
      </c>
      <c r="J8854">
        <v>371</v>
      </c>
      <c r="K8854">
        <v>0</v>
      </c>
      <c r="L8854">
        <v>519.4</v>
      </c>
    </row>
    <row r="8855" spans="1:12" x14ac:dyDescent="0.25">
      <c r="A8855" t="str">
        <f t="shared" si="1923"/>
        <v>89301000</v>
      </c>
      <c r="B8855" t="str">
        <f t="shared" si="1920"/>
        <v>89895000</v>
      </c>
      <c r="C8855" t="str">
        <f t="shared" si="1921"/>
        <v>89895002</v>
      </c>
      <c r="D8855" t="str">
        <f t="shared" si="1922"/>
        <v>809</v>
      </c>
      <c r="E8855" t="str">
        <f t="shared" si="1924"/>
        <v>89301212</v>
      </c>
      <c r="F8855" t="str">
        <f>"7155225341"</f>
        <v>7155225341</v>
      </c>
      <c r="G8855" s="1">
        <v>44809</v>
      </c>
      <c r="H8855" t="str">
        <f>"89512"</f>
        <v>89512</v>
      </c>
      <c r="I8855">
        <v>1</v>
      </c>
      <c r="J8855">
        <v>277</v>
      </c>
      <c r="K8855">
        <v>0</v>
      </c>
      <c r="L8855">
        <v>387.8</v>
      </c>
    </row>
    <row r="8856" spans="1:12" x14ac:dyDescent="0.25">
      <c r="A8856" t="str">
        <f t="shared" si="1923"/>
        <v>89301000</v>
      </c>
      <c r="B8856" t="str">
        <f t="shared" si="1920"/>
        <v>89895000</v>
      </c>
      <c r="C8856" t="str">
        <f t="shared" si="1921"/>
        <v>89895002</v>
      </c>
      <c r="D8856" t="str">
        <f t="shared" si="1922"/>
        <v>809</v>
      </c>
      <c r="E8856" t="str">
        <f t="shared" si="1924"/>
        <v>89301212</v>
      </c>
      <c r="F8856" t="str">
        <f>"7155225341"</f>
        <v>7155225341</v>
      </c>
      <c r="G8856" s="1">
        <v>44809</v>
      </c>
      <c r="H8856" t="str">
        <f>"09511"</f>
        <v>09511</v>
      </c>
      <c r="I8856">
        <v>1</v>
      </c>
      <c r="J8856">
        <v>43</v>
      </c>
      <c r="K8856">
        <v>0</v>
      </c>
      <c r="L8856">
        <v>60.2</v>
      </c>
    </row>
    <row r="8857" spans="1:12" x14ac:dyDescent="0.25">
      <c r="A8857" t="str">
        <f t="shared" si="1923"/>
        <v>89301000</v>
      </c>
      <c r="B8857" t="str">
        <f t="shared" si="1920"/>
        <v>89895000</v>
      </c>
      <c r="C8857" t="str">
        <f t="shared" si="1921"/>
        <v>89895002</v>
      </c>
      <c r="D8857" t="str">
        <f t="shared" si="1922"/>
        <v>809</v>
      </c>
      <c r="E8857" t="str">
        <f t="shared" si="1924"/>
        <v>89301212</v>
      </c>
      <c r="F8857" t="str">
        <f>"7155225341"</f>
        <v>7155225341</v>
      </c>
      <c r="G8857" s="1">
        <v>44809</v>
      </c>
      <c r="H8857" t="str">
        <f>"89180"</f>
        <v>89180</v>
      </c>
      <c r="I8857">
        <v>2</v>
      </c>
      <c r="J8857">
        <v>752</v>
      </c>
      <c r="K8857">
        <v>0</v>
      </c>
      <c r="L8857">
        <v>1052.8</v>
      </c>
    </row>
    <row r="8858" spans="1:12" x14ac:dyDescent="0.25">
      <c r="A8858" t="str">
        <f t="shared" si="1923"/>
        <v>89301000</v>
      </c>
      <c r="B8858" t="str">
        <f t="shared" si="1920"/>
        <v>89895000</v>
      </c>
      <c r="C8858" t="str">
        <f t="shared" si="1921"/>
        <v>89895002</v>
      </c>
      <c r="D8858" t="str">
        <f t="shared" si="1922"/>
        <v>809</v>
      </c>
      <c r="E8858" t="str">
        <f t="shared" si="1924"/>
        <v>89301212</v>
      </c>
      <c r="F8858" t="str">
        <f>"7353295312"</f>
        <v>7353295312</v>
      </c>
      <c r="G8858" s="1">
        <v>44817</v>
      </c>
      <c r="H8858" t="str">
        <f>"89180"</f>
        <v>89180</v>
      </c>
      <c r="I8858">
        <v>2</v>
      </c>
      <c r="J8858">
        <v>752</v>
      </c>
      <c r="K8858">
        <v>0</v>
      </c>
      <c r="L8858">
        <v>1052.8</v>
      </c>
    </row>
    <row r="8859" spans="1:12" x14ac:dyDescent="0.25">
      <c r="A8859" t="str">
        <f t="shared" si="1923"/>
        <v>89301000</v>
      </c>
      <c r="B8859" t="str">
        <f t="shared" si="1920"/>
        <v>89895000</v>
      </c>
      <c r="C8859" t="str">
        <f t="shared" si="1921"/>
        <v>89895002</v>
      </c>
      <c r="D8859" t="str">
        <f t="shared" si="1922"/>
        <v>809</v>
      </c>
      <c r="E8859" t="str">
        <f t="shared" si="1924"/>
        <v>89301212</v>
      </c>
      <c r="F8859" t="str">
        <f>"7353295312"</f>
        <v>7353295312</v>
      </c>
      <c r="G8859" s="1">
        <v>44817</v>
      </c>
      <c r="H8859" t="str">
        <f>"89513"</f>
        <v>89513</v>
      </c>
      <c r="I8859">
        <v>1</v>
      </c>
      <c r="J8859">
        <v>371</v>
      </c>
      <c r="K8859">
        <v>0</v>
      </c>
      <c r="L8859">
        <v>519.4</v>
      </c>
    </row>
    <row r="8860" spans="1:12" x14ac:dyDescent="0.25">
      <c r="A8860" t="str">
        <f t="shared" si="1923"/>
        <v>89301000</v>
      </c>
      <c r="B8860" t="str">
        <f t="shared" si="1920"/>
        <v>89895000</v>
      </c>
      <c r="C8860" t="str">
        <f t="shared" si="1921"/>
        <v>89895002</v>
      </c>
      <c r="D8860" t="str">
        <f t="shared" si="1922"/>
        <v>809</v>
      </c>
      <c r="E8860" t="str">
        <f t="shared" si="1924"/>
        <v>89301212</v>
      </c>
      <c r="F8860" t="str">
        <f>"7353295312"</f>
        <v>7353295312</v>
      </c>
      <c r="G8860" s="1">
        <v>44817</v>
      </c>
      <c r="H8860" t="str">
        <f>"89514"</f>
        <v>89514</v>
      </c>
      <c r="I8860">
        <v>1</v>
      </c>
      <c r="J8860">
        <v>371</v>
      </c>
      <c r="K8860">
        <v>0</v>
      </c>
      <c r="L8860">
        <v>519.4</v>
      </c>
    </row>
    <row r="8861" spans="1:12" x14ac:dyDescent="0.25">
      <c r="A8861" t="str">
        <f t="shared" si="1923"/>
        <v>89301000</v>
      </c>
      <c r="B8861" t="str">
        <f t="shared" si="1920"/>
        <v>89895000</v>
      </c>
      <c r="C8861" t="str">
        <f t="shared" si="1921"/>
        <v>89895002</v>
      </c>
      <c r="D8861" t="str">
        <f t="shared" si="1922"/>
        <v>809</v>
      </c>
      <c r="E8861" t="str">
        <f t="shared" si="1924"/>
        <v>89301212</v>
      </c>
      <c r="F8861" t="str">
        <f>"7353295312"</f>
        <v>7353295312</v>
      </c>
      <c r="G8861" s="1">
        <v>44817</v>
      </c>
      <c r="H8861" t="str">
        <f>"89512"</f>
        <v>89512</v>
      </c>
      <c r="I8861">
        <v>1</v>
      </c>
      <c r="J8861">
        <v>277</v>
      </c>
      <c r="K8861">
        <v>0</v>
      </c>
      <c r="L8861">
        <v>387.8</v>
      </c>
    </row>
    <row r="8862" spans="1:12" x14ac:dyDescent="0.25">
      <c r="A8862" t="str">
        <f t="shared" si="1923"/>
        <v>89301000</v>
      </c>
      <c r="B8862" t="str">
        <f t="shared" si="1920"/>
        <v>89895000</v>
      </c>
      <c r="C8862" t="str">
        <f t="shared" si="1921"/>
        <v>89895002</v>
      </c>
      <c r="D8862" t="str">
        <f t="shared" si="1922"/>
        <v>809</v>
      </c>
      <c r="E8862" t="str">
        <f t="shared" si="1924"/>
        <v>89301212</v>
      </c>
      <c r="F8862" t="str">
        <f>"7357154497"</f>
        <v>7357154497</v>
      </c>
      <c r="G8862" s="1">
        <v>44830</v>
      </c>
      <c r="H8862" t="str">
        <f>"89512"</f>
        <v>89512</v>
      </c>
      <c r="I8862">
        <v>1</v>
      </c>
      <c r="J8862">
        <v>277</v>
      </c>
      <c r="K8862">
        <v>0</v>
      </c>
      <c r="L8862">
        <v>387.8</v>
      </c>
    </row>
    <row r="8863" spans="1:12" x14ac:dyDescent="0.25">
      <c r="A8863" t="str">
        <f t="shared" si="1923"/>
        <v>89301000</v>
      </c>
      <c r="B8863" t="str">
        <f>"93201000"</f>
        <v>93201000</v>
      </c>
      <c r="C8863" t="str">
        <f>"93201130"</f>
        <v>93201130</v>
      </c>
      <c r="D8863" t="str">
        <f>"818"</f>
        <v>818</v>
      </c>
      <c r="E8863" t="str">
        <f>"89301167"</f>
        <v>89301167</v>
      </c>
      <c r="F8863" t="str">
        <f>"7657065790"</f>
        <v>7657065790</v>
      </c>
      <c r="G8863" s="1">
        <v>44809</v>
      </c>
      <c r="H8863" t="str">
        <f>"96167"</f>
        <v>96167</v>
      </c>
      <c r="I8863">
        <v>1</v>
      </c>
      <c r="J8863">
        <v>67</v>
      </c>
      <c r="K8863">
        <v>0</v>
      </c>
      <c r="L8863">
        <v>60.97</v>
      </c>
    </row>
    <row r="8864" spans="1:12" x14ac:dyDescent="0.25">
      <c r="A8864" t="str">
        <f t="shared" si="1923"/>
        <v>89301000</v>
      </c>
      <c r="B8864" t="str">
        <f>"93201000"</f>
        <v>93201000</v>
      </c>
      <c r="C8864" t="str">
        <f>"93201012"</f>
        <v>93201012</v>
      </c>
      <c r="D8864" t="str">
        <f>"813"</f>
        <v>813</v>
      </c>
      <c r="E8864" t="str">
        <f>"89301167"</f>
        <v>89301167</v>
      </c>
      <c r="F8864" t="str">
        <f>"7657065790"</f>
        <v>7657065790</v>
      </c>
      <c r="G8864" s="1">
        <v>44809</v>
      </c>
      <c r="H8864" t="str">
        <f>"91153"</f>
        <v>91153</v>
      </c>
      <c r="I8864">
        <v>1</v>
      </c>
      <c r="J8864">
        <v>152</v>
      </c>
      <c r="K8864">
        <v>0</v>
      </c>
      <c r="L8864">
        <v>118.56</v>
      </c>
    </row>
    <row r="8865" spans="1:12" x14ac:dyDescent="0.25">
      <c r="A8865" t="str">
        <f t="shared" si="1923"/>
        <v>89301000</v>
      </c>
      <c r="B8865" t="str">
        <f>"02384000"</f>
        <v>02384000</v>
      </c>
      <c r="C8865" t="str">
        <f>"02384007"</f>
        <v>02384007</v>
      </c>
      <c r="D8865" t="str">
        <f t="shared" ref="D8865:D8885" si="1925">"809"</f>
        <v>809</v>
      </c>
      <c r="E8865" t="str">
        <f>"89301212"</f>
        <v>89301212</v>
      </c>
      <c r="F8865" t="str">
        <f>"6152260829"</f>
        <v>6152260829</v>
      </c>
      <c r="G8865" s="1">
        <v>44831</v>
      </c>
      <c r="H8865" t="str">
        <f>"89513"</f>
        <v>89513</v>
      </c>
      <c r="I8865">
        <v>1</v>
      </c>
      <c r="J8865">
        <v>371</v>
      </c>
      <c r="K8865">
        <v>0</v>
      </c>
      <c r="L8865">
        <v>519.4</v>
      </c>
    </row>
    <row r="8866" spans="1:12" x14ac:dyDescent="0.25">
      <c r="A8866" t="str">
        <f t="shared" si="1923"/>
        <v>89301000</v>
      </c>
      <c r="B8866" t="str">
        <f>"02384000"</f>
        <v>02384000</v>
      </c>
      <c r="C8866" t="str">
        <f>"02384007"</f>
        <v>02384007</v>
      </c>
      <c r="D8866" t="str">
        <f t="shared" si="1925"/>
        <v>809</v>
      </c>
      <c r="E8866" t="str">
        <f>"89301212"</f>
        <v>89301212</v>
      </c>
      <c r="F8866" t="str">
        <f>"6152260829"</f>
        <v>6152260829</v>
      </c>
      <c r="G8866" s="1">
        <v>44831</v>
      </c>
      <c r="H8866" t="str">
        <f>"89514"</f>
        <v>89514</v>
      </c>
      <c r="I8866">
        <v>1</v>
      </c>
      <c r="J8866">
        <v>371</v>
      </c>
      <c r="K8866">
        <v>0</v>
      </c>
      <c r="L8866">
        <v>519.4</v>
      </c>
    </row>
    <row r="8867" spans="1:12" x14ac:dyDescent="0.25">
      <c r="A8867" t="str">
        <f t="shared" si="1923"/>
        <v>89301000</v>
      </c>
      <c r="B8867" t="str">
        <f>"02384000"</f>
        <v>02384000</v>
      </c>
      <c r="C8867" t="str">
        <f>"02384007"</f>
        <v>02384007</v>
      </c>
      <c r="D8867" t="str">
        <f t="shared" si="1925"/>
        <v>809</v>
      </c>
      <c r="E8867" t="str">
        <f>"89301037"</f>
        <v>89301037</v>
      </c>
      <c r="F8867" t="str">
        <f>"435720442"</f>
        <v>435720442</v>
      </c>
      <c r="G8867" s="1">
        <v>44823</v>
      </c>
      <c r="H8867" t="str">
        <f>"89312"</f>
        <v>89312</v>
      </c>
      <c r="I8867">
        <v>1</v>
      </c>
      <c r="J8867">
        <v>302</v>
      </c>
      <c r="K8867">
        <v>0</v>
      </c>
      <c r="L8867">
        <v>317.10000000000002</v>
      </c>
    </row>
    <row r="8868" spans="1:12" x14ac:dyDescent="0.25">
      <c r="A8868" t="str">
        <f t="shared" si="1923"/>
        <v>89301000</v>
      </c>
      <c r="B8868" t="str">
        <f>"02384000"</f>
        <v>02384000</v>
      </c>
      <c r="C8868" t="str">
        <f>"02384007"</f>
        <v>02384007</v>
      </c>
      <c r="D8868" t="str">
        <f t="shared" si="1925"/>
        <v>809</v>
      </c>
      <c r="E8868" t="str">
        <f>"89301037"</f>
        <v>89301037</v>
      </c>
      <c r="F8868" t="str">
        <f>"435720442"</f>
        <v>435720442</v>
      </c>
      <c r="G8868" s="1">
        <v>44823</v>
      </c>
      <c r="H8868" t="str">
        <f>"89312"</f>
        <v>89312</v>
      </c>
      <c r="I8868">
        <v>2</v>
      </c>
      <c r="J8868">
        <v>604</v>
      </c>
      <c r="K8868">
        <v>0</v>
      </c>
      <c r="L8868">
        <v>634.20000000000005</v>
      </c>
    </row>
    <row r="8869" spans="1:12" x14ac:dyDescent="0.25">
      <c r="A8869" t="str">
        <f t="shared" si="1923"/>
        <v>89301000</v>
      </c>
      <c r="B8869" t="str">
        <f>"82086000"</f>
        <v>82086000</v>
      </c>
      <c r="C8869" t="str">
        <f>"82086001"</f>
        <v>82086001</v>
      </c>
      <c r="D8869" t="str">
        <f t="shared" si="1925"/>
        <v>809</v>
      </c>
      <c r="E8869" t="str">
        <f>"89301152"</f>
        <v>89301152</v>
      </c>
      <c r="F8869" t="str">
        <f>"9401204461"</f>
        <v>9401204461</v>
      </c>
      <c r="G8869" s="1">
        <v>44833</v>
      </c>
      <c r="H8869" t="str">
        <f>"89131"</f>
        <v>89131</v>
      </c>
      <c r="I8869">
        <v>1</v>
      </c>
      <c r="J8869">
        <v>187</v>
      </c>
      <c r="K8869">
        <v>0</v>
      </c>
      <c r="L8869">
        <v>261.8</v>
      </c>
    </row>
    <row r="8870" spans="1:12" x14ac:dyDescent="0.25">
      <c r="A8870" t="str">
        <f t="shared" si="1923"/>
        <v>89301000</v>
      </c>
      <c r="B8870" t="str">
        <f>"82086000"</f>
        <v>82086000</v>
      </c>
      <c r="C8870" t="str">
        <f>"82086001"</f>
        <v>82086001</v>
      </c>
      <c r="D8870" t="str">
        <f t="shared" si="1925"/>
        <v>809</v>
      </c>
      <c r="E8870" t="str">
        <f>"89301152"</f>
        <v>89301152</v>
      </c>
      <c r="F8870" t="str">
        <f>"9401204461"</f>
        <v>9401204461</v>
      </c>
      <c r="G8870" s="1">
        <v>44833</v>
      </c>
      <c r="H8870" t="str">
        <f>"89131"</f>
        <v>89131</v>
      </c>
      <c r="I8870">
        <v>1</v>
      </c>
      <c r="J8870">
        <v>187</v>
      </c>
      <c r="K8870">
        <v>0</v>
      </c>
      <c r="L8870">
        <v>261.8</v>
      </c>
    </row>
    <row r="8871" spans="1:12" x14ac:dyDescent="0.25">
      <c r="A8871" t="str">
        <f t="shared" si="1923"/>
        <v>89301000</v>
      </c>
      <c r="B8871" t="str">
        <f t="shared" ref="B8871:B8886" si="1926">"93201000"</f>
        <v>93201000</v>
      </c>
      <c r="C8871" t="str">
        <f t="shared" ref="C8871:C8885" si="1927">"93201350"</f>
        <v>93201350</v>
      </c>
      <c r="D8871" t="str">
        <f t="shared" si="1925"/>
        <v>809</v>
      </c>
      <c r="E8871" t="str">
        <f>"89301012"</f>
        <v>89301012</v>
      </c>
      <c r="F8871" t="str">
        <f>"465905460"</f>
        <v>465905460</v>
      </c>
      <c r="G8871" s="1">
        <v>44823</v>
      </c>
      <c r="H8871" t="str">
        <f>"89131"</f>
        <v>89131</v>
      </c>
      <c r="I8871">
        <v>1</v>
      </c>
      <c r="J8871">
        <v>187</v>
      </c>
      <c r="K8871">
        <v>0</v>
      </c>
      <c r="L8871">
        <v>261.8</v>
      </c>
    </row>
    <row r="8872" spans="1:12" x14ac:dyDescent="0.25">
      <c r="A8872" t="str">
        <f t="shared" si="1923"/>
        <v>89301000</v>
      </c>
      <c r="B8872" t="str">
        <f t="shared" si="1926"/>
        <v>93201000</v>
      </c>
      <c r="C8872" t="str">
        <f t="shared" si="1927"/>
        <v>93201350</v>
      </c>
      <c r="D8872" t="str">
        <f t="shared" si="1925"/>
        <v>809</v>
      </c>
      <c r="E8872" t="str">
        <f>"89301212"</f>
        <v>89301212</v>
      </c>
      <c r="F8872" t="str">
        <f>"455124424"</f>
        <v>455124424</v>
      </c>
      <c r="G8872" s="1">
        <v>44809</v>
      </c>
      <c r="H8872" t="str">
        <f>"89513"</f>
        <v>89513</v>
      </c>
      <c r="I8872">
        <v>1</v>
      </c>
      <c r="J8872">
        <v>371</v>
      </c>
      <c r="K8872">
        <v>0</v>
      </c>
      <c r="L8872">
        <v>519.4</v>
      </c>
    </row>
    <row r="8873" spans="1:12" x14ac:dyDescent="0.25">
      <c r="A8873" t="str">
        <f t="shared" si="1923"/>
        <v>89301000</v>
      </c>
      <c r="B8873" t="str">
        <f t="shared" si="1926"/>
        <v>93201000</v>
      </c>
      <c r="C8873" t="str">
        <f t="shared" si="1927"/>
        <v>93201350</v>
      </c>
      <c r="D8873" t="str">
        <f t="shared" si="1925"/>
        <v>809</v>
      </c>
      <c r="E8873" t="str">
        <f>"89301212"</f>
        <v>89301212</v>
      </c>
      <c r="F8873" t="str">
        <f>"455124424"</f>
        <v>455124424</v>
      </c>
      <c r="G8873" s="1">
        <v>44809</v>
      </c>
      <c r="H8873" t="str">
        <f>"89514"</f>
        <v>89514</v>
      </c>
      <c r="I8873">
        <v>1</v>
      </c>
      <c r="J8873">
        <v>371</v>
      </c>
      <c r="K8873">
        <v>0</v>
      </c>
      <c r="L8873">
        <v>519.4</v>
      </c>
    </row>
    <row r="8874" spans="1:12" x14ac:dyDescent="0.25">
      <c r="A8874" t="str">
        <f t="shared" si="1923"/>
        <v>89301000</v>
      </c>
      <c r="B8874" t="str">
        <f t="shared" si="1926"/>
        <v>93201000</v>
      </c>
      <c r="C8874" t="str">
        <f t="shared" si="1927"/>
        <v>93201350</v>
      </c>
      <c r="D8874" t="str">
        <f t="shared" si="1925"/>
        <v>809</v>
      </c>
      <c r="E8874" t="str">
        <f>"89301212"</f>
        <v>89301212</v>
      </c>
      <c r="F8874" t="str">
        <f>"465118421"</f>
        <v>465118421</v>
      </c>
      <c r="G8874" s="1">
        <v>44812</v>
      </c>
      <c r="H8874" t="str">
        <f>"89513"</f>
        <v>89513</v>
      </c>
      <c r="I8874">
        <v>1</v>
      </c>
      <c r="J8874">
        <v>371</v>
      </c>
      <c r="K8874">
        <v>0</v>
      </c>
      <c r="L8874">
        <v>519.4</v>
      </c>
    </row>
    <row r="8875" spans="1:12" x14ac:dyDescent="0.25">
      <c r="A8875" t="str">
        <f t="shared" si="1923"/>
        <v>89301000</v>
      </c>
      <c r="B8875" t="str">
        <f t="shared" si="1926"/>
        <v>93201000</v>
      </c>
      <c r="C8875" t="str">
        <f t="shared" si="1927"/>
        <v>93201350</v>
      </c>
      <c r="D8875" t="str">
        <f t="shared" si="1925"/>
        <v>809</v>
      </c>
      <c r="E8875" t="str">
        <f>"89301212"</f>
        <v>89301212</v>
      </c>
      <c r="F8875" t="str">
        <f>"465118421"</f>
        <v>465118421</v>
      </c>
      <c r="G8875" s="1">
        <v>44812</v>
      </c>
      <c r="H8875" t="str">
        <f>"89514"</f>
        <v>89514</v>
      </c>
      <c r="I8875">
        <v>1</v>
      </c>
      <c r="J8875">
        <v>371</v>
      </c>
      <c r="K8875">
        <v>0</v>
      </c>
      <c r="L8875">
        <v>519.4</v>
      </c>
    </row>
    <row r="8876" spans="1:12" x14ac:dyDescent="0.25">
      <c r="A8876" t="str">
        <f t="shared" si="1923"/>
        <v>89301000</v>
      </c>
      <c r="B8876" t="str">
        <f t="shared" si="1926"/>
        <v>93201000</v>
      </c>
      <c r="C8876" t="str">
        <f t="shared" si="1927"/>
        <v>93201350</v>
      </c>
      <c r="D8876" t="str">
        <f t="shared" si="1925"/>
        <v>809</v>
      </c>
      <c r="E8876" t="str">
        <f>"89301012"</f>
        <v>89301012</v>
      </c>
      <c r="F8876" t="str">
        <f>"465905460"</f>
        <v>465905460</v>
      </c>
      <c r="G8876" s="1">
        <v>44823</v>
      </c>
      <c r="H8876" t="str">
        <f>"09135"</f>
        <v>09135</v>
      </c>
      <c r="I8876">
        <v>1</v>
      </c>
      <c r="J8876">
        <v>174</v>
      </c>
      <c r="K8876">
        <v>0</v>
      </c>
      <c r="L8876">
        <v>243.6</v>
      </c>
    </row>
    <row r="8877" spans="1:12" x14ac:dyDescent="0.25">
      <c r="A8877" t="str">
        <f t="shared" si="1923"/>
        <v>89301000</v>
      </c>
      <c r="B8877" t="str">
        <f t="shared" si="1926"/>
        <v>93201000</v>
      </c>
      <c r="C8877" t="str">
        <f t="shared" si="1927"/>
        <v>93201350</v>
      </c>
      <c r="D8877" t="str">
        <f t="shared" si="1925"/>
        <v>809</v>
      </c>
      <c r="E8877" t="str">
        <f>"89301062"</f>
        <v>89301062</v>
      </c>
      <c r="F8877" t="str">
        <f>"7703093508"</f>
        <v>7703093508</v>
      </c>
      <c r="G8877" s="1">
        <v>44818</v>
      </c>
      <c r="H8877" t="str">
        <f>"89615"</f>
        <v>89615</v>
      </c>
      <c r="I8877">
        <v>1</v>
      </c>
      <c r="J8877">
        <v>2170</v>
      </c>
      <c r="K8877">
        <v>0</v>
      </c>
      <c r="L8877">
        <v>1302</v>
      </c>
    </row>
    <row r="8878" spans="1:12" x14ac:dyDescent="0.25">
      <c r="A8878" t="str">
        <f t="shared" si="1923"/>
        <v>89301000</v>
      </c>
      <c r="B8878" t="str">
        <f t="shared" si="1926"/>
        <v>93201000</v>
      </c>
      <c r="C8878" t="str">
        <f t="shared" si="1927"/>
        <v>93201350</v>
      </c>
      <c r="D8878" t="str">
        <f t="shared" si="1925"/>
        <v>809</v>
      </c>
      <c r="E8878" t="str">
        <f>"89301212"</f>
        <v>89301212</v>
      </c>
      <c r="F8878" t="str">
        <f>"475727429"</f>
        <v>475727429</v>
      </c>
      <c r="G8878" s="1">
        <v>44823</v>
      </c>
      <c r="H8878" t="str">
        <f>"89512"</f>
        <v>89512</v>
      </c>
      <c r="I8878">
        <v>1</v>
      </c>
      <c r="J8878">
        <v>277</v>
      </c>
      <c r="K8878">
        <v>0</v>
      </c>
      <c r="L8878">
        <v>387.8</v>
      </c>
    </row>
    <row r="8879" spans="1:12" x14ac:dyDescent="0.25">
      <c r="A8879" t="str">
        <f t="shared" si="1923"/>
        <v>89301000</v>
      </c>
      <c r="B8879" t="str">
        <f t="shared" si="1926"/>
        <v>93201000</v>
      </c>
      <c r="C8879" t="str">
        <f t="shared" si="1927"/>
        <v>93201350</v>
      </c>
      <c r="D8879" t="str">
        <f t="shared" si="1925"/>
        <v>809</v>
      </c>
      <c r="E8879" t="str">
        <f>"89301212"</f>
        <v>89301212</v>
      </c>
      <c r="F8879" t="str">
        <f>"475727429"</f>
        <v>475727429</v>
      </c>
      <c r="G8879" s="1">
        <v>44823</v>
      </c>
      <c r="H8879" t="str">
        <f>"89180"</f>
        <v>89180</v>
      </c>
      <c r="I8879">
        <v>2</v>
      </c>
      <c r="J8879">
        <v>752</v>
      </c>
      <c r="K8879">
        <v>0</v>
      </c>
      <c r="L8879">
        <v>1052.8</v>
      </c>
    </row>
    <row r="8880" spans="1:12" x14ac:dyDescent="0.25">
      <c r="A8880" t="str">
        <f t="shared" si="1923"/>
        <v>89301000</v>
      </c>
      <c r="B8880" t="str">
        <f t="shared" si="1926"/>
        <v>93201000</v>
      </c>
      <c r="C8880" t="str">
        <f t="shared" si="1927"/>
        <v>93201350</v>
      </c>
      <c r="D8880" t="str">
        <f t="shared" si="1925"/>
        <v>809</v>
      </c>
      <c r="E8880" t="str">
        <f>"89301212"</f>
        <v>89301212</v>
      </c>
      <c r="F8880" t="str">
        <f>"6359271215"</f>
        <v>6359271215</v>
      </c>
      <c r="G8880" s="1">
        <v>44831</v>
      </c>
      <c r="H8880" t="str">
        <f>"89512"</f>
        <v>89512</v>
      </c>
      <c r="I8880">
        <v>1</v>
      </c>
      <c r="J8880">
        <v>277</v>
      </c>
      <c r="K8880">
        <v>0</v>
      </c>
      <c r="L8880">
        <v>387.8</v>
      </c>
    </row>
    <row r="8881" spans="1:12" x14ac:dyDescent="0.25">
      <c r="A8881" t="str">
        <f t="shared" si="1923"/>
        <v>89301000</v>
      </c>
      <c r="B8881" t="str">
        <f t="shared" si="1926"/>
        <v>93201000</v>
      </c>
      <c r="C8881" t="str">
        <f t="shared" si="1927"/>
        <v>93201350</v>
      </c>
      <c r="D8881" t="str">
        <f t="shared" si="1925"/>
        <v>809</v>
      </c>
      <c r="E8881" t="str">
        <f>"89301212"</f>
        <v>89301212</v>
      </c>
      <c r="F8881" t="str">
        <f>"6359271215"</f>
        <v>6359271215</v>
      </c>
      <c r="G8881" s="1">
        <v>44831</v>
      </c>
      <c r="H8881" t="str">
        <f>"89180"</f>
        <v>89180</v>
      </c>
      <c r="I8881">
        <v>2</v>
      </c>
      <c r="J8881">
        <v>752</v>
      </c>
      <c r="K8881">
        <v>0</v>
      </c>
      <c r="L8881">
        <v>1052.8</v>
      </c>
    </row>
    <row r="8882" spans="1:12" x14ac:dyDescent="0.25">
      <c r="A8882" t="str">
        <f t="shared" si="1923"/>
        <v>89301000</v>
      </c>
      <c r="B8882" t="str">
        <f t="shared" si="1926"/>
        <v>93201000</v>
      </c>
      <c r="C8882" t="str">
        <f t="shared" si="1927"/>
        <v>93201350</v>
      </c>
      <c r="D8882" t="str">
        <f t="shared" si="1925"/>
        <v>809</v>
      </c>
      <c r="E8882" t="str">
        <f>"89301215"</f>
        <v>89301215</v>
      </c>
      <c r="F8882" t="str">
        <f>"495801257"</f>
        <v>495801257</v>
      </c>
      <c r="G8882" s="1">
        <v>44818</v>
      </c>
      <c r="H8882" t="str">
        <f>"89512"</f>
        <v>89512</v>
      </c>
      <c r="I8882">
        <v>1</v>
      </c>
      <c r="J8882">
        <v>277</v>
      </c>
      <c r="K8882">
        <v>0</v>
      </c>
      <c r="L8882">
        <v>387.8</v>
      </c>
    </row>
    <row r="8883" spans="1:12" x14ac:dyDescent="0.25">
      <c r="A8883" t="str">
        <f t="shared" si="1923"/>
        <v>89301000</v>
      </c>
      <c r="B8883" t="str">
        <f t="shared" si="1926"/>
        <v>93201000</v>
      </c>
      <c r="C8883" t="str">
        <f t="shared" si="1927"/>
        <v>93201350</v>
      </c>
      <c r="D8883" t="str">
        <f t="shared" si="1925"/>
        <v>809</v>
      </c>
      <c r="E8883" t="str">
        <f>"89301215"</f>
        <v>89301215</v>
      </c>
      <c r="F8883" t="str">
        <f>"495801257"</f>
        <v>495801257</v>
      </c>
      <c r="G8883" s="1">
        <v>44818</v>
      </c>
      <c r="H8883" t="str">
        <f>"89180"</f>
        <v>89180</v>
      </c>
      <c r="I8883">
        <v>2</v>
      </c>
      <c r="J8883">
        <v>752</v>
      </c>
      <c r="K8883">
        <v>0</v>
      </c>
      <c r="L8883">
        <v>1052.8</v>
      </c>
    </row>
    <row r="8884" spans="1:12" x14ac:dyDescent="0.25">
      <c r="A8884" t="str">
        <f t="shared" si="1923"/>
        <v>89301000</v>
      </c>
      <c r="B8884" t="str">
        <f t="shared" si="1926"/>
        <v>93201000</v>
      </c>
      <c r="C8884" t="str">
        <f t="shared" si="1927"/>
        <v>93201350</v>
      </c>
      <c r="D8884" t="str">
        <f t="shared" si="1925"/>
        <v>809</v>
      </c>
      <c r="E8884" t="str">
        <f>"89301212"</f>
        <v>89301212</v>
      </c>
      <c r="F8884" t="str">
        <f>"7852065826"</f>
        <v>7852065826</v>
      </c>
      <c r="G8884" s="1">
        <v>44831</v>
      </c>
      <c r="H8884" t="str">
        <f>"89512"</f>
        <v>89512</v>
      </c>
      <c r="I8884">
        <v>1</v>
      </c>
      <c r="J8884">
        <v>277</v>
      </c>
      <c r="K8884">
        <v>0</v>
      </c>
      <c r="L8884">
        <v>387.8</v>
      </c>
    </row>
    <row r="8885" spans="1:12" x14ac:dyDescent="0.25">
      <c r="A8885" t="str">
        <f t="shared" si="1923"/>
        <v>89301000</v>
      </c>
      <c r="B8885" t="str">
        <f t="shared" si="1926"/>
        <v>93201000</v>
      </c>
      <c r="C8885" t="str">
        <f t="shared" si="1927"/>
        <v>93201350</v>
      </c>
      <c r="D8885" t="str">
        <f t="shared" si="1925"/>
        <v>809</v>
      </c>
      <c r="E8885" t="str">
        <f>"89301212"</f>
        <v>89301212</v>
      </c>
      <c r="F8885" t="str">
        <f>"7852065826"</f>
        <v>7852065826</v>
      </c>
      <c r="G8885" s="1">
        <v>44831</v>
      </c>
      <c r="H8885" t="str">
        <f>"89180"</f>
        <v>89180</v>
      </c>
      <c r="I8885">
        <v>2</v>
      </c>
      <c r="J8885">
        <v>752</v>
      </c>
      <c r="K8885">
        <v>0</v>
      </c>
      <c r="L8885">
        <v>1052.8</v>
      </c>
    </row>
    <row r="8886" spans="1:12" x14ac:dyDescent="0.25">
      <c r="A8886" t="str">
        <f t="shared" si="1923"/>
        <v>89301000</v>
      </c>
      <c r="B8886" t="str">
        <f t="shared" si="1926"/>
        <v>93201000</v>
      </c>
      <c r="C8886" t="str">
        <f>"93201355"</f>
        <v>93201355</v>
      </c>
      <c r="D8886" t="str">
        <f>"810"</f>
        <v>810</v>
      </c>
      <c r="E8886" t="str">
        <f>"89301362"</f>
        <v>89301362</v>
      </c>
      <c r="F8886" t="str">
        <f>"6855312013"</f>
        <v>6855312013</v>
      </c>
      <c r="G8886" s="1">
        <v>44823</v>
      </c>
      <c r="H8886" t="str">
        <f>"89713"</f>
        <v>89713</v>
      </c>
      <c r="I8886">
        <v>1</v>
      </c>
      <c r="J8886">
        <v>5362</v>
      </c>
      <c r="K8886">
        <v>0</v>
      </c>
      <c r="L8886">
        <v>3217.2</v>
      </c>
    </row>
    <row r="8887" spans="1:12" x14ac:dyDescent="0.25">
      <c r="A8887" t="str">
        <f t="shared" si="1923"/>
        <v>89301000</v>
      </c>
      <c r="B8887" t="str">
        <f t="shared" ref="B8887:B8907" si="1928">"88805000"</f>
        <v>88805000</v>
      </c>
      <c r="C8887" t="str">
        <f t="shared" ref="C8887:C8893" si="1929">"88805001"</f>
        <v>88805001</v>
      </c>
      <c r="D8887" t="str">
        <f t="shared" ref="D8887:D8893" si="1930">"801"</f>
        <v>801</v>
      </c>
      <c r="E8887" t="str">
        <f>"89301202"</f>
        <v>89301202</v>
      </c>
      <c r="F8887" t="str">
        <f>"466202461"</f>
        <v>466202461</v>
      </c>
      <c r="G8887" s="1">
        <v>44818</v>
      </c>
      <c r="H8887" t="str">
        <f>"97111"</f>
        <v>97111</v>
      </c>
      <c r="I8887">
        <v>1</v>
      </c>
      <c r="J8887">
        <v>18</v>
      </c>
      <c r="K8887">
        <v>0</v>
      </c>
      <c r="L8887">
        <v>14.04</v>
      </c>
    </row>
    <row r="8888" spans="1:12" x14ac:dyDescent="0.25">
      <c r="A8888" t="str">
        <f t="shared" si="1923"/>
        <v>89301000</v>
      </c>
      <c r="B8888" t="str">
        <f t="shared" si="1928"/>
        <v>88805000</v>
      </c>
      <c r="C8888" t="str">
        <f t="shared" si="1929"/>
        <v>88805001</v>
      </c>
      <c r="D8888" t="str">
        <f t="shared" si="1930"/>
        <v>801</v>
      </c>
      <c r="E8888" t="str">
        <f>"89301101"</f>
        <v>89301101</v>
      </c>
      <c r="F8888" t="str">
        <f>"2157022043"</f>
        <v>2157022043</v>
      </c>
      <c r="G8888" s="1">
        <v>44833</v>
      </c>
      <c r="H8888" t="str">
        <f>"97111"</f>
        <v>97111</v>
      </c>
      <c r="I8888">
        <v>1</v>
      </c>
      <c r="J8888">
        <v>18</v>
      </c>
      <c r="K8888">
        <v>0</v>
      </c>
      <c r="L8888">
        <v>14.04</v>
      </c>
    </row>
    <row r="8889" spans="1:12" x14ac:dyDescent="0.25">
      <c r="A8889" t="str">
        <f t="shared" si="1923"/>
        <v>89301000</v>
      </c>
      <c r="B8889" t="str">
        <f t="shared" si="1928"/>
        <v>88805000</v>
      </c>
      <c r="C8889" t="str">
        <f t="shared" si="1929"/>
        <v>88805001</v>
      </c>
      <c r="D8889" t="str">
        <f t="shared" si="1930"/>
        <v>801</v>
      </c>
      <c r="E8889" t="str">
        <f>"89301202"</f>
        <v>89301202</v>
      </c>
      <c r="F8889" t="str">
        <f>"8359305361"</f>
        <v>8359305361</v>
      </c>
      <c r="G8889" s="1">
        <v>44813</v>
      </c>
      <c r="H8889" t="str">
        <f>"97111"</f>
        <v>97111</v>
      </c>
      <c r="I8889">
        <v>1</v>
      </c>
      <c r="J8889">
        <v>18</v>
      </c>
      <c r="K8889">
        <v>0</v>
      </c>
      <c r="L8889">
        <v>14.04</v>
      </c>
    </row>
    <row r="8890" spans="1:12" x14ac:dyDescent="0.25">
      <c r="A8890" t="str">
        <f t="shared" si="1923"/>
        <v>89301000</v>
      </c>
      <c r="B8890" t="str">
        <f t="shared" si="1928"/>
        <v>88805000</v>
      </c>
      <c r="C8890" t="str">
        <f t="shared" si="1929"/>
        <v>88805001</v>
      </c>
      <c r="D8890" t="str">
        <f t="shared" si="1930"/>
        <v>801</v>
      </c>
      <c r="E8890" t="str">
        <f>"89301101"</f>
        <v>89301101</v>
      </c>
      <c r="F8890" t="str">
        <f>"2157022043"</f>
        <v>2157022043</v>
      </c>
      <c r="G8890" s="1">
        <v>44833</v>
      </c>
      <c r="H8890" t="str">
        <f>"81631"</f>
        <v>81631</v>
      </c>
      <c r="I8890">
        <v>1</v>
      </c>
      <c r="J8890">
        <v>294</v>
      </c>
      <c r="K8890">
        <v>0</v>
      </c>
      <c r="L8890">
        <v>229.32</v>
      </c>
    </row>
    <row r="8891" spans="1:12" x14ac:dyDescent="0.25">
      <c r="A8891" t="str">
        <f t="shared" si="1923"/>
        <v>89301000</v>
      </c>
      <c r="B8891" t="str">
        <f t="shared" si="1928"/>
        <v>88805000</v>
      </c>
      <c r="C8891" t="str">
        <f t="shared" si="1929"/>
        <v>88805001</v>
      </c>
      <c r="D8891" t="str">
        <f t="shared" si="1930"/>
        <v>801</v>
      </c>
      <c r="E8891" t="str">
        <f>"89301101"</f>
        <v>89301101</v>
      </c>
      <c r="F8891" t="str">
        <f>"2157022043"</f>
        <v>2157022043</v>
      </c>
      <c r="G8891" s="1">
        <v>44833</v>
      </c>
      <c r="H8891" t="str">
        <f>"92143"</f>
        <v>92143</v>
      </c>
      <c r="I8891">
        <v>1</v>
      </c>
      <c r="J8891">
        <v>1748</v>
      </c>
      <c r="K8891">
        <v>0</v>
      </c>
      <c r="L8891">
        <v>1363.44</v>
      </c>
    </row>
    <row r="8892" spans="1:12" x14ac:dyDescent="0.25">
      <c r="A8892" t="str">
        <f t="shared" si="1923"/>
        <v>89301000</v>
      </c>
      <c r="B8892" t="str">
        <f t="shared" si="1928"/>
        <v>88805000</v>
      </c>
      <c r="C8892" t="str">
        <f t="shared" si="1929"/>
        <v>88805001</v>
      </c>
      <c r="D8892" t="str">
        <f t="shared" si="1930"/>
        <v>801</v>
      </c>
      <c r="E8892" t="str">
        <f>"89301202"</f>
        <v>89301202</v>
      </c>
      <c r="F8892" t="str">
        <f>"466202461"</f>
        <v>466202461</v>
      </c>
      <c r="G8892" s="1">
        <v>44818</v>
      </c>
      <c r="H8892" t="str">
        <f>"81643"</f>
        <v>81643</v>
      </c>
      <c r="I8892">
        <v>1</v>
      </c>
      <c r="J8892">
        <v>104</v>
      </c>
      <c r="K8892">
        <v>0</v>
      </c>
      <c r="L8892">
        <v>81.12</v>
      </c>
    </row>
    <row r="8893" spans="1:12" x14ac:dyDescent="0.25">
      <c r="A8893" t="str">
        <f t="shared" si="1923"/>
        <v>89301000</v>
      </c>
      <c r="B8893" t="str">
        <f t="shared" si="1928"/>
        <v>88805000</v>
      </c>
      <c r="C8893" t="str">
        <f t="shared" si="1929"/>
        <v>88805001</v>
      </c>
      <c r="D8893" t="str">
        <f t="shared" si="1930"/>
        <v>801</v>
      </c>
      <c r="E8893" t="str">
        <f>"89301202"</f>
        <v>89301202</v>
      </c>
      <c r="F8893" t="str">
        <f>"8359305361"</f>
        <v>8359305361</v>
      </c>
      <c r="G8893" s="1">
        <v>44813</v>
      </c>
      <c r="H8893" t="str">
        <f>"81643"</f>
        <v>81643</v>
      </c>
      <c r="I8893">
        <v>1</v>
      </c>
      <c r="J8893">
        <v>104</v>
      </c>
      <c r="K8893">
        <v>0</v>
      </c>
      <c r="L8893">
        <v>81.12</v>
      </c>
    </row>
    <row r="8894" spans="1:12" x14ac:dyDescent="0.25">
      <c r="A8894" t="str">
        <f t="shared" si="1923"/>
        <v>89301000</v>
      </c>
      <c r="B8894" t="str">
        <f t="shared" si="1928"/>
        <v>88805000</v>
      </c>
      <c r="C8894" t="str">
        <f t="shared" ref="C8894:C8907" si="1931">"88805014"</f>
        <v>88805014</v>
      </c>
      <c r="D8894" t="str">
        <f t="shared" ref="D8894:D8925" si="1932">"816"</f>
        <v>816</v>
      </c>
      <c r="E8894" t="str">
        <f t="shared" ref="E8894:E8907" si="1933">"89301282"</f>
        <v>89301282</v>
      </c>
      <c r="F8894" t="str">
        <f>"9811104864"</f>
        <v>9811104864</v>
      </c>
      <c r="G8894" s="1">
        <v>44812</v>
      </c>
      <c r="H8894" t="str">
        <f>"94331"</f>
        <v>94331</v>
      </c>
      <c r="I8894">
        <v>2</v>
      </c>
      <c r="J8894">
        <v>15556</v>
      </c>
      <c r="K8894">
        <v>0</v>
      </c>
      <c r="L8894">
        <v>13222.6</v>
      </c>
    </row>
    <row r="8895" spans="1:12" x14ac:dyDescent="0.25">
      <c r="A8895" t="str">
        <f t="shared" si="1923"/>
        <v>89301000</v>
      </c>
      <c r="B8895" t="str">
        <f t="shared" si="1928"/>
        <v>88805000</v>
      </c>
      <c r="C8895" t="str">
        <f t="shared" si="1931"/>
        <v>88805014</v>
      </c>
      <c r="D8895" t="str">
        <f t="shared" si="1932"/>
        <v>816</v>
      </c>
      <c r="E8895" t="str">
        <f t="shared" si="1933"/>
        <v>89301282</v>
      </c>
      <c r="F8895" t="str">
        <f>"9811104864"</f>
        <v>9811104864</v>
      </c>
      <c r="G8895" s="1">
        <v>44812</v>
      </c>
      <c r="H8895" t="str">
        <f>"94948"</f>
        <v>94948</v>
      </c>
      <c r="I8895">
        <v>1</v>
      </c>
      <c r="J8895">
        <v>0</v>
      </c>
      <c r="K8895">
        <v>0</v>
      </c>
      <c r="L8895">
        <v>0</v>
      </c>
    </row>
    <row r="8896" spans="1:12" x14ac:dyDescent="0.25">
      <c r="A8896" t="str">
        <f t="shared" si="1923"/>
        <v>89301000</v>
      </c>
      <c r="B8896" t="str">
        <f t="shared" si="1928"/>
        <v>88805000</v>
      </c>
      <c r="C8896" t="str">
        <f t="shared" si="1931"/>
        <v>88805014</v>
      </c>
      <c r="D8896" t="str">
        <f t="shared" si="1932"/>
        <v>816</v>
      </c>
      <c r="E8896" t="str">
        <f t="shared" si="1933"/>
        <v>89301282</v>
      </c>
      <c r="F8896" t="str">
        <f>"0853203252"</f>
        <v>0853203252</v>
      </c>
      <c r="G8896" s="1">
        <v>44813</v>
      </c>
      <c r="H8896" t="str">
        <f>"94982"</f>
        <v>94982</v>
      </c>
      <c r="I8896">
        <v>1</v>
      </c>
      <c r="J8896">
        <v>0</v>
      </c>
      <c r="K8896">
        <v>27500</v>
      </c>
      <c r="L8896">
        <v>27500</v>
      </c>
    </row>
    <row r="8897" spans="1:12" x14ac:dyDescent="0.25">
      <c r="A8897" t="str">
        <f t="shared" si="1923"/>
        <v>89301000</v>
      </c>
      <c r="B8897" t="str">
        <f t="shared" si="1928"/>
        <v>88805000</v>
      </c>
      <c r="C8897" t="str">
        <f t="shared" si="1931"/>
        <v>88805014</v>
      </c>
      <c r="D8897" t="str">
        <f t="shared" si="1932"/>
        <v>816</v>
      </c>
      <c r="E8897" t="str">
        <f t="shared" si="1933"/>
        <v>89301282</v>
      </c>
      <c r="F8897" t="str">
        <f>"0853203252"</f>
        <v>0853203252</v>
      </c>
      <c r="G8897" s="1">
        <v>44813</v>
      </c>
      <c r="H8897" t="str">
        <f>"94996"</f>
        <v>94996</v>
      </c>
      <c r="I8897">
        <v>1</v>
      </c>
      <c r="J8897">
        <v>0</v>
      </c>
      <c r="K8897">
        <v>0</v>
      </c>
      <c r="L8897">
        <v>0</v>
      </c>
    </row>
    <row r="8898" spans="1:12" x14ac:dyDescent="0.25">
      <c r="A8898" t="str">
        <f t="shared" ref="A8898:A8961" si="1934">"89301000"</f>
        <v>89301000</v>
      </c>
      <c r="B8898" t="str">
        <f t="shared" si="1928"/>
        <v>88805000</v>
      </c>
      <c r="C8898" t="str">
        <f t="shared" si="1931"/>
        <v>88805014</v>
      </c>
      <c r="D8898" t="str">
        <f t="shared" si="1932"/>
        <v>816</v>
      </c>
      <c r="E8898" t="str">
        <f t="shared" si="1933"/>
        <v>89301282</v>
      </c>
      <c r="F8898" t="str">
        <f>"9203085705"</f>
        <v>9203085705</v>
      </c>
      <c r="G8898" s="1">
        <v>44828</v>
      </c>
      <c r="H8898" t="str">
        <f>"94982"</f>
        <v>94982</v>
      </c>
      <c r="I8898">
        <v>1</v>
      </c>
      <c r="J8898">
        <v>0</v>
      </c>
      <c r="K8898">
        <v>27500</v>
      </c>
      <c r="L8898">
        <v>27500</v>
      </c>
    </row>
    <row r="8899" spans="1:12" x14ac:dyDescent="0.25">
      <c r="A8899" t="str">
        <f t="shared" si="1934"/>
        <v>89301000</v>
      </c>
      <c r="B8899" t="str">
        <f t="shared" si="1928"/>
        <v>88805000</v>
      </c>
      <c r="C8899" t="str">
        <f t="shared" si="1931"/>
        <v>88805014</v>
      </c>
      <c r="D8899" t="str">
        <f t="shared" si="1932"/>
        <v>816</v>
      </c>
      <c r="E8899" t="str">
        <f t="shared" si="1933"/>
        <v>89301282</v>
      </c>
      <c r="F8899" t="str">
        <f>"9203085705"</f>
        <v>9203085705</v>
      </c>
      <c r="G8899" s="1">
        <v>44828</v>
      </c>
      <c r="H8899" t="str">
        <f>"94996"</f>
        <v>94996</v>
      </c>
      <c r="I8899">
        <v>1</v>
      </c>
      <c r="J8899">
        <v>0</v>
      </c>
      <c r="K8899">
        <v>0</v>
      </c>
      <c r="L8899">
        <v>0</v>
      </c>
    </row>
    <row r="8900" spans="1:12" x14ac:dyDescent="0.25">
      <c r="A8900" t="str">
        <f t="shared" si="1934"/>
        <v>89301000</v>
      </c>
      <c r="B8900" t="str">
        <f t="shared" si="1928"/>
        <v>88805000</v>
      </c>
      <c r="C8900" t="str">
        <f t="shared" si="1931"/>
        <v>88805014</v>
      </c>
      <c r="D8900" t="str">
        <f t="shared" si="1932"/>
        <v>816</v>
      </c>
      <c r="E8900" t="str">
        <f t="shared" si="1933"/>
        <v>89301282</v>
      </c>
      <c r="F8900" t="str">
        <f>"2255230648"</f>
        <v>2255230648</v>
      </c>
      <c r="G8900" s="1">
        <v>44827</v>
      </c>
      <c r="H8900" t="str">
        <f>"94982"</f>
        <v>94982</v>
      </c>
      <c r="I8900">
        <v>1</v>
      </c>
      <c r="J8900">
        <v>0</v>
      </c>
      <c r="K8900">
        <v>27500</v>
      </c>
      <c r="L8900">
        <v>27500</v>
      </c>
    </row>
    <row r="8901" spans="1:12" x14ac:dyDescent="0.25">
      <c r="A8901" t="str">
        <f t="shared" si="1934"/>
        <v>89301000</v>
      </c>
      <c r="B8901" t="str">
        <f t="shared" si="1928"/>
        <v>88805000</v>
      </c>
      <c r="C8901" t="str">
        <f t="shared" si="1931"/>
        <v>88805014</v>
      </c>
      <c r="D8901" t="str">
        <f t="shared" si="1932"/>
        <v>816</v>
      </c>
      <c r="E8901" t="str">
        <f t="shared" si="1933"/>
        <v>89301282</v>
      </c>
      <c r="F8901" t="str">
        <f>"2255230648"</f>
        <v>2255230648</v>
      </c>
      <c r="G8901" s="1">
        <v>44827</v>
      </c>
      <c r="H8901" t="str">
        <f>"94996"</f>
        <v>94996</v>
      </c>
      <c r="I8901">
        <v>1</v>
      </c>
      <c r="J8901">
        <v>0</v>
      </c>
      <c r="K8901">
        <v>0</v>
      </c>
      <c r="L8901">
        <v>0</v>
      </c>
    </row>
    <row r="8902" spans="1:12" x14ac:dyDescent="0.25">
      <c r="A8902" t="str">
        <f t="shared" si="1934"/>
        <v>89301000</v>
      </c>
      <c r="B8902" t="str">
        <f t="shared" si="1928"/>
        <v>88805000</v>
      </c>
      <c r="C8902" t="str">
        <f t="shared" si="1931"/>
        <v>88805014</v>
      </c>
      <c r="D8902" t="str">
        <f t="shared" si="1932"/>
        <v>816</v>
      </c>
      <c r="E8902" t="str">
        <f t="shared" si="1933"/>
        <v>89301282</v>
      </c>
      <c r="F8902" t="str">
        <f>"0757185330"</f>
        <v>0757185330</v>
      </c>
      <c r="G8902" s="1">
        <v>44833</v>
      </c>
      <c r="H8902" t="str">
        <f>"94982"</f>
        <v>94982</v>
      </c>
      <c r="I8902">
        <v>1</v>
      </c>
      <c r="J8902">
        <v>0</v>
      </c>
      <c r="K8902">
        <v>27500</v>
      </c>
      <c r="L8902">
        <v>27500</v>
      </c>
    </row>
    <row r="8903" spans="1:12" x14ac:dyDescent="0.25">
      <c r="A8903" t="str">
        <f t="shared" si="1934"/>
        <v>89301000</v>
      </c>
      <c r="B8903" t="str">
        <f t="shared" si="1928"/>
        <v>88805000</v>
      </c>
      <c r="C8903" t="str">
        <f t="shared" si="1931"/>
        <v>88805014</v>
      </c>
      <c r="D8903" t="str">
        <f t="shared" si="1932"/>
        <v>816</v>
      </c>
      <c r="E8903" t="str">
        <f t="shared" si="1933"/>
        <v>89301282</v>
      </c>
      <c r="F8903" t="str">
        <f>"0757185330"</f>
        <v>0757185330</v>
      </c>
      <c r="G8903" s="1">
        <v>44833</v>
      </c>
      <c r="H8903" t="str">
        <f>"94996"</f>
        <v>94996</v>
      </c>
      <c r="I8903">
        <v>1</v>
      </c>
      <c r="J8903">
        <v>0</v>
      </c>
      <c r="K8903">
        <v>0</v>
      </c>
      <c r="L8903">
        <v>0</v>
      </c>
    </row>
    <row r="8904" spans="1:12" x14ac:dyDescent="0.25">
      <c r="A8904" t="str">
        <f t="shared" si="1934"/>
        <v>89301000</v>
      </c>
      <c r="B8904" t="str">
        <f t="shared" si="1928"/>
        <v>88805000</v>
      </c>
      <c r="C8904" t="str">
        <f t="shared" si="1931"/>
        <v>88805014</v>
      </c>
      <c r="D8904" t="str">
        <f t="shared" si="1932"/>
        <v>816</v>
      </c>
      <c r="E8904" t="str">
        <f t="shared" si="1933"/>
        <v>89301282</v>
      </c>
      <c r="F8904" t="str">
        <f>"0402207190"</f>
        <v>0402207190</v>
      </c>
      <c r="G8904" s="1">
        <v>44832</v>
      </c>
      <c r="H8904" t="str">
        <f>"94983"</f>
        <v>94983</v>
      </c>
      <c r="I8904">
        <v>1</v>
      </c>
      <c r="J8904">
        <v>0</v>
      </c>
      <c r="K8904">
        <v>39600</v>
      </c>
      <c r="L8904">
        <v>39600</v>
      </c>
    </row>
    <row r="8905" spans="1:12" x14ac:dyDescent="0.25">
      <c r="A8905" t="str">
        <f t="shared" si="1934"/>
        <v>89301000</v>
      </c>
      <c r="B8905" t="str">
        <f t="shared" si="1928"/>
        <v>88805000</v>
      </c>
      <c r="C8905" t="str">
        <f t="shared" si="1931"/>
        <v>88805014</v>
      </c>
      <c r="D8905" t="str">
        <f t="shared" si="1932"/>
        <v>816</v>
      </c>
      <c r="E8905" t="str">
        <f t="shared" si="1933"/>
        <v>89301282</v>
      </c>
      <c r="F8905" t="str">
        <f>"0402207190"</f>
        <v>0402207190</v>
      </c>
      <c r="G8905" s="1">
        <v>44832</v>
      </c>
      <c r="H8905" t="str">
        <f>"94996"</f>
        <v>94996</v>
      </c>
      <c r="I8905">
        <v>1</v>
      </c>
      <c r="J8905">
        <v>0</v>
      </c>
      <c r="K8905">
        <v>0</v>
      </c>
      <c r="L8905">
        <v>0</v>
      </c>
    </row>
    <row r="8906" spans="1:12" x14ac:dyDescent="0.25">
      <c r="A8906" t="str">
        <f t="shared" si="1934"/>
        <v>89301000</v>
      </c>
      <c r="B8906" t="str">
        <f t="shared" si="1928"/>
        <v>88805000</v>
      </c>
      <c r="C8906" t="str">
        <f t="shared" si="1931"/>
        <v>88805014</v>
      </c>
      <c r="D8906" t="str">
        <f t="shared" si="1932"/>
        <v>816</v>
      </c>
      <c r="E8906" t="str">
        <f t="shared" si="1933"/>
        <v>89301282</v>
      </c>
      <c r="F8906" t="str">
        <f>"7611015709"</f>
        <v>7611015709</v>
      </c>
      <c r="G8906" s="1">
        <v>44825</v>
      </c>
      <c r="H8906" t="str">
        <f>"94983"</f>
        <v>94983</v>
      </c>
      <c r="I8906">
        <v>1</v>
      </c>
      <c r="J8906">
        <v>0</v>
      </c>
      <c r="K8906">
        <v>39600</v>
      </c>
      <c r="L8906">
        <v>39600</v>
      </c>
    </row>
    <row r="8907" spans="1:12" x14ac:dyDescent="0.25">
      <c r="A8907" t="str">
        <f t="shared" si="1934"/>
        <v>89301000</v>
      </c>
      <c r="B8907" t="str">
        <f t="shared" si="1928"/>
        <v>88805000</v>
      </c>
      <c r="C8907" t="str">
        <f t="shared" si="1931"/>
        <v>88805014</v>
      </c>
      <c r="D8907" t="str">
        <f t="shared" si="1932"/>
        <v>816</v>
      </c>
      <c r="E8907" t="str">
        <f t="shared" si="1933"/>
        <v>89301282</v>
      </c>
      <c r="F8907" t="str">
        <f>"7611015709"</f>
        <v>7611015709</v>
      </c>
      <c r="G8907" s="1">
        <v>44825</v>
      </c>
      <c r="H8907" t="str">
        <f>"94996"</f>
        <v>94996</v>
      </c>
      <c r="I8907">
        <v>1</v>
      </c>
      <c r="J8907">
        <v>0</v>
      </c>
      <c r="K8907">
        <v>0</v>
      </c>
      <c r="L8907">
        <v>0</v>
      </c>
    </row>
    <row r="8908" spans="1:12" x14ac:dyDescent="0.25">
      <c r="A8908" t="str">
        <f t="shared" si="1934"/>
        <v>89301000</v>
      </c>
      <c r="B8908" t="str">
        <f t="shared" ref="B8908:B8939" si="1935">"72100000"</f>
        <v>72100000</v>
      </c>
      <c r="C8908" t="str">
        <f t="shared" ref="C8908:C8939" si="1936">"72100632"</f>
        <v>72100632</v>
      </c>
      <c r="D8908" t="str">
        <f t="shared" si="1932"/>
        <v>816</v>
      </c>
      <c r="E8908" t="str">
        <f>"89301091"</f>
        <v>89301091</v>
      </c>
      <c r="F8908" t="str">
        <f>"2255280368"</f>
        <v>2255280368</v>
      </c>
      <c r="G8908" s="1">
        <v>44714</v>
      </c>
      <c r="H8908" t="str">
        <f>"94297"</f>
        <v>94297</v>
      </c>
      <c r="I8908">
        <v>1</v>
      </c>
      <c r="J8908">
        <v>298</v>
      </c>
      <c r="K8908">
        <v>0</v>
      </c>
      <c r="L8908">
        <v>366.54</v>
      </c>
    </row>
    <row r="8909" spans="1:12" x14ac:dyDescent="0.25">
      <c r="A8909" t="str">
        <f t="shared" si="1934"/>
        <v>89301000</v>
      </c>
      <c r="B8909" t="str">
        <f t="shared" si="1935"/>
        <v>72100000</v>
      </c>
      <c r="C8909" t="str">
        <f t="shared" si="1936"/>
        <v>72100632</v>
      </c>
      <c r="D8909" t="str">
        <f t="shared" si="1932"/>
        <v>816</v>
      </c>
      <c r="E8909" t="str">
        <f>"89301091"</f>
        <v>89301091</v>
      </c>
      <c r="F8909" t="str">
        <f>"2256090738"</f>
        <v>2256090738</v>
      </c>
      <c r="G8909" s="1">
        <v>44727</v>
      </c>
      <c r="H8909" t="str">
        <f>"94297"</f>
        <v>94297</v>
      </c>
      <c r="I8909">
        <v>1</v>
      </c>
      <c r="J8909">
        <v>298</v>
      </c>
      <c r="K8909">
        <v>0</v>
      </c>
      <c r="L8909">
        <v>366.54</v>
      </c>
    </row>
    <row r="8910" spans="1:12" x14ac:dyDescent="0.25">
      <c r="A8910" t="str">
        <f t="shared" si="1934"/>
        <v>89301000</v>
      </c>
      <c r="B8910" t="str">
        <f t="shared" si="1935"/>
        <v>72100000</v>
      </c>
      <c r="C8910" t="str">
        <f t="shared" si="1936"/>
        <v>72100632</v>
      </c>
      <c r="D8910" t="str">
        <f t="shared" si="1932"/>
        <v>816</v>
      </c>
      <c r="E8910" t="str">
        <f t="shared" ref="E8910:E8917" si="1937">"89301282"</f>
        <v>89301282</v>
      </c>
      <c r="F8910" t="str">
        <f>"7757125761"</f>
        <v>7757125761</v>
      </c>
      <c r="G8910" s="1">
        <v>44722</v>
      </c>
      <c r="H8910" t="str">
        <f>"94964"</f>
        <v>94964</v>
      </c>
      <c r="I8910">
        <v>1</v>
      </c>
      <c r="J8910">
        <v>0</v>
      </c>
      <c r="K8910">
        <v>1952</v>
      </c>
      <c r="L8910">
        <v>1952</v>
      </c>
    </row>
    <row r="8911" spans="1:12" x14ac:dyDescent="0.25">
      <c r="A8911" t="str">
        <f t="shared" si="1934"/>
        <v>89301000</v>
      </c>
      <c r="B8911" t="str">
        <f t="shared" si="1935"/>
        <v>72100000</v>
      </c>
      <c r="C8911" t="str">
        <f t="shared" si="1936"/>
        <v>72100632</v>
      </c>
      <c r="D8911" t="str">
        <f t="shared" si="1932"/>
        <v>816</v>
      </c>
      <c r="E8911" t="str">
        <f t="shared" si="1937"/>
        <v>89301282</v>
      </c>
      <c r="F8911" t="str">
        <f>"1302281519"</f>
        <v>1302281519</v>
      </c>
      <c r="G8911" s="1">
        <v>44722</v>
      </c>
      <c r="H8911" t="str">
        <f>"94964"</f>
        <v>94964</v>
      </c>
      <c r="I8911">
        <v>1</v>
      </c>
      <c r="J8911">
        <v>0</v>
      </c>
      <c r="K8911">
        <v>1952</v>
      </c>
      <c r="L8911">
        <v>1952</v>
      </c>
    </row>
    <row r="8912" spans="1:12" x14ac:dyDescent="0.25">
      <c r="A8912" t="str">
        <f t="shared" si="1934"/>
        <v>89301000</v>
      </c>
      <c r="B8912" t="str">
        <f t="shared" si="1935"/>
        <v>72100000</v>
      </c>
      <c r="C8912" t="str">
        <f t="shared" si="1936"/>
        <v>72100632</v>
      </c>
      <c r="D8912" t="str">
        <f t="shared" si="1932"/>
        <v>816</v>
      </c>
      <c r="E8912" t="str">
        <f t="shared" si="1937"/>
        <v>89301282</v>
      </c>
      <c r="F8912" t="str">
        <f>"7753115326"</f>
        <v>7753115326</v>
      </c>
      <c r="G8912" s="1">
        <v>44740</v>
      </c>
      <c r="H8912" t="str">
        <f>"94221"</f>
        <v>94221</v>
      </c>
      <c r="I8912">
        <v>1</v>
      </c>
      <c r="J8912">
        <v>2453</v>
      </c>
      <c r="K8912">
        <v>0</v>
      </c>
      <c r="L8912">
        <v>2085.0500000000002</v>
      </c>
    </row>
    <row r="8913" spans="1:12" x14ac:dyDescent="0.25">
      <c r="A8913" t="str">
        <f t="shared" si="1934"/>
        <v>89301000</v>
      </c>
      <c r="B8913" t="str">
        <f t="shared" si="1935"/>
        <v>72100000</v>
      </c>
      <c r="C8913" t="str">
        <f t="shared" si="1936"/>
        <v>72100632</v>
      </c>
      <c r="D8913" t="str">
        <f t="shared" si="1932"/>
        <v>816</v>
      </c>
      <c r="E8913" t="str">
        <f t="shared" si="1937"/>
        <v>89301282</v>
      </c>
      <c r="F8913" t="str">
        <f>"7753115326"</f>
        <v>7753115326</v>
      </c>
      <c r="G8913" s="1">
        <v>44740</v>
      </c>
      <c r="H8913" t="str">
        <f>"94221"</f>
        <v>94221</v>
      </c>
      <c r="I8913">
        <v>1</v>
      </c>
      <c r="J8913">
        <v>2453</v>
      </c>
      <c r="K8913">
        <v>0</v>
      </c>
      <c r="L8913">
        <v>2085.0500000000002</v>
      </c>
    </row>
    <row r="8914" spans="1:12" x14ac:dyDescent="0.25">
      <c r="A8914" t="str">
        <f t="shared" si="1934"/>
        <v>89301000</v>
      </c>
      <c r="B8914" t="str">
        <f t="shared" si="1935"/>
        <v>72100000</v>
      </c>
      <c r="C8914" t="str">
        <f t="shared" si="1936"/>
        <v>72100632</v>
      </c>
      <c r="D8914" t="str">
        <f t="shared" si="1932"/>
        <v>816</v>
      </c>
      <c r="E8914" t="str">
        <f t="shared" si="1937"/>
        <v>89301282</v>
      </c>
      <c r="F8914" t="str">
        <f>"7753115326"</f>
        <v>7753115326</v>
      </c>
      <c r="G8914" s="1">
        <v>44740</v>
      </c>
      <c r="H8914" t="str">
        <f>"94345"</f>
        <v>94345</v>
      </c>
      <c r="I8914">
        <v>1</v>
      </c>
      <c r="J8914">
        <v>4625</v>
      </c>
      <c r="K8914">
        <v>0</v>
      </c>
      <c r="L8914">
        <v>3931.25</v>
      </c>
    </row>
    <row r="8915" spans="1:12" x14ac:dyDescent="0.25">
      <c r="A8915" t="str">
        <f t="shared" si="1934"/>
        <v>89301000</v>
      </c>
      <c r="B8915" t="str">
        <f t="shared" si="1935"/>
        <v>72100000</v>
      </c>
      <c r="C8915" t="str">
        <f t="shared" si="1936"/>
        <v>72100632</v>
      </c>
      <c r="D8915" t="str">
        <f t="shared" si="1932"/>
        <v>816</v>
      </c>
      <c r="E8915" t="str">
        <f t="shared" si="1937"/>
        <v>89301282</v>
      </c>
      <c r="F8915" t="str">
        <f>"1608151215"</f>
        <v>1608151215</v>
      </c>
      <c r="G8915" s="1">
        <v>44713</v>
      </c>
      <c r="H8915" t="str">
        <f>"94221"</f>
        <v>94221</v>
      </c>
      <c r="I8915">
        <v>1</v>
      </c>
      <c r="J8915">
        <v>2453</v>
      </c>
      <c r="K8915">
        <v>0</v>
      </c>
      <c r="L8915">
        <v>2085.0500000000002</v>
      </c>
    </row>
    <row r="8916" spans="1:12" x14ac:dyDescent="0.25">
      <c r="A8916" t="str">
        <f t="shared" si="1934"/>
        <v>89301000</v>
      </c>
      <c r="B8916" t="str">
        <f t="shared" si="1935"/>
        <v>72100000</v>
      </c>
      <c r="C8916" t="str">
        <f t="shared" si="1936"/>
        <v>72100632</v>
      </c>
      <c r="D8916" t="str">
        <f t="shared" si="1932"/>
        <v>816</v>
      </c>
      <c r="E8916" t="str">
        <f t="shared" si="1937"/>
        <v>89301282</v>
      </c>
      <c r="F8916" t="str">
        <f>"1608151215"</f>
        <v>1608151215</v>
      </c>
      <c r="G8916" s="1">
        <v>44713</v>
      </c>
      <c r="H8916" t="str">
        <f>"94331"</f>
        <v>94331</v>
      </c>
      <c r="I8916">
        <v>1</v>
      </c>
      <c r="J8916">
        <v>7778</v>
      </c>
      <c r="K8916">
        <v>0</v>
      </c>
      <c r="L8916">
        <v>6611.3</v>
      </c>
    </row>
    <row r="8917" spans="1:12" x14ac:dyDescent="0.25">
      <c r="A8917" t="str">
        <f t="shared" si="1934"/>
        <v>89301000</v>
      </c>
      <c r="B8917" t="str">
        <f t="shared" si="1935"/>
        <v>72100000</v>
      </c>
      <c r="C8917" t="str">
        <f t="shared" si="1936"/>
        <v>72100632</v>
      </c>
      <c r="D8917" t="str">
        <f t="shared" si="1932"/>
        <v>816</v>
      </c>
      <c r="E8917" t="str">
        <f t="shared" si="1937"/>
        <v>89301282</v>
      </c>
      <c r="F8917" t="str">
        <f>"2255271524"</f>
        <v>2255271524</v>
      </c>
      <c r="G8917" s="1">
        <v>44740</v>
      </c>
      <c r="H8917" t="str">
        <f>"94221"</f>
        <v>94221</v>
      </c>
      <c r="I8917">
        <v>1</v>
      </c>
      <c r="J8917">
        <v>2453</v>
      </c>
      <c r="K8917">
        <v>0</v>
      </c>
      <c r="L8917">
        <v>2085.0500000000002</v>
      </c>
    </row>
    <row r="8918" spans="1:12" x14ac:dyDescent="0.25">
      <c r="A8918" t="str">
        <f t="shared" si="1934"/>
        <v>89301000</v>
      </c>
      <c r="B8918" t="str">
        <f t="shared" si="1935"/>
        <v>72100000</v>
      </c>
      <c r="C8918" t="str">
        <f t="shared" si="1936"/>
        <v>72100632</v>
      </c>
      <c r="D8918" t="str">
        <f t="shared" si="1932"/>
        <v>816</v>
      </c>
      <c r="E8918" t="str">
        <f t="shared" ref="E8918:E8949" si="1938">"89301091"</f>
        <v>89301091</v>
      </c>
      <c r="F8918" t="str">
        <f>"2207250408"</f>
        <v>2207250408</v>
      </c>
      <c r="G8918" s="1">
        <v>44774</v>
      </c>
      <c r="H8918" t="str">
        <f t="shared" ref="H8918:H8949" si="1939">"94297"</f>
        <v>94297</v>
      </c>
      <c r="I8918">
        <v>1</v>
      </c>
      <c r="J8918">
        <v>298</v>
      </c>
      <c r="K8918">
        <v>0</v>
      </c>
      <c r="L8918">
        <v>366.54</v>
      </c>
    </row>
    <row r="8919" spans="1:12" x14ac:dyDescent="0.25">
      <c r="A8919" t="str">
        <f t="shared" si="1934"/>
        <v>89301000</v>
      </c>
      <c r="B8919" t="str">
        <f t="shared" si="1935"/>
        <v>72100000</v>
      </c>
      <c r="C8919" t="str">
        <f t="shared" si="1936"/>
        <v>72100632</v>
      </c>
      <c r="D8919" t="str">
        <f t="shared" si="1932"/>
        <v>816</v>
      </c>
      <c r="E8919" t="str">
        <f t="shared" si="1938"/>
        <v>89301091</v>
      </c>
      <c r="F8919" t="str">
        <f>"2207260440"</f>
        <v>2207260440</v>
      </c>
      <c r="G8919" s="1">
        <v>44775</v>
      </c>
      <c r="H8919" t="str">
        <f t="shared" si="1939"/>
        <v>94297</v>
      </c>
      <c r="I8919">
        <v>1</v>
      </c>
      <c r="J8919">
        <v>298</v>
      </c>
      <c r="K8919">
        <v>0</v>
      </c>
      <c r="L8919">
        <v>366.54</v>
      </c>
    </row>
    <row r="8920" spans="1:12" x14ac:dyDescent="0.25">
      <c r="A8920" t="str">
        <f t="shared" si="1934"/>
        <v>89301000</v>
      </c>
      <c r="B8920" t="str">
        <f t="shared" si="1935"/>
        <v>72100000</v>
      </c>
      <c r="C8920" t="str">
        <f t="shared" si="1936"/>
        <v>72100632</v>
      </c>
      <c r="D8920" t="str">
        <f t="shared" si="1932"/>
        <v>816</v>
      </c>
      <c r="E8920" t="str">
        <f t="shared" si="1938"/>
        <v>89301091</v>
      </c>
      <c r="F8920" t="str">
        <f>"2257270499"</f>
        <v>2257270499</v>
      </c>
      <c r="G8920" s="1">
        <v>44776</v>
      </c>
      <c r="H8920" t="str">
        <f t="shared" si="1939"/>
        <v>94297</v>
      </c>
      <c r="I8920">
        <v>1</v>
      </c>
      <c r="J8920">
        <v>298</v>
      </c>
      <c r="K8920">
        <v>0</v>
      </c>
      <c r="L8920">
        <v>366.54</v>
      </c>
    </row>
    <row r="8921" spans="1:12" x14ac:dyDescent="0.25">
      <c r="A8921" t="str">
        <f t="shared" si="1934"/>
        <v>89301000</v>
      </c>
      <c r="B8921" t="str">
        <f t="shared" si="1935"/>
        <v>72100000</v>
      </c>
      <c r="C8921" t="str">
        <f t="shared" si="1936"/>
        <v>72100632</v>
      </c>
      <c r="D8921" t="str">
        <f t="shared" si="1932"/>
        <v>816</v>
      </c>
      <c r="E8921" t="str">
        <f t="shared" si="1938"/>
        <v>89301091</v>
      </c>
      <c r="F8921" t="str">
        <f>"2207270384"</f>
        <v>2207270384</v>
      </c>
      <c r="G8921" s="1">
        <v>44776</v>
      </c>
      <c r="H8921" t="str">
        <f t="shared" si="1939"/>
        <v>94297</v>
      </c>
      <c r="I8921">
        <v>1</v>
      </c>
      <c r="J8921">
        <v>298</v>
      </c>
      <c r="K8921">
        <v>0</v>
      </c>
      <c r="L8921">
        <v>366.54</v>
      </c>
    </row>
    <row r="8922" spans="1:12" x14ac:dyDescent="0.25">
      <c r="A8922" t="str">
        <f t="shared" si="1934"/>
        <v>89301000</v>
      </c>
      <c r="B8922" t="str">
        <f t="shared" si="1935"/>
        <v>72100000</v>
      </c>
      <c r="C8922" t="str">
        <f t="shared" si="1936"/>
        <v>72100632</v>
      </c>
      <c r="D8922" t="str">
        <f t="shared" si="1932"/>
        <v>816</v>
      </c>
      <c r="E8922" t="str">
        <f t="shared" si="1938"/>
        <v>89301091</v>
      </c>
      <c r="F8922" t="str">
        <f>"2207270417"</f>
        <v>2207270417</v>
      </c>
      <c r="G8922" s="1">
        <v>44776</v>
      </c>
      <c r="H8922" t="str">
        <f t="shared" si="1939"/>
        <v>94297</v>
      </c>
      <c r="I8922">
        <v>1</v>
      </c>
      <c r="J8922">
        <v>298</v>
      </c>
      <c r="K8922">
        <v>0</v>
      </c>
      <c r="L8922">
        <v>366.54</v>
      </c>
    </row>
    <row r="8923" spans="1:12" x14ac:dyDescent="0.25">
      <c r="A8923" t="str">
        <f t="shared" si="1934"/>
        <v>89301000</v>
      </c>
      <c r="B8923" t="str">
        <f t="shared" si="1935"/>
        <v>72100000</v>
      </c>
      <c r="C8923" t="str">
        <f t="shared" si="1936"/>
        <v>72100632</v>
      </c>
      <c r="D8923" t="str">
        <f t="shared" si="1932"/>
        <v>816</v>
      </c>
      <c r="E8923" t="str">
        <f t="shared" si="1938"/>
        <v>89301091</v>
      </c>
      <c r="F8923" t="str">
        <f>"2257280685"</f>
        <v>2257280685</v>
      </c>
      <c r="G8923" s="1">
        <v>44776</v>
      </c>
      <c r="H8923" t="str">
        <f t="shared" si="1939"/>
        <v>94297</v>
      </c>
      <c r="I8923">
        <v>1</v>
      </c>
      <c r="J8923">
        <v>298</v>
      </c>
      <c r="K8923">
        <v>0</v>
      </c>
      <c r="L8923">
        <v>366.54</v>
      </c>
    </row>
    <row r="8924" spans="1:12" x14ac:dyDescent="0.25">
      <c r="A8924" t="str">
        <f t="shared" si="1934"/>
        <v>89301000</v>
      </c>
      <c r="B8924" t="str">
        <f t="shared" si="1935"/>
        <v>72100000</v>
      </c>
      <c r="C8924" t="str">
        <f t="shared" si="1936"/>
        <v>72100632</v>
      </c>
      <c r="D8924" t="str">
        <f t="shared" si="1932"/>
        <v>816</v>
      </c>
      <c r="E8924" t="str">
        <f t="shared" si="1938"/>
        <v>89301091</v>
      </c>
      <c r="F8924" t="str">
        <f>"2257280696"</f>
        <v>2257280696</v>
      </c>
      <c r="G8924" s="1">
        <v>44776</v>
      </c>
      <c r="H8924" t="str">
        <f t="shared" si="1939"/>
        <v>94297</v>
      </c>
      <c r="I8924">
        <v>1</v>
      </c>
      <c r="J8924">
        <v>298</v>
      </c>
      <c r="K8924">
        <v>0</v>
      </c>
      <c r="L8924">
        <v>366.54</v>
      </c>
    </row>
    <row r="8925" spans="1:12" x14ac:dyDescent="0.25">
      <c r="A8925" t="str">
        <f t="shared" si="1934"/>
        <v>89301000</v>
      </c>
      <c r="B8925" t="str">
        <f t="shared" si="1935"/>
        <v>72100000</v>
      </c>
      <c r="C8925" t="str">
        <f t="shared" si="1936"/>
        <v>72100632</v>
      </c>
      <c r="D8925" t="str">
        <f t="shared" si="1932"/>
        <v>816</v>
      </c>
      <c r="E8925" t="str">
        <f t="shared" si="1938"/>
        <v>89301091</v>
      </c>
      <c r="F8925" t="str">
        <f>"9051155553"</f>
        <v>9051155553</v>
      </c>
      <c r="G8925" s="1">
        <v>44776</v>
      </c>
      <c r="H8925" t="str">
        <f t="shared" si="1939"/>
        <v>94297</v>
      </c>
      <c r="I8925">
        <v>1</v>
      </c>
      <c r="J8925">
        <v>298</v>
      </c>
      <c r="K8925">
        <v>0</v>
      </c>
      <c r="L8925">
        <v>366.54</v>
      </c>
    </row>
    <row r="8926" spans="1:12" x14ac:dyDescent="0.25">
      <c r="A8926" t="str">
        <f t="shared" si="1934"/>
        <v>89301000</v>
      </c>
      <c r="B8926" t="str">
        <f t="shared" si="1935"/>
        <v>72100000</v>
      </c>
      <c r="C8926" t="str">
        <f t="shared" si="1936"/>
        <v>72100632</v>
      </c>
      <c r="D8926" t="str">
        <f t="shared" ref="D8926:D8957" si="1940">"816"</f>
        <v>816</v>
      </c>
      <c r="E8926" t="str">
        <f t="shared" si="1938"/>
        <v>89301091</v>
      </c>
      <c r="F8926" t="str">
        <f>"9060036073"</f>
        <v>9060036073</v>
      </c>
      <c r="G8926" s="1">
        <v>44776</v>
      </c>
      <c r="H8926" t="str">
        <f t="shared" si="1939"/>
        <v>94297</v>
      </c>
      <c r="I8926">
        <v>1</v>
      </c>
      <c r="J8926">
        <v>298</v>
      </c>
      <c r="K8926">
        <v>0</v>
      </c>
      <c r="L8926">
        <v>366.54</v>
      </c>
    </row>
    <row r="8927" spans="1:12" x14ac:dyDescent="0.25">
      <c r="A8927" t="str">
        <f t="shared" si="1934"/>
        <v>89301000</v>
      </c>
      <c r="B8927" t="str">
        <f t="shared" si="1935"/>
        <v>72100000</v>
      </c>
      <c r="C8927" t="str">
        <f t="shared" si="1936"/>
        <v>72100632</v>
      </c>
      <c r="D8927" t="str">
        <f t="shared" si="1940"/>
        <v>816</v>
      </c>
      <c r="E8927" t="str">
        <f t="shared" si="1938"/>
        <v>89301091</v>
      </c>
      <c r="F8927" t="str">
        <f>"9860295753"</f>
        <v>9860295753</v>
      </c>
      <c r="G8927" s="1">
        <v>44776</v>
      </c>
      <c r="H8927" t="str">
        <f t="shared" si="1939"/>
        <v>94297</v>
      </c>
      <c r="I8927">
        <v>1</v>
      </c>
      <c r="J8927">
        <v>298</v>
      </c>
      <c r="K8927">
        <v>0</v>
      </c>
      <c r="L8927">
        <v>366.54</v>
      </c>
    </row>
    <row r="8928" spans="1:12" x14ac:dyDescent="0.25">
      <c r="A8928" t="str">
        <f t="shared" si="1934"/>
        <v>89301000</v>
      </c>
      <c r="B8928" t="str">
        <f t="shared" si="1935"/>
        <v>72100000</v>
      </c>
      <c r="C8928" t="str">
        <f t="shared" si="1936"/>
        <v>72100632</v>
      </c>
      <c r="D8928" t="str">
        <f t="shared" si="1940"/>
        <v>816</v>
      </c>
      <c r="E8928" t="str">
        <f t="shared" si="1938"/>
        <v>89301091</v>
      </c>
      <c r="F8928" t="str">
        <f>"8854215777"</f>
        <v>8854215777</v>
      </c>
      <c r="G8928" s="1">
        <v>44777</v>
      </c>
      <c r="H8928" t="str">
        <f t="shared" si="1939"/>
        <v>94297</v>
      </c>
      <c r="I8928">
        <v>1</v>
      </c>
      <c r="J8928">
        <v>298</v>
      </c>
      <c r="K8928">
        <v>0</v>
      </c>
      <c r="L8928">
        <v>366.54</v>
      </c>
    </row>
    <row r="8929" spans="1:12" x14ac:dyDescent="0.25">
      <c r="A8929" t="str">
        <f t="shared" si="1934"/>
        <v>89301000</v>
      </c>
      <c r="B8929" t="str">
        <f t="shared" si="1935"/>
        <v>72100000</v>
      </c>
      <c r="C8929" t="str">
        <f t="shared" si="1936"/>
        <v>72100632</v>
      </c>
      <c r="D8929" t="str">
        <f t="shared" si="1940"/>
        <v>816</v>
      </c>
      <c r="E8929" t="str">
        <f t="shared" si="1938"/>
        <v>89301091</v>
      </c>
      <c r="F8929" t="str">
        <f>"2257300397"</f>
        <v>2257300397</v>
      </c>
      <c r="G8929" s="1">
        <v>44777</v>
      </c>
      <c r="H8929" t="str">
        <f t="shared" si="1939"/>
        <v>94297</v>
      </c>
      <c r="I8929">
        <v>1</v>
      </c>
      <c r="J8929">
        <v>298</v>
      </c>
      <c r="K8929">
        <v>0</v>
      </c>
      <c r="L8929">
        <v>366.54</v>
      </c>
    </row>
    <row r="8930" spans="1:12" x14ac:dyDescent="0.25">
      <c r="A8930" t="str">
        <f t="shared" si="1934"/>
        <v>89301000</v>
      </c>
      <c r="B8930" t="str">
        <f t="shared" si="1935"/>
        <v>72100000</v>
      </c>
      <c r="C8930" t="str">
        <f t="shared" si="1936"/>
        <v>72100632</v>
      </c>
      <c r="D8930" t="str">
        <f t="shared" si="1940"/>
        <v>816</v>
      </c>
      <c r="E8930" t="str">
        <f t="shared" si="1938"/>
        <v>89301091</v>
      </c>
      <c r="F8930" t="str">
        <f>"2257310407"</f>
        <v>2257310407</v>
      </c>
      <c r="G8930" s="1">
        <v>44777</v>
      </c>
      <c r="H8930" t="str">
        <f t="shared" si="1939"/>
        <v>94297</v>
      </c>
      <c r="I8930">
        <v>1</v>
      </c>
      <c r="J8930">
        <v>298</v>
      </c>
      <c r="K8930">
        <v>0</v>
      </c>
      <c r="L8930">
        <v>366.54</v>
      </c>
    </row>
    <row r="8931" spans="1:12" x14ac:dyDescent="0.25">
      <c r="A8931" t="str">
        <f t="shared" si="1934"/>
        <v>89301000</v>
      </c>
      <c r="B8931" t="str">
        <f t="shared" si="1935"/>
        <v>72100000</v>
      </c>
      <c r="C8931" t="str">
        <f t="shared" si="1936"/>
        <v>72100632</v>
      </c>
      <c r="D8931" t="str">
        <f t="shared" si="1940"/>
        <v>816</v>
      </c>
      <c r="E8931" t="str">
        <f t="shared" si="1938"/>
        <v>89301091</v>
      </c>
      <c r="F8931" t="str">
        <f>"2207310314"</f>
        <v>2207310314</v>
      </c>
      <c r="G8931" s="1">
        <v>44778</v>
      </c>
      <c r="H8931" t="str">
        <f t="shared" si="1939"/>
        <v>94297</v>
      </c>
      <c r="I8931">
        <v>1</v>
      </c>
      <c r="J8931">
        <v>298</v>
      </c>
      <c r="K8931">
        <v>0</v>
      </c>
      <c r="L8931">
        <v>366.54</v>
      </c>
    </row>
    <row r="8932" spans="1:12" x14ac:dyDescent="0.25">
      <c r="A8932" t="str">
        <f t="shared" si="1934"/>
        <v>89301000</v>
      </c>
      <c r="B8932" t="str">
        <f t="shared" si="1935"/>
        <v>72100000</v>
      </c>
      <c r="C8932" t="str">
        <f t="shared" si="1936"/>
        <v>72100632</v>
      </c>
      <c r="D8932" t="str">
        <f t="shared" si="1940"/>
        <v>816</v>
      </c>
      <c r="E8932" t="str">
        <f t="shared" si="1938"/>
        <v>89301091</v>
      </c>
      <c r="F8932" t="str">
        <f>"9055105752"</f>
        <v>9055105752</v>
      </c>
      <c r="G8932" s="1">
        <v>44778</v>
      </c>
      <c r="H8932" t="str">
        <f t="shared" si="1939"/>
        <v>94297</v>
      </c>
      <c r="I8932">
        <v>1</v>
      </c>
      <c r="J8932">
        <v>298</v>
      </c>
      <c r="K8932">
        <v>0</v>
      </c>
      <c r="L8932">
        <v>366.54</v>
      </c>
    </row>
    <row r="8933" spans="1:12" x14ac:dyDescent="0.25">
      <c r="A8933" t="str">
        <f t="shared" si="1934"/>
        <v>89301000</v>
      </c>
      <c r="B8933" t="str">
        <f t="shared" si="1935"/>
        <v>72100000</v>
      </c>
      <c r="C8933" t="str">
        <f t="shared" si="1936"/>
        <v>72100632</v>
      </c>
      <c r="D8933" t="str">
        <f t="shared" si="1940"/>
        <v>816</v>
      </c>
      <c r="E8933" t="str">
        <f t="shared" si="1938"/>
        <v>89301091</v>
      </c>
      <c r="F8933" t="str">
        <f>"9452145703"</f>
        <v>9452145703</v>
      </c>
      <c r="G8933" s="1">
        <v>44778</v>
      </c>
      <c r="H8933" t="str">
        <f t="shared" si="1939"/>
        <v>94297</v>
      </c>
      <c r="I8933">
        <v>1</v>
      </c>
      <c r="J8933">
        <v>298</v>
      </c>
      <c r="K8933">
        <v>0</v>
      </c>
      <c r="L8933">
        <v>366.54</v>
      </c>
    </row>
    <row r="8934" spans="1:12" x14ac:dyDescent="0.25">
      <c r="A8934" t="str">
        <f t="shared" si="1934"/>
        <v>89301000</v>
      </c>
      <c r="B8934" t="str">
        <f t="shared" si="1935"/>
        <v>72100000</v>
      </c>
      <c r="C8934" t="str">
        <f t="shared" si="1936"/>
        <v>72100632</v>
      </c>
      <c r="D8934" t="str">
        <f t="shared" si="1940"/>
        <v>816</v>
      </c>
      <c r="E8934" t="str">
        <f t="shared" si="1938"/>
        <v>89301091</v>
      </c>
      <c r="F8934" t="str">
        <f>"2208010101"</f>
        <v>2208010101</v>
      </c>
      <c r="G8934" s="1">
        <v>44781</v>
      </c>
      <c r="H8934" t="str">
        <f t="shared" si="1939"/>
        <v>94297</v>
      </c>
      <c r="I8934">
        <v>1</v>
      </c>
      <c r="J8934">
        <v>298</v>
      </c>
      <c r="K8934">
        <v>0</v>
      </c>
      <c r="L8934">
        <v>366.54</v>
      </c>
    </row>
    <row r="8935" spans="1:12" x14ac:dyDescent="0.25">
      <c r="A8935" t="str">
        <f t="shared" si="1934"/>
        <v>89301000</v>
      </c>
      <c r="B8935" t="str">
        <f t="shared" si="1935"/>
        <v>72100000</v>
      </c>
      <c r="C8935" t="str">
        <f t="shared" si="1936"/>
        <v>72100632</v>
      </c>
      <c r="D8935" t="str">
        <f t="shared" si="1940"/>
        <v>816</v>
      </c>
      <c r="E8935" t="str">
        <f t="shared" si="1938"/>
        <v>89301091</v>
      </c>
      <c r="F8935" t="str">
        <f>"2208010376"</f>
        <v>2208010376</v>
      </c>
      <c r="G8935" s="1">
        <v>44781</v>
      </c>
      <c r="H8935" t="str">
        <f t="shared" si="1939"/>
        <v>94297</v>
      </c>
      <c r="I8935">
        <v>1</v>
      </c>
      <c r="J8935">
        <v>298</v>
      </c>
      <c r="K8935">
        <v>0</v>
      </c>
      <c r="L8935">
        <v>366.54</v>
      </c>
    </row>
    <row r="8936" spans="1:12" x14ac:dyDescent="0.25">
      <c r="A8936" t="str">
        <f t="shared" si="1934"/>
        <v>89301000</v>
      </c>
      <c r="B8936" t="str">
        <f t="shared" si="1935"/>
        <v>72100000</v>
      </c>
      <c r="C8936" t="str">
        <f t="shared" si="1936"/>
        <v>72100632</v>
      </c>
      <c r="D8936" t="str">
        <f t="shared" si="1940"/>
        <v>816</v>
      </c>
      <c r="E8936" t="str">
        <f t="shared" si="1938"/>
        <v>89301091</v>
      </c>
      <c r="F8936" t="str">
        <f>"2258020083"</f>
        <v>2258020083</v>
      </c>
      <c r="G8936" s="1">
        <v>44781</v>
      </c>
      <c r="H8936" t="str">
        <f t="shared" si="1939"/>
        <v>94297</v>
      </c>
      <c r="I8936">
        <v>1</v>
      </c>
      <c r="J8936">
        <v>298</v>
      </c>
      <c r="K8936">
        <v>0</v>
      </c>
      <c r="L8936">
        <v>366.54</v>
      </c>
    </row>
    <row r="8937" spans="1:12" x14ac:dyDescent="0.25">
      <c r="A8937" t="str">
        <f t="shared" si="1934"/>
        <v>89301000</v>
      </c>
      <c r="B8937" t="str">
        <f t="shared" si="1935"/>
        <v>72100000</v>
      </c>
      <c r="C8937" t="str">
        <f t="shared" si="1936"/>
        <v>72100632</v>
      </c>
      <c r="D8937" t="str">
        <f t="shared" si="1940"/>
        <v>816</v>
      </c>
      <c r="E8937" t="str">
        <f t="shared" si="1938"/>
        <v>89301091</v>
      </c>
      <c r="F8937" t="str">
        <f>"8059225317"</f>
        <v>8059225317</v>
      </c>
      <c r="G8937" s="1">
        <v>44783</v>
      </c>
      <c r="H8937" t="str">
        <f t="shared" si="1939"/>
        <v>94297</v>
      </c>
      <c r="I8937">
        <v>1</v>
      </c>
      <c r="J8937">
        <v>298</v>
      </c>
      <c r="K8937">
        <v>0</v>
      </c>
      <c r="L8937">
        <v>366.54</v>
      </c>
    </row>
    <row r="8938" spans="1:12" x14ac:dyDescent="0.25">
      <c r="A8938" t="str">
        <f t="shared" si="1934"/>
        <v>89301000</v>
      </c>
      <c r="B8938" t="str">
        <f t="shared" si="1935"/>
        <v>72100000</v>
      </c>
      <c r="C8938" t="str">
        <f t="shared" si="1936"/>
        <v>72100632</v>
      </c>
      <c r="D8938" t="str">
        <f t="shared" si="1940"/>
        <v>816</v>
      </c>
      <c r="E8938" t="str">
        <f t="shared" si="1938"/>
        <v>89301091</v>
      </c>
      <c r="F8938" t="str">
        <f>"2208030484"</f>
        <v>2208030484</v>
      </c>
      <c r="G8938" s="1">
        <v>44783</v>
      </c>
      <c r="H8938" t="str">
        <f t="shared" si="1939"/>
        <v>94297</v>
      </c>
      <c r="I8938">
        <v>1</v>
      </c>
      <c r="J8938">
        <v>298</v>
      </c>
      <c r="K8938">
        <v>0</v>
      </c>
      <c r="L8938">
        <v>366.54</v>
      </c>
    </row>
    <row r="8939" spans="1:12" x14ac:dyDescent="0.25">
      <c r="A8939" t="str">
        <f t="shared" si="1934"/>
        <v>89301000</v>
      </c>
      <c r="B8939" t="str">
        <f t="shared" si="1935"/>
        <v>72100000</v>
      </c>
      <c r="C8939" t="str">
        <f t="shared" si="1936"/>
        <v>72100632</v>
      </c>
      <c r="D8939" t="str">
        <f t="shared" si="1940"/>
        <v>816</v>
      </c>
      <c r="E8939" t="str">
        <f t="shared" si="1938"/>
        <v>89301091</v>
      </c>
      <c r="F8939" t="str">
        <f>"2208030495"</f>
        <v>2208030495</v>
      </c>
      <c r="G8939" s="1">
        <v>44783</v>
      </c>
      <c r="H8939" t="str">
        <f t="shared" si="1939"/>
        <v>94297</v>
      </c>
      <c r="I8939">
        <v>1</v>
      </c>
      <c r="J8939">
        <v>298</v>
      </c>
      <c r="K8939">
        <v>0</v>
      </c>
      <c r="L8939">
        <v>366.54</v>
      </c>
    </row>
    <row r="8940" spans="1:12" x14ac:dyDescent="0.25">
      <c r="A8940" t="str">
        <f t="shared" si="1934"/>
        <v>89301000</v>
      </c>
      <c r="B8940" t="str">
        <f t="shared" ref="B8940:B8971" si="1941">"72100000"</f>
        <v>72100000</v>
      </c>
      <c r="C8940" t="str">
        <f t="shared" ref="C8940:C8971" si="1942">"72100632"</f>
        <v>72100632</v>
      </c>
      <c r="D8940" t="str">
        <f t="shared" si="1940"/>
        <v>816</v>
      </c>
      <c r="E8940" t="str">
        <f t="shared" si="1938"/>
        <v>89301091</v>
      </c>
      <c r="F8940" t="str">
        <f>"9052285715"</f>
        <v>9052285715</v>
      </c>
      <c r="G8940" s="1">
        <v>44783</v>
      </c>
      <c r="H8940" t="str">
        <f t="shared" si="1939"/>
        <v>94297</v>
      </c>
      <c r="I8940">
        <v>1</v>
      </c>
      <c r="J8940">
        <v>298</v>
      </c>
      <c r="K8940">
        <v>0</v>
      </c>
      <c r="L8940">
        <v>366.54</v>
      </c>
    </row>
    <row r="8941" spans="1:12" x14ac:dyDescent="0.25">
      <c r="A8941" t="str">
        <f t="shared" si="1934"/>
        <v>89301000</v>
      </c>
      <c r="B8941" t="str">
        <f t="shared" si="1941"/>
        <v>72100000</v>
      </c>
      <c r="C8941" t="str">
        <f t="shared" si="1942"/>
        <v>72100632</v>
      </c>
      <c r="D8941" t="str">
        <f t="shared" si="1940"/>
        <v>816</v>
      </c>
      <c r="E8941" t="str">
        <f t="shared" si="1938"/>
        <v>89301091</v>
      </c>
      <c r="F8941" t="str">
        <f>"2258030566"</f>
        <v>2258030566</v>
      </c>
      <c r="G8941" s="1">
        <v>44783</v>
      </c>
      <c r="H8941" t="str">
        <f t="shared" si="1939"/>
        <v>94297</v>
      </c>
      <c r="I8941">
        <v>1</v>
      </c>
      <c r="J8941">
        <v>298</v>
      </c>
      <c r="K8941">
        <v>0</v>
      </c>
      <c r="L8941">
        <v>366.54</v>
      </c>
    </row>
    <row r="8942" spans="1:12" x14ac:dyDescent="0.25">
      <c r="A8942" t="str">
        <f t="shared" si="1934"/>
        <v>89301000</v>
      </c>
      <c r="B8942" t="str">
        <f t="shared" si="1941"/>
        <v>72100000</v>
      </c>
      <c r="C8942" t="str">
        <f t="shared" si="1942"/>
        <v>72100632</v>
      </c>
      <c r="D8942" t="str">
        <f t="shared" si="1940"/>
        <v>816</v>
      </c>
      <c r="E8942" t="str">
        <f t="shared" si="1938"/>
        <v>89301091</v>
      </c>
      <c r="F8942" t="str">
        <f>"2258040411"</f>
        <v>2258040411</v>
      </c>
      <c r="G8942" s="1">
        <v>44783</v>
      </c>
      <c r="H8942" t="str">
        <f t="shared" si="1939"/>
        <v>94297</v>
      </c>
      <c r="I8942">
        <v>1</v>
      </c>
      <c r="J8942">
        <v>298</v>
      </c>
      <c r="K8942">
        <v>0</v>
      </c>
      <c r="L8942">
        <v>366.54</v>
      </c>
    </row>
    <row r="8943" spans="1:12" x14ac:dyDescent="0.25">
      <c r="A8943" t="str">
        <f t="shared" si="1934"/>
        <v>89301000</v>
      </c>
      <c r="B8943" t="str">
        <f t="shared" si="1941"/>
        <v>72100000</v>
      </c>
      <c r="C8943" t="str">
        <f t="shared" si="1942"/>
        <v>72100632</v>
      </c>
      <c r="D8943" t="str">
        <f t="shared" si="1940"/>
        <v>816</v>
      </c>
      <c r="E8943" t="str">
        <f t="shared" si="1938"/>
        <v>89301091</v>
      </c>
      <c r="F8943" t="str">
        <f>"2258040433"</f>
        <v>2258040433</v>
      </c>
      <c r="G8943" s="1">
        <v>44783</v>
      </c>
      <c r="H8943" t="str">
        <f t="shared" si="1939"/>
        <v>94297</v>
      </c>
      <c r="I8943">
        <v>1</v>
      </c>
      <c r="J8943">
        <v>298</v>
      </c>
      <c r="K8943">
        <v>0</v>
      </c>
      <c r="L8943">
        <v>366.54</v>
      </c>
    </row>
    <row r="8944" spans="1:12" x14ac:dyDescent="0.25">
      <c r="A8944" t="str">
        <f t="shared" si="1934"/>
        <v>89301000</v>
      </c>
      <c r="B8944" t="str">
        <f t="shared" si="1941"/>
        <v>72100000</v>
      </c>
      <c r="C8944" t="str">
        <f t="shared" si="1942"/>
        <v>72100632</v>
      </c>
      <c r="D8944" t="str">
        <f t="shared" si="1940"/>
        <v>816</v>
      </c>
      <c r="E8944" t="str">
        <f t="shared" si="1938"/>
        <v>89301091</v>
      </c>
      <c r="F8944" t="str">
        <f>"9954125709"</f>
        <v>9954125709</v>
      </c>
      <c r="G8944" s="1">
        <v>44783</v>
      </c>
      <c r="H8944" t="str">
        <f t="shared" si="1939"/>
        <v>94297</v>
      </c>
      <c r="I8944">
        <v>1</v>
      </c>
      <c r="J8944">
        <v>298</v>
      </c>
      <c r="K8944">
        <v>0</v>
      </c>
      <c r="L8944">
        <v>366.54</v>
      </c>
    </row>
    <row r="8945" spans="1:12" x14ac:dyDescent="0.25">
      <c r="A8945" t="str">
        <f t="shared" si="1934"/>
        <v>89301000</v>
      </c>
      <c r="B8945" t="str">
        <f t="shared" si="1941"/>
        <v>72100000</v>
      </c>
      <c r="C8945" t="str">
        <f t="shared" si="1942"/>
        <v>72100632</v>
      </c>
      <c r="D8945" t="str">
        <f t="shared" si="1940"/>
        <v>816</v>
      </c>
      <c r="E8945" t="str">
        <f t="shared" si="1938"/>
        <v>89301091</v>
      </c>
      <c r="F8945" t="str">
        <f>"2258040477"</f>
        <v>2258040477</v>
      </c>
      <c r="G8945" s="1">
        <v>44783</v>
      </c>
      <c r="H8945" t="str">
        <f t="shared" si="1939"/>
        <v>94297</v>
      </c>
      <c r="I8945">
        <v>1</v>
      </c>
      <c r="J8945">
        <v>298</v>
      </c>
      <c r="K8945">
        <v>0</v>
      </c>
      <c r="L8945">
        <v>366.54</v>
      </c>
    </row>
    <row r="8946" spans="1:12" x14ac:dyDescent="0.25">
      <c r="A8946" t="str">
        <f t="shared" si="1934"/>
        <v>89301000</v>
      </c>
      <c r="B8946" t="str">
        <f t="shared" si="1941"/>
        <v>72100000</v>
      </c>
      <c r="C8946" t="str">
        <f t="shared" si="1942"/>
        <v>72100632</v>
      </c>
      <c r="D8946" t="str">
        <f t="shared" si="1940"/>
        <v>816</v>
      </c>
      <c r="E8946" t="str">
        <f t="shared" si="1938"/>
        <v>89301091</v>
      </c>
      <c r="F8946" t="str">
        <f>"2258050091"</f>
        <v>2258050091</v>
      </c>
      <c r="G8946" s="1">
        <v>44783</v>
      </c>
      <c r="H8946" t="str">
        <f t="shared" si="1939"/>
        <v>94297</v>
      </c>
      <c r="I8946">
        <v>1</v>
      </c>
      <c r="J8946">
        <v>298</v>
      </c>
      <c r="K8946">
        <v>0</v>
      </c>
      <c r="L8946">
        <v>366.54</v>
      </c>
    </row>
    <row r="8947" spans="1:12" x14ac:dyDescent="0.25">
      <c r="A8947" t="str">
        <f t="shared" si="1934"/>
        <v>89301000</v>
      </c>
      <c r="B8947" t="str">
        <f t="shared" si="1941"/>
        <v>72100000</v>
      </c>
      <c r="C8947" t="str">
        <f t="shared" si="1942"/>
        <v>72100632</v>
      </c>
      <c r="D8947" t="str">
        <f t="shared" si="1940"/>
        <v>816</v>
      </c>
      <c r="E8947" t="str">
        <f t="shared" si="1938"/>
        <v>89301091</v>
      </c>
      <c r="F8947" t="str">
        <f>"2258060156"</f>
        <v>2258060156</v>
      </c>
      <c r="G8947" s="1">
        <v>44784</v>
      </c>
      <c r="H8947" t="str">
        <f t="shared" si="1939"/>
        <v>94297</v>
      </c>
      <c r="I8947">
        <v>1</v>
      </c>
      <c r="J8947">
        <v>298</v>
      </c>
      <c r="K8947">
        <v>0</v>
      </c>
      <c r="L8947">
        <v>366.54</v>
      </c>
    </row>
    <row r="8948" spans="1:12" x14ac:dyDescent="0.25">
      <c r="A8948" t="str">
        <f t="shared" si="1934"/>
        <v>89301000</v>
      </c>
      <c r="B8948" t="str">
        <f t="shared" si="1941"/>
        <v>72100000</v>
      </c>
      <c r="C8948" t="str">
        <f t="shared" si="1942"/>
        <v>72100632</v>
      </c>
      <c r="D8948" t="str">
        <f t="shared" si="1940"/>
        <v>816</v>
      </c>
      <c r="E8948" t="str">
        <f t="shared" si="1938"/>
        <v>89301091</v>
      </c>
      <c r="F8948" t="str">
        <f>"2208060228"</f>
        <v>2208060228</v>
      </c>
      <c r="G8948" s="1">
        <v>44784</v>
      </c>
      <c r="H8948" t="str">
        <f t="shared" si="1939"/>
        <v>94297</v>
      </c>
      <c r="I8948">
        <v>1</v>
      </c>
      <c r="J8948">
        <v>298</v>
      </c>
      <c r="K8948">
        <v>0</v>
      </c>
      <c r="L8948">
        <v>366.54</v>
      </c>
    </row>
    <row r="8949" spans="1:12" x14ac:dyDescent="0.25">
      <c r="A8949" t="str">
        <f t="shared" si="1934"/>
        <v>89301000</v>
      </c>
      <c r="B8949" t="str">
        <f t="shared" si="1941"/>
        <v>72100000</v>
      </c>
      <c r="C8949" t="str">
        <f t="shared" si="1942"/>
        <v>72100632</v>
      </c>
      <c r="D8949" t="str">
        <f t="shared" si="1940"/>
        <v>816</v>
      </c>
      <c r="E8949" t="str">
        <f t="shared" si="1938"/>
        <v>89301091</v>
      </c>
      <c r="F8949" t="str">
        <f>"2258020567"</f>
        <v>2258020567</v>
      </c>
      <c r="G8949" s="1">
        <v>44785</v>
      </c>
      <c r="H8949" t="str">
        <f t="shared" si="1939"/>
        <v>94297</v>
      </c>
      <c r="I8949">
        <v>1</v>
      </c>
      <c r="J8949">
        <v>298</v>
      </c>
      <c r="K8949">
        <v>0</v>
      </c>
      <c r="L8949">
        <v>366.54</v>
      </c>
    </row>
    <row r="8950" spans="1:12" x14ac:dyDescent="0.25">
      <c r="A8950" t="str">
        <f t="shared" si="1934"/>
        <v>89301000</v>
      </c>
      <c r="B8950" t="str">
        <f t="shared" si="1941"/>
        <v>72100000</v>
      </c>
      <c r="C8950" t="str">
        <f t="shared" si="1942"/>
        <v>72100632</v>
      </c>
      <c r="D8950" t="str">
        <f t="shared" si="1940"/>
        <v>816</v>
      </c>
      <c r="E8950" t="str">
        <f t="shared" ref="E8950:E8982" si="1943">"89301091"</f>
        <v>89301091</v>
      </c>
      <c r="F8950" t="str">
        <f>"2258070221"</f>
        <v>2258070221</v>
      </c>
      <c r="G8950" s="1">
        <v>44785</v>
      </c>
      <c r="H8950" t="str">
        <f t="shared" ref="H8950:H8982" si="1944">"94297"</f>
        <v>94297</v>
      </c>
      <c r="I8950">
        <v>1</v>
      </c>
      <c r="J8950">
        <v>298</v>
      </c>
      <c r="K8950">
        <v>0</v>
      </c>
      <c r="L8950">
        <v>366.54</v>
      </c>
    </row>
    <row r="8951" spans="1:12" x14ac:dyDescent="0.25">
      <c r="A8951" t="str">
        <f t="shared" si="1934"/>
        <v>89301000</v>
      </c>
      <c r="B8951" t="str">
        <f t="shared" si="1941"/>
        <v>72100000</v>
      </c>
      <c r="C8951" t="str">
        <f t="shared" si="1942"/>
        <v>72100632</v>
      </c>
      <c r="D8951" t="str">
        <f t="shared" si="1940"/>
        <v>816</v>
      </c>
      <c r="E8951" t="str">
        <f t="shared" si="1943"/>
        <v>89301091</v>
      </c>
      <c r="F8951" t="str">
        <f>"2208070216"</f>
        <v>2208070216</v>
      </c>
      <c r="G8951" s="1">
        <v>44788</v>
      </c>
      <c r="H8951" t="str">
        <f t="shared" si="1944"/>
        <v>94297</v>
      </c>
      <c r="I8951">
        <v>1</v>
      </c>
      <c r="J8951">
        <v>298</v>
      </c>
      <c r="K8951">
        <v>0</v>
      </c>
      <c r="L8951">
        <v>366.54</v>
      </c>
    </row>
    <row r="8952" spans="1:12" x14ac:dyDescent="0.25">
      <c r="A8952" t="str">
        <f t="shared" si="1934"/>
        <v>89301000</v>
      </c>
      <c r="B8952" t="str">
        <f t="shared" si="1941"/>
        <v>72100000</v>
      </c>
      <c r="C8952" t="str">
        <f t="shared" si="1942"/>
        <v>72100632</v>
      </c>
      <c r="D8952" t="str">
        <f t="shared" si="1940"/>
        <v>816</v>
      </c>
      <c r="E8952" t="str">
        <f t="shared" si="1943"/>
        <v>89301091</v>
      </c>
      <c r="F8952" t="str">
        <f>"2258080407"</f>
        <v>2258080407</v>
      </c>
      <c r="G8952" s="1">
        <v>44788</v>
      </c>
      <c r="H8952" t="str">
        <f t="shared" si="1944"/>
        <v>94297</v>
      </c>
      <c r="I8952">
        <v>1</v>
      </c>
      <c r="J8952">
        <v>298</v>
      </c>
      <c r="K8952">
        <v>0</v>
      </c>
      <c r="L8952">
        <v>366.54</v>
      </c>
    </row>
    <row r="8953" spans="1:12" x14ac:dyDescent="0.25">
      <c r="A8953" t="str">
        <f t="shared" si="1934"/>
        <v>89301000</v>
      </c>
      <c r="B8953" t="str">
        <f t="shared" si="1941"/>
        <v>72100000</v>
      </c>
      <c r="C8953" t="str">
        <f t="shared" si="1942"/>
        <v>72100632</v>
      </c>
      <c r="D8953" t="str">
        <f t="shared" si="1940"/>
        <v>816</v>
      </c>
      <c r="E8953" t="str">
        <f t="shared" si="1943"/>
        <v>89301091</v>
      </c>
      <c r="F8953" t="str">
        <f>"2258080418"</f>
        <v>2258080418</v>
      </c>
      <c r="G8953" s="1">
        <v>44788</v>
      </c>
      <c r="H8953" t="str">
        <f t="shared" si="1944"/>
        <v>94297</v>
      </c>
      <c r="I8953">
        <v>1</v>
      </c>
      <c r="J8953">
        <v>298</v>
      </c>
      <c r="K8953">
        <v>0</v>
      </c>
      <c r="L8953">
        <v>366.54</v>
      </c>
    </row>
    <row r="8954" spans="1:12" x14ac:dyDescent="0.25">
      <c r="A8954" t="str">
        <f t="shared" si="1934"/>
        <v>89301000</v>
      </c>
      <c r="B8954" t="str">
        <f t="shared" si="1941"/>
        <v>72100000</v>
      </c>
      <c r="C8954" t="str">
        <f t="shared" si="1942"/>
        <v>72100632</v>
      </c>
      <c r="D8954" t="str">
        <f t="shared" si="1940"/>
        <v>816</v>
      </c>
      <c r="E8954" t="str">
        <f t="shared" si="1943"/>
        <v>89301091</v>
      </c>
      <c r="F8954" t="str">
        <f>"2208080655"</f>
        <v>2208080655</v>
      </c>
      <c r="G8954" s="1">
        <v>44788</v>
      </c>
      <c r="H8954" t="str">
        <f t="shared" si="1944"/>
        <v>94297</v>
      </c>
      <c r="I8954">
        <v>1</v>
      </c>
      <c r="J8954">
        <v>298</v>
      </c>
      <c r="K8954">
        <v>0</v>
      </c>
      <c r="L8954">
        <v>366.54</v>
      </c>
    </row>
    <row r="8955" spans="1:12" x14ac:dyDescent="0.25">
      <c r="A8955" t="str">
        <f t="shared" si="1934"/>
        <v>89301000</v>
      </c>
      <c r="B8955" t="str">
        <f t="shared" si="1941"/>
        <v>72100000</v>
      </c>
      <c r="C8955" t="str">
        <f t="shared" si="1942"/>
        <v>72100632</v>
      </c>
      <c r="D8955" t="str">
        <f t="shared" si="1940"/>
        <v>816</v>
      </c>
      <c r="E8955" t="str">
        <f t="shared" si="1943"/>
        <v>89301091</v>
      </c>
      <c r="F8955" t="str">
        <f>"2258080451"</f>
        <v>2258080451</v>
      </c>
      <c r="G8955" s="1">
        <v>44788</v>
      </c>
      <c r="H8955" t="str">
        <f t="shared" si="1944"/>
        <v>94297</v>
      </c>
      <c r="I8955">
        <v>1</v>
      </c>
      <c r="J8955">
        <v>298</v>
      </c>
      <c r="K8955">
        <v>0</v>
      </c>
      <c r="L8955">
        <v>366.54</v>
      </c>
    </row>
    <row r="8956" spans="1:12" x14ac:dyDescent="0.25">
      <c r="A8956" t="str">
        <f t="shared" si="1934"/>
        <v>89301000</v>
      </c>
      <c r="B8956" t="str">
        <f t="shared" si="1941"/>
        <v>72100000</v>
      </c>
      <c r="C8956" t="str">
        <f t="shared" si="1942"/>
        <v>72100632</v>
      </c>
      <c r="D8956" t="str">
        <f t="shared" si="1940"/>
        <v>816</v>
      </c>
      <c r="E8956" t="str">
        <f t="shared" si="1943"/>
        <v>89301091</v>
      </c>
      <c r="F8956" t="str">
        <f>"2208080666"</f>
        <v>2208080666</v>
      </c>
      <c r="G8956" s="1">
        <v>44788</v>
      </c>
      <c r="H8956" t="str">
        <f t="shared" si="1944"/>
        <v>94297</v>
      </c>
      <c r="I8956">
        <v>1</v>
      </c>
      <c r="J8956">
        <v>298</v>
      </c>
      <c r="K8956">
        <v>0</v>
      </c>
      <c r="L8956">
        <v>366.54</v>
      </c>
    </row>
    <row r="8957" spans="1:12" x14ac:dyDescent="0.25">
      <c r="A8957" t="str">
        <f t="shared" si="1934"/>
        <v>89301000</v>
      </c>
      <c r="B8957" t="str">
        <f t="shared" si="1941"/>
        <v>72100000</v>
      </c>
      <c r="C8957" t="str">
        <f t="shared" si="1942"/>
        <v>72100632</v>
      </c>
      <c r="D8957" t="str">
        <f t="shared" si="1940"/>
        <v>816</v>
      </c>
      <c r="E8957" t="str">
        <f t="shared" si="1943"/>
        <v>89301091</v>
      </c>
      <c r="F8957" t="str">
        <f>"2258080462"</f>
        <v>2258080462</v>
      </c>
      <c r="G8957" s="1">
        <v>44789</v>
      </c>
      <c r="H8957" t="str">
        <f t="shared" si="1944"/>
        <v>94297</v>
      </c>
      <c r="I8957">
        <v>1</v>
      </c>
      <c r="J8957">
        <v>298</v>
      </c>
      <c r="K8957">
        <v>0</v>
      </c>
      <c r="L8957">
        <v>366.54</v>
      </c>
    </row>
    <row r="8958" spans="1:12" x14ac:dyDescent="0.25">
      <c r="A8958" t="str">
        <f t="shared" si="1934"/>
        <v>89301000</v>
      </c>
      <c r="B8958" t="str">
        <f t="shared" si="1941"/>
        <v>72100000</v>
      </c>
      <c r="C8958" t="str">
        <f t="shared" si="1942"/>
        <v>72100632</v>
      </c>
      <c r="D8958" t="str">
        <f t="shared" ref="D8958:D8989" si="1945">"816"</f>
        <v>816</v>
      </c>
      <c r="E8958" t="str">
        <f t="shared" si="1943"/>
        <v>89301091</v>
      </c>
      <c r="F8958" t="str">
        <f>"2258090120"</f>
        <v>2258090120</v>
      </c>
      <c r="G8958" s="1">
        <v>44789</v>
      </c>
      <c r="H8958" t="str">
        <f t="shared" si="1944"/>
        <v>94297</v>
      </c>
      <c r="I8958">
        <v>1</v>
      </c>
      <c r="J8958">
        <v>298</v>
      </c>
      <c r="K8958">
        <v>0</v>
      </c>
      <c r="L8958">
        <v>366.54</v>
      </c>
    </row>
    <row r="8959" spans="1:12" x14ac:dyDescent="0.25">
      <c r="A8959" t="str">
        <f t="shared" si="1934"/>
        <v>89301000</v>
      </c>
      <c r="B8959" t="str">
        <f t="shared" si="1941"/>
        <v>72100000</v>
      </c>
      <c r="C8959" t="str">
        <f t="shared" si="1942"/>
        <v>72100632</v>
      </c>
      <c r="D8959" t="str">
        <f t="shared" si="1945"/>
        <v>816</v>
      </c>
      <c r="E8959" t="str">
        <f t="shared" si="1943"/>
        <v>89301091</v>
      </c>
      <c r="F8959" t="str">
        <f>"2258090142"</f>
        <v>2258090142</v>
      </c>
      <c r="G8959" s="1">
        <v>44789</v>
      </c>
      <c r="H8959" t="str">
        <f t="shared" si="1944"/>
        <v>94297</v>
      </c>
      <c r="I8959">
        <v>1</v>
      </c>
      <c r="J8959">
        <v>298</v>
      </c>
      <c r="K8959">
        <v>0</v>
      </c>
      <c r="L8959">
        <v>366.54</v>
      </c>
    </row>
    <row r="8960" spans="1:12" x14ac:dyDescent="0.25">
      <c r="A8960" t="str">
        <f t="shared" si="1934"/>
        <v>89301000</v>
      </c>
      <c r="B8960" t="str">
        <f t="shared" si="1941"/>
        <v>72100000</v>
      </c>
      <c r="C8960" t="str">
        <f t="shared" si="1942"/>
        <v>72100632</v>
      </c>
      <c r="D8960" t="str">
        <f t="shared" si="1945"/>
        <v>816</v>
      </c>
      <c r="E8960" t="str">
        <f t="shared" si="1943"/>
        <v>89301091</v>
      </c>
      <c r="F8960" t="str">
        <f>"2258090648"</f>
        <v>2258090648</v>
      </c>
      <c r="G8960" s="1">
        <v>44789</v>
      </c>
      <c r="H8960" t="str">
        <f t="shared" si="1944"/>
        <v>94297</v>
      </c>
      <c r="I8960">
        <v>1</v>
      </c>
      <c r="J8960">
        <v>298</v>
      </c>
      <c r="K8960">
        <v>0</v>
      </c>
      <c r="L8960">
        <v>366.54</v>
      </c>
    </row>
    <row r="8961" spans="1:12" x14ac:dyDescent="0.25">
      <c r="A8961" t="str">
        <f t="shared" si="1934"/>
        <v>89301000</v>
      </c>
      <c r="B8961" t="str">
        <f t="shared" si="1941"/>
        <v>72100000</v>
      </c>
      <c r="C8961" t="str">
        <f t="shared" si="1942"/>
        <v>72100632</v>
      </c>
      <c r="D8961" t="str">
        <f t="shared" si="1945"/>
        <v>816</v>
      </c>
      <c r="E8961" t="str">
        <f t="shared" si="1943"/>
        <v>89301091</v>
      </c>
      <c r="F8961" t="str">
        <f>"2258090659"</f>
        <v>2258090659</v>
      </c>
      <c r="G8961" s="1">
        <v>44789</v>
      </c>
      <c r="H8961" t="str">
        <f t="shared" si="1944"/>
        <v>94297</v>
      </c>
      <c r="I8961">
        <v>1</v>
      </c>
      <c r="J8961">
        <v>298</v>
      </c>
      <c r="K8961">
        <v>0</v>
      </c>
      <c r="L8961">
        <v>366.54</v>
      </c>
    </row>
    <row r="8962" spans="1:12" x14ac:dyDescent="0.25">
      <c r="A8962" t="str">
        <f t="shared" ref="A8962:A9025" si="1946">"89301000"</f>
        <v>89301000</v>
      </c>
      <c r="B8962" t="str">
        <f t="shared" si="1941"/>
        <v>72100000</v>
      </c>
      <c r="C8962" t="str">
        <f t="shared" si="1942"/>
        <v>72100632</v>
      </c>
      <c r="D8962" t="str">
        <f t="shared" si="1945"/>
        <v>816</v>
      </c>
      <c r="E8962" t="str">
        <f t="shared" si="1943"/>
        <v>89301091</v>
      </c>
      <c r="F8962" t="str">
        <f>"2258090681"</f>
        <v>2258090681</v>
      </c>
      <c r="G8962" s="1">
        <v>44789</v>
      </c>
      <c r="H8962" t="str">
        <f t="shared" si="1944"/>
        <v>94297</v>
      </c>
      <c r="I8962">
        <v>1</v>
      </c>
      <c r="J8962">
        <v>298</v>
      </c>
      <c r="K8962">
        <v>0</v>
      </c>
      <c r="L8962">
        <v>366.54</v>
      </c>
    </row>
    <row r="8963" spans="1:12" x14ac:dyDescent="0.25">
      <c r="A8963" t="str">
        <f t="shared" si="1946"/>
        <v>89301000</v>
      </c>
      <c r="B8963" t="str">
        <f t="shared" si="1941"/>
        <v>72100000</v>
      </c>
      <c r="C8963" t="str">
        <f t="shared" si="1942"/>
        <v>72100632</v>
      </c>
      <c r="D8963" t="str">
        <f t="shared" si="1945"/>
        <v>816</v>
      </c>
      <c r="E8963" t="str">
        <f t="shared" si="1943"/>
        <v>89301091</v>
      </c>
      <c r="F8963" t="str">
        <f>"2208090742"</f>
        <v>2208090742</v>
      </c>
      <c r="G8963" s="1">
        <v>44789</v>
      </c>
      <c r="H8963" t="str">
        <f t="shared" si="1944"/>
        <v>94297</v>
      </c>
      <c r="I8963">
        <v>1</v>
      </c>
      <c r="J8963">
        <v>298</v>
      </c>
      <c r="K8963">
        <v>0</v>
      </c>
      <c r="L8963">
        <v>366.54</v>
      </c>
    </row>
    <row r="8964" spans="1:12" x14ac:dyDescent="0.25">
      <c r="A8964" t="str">
        <f t="shared" si="1946"/>
        <v>89301000</v>
      </c>
      <c r="B8964" t="str">
        <f t="shared" si="1941"/>
        <v>72100000</v>
      </c>
      <c r="C8964" t="str">
        <f t="shared" si="1942"/>
        <v>72100632</v>
      </c>
      <c r="D8964" t="str">
        <f t="shared" si="1945"/>
        <v>816</v>
      </c>
      <c r="E8964" t="str">
        <f t="shared" si="1943"/>
        <v>89301091</v>
      </c>
      <c r="F8964" t="str">
        <f>"2258070067"</f>
        <v>2258070067</v>
      </c>
      <c r="G8964" s="1">
        <v>44789</v>
      </c>
      <c r="H8964" t="str">
        <f t="shared" si="1944"/>
        <v>94297</v>
      </c>
      <c r="I8964">
        <v>1</v>
      </c>
      <c r="J8964">
        <v>298</v>
      </c>
      <c r="K8964">
        <v>0</v>
      </c>
      <c r="L8964">
        <v>366.54</v>
      </c>
    </row>
    <row r="8965" spans="1:12" x14ac:dyDescent="0.25">
      <c r="A8965" t="str">
        <f t="shared" si="1946"/>
        <v>89301000</v>
      </c>
      <c r="B8965" t="str">
        <f t="shared" si="1941"/>
        <v>72100000</v>
      </c>
      <c r="C8965" t="str">
        <f t="shared" si="1942"/>
        <v>72100632</v>
      </c>
      <c r="D8965" t="str">
        <f t="shared" si="1945"/>
        <v>816</v>
      </c>
      <c r="E8965" t="str">
        <f t="shared" si="1943"/>
        <v>89301091</v>
      </c>
      <c r="F8965" t="str">
        <f>"2258100449"</f>
        <v>2258100449</v>
      </c>
      <c r="G8965" s="1">
        <v>44790</v>
      </c>
      <c r="H8965" t="str">
        <f t="shared" si="1944"/>
        <v>94297</v>
      </c>
      <c r="I8965">
        <v>1</v>
      </c>
      <c r="J8965">
        <v>298</v>
      </c>
      <c r="K8965">
        <v>0</v>
      </c>
      <c r="L8965">
        <v>366.54</v>
      </c>
    </row>
    <row r="8966" spans="1:12" x14ac:dyDescent="0.25">
      <c r="A8966" t="str">
        <f t="shared" si="1946"/>
        <v>89301000</v>
      </c>
      <c r="B8966" t="str">
        <f t="shared" si="1941"/>
        <v>72100000</v>
      </c>
      <c r="C8966" t="str">
        <f t="shared" si="1942"/>
        <v>72100632</v>
      </c>
      <c r="D8966" t="str">
        <f t="shared" si="1945"/>
        <v>816</v>
      </c>
      <c r="E8966" t="str">
        <f t="shared" si="1943"/>
        <v>89301091</v>
      </c>
      <c r="F8966" t="str">
        <f>"2208100906"</f>
        <v>2208100906</v>
      </c>
      <c r="G8966" s="1">
        <v>44790</v>
      </c>
      <c r="H8966" t="str">
        <f t="shared" si="1944"/>
        <v>94297</v>
      </c>
      <c r="I8966">
        <v>1</v>
      </c>
      <c r="J8966">
        <v>298</v>
      </c>
      <c r="K8966">
        <v>0</v>
      </c>
      <c r="L8966">
        <v>366.54</v>
      </c>
    </row>
    <row r="8967" spans="1:12" x14ac:dyDescent="0.25">
      <c r="A8967" t="str">
        <f t="shared" si="1946"/>
        <v>89301000</v>
      </c>
      <c r="B8967" t="str">
        <f t="shared" si="1941"/>
        <v>72100000</v>
      </c>
      <c r="C8967" t="str">
        <f t="shared" si="1942"/>
        <v>72100632</v>
      </c>
      <c r="D8967" t="str">
        <f t="shared" si="1945"/>
        <v>816</v>
      </c>
      <c r="E8967" t="str">
        <f t="shared" si="1943"/>
        <v>89301091</v>
      </c>
      <c r="F8967" t="str">
        <f>"2208110751"</f>
        <v>2208110751</v>
      </c>
      <c r="G8967" s="1">
        <v>44790</v>
      </c>
      <c r="H8967" t="str">
        <f t="shared" si="1944"/>
        <v>94297</v>
      </c>
      <c r="I8967">
        <v>1</v>
      </c>
      <c r="J8967">
        <v>298</v>
      </c>
      <c r="K8967">
        <v>0</v>
      </c>
      <c r="L8967">
        <v>366.54</v>
      </c>
    </row>
    <row r="8968" spans="1:12" x14ac:dyDescent="0.25">
      <c r="A8968" t="str">
        <f t="shared" si="1946"/>
        <v>89301000</v>
      </c>
      <c r="B8968" t="str">
        <f t="shared" si="1941"/>
        <v>72100000</v>
      </c>
      <c r="C8968" t="str">
        <f t="shared" si="1942"/>
        <v>72100632</v>
      </c>
      <c r="D8968" t="str">
        <f t="shared" si="1945"/>
        <v>816</v>
      </c>
      <c r="E8968" t="str">
        <f t="shared" si="1943"/>
        <v>89301091</v>
      </c>
      <c r="F8968" t="str">
        <f>"2258120095"</f>
        <v>2258120095</v>
      </c>
      <c r="G8968" s="1">
        <v>44790</v>
      </c>
      <c r="H8968" t="str">
        <f t="shared" si="1944"/>
        <v>94297</v>
      </c>
      <c r="I8968">
        <v>1</v>
      </c>
      <c r="J8968">
        <v>298</v>
      </c>
      <c r="K8968">
        <v>0</v>
      </c>
      <c r="L8968">
        <v>366.54</v>
      </c>
    </row>
    <row r="8969" spans="1:12" x14ac:dyDescent="0.25">
      <c r="A8969" t="str">
        <f t="shared" si="1946"/>
        <v>89301000</v>
      </c>
      <c r="B8969" t="str">
        <f t="shared" si="1941"/>
        <v>72100000</v>
      </c>
      <c r="C8969" t="str">
        <f t="shared" si="1942"/>
        <v>72100632</v>
      </c>
      <c r="D8969" t="str">
        <f t="shared" si="1945"/>
        <v>816</v>
      </c>
      <c r="E8969" t="str">
        <f t="shared" si="1943"/>
        <v>89301091</v>
      </c>
      <c r="F8969" t="str">
        <f>"9652285742"</f>
        <v>9652285742</v>
      </c>
      <c r="G8969" s="1">
        <v>44790</v>
      </c>
      <c r="H8969" t="str">
        <f t="shared" si="1944"/>
        <v>94297</v>
      </c>
      <c r="I8969">
        <v>1</v>
      </c>
      <c r="J8969">
        <v>298</v>
      </c>
      <c r="K8969">
        <v>0</v>
      </c>
      <c r="L8969">
        <v>366.54</v>
      </c>
    </row>
    <row r="8970" spans="1:12" x14ac:dyDescent="0.25">
      <c r="A8970" t="str">
        <f t="shared" si="1946"/>
        <v>89301000</v>
      </c>
      <c r="B8970" t="str">
        <f t="shared" si="1941"/>
        <v>72100000</v>
      </c>
      <c r="C8970" t="str">
        <f t="shared" si="1942"/>
        <v>72100632</v>
      </c>
      <c r="D8970" t="str">
        <f t="shared" si="1945"/>
        <v>816</v>
      </c>
      <c r="E8970" t="str">
        <f t="shared" si="1943"/>
        <v>89301091</v>
      </c>
      <c r="F8970" t="str">
        <f>"9652285742"</f>
        <v>9652285742</v>
      </c>
      <c r="G8970" s="1">
        <v>44790</v>
      </c>
      <c r="H8970" t="str">
        <f t="shared" si="1944"/>
        <v>94297</v>
      </c>
      <c r="I8970">
        <v>1</v>
      </c>
      <c r="J8970">
        <v>298</v>
      </c>
      <c r="K8970">
        <v>0</v>
      </c>
      <c r="L8970">
        <v>366.54</v>
      </c>
    </row>
    <row r="8971" spans="1:12" x14ac:dyDescent="0.25">
      <c r="A8971" t="str">
        <f t="shared" si="1946"/>
        <v>89301000</v>
      </c>
      <c r="B8971" t="str">
        <f t="shared" si="1941"/>
        <v>72100000</v>
      </c>
      <c r="C8971" t="str">
        <f t="shared" si="1942"/>
        <v>72100632</v>
      </c>
      <c r="D8971" t="str">
        <f t="shared" si="1945"/>
        <v>816</v>
      </c>
      <c r="E8971" t="str">
        <f t="shared" si="1943"/>
        <v>89301091</v>
      </c>
      <c r="F8971" t="str">
        <f>"2208130463"</f>
        <v>2208130463</v>
      </c>
      <c r="G8971" s="1">
        <v>44791</v>
      </c>
      <c r="H8971" t="str">
        <f t="shared" si="1944"/>
        <v>94297</v>
      </c>
      <c r="I8971">
        <v>1</v>
      </c>
      <c r="J8971">
        <v>298</v>
      </c>
      <c r="K8971">
        <v>0</v>
      </c>
      <c r="L8971">
        <v>366.54</v>
      </c>
    </row>
    <row r="8972" spans="1:12" x14ac:dyDescent="0.25">
      <c r="A8972" t="str">
        <f t="shared" si="1946"/>
        <v>89301000</v>
      </c>
      <c r="B8972" t="str">
        <f t="shared" ref="B8972:B8999" si="1947">"72100000"</f>
        <v>72100000</v>
      </c>
      <c r="C8972" t="str">
        <f t="shared" ref="C8972:C8999" si="1948">"72100632"</f>
        <v>72100632</v>
      </c>
      <c r="D8972" t="str">
        <f t="shared" si="1945"/>
        <v>816</v>
      </c>
      <c r="E8972" t="str">
        <f t="shared" si="1943"/>
        <v>89301091</v>
      </c>
      <c r="F8972" t="str">
        <f>"2208130529"</f>
        <v>2208130529</v>
      </c>
      <c r="G8972" s="1">
        <v>44791</v>
      </c>
      <c r="H8972" t="str">
        <f t="shared" si="1944"/>
        <v>94297</v>
      </c>
      <c r="I8972">
        <v>1</v>
      </c>
      <c r="J8972">
        <v>298</v>
      </c>
      <c r="K8972">
        <v>0</v>
      </c>
      <c r="L8972">
        <v>366.54</v>
      </c>
    </row>
    <row r="8973" spans="1:12" x14ac:dyDescent="0.25">
      <c r="A8973" t="str">
        <f t="shared" si="1946"/>
        <v>89301000</v>
      </c>
      <c r="B8973" t="str">
        <f t="shared" si="1947"/>
        <v>72100000</v>
      </c>
      <c r="C8973" t="str">
        <f t="shared" si="1948"/>
        <v>72100632</v>
      </c>
      <c r="D8973" t="str">
        <f t="shared" si="1945"/>
        <v>816</v>
      </c>
      <c r="E8973" t="str">
        <f t="shared" si="1943"/>
        <v>89301091</v>
      </c>
      <c r="F8973" t="str">
        <f>"2258140324"</f>
        <v>2258140324</v>
      </c>
      <c r="G8973" s="1">
        <v>44792</v>
      </c>
      <c r="H8973" t="str">
        <f t="shared" si="1944"/>
        <v>94297</v>
      </c>
      <c r="I8973">
        <v>1</v>
      </c>
      <c r="J8973">
        <v>298</v>
      </c>
      <c r="K8973">
        <v>0</v>
      </c>
      <c r="L8973">
        <v>366.54</v>
      </c>
    </row>
    <row r="8974" spans="1:12" x14ac:dyDescent="0.25">
      <c r="A8974" t="str">
        <f t="shared" si="1946"/>
        <v>89301000</v>
      </c>
      <c r="B8974" t="str">
        <f t="shared" si="1947"/>
        <v>72100000</v>
      </c>
      <c r="C8974" t="str">
        <f t="shared" si="1948"/>
        <v>72100632</v>
      </c>
      <c r="D8974" t="str">
        <f t="shared" si="1945"/>
        <v>816</v>
      </c>
      <c r="E8974" t="str">
        <f t="shared" si="1943"/>
        <v>89301091</v>
      </c>
      <c r="F8974" t="str">
        <f>"2208150648"</f>
        <v>2208150648</v>
      </c>
      <c r="G8974" s="1">
        <v>44795</v>
      </c>
      <c r="H8974" t="str">
        <f t="shared" si="1944"/>
        <v>94297</v>
      </c>
      <c r="I8974">
        <v>1</v>
      </c>
      <c r="J8974">
        <v>298</v>
      </c>
      <c r="K8974">
        <v>0</v>
      </c>
      <c r="L8974">
        <v>366.54</v>
      </c>
    </row>
    <row r="8975" spans="1:12" x14ac:dyDescent="0.25">
      <c r="A8975" t="str">
        <f t="shared" si="1946"/>
        <v>89301000</v>
      </c>
      <c r="B8975" t="str">
        <f t="shared" si="1947"/>
        <v>72100000</v>
      </c>
      <c r="C8975" t="str">
        <f t="shared" si="1948"/>
        <v>72100632</v>
      </c>
      <c r="D8975" t="str">
        <f t="shared" si="1945"/>
        <v>816</v>
      </c>
      <c r="E8975" t="str">
        <f t="shared" si="1943"/>
        <v>89301091</v>
      </c>
      <c r="F8975" t="str">
        <f>"2258150532"</f>
        <v>2258150532</v>
      </c>
      <c r="G8975" s="1">
        <v>44795</v>
      </c>
      <c r="H8975" t="str">
        <f t="shared" si="1944"/>
        <v>94297</v>
      </c>
      <c r="I8975">
        <v>1</v>
      </c>
      <c r="J8975">
        <v>298</v>
      </c>
      <c r="K8975">
        <v>0</v>
      </c>
      <c r="L8975">
        <v>366.54</v>
      </c>
    </row>
    <row r="8976" spans="1:12" x14ac:dyDescent="0.25">
      <c r="A8976" t="str">
        <f t="shared" si="1946"/>
        <v>89301000</v>
      </c>
      <c r="B8976" t="str">
        <f t="shared" si="1947"/>
        <v>72100000</v>
      </c>
      <c r="C8976" t="str">
        <f t="shared" si="1948"/>
        <v>72100632</v>
      </c>
      <c r="D8976" t="str">
        <f t="shared" si="1945"/>
        <v>816</v>
      </c>
      <c r="E8976" t="str">
        <f t="shared" si="1943"/>
        <v>89301091</v>
      </c>
      <c r="F8976" t="str">
        <f>"2258160091"</f>
        <v>2258160091</v>
      </c>
      <c r="G8976" s="1">
        <v>44796</v>
      </c>
      <c r="H8976" t="str">
        <f t="shared" si="1944"/>
        <v>94297</v>
      </c>
      <c r="I8976">
        <v>1</v>
      </c>
      <c r="J8976">
        <v>298</v>
      </c>
      <c r="K8976">
        <v>0</v>
      </c>
      <c r="L8976">
        <v>366.54</v>
      </c>
    </row>
    <row r="8977" spans="1:12" x14ac:dyDescent="0.25">
      <c r="A8977" t="str">
        <f t="shared" si="1946"/>
        <v>89301000</v>
      </c>
      <c r="B8977" t="str">
        <f t="shared" si="1947"/>
        <v>72100000</v>
      </c>
      <c r="C8977" t="str">
        <f t="shared" si="1948"/>
        <v>72100632</v>
      </c>
      <c r="D8977" t="str">
        <f t="shared" si="1945"/>
        <v>816</v>
      </c>
      <c r="E8977" t="str">
        <f t="shared" si="1943"/>
        <v>89301091</v>
      </c>
      <c r="F8977" t="str">
        <f>"2208160570"</f>
        <v>2208160570</v>
      </c>
      <c r="G8977" s="1">
        <v>44796</v>
      </c>
      <c r="H8977" t="str">
        <f t="shared" si="1944"/>
        <v>94297</v>
      </c>
      <c r="I8977">
        <v>1</v>
      </c>
      <c r="J8977">
        <v>298</v>
      </c>
      <c r="K8977">
        <v>0</v>
      </c>
      <c r="L8977">
        <v>366.54</v>
      </c>
    </row>
    <row r="8978" spans="1:12" x14ac:dyDescent="0.25">
      <c r="A8978" t="str">
        <f t="shared" si="1946"/>
        <v>89301000</v>
      </c>
      <c r="B8978" t="str">
        <f t="shared" si="1947"/>
        <v>72100000</v>
      </c>
      <c r="C8978" t="str">
        <f t="shared" si="1948"/>
        <v>72100632</v>
      </c>
      <c r="D8978" t="str">
        <f t="shared" si="1945"/>
        <v>816</v>
      </c>
      <c r="E8978" t="str">
        <f t="shared" si="1943"/>
        <v>89301091</v>
      </c>
      <c r="F8978" t="str">
        <f>"2258170585"</f>
        <v>2258170585</v>
      </c>
      <c r="G8978" s="1">
        <v>44797</v>
      </c>
      <c r="H8978" t="str">
        <f t="shared" si="1944"/>
        <v>94297</v>
      </c>
      <c r="I8978">
        <v>1</v>
      </c>
      <c r="J8978">
        <v>298</v>
      </c>
      <c r="K8978">
        <v>0</v>
      </c>
      <c r="L8978">
        <v>366.54</v>
      </c>
    </row>
    <row r="8979" spans="1:12" x14ac:dyDescent="0.25">
      <c r="A8979" t="str">
        <f t="shared" si="1946"/>
        <v>89301000</v>
      </c>
      <c r="B8979" t="str">
        <f t="shared" si="1947"/>
        <v>72100000</v>
      </c>
      <c r="C8979" t="str">
        <f t="shared" si="1948"/>
        <v>72100632</v>
      </c>
      <c r="D8979" t="str">
        <f t="shared" si="1945"/>
        <v>816</v>
      </c>
      <c r="E8979" t="str">
        <f t="shared" si="1943"/>
        <v>89301091</v>
      </c>
      <c r="F8979" t="str">
        <f>"2208170492"</f>
        <v>2208170492</v>
      </c>
      <c r="G8979" s="1">
        <v>44797</v>
      </c>
      <c r="H8979" t="str">
        <f t="shared" si="1944"/>
        <v>94297</v>
      </c>
      <c r="I8979">
        <v>1</v>
      </c>
      <c r="J8979">
        <v>298</v>
      </c>
      <c r="K8979">
        <v>0</v>
      </c>
      <c r="L8979">
        <v>366.54</v>
      </c>
    </row>
    <row r="8980" spans="1:12" x14ac:dyDescent="0.25">
      <c r="A8980" t="str">
        <f t="shared" si="1946"/>
        <v>89301000</v>
      </c>
      <c r="B8980" t="str">
        <f t="shared" si="1947"/>
        <v>72100000</v>
      </c>
      <c r="C8980" t="str">
        <f t="shared" si="1948"/>
        <v>72100632</v>
      </c>
      <c r="D8980" t="str">
        <f t="shared" si="1945"/>
        <v>816</v>
      </c>
      <c r="E8980" t="str">
        <f t="shared" si="1943"/>
        <v>89301091</v>
      </c>
      <c r="F8980" t="str">
        <f>"2258180089"</f>
        <v>2258180089</v>
      </c>
      <c r="G8980" s="1">
        <v>44797</v>
      </c>
      <c r="H8980" t="str">
        <f t="shared" si="1944"/>
        <v>94297</v>
      </c>
      <c r="I8980">
        <v>1</v>
      </c>
      <c r="J8980">
        <v>298</v>
      </c>
      <c r="K8980">
        <v>0</v>
      </c>
      <c r="L8980">
        <v>366.54</v>
      </c>
    </row>
    <row r="8981" spans="1:12" x14ac:dyDescent="0.25">
      <c r="A8981" t="str">
        <f t="shared" si="1946"/>
        <v>89301000</v>
      </c>
      <c r="B8981" t="str">
        <f t="shared" si="1947"/>
        <v>72100000</v>
      </c>
      <c r="C8981" t="str">
        <f t="shared" si="1948"/>
        <v>72100632</v>
      </c>
      <c r="D8981" t="str">
        <f t="shared" si="1945"/>
        <v>816</v>
      </c>
      <c r="E8981" t="str">
        <f t="shared" si="1943"/>
        <v>89301091</v>
      </c>
      <c r="F8981" t="str">
        <f>"9155275756"</f>
        <v>9155275756</v>
      </c>
      <c r="G8981" s="1">
        <v>44797</v>
      </c>
      <c r="H8981" t="str">
        <f t="shared" si="1944"/>
        <v>94297</v>
      </c>
      <c r="I8981">
        <v>1</v>
      </c>
      <c r="J8981">
        <v>298</v>
      </c>
      <c r="K8981">
        <v>0</v>
      </c>
      <c r="L8981">
        <v>366.54</v>
      </c>
    </row>
    <row r="8982" spans="1:12" x14ac:dyDescent="0.25">
      <c r="A8982" t="str">
        <f t="shared" si="1946"/>
        <v>89301000</v>
      </c>
      <c r="B8982" t="str">
        <f t="shared" si="1947"/>
        <v>72100000</v>
      </c>
      <c r="C8982" t="str">
        <f t="shared" si="1948"/>
        <v>72100632</v>
      </c>
      <c r="D8982" t="str">
        <f t="shared" si="1945"/>
        <v>816</v>
      </c>
      <c r="E8982" t="str">
        <f t="shared" si="1943"/>
        <v>89301091</v>
      </c>
      <c r="F8982" t="str">
        <f>"2258200252"</f>
        <v>2258200252</v>
      </c>
      <c r="G8982" s="1">
        <v>44798</v>
      </c>
      <c r="H8982" t="str">
        <f t="shared" si="1944"/>
        <v>94297</v>
      </c>
      <c r="I8982">
        <v>1</v>
      </c>
      <c r="J8982">
        <v>298</v>
      </c>
      <c r="K8982">
        <v>0</v>
      </c>
      <c r="L8982">
        <v>366.54</v>
      </c>
    </row>
    <row r="8983" spans="1:12" x14ac:dyDescent="0.25">
      <c r="A8983" t="str">
        <f t="shared" si="1946"/>
        <v>89301000</v>
      </c>
      <c r="B8983" t="str">
        <f t="shared" si="1947"/>
        <v>72100000</v>
      </c>
      <c r="C8983" t="str">
        <f t="shared" si="1948"/>
        <v>72100632</v>
      </c>
      <c r="D8983" t="str">
        <f t="shared" si="1945"/>
        <v>816</v>
      </c>
      <c r="E8983" t="str">
        <f t="shared" ref="E8983:E8989" si="1949">"89301282"</f>
        <v>89301282</v>
      </c>
      <c r="F8983" t="str">
        <f>"0906033249"</f>
        <v>0906033249</v>
      </c>
      <c r="G8983" s="1">
        <v>44798</v>
      </c>
      <c r="H8983" t="str">
        <f>"94983"</f>
        <v>94983</v>
      </c>
      <c r="I8983">
        <v>1</v>
      </c>
      <c r="J8983">
        <v>0</v>
      </c>
      <c r="K8983">
        <v>39600</v>
      </c>
      <c r="L8983">
        <v>39600</v>
      </c>
    </row>
    <row r="8984" spans="1:12" x14ac:dyDescent="0.25">
      <c r="A8984" t="str">
        <f t="shared" si="1946"/>
        <v>89301000</v>
      </c>
      <c r="B8984" t="str">
        <f t="shared" si="1947"/>
        <v>72100000</v>
      </c>
      <c r="C8984" t="str">
        <f t="shared" si="1948"/>
        <v>72100632</v>
      </c>
      <c r="D8984" t="str">
        <f t="shared" si="1945"/>
        <v>816</v>
      </c>
      <c r="E8984" t="str">
        <f t="shared" si="1949"/>
        <v>89301282</v>
      </c>
      <c r="F8984" t="str">
        <f>"0906033249"</f>
        <v>0906033249</v>
      </c>
      <c r="G8984" s="1">
        <v>44798</v>
      </c>
      <c r="H8984" t="str">
        <f>"94996"</f>
        <v>94996</v>
      </c>
      <c r="I8984">
        <v>1</v>
      </c>
      <c r="J8984">
        <v>0</v>
      </c>
      <c r="K8984">
        <v>0</v>
      </c>
      <c r="L8984">
        <v>0</v>
      </c>
    </row>
    <row r="8985" spans="1:12" x14ac:dyDescent="0.25">
      <c r="A8985" t="str">
        <f t="shared" si="1946"/>
        <v>89301000</v>
      </c>
      <c r="B8985" t="str">
        <f t="shared" si="1947"/>
        <v>72100000</v>
      </c>
      <c r="C8985" t="str">
        <f t="shared" si="1948"/>
        <v>72100632</v>
      </c>
      <c r="D8985" t="str">
        <f t="shared" si="1945"/>
        <v>816</v>
      </c>
      <c r="E8985" t="str">
        <f t="shared" si="1949"/>
        <v>89301282</v>
      </c>
      <c r="F8985" t="str">
        <f>"9556264861"</f>
        <v>9556264861</v>
      </c>
      <c r="G8985" s="1">
        <v>44799</v>
      </c>
      <c r="H8985" t="str">
        <f>"94221"</f>
        <v>94221</v>
      </c>
      <c r="I8985">
        <v>9</v>
      </c>
      <c r="J8985">
        <v>22077</v>
      </c>
      <c r="K8985">
        <v>0</v>
      </c>
      <c r="L8985">
        <v>18765.45</v>
      </c>
    </row>
    <row r="8986" spans="1:12" x14ac:dyDescent="0.25">
      <c r="A8986" t="str">
        <f t="shared" si="1946"/>
        <v>89301000</v>
      </c>
      <c r="B8986" t="str">
        <f t="shared" si="1947"/>
        <v>72100000</v>
      </c>
      <c r="C8986" t="str">
        <f t="shared" si="1948"/>
        <v>72100632</v>
      </c>
      <c r="D8986" t="str">
        <f t="shared" si="1945"/>
        <v>816</v>
      </c>
      <c r="E8986" t="str">
        <f t="shared" si="1949"/>
        <v>89301282</v>
      </c>
      <c r="F8986" t="str">
        <f>"9556264861"</f>
        <v>9556264861</v>
      </c>
      <c r="G8986" s="1">
        <v>44799</v>
      </c>
      <c r="H8986" t="str">
        <f>"94221"</f>
        <v>94221</v>
      </c>
      <c r="I8986">
        <v>3</v>
      </c>
      <c r="J8986">
        <v>7359</v>
      </c>
      <c r="K8986">
        <v>0</v>
      </c>
      <c r="L8986">
        <v>6255.15</v>
      </c>
    </row>
    <row r="8987" spans="1:12" x14ac:dyDescent="0.25">
      <c r="A8987" t="str">
        <f t="shared" si="1946"/>
        <v>89301000</v>
      </c>
      <c r="B8987" t="str">
        <f t="shared" si="1947"/>
        <v>72100000</v>
      </c>
      <c r="C8987" t="str">
        <f t="shared" si="1948"/>
        <v>72100632</v>
      </c>
      <c r="D8987" t="str">
        <f t="shared" si="1945"/>
        <v>816</v>
      </c>
      <c r="E8987" t="str">
        <f t="shared" si="1949"/>
        <v>89301282</v>
      </c>
      <c r="F8987" t="str">
        <f>"8910275737"</f>
        <v>8910275737</v>
      </c>
      <c r="G8987" s="1">
        <v>44799</v>
      </c>
      <c r="H8987" t="str">
        <f>"94221"</f>
        <v>94221</v>
      </c>
      <c r="I8987">
        <v>9</v>
      </c>
      <c r="J8987">
        <v>22077</v>
      </c>
      <c r="K8987">
        <v>0</v>
      </c>
      <c r="L8987">
        <v>18765.45</v>
      </c>
    </row>
    <row r="8988" spans="1:12" x14ac:dyDescent="0.25">
      <c r="A8988" t="str">
        <f t="shared" si="1946"/>
        <v>89301000</v>
      </c>
      <c r="B8988" t="str">
        <f t="shared" si="1947"/>
        <v>72100000</v>
      </c>
      <c r="C8988" t="str">
        <f t="shared" si="1948"/>
        <v>72100632</v>
      </c>
      <c r="D8988" t="str">
        <f t="shared" si="1945"/>
        <v>816</v>
      </c>
      <c r="E8988" t="str">
        <f t="shared" si="1949"/>
        <v>89301282</v>
      </c>
      <c r="F8988" t="str">
        <f>"8910275737"</f>
        <v>8910275737</v>
      </c>
      <c r="G8988" s="1">
        <v>44799</v>
      </c>
      <c r="H8988" t="str">
        <f>"94221"</f>
        <v>94221</v>
      </c>
      <c r="I8988">
        <v>3</v>
      </c>
      <c r="J8988">
        <v>7359</v>
      </c>
      <c r="K8988">
        <v>0</v>
      </c>
      <c r="L8988">
        <v>6255.15</v>
      </c>
    </row>
    <row r="8989" spans="1:12" x14ac:dyDescent="0.25">
      <c r="A8989" t="str">
        <f t="shared" si="1946"/>
        <v>89301000</v>
      </c>
      <c r="B8989" t="str">
        <f t="shared" si="1947"/>
        <v>72100000</v>
      </c>
      <c r="C8989" t="str">
        <f t="shared" si="1948"/>
        <v>72100632</v>
      </c>
      <c r="D8989" t="str">
        <f t="shared" si="1945"/>
        <v>816</v>
      </c>
      <c r="E8989" t="str">
        <f t="shared" si="1949"/>
        <v>89301282</v>
      </c>
      <c r="F8989" t="str">
        <f>"8910275737"</f>
        <v>8910275737</v>
      </c>
      <c r="G8989" s="1">
        <v>44799</v>
      </c>
      <c r="H8989" t="str">
        <f>"94331"</f>
        <v>94331</v>
      </c>
      <c r="I8989">
        <v>1</v>
      </c>
      <c r="J8989">
        <v>7778</v>
      </c>
      <c r="K8989">
        <v>0</v>
      </c>
      <c r="L8989">
        <v>6611.3</v>
      </c>
    </row>
    <row r="8990" spans="1:12" x14ac:dyDescent="0.25">
      <c r="A8990" t="str">
        <f t="shared" si="1946"/>
        <v>89301000</v>
      </c>
      <c r="B8990" t="str">
        <f t="shared" si="1947"/>
        <v>72100000</v>
      </c>
      <c r="C8990" t="str">
        <f t="shared" si="1948"/>
        <v>72100632</v>
      </c>
      <c r="D8990" t="str">
        <f t="shared" ref="D8990:D8999" si="1950">"816"</f>
        <v>816</v>
      </c>
      <c r="E8990" t="str">
        <f>"89301091"</f>
        <v>89301091</v>
      </c>
      <c r="F8990" t="str">
        <f>"2257190056"</f>
        <v>2257190056</v>
      </c>
      <c r="G8990" s="1">
        <v>44767</v>
      </c>
      <c r="H8990" t="str">
        <f>"94297"</f>
        <v>94297</v>
      </c>
      <c r="I8990">
        <v>1</v>
      </c>
      <c r="J8990">
        <v>298</v>
      </c>
      <c r="K8990">
        <v>0</v>
      </c>
      <c r="L8990">
        <v>366.54</v>
      </c>
    </row>
    <row r="8991" spans="1:12" x14ac:dyDescent="0.25">
      <c r="A8991" t="str">
        <f t="shared" si="1946"/>
        <v>89301000</v>
      </c>
      <c r="B8991" t="str">
        <f t="shared" si="1947"/>
        <v>72100000</v>
      </c>
      <c r="C8991" t="str">
        <f t="shared" si="1948"/>
        <v>72100632</v>
      </c>
      <c r="D8991" t="str">
        <f t="shared" si="1950"/>
        <v>816</v>
      </c>
      <c r="E8991" t="str">
        <f t="shared" ref="E8991:E8999" si="1951">"89301282"</f>
        <v>89301282</v>
      </c>
      <c r="F8991" t="str">
        <f>"9212145701"</f>
        <v>9212145701</v>
      </c>
      <c r="G8991" s="1">
        <v>44754</v>
      </c>
      <c r="H8991" t="str">
        <f>"94221"</f>
        <v>94221</v>
      </c>
      <c r="I8991">
        <v>1</v>
      </c>
      <c r="J8991">
        <v>2453</v>
      </c>
      <c r="K8991">
        <v>0</v>
      </c>
      <c r="L8991">
        <v>2085.0500000000002</v>
      </c>
    </row>
    <row r="8992" spans="1:12" x14ac:dyDescent="0.25">
      <c r="A8992" t="str">
        <f t="shared" si="1946"/>
        <v>89301000</v>
      </c>
      <c r="B8992" t="str">
        <f t="shared" si="1947"/>
        <v>72100000</v>
      </c>
      <c r="C8992" t="str">
        <f t="shared" si="1948"/>
        <v>72100632</v>
      </c>
      <c r="D8992" t="str">
        <f t="shared" si="1950"/>
        <v>816</v>
      </c>
      <c r="E8992" t="str">
        <f t="shared" si="1951"/>
        <v>89301282</v>
      </c>
      <c r="F8992" t="str">
        <f>"2107240432"</f>
        <v>2107240432</v>
      </c>
      <c r="G8992" s="1">
        <v>44768</v>
      </c>
      <c r="H8992" t="str">
        <f>"94983"</f>
        <v>94983</v>
      </c>
      <c r="I8992">
        <v>1</v>
      </c>
      <c r="J8992">
        <v>0</v>
      </c>
      <c r="K8992">
        <v>39600</v>
      </c>
      <c r="L8992">
        <v>39600</v>
      </c>
    </row>
    <row r="8993" spans="1:12" x14ac:dyDescent="0.25">
      <c r="A8993" t="str">
        <f t="shared" si="1946"/>
        <v>89301000</v>
      </c>
      <c r="B8993" t="str">
        <f t="shared" si="1947"/>
        <v>72100000</v>
      </c>
      <c r="C8993" t="str">
        <f t="shared" si="1948"/>
        <v>72100632</v>
      </c>
      <c r="D8993" t="str">
        <f t="shared" si="1950"/>
        <v>816</v>
      </c>
      <c r="E8993" t="str">
        <f t="shared" si="1951"/>
        <v>89301282</v>
      </c>
      <c r="F8993" t="str">
        <f>"2107240432"</f>
        <v>2107240432</v>
      </c>
      <c r="G8993" s="1">
        <v>44768</v>
      </c>
      <c r="H8993" t="str">
        <f>"94996"</f>
        <v>94996</v>
      </c>
      <c r="I8993">
        <v>1</v>
      </c>
      <c r="J8993">
        <v>0</v>
      </c>
      <c r="K8993">
        <v>0</v>
      </c>
      <c r="L8993">
        <v>0</v>
      </c>
    </row>
    <row r="8994" spans="1:12" x14ac:dyDescent="0.25">
      <c r="A8994" t="str">
        <f t="shared" si="1946"/>
        <v>89301000</v>
      </c>
      <c r="B8994" t="str">
        <f t="shared" si="1947"/>
        <v>72100000</v>
      </c>
      <c r="C8994" t="str">
        <f t="shared" si="1948"/>
        <v>72100632</v>
      </c>
      <c r="D8994" t="str">
        <f t="shared" si="1950"/>
        <v>816</v>
      </c>
      <c r="E8994" t="str">
        <f t="shared" si="1951"/>
        <v>89301282</v>
      </c>
      <c r="F8994" t="str">
        <f>"1062271232"</f>
        <v>1062271232</v>
      </c>
      <c r="G8994" s="1">
        <v>44762</v>
      </c>
      <c r="H8994" t="str">
        <f t="shared" ref="H8994:H8999" si="1952">"94221"</f>
        <v>94221</v>
      </c>
      <c r="I8994">
        <v>1</v>
      </c>
      <c r="J8994">
        <v>2453</v>
      </c>
      <c r="K8994">
        <v>0</v>
      </c>
      <c r="L8994">
        <v>2085.0500000000002</v>
      </c>
    </row>
    <row r="8995" spans="1:12" x14ac:dyDescent="0.25">
      <c r="A8995" t="str">
        <f t="shared" si="1946"/>
        <v>89301000</v>
      </c>
      <c r="B8995" t="str">
        <f t="shared" si="1947"/>
        <v>72100000</v>
      </c>
      <c r="C8995" t="str">
        <f t="shared" si="1948"/>
        <v>72100632</v>
      </c>
      <c r="D8995" t="str">
        <f t="shared" si="1950"/>
        <v>816</v>
      </c>
      <c r="E8995" t="str">
        <f t="shared" si="1951"/>
        <v>89301282</v>
      </c>
      <c r="F8995" t="str">
        <f>"1062271232"</f>
        <v>1062271232</v>
      </c>
      <c r="G8995" s="1">
        <v>44762</v>
      </c>
      <c r="H8995" t="str">
        <f t="shared" si="1952"/>
        <v>94221</v>
      </c>
      <c r="I8995">
        <v>1</v>
      </c>
      <c r="J8995">
        <v>2453</v>
      </c>
      <c r="K8995">
        <v>0</v>
      </c>
      <c r="L8995">
        <v>2085.0500000000002</v>
      </c>
    </row>
    <row r="8996" spans="1:12" x14ac:dyDescent="0.25">
      <c r="A8996" t="str">
        <f t="shared" si="1946"/>
        <v>89301000</v>
      </c>
      <c r="B8996" t="str">
        <f t="shared" si="1947"/>
        <v>72100000</v>
      </c>
      <c r="C8996" t="str">
        <f t="shared" si="1948"/>
        <v>72100632</v>
      </c>
      <c r="D8996" t="str">
        <f t="shared" si="1950"/>
        <v>816</v>
      </c>
      <c r="E8996" t="str">
        <f t="shared" si="1951"/>
        <v>89301282</v>
      </c>
      <c r="F8996" t="str">
        <f>"1311270114"</f>
        <v>1311270114</v>
      </c>
      <c r="G8996" s="1">
        <v>44762</v>
      </c>
      <c r="H8996" t="str">
        <f t="shared" si="1952"/>
        <v>94221</v>
      </c>
      <c r="I8996">
        <v>1</v>
      </c>
      <c r="J8996">
        <v>2453</v>
      </c>
      <c r="K8996">
        <v>0</v>
      </c>
      <c r="L8996">
        <v>2085.0500000000002</v>
      </c>
    </row>
    <row r="8997" spans="1:12" x14ac:dyDescent="0.25">
      <c r="A8997" t="str">
        <f t="shared" si="1946"/>
        <v>89301000</v>
      </c>
      <c r="B8997" t="str">
        <f t="shared" si="1947"/>
        <v>72100000</v>
      </c>
      <c r="C8997" t="str">
        <f t="shared" si="1948"/>
        <v>72100632</v>
      </c>
      <c r="D8997" t="str">
        <f t="shared" si="1950"/>
        <v>816</v>
      </c>
      <c r="E8997" t="str">
        <f t="shared" si="1951"/>
        <v>89301282</v>
      </c>
      <c r="F8997" t="str">
        <f>"1311270114"</f>
        <v>1311270114</v>
      </c>
      <c r="G8997" s="1">
        <v>44762</v>
      </c>
      <c r="H8997" t="str">
        <f t="shared" si="1952"/>
        <v>94221</v>
      </c>
      <c r="I8997">
        <v>1</v>
      </c>
      <c r="J8997">
        <v>2453</v>
      </c>
      <c r="K8997">
        <v>0</v>
      </c>
      <c r="L8997">
        <v>2085.0500000000002</v>
      </c>
    </row>
    <row r="8998" spans="1:12" x14ac:dyDescent="0.25">
      <c r="A8998" t="str">
        <f t="shared" si="1946"/>
        <v>89301000</v>
      </c>
      <c r="B8998" t="str">
        <f t="shared" si="1947"/>
        <v>72100000</v>
      </c>
      <c r="C8998" t="str">
        <f t="shared" si="1948"/>
        <v>72100632</v>
      </c>
      <c r="D8998" t="str">
        <f t="shared" si="1950"/>
        <v>816</v>
      </c>
      <c r="E8998" t="str">
        <f t="shared" si="1951"/>
        <v>89301282</v>
      </c>
      <c r="F8998" t="str">
        <f>"0706147442"</f>
        <v>0706147442</v>
      </c>
      <c r="G8998" s="1">
        <v>44762</v>
      </c>
      <c r="H8998" t="str">
        <f t="shared" si="1952"/>
        <v>94221</v>
      </c>
      <c r="I8998">
        <v>1</v>
      </c>
      <c r="J8998">
        <v>2453</v>
      </c>
      <c r="K8998">
        <v>0</v>
      </c>
      <c r="L8998">
        <v>2085.0500000000002</v>
      </c>
    </row>
    <row r="8999" spans="1:12" x14ac:dyDescent="0.25">
      <c r="A8999" t="str">
        <f t="shared" si="1946"/>
        <v>89301000</v>
      </c>
      <c r="B8999" t="str">
        <f t="shared" si="1947"/>
        <v>72100000</v>
      </c>
      <c r="C8999" t="str">
        <f t="shared" si="1948"/>
        <v>72100632</v>
      </c>
      <c r="D8999" t="str">
        <f t="shared" si="1950"/>
        <v>816</v>
      </c>
      <c r="E8999" t="str">
        <f t="shared" si="1951"/>
        <v>89301282</v>
      </c>
      <c r="F8999" t="str">
        <f>"0706147442"</f>
        <v>0706147442</v>
      </c>
      <c r="G8999" s="1">
        <v>44762</v>
      </c>
      <c r="H8999" t="str">
        <f t="shared" si="1952"/>
        <v>94221</v>
      </c>
      <c r="I8999">
        <v>1</v>
      </c>
      <c r="J8999">
        <v>2453</v>
      </c>
      <c r="K8999">
        <v>0</v>
      </c>
      <c r="L8999">
        <v>2085.0500000000002</v>
      </c>
    </row>
    <row r="9000" spans="1:12" x14ac:dyDescent="0.25">
      <c r="A9000" t="str">
        <f t="shared" si="1946"/>
        <v>89301000</v>
      </c>
      <c r="B9000" t="str">
        <f t="shared" ref="B9000:B9007" si="1953">"85200000"</f>
        <v>85200000</v>
      </c>
      <c r="C9000" t="str">
        <f>"85200500"</f>
        <v>85200500</v>
      </c>
      <c r="D9000" t="str">
        <f>"809"</f>
        <v>809</v>
      </c>
      <c r="E9000" t="str">
        <f>"89301212"</f>
        <v>89301212</v>
      </c>
      <c r="F9000" t="str">
        <f>"486221128"</f>
        <v>486221128</v>
      </c>
      <c r="G9000" s="1">
        <v>44831</v>
      </c>
      <c r="H9000" t="str">
        <f>"89513"</f>
        <v>89513</v>
      </c>
      <c r="I9000">
        <v>1</v>
      </c>
      <c r="J9000">
        <v>371</v>
      </c>
      <c r="K9000">
        <v>0</v>
      </c>
      <c r="L9000">
        <v>519.4</v>
      </c>
    </row>
    <row r="9001" spans="1:12" x14ac:dyDescent="0.25">
      <c r="A9001" t="str">
        <f t="shared" si="1946"/>
        <v>89301000</v>
      </c>
      <c r="B9001" t="str">
        <f t="shared" si="1953"/>
        <v>85200000</v>
      </c>
      <c r="C9001" t="str">
        <f>"85200500"</f>
        <v>85200500</v>
      </c>
      <c r="D9001" t="str">
        <f>"809"</f>
        <v>809</v>
      </c>
      <c r="E9001" t="str">
        <f>"89301212"</f>
        <v>89301212</v>
      </c>
      <c r="F9001" t="str">
        <f>"486221128"</f>
        <v>486221128</v>
      </c>
      <c r="G9001" s="1">
        <v>44831</v>
      </c>
      <c r="H9001" t="str">
        <f>"89514"</f>
        <v>89514</v>
      </c>
      <c r="I9001">
        <v>1</v>
      </c>
      <c r="J9001">
        <v>371</v>
      </c>
      <c r="K9001">
        <v>0</v>
      </c>
      <c r="L9001">
        <v>519.4</v>
      </c>
    </row>
    <row r="9002" spans="1:12" x14ac:dyDescent="0.25">
      <c r="A9002" t="str">
        <f t="shared" si="1946"/>
        <v>89301000</v>
      </c>
      <c r="B9002" t="str">
        <f t="shared" si="1953"/>
        <v>85200000</v>
      </c>
      <c r="C9002" t="str">
        <f>"85200332"</f>
        <v>85200332</v>
      </c>
      <c r="D9002" t="str">
        <f>"801"</f>
        <v>801</v>
      </c>
      <c r="E9002" t="str">
        <f>"89301082"</f>
        <v>89301082</v>
      </c>
      <c r="F9002" t="str">
        <f>"8960214593"</f>
        <v>8960214593</v>
      </c>
      <c r="G9002" s="1">
        <v>44830</v>
      </c>
      <c r="H9002" t="str">
        <f>"09119"</f>
        <v>09119</v>
      </c>
      <c r="I9002">
        <v>1</v>
      </c>
      <c r="J9002">
        <v>42</v>
      </c>
      <c r="K9002">
        <v>0</v>
      </c>
      <c r="L9002">
        <v>32.76</v>
      </c>
    </row>
    <row r="9003" spans="1:12" x14ac:dyDescent="0.25">
      <c r="A9003" t="str">
        <f t="shared" si="1946"/>
        <v>89301000</v>
      </c>
      <c r="B9003" t="str">
        <f t="shared" si="1953"/>
        <v>85200000</v>
      </c>
      <c r="C9003" t="str">
        <f>"85200332"</f>
        <v>85200332</v>
      </c>
      <c r="D9003" t="str">
        <f>"801"</f>
        <v>801</v>
      </c>
      <c r="E9003" t="str">
        <f>"89301082"</f>
        <v>89301082</v>
      </c>
      <c r="F9003" t="str">
        <f>"8960214593"</f>
        <v>8960214593</v>
      </c>
      <c r="G9003" s="1">
        <v>44830</v>
      </c>
      <c r="H9003" t="str">
        <f>"93159"</f>
        <v>93159</v>
      </c>
      <c r="I9003">
        <v>1</v>
      </c>
      <c r="J9003">
        <v>195</v>
      </c>
      <c r="K9003">
        <v>0</v>
      </c>
      <c r="L9003">
        <v>152.1</v>
      </c>
    </row>
    <row r="9004" spans="1:12" x14ac:dyDescent="0.25">
      <c r="A9004" t="str">
        <f t="shared" si="1946"/>
        <v>89301000</v>
      </c>
      <c r="B9004" t="str">
        <f t="shared" si="1953"/>
        <v>85200000</v>
      </c>
      <c r="C9004" t="str">
        <f>"85200332"</f>
        <v>85200332</v>
      </c>
      <c r="D9004" t="str">
        <f>"801"</f>
        <v>801</v>
      </c>
      <c r="E9004" t="str">
        <f>"89301082"</f>
        <v>89301082</v>
      </c>
      <c r="F9004" t="str">
        <f>"8960214593"</f>
        <v>8960214593</v>
      </c>
      <c r="G9004" s="1">
        <v>44830</v>
      </c>
      <c r="H9004" t="str">
        <f>"97111"</f>
        <v>97111</v>
      </c>
      <c r="I9004">
        <v>1</v>
      </c>
      <c r="J9004">
        <v>18</v>
      </c>
      <c r="K9004">
        <v>0</v>
      </c>
      <c r="L9004">
        <v>14.04</v>
      </c>
    </row>
    <row r="9005" spans="1:12" x14ac:dyDescent="0.25">
      <c r="A9005" t="str">
        <f t="shared" si="1946"/>
        <v>89301000</v>
      </c>
      <c r="B9005" t="str">
        <f t="shared" si="1953"/>
        <v>85200000</v>
      </c>
      <c r="C9005" t="str">
        <f>"85200315"</f>
        <v>85200315</v>
      </c>
      <c r="D9005" t="str">
        <f t="shared" ref="D9005:D9010" si="1954">"809"</f>
        <v>809</v>
      </c>
      <c r="E9005" t="str">
        <f t="shared" ref="E9005:E9010" si="1955">"89301212"</f>
        <v>89301212</v>
      </c>
      <c r="F9005" t="str">
        <f>"5752281964"</f>
        <v>5752281964</v>
      </c>
      <c r="G9005" s="1">
        <v>44812</v>
      </c>
      <c r="H9005" t="str">
        <f>"89131"</f>
        <v>89131</v>
      </c>
      <c r="I9005">
        <v>1</v>
      </c>
      <c r="J9005">
        <v>187</v>
      </c>
      <c r="K9005">
        <v>0</v>
      </c>
      <c r="L9005">
        <v>261.8</v>
      </c>
    </row>
    <row r="9006" spans="1:12" x14ac:dyDescent="0.25">
      <c r="A9006" t="str">
        <f t="shared" si="1946"/>
        <v>89301000</v>
      </c>
      <c r="B9006" t="str">
        <f t="shared" si="1953"/>
        <v>85200000</v>
      </c>
      <c r="C9006" t="str">
        <f>"85200315"</f>
        <v>85200315</v>
      </c>
      <c r="D9006" t="str">
        <f t="shared" si="1954"/>
        <v>809</v>
      </c>
      <c r="E9006" t="str">
        <f t="shared" si="1955"/>
        <v>89301212</v>
      </c>
      <c r="F9006" t="str">
        <f>"5752281964"</f>
        <v>5752281964</v>
      </c>
      <c r="G9006" s="1">
        <v>44812</v>
      </c>
      <c r="H9006" t="str">
        <f>"89513"</f>
        <v>89513</v>
      </c>
      <c r="I9006">
        <v>1</v>
      </c>
      <c r="J9006">
        <v>371</v>
      </c>
      <c r="K9006">
        <v>0</v>
      </c>
      <c r="L9006">
        <v>519.4</v>
      </c>
    </row>
    <row r="9007" spans="1:12" x14ac:dyDescent="0.25">
      <c r="A9007" t="str">
        <f t="shared" si="1946"/>
        <v>89301000</v>
      </c>
      <c r="B9007" t="str">
        <f t="shared" si="1953"/>
        <v>85200000</v>
      </c>
      <c r="C9007" t="str">
        <f>"85200315"</f>
        <v>85200315</v>
      </c>
      <c r="D9007" t="str">
        <f t="shared" si="1954"/>
        <v>809</v>
      </c>
      <c r="E9007" t="str">
        <f t="shared" si="1955"/>
        <v>89301212</v>
      </c>
      <c r="F9007" t="str">
        <f>"5752281964"</f>
        <v>5752281964</v>
      </c>
      <c r="G9007" s="1">
        <v>44812</v>
      </c>
      <c r="H9007" t="str">
        <f>"89514"</f>
        <v>89514</v>
      </c>
      <c r="I9007">
        <v>1</v>
      </c>
      <c r="J9007">
        <v>371</v>
      </c>
      <c r="K9007">
        <v>0</v>
      </c>
      <c r="L9007">
        <v>519.4</v>
      </c>
    </row>
    <row r="9008" spans="1:12" x14ac:dyDescent="0.25">
      <c r="A9008" t="str">
        <f t="shared" si="1946"/>
        <v>89301000</v>
      </c>
      <c r="B9008" t="str">
        <f t="shared" ref="B9008:C9010" si="1956">"89434000"</f>
        <v>89434000</v>
      </c>
      <c r="C9008" t="str">
        <f t="shared" si="1956"/>
        <v>89434000</v>
      </c>
      <c r="D9008" t="str">
        <f t="shared" si="1954"/>
        <v>809</v>
      </c>
      <c r="E9008" t="str">
        <f t="shared" si="1955"/>
        <v>89301212</v>
      </c>
      <c r="F9008" t="str">
        <f>"6558211022"</f>
        <v>6558211022</v>
      </c>
      <c r="G9008" s="1">
        <v>44810</v>
      </c>
      <c r="H9008" t="str">
        <f>"89513"</f>
        <v>89513</v>
      </c>
      <c r="I9008">
        <v>1</v>
      </c>
      <c r="J9008">
        <v>371</v>
      </c>
      <c r="K9008">
        <v>0</v>
      </c>
      <c r="L9008">
        <v>519.4</v>
      </c>
    </row>
    <row r="9009" spans="1:12" x14ac:dyDescent="0.25">
      <c r="A9009" t="str">
        <f t="shared" si="1946"/>
        <v>89301000</v>
      </c>
      <c r="B9009" t="str">
        <f t="shared" si="1956"/>
        <v>89434000</v>
      </c>
      <c r="C9009" t="str">
        <f t="shared" si="1956"/>
        <v>89434000</v>
      </c>
      <c r="D9009" t="str">
        <f t="shared" si="1954"/>
        <v>809</v>
      </c>
      <c r="E9009" t="str">
        <f t="shared" si="1955"/>
        <v>89301212</v>
      </c>
      <c r="F9009" t="str">
        <f>"6558211022"</f>
        <v>6558211022</v>
      </c>
      <c r="G9009" s="1">
        <v>44810</v>
      </c>
      <c r="H9009" t="str">
        <f>"89514"</f>
        <v>89514</v>
      </c>
      <c r="I9009">
        <v>1</v>
      </c>
      <c r="J9009">
        <v>371</v>
      </c>
      <c r="K9009">
        <v>0</v>
      </c>
      <c r="L9009">
        <v>519.4</v>
      </c>
    </row>
    <row r="9010" spans="1:12" x14ac:dyDescent="0.25">
      <c r="A9010" t="str">
        <f t="shared" si="1946"/>
        <v>89301000</v>
      </c>
      <c r="B9010" t="str">
        <f t="shared" si="1956"/>
        <v>89434000</v>
      </c>
      <c r="C9010" t="str">
        <f t="shared" si="1956"/>
        <v>89434000</v>
      </c>
      <c r="D9010" t="str">
        <f t="shared" si="1954"/>
        <v>809</v>
      </c>
      <c r="E9010" t="str">
        <f t="shared" si="1955"/>
        <v>89301212</v>
      </c>
      <c r="F9010" t="str">
        <f>"6558211022"</f>
        <v>6558211022</v>
      </c>
      <c r="G9010" s="1">
        <v>44810</v>
      </c>
      <c r="H9010" t="str">
        <f>"09135"</f>
        <v>09135</v>
      </c>
      <c r="I9010">
        <v>1</v>
      </c>
      <c r="J9010">
        <v>174</v>
      </c>
      <c r="K9010">
        <v>0</v>
      </c>
      <c r="L9010">
        <v>243.6</v>
      </c>
    </row>
    <row r="9011" spans="1:12" x14ac:dyDescent="0.25">
      <c r="A9011" t="str">
        <f t="shared" si="1946"/>
        <v>89301000</v>
      </c>
      <c r="B9011" t="str">
        <f t="shared" ref="B9011:B9044" si="1957">"10510000"</f>
        <v>10510000</v>
      </c>
      <c r="C9011" t="str">
        <f t="shared" ref="C9011:C9044" si="1958">"10510001"</f>
        <v>10510001</v>
      </c>
      <c r="D9011" t="str">
        <f t="shared" ref="D9011:D9044" si="1959">"802"</f>
        <v>802</v>
      </c>
      <c r="E9011" t="str">
        <f t="shared" ref="E9011:E9026" si="1960">"89301202"</f>
        <v>89301202</v>
      </c>
      <c r="F9011" t="str">
        <f t="shared" ref="F9011:F9016" si="1961">"8902106235"</f>
        <v>8902106235</v>
      </c>
      <c r="G9011" s="1">
        <v>44826</v>
      </c>
      <c r="H9011" t="str">
        <f>"82111"</f>
        <v>82111</v>
      </c>
      <c r="I9011">
        <v>1</v>
      </c>
      <c r="J9011">
        <v>36</v>
      </c>
      <c r="K9011">
        <v>0</v>
      </c>
      <c r="L9011">
        <v>32.76</v>
      </c>
    </row>
    <row r="9012" spans="1:12" x14ac:dyDescent="0.25">
      <c r="A9012" t="str">
        <f t="shared" si="1946"/>
        <v>89301000</v>
      </c>
      <c r="B9012" t="str">
        <f t="shared" si="1957"/>
        <v>10510000</v>
      </c>
      <c r="C9012" t="str">
        <f t="shared" si="1958"/>
        <v>10510001</v>
      </c>
      <c r="D9012" t="str">
        <f t="shared" si="1959"/>
        <v>802</v>
      </c>
      <c r="E9012" t="str">
        <f t="shared" si="1960"/>
        <v>89301202</v>
      </c>
      <c r="F9012" t="str">
        <f t="shared" si="1961"/>
        <v>8902106235</v>
      </c>
      <c r="G9012" s="1">
        <v>44826</v>
      </c>
      <c r="H9012" t="str">
        <f>"82145"</f>
        <v>82145</v>
      </c>
      <c r="I9012">
        <v>1</v>
      </c>
      <c r="J9012">
        <v>57</v>
      </c>
      <c r="K9012">
        <v>0</v>
      </c>
      <c r="L9012">
        <v>51.87</v>
      </c>
    </row>
    <row r="9013" spans="1:12" x14ac:dyDescent="0.25">
      <c r="A9013" t="str">
        <f t="shared" si="1946"/>
        <v>89301000</v>
      </c>
      <c r="B9013" t="str">
        <f t="shared" si="1957"/>
        <v>10510000</v>
      </c>
      <c r="C9013" t="str">
        <f t="shared" si="1958"/>
        <v>10510001</v>
      </c>
      <c r="D9013" t="str">
        <f t="shared" si="1959"/>
        <v>802</v>
      </c>
      <c r="E9013" t="str">
        <f t="shared" si="1960"/>
        <v>89301202</v>
      </c>
      <c r="F9013" t="str">
        <f t="shared" si="1961"/>
        <v>8902106235</v>
      </c>
      <c r="G9013" s="1">
        <v>44826</v>
      </c>
      <c r="H9013" t="str">
        <f>"82079"</f>
        <v>82079</v>
      </c>
      <c r="I9013">
        <v>1</v>
      </c>
      <c r="J9013">
        <v>332</v>
      </c>
      <c r="K9013">
        <v>0</v>
      </c>
      <c r="L9013">
        <v>302.12</v>
      </c>
    </row>
    <row r="9014" spans="1:12" x14ac:dyDescent="0.25">
      <c r="A9014" t="str">
        <f t="shared" si="1946"/>
        <v>89301000</v>
      </c>
      <c r="B9014" t="str">
        <f t="shared" si="1957"/>
        <v>10510000</v>
      </c>
      <c r="C9014" t="str">
        <f t="shared" si="1958"/>
        <v>10510001</v>
      </c>
      <c r="D9014" t="str">
        <f t="shared" si="1959"/>
        <v>802</v>
      </c>
      <c r="E9014" t="str">
        <f t="shared" si="1960"/>
        <v>89301202</v>
      </c>
      <c r="F9014" t="str">
        <f t="shared" si="1961"/>
        <v>8902106235</v>
      </c>
      <c r="G9014" s="1">
        <v>44826</v>
      </c>
      <c r="H9014" t="str">
        <f>"82113"</f>
        <v>82113</v>
      </c>
      <c r="I9014">
        <v>1</v>
      </c>
      <c r="J9014">
        <v>362</v>
      </c>
      <c r="K9014">
        <v>0</v>
      </c>
      <c r="L9014">
        <v>329.42</v>
      </c>
    </row>
    <row r="9015" spans="1:12" x14ac:dyDescent="0.25">
      <c r="A9015" t="str">
        <f t="shared" si="1946"/>
        <v>89301000</v>
      </c>
      <c r="B9015" t="str">
        <f t="shared" si="1957"/>
        <v>10510000</v>
      </c>
      <c r="C9015" t="str">
        <f t="shared" si="1958"/>
        <v>10510001</v>
      </c>
      <c r="D9015" t="str">
        <f t="shared" si="1959"/>
        <v>802</v>
      </c>
      <c r="E9015" t="str">
        <f t="shared" si="1960"/>
        <v>89301202</v>
      </c>
      <c r="F9015" t="str">
        <f t="shared" si="1961"/>
        <v>8902106235</v>
      </c>
      <c r="G9015" s="1">
        <v>44825</v>
      </c>
      <c r="H9015" t="str">
        <f>"97111"</f>
        <v>97111</v>
      </c>
      <c r="I9015">
        <v>1</v>
      </c>
      <c r="J9015">
        <v>18</v>
      </c>
      <c r="K9015">
        <v>0</v>
      </c>
      <c r="L9015">
        <v>16.38</v>
      </c>
    </row>
    <row r="9016" spans="1:12" x14ac:dyDescent="0.25">
      <c r="A9016" t="str">
        <f t="shared" si="1946"/>
        <v>89301000</v>
      </c>
      <c r="B9016" t="str">
        <f t="shared" si="1957"/>
        <v>10510000</v>
      </c>
      <c r="C9016" t="str">
        <f t="shared" si="1958"/>
        <v>10510001</v>
      </c>
      <c r="D9016" t="str">
        <f t="shared" si="1959"/>
        <v>802</v>
      </c>
      <c r="E9016" t="str">
        <f t="shared" si="1960"/>
        <v>89301202</v>
      </c>
      <c r="F9016" t="str">
        <f t="shared" si="1961"/>
        <v>8902106235</v>
      </c>
      <c r="G9016" s="1">
        <v>44827</v>
      </c>
      <c r="H9016" t="str">
        <f>"82113"</f>
        <v>82113</v>
      </c>
      <c r="I9016">
        <v>1</v>
      </c>
      <c r="J9016">
        <v>362</v>
      </c>
      <c r="K9016">
        <v>0</v>
      </c>
      <c r="L9016">
        <v>329.42</v>
      </c>
    </row>
    <row r="9017" spans="1:12" x14ac:dyDescent="0.25">
      <c r="A9017" t="str">
        <f t="shared" si="1946"/>
        <v>89301000</v>
      </c>
      <c r="B9017" t="str">
        <f t="shared" si="1957"/>
        <v>10510000</v>
      </c>
      <c r="C9017" t="str">
        <f t="shared" si="1958"/>
        <v>10510001</v>
      </c>
      <c r="D9017" t="str">
        <f t="shared" si="1959"/>
        <v>802</v>
      </c>
      <c r="E9017" t="str">
        <f t="shared" si="1960"/>
        <v>89301202</v>
      </c>
      <c r="F9017" t="str">
        <f>"2256101804"</f>
        <v>2256101804</v>
      </c>
      <c r="G9017" s="1">
        <v>44825</v>
      </c>
      <c r="H9017" t="str">
        <f>"97111"</f>
        <v>97111</v>
      </c>
      <c r="I9017">
        <v>1</v>
      </c>
      <c r="J9017">
        <v>18</v>
      </c>
      <c r="K9017">
        <v>0</v>
      </c>
      <c r="L9017">
        <v>16.38</v>
      </c>
    </row>
    <row r="9018" spans="1:12" x14ac:dyDescent="0.25">
      <c r="A9018" t="str">
        <f t="shared" si="1946"/>
        <v>89301000</v>
      </c>
      <c r="B9018" t="str">
        <f t="shared" si="1957"/>
        <v>10510000</v>
      </c>
      <c r="C9018" t="str">
        <f t="shared" si="1958"/>
        <v>10510001</v>
      </c>
      <c r="D9018" t="str">
        <f t="shared" si="1959"/>
        <v>802</v>
      </c>
      <c r="E9018" t="str">
        <f t="shared" si="1960"/>
        <v>89301202</v>
      </c>
      <c r="F9018" t="str">
        <f>"2256101804"</f>
        <v>2256101804</v>
      </c>
      <c r="G9018" s="1">
        <v>44826</v>
      </c>
      <c r="H9018" t="str">
        <f>"82113"</f>
        <v>82113</v>
      </c>
      <c r="I9018">
        <v>1</v>
      </c>
      <c r="J9018">
        <v>362</v>
      </c>
      <c r="K9018">
        <v>0</v>
      </c>
      <c r="L9018">
        <v>329.42</v>
      </c>
    </row>
    <row r="9019" spans="1:12" x14ac:dyDescent="0.25">
      <c r="A9019" t="str">
        <f t="shared" si="1946"/>
        <v>89301000</v>
      </c>
      <c r="B9019" t="str">
        <f t="shared" si="1957"/>
        <v>10510000</v>
      </c>
      <c r="C9019" t="str">
        <f t="shared" si="1958"/>
        <v>10510001</v>
      </c>
      <c r="D9019" t="str">
        <f t="shared" si="1959"/>
        <v>802</v>
      </c>
      <c r="E9019" t="str">
        <f t="shared" si="1960"/>
        <v>89301202</v>
      </c>
      <c r="F9019" t="str">
        <f>"2256101804"</f>
        <v>2256101804</v>
      </c>
      <c r="G9019" s="1">
        <v>44826</v>
      </c>
      <c r="H9019" t="str">
        <f>"82079"</f>
        <v>82079</v>
      </c>
      <c r="I9019">
        <v>1</v>
      </c>
      <c r="J9019">
        <v>332</v>
      </c>
      <c r="K9019">
        <v>0</v>
      </c>
      <c r="L9019">
        <v>302.12</v>
      </c>
    </row>
    <row r="9020" spans="1:12" x14ac:dyDescent="0.25">
      <c r="A9020" t="str">
        <f t="shared" si="1946"/>
        <v>89301000</v>
      </c>
      <c r="B9020" t="str">
        <f t="shared" si="1957"/>
        <v>10510000</v>
      </c>
      <c r="C9020" t="str">
        <f t="shared" si="1958"/>
        <v>10510001</v>
      </c>
      <c r="D9020" t="str">
        <f t="shared" si="1959"/>
        <v>802</v>
      </c>
      <c r="E9020" t="str">
        <f t="shared" si="1960"/>
        <v>89301202</v>
      </c>
      <c r="F9020" t="str">
        <f>"2256101804"</f>
        <v>2256101804</v>
      </c>
      <c r="G9020" s="1">
        <v>44826</v>
      </c>
      <c r="H9020" t="str">
        <f>"82111"</f>
        <v>82111</v>
      </c>
      <c r="I9020">
        <v>1</v>
      </c>
      <c r="J9020">
        <v>36</v>
      </c>
      <c r="K9020">
        <v>0</v>
      </c>
      <c r="L9020">
        <v>32.76</v>
      </c>
    </row>
    <row r="9021" spans="1:12" x14ac:dyDescent="0.25">
      <c r="A9021" t="str">
        <f t="shared" si="1946"/>
        <v>89301000</v>
      </c>
      <c r="B9021" t="str">
        <f t="shared" si="1957"/>
        <v>10510000</v>
      </c>
      <c r="C9021" t="str">
        <f t="shared" si="1958"/>
        <v>10510001</v>
      </c>
      <c r="D9021" t="str">
        <f t="shared" si="1959"/>
        <v>802</v>
      </c>
      <c r="E9021" t="str">
        <f t="shared" si="1960"/>
        <v>89301202</v>
      </c>
      <c r="F9021" t="str">
        <f>"2256101804"</f>
        <v>2256101804</v>
      </c>
      <c r="G9021" s="1">
        <v>44826</v>
      </c>
      <c r="H9021" t="str">
        <f>"82145"</f>
        <v>82145</v>
      </c>
      <c r="I9021">
        <v>1</v>
      </c>
      <c r="J9021">
        <v>57</v>
      </c>
      <c r="K9021">
        <v>0</v>
      </c>
      <c r="L9021">
        <v>51.87</v>
      </c>
    </row>
    <row r="9022" spans="1:12" x14ac:dyDescent="0.25">
      <c r="A9022" t="str">
        <f t="shared" si="1946"/>
        <v>89301000</v>
      </c>
      <c r="B9022" t="str">
        <f t="shared" si="1957"/>
        <v>10510000</v>
      </c>
      <c r="C9022" t="str">
        <f t="shared" si="1958"/>
        <v>10510001</v>
      </c>
      <c r="D9022" t="str">
        <f t="shared" si="1959"/>
        <v>802</v>
      </c>
      <c r="E9022" t="str">
        <f t="shared" si="1960"/>
        <v>89301202</v>
      </c>
      <c r="F9022" t="str">
        <f>"8711014917"</f>
        <v>8711014917</v>
      </c>
      <c r="G9022" s="1">
        <v>44831</v>
      </c>
      <c r="H9022" t="str">
        <f>"82145"</f>
        <v>82145</v>
      </c>
      <c r="I9022">
        <v>6</v>
      </c>
      <c r="J9022">
        <v>342</v>
      </c>
      <c r="K9022">
        <v>0</v>
      </c>
      <c r="L9022">
        <v>311.22000000000003</v>
      </c>
    </row>
    <row r="9023" spans="1:12" x14ac:dyDescent="0.25">
      <c r="A9023" t="str">
        <f t="shared" si="1946"/>
        <v>89301000</v>
      </c>
      <c r="B9023" t="str">
        <f t="shared" si="1957"/>
        <v>10510000</v>
      </c>
      <c r="C9023" t="str">
        <f t="shared" si="1958"/>
        <v>10510001</v>
      </c>
      <c r="D9023" t="str">
        <f t="shared" si="1959"/>
        <v>802</v>
      </c>
      <c r="E9023" t="str">
        <f t="shared" si="1960"/>
        <v>89301202</v>
      </c>
      <c r="F9023" t="str">
        <f>"8711014917"</f>
        <v>8711014917</v>
      </c>
      <c r="G9023" s="1">
        <v>44831</v>
      </c>
      <c r="H9023" t="str">
        <f>"82111"</f>
        <v>82111</v>
      </c>
      <c r="I9023">
        <v>1</v>
      </c>
      <c r="J9023">
        <v>36</v>
      </c>
      <c r="K9023">
        <v>0</v>
      </c>
      <c r="L9023">
        <v>32.76</v>
      </c>
    </row>
    <row r="9024" spans="1:12" x14ac:dyDescent="0.25">
      <c r="A9024" t="str">
        <f t="shared" si="1946"/>
        <v>89301000</v>
      </c>
      <c r="B9024" t="str">
        <f t="shared" si="1957"/>
        <v>10510000</v>
      </c>
      <c r="C9024" t="str">
        <f t="shared" si="1958"/>
        <v>10510001</v>
      </c>
      <c r="D9024" t="str">
        <f t="shared" si="1959"/>
        <v>802</v>
      </c>
      <c r="E9024" t="str">
        <f t="shared" si="1960"/>
        <v>89301202</v>
      </c>
      <c r="F9024" t="str">
        <f>"8711014917"</f>
        <v>8711014917</v>
      </c>
      <c r="G9024" s="1">
        <v>44831</v>
      </c>
      <c r="H9024" t="str">
        <f>"82079"</f>
        <v>82079</v>
      </c>
      <c r="I9024">
        <v>1</v>
      </c>
      <c r="J9024">
        <v>332</v>
      </c>
      <c r="K9024">
        <v>0</v>
      </c>
      <c r="L9024">
        <v>302.12</v>
      </c>
    </row>
    <row r="9025" spans="1:12" x14ac:dyDescent="0.25">
      <c r="A9025" t="str">
        <f t="shared" si="1946"/>
        <v>89301000</v>
      </c>
      <c r="B9025" t="str">
        <f t="shared" si="1957"/>
        <v>10510000</v>
      </c>
      <c r="C9025" t="str">
        <f t="shared" si="1958"/>
        <v>10510001</v>
      </c>
      <c r="D9025" t="str">
        <f t="shared" si="1959"/>
        <v>802</v>
      </c>
      <c r="E9025" t="str">
        <f t="shared" si="1960"/>
        <v>89301202</v>
      </c>
      <c r="F9025" t="str">
        <f>"8711014917"</f>
        <v>8711014917</v>
      </c>
      <c r="G9025" s="1">
        <v>44831</v>
      </c>
      <c r="H9025" t="str">
        <f>"82113"</f>
        <v>82113</v>
      </c>
      <c r="I9025">
        <v>1</v>
      </c>
      <c r="J9025">
        <v>362</v>
      </c>
      <c r="K9025">
        <v>0</v>
      </c>
      <c r="L9025">
        <v>329.42</v>
      </c>
    </row>
    <row r="9026" spans="1:12" x14ac:dyDescent="0.25">
      <c r="A9026" t="str">
        <f t="shared" ref="A9026:A9089" si="1962">"89301000"</f>
        <v>89301000</v>
      </c>
      <c r="B9026" t="str">
        <f t="shared" si="1957"/>
        <v>10510000</v>
      </c>
      <c r="C9026" t="str">
        <f t="shared" si="1958"/>
        <v>10510001</v>
      </c>
      <c r="D9026" t="str">
        <f t="shared" si="1959"/>
        <v>802</v>
      </c>
      <c r="E9026" t="str">
        <f t="shared" si="1960"/>
        <v>89301202</v>
      </c>
      <c r="F9026" t="str">
        <f>"8711014917"</f>
        <v>8711014917</v>
      </c>
      <c r="G9026" s="1">
        <v>44830</v>
      </c>
      <c r="H9026" t="str">
        <f>"97111"</f>
        <v>97111</v>
      </c>
      <c r="I9026">
        <v>1</v>
      </c>
      <c r="J9026">
        <v>18</v>
      </c>
      <c r="K9026">
        <v>0</v>
      </c>
      <c r="L9026">
        <v>16.38</v>
      </c>
    </row>
    <row r="9027" spans="1:12" x14ac:dyDescent="0.25">
      <c r="A9027" t="str">
        <f t="shared" si="1962"/>
        <v>89301000</v>
      </c>
      <c r="B9027" t="str">
        <f t="shared" si="1957"/>
        <v>10510000</v>
      </c>
      <c r="C9027" t="str">
        <f t="shared" si="1958"/>
        <v>10510001</v>
      </c>
      <c r="D9027" t="str">
        <f t="shared" si="1959"/>
        <v>802</v>
      </c>
      <c r="E9027" t="str">
        <f t="shared" ref="E9027:E9044" si="1963">"89301171"</f>
        <v>89301171</v>
      </c>
      <c r="F9027" t="str">
        <f>"6104160458"</f>
        <v>6104160458</v>
      </c>
      <c r="G9027" s="1">
        <v>44812</v>
      </c>
      <c r="H9027" t="str">
        <f>"82041"</f>
        <v>82041</v>
      </c>
      <c r="I9027">
        <v>1</v>
      </c>
      <c r="J9027">
        <v>1090</v>
      </c>
      <c r="K9027">
        <v>0</v>
      </c>
      <c r="L9027">
        <v>991.9</v>
      </c>
    </row>
    <row r="9028" spans="1:12" x14ac:dyDescent="0.25">
      <c r="A9028" t="str">
        <f t="shared" si="1962"/>
        <v>89301000</v>
      </c>
      <c r="B9028" t="str">
        <f t="shared" si="1957"/>
        <v>10510000</v>
      </c>
      <c r="C9028" t="str">
        <f t="shared" si="1958"/>
        <v>10510001</v>
      </c>
      <c r="D9028" t="str">
        <f t="shared" si="1959"/>
        <v>802</v>
      </c>
      <c r="E9028" t="str">
        <f t="shared" si="1963"/>
        <v>89301171</v>
      </c>
      <c r="F9028" t="str">
        <f>"6104160458"</f>
        <v>6104160458</v>
      </c>
      <c r="G9028" s="1">
        <v>44812</v>
      </c>
      <c r="H9028" t="str">
        <f>"82041"</f>
        <v>82041</v>
      </c>
      <c r="I9028">
        <v>1</v>
      </c>
      <c r="J9028">
        <v>1090</v>
      </c>
      <c r="K9028">
        <v>0</v>
      </c>
      <c r="L9028">
        <v>991.9</v>
      </c>
    </row>
    <row r="9029" spans="1:12" x14ac:dyDescent="0.25">
      <c r="A9029" t="str">
        <f t="shared" si="1962"/>
        <v>89301000</v>
      </c>
      <c r="B9029" t="str">
        <f t="shared" si="1957"/>
        <v>10510000</v>
      </c>
      <c r="C9029" t="str">
        <f t="shared" si="1958"/>
        <v>10510001</v>
      </c>
      <c r="D9029" t="str">
        <f t="shared" si="1959"/>
        <v>802</v>
      </c>
      <c r="E9029" t="str">
        <f t="shared" si="1963"/>
        <v>89301171</v>
      </c>
      <c r="F9029" t="str">
        <f>"6104160458"</f>
        <v>6104160458</v>
      </c>
      <c r="G9029" s="1">
        <v>44812</v>
      </c>
      <c r="H9029" t="str">
        <f>"82034"</f>
        <v>82034</v>
      </c>
      <c r="I9029">
        <v>1</v>
      </c>
      <c r="J9029">
        <v>348</v>
      </c>
      <c r="K9029">
        <v>0</v>
      </c>
      <c r="L9029">
        <v>316.68</v>
      </c>
    </row>
    <row r="9030" spans="1:12" x14ac:dyDescent="0.25">
      <c r="A9030" t="str">
        <f t="shared" si="1962"/>
        <v>89301000</v>
      </c>
      <c r="B9030" t="str">
        <f t="shared" si="1957"/>
        <v>10510000</v>
      </c>
      <c r="C9030" t="str">
        <f t="shared" si="1958"/>
        <v>10510001</v>
      </c>
      <c r="D9030" t="str">
        <f t="shared" si="1959"/>
        <v>802</v>
      </c>
      <c r="E9030" t="str">
        <f t="shared" si="1963"/>
        <v>89301171</v>
      </c>
      <c r="F9030" t="str">
        <f>"9905145712"</f>
        <v>9905145712</v>
      </c>
      <c r="G9030" s="1">
        <v>44817</v>
      </c>
      <c r="H9030" t="str">
        <f>"82041"</f>
        <v>82041</v>
      </c>
      <c r="I9030">
        <v>1</v>
      </c>
      <c r="J9030">
        <v>1090</v>
      </c>
      <c r="K9030">
        <v>0</v>
      </c>
      <c r="L9030">
        <v>991.9</v>
      </c>
    </row>
    <row r="9031" spans="1:12" x14ac:dyDescent="0.25">
      <c r="A9031" t="str">
        <f t="shared" si="1962"/>
        <v>89301000</v>
      </c>
      <c r="B9031" t="str">
        <f t="shared" si="1957"/>
        <v>10510000</v>
      </c>
      <c r="C9031" t="str">
        <f t="shared" si="1958"/>
        <v>10510001</v>
      </c>
      <c r="D9031" t="str">
        <f t="shared" si="1959"/>
        <v>802</v>
      </c>
      <c r="E9031" t="str">
        <f t="shared" si="1963"/>
        <v>89301171</v>
      </c>
      <c r="F9031" t="str">
        <f>"9905145712"</f>
        <v>9905145712</v>
      </c>
      <c r="G9031" s="1">
        <v>44817</v>
      </c>
      <c r="H9031" t="str">
        <f>"82041"</f>
        <v>82041</v>
      </c>
      <c r="I9031">
        <v>1</v>
      </c>
      <c r="J9031">
        <v>1090</v>
      </c>
      <c r="K9031">
        <v>0</v>
      </c>
      <c r="L9031">
        <v>991.9</v>
      </c>
    </row>
    <row r="9032" spans="1:12" x14ac:dyDescent="0.25">
      <c r="A9032" t="str">
        <f t="shared" si="1962"/>
        <v>89301000</v>
      </c>
      <c r="B9032" t="str">
        <f t="shared" si="1957"/>
        <v>10510000</v>
      </c>
      <c r="C9032" t="str">
        <f t="shared" si="1958"/>
        <v>10510001</v>
      </c>
      <c r="D9032" t="str">
        <f t="shared" si="1959"/>
        <v>802</v>
      </c>
      <c r="E9032" t="str">
        <f t="shared" si="1963"/>
        <v>89301171</v>
      </c>
      <c r="F9032" t="str">
        <f>"9905145712"</f>
        <v>9905145712</v>
      </c>
      <c r="G9032" s="1">
        <v>44817</v>
      </c>
      <c r="H9032" t="str">
        <f>"82034"</f>
        <v>82034</v>
      </c>
      <c r="I9032">
        <v>1</v>
      </c>
      <c r="J9032">
        <v>348</v>
      </c>
      <c r="K9032">
        <v>0</v>
      </c>
      <c r="L9032">
        <v>316.68</v>
      </c>
    </row>
    <row r="9033" spans="1:12" x14ac:dyDescent="0.25">
      <c r="A9033" t="str">
        <f t="shared" si="1962"/>
        <v>89301000</v>
      </c>
      <c r="B9033" t="str">
        <f t="shared" si="1957"/>
        <v>10510000</v>
      </c>
      <c r="C9033" t="str">
        <f t="shared" si="1958"/>
        <v>10510001</v>
      </c>
      <c r="D9033" t="str">
        <f t="shared" si="1959"/>
        <v>802</v>
      </c>
      <c r="E9033" t="str">
        <f t="shared" si="1963"/>
        <v>89301171</v>
      </c>
      <c r="F9033" t="str">
        <f>"9255135791"</f>
        <v>9255135791</v>
      </c>
      <c r="G9033" s="1">
        <v>44831</v>
      </c>
      <c r="H9033" t="str">
        <f>"82041"</f>
        <v>82041</v>
      </c>
      <c r="I9033">
        <v>1</v>
      </c>
      <c r="J9033">
        <v>1090</v>
      </c>
      <c r="K9033">
        <v>0</v>
      </c>
      <c r="L9033">
        <v>991.9</v>
      </c>
    </row>
    <row r="9034" spans="1:12" x14ac:dyDescent="0.25">
      <c r="A9034" t="str">
        <f t="shared" si="1962"/>
        <v>89301000</v>
      </c>
      <c r="B9034" t="str">
        <f t="shared" si="1957"/>
        <v>10510000</v>
      </c>
      <c r="C9034" t="str">
        <f t="shared" si="1958"/>
        <v>10510001</v>
      </c>
      <c r="D9034" t="str">
        <f t="shared" si="1959"/>
        <v>802</v>
      </c>
      <c r="E9034" t="str">
        <f t="shared" si="1963"/>
        <v>89301171</v>
      </c>
      <c r="F9034" t="str">
        <f>"9255135791"</f>
        <v>9255135791</v>
      </c>
      <c r="G9034" s="1">
        <v>44831</v>
      </c>
      <c r="H9034" t="str">
        <f>"82041"</f>
        <v>82041</v>
      </c>
      <c r="I9034">
        <v>1</v>
      </c>
      <c r="J9034">
        <v>1090</v>
      </c>
      <c r="K9034">
        <v>0</v>
      </c>
      <c r="L9034">
        <v>991.9</v>
      </c>
    </row>
    <row r="9035" spans="1:12" x14ac:dyDescent="0.25">
      <c r="A9035" t="str">
        <f t="shared" si="1962"/>
        <v>89301000</v>
      </c>
      <c r="B9035" t="str">
        <f t="shared" si="1957"/>
        <v>10510000</v>
      </c>
      <c r="C9035" t="str">
        <f t="shared" si="1958"/>
        <v>10510001</v>
      </c>
      <c r="D9035" t="str">
        <f t="shared" si="1959"/>
        <v>802</v>
      </c>
      <c r="E9035" t="str">
        <f t="shared" si="1963"/>
        <v>89301171</v>
      </c>
      <c r="F9035" t="str">
        <f>"9255135791"</f>
        <v>9255135791</v>
      </c>
      <c r="G9035" s="1">
        <v>44831</v>
      </c>
      <c r="H9035" t="str">
        <f>"82034"</f>
        <v>82034</v>
      </c>
      <c r="I9035">
        <v>1</v>
      </c>
      <c r="J9035">
        <v>348</v>
      </c>
      <c r="K9035">
        <v>0</v>
      </c>
      <c r="L9035">
        <v>316.68</v>
      </c>
    </row>
    <row r="9036" spans="1:12" x14ac:dyDescent="0.25">
      <c r="A9036" t="str">
        <f t="shared" si="1962"/>
        <v>89301000</v>
      </c>
      <c r="B9036" t="str">
        <f t="shared" si="1957"/>
        <v>10510000</v>
      </c>
      <c r="C9036" t="str">
        <f t="shared" si="1958"/>
        <v>10510001</v>
      </c>
      <c r="D9036" t="str">
        <f t="shared" si="1959"/>
        <v>802</v>
      </c>
      <c r="E9036" t="str">
        <f t="shared" si="1963"/>
        <v>89301171</v>
      </c>
      <c r="F9036" t="str">
        <f>"8111105772"</f>
        <v>8111105772</v>
      </c>
      <c r="G9036" s="1">
        <v>44831</v>
      </c>
      <c r="H9036" t="str">
        <f>"82034"</f>
        <v>82034</v>
      </c>
      <c r="I9036">
        <v>1</v>
      </c>
      <c r="J9036">
        <v>348</v>
      </c>
      <c r="K9036">
        <v>0</v>
      </c>
      <c r="L9036">
        <v>316.68</v>
      </c>
    </row>
    <row r="9037" spans="1:12" x14ac:dyDescent="0.25">
      <c r="A9037" t="str">
        <f t="shared" si="1962"/>
        <v>89301000</v>
      </c>
      <c r="B9037" t="str">
        <f t="shared" si="1957"/>
        <v>10510000</v>
      </c>
      <c r="C9037" t="str">
        <f t="shared" si="1958"/>
        <v>10510001</v>
      </c>
      <c r="D9037" t="str">
        <f t="shared" si="1959"/>
        <v>802</v>
      </c>
      <c r="E9037" t="str">
        <f t="shared" si="1963"/>
        <v>89301171</v>
      </c>
      <c r="F9037" t="str">
        <f>"8111105772"</f>
        <v>8111105772</v>
      </c>
      <c r="G9037" s="1">
        <v>44831</v>
      </c>
      <c r="H9037" t="str">
        <f>"82041"</f>
        <v>82041</v>
      </c>
      <c r="I9037">
        <v>1</v>
      </c>
      <c r="J9037">
        <v>1090</v>
      </c>
      <c r="K9037">
        <v>0</v>
      </c>
      <c r="L9037">
        <v>991.9</v>
      </c>
    </row>
    <row r="9038" spans="1:12" x14ac:dyDescent="0.25">
      <c r="A9038" t="str">
        <f t="shared" si="1962"/>
        <v>89301000</v>
      </c>
      <c r="B9038" t="str">
        <f t="shared" si="1957"/>
        <v>10510000</v>
      </c>
      <c r="C9038" t="str">
        <f t="shared" si="1958"/>
        <v>10510001</v>
      </c>
      <c r="D9038" t="str">
        <f t="shared" si="1959"/>
        <v>802</v>
      </c>
      <c r="E9038" t="str">
        <f t="shared" si="1963"/>
        <v>89301171</v>
      </c>
      <c r="F9038" t="str">
        <f>"8111105772"</f>
        <v>8111105772</v>
      </c>
      <c r="G9038" s="1">
        <v>44831</v>
      </c>
      <c r="H9038" t="str">
        <f>"82041"</f>
        <v>82041</v>
      </c>
      <c r="I9038">
        <v>1</v>
      </c>
      <c r="J9038">
        <v>1090</v>
      </c>
      <c r="K9038">
        <v>0</v>
      </c>
      <c r="L9038">
        <v>991.9</v>
      </c>
    </row>
    <row r="9039" spans="1:12" x14ac:dyDescent="0.25">
      <c r="A9039" t="str">
        <f t="shared" si="1962"/>
        <v>89301000</v>
      </c>
      <c r="B9039" t="str">
        <f t="shared" si="1957"/>
        <v>10510000</v>
      </c>
      <c r="C9039" t="str">
        <f t="shared" si="1958"/>
        <v>10510001</v>
      </c>
      <c r="D9039" t="str">
        <f t="shared" si="1959"/>
        <v>802</v>
      </c>
      <c r="E9039" t="str">
        <f t="shared" si="1963"/>
        <v>89301171</v>
      </c>
      <c r="F9039" t="str">
        <f>"7860073815"</f>
        <v>7860073815</v>
      </c>
      <c r="G9039" s="1">
        <v>44831</v>
      </c>
      <c r="H9039" t="str">
        <f>"82034"</f>
        <v>82034</v>
      </c>
      <c r="I9039">
        <v>1</v>
      </c>
      <c r="J9039">
        <v>348</v>
      </c>
      <c r="K9039">
        <v>0</v>
      </c>
      <c r="L9039">
        <v>316.68</v>
      </c>
    </row>
    <row r="9040" spans="1:12" x14ac:dyDescent="0.25">
      <c r="A9040" t="str">
        <f t="shared" si="1962"/>
        <v>89301000</v>
      </c>
      <c r="B9040" t="str">
        <f t="shared" si="1957"/>
        <v>10510000</v>
      </c>
      <c r="C9040" t="str">
        <f t="shared" si="1958"/>
        <v>10510001</v>
      </c>
      <c r="D9040" t="str">
        <f t="shared" si="1959"/>
        <v>802</v>
      </c>
      <c r="E9040" t="str">
        <f t="shared" si="1963"/>
        <v>89301171</v>
      </c>
      <c r="F9040" t="str">
        <f>"7860073815"</f>
        <v>7860073815</v>
      </c>
      <c r="G9040" s="1">
        <v>44831</v>
      </c>
      <c r="H9040" t="str">
        <f>"82041"</f>
        <v>82041</v>
      </c>
      <c r="I9040">
        <v>1</v>
      </c>
      <c r="J9040">
        <v>1090</v>
      </c>
      <c r="K9040">
        <v>0</v>
      </c>
      <c r="L9040">
        <v>991.9</v>
      </c>
    </row>
    <row r="9041" spans="1:12" x14ac:dyDescent="0.25">
      <c r="A9041" t="str">
        <f t="shared" si="1962"/>
        <v>89301000</v>
      </c>
      <c r="B9041" t="str">
        <f t="shared" si="1957"/>
        <v>10510000</v>
      </c>
      <c r="C9041" t="str">
        <f t="shared" si="1958"/>
        <v>10510001</v>
      </c>
      <c r="D9041" t="str">
        <f t="shared" si="1959"/>
        <v>802</v>
      </c>
      <c r="E9041" t="str">
        <f t="shared" si="1963"/>
        <v>89301171</v>
      </c>
      <c r="F9041" t="str">
        <f>"7860073815"</f>
        <v>7860073815</v>
      </c>
      <c r="G9041" s="1">
        <v>44831</v>
      </c>
      <c r="H9041" t="str">
        <f>"82041"</f>
        <v>82041</v>
      </c>
      <c r="I9041">
        <v>1</v>
      </c>
      <c r="J9041">
        <v>1090</v>
      </c>
      <c r="K9041">
        <v>0</v>
      </c>
      <c r="L9041">
        <v>991.9</v>
      </c>
    </row>
    <row r="9042" spans="1:12" x14ac:dyDescent="0.25">
      <c r="A9042" t="str">
        <f t="shared" si="1962"/>
        <v>89301000</v>
      </c>
      <c r="B9042" t="str">
        <f t="shared" si="1957"/>
        <v>10510000</v>
      </c>
      <c r="C9042" t="str">
        <f t="shared" si="1958"/>
        <v>10510001</v>
      </c>
      <c r="D9042" t="str">
        <f t="shared" si="1959"/>
        <v>802</v>
      </c>
      <c r="E9042" t="str">
        <f t="shared" si="1963"/>
        <v>89301171</v>
      </c>
      <c r="F9042" t="str">
        <f>"8607265788"</f>
        <v>8607265788</v>
      </c>
      <c r="G9042" s="1">
        <v>44834</v>
      </c>
      <c r="H9042" t="str">
        <f>"82041"</f>
        <v>82041</v>
      </c>
      <c r="I9042">
        <v>1</v>
      </c>
      <c r="J9042">
        <v>1090</v>
      </c>
      <c r="K9042">
        <v>0</v>
      </c>
      <c r="L9042">
        <v>991.9</v>
      </c>
    </row>
    <row r="9043" spans="1:12" x14ac:dyDescent="0.25">
      <c r="A9043" t="str">
        <f t="shared" si="1962"/>
        <v>89301000</v>
      </c>
      <c r="B9043" t="str">
        <f t="shared" si="1957"/>
        <v>10510000</v>
      </c>
      <c r="C9043" t="str">
        <f t="shared" si="1958"/>
        <v>10510001</v>
      </c>
      <c r="D9043" t="str">
        <f t="shared" si="1959"/>
        <v>802</v>
      </c>
      <c r="E9043" t="str">
        <f t="shared" si="1963"/>
        <v>89301171</v>
      </c>
      <c r="F9043" t="str">
        <f>"8607265788"</f>
        <v>8607265788</v>
      </c>
      <c r="G9043" s="1">
        <v>44834</v>
      </c>
      <c r="H9043" t="str">
        <f>"82041"</f>
        <v>82041</v>
      </c>
      <c r="I9043">
        <v>1</v>
      </c>
      <c r="J9043">
        <v>1090</v>
      </c>
      <c r="K9043">
        <v>0</v>
      </c>
      <c r="L9043">
        <v>991.9</v>
      </c>
    </row>
    <row r="9044" spans="1:12" x14ac:dyDescent="0.25">
      <c r="A9044" t="str">
        <f t="shared" si="1962"/>
        <v>89301000</v>
      </c>
      <c r="B9044" t="str">
        <f t="shared" si="1957"/>
        <v>10510000</v>
      </c>
      <c r="C9044" t="str">
        <f t="shared" si="1958"/>
        <v>10510001</v>
      </c>
      <c r="D9044" t="str">
        <f t="shared" si="1959"/>
        <v>802</v>
      </c>
      <c r="E9044" t="str">
        <f t="shared" si="1963"/>
        <v>89301171</v>
      </c>
      <c r="F9044" t="str">
        <f>"8607265788"</f>
        <v>8607265788</v>
      </c>
      <c r="G9044" s="1">
        <v>44834</v>
      </c>
      <c r="H9044" t="str">
        <f>"82034"</f>
        <v>82034</v>
      </c>
      <c r="I9044">
        <v>1</v>
      </c>
      <c r="J9044">
        <v>348</v>
      </c>
      <c r="K9044">
        <v>0</v>
      </c>
      <c r="L9044">
        <v>316.68</v>
      </c>
    </row>
    <row r="9045" spans="1:12" x14ac:dyDescent="0.25">
      <c r="A9045" t="str">
        <f t="shared" si="1962"/>
        <v>89301000</v>
      </c>
      <c r="B9045" t="str">
        <f>"85600000"</f>
        <v>85600000</v>
      </c>
      <c r="C9045" t="str">
        <f>"85600421"</f>
        <v>85600421</v>
      </c>
      <c r="D9045" t="str">
        <f>"809"</f>
        <v>809</v>
      </c>
      <c r="E9045" t="str">
        <f>"89301045"</f>
        <v>89301045</v>
      </c>
      <c r="F9045" t="str">
        <f>"506216080"</f>
        <v>506216080</v>
      </c>
      <c r="G9045" s="1">
        <v>44813</v>
      </c>
      <c r="H9045" t="str">
        <f>"89517"</f>
        <v>89517</v>
      </c>
      <c r="I9045">
        <v>1</v>
      </c>
      <c r="J9045">
        <v>970</v>
      </c>
      <c r="K9045">
        <v>0</v>
      </c>
      <c r="L9045">
        <v>1358</v>
      </c>
    </row>
    <row r="9046" spans="1:12" x14ac:dyDescent="0.25">
      <c r="A9046" t="str">
        <f t="shared" si="1962"/>
        <v>89301000</v>
      </c>
      <c r="B9046" t="str">
        <f>"85600000"</f>
        <v>85600000</v>
      </c>
      <c r="C9046" t="str">
        <f>"85600421"</f>
        <v>85600421</v>
      </c>
      <c r="D9046" t="str">
        <f>"809"</f>
        <v>809</v>
      </c>
      <c r="E9046" t="str">
        <f>"89301045"</f>
        <v>89301045</v>
      </c>
      <c r="F9046" t="str">
        <f>"506216080"</f>
        <v>506216080</v>
      </c>
      <c r="G9046" s="1">
        <v>44813</v>
      </c>
      <c r="H9046" t="str">
        <f>"89514"</f>
        <v>89514</v>
      </c>
      <c r="I9046">
        <v>1</v>
      </c>
      <c r="J9046">
        <v>371</v>
      </c>
      <c r="K9046">
        <v>0</v>
      </c>
      <c r="L9046">
        <v>519.4</v>
      </c>
    </row>
    <row r="9047" spans="1:12" x14ac:dyDescent="0.25">
      <c r="A9047" t="str">
        <f t="shared" si="1962"/>
        <v>89301000</v>
      </c>
      <c r="B9047" t="str">
        <f>"85600000"</f>
        <v>85600000</v>
      </c>
      <c r="C9047" t="str">
        <f>"85600421"</f>
        <v>85600421</v>
      </c>
      <c r="D9047" t="str">
        <f>"809"</f>
        <v>809</v>
      </c>
      <c r="E9047" t="str">
        <f>"89301045"</f>
        <v>89301045</v>
      </c>
      <c r="F9047" t="str">
        <f>"506216080"</f>
        <v>506216080</v>
      </c>
      <c r="G9047" s="1">
        <v>44813</v>
      </c>
      <c r="H9047" t="str">
        <f>"89513"</f>
        <v>89513</v>
      </c>
      <c r="I9047">
        <v>1</v>
      </c>
      <c r="J9047">
        <v>371</v>
      </c>
      <c r="K9047">
        <v>0</v>
      </c>
      <c r="L9047">
        <v>519.4</v>
      </c>
    </row>
    <row r="9048" spans="1:12" x14ac:dyDescent="0.25">
      <c r="A9048" t="str">
        <f t="shared" si="1962"/>
        <v>89301000</v>
      </c>
      <c r="B9048" t="str">
        <f t="shared" ref="B9048:B9111" si="1964">"06539000"</f>
        <v>06539000</v>
      </c>
      <c r="C9048" t="str">
        <f>"06539001"</f>
        <v>06539001</v>
      </c>
      <c r="D9048" t="str">
        <f>"801"</f>
        <v>801</v>
      </c>
      <c r="E9048" t="str">
        <f t="shared" ref="E9048:E9089" si="1965">"89301172"</f>
        <v>89301172</v>
      </c>
      <c r="F9048" t="str">
        <f t="shared" ref="F9048:F9089" si="1966">"6655270303"</f>
        <v>6655270303</v>
      </c>
      <c r="G9048" s="1">
        <v>44778</v>
      </c>
      <c r="H9048" t="str">
        <f>"81329"</f>
        <v>81329</v>
      </c>
      <c r="I9048">
        <v>1</v>
      </c>
      <c r="J9048">
        <v>16</v>
      </c>
      <c r="K9048">
        <v>0</v>
      </c>
      <c r="L9048">
        <v>12.48</v>
      </c>
    </row>
    <row r="9049" spans="1:12" x14ac:dyDescent="0.25">
      <c r="A9049" t="str">
        <f t="shared" si="1962"/>
        <v>89301000</v>
      </c>
      <c r="B9049" t="str">
        <f t="shared" si="1964"/>
        <v>06539000</v>
      </c>
      <c r="C9049" t="str">
        <f>"06539001"</f>
        <v>06539001</v>
      </c>
      <c r="D9049" t="str">
        <f>"801"</f>
        <v>801</v>
      </c>
      <c r="E9049" t="str">
        <f t="shared" si="1965"/>
        <v>89301172</v>
      </c>
      <c r="F9049" t="str">
        <f t="shared" si="1966"/>
        <v>6655270303</v>
      </c>
      <c r="G9049" s="1">
        <v>44778</v>
      </c>
      <c r="H9049" t="str">
        <f>"81331"</f>
        <v>81331</v>
      </c>
      <c r="I9049">
        <v>1</v>
      </c>
      <c r="J9049">
        <v>193</v>
      </c>
      <c r="K9049">
        <v>0</v>
      </c>
      <c r="L9049">
        <v>150.54</v>
      </c>
    </row>
    <row r="9050" spans="1:12" x14ac:dyDescent="0.25">
      <c r="A9050" t="str">
        <f t="shared" si="1962"/>
        <v>89301000</v>
      </c>
      <c r="B9050" t="str">
        <f t="shared" si="1964"/>
        <v>06539000</v>
      </c>
      <c r="C9050" t="str">
        <f t="shared" ref="C9050:C9057" si="1967">"06539002"</f>
        <v>06539002</v>
      </c>
      <c r="D9050" t="str">
        <f t="shared" ref="D9050:D9057" si="1968">"802"</f>
        <v>802</v>
      </c>
      <c r="E9050" t="str">
        <f t="shared" si="1965"/>
        <v>89301172</v>
      </c>
      <c r="F9050" t="str">
        <f t="shared" si="1966"/>
        <v>6655270303</v>
      </c>
      <c r="G9050" s="1">
        <v>44778</v>
      </c>
      <c r="H9050" t="str">
        <f t="shared" ref="H9050:H9057" si="1969">"82097"</f>
        <v>82097</v>
      </c>
      <c r="I9050">
        <v>1</v>
      </c>
      <c r="J9050">
        <v>380</v>
      </c>
      <c r="K9050">
        <v>0</v>
      </c>
      <c r="L9050">
        <v>345.8</v>
      </c>
    </row>
    <row r="9051" spans="1:12" x14ac:dyDescent="0.25">
      <c r="A9051" t="str">
        <f t="shared" si="1962"/>
        <v>89301000</v>
      </c>
      <c r="B9051" t="str">
        <f t="shared" si="1964"/>
        <v>06539000</v>
      </c>
      <c r="C9051" t="str">
        <f t="shared" si="1967"/>
        <v>06539002</v>
      </c>
      <c r="D9051" t="str">
        <f t="shared" si="1968"/>
        <v>802</v>
      </c>
      <c r="E9051" t="str">
        <f t="shared" si="1965"/>
        <v>89301172</v>
      </c>
      <c r="F9051" t="str">
        <f t="shared" si="1966"/>
        <v>6655270303</v>
      </c>
      <c r="G9051" s="1">
        <v>44778</v>
      </c>
      <c r="H9051" t="str">
        <f t="shared" si="1969"/>
        <v>82097</v>
      </c>
      <c r="I9051">
        <v>1</v>
      </c>
      <c r="J9051">
        <v>380</v>
      </c>
      <c r="K9051">
        <v>0</v>
      </c>
      <c r="L9051">
        <v>345.8</v>
      </c>
    </row>
    <row r="9052" spans="1:12" x14ac:dyDescent="0.25">
      <c r="A9052" t="str">
        <f t="shared" si="1962"/>
        <v>89301000</v>
      </c>
      <c r="B9052" t="str">
        <f t="shared" si="1964"/>
        <v>06539000</v>
      </c>
      <c r="C9052" t="str">
        <f t="shared" si="1967"/>
        <v>06539002</v>
      </c>
      <c r="D9052" t="str">
        <f t="shared" si="1968"/>
        <v>802</v>
      </c>
      <c r="E9052" t="str">
        <f t="shared" si="1965"/>
        <v>89301172</v>
      </c>
      <c r="F9052" t="str">
        <f t="shared" si="1966"/>
        <v>6655270303</v>
      </c>
      <c r="G9052" s="1">
        <v>44778</v>
      </c>
      <c r="H9052" t="str">
        <f t="shared" si="1969"/>
        <v>82097</v>
      </c>
      <c r="I9052">
        <v>1</v>
      </c>
      <c r="J9052">
        <v>380</v>
      </c>
      <c r="K9052">
        <v>0</v>
      </c>
      <c r="L9052">
        <v>345.8</v>
      </c>
    </row>
    <row r="9053" spans="1:12" x14ac:dyDescent="0.25">
      <c r="A9053" t="str">
        <f t="shared" si="1962"/>
        <v>89301000</v>
      </c>
      <c r="B9053" t="str">
        <f t="shared" si="1964"/>
        <v>06539000</v>
      </c>
      <c r="C9053" t="str">
        <f t="shared" si="1967"/>
        <v>06539002</v>
      </c>
      <c r="D9053" t="str">
        <f t="shared" si="1968"/>
        <v>802</v>
      </c>
      <c r="E9053" t="str">
        <f t="shared" si="1965"/>
        <v>89301172</v>
      </c>
      <c r="F9053" t="str">
        <f t="shared" si="1966"/>
        <v>6655270303</v>
      </c>
      <c r="G9053" s="1">
        <v>44778</v>
      </c>
      <c r="H9053" t="str">
        <f t="shared" si="1969"/>
        <v>82097</v>
      </c>
      <c r="I9053">
        <v>1</v>
      </c>
      <c r="J9053">
        <v>380</v>
      </c>
      <c r="K9053">
        <v>0</v>
      </c>
      <c r="L9053">
        <v>345.8</v>
      </c>
    </row>
    <row r="9054" spans="1:12" x14ac:dyDescent="0.25">
      <c r="A9054" t="str">
        <f t="shared" si="1962"/>
        <v>89301000</v>
      </c>
      <c r="B9054" t="str">
        <f t="shared" si="1964"/>
        <v>06539000</v>
      </c>
      <c r="C9054" t="str">
        <f t="shared" si="1967"/>
        <v>06539002</v>
      </c>
      <c r="D9054" t="str">
        <f t="shared" si="1968"/>
        <v>802</v>
      </c>
      <c r="E9054" t="str">
        <f t="shared" si="1965"/>
        <v>89301172</v>
      </c>
      <c r="F9054" t="str">
        <f t="shared" si="1966"/>
        <v>6655270303</v>
      </c>
      <c r="G9054" s="1">
        <v>44778</v>
      </c>
      <c r="H9054" t="str">
        <f t="shared" si="1969"/>
        <v>82097</v>
      </c>
      <c r="I9054">
        <v>1</v>
      </c>
      <c r="J9054">
        <v>380</v>
      </c>
      <c r="K9054">
        <v>0</v>
      </c>
      <c r="L9054">
        <v>345.8</v>
      </c>
    </row>
    <row r="9055" spans="1:12" x14ac:dyDescent="0.25">
      <c r="A9055" t="str">
        <f t="shared" si="1962"/>
        <v>89301000</v>
      </c>
      <c r="B9055" t="str">
        <f t="shared" si="1964"/>
        <v>06539000</v>
      </c>
      <c r="C9055" t="str">
        <f t="shared" si="1967"/>
        <v>06539002</v>
      </c>
      <c r="D9055" t="str">
        <f t="shared" si="1968"/>
        <v>802</v>
      </c>
      <c r="E9055" t="str">
        <f t="shared" si="1965"/>
        <v>89301172</v>
      </c>
      <c r="F9055" t="str">
        <f t="shared" si="1966"/>
        <v>6655270303</v>
      </c>
      <c r="G9055" s="1">
        <v>44778</v>
      </c>
      <c r="H9055" t="str">
        <f t="shared" si="1969"/>
        <v>82097</v>
      </c>
      <c r="I9055">
        <v>1</v>
      </c>
      <c r="J9055">
        <v>380</v>
      </c>
      <c r="K9055">
        <v>0</v>
      </c>
      <c r="L9055">
        <v>345.8</v>
      </c>
    </row>
    <row r="9056" spans="1:12" x14ac:dyDescent="0.25">
      <c r="A9056" t="str">
        <f t="shared" si="1962"/>
        <v>89301000</v>
      </c>
      <c r="B9056" t="str">
        <f t="shared" si="1964"/>
        <v>06539000</v>
      </c>
      <c r="C9056" t="str">
        <f t="shared" si="1967"/>
        <v>06539002</v>
      </c>
      <c r="D9056" t="str">
        <f t="shared" si="1968"/>
        <v>802</v>
      </c>
      <c r="E9056" t="str">
        <f t="shared" si="1965"/>
        <v>89301172</v>
      </c>
      <c r="F9056" t="str">
        <f t="shared" si="1966"/>
        <v>6655270303</v>
      </c>
      <c r="G9056" s="1">
        <v>44778</v>
      </c>
      <c r="H9056" t="str">
        <f t="shared" si="1969"/>
        <v>82097</v>
      </c>
      <c r="I9056">
        <v>1</v>
      </c>
      <c r="J9056">
        <v>380</v>
      </c>
      <c r="K9056">
        <v>0</v>
      </c>
      <c r="L9056">
        <v>345.8</v>
      </c>
    </row>
    <row r="9057" spans="1:12" x14ac:dyDescent="0.25">
      <c r="A9057" t="str">
        <f t="shared" si="1962"/>
        <v>89301000</v>
      </c>
      <c r="B9057" t="str">
        <f t="shared" si="1964"/>
        <v>06539000</v>
      </c>
      <c r="C9057" t="str">
        <f t="shared" si="1967"/>
        <v>06539002</v>
      </c>
      <c r="D9057" t="str">
        <f t="shared" si="1968"/>
        <v>802</v>
      </c>
      <c r="E9057" t="str">
        <f t="shared" si="1965"/>
        <v>89301172</v>
      </c>
      <c r="F9057" t="str">
        <f t="shared" si="1966"/>
        <v>6655270303</v>
      </c>
      <c r="G9057" s="1">
        <v>44778</v>
      </c>
      <c r="H9057" t="str">
        <f t="shared" si="1969"/>
        <v>82097</v>
      </c>
      <c r="I9057">
        <v>1</v>
      </c>
      <c r="J9057">
        <v>380</v>
      </c>
      <c r="K9057">
        <v>0</v>
      </c>
      <c r="L9057">
        <v>345.8</v>
      </c>
    </row>
    <row r="9058" spans="1:12" x14ac:dyDescent="0.25">
      <c r="A9058" t="str">
        <f t="shared" si="1962"/>
        <v>89301000</v>
      </c>
      <c r="B9058" t="str">
        <f t="shared" si="1964"/>
        <v>06539000</v>
      </c>
      <c r="C9058" t="str">
        <f t="shared" ref="C9058:C9089" si="1970">"06539003"</f>
        <v>06539003</v>
      </c>
      <c r="D9058" t="str">
        <f t="shared" ref="D9058:D9089" si="1971">"813"</f>
        <v>813</v>
      </c>
      <c r="E9058" t="str">
        <f t="shared" si="1965"/>
        <v>89301172</v>
      </c>
      <c r="F9058" t="str">
        <f t="shared" si="1966"/>
        <v>6655270303</v>
      </c>
      <c r="G9058" s="1">
        <v>44781</v>
      </c>
      <c r="H9058" t="str">
        <f t="shared" ref="H9058:H9067" si="1972">"91413"</f>
        <v>91413</v>
      </c>
      <c r="I9058">
        <v>1</v>
      </c>
      <c r="J9058">
        <v>853</v>
      </c>
      <c r="K9058">
        <v>0</v>
      </c>
      <c r="L9058">
        <v>665.34</v>
      </c>
    </row>
    <row r="9059" spans="1:12" x14ac:dyDescent="0.25">
      <c r="A9059" t="str">
        <f t="shared" si="1962"/>
        <v>89301000</v>
      </c>
      <c r="B9059" t="str">
        <f t="shared" si="1964"/>
        <v>06539000</v>
      </c>
      <c r="C9059" t="str">
        <f t="shared" si="1970"/>
        <v>06539003</v>
      </c>
      <c r="D9059" t="str">
        <f t="shared" si="1971"/>
        <v>813</v>
      </c>
      <c r="E9059" t="str">
        <f t="shared" si="1965"/>
        <v>89301172</v>
      </c>
      <c r="F9059" t="str">
        <f t="shared" si="1966"/>
        <v>6655270303</v>
      </c>
      <c r="G9059" s="1">
        <v>44781</v>
      </c>
      <c r="H9059" t="str">
        <f t="shared" si="1972"/>
        <v>91413</v>
      </c>
      <c r="I9059">
        <v>1</v>
      </c>
      <c r="J9059">
        <v>853</v>
      </c>
      <c r="K9059">
        <v>0</v>
      </c>
      <c r="L9059">
        <v>665.34</v>
      </c>
    </row>
    <row r="9060" spans="1:12" x14ac:dyDescent="0.25">
      <c r="A9060" t="str">
        <f t="shared" si="1962"/>
        <v>89301000</v>
      </c>
      <c r="B9060" t="str">
        <f t="shared" si="1964"/>
        <v>06539000</v>
      </c>
      <c r="C9060" t="str">
        <f t="shared" si="1970"/>
        <v>06539003</v>
      </c>
      <c r="D9060" t="str">
        <f t="shared" si="1971"/>
        <v>813</v>
      </c>
      <c r="E9060" t="str">
        <f t="shared" si="1965"/>
        <v>89301172</v>
      </c>
      <c r="F9060" t="str">
        <f t="shared" si="1966"/>
        <v>6655270303</v>
      </c>
      <c r="G9060" s="1">
        <v>44785</v>
      </c>
      <c r="H9060" t="str">
        <f t="shared" si="1972"/>
        <v>91413</v>
      </c>
      <c r="I9060">
        <v>1</v>
      </c>
      <c r="J9060">
        <v>853</v>
      </c>
      <c r="K9060">
        <v>0</v>
      </c>
      <c r="L9060">
        <v>665.34</v>
      </c>
    </row>
    <row r="9061" spans="1:12" x14ac:dyDescent="0.25">
      <c r="A9061" t="str">
        <f t="shared" si="1962"/>
        <v>89301000</v>
      </c>
      <c r="B9061" t="str">
        <f t="shared" si="1964"/>
        <v>06539000</v>
      </c>
      <c r="C9061" t="str">
        <f t="shared" si="1970"/>
        <v>06539003</v>
      </c>
      <c r="D9061" t="str">
        <f t="shared" si="1971"/>
        <v>813</v>
      </c>
      <c r="E9061" t="str">
        <f t="shared" si="1965"/>
        <v>89301172</v>
      </c>
      <c r="F9061" t="str">
        <f t="shared" si="1966"/>
        <v>6655270303</v>
      </c>
      <c r="G9061" s="1">
        <v>44785</v>
      </c>
      <c r="H9061" t="str">
        <f t="shared" si="1972"/>
        <v>91413</v>
      </c>
      <c r="I9061">
        <v>1</v>
      </c>
      <c r="J9061">
        <v>853</v>
      </c>
      <c r="K9061">
        <v>0</v>
      </c>
      <c r="L9061">
        <v>665.34</v>
      </c>
    </row>
    <row r="9062" spans="1:12" x14ac:dyDescent="0.25">
      <c r="A9062" t="str">
        <f t="shared" si="1962"/>
        <v>89301000</v>
      </c>
      <c r="B9062" t="str">
        <f t="shared" si="1964"/>
        <v>06539000</v>
      </c>
      <c r="C9062" t="str">
        <f t="shared" si="1970"/>
        <v>06539003</v>
      </c>
      <c r="D9062" t="str">
        <f t="shared" si="1971"/>
        <v>813</v>
      </c>
      <c r="E9062" t="str">
        <f t="shared" si="1965"/>
        <v>89301172</v>
      </c>
      <c r="F9062" t="str">
        <f t="shared" si="1966"/>
        <v>6655270303</v>
      </c>
      <c r="G9062" s="1">
        <v>44783</v>
      </c>
      <c r="H9062" t="str">
        <f t="shared" si="1972"/>
        <v>91413</v>
      </c>
      <c r="I9062">
        <v>1</v>
      </c>
      <c r="J9062">
        <v>853</v>
      </c>
      <c r="K9062">
        <v>0</v>
      </c>
      <c r="L9062">
        <v>665.34</v>
      </c>
    </row>
    <row r="9063" spans="1:12" x14ac:dyDescent="0.25">
      <c r="A9063" t="str">
        <f t="shared" si="1962"/>
        <v>89301000</v>
      </c>
      <c r="B9063" t="str">
        <f t="shared" si="1964"/>
        <v>06539000</v>
      </c>
      <c r="C9063" t="str">
        <f t="shared" si="1970"/>
        <v>06539003</v>
      </c>
      <c r="D9063" t="str">
        <f t="shared" si="1971"/>
        <v>813</v>
      </c>
      <c r="E9063" t="str">
        <f t="shared" si="1965"/>
        <v>89301172</v>
      </c>
      <c r="F9063" t="str">
        <f t="shared" si="1966"/>
        <v>6655270303</v>
      </c>
      <c r="G9063" s="1">
        <v>44783</v>
      </c>
      <c r="H9063" t="str">
        <f t="shared" si="1972"/>
        <v>91413</v>
      </c>
      <c r="I9063">
        <v>1</v>
      </c>
      <c r="J9063">
        <v>853</v>
      </c>
      <c r="K9063">
        <v>0</v>
      </c>
      <c r="L9063">
        <v>665.34</v>
      </c>
    </row>
    <row r="9064" spans="1:12" x14ac:dyDescent="0.25">
      <c r="A9064" t="str">
        <f t="shared" si="1962"/>
        <v>89301000</v>
      </c>
      <c r="B9064" t="str">
        <f t="shared" si="1964"/>
        <v>06539000</v>
      </c>
      <c r="C9064" t="str">
        <f t="shared" si="1970"/>
        <v>06539003</v>
      </c>
      <c r="D9064" t="str">
        <f t="shared" si="1971"/>
        <v>813</v>
      </c>
      <c r="E9064" t="str">
        <f t="shared" si="1965"/>
        <v>89301172</v>
      </c>
      <c r="F9064" t="str">
        <f t="shared" si="1966"/>
        <v>6655270303</v>
      </c>
      <c r="G9064" s="1">
        <v>44784</v>
      </c>
      <c r="H9064" t="str">
        <f t="shared" si="1972"/>
        <v>91413</v>
      </c>
      <c r="I9064">
        <v>1</v>
      </c>
      <c r="J9064">
        <v>853</v>
      </c>
      <c r="K9064">
        <v>0</v>
      </c>
      <c r="L9064">
        <v>665.34</v>
      </c>
    </row>
    <row r="9065" spans="1:12" x14ac:dyDescent="0.25">
      <c r="A9065" t="str">
        <f t="shared" si="1962"/>
        <v>89301000</v>
      </c>
      <c r="B9065" t="str">
        <f t="shared" si="1964"/>
        <v>06539000</v>
      </c>
      <c r="C9065" t="str">
        <f t="shared" si="1970"/>
        <v>06539003</v>
      </c>
      <c r="D9065" t="str">
        <f t="shared" si="1971"/>
        <v>813</v>
      </c>
      <c r="E9065" t="str">
        <f t="shared" si="1965"/>
        <v>89301172</v>
      </c>
      <c r="F9065" t="str">
        <f t="shared" si="1966"/>
        <v>6655270303</v>
      </c>
      <c r="G9065" s="1">
        <v>44784</v>
      </c>
      <c r="H9065" t="str">
        <f t="shared" si="1972"/>
        <v>91413</v>
      </c>
      <c r="I9065">
        <v>1</v>
      </c>
      <c r="J9065">
        <v>853</v>
      </c>
      <c r="K9065">
        <v>0</v>
      </c>
      <c r="L9065">
        <v>665.34</v>
      </c>
    </row>
    <row r="9066" spans="1:12" x14ac:dyDescent="0.25">
      <c r="A9066" t="str">
        <f t="shared" si="1962"/>
        <v>89301000</v>
      </c>
      <c r="B9066" t="str">
        <f t="shared" si="1964"/>
        <v>06539000</v>
      </c>
      <c r="C9066" t="str">
        <f t="shared" si="1970"/>
        <v>06539003</v>
      </c>
      <c r="D9066" t="str">
        <f t="shared" si="1971"/>
        <v>813</v>
      </c>
      <c r="E9066" t="str">
        <f t="shared" si="1965"/>
        <v>89301172</v>
      </c>
      <c r="F9066" t="str">
        <f t="shared" si="1966"/>
        <v>6655270303</v>
      </c>
      <c r="G9066" s="1">
        <v>44784</v>
      </c>
      <c r="H9066" t="str">
        <f t="shared" si="1972"/>
        <v>91413</v>
      </c>
      <c r="I9066">
        <v>1</v>
      </c>
      <c r="J9066">
        <v>853</v>
      </c>
      <c r="K9066">
        <v>0</v>
      </c>
      <c r="L9066">
        <v>665.34</v>
      </c>
    </row>
    <row r="9067" spans="1:12" x14ac:dyDescent="0.25">
      <c r="A9067" t="str">
        <f t="shared" si="1962"/>
        <v>89301000</v>
      </c>
      <c r="B9067" t="str">
        <f t="shared" si="1964"/>
        <v>06539000</v>
      </c>
      <c r="C9067" t="str">
        <f t="shared" si="1970"/>
        <v>06539003</v>
      </c>
      <c r="D9067" t="str">
        <f t="shared" si="1971"/>
        <v>813</v>
      </c>
      <c r="E9067" t="str">
        <f t="shared" si="1965"/>
        <v>89301172</v>
      </c>
      <c r="F9067" t="str">
        <f t="shared" si="1966"/>
        <v>6655270303</v>
      </c>
      <c r="G9067" s="1">
        <v>44784</v>
      </c>
      <c r="H9067" t="str">
        <f t="shared" si="1972"/>
        <v>91413</v>
      </c>
      <c r="I9067">
        <v>1</v>
      </c>
      <c r="J9067">
        <v>853</v>
      </c>
      <c r="K9067">
        <v>0</v>
      </c>
      <c r="L9067">
        <v>665.34</v>
      </c>
    </row>
    <row r="9068" spans="1:12" x14ac:dyDescent="0.25">
      <c r="A9068" t="str">
        <f t="shared" si="1962"/>
        <v>89301000</v>
      </c>
      <c r="B9068" t="str">
        <f t="shared" si="1964"/>
        <v>06539000</v>
      </c>
      <c r="C9068" t="str">
        <f t="shared" si="1970"/>
        <v>06539003</v>
      </c>
      <c r="D9068" t="str">
        <f t="shared" si="1971"/>
        <v>813</v>
      </c>
      <c r="E9068" t="str">
        <f t="shared" si="1965"/>
        <v>89301172</v>
      </c>
      <c r="F9068" t="str">
        <f t="shared" si="1966"/>
        <v>6655270303</v>
      </c>
      <c r="G9068" s="1">
        <v>44778</v>
      </c>
      <c r="H9068" t="str">
        <f t="shared" ref="H9068:H9074" si="1973">"91197"</f>
        <v>91197</v>
      </c>
      <c r="I9068">
        <v>1</v>
      </c>
      <c r="J9068">
        <v>1046</v>
      </c>
      <c r="K9068">
        <v>0</v>
      </c>
      <c r="L9068">
        <v>815.88</v>
      </c>
    </row>
    <row r="9069" spans="1:12" x14ac:dyDescent="0.25">
      <c r="A9069" t="str">
        <f t="shared" si="1962"/>
        <v>89301000</v>
      </c>
      <c r="B9069" t="str">
        <f t="shared" si="1964"/>
        <v>06539000</v>
      </c>
      <c r="C9069" t="str">
        <f t="shared" si="1970"/>
        <v>06539003</v>
      </c>
      <c r="D9069" t="str">
        <f t="shared" si="1971"/>
        <v>813</v>
      </c>
      <c r="E9069" t="str">
        <f t="shared" si="1965"/>
        <v>89301172</v>
      </c>
      <c r="F9069" t="str">
        <f t="shared" si="1966"/>
        <v>6655270303</v>
      </c>
      <c r="G9069" s="1">
        <v>44781</v>
      </c>
      <c r="H9069" t="str">
        <f t="shared" si="1973"/>
        <v>91197</v>
      </c>
      <c r="I9069">
        <v>1</v>
      </c>
      <c r="J9069">
        <v>1046</v>
      </c>
      <c r="K9069">
        <v>0</v>
      </c>
      <c r="L9069">
        <v>815.88</v>
      </c>
    </row>
    <row r="9070" spans="1:12" x14ac:dyDescent="0.25">
      <c r="A9070" t="str">
        <f t="shared" si="1962"/>
        <v>89301000</v>
      </c>
      <c r="B9070" t="str">
        <f t="shared" si="1964"/>
        <v>06539000</v>
      </c>
      <c r="C9070" t="str">
        <f t="shared" si="1970"/>
        <v>06539003</v>
      </c>
      <c r="D9070" t="str">
        <f t="shared" si="1971"/>
        <v>813</v>
      </c>
      <c r="E9070" t="str">
        <f t="shared" si="1965"/>
        <v>89301172</v>
      </c>
      <c r="F9070" t="str">
        <f t="shared" si="1966"/>
        <v>6655270303</v>
      </c>
      <c r="G9070" s="1">
        <v>44781</v>
      </c>
      <c r="H9070" t="str">
        <f t="shared" si="1973"/>
        <v>91197</v>
      </c>
      <c r="I9070">
        <v>1</v>
      </c>
      <c r="J9070">
        <v>1046</v>
      </c>
      <c r="K9070">
        <v>0</v>
      </c>
      <c r="L9070">
        <v>815.88</v>
      </c>
    </row>
    <row r="9071" spans="1:12" x14ac:dyDescent="0.25">
      <c r="A9071" t="str">
        <f t="shared" si="1962"/>
        <v>89301000</v>
      </c>
      <c r="B9071" t="str">
        <f t="shared" si="1964"/>
        <v>06539000</v>
      </c>
      <c r="C9071" t="str">
        <f t="shared" si="1970"/>
        <v>06539003</v>
      </c>
      <c r="D9071" t="str">
        <f t="shared" si="1971"/>
        <v>813</v>
      </c>
      <c r="E9071" t="str">
        <f t="shared" si="1965"/>
        <v>89301172</v>
      </c>
      <c r="F9071" t="str">
        <f t="shared" si="1966"/>
        <v>6655270303</v>
      </c>
      <c r="G9071" s="1">
        <v>44780</v>
      </c>
      <c r="H9071" t="str">
        <f t="shared" si="1973"/>
        <v>91197</v>
      </c>
      <c r="I9071">
        <v>1</v>
      </c>
      <c r="J9071">
        <v>1046</v>
      </c>
      <c r="K9071">
        <v>0</v>
      </c>
      <c r="L9071">
        <v>815.88</v>
      </c>
    </row>
    <row r="9072" spans="1:12" x14ac:dyDescent="0.25">
      <c r="A9072" t="str">
        <f t="shared" si="1962"/>
        <v>89301000</v>
      </c>
      <c r="B9072" t="str">
        <f t="shared" si="1964"/>
        <v>06539000</v>
      </c>
      <c r="C9072" t="str">
        <f t="shared" si="1970"/>
        <v>06539003</v>
      </c>
      <c r="D9072" t="str">
        <f t="shared" si="1971"/>
        <v>813</v>
      </c>
      <c r="E9072" t="str">
        <f t="shared" si="1965"/>
        <v>89301172</v>
      </c>
      <c r="F9072" t="str">
        <f t="shared" si="1966"/>
        <v>6655270303</v>
      </c>
      <c r="G9072" s="1">
        <v>44780</v>
      </c>
      <c r="H9072" t="str">
        <f t="shared" si="1973"/>
        <v>91197</v>
      </c>
      <c r="I9072">
        <v>1</v>
      </c>
      <c r="J9072">
        <v>1046</v>
      </c>
      <c r="K9072">
        <v>0</v>
      </c>
      <c r="L9072">
        <v>815.88</v>
      </c>
    </row>
    <row r="9073" spans="1:12" x14ac:dyDescent="0.25">
      <c r="A9073" t="str">
        <f t="shared" si="1962"/>
        <v>89301000</v>
      </c>
      <c r="B9073" t="str">
        <f t="shared" si="1964"/>
        <v>06539000</v>
      </c>
      <c r="C9073" t="str">
        <f t="shared" si="1970"/>
        <v>06539003</v>
      </c>
      <c r="D9073" t="str">
        <f t="shared" si="1971"/>
        <v>813</v>
      </c>
      <c r="E9073" t="str">
        <f t="shared" si="1965"/>
        <v>89301172</v>
      </c>
      <c r="F9073" t="str">
        <f t="shared" si="1966"/>
        <v>6655270303</v>
      </c>
      <c r="G9073" s="1">
        <v>44779</v>
      </c>
      <c r="H9073" t="str">
        <f t="shared" si="1973"/>
        <v>91197</v>
      </c>
      <c r="I9073">
        <v>1</v>
      </c>
      <c r="J9073">
        <v>1046</v>
      </c>
      <c r="K9073">
        <v>0</v>
      </c>
      <c r="L9073">
        <v>815.88</v>
      </c>
    </row>
    <row r="9074" spans="1:12" x14ac:dyDescent="0.25">
      <c r="A9074" t="str">
        <f t="shared" si="1962"/>
        <v>89301000</v>
      </c>
      <c r="B9074" t="str">
        <f t="shared" si="1964"/>
        <v>06539000</v>
      </c>
      <c r="C9074" t="str">
        <f t="shared" si="1970"/>
        <v>06539003</v>
      </c>
      <c r="D9074" t="str">
        <f t="shared" si="1971"/>
        <v>813</v>
      </c>
      <c r="E9074" t="str">
        <f t="shared" si="1965"/>
        <v>89301172</v>
      </c>
      <c r="F9074" t="str">
        <f t="shared" si="1966"/>
        <v>6655270303</v>
      </c>
      <c r="G9074" s="1">
        <v>44779</v>
      </c>
      <c r="H9074" t="str">
        <f t="shared" si="1973"/>
        <v>91197</v>
      </c>
      <c r="I9074">
        <v>1</v>
      </c>
      <c r="J9074">
        <v>1046</v>
      </c>
      <c r="K9074">
        <v>0</v>
      </c>
      <c r="L9074">
        <v>815.88</v>
      </c>
    </row>
    <row r="9075" spans="1:12" x14ac:dyDescent="0.25">
      <c r="A9075" t="str">
        <f t="shared" si="1962"/>
        <v>89301000</v>
      </c>
      <c r="B9075" t="str">
        <f t="shared" si="1964"/>
        <v>06539000</v>
      </c>
      <c r="C9075" t="str">
        <f t="shared" si="1970"/>
        <v>06539003</v>
      </c>
      <c r="D9075" t="str">
        <f t="shared" si="1971"/>
        <v>813</v>
      </c>
      <c r="E9075" t="str">
        <f t="shared" si="1965"/>
        <v>89301172</v>
      </c>
      <c r="F9075" t="str">
        <f t="shared" si="1966"/>
        <v>6655270303</v>
      </c>
      <c r="G9075" s="1">
        <v>44782</v>
      </c>
      <c r="H9075" t="str">
        <f>"91329"</f>
        <v>91329</v>
      </c>
      <c r="I9075">
        <v>2</v>
      </c>
      <c r="J9075">
        <v>428</v>
      </c>
      <c r="K9075">
        <v>0</v>
      </c>
      <c r="L9075">
        <v>333.84</v>
      </c>
    </row>
    <row r="9076" spans="1:12" x14ac:dyDescent="0.25">
      <c r="A9076" t="str">
        <f t="shared" si="1962"/>
        <v>89301000</v>
      </c>
      <c r="B9076" t="str">
        <f t="shared" si="1964"/>
        <v>06539000</v>
      </c>
      <c r="C9076" t="str">
        <f t="shared" si="1970"/>
        <v>06539003</v>
      </c>
      <c r="D9076" t="str">
        <f t="shared" si="1971"/>
        <v>813</v>
      </c>
      <c r="E9076" t="str">
        <f t="shared" si="1965"/>
        <v>89301172</v>
      </c>
      <c r="F9076" t="str">
        <f t="shared" si="1966"/>
        <v>6655270303</v>
      </c>
      <c r="G9076" s="1">
        <v>44782</v>
      </c>
      <c r="H9076" t="str">
        <f>"91329"</f>
        <v>91329</v>
      </c>
      <c r="I9076">
        <v>2</v>
      </c>
      <c r="J9076">
        <v>428</v>
      </c>
      <c r="K9076">
        <v>0</v>
      </c>
      <c r="L9076">
        <v>333.84</v>
      </c>
    </row>
    <row r="9077" spans="1:12" x14ac:dyDescent="0.25">
      <c r="A9077" t="str">
        <f t="shared" si="1962"/>
        <v>89301000</v>
      </c>
      <c r="B9077" t="str">
        <f t="shared" si="1964"/>
        <v>06539000</v>
      </c>
      <c r="C9077" t="str">
        <f t="shared" si="1970"/>
        <v>06539003</v>
      </c>
      <c r="D9077" t="str">
        <f t="shared" si="1971"/>
        <v>813</v>
      </c>
      <c r="E9077" t="str">
        <f t="shared" si="1965"/>
        <v>89301172</v>
      </c>
      <c r="F9077" t="str">
        <f t="shared" si="1966"/>
        <v>6655270303</v>
      </c>
      <c r="G9077" s="1">
        <v>44788</v>
      </c>
      <c r="H9077" t="str">
        <f>"91329"</f>
        <v>91329</v>
      </c>
      <c r="I9077">
        <v>2</v>
      </c>
      <c r="J9077">
        <v>428</v>
      </c>
      <c r="K9077">
        <v>0</v>
      </c>
      <c r="L9077">
        <v>333.84</v>
      </c>
    </row>
    <row r="9078" spans="1:12" x14ac:dyDescent="0.25">
      <c r="A9078" t="str">
        <f t="shared" si="1962"/>
        <v>89301000</v>
      </c>
      <c r="B9078" t="str">
        <f t="shared" si="1964"/>
        <v>06539000</v>
      </c>
      <c r="C9078" t="str">
        <f t="shared" si="1970"/>
        <v>06539003</v>
      </c>
      <c r="D9078" t="str">
        <f t="shared" si="1971"/>
        <v>813</v>
      </c>
      <c r="E9078" t="str">
        <f t="shared" si="1965"/>
        <v>89301172</v>
      </c>
      <c r="F9078" t="str">
        <f t="shared" si="1966"/>
        <v>6655270303</v>
      </c>
      <c r="G9078" s="1">
        <v>44788</v>
      </c>
      <c r="H9078" t="str">
        <f>"91329"</f>
        <v>91329</v>
      </c>
      <c r="I9078">
        <v>2</v>
      </c>
      <c r="J9078">
        <v>428</v>
      </c>
      <c r="K9078">
        <v>0</v>
      </c>
      <c r="L9078">
        <v>333.84</v>
      </c>
    </row>
    <row r="9079" spans="1:12" x14ac:dyDescent="0.25">
      <c r="A9079" t="str">
        <f t="shared" si="1962"/>
        <v>89301000</v>
      </c>
      <c r="B9079" t="str">
        <f t="shared" si="1964"/>
        <v>06539000</v>
      </c>
      <c r="C9079" t="str">
        <f t="shared" si="1970"/>
        <v>06539003</v>
      </c>
      <c r="D9079" t="str">
        <f t="shared" si="1971"/>
        <v>813</v>
      </c>
      <c r="E9079" t="str">
        <f t="shared" si="1965"/>
        <v>89301172</v>
      </c>
      <c r="F9079" t="str">
        <f t="shared" si="1966"/>
        <v>6655270303</v>
      </c>
      <c r="G9079" s="1">
        <v>44778</v>
      </c>
      <c r="H9079" t="str">
        <f>"91129"</f>
        <v>91129</v>
      </c>
      <c r="I9079">
        <v>1</v>
      </c>
      <c r="J9079">
        <v>174</v>
      </c>
      <c r="K9079">
        <v>0</v>
      </c>
      <c r="L9079">
        <v>135.72</v>
      </c>
    </row>
    <row r="9080" spans="1:12" x14ac:dyDescent="0.25">
      <c r="A9080" t="str">
        <f t="shared" si="1962"/>
        <v>89301000</v>
      </c>
      <c r="B9080" t="str">
        <f t="shared" si="1964"/>
        <v>06539000</v>
      </c>
      <c r="C9080" t="str">
        <f t="shared" si="1970"/>
        <v>06539003</v>
      </c>
      <c r="D9080" t="str">
        <f t="shared" si="1971"/>
        <v>813</v>
      </c>
      <c r="E9080" t="str">
        <f t="shared" si="1965"/>
        <v>89301172</v>
      </c>
      <c r="F9080" t="str">
        <f t="shared" si="1966"/>
        <v>6655270303</v>
      </c>
      <c r="G9080" s="1">
        <v>44778</v>
      </c>
      <c r="H9080" t="str">
        <f>"91131"</f>
        <v>91131</v>
      </c>
      <c r="I9080">
        <v>1</v>
      </c>
      <c r="J9080">
        <v>171</v>
      </c>
      <c r="K9080">
        <v>0</v>
      </c>
      <c r="L9080">
        <v>133.38</v>
      </c>
    </row>
    <row r="9081" spans="1:12" x14ac:dyDescent="0.25">
      <c r="A9081" t="str">
        <f t="shared" si="1962"/>
        <v>89301000</v>
      </c>
      <c r="B9081" t="str">
        <f t="shared" si="1964"/>
        <v>06539000</v>
      </c>
      <c r="C9081" t="str">
        <f t="shared" si="1970"/>
        <v>06539003</v>
      </c>
      <c r="D9081" t="str">
        <f t="shared" si="1971"/>
        <v>813</v>
      </c>
      <c r="E9081" t="str">
        <f t="shared" si="1965"/>
        <v>89301172</v>
      </c>
      <c r="F9081" t="str">
        <f t="shared" si="1966"/>
        <v>6655270303</v>
      </c>
      <c r="G9081" s="1">
        <v>44778</v>
      </c>
      <c r="H9081" t="str">
        <f>"91133"</f>
        <v>91133</v>
      </c>
      <c r="I9081">
        <v>1</v>
      </c>
      <c r="J9081">
        <v>176</v>
      </c>
      <c r="K9081">
        <v>0</v>
      </c>
      <c r="L9081">
        <v>137.28</v>
      </c>
    </row>
    <row r="9082" spans="1:12" x14ac:dyDescent="0.25">
      <c r="A9082" t="str">
        <f t="shared" si="1962"/>
        <v>89301000</v>
      </c>
      <c r="B9082" t="str">
        <f t="shared" si="1964"/>
        <v>06539000</v>
      </c>
      <c r="C9082" t="str">
        <f t="shared" si="1970"/>
        <v>06539003</v>
      </c>
      <c r="D9082" t="str">
        <f t="shared" si="1971"/>
        <v>813</v>
      </c>
      <c r="E9082" t="str">
        <f t="shared" si="1965"/>
        <v>89301172</v>
      </c>
      <c r="F9082" t="str">
        <f t="shared" si="1966"/>
        <v>6655270303</v>
      </c>
      <c r="G9082" s="1">
        <v>44778</v>
      </c>
      <c r="H9082" t="str">
        <f>"91171"</f>
        <v>91171</v>
      </c>
      <c r="I9082">
        <v>1</v>
      </c>
      <c r="J9082">
        <v>360</v>
      </c>
      <c r="K9082">
        <v>0</v>
      </c>
      <c r="L9082">
        <v>280.8</v>
      </c>
    </row>
    <row r="9083" spans="1:12" x14ac:dyDescent="0.25">
      <c r="A9083" t="str">
        <f t="shared" si="1962"/>
        <v>89301000</v>
      </c>
      <c r="B9083" t="str">
        <f t="shared" si="1964"/>
        <v>06539000</v>
      </c>
      <c r="C9083" t="str">
        <f t="shared" si="1970"/>
        <v>06539003</v>
      </c>
      <c r="D9083" t="str">
        <f t="shared" si="1971"/>
        <v>813</v>
      </c>
      <c r="E9083" t="str">
        <f t="shared" si="1965"/>
        <v>89301172</v>
      </c>
      <c r="F9083" t="str">
        <f t="shared" si="1966"/>
        <v>6655270303</v>
      </c>
      <c r="G9083" s="1">
        <v>44778</v>
      </c>
      <c r="H9083" t="str">
        <f>"91173"</f>
        <v>91173</v>
      </c>
      <c r="I9083">
        <v>1</v>
      </c>
      <c r="J9083">
        <v>335</v>
      </c>
      <c r="K9083">
        <v>0</v>
      </c>
      <c r="L9083">
        <v>261.3</v>
      </c>
    </row>
    <row r="9084" spans="1:12" x14ac:dyDescent="0.25">
      <c r="A9084" t="str">
        <f t="shared" si="1962"/>
        <v>89301000</v>
      </c>
      <c r="B9084" t="str">
        <f t="shared" si="1964"/>
        <v>06539000</v>
      </c>
      <c r="C9084" t="str">
        <f t="shared" si="1970"/>
        <v>06539003</v>
      </c>
      <c r="D9084" t="str">
        <f t="shared" si="1971"/>
        <v>813</v>
      </c>
      <c r="E9084" t="str">
        <f t="shared" si="1965"/>
        <v>89301172</v>
      </c>
      <c r="F9084" t="str">
        <f t="shared" si="1966"/>
        <v>6655270303</v>
      </c>
      <c r="G9084" s="1">
        <v>44778</v>
      </c>
      <c r="H9084" t="str">
        <f>"91175"</f>
        <v>91175</v>
      </c>
      <c r="I9084">
        <v>1</v>
      </c>
      <c r="J9084">
        <v>360</v>
      </c>
      <c r="K9084">
        <v>0</v>
      </c>
      <c r="L9084">
        <v>280.8</v>
      </c>
    </row>
    <row r="9085" spans="1:12" x14ac:dyDescent="0.25">
      <c r="A9085" t="str">
        <f t="shared" si="1962"/>
        <v>89301000</v>
      </c>
      <c r="B9085" t="str">
        <f t="shared" si="1964"/>
        <v>06539000</v>
      </c>
      <c r="C9085" t="str">
        <f t="shared" si="1970"/>
        <v>06539003</v>
      </c>
      <c r="D9085" t="str">
        <f t="shared" si="1971"/>
        <v>813</v>
      </c>
      <c r="E9085" t="str">
        <f t="shared" si="1965"/>
        <v>89301172</v>
      </c>
      <c r="F9085" t="str">
        <f t="shared" si="1966"/>
        <v>6655270303</v>
      </c>
      <c r="G9085" s="1">
        <v>44779</v>
      </c>
      <c r="H9085" t="str">
        <f>"91167"</f>
        <v>91167</v>
      </c>
      <c r="I9085">
        <v>1</v>
      </c>
      <c r="J9085">
        <v>425</v>
      </c>
      <c r="K9085">
        <v>0</v>
      </c>
      <c r="L9085">
        <v>331.5</v>
      </c>
    </row>
    <row r="9086" spans="1:12" x14ac:dyDescent="0.25">
      <c r="A9086" t="str">
        <f t="shared" si="1962"/>
        <v>89301000</v>
      </c>
      <c r="B9086" t="str">
        <f t="shared" si="1964"/>
        <v>06539000</v>
      </c>
      <c r="C9086" t="str">
        <f t="shared" si="1970"/>
        <v>06539003</v>
      </c>
      <c r="D9086" t="str">
        <f t="shared" si="1971"/>
        <v>813</v>
      </c>
      <c r="E9086" t="str">
        <f t="shared" si="1965"/>
        <v>89301172</v>
      </c>
      <c r="F9086" t="str">
        <f t="shared" si="1966"/>
        <v>6655270303</v>
      </c>
      <c r="G9086" s="1">
        <v>44779</v>
      </c>
      <c r="H9086" t="str">
        <f>"91169"</f>
        <v>91169</v>
      </c>
      <c r="I9086">
        <v>1</v>
      </c>
      <c r="J9086">
        <v>425</v>
      </c>
      <c r="K9086">
        <v>0</v>
      </c>
      <c r="L9086">
        <v>331.5</v>
      </c>
    </row>
    <row r="9087" spans="1:12" x14ac:dyDescent="0.25">
      <c r="A9087" t="str">
        <f t="shared" si="1962"/>
        <v>89301000</v>
      </c>
      <c r="B9087" t="str">
        <f t="shared" si="1964"/>
        <v>06539000</v>
      </c>
      <c r="C9087" t="str">
        <f t="shared" si="1970"/>
        <v>06539003</v>
      </c>
      <c r="D9087" t="str">
        <f t="shared" si="1971"/>
        <v>813</v>
      </c>
      <c r="E9087" t="str">
        <f t="shared" si="1965"/>
        <v>89301172</v>
      </c>
      <c r="F9087" t="str">
        <f t="shared" si="1966"/>
        <v>6655270303</v>
      </c>
      <c r="G9087" s="1">
        <v>44778</v>
      </c>
      <c r="H9087" t="str">
        <f>"91167"</f>
        <v>91167</v>
      </c>
      <c r="I9087">
        <v>1</v>
      </c>
      <c r="J9087">
        <v>425</v>
      </c>
      <c r="K9087">
        <v>0</v>
      </c>
      <c r="L9087">
        <v>331.5</v>
      </c>
    </row>
    <row r="9088" spans="1:12" x14ac:dyDescent="0.25">
      <c r="A9088" t="str">
        <f t="shared" si="1962"/>
        <v>89301000</v>
      </c>
      <c r="B9088" t="str">
        <f t="shared" si="1964"/>
        <v>06539000</v>
      </c>
      <c r="C9088" t="str">
        <f t="shared" si="1970"/>
        <v>06539003</v>
      </c>
      <c r="D9088" t="str">
        <f t="shared" si="1971"/>
        <v>813</v>
      </c>
      <c r="E9088" t="str">
        <f t="shared" si="1965"/>
        <v>89301172</v>
      </c>
      <c r="F9088" t="str">
        <f t="shared" si="1966"/>
        <v>6655270303</v>
      </c>
      <c r="G9088" s="1">
        <v>44778</v>
      </c>
      <c r="H9088" t="str">
        <f>"91169"</f>
        <v>91169</v>
      </c>
      <c r="I9088">
        <v>1</v>
      </c>
      <c r="J9088">
        <v>425</v>
      </c>
      <c r="K9088">
        <v>0</v>
      </c>
      <c r="L9088">
        <v>331.5</v>
      </c>
    </row>
    <row r="9089" spans="1:12" x14ac:dyDescent="0.25">
      <c r="A9089" t="str">
        <f t="shared" si="1962"/>
        <v>89301000</v>
      </c>
      <c r="B9089" t="str">
        <f t="shared" si="1964"/>
        <v>06539000</v>
      </c>
      <c r="C9089" t="str">
        <f t="shared" si="1970"/>
        <v>06539003</v>
      </c>
      <c r="D9089" t="str">
        <f t="shared" si="1971"/>
        <v>813</v>
      </c>
      <c r="E9089" t="str">
        <f t="shared" si="1965"/>
        <v>89301172</v>
      </c>
      <c r="F9089" t="str">
        <f t="shared" si="1966"/>
        <v>6655270303</v>
      </c>
      <c r="G9089" s="1">
        <v>44778</v>
      </c>
      <c r="H9089" t="str">
        <f>"91475"</f>
        <v>91475</v>
      </c>
      <c r="I9089">
        <v>1</v>
      </c>
      <c r="J9089">
        <v>206</v>
      </c>
      <c r="K9089">
        <v>0</v>
      </c>
      <c r="L9089">
        <v>160.68</v>
      </c>
    </row>
    <row r="9090" spans="1:12" x14ac:dyDescent="0.25">
      <c r="A9090" t="str">
        <f t="shared" ref="A9090:A9153" si="1974">"89301000"</f>
        <v>89301000</v>
      </c>
      <c r="B9090" t="str">
        <f t="shared" si="1964"/>
        <v>06539000</v>
      </c>
      <c r="C9090" t="str">
        <f>"06539001"</f>
        <v>06539001</v>
      </c>
      <c r="D9090" t="str">
        <f>"801"</f>
        <v>801</v>
      </c>
      <c r="E9090" t="str">
        <f t="shared" ref="E9090:E9121" si="1975">"89301171"</f>
        <v>89301171</v>
      </c>
      <c r="F9090" t="str">
        <f t="shared" ref="F9090:F9131" si="1976">"495727053"</f>
        <v>495727053</v>
      </c>
      <c r="G9090" s="1">
        <v>44792</v>
      </c>
      <c r="H9090" t="str">
        <f>"81329"</f>
        <v>81329</v>
      </c>
      <c r="I9090">
        <v>1</v>
      </c>
      <c r="J9090">
        <v>16</v>
      </c>
      <c r="K9090">
        <v>0</v>
      </c>
      <c r="L9090">
        <v>12.48</v>
      </c>
    </row>
    <row r="9091" spans="1:12" x14ac:dyDescent="0.25">
      <c r="A9091" t="str">
        <f t="shared" si="1974"/>
        <v>89301000</v>
      </c>
      <c r="B9091" t="str">
        <f t="shared" si="1964"/>
        <v>06539000</v>
      </c>
      <c r="C9091" t="str">
        <f>"06539001"</f>
        <v>06539001</v>
      </c>
      <c r="D9091" t="str">
        <f>"801"</f>
        <v>801</v>
      </c>
      <c r="E9091" t="str">
        <f t="shared" si="1975"/>
        <v>89301171</v>
      </c>
      <c r="F9091" t="str">
        <f t="shared" si="1976"/>
        <v>495727053</v>
      </c>
      <c r="G9091" s="1">
        <v>44792</v>
      </c>
      <c r="H9091" t="str">
        <f>"81331"</f>
        <v>81331</v>
      </c>
      <c r="I9091">
        <v>1</v>
      </c>
      <c r="J9091">
        <v>193</v>
      </c>
      <c r="K9091">
        <v>0</v>
      </c>
      <c r="L9091">
        <v>150.54</v>
      </c>
    </row>
    <row r="9092" spans="1:12" x14ac:dyDescent="0.25">
      <c r="A9092" t="str">
        <f t="shared" si="1974"/>
        <v>89301000</v>
      </c>
      <c r="B9092" t="str">
        <f t="shared" si="1964"/>
        <v>06539000</v>
      </c>
      <c r="C9092" t="str">
        <f t="shared" ref="C9092:C9099" si="1977">"06539002"</f>
        <v>06539002</v>
      </c>
      <c r="D9092" t="str">
        <f t="shared" ref="D9092:D9099" si="1978">"802"</f>
        <v>802</v>
      </c>
      <c r="E9092" t="str">
        <f t="shared" si="1975"/>
        <v>89301171</v>
      </c>
      <c r="F9092" t="str">
        <f t="shared" si="1976"/>
        <v>495727053</v>
      </c>
      <c r="G9092" s="1">
        <v>44792</v>
      </c>
      <c r="H9092" t="str">
        <f t="shared" ref="H9092:H9099" si="1979">"82097"</f>
        <v>82097</v>
      </c>
      <c r="I9092">
        <v>1</v>
      </c>
      <c r="J9092">
        <v>380</v>
      </c>
      <c r="K9092">
        <v>0</v>
      </c>
      <c r="L9092">
        <v>345.8</v>
      </c>
    </row>
    <row r="9093" spans="1:12" x14ac:dyDescent="0.25">
      <c r="A9093" t="str">
        <f t="shared" si="1974"/>
        <v>89301000</v>
      </c>
      <c r="B9093" t="str">
        <f t="shared" si="1964"/>
        <v>06539000</v>
      </c>
      <c r="C9093" t="str">
        <f t="shared" si="1977"/>
        <v>06539002</v>
      </c>
      <c r="D9093" t="str">
        <f t="shared" si="1978"/>
        <v>802</v>
      </c>
      <c r="E9093" t="str">
        <f t="shared" si="1975"/>
        <v>89301171</v>
      </c>
      <c r="F9093" t="str">
        <f t="shared" si="1976"/>
        <v>495727053</v>
      </c>
      <c r="G9093" s="1">
        <v>44792</v>
      </c>
      <c r="H9093" t="str">
        <f t="shared" si="1979"/>
        <v>82097</v>
      </c>
      <c r="I9093">
        <v>1</v>
      </c>
      <c r="J9093">
        <v>380</v>
      </c>
      <c r="K9093">
        <v>0</v>
      </c>
      <c r="L9093">
        <v>345.8</v>
      </c>
    </row>
    <row r="9094" spans="1:12" x14ac:dyDescent="0.25">
      <c r="A9094" t="str">
        <f t="shared" si="1974"/>
        <v>89301000</v>
      </c>
      <c r="B9094" t="str">
        <f t="shared" si="1964"/>
        <v>06539000</v>
      </c>
      <c r="C9094" t="str">
        <f t="shared" si="1977"/>
        <v>06539002</v>
      </c>
      <c r="D9094" t="str">
        <f t="shared" si="1978"/>
        <v>802</v>
      </c>
      <c r="E9094" t="str">
        <f t="shared" si="1975"/>
        <v>89301171</v>
      </c>
      <c r="F9094" t="str">
        <f t="shared" si="1976"/>
        <v>495727053</v>
      </c>
      <c r="G9094" s="1">
        <v>44792</v>
      </c>
      <c r="H9094" t="str">
        <f t="shared" si="1979"/>
        <v>82097</v>
      </c>
      <c r="I9094">
        <v>1</v>
      </c>
      <c r="J9094">
        <v>380</v>
      </c>
      <c r="K9094">
        <v>0</v>
      </c>
      <c r="L9094">
        <v>345.8</v>
      </c>
    </row>
    <row r="9095" spans="1:12" x14ac:dyDescent="0.25">
      <c r="A9095" t="str">
        <f t="shared" si="1974"/>
        <v>89301000</v>
      </c>
      <c r="B9095" t="str">
        <f t="shared" si="1964"/>
        <v>06539000</v>
      </c>
      <c r="C9095" t="str">
        <f t="shared" si="1977"/>
        <v>06539002</v>
      </c>
      <c r="D9095" t="str">
        <f t="shared" si="1978"/>
        <v>802</v>
      </c>
      <c r="E9095" t="str">
        <f t="shared" si="1975"/>
        <v>89301171</v>
      </c>
      <c r="F9095" t="str">
        <f t="shared" si="1976"/>
        <v>495727053</v>
      </c>
      <c r="G9095" s="1">
        <v>44792</v>
      </c>
      <c r="H9095" t="str">
        <f t="shared" si="1979"/>
        <v>82097</v>
      </c>
      <c r="I9095">
        <v>1</v>
      </c>
      <c r="J9095">
        <v>380</v>
      </c>
      <c r="K9095">
        <v>0</v>
      </c>
      <c r="L9095">
        <v>345.8</v>
      </c>
    </row>
    <row r="9096" spans="1:12" x14ac:dyDescent="0.25">
      <c r="A9096" t="str">
        <f t="shared" si="1974"/>
        <v>89301000</v>
      </c>
      <c r="B9096" t="str">
        <f t="shared" si="1964"/>
        <v>06539000</v>
      </c>
      <c r="C9096" t="str">
        <f t="shared" si="1977"/>
        <v>06539002</v>
      </c>
      <c r="D9096" t="str">
        <f t="shared" si="1978"/>
        <v>802</v>
      </c>
      <c r="E9096" t="str">
        <f t="shared" si="1975"/>
        <v>89301171</v>
      </c>
      <c r="F9096" t="str">
        <f t="shared" si="1976"/>
        <v>495727053</v>
      </c>
      <c r="G9096" s="1">
        <v>44792</v>
      </c>
      <c r="H9096" t="str">
        <f t="shared" si="1979"/>
        <v>82097</v>
      </c>
      <c r="I9096">
        <v>1</v>
      </c>
      <c r="J9096">
        <v>380</v>
      </c>
      <c r="K9096">
        <v>0</v>
      </c>
      <c r="L9096">
        <v>345.8</v>
      </c>
    </row>
    <row r="9097" spans="1:12" x14ac:dyDescent="0.25">
      <c r="A9097" t="str">
        <f t="shared" si="1974"/>
        <v>89301000</v>
      </c>
      <c r="B9097" t="str">
        <f t="shared" si="1964"/>
        <v>06539000</v>
      </c>
      <c r="C9097" t="str">
        <f t="shared" si="1977"/>
        <v>06539002</v>
      </c>
      <c r="D9097" t="str">
        <f t="shared" si="1978"/>
        <v>802</v>
      </c>
      <c r="E9097" t="str">
        <f t="shared" si="1975"/>
        <v>89301171</v>
      </c>
      <c r="F9097" t="str">
        <f t="shared" si="1976"/>
        <v>495727053</v>
      </c>
      <c r="G9097" s="1">
        <v>44792</v>
      </c>
      <c r="H9097" t="str">
        <f t="shared" si="1979"/>
        <v>82097</v>
      </c>
      <c r="I9097">
        <v>1</v>
      </c>
      <c r="J9097">
        <v>380</v>
      </c>
      <c r="K9097">
        <v>0</v>
      </c>
      <c r="L9097">
        <v>345.8</v>
      </c>
    </row>
    <row r="9098" spans="1:12" x14ac:dyDescent="0.25">
      <c r="A9098" t="str">
        <f t="shared" si="1974"/>
        <v>89301000</v>
      </c>
      <c r="B9098" t="str">
        <f t="shared" si="1964"/>
        <v>06539000</v>
      </c>
      <c r="C9098" t="str">
        <f t="shared" si="1977"/>
        <v>06539002</v>
      </c>
      <c r="D9098" t="str">
        <f t="shared" si="1978"/>
        <v>802</v>
      </c>
      <c r="E9098" t="str">
        <f t="shared" si="1975"/>
        <v>89301171</v>
      </c>
      <c r="F9098" t="str">
        <f t="shared" si="1976"/>
        <v>495727053</v>
      </c>
      <c r="G9098" s="1">
        <v>44792</v>
      </c>
      <c r="H9098" t="str">
        <f t="shared" si="1979"/>
        <v>82097</v>
      </c>
      <c r="I9098">
        <v>1</v>
      </c>
      <c r="J9098">
        <v>380</v>
      </c>
      <c r="K9098">
        <v>0</v>
      </c>
      <c r="L9098">
        <v>345.8</v>
      </c>
    </row>
    <row r="9099" spans="1:12" x14ac:dyDescent="0.25">
      <c r="A9099" t="str">
        <f t="shared" si="1974"/>
        <v>89301000</v>
      </c>
      <c r="B9099" t="str">
        <f t="shared" si="1964"/>
        <v>06539000</v>
      </c>
      <c r="C9099" t="str">
        <f t="shared" si="1977"/>
        <v>06539002</v>
      </c>
      <c r="D9099" t="str">
        <f t="shared" si="1978"/>
        <v>802</v>
      </c>
      <c r="E9099" t="str">
        <f t="shared" si="1975"/>
        <v>89301171</v>
      </c>
      <c r="F9099" t="str">
        <f t="shared" si="1976"/>
        <v>495727053</v>
      </c>
      <c r="G9099" s="1">
        <v>44792</v>
      </c>
      <c r="H9099" t="str">
        <f t="shared" si="1979"/>
        <v>82097</v>
      </c>
      <c r="I9099">
        <v>1</v>
      </c>
      <c r="J9099">
        <v>380</v>
      </c>
      <c r="K9099">
        <v>0</v>
      </c>
      <c r="L9099">
        <v>345.8</v>
      </c>
    </row>
    <row r="9100" spans="1:12" x14ac:dyDescent="0.25">
      <c r="A9100" t="str">
        <f t="shared" si="1974"/>
        <v>89301000</v>
      </c>
      <c r="B9100" t="str">
        <f t="shared" si="1964"/>
        <v>06539000</v>
      </c>
      <c r="C9100" t="str">
        <f t="shared" ref="C9100:C9131" si="1980">"06539003"</f>
        <v>06539003</v>
      </c>
      <c r="D9100" t="str">
        <f t="shared" ref="D9100:D9131" si="1981">"813"</f>
        <v>813</v>
      </c>
      <c r="E9100" t="str">
        <f t="shared" si="1975"/>
        <v>89301171</v>
      </c>
      <c r="F9100" t="str">
        <f t="shared" si="1976"/>
        <v>495727053</v>
      </c>
      <c r="G9100" s="1">
        <v>44799</v>
      </c>
      <c r="H9100" t="str">
        <f t="shared" ref="H9100:H9109" si="1982">"91413"</f>
        <v>91413</v>
      </c>
      <c r="I9100">
        <v>1</v>
      </c>
      <c r="J9100">
        <v>853</v>
      </c>
      <c r="K9100">
        <v>0</v>
      </c>
      <c r="L9100">
        <v>665.34</v>
      </c>
    </row>
    <row r="9101" spans="1:12" x14ac:dyDescent="0.25">
      <c r="A9101" t="str">
        <f t="shared" si="1974"/>
        <v>89301000</v>
      </c>
      <c r="B9101" t="str">
        <f t="shared" si="1964"/>
        <v>06539000</v>
      </c>
      <c r="C9101" t="str">
        <f t="shared" si="1980"/>
        <v>06539003</v>
      </c>
      <c r="D9101" t="str">
        <f t="shared" si="1981"/>
        <v>813</v>
      </c>
      <c r="E9101" t="str">
        <f t="shared" si="1975"/>
        <v>89301171</v>
      </c>
      <c r="F9101" t="str">
        <f t="shared" si="1976"/>
        <v>495727053</v>
      </c>
      <c r="G9101" s="1">
        <v>44799</v>
      </c>
      <c r="H9101" t="str">
        <f t="shared" si="1982"/>
        <v>91413</v>
      </c>
      <c r="I9101">
        <v>1</v>
      </c>
      <c r="J9101">
        <v>853</v>
      </c>
      <c r="K9101">
        <v>0</v>
      </c>
      <c r="L9101">
        <v>665.34</v>
      </c>
    </row>
    <row r="9102" spans="1:12" x14ac:dyDescent="0.25">
      <c r="A9102" t="str">
        <f t="shared" si="1974"/>
        <v>89301000</v>
      </c>
      <c r="B9102" t="str">
        <f t="shared" si="1964"/>
        <v>06539000</v>
      </c>
      <c r="C9102" t="str">
        <f t="shared" si="1980"/>
        <v>06539003</v>
      </c>
      <c r="D9102" t="str">
        <f t="shared" si="1981"/>
        <v>813</v>
      </c>
      <c r="E9102" t="str">
        <f t="shared" si="1975"/>
        <v>89301171</v>
      </c>
      <c r="F9102" t="str">
        <f t="shared" si="1976"/>
        <v>495727053</v>
      </c>
      <c r="G9102" s="1">
        <v>44805</v>
      </c>
      <c r="H9102" t="str">
        <f t="shared" si="1982"/>
        <v>91413</v>
      </c>
      <c r="I9102">
        <v>1</v>
      </c>
      <c r="J9102">
        <v>853</v>
      </c>
      <c r="K9102">
        <v>0</v>
      </c>
      <c r="L9102">
        <v>665.34</v>
      </c>
    </row>
    <row r="9103" spans="1:12" x14ac:dyDescent="0.25">
      <c r="A9103" t="str">
        <f t="shared" si="1974"/>
        <v>89301000</v>
      </c>
      <c r="B9103" t="str">
        <f t="shared" si="1964"/>
        <v>06539000</v>
      </c>
      <c r="C9103" t="str">
        <f t="shared" si="1980"/>
        <v>06539003</v>
      </c>
      <c r="D9103" t="str">
        <f t="shared" si="1981"/>
        <v>813</v>
      </c>
      <c r="E9103" t="str">
        <f t="shared" si="1975"/>
        <v>89301171</v>
      </c>
      <c r="F9103" t="str">
        <f t="shared" si="1976"/>
        <v>495727053</v>
      </c>
      <c r="G9103" s="1">
        <v>44805</v>
      </c>
      <c r="H9103" t="str">
        <f t="shared" si="1982"/>
        <v>91413</v>
      </c>
      <c r="I9103">
        <v>1</v>
      </c>
      <c r="J9103">
        <v>853</v>
      </c>
      <c r="K9103">
        <v>0</v>
      </c>
      <c r="L9103">
        <v>665.34</v>
      </c>
    </row>
    <row r="9104" spans="1:12" x14ac:dyDescent="0.25">
      <c r="A9104" t="str">
        <f t="shared" si="1974"/>
        <v>89301000</v>
      </c>
      <c r="B9104" t="str">
        <f t="shared" si="1964"/>
        <v>06539000</v>
      </c>
      <c r="C9104" t="str">
        <f t="shared" si="1980"/>
        <v>06539003</v>
      </c>
      <c r="D9104" t="str">
        <f t="shared" si="1981"/>
        <v>813</v>
      </c>
      <c r="E9104" t="str">
        <f t="shared" si="1975"/>
        <v>89301171</v>
      </c>
      <c r="F9104" t="str">
        <f t="shared" si="1976"/>
        <v>495727053</v>
      </c>
      <c r="G9104" s="1">
        <v>44805</v>
      </c>
      <c r="H9104" t="str">
        <f t="shared" si="1982"/>
        <v>91413</v>
      </c>
      <c r="I9104">
        <v>1</v>
      </c>
      <c r="J9104">
        <v>853</v>
      </c>
      <c r="K9104">
        <v>0</v>
      </c>
      <c r="L9104">
        <v>665.34</v>
      </c>
    </row>
    <row r="9105" spans="1:12" x14ac:dyDescent="0.25">
      <c r="A9105" t="str">
        <f t="shared" si="1974"/>
        <v>89301000</v>
      </c>
      <c r="B9105" t="str">
        <f t="shared" si="1964"/>
        <v>06539000</v>
      </c>
      <c r="C9105" t="str">
        <f t="shared" si="1980"/>
        <v>06539003</v>
      </c>
      <c r="D9105" t="str">
        <f t="shared" si="1981"/>
        <v>813</v>
      </c>
      <c r="E9105" t="str">
        <f t="shared" si="1975"/>
        <v>89301171</v>
      </c>
      <c r="F9105" t="str">
        <f t="shared" si="1976"/>
        <v>495727053</v>
      </c>
      <c r="G9105" s="1">
        <v>44805</v>
      </c>
      <c r="H9105" t="str">
        <f t="shared" si="1982"/>
        <v>91413</v>
      </c>
      <c r="I9105">
        <v>1</v>
      </c>
      <c r="J9105">
        <v>853</v>
      </c>
      <c r="K9105">
        <v>0</v>
      </c>
      <c r="L9105">
        <v>665.34</v>
      </c>
    </row>
    <row r="9106" spans="1:12" x14ac:dyDescent="0.25">
      <c r="A9106" t="str">
        <f t="shared" si="1974"/>
        <v>89301000</v>
      </c>
      <c r="B9106" t="str">
        <f t="shared" si="1964"/>
        <v>06539000</v>
      </c>
      <c r="C9106" t="str">
        <f t="shared" si="1980"/>
        <v>06539003</v>
      </c>
      <c r="D9106" t="str">
        <f t="shared" si="1981"/>
        <v>813</v>
      </c>
      <c r="E9106" t="str">
        <f t="shared" si="1975"/>
        <v>89301171</v>
      </c>
      <c r="F9106" t="str">
        <f t="shared" si="1976"/>
        <v>495727053</v>
      </c>
      <c r="G9106" s="1">
        <v>44805</v>
      </c>
      <c r="H9106" t="str">
        <f t="shared" si="1982"/>
        <v>91413</v>
      </c>
      <c r="I9106">
        <v>1</v>
      </c>
      <c r="J9106">
        <v>853</v>
      </c>
      <c r="K9106">
        <v>0</v>
      </c>
      <c r="L9106">
        <v>665.34</v>
      </c>
    </row>
    <row r="9107" spans="1:12" x14ac:dyDescent="0.25">
      <c r="A9107" t="str">
        <f t="shared" si="1974"/>
        <v>89301000</v>
      </c>
      <c r="B9107" t="str">
        <f t="shared" si="1964"/>
        <v>06539000</v>
      </c>
      <c r="C9107" t="str">
        <f t="shared" si="1980"/>
        <v>06539003</v>
      </c>
      <c r="D9107" t="str">
        <f t="shared" si="1981"/>
        <v>813</v>
      </c>
      <c r="E9107" t="str">
        <f t="shared" si="1975"/>
        <v>89301171</v>
      </c>
      <c r="F9107" t="str">
        <f t="shared" si="1976"/>
        <v>495727053</v>
      </c>
      <c r="G9107" s="1">
        <v>44805</v>
      </c>
      <c r="H9107" t="str">
        <f t="shared" si="1982"/>
        <v>91413</v>
      </c>
      <c r="I9107">
        <v>1</v>
      </c>
      <c r="J9107">
        <v>853</v>
      </c>
      <c r="K9107">
        <v>0</v>
      </c>
      <c r="L9107">
        <v>665.34</v>
      </c>
    </row>
    <row r="9108" spans="1:12" x14ac:dyDescent="0.25">
      <c r="A9108" t="str">
        <f t="shared" si="1974"/>
        <v>89301000</v>
      </c>
      <c r="B9108" t="str">
        <f t="shared" si="1964"/>
        <v>06539000</v>
      </c>
      <c r="C9108" t="str">
        <f t="shared" si="1980"/>
        <v>06539003</v>
      </c>
      <c r="D9108" t="str">
        <f t="shared" si="1981"/>
        <v>813</v>
      </c>
      <c r="E9108" t="str">
        <f t="shared" si="1975"/>
        <v>89301171</v>
      </c>
      <c r="F9108" t="str">
        <f t="shared" si="1976"/>
        <v>495727053</v>
      </c>
      <c r="G9108" s="1">
        <v>44805</v>
      </c>
      <c r="H9108" t="str">
        <f t="shared" si="1982"/>
        <v>91413</v>
      </c>
      <c r="I9108">
        <v>1</v>
      </c>
      <c r="J9108">
        <v>853</v>
      </c>
      <c r="K9108">
        <v>0</v>
      </c>
      <c r="L9108">
        <v>665.34</v>
      </c>
    </row>
    <row r="9109" spans="1:12" x14ac:dyDescent="0.25">
      <c r="A9109" t="str">
        <f t="shared" si="1974"/>
        <v>89301000</v>
      </c>
      <c r="B9109" t="str">
        <f t="shared" si="1964"/>
        <v>06539000</v>
      </c>
      <c r="C9109" t="str">
        <f t="shared" si="1980"/>
        <v>06539003</v>
      </c>
      <c r="D9109" t="str">
        <f t="shared" si="1981"/>
        <v>813</v>
      </c>
      <c r="E9109" t="str">
        <f t="shared" si="1975"/>
        <v>89301171</v>
      </c>
      <c r="F9109" t="str">
        <f t="shared" si="1976"/>
        <v>495727053</v>
      </c>
      <c r="G9109" s="1">
        <v>44805</v>
      </c>
      <c r="H9109" t="str">
        <f t="shared" si="1982"/>
        <v>91413</v>
      </c>
      <c r="I9109">
        <v>1</v>
      </c>
      <c r="J9109">
        <v>853</v>
      </c>
      <c r="K9109">
        <v>0</v>
      </c>
      <c r="L9109">
        <v>665.34</v>
      </c>
    </row>
    <row r="9110" spans="1:12" x14ac:dyDescent="0.25">
      <c r="A9110" t="str">
        <f t="shared" si="1974"/>
        <v>89301000</v>
      </c>
      <c r="B9110" t="str">
        <f t="shared" si="1964"/>
        <v>06539000</v>
      </c>
      <c r="C9110" t="str">
        <f t="shared" si="1980"/>
        <v>06539003</v>
      </c>
      <c r="D9110" t="str">
        <f t="shared" si="1981"/>
        <v>813</v>
      </c>
      <c r="E9110" t="str">
        <f t="shared" si="1975"/>
        <v>89301171</v>
      </c>
      <c r="F9110" t="str">
        <f t="shared" si="1976"/>
        <v>495727053</v>
      </c>
      <c r="G9110" s="1">
        <v>44792</v>
      </c>
      <c r="H9110" t="str">
        <f t="shared" ref="H9110:H9116" si="1983">"91197"</f>
        <v>91197</v>
      </c>
      <c r="I9110">
        <v>1</v>
      </c>
      <c r="J9110">
        <v>1046</v>
      </c>
      <c r="K9110">
        <v>0</v>
      </c>
      <c r="L9110">
        <v>815.88</v>
      </c>
    </row>
    <row r="9111" spans="1:12" x14ac:dyDescent="0.25">
      <c r="A9111" t="str">
        <f t="shared" si="1974"/>
        <v>89301000</v>
      </c>
      <c r="B9111" t="str">
        <f t="shared" si="1964"/>
        <v>06539000</v>
      </c>
      <c r="C9111" t="str">
        <f t="shared" si="1980"/>
        <v>06539003</v>
      </c>
      <c r="D9111" t="str">
        <f t="shared" si="1981"/>
        <v>813</v>
      </c>
      <c r="E9111" t="str">
        <f t="shared" si="1975"/>
        <v>89301171</v>
      </c>
      <c r="F9111" t="str">
        <f t="shared" si="1976"/>
        <v>495727053</v>
      </c>
      <c r="G9111" s="1">
        <v>44795</v>
      </c>
      <c r="H9111" t="str">
        <f t="shared" si="1983"/>
        <v>91197</v>
      </c>
      <c r="I9111">
        <v>1</v>
      </c>
      <c r="J9111">
        <v>1046</v>
      </c>
      <c r="K9111">
        <v>0</v>
      </c>
      <c r="L9111">
        <v>815.88</v>
      </c>
    </row>
    <row r="9112" spans="1:12" x14ac:dyDescent="0.25">
      <c r="A9112" t="str">
        <f t="shared" si="1974"/>
        <v>89301000</v>
      </c>
      <c r="B9112" t="str">
        <f t="shared" ref="B9112:B9175" si="1984">"06539000"</f>
        <v>06539000</v>
      </c>
      <c r="C9112" t="str">
        <f t="shared" si="1980"/>
        <v>06539003</v>
      </c>
      <c r="D9112" t="str">
        <f t="shared" si="1981"/>
        <v>813</v>
      </c>
      <c r="E9112" t="str">
        <f t="shared" si="1975"/>
        <v>89301171</v>
      </c>
      <c r="F9112" t="str">
        <f t="shared" si="1976"/>
        <v>495727053</v>
      </c>
      <c r="G9112" s="1">
        <v>44795</v>
      </c>
      <c r="H9112" t="str">
        <f t="shared" si="1983"/>
        <v>91197</v>
      </c>
      <c r="I9112">
        <v>1</v>
      </c>
      <c r="J9112">
        <v>1046</v>
      </c>
      <c r="K9112">
        <v>0</v>
      </c>
      <c r="L9112">
        <v>815.88</v>
      </c>
    </row>
    <row r="9113" spans="1:12" x14ac:dyDescent="0.25">
      <c r="A9113" t="str">
        <f t="shared" si="1974"/>
        <v>89301000</v>
      </c>
      <c r="B9113" t="str">
        <f t="shared" si="1984"/>
        <v>06539000</v>
      </c>
      <c r="C9113" t="str">
        <f t="shared" si="1980"/>
        <v>06539003</v>
      </c>
      <c r="D9113" t="str">
        <f t="shared" si="1981"/>
        <v>813</v>
      </c>
      <c r="E9113" t="str">
        <f t="shared" si="1975"/>
        <v>89301171</v>
      </c>
      <c r="F9113" t="str">
        <f t="shared" si="1976"/>
        <v>495727053</v>
      </c>
      <c r="G9113" s="1">
        <v>44794</v>
      </c>
      <c r="H9113" t="str">
        <f t="shared" si="1983"/>
        <v>91197</v>
      </c>
      <c r="I9113">
        <v>1</v>
      </c>
      <c r="J9113">
        <v>1046</v>
      </c>
      <c r="K9113">
        <v>0</v>
      </c>
      <c r="L9113">
        <v>815.88</v>
      </c>
    </row>
    <row r="9114" spans="1:12" x14ac:dyDescent="0.25">
      <c r="A9114" t="str">
        <f t="shared" si="1974"/>
        <v>89301000</v>
      </c>
      <c r="B9114" t="str">
        <f t="shared" si="1984"/>
        <v>06539000</v>
      </c>
      <c r="C9114" t="str">
        <f t="shared" si="1980"/>
        <v>06539003</v>
      </c>
      <c r="D9114" t="str">
        <f t="shared" si="1981"/>
        <v>813</v>
      </c>
      <c r="E9114" t="str">
        <f t="shared" si="1975"/>
        <v>89301171</v>
      </c>
      <c r="F9114" t="str">
        <f t="shared" si="1976"/>
        <v>495727053</v>
      </c>
      <c r="G9114" s="1">
        <v>44794</v>
      </c>
      <c r="H9114" t="str">
        <f t="shared" si="1983"/>
        <v>91197</v>
      </c>
      <c r="I9114">
        <v>1</v>
      </c>
      <c r="J9114">
        <v>1046</v>
      </c>
      <c r="K9114">
        <v>0</v>
      </c>
      <c r="L9114">
        <v>815.88</v>
      </c>
    </row>
    <row r="9115" spans="1:12" x14ac:dyDescent="0.25">
      <c r="A9115" t="str">
        <f t="shared" si="1974"/>
        <v>89301000</v>
      </c>
      <c r="B9115" t="str">
        <f t="shared" si="1984"/>
        <v>06539000</v>
      </c>
      <c r="C9115" t="str">
        <f t="shared" si="1980"/>
        <v>06539003</v>
      </c>
      <c r="D9115" t="str">
        <f t="shared" si="1981"/>
        <v>813</v>
      </c>
      <c r="E9115" t="str">
        <f t="shared" si="1975"/>
        <v>89301171</v>
      </c>
      <c r="F9115" t="str">
        <f t="shared" si="1976"/>
        <v>495727053</v>
      </c>
      <c r="G9115" s="1">
        <v>44793</v>
      </c>
      <c r="H9115" t="str">
        <f t="shared" si="1983"/>
        <v>91197</v>
      </c>
      <c r="I9115">
        <v>1</v>
      </c>
      <c r="J9115">
        <v>1046</v>
      </c>
      <c r="K9115">
        <v>0</v>
      </c>
      <c r="L9115">
        <v>815.88</v>
      </c>
    </row>
    <row r="9116" spans="1:12" x14ac:dyDescent="0.25">
      <c r="A9116" t="str">
        <f t="shared" si="1974"/>
        <v>89301000</v>
      </c>
      <c r="B9116" t="str">
        <f t="shared" si="1984"/>
        <v>06539000</v>
      </c>
      <c r="C9116" t="str">
        <f t="shared" si="1980"/>
        <v>06539003</v>
      </c>
      <c r="D9116" t="str">
        <f t="shared" si="1981"/>
        <v>813</v>
      </c>
      <c r="E9116" t="str">
        <f t="shared" si="1975"/>
        <v>89301171</v>
      </c>
      <c r="F9116" t="str">
        <f t="shared" si="1976"/>
        <v>495727053</v>
      </c>
      <c r="G9116" s="1">
        <v>44793</v>
      </c>
      <c r="H9116" t="str">
        <f t="shared" si="1983"/>
        <v>91197</v>
      </c>
      <c r="I9116">
        <v>1</v>
      </c>
      <c r="J9116">
        <v>1046</v>
      </c>
      <c r="K9116">
        <v>0</v>
      </c>
      <c r="L9116">
        <v>815.88</v>
      </c>
    </row>
    <row r="9117" spans="1:12" x14ac:dyDescent="0.25">
      <c r="A9117" t="str">
        <f t="shared" si="1974"/>
        <v>89301000</v>
      </c>
      <c r="B9117" t="str">
        <f t="shared" si="1984"/>
        <v>06539000</v>
      </c>
      <c r="C9117" t="str">
        <f t="shared" si="1980"/>
        <v>06539003</v>
      </c>
      <c r="D9117" t="str">
        <f t="shared" si="1981"/>
        <v>813</v>
      </c>
      <c r="E9117" t="str">
        <f t="shared" si="1975"/>
        <v>89301171</v>
      </c>
      <c r="F9117" t="str">
        <f t="shared" si="1976"/>
        <v>495727053</v>
      </c>
      <c r="G9117" s="1">
        <v>44805</v>
      </c>
      <c r="H9117" t="str">
        <f>"91329"</f>
        <v>91329</v>
      </c>
      <c r="I9117">
        <v>2</v>
      </c>
      <c r="J9117">
        <v>428</v>
      </c>
      <c r="K9117">
        <v>0</v>
      </c>
      <c r="L9117">
        <v>333.84</v>
      </c>
    </row>
    <row r="9118" spans="1:12" x14ac:dyDescent="0.25">
      <c r="A9118" t="str">
        <f t="shared" si="1974"/>
        <v>89301000</v>
      </c>
      <c r="B9118" t="str">
        <f t="shared" si="1984"/>
        <v>06539000</v>
      </c>
      <c r="C9118" t="str">
        <f t="shared" si="1980"/>
        <v>06539003</v>
      </c>
      <c r="D9118" t="str">
        <f t="shared" si="1981"/>
        <v>813</v>
      </c>
      <c r="E9118" t="str">
        <f t="shared" si="1975"/>
        <v>89301171</v>
      </c>
      <c r="F9118" t="str">
        <f t="shared" si="1976"/>
        <v>495727053</v>
      </c>
      <c r="G9118" s="1">
        <v>44805</v>
      </c>
      <c r="H9118" t="str">
        <f>"91329"</f>
        <v>91329</v>
      </c>
      <c r="I9118">
        <v>2</v>
      </c>
      <c r="J9118">
        <v>428</v>
      </c>
      <c r="K9118">
        <v>0</v>
      </c>
      <c r="L9118">
        <v>333.84</v>
      </c>
    </row>
    <row r="9119" spans="1:12" x14ac:dyDescent="0.25">
      <c r="A9119" t="str">
        <f t="shared" si="1974"/>
        <v>89301000</v>
      </c>
      <c r="B9119" t="str">
        <f t="shared" si="1984"/>
        <v>06539000</v>
      </c>
      <c r="C9119" t="str">
        <f t="shared" si="1980"/>
        <v>06539003</v>
      </c>
      <c r="D9119" t="str">
        <f t="shared" si="1981"/>
        <v>813</v>
      </c>
      <c r="E9119" t="str">
        <f t="shared" si="1975"/>
        <v>89301171</v>
      </c>
      <c r="F9119" t="str">
        <f t="shared" si="1976"/>
        <v>495727053</v>
      </c>
      <c r="G9119" s="1">
        <v>44805</v>
      </c>
      <c r="H9119" t="str">
        <f>"91329"</f>
        <v>91329</v>
      </c>
      <c r="I9119">
        <v>2</v>
      </c>
      <c r="J9119">
        <v>428</v>
      </c>
      <c r="K9119">
        <v>0</v>
      </c>
      <c r="L9119">
        <v>333.84</v>
      </c>
    </row>
    <row r="9120" spans="1:12" x14ac:dyDescent="0.25">
      <c r="A9120" t="str">
        <f t="shared" si="1974"/>
        <v>89301000</v>
      </c>
      <c r="B9120" t="str">
        <f t="shared" si="1984"/>
        <v>06539000</v>
      </c>
      <c r="C9120" t="str">
        <f t="shared" si="1980"/>
        <v>06539003</v>
      </c>
      <c r="D9120" t="str">
        <f t="shared" si="1981"/>
        <v>813</v>
      </c>
      <c r="E9120" t="str">
        <f t="shared" si="1975"/>
        <v>89301171</v>
      </c>
      <c r="F9120" t="str">
        <f t="shared" si="1976"/>
        <v>495727053</v>
      </c>
      <c r="G9120" s="1">
        <v>44805</v>
      </c>
      <c r="H9120" t="str">
        <f>"91329"</f>
        <v>91329</v>
      </c>
      <c r="I9120">
        <v>2</v>
      </c>
      <c r="J9120">
        <v>428</v>
      </c>
      <c r="K9120">
        <v>0</v>
      </c>
      <c r="L9120">
        <v>333.84</v>
      </c>
    </row>
    <row r="9121" spans="1:12" x14ac:dyDescent="0.25">
      <c r="A9121" t="str">
        <f t="shared" si="1974"/>
        <v>89301000</v>
      </c>
      <c r="B9121" t="str">
        <f t="shared" si="1984"/>
        <v>06539000</v>
      </c>
      <c r="C9121" t="str">
        <f t="shared" si="1980"/>
        <v>06539003</v>
      </c>
      <c r="D9121" t="str">
        <f t="shared" si="1981"/>
        <v>813</v>
      </c>
      <c r="E9121" t="str">
        <f t="shared" si="1975"/>
        <v>89301171</v>
      </c>
      <c r="F9121" t="str">
        <f t="shared" si="1976"/>
        <v>495727053</v>
      </c>
      <c r="G9121" s="1">
        <v>44795</v>
      </c>
      <c r="H9121" t="str">
        <f>"91129"</f>
        <v>91129</v>
      </c>
      <c r="I9121">
        <v>1</v>
      </c>
      <c r="J9121">
        <v>174</v>
      </c>
      <c r="K9121">
        <v>0</v>
      </c>
      <c r="L9121">
        <v>135.72</v>
      </c>
    </row>
    <row r="9122" spans="1:12" x14ac:dyDescent="0.25">
      <c r="A9122" t="str">
        <f t="shared" si="1974"/>
        <v>89301000</v>
      </c>
      <c r="B9122" t="str">
        <f t="shared" si="1984"/>
        <v>06539000</v>
      </c>
      <c r="C9122" t="str">
        <f t="shared" si="1980"/>
        <v>06539003</v>
      </c>
      <c r="D9122" t="str">
        <f t="shared" si="1981"/>
        <v>813</v>
      </c>
      <c r="E9122" t="str">
        <f t="shared" ref="E9122:E9158" si="1985">"89301171"</f>
        <v>89301171</v>
      </c>
      <c r="F9122" t="str">
        <f t="shared" si="1976"/>
        <v>495727053</v>
      </c>
      <c r="G9122" s="1">
        <v>44795</v>
      </c>
      <c r="H9122" t="str">
        <f>"91131"</f>
        <v>91131</v>
      </c>
      <c r="I9122">
        <v>1</v>
      </c>
      <c r="J9122">
        <v>171</v>
      </c>
      <c r="K9122">
        <v>0</v>
      </c>
      <c r="L9122">
        <v>133.38</v>
      </c>
    </row>
    <row r="9123" spans="1:12" x14ac:dyDescent="0.25">
      <c r="A9123" t="str">
        <f t="shared" si="1974"/>
        <v>89301000</v>
      </c>
      <c r="B9123" t="str">
        <f t="shared" si="1984"/>
        <v>06539000</v>
      </c>
      <c r="C9123" t="str">
        <f t="shared" si="1980"/>
        <v>06539003</v>
      </c>
      <c r="D9123" t="str">
        <f t="shared" si="1981"/>
        <v>813</v>
      </c>
      <c r="E9123" t="str">
        <f t="shared" si="1985"/>
        <v>89301171</v>
      </c>
      <c r="F9123" t="str">
        <f t="shared" si="1976"/>
        <v>495727053</v>
      </c>
      <c r="G9123" s="1">
        <v>44795</v>
      </c>
      <c r="H9123" t="str">
        <f>"91133"</f>
        <v>91133</v>
      </c>
      <c r="I9123">
        <v>1</v>
      </c>
      <c r="J9123">
        <v>176</v>
      </c>
      <c r="K9123">
        <v>0</v>
      </c>
      <c r="L9123">
        <v>137.28</v>
      </c>
    </row>
    <row r="9124" spans="1:12" x14ac:dyDescent="0.25">
      <c r="A9124" t="str">
        <f t="shared" si="1974"/>
        <v>89301000</v>
      </c>
      <c r="B9124" t="str">
        <f t="shared" si="1984"/>
        <v>06539000</v>
      </c>
      <c r="C9124" t="str">
        <f t="shared" si="1980"/>
        <v>06539003</v>
      </c>
      <c r="D9124" t="str">
        <f t="shared" si="1981"/>
        <v>813</v>
      </c>
      <c r="E9124" t="str">
        <f t="shared" si="1985"/>
        <v>89301171</v>
      </c>
      <c r="F9124" t="str">
        <f t="shared" si="1976"/>
        <v>495727053</v>
      </c>
      <c r="G9124" s="1">
        <v>44795</v>
      </c>
      <c r="H9124" t="str">
        <f>"91171"</f>
        <v>91171</v>
      </c>
      <c r="I9124">
        <v>1</v>
      </c>
      <c r="J9124">
        <v>360</v>
      </c>
      <c r="K9124">
        <v>0</v>
      </c>
      <c r="L9124">
        <v>280.8</v>
      </c>
    </row>
    <row r="9125" spans="1:12" x14ac:dyDescent="0.25">
      <c r="A9125" t="str">
        <f t="shared" si="1974"/>
        <v>89301000</v>
      </c>
      <c r="B9125" t="str">
        <f t="shared" si="1984"/>
        <v>06539000</v>
      </c>
      <c r="C9125" t="str">
        <f t="shared" si="1980"/>
        <v>06539003</v>
      </c>
      <c r="D9125" t="str">
        <f t="shared" si="1981"/>
        <v>813</v>
      </c>
      <c r="E9125" t="str">
        <f t="shared" si="1985"/>
        <v>89301171</v>
      </c>
      <c r="F9125" t="str">
        <f t="shared" si="1976"/>
        <v>495727053</v>
      </c>
      <c r="G9125" s="1">
        <v>44792</v>
      </c>
      <c r="H9125" t="str">
        <f>"91173"</f>
        <v>91173</v>
      </c>
      <c r="I9125">
        <v>1</v>
      </c>
      <c r="J9125">
        <v>335</v>
      </c>
      <c r="K9125">
        <v>0</v>
      </c>
      <c r="L9125">
        <v>261.3</v>
      </c>
    </row>
    <row r="9126" spans="1:12" x14ac:dyDescent="0.25">
      <c r="A9126" t="str">
        <f t="shared" si="1974"/>
        <v>89301000</v>
      </c>
      <c r="B9126" t="str">
        <f t="shared" si="1984"/>
        <v>06539000</v>
      </c>
      <c r="C9126" t="str">
        <f t="shared" si="1980"/>
        <v>06539003</v>
      </c>
      <c r="D9126" t="str">
        <f t="shared" si="1981"/>
        <v>813</v>
      </c>
      <c r="E9126" t="str">
        <f t="shared" si="1985"/>
        <v>89301171</v>
      </c>
      <c r="F9126" t="str">
        <f t="shared" si="1976"/>
        <v>495727053</v>
      </c>
      <c r="G9126" s="1">
        <v>44795</v>
      </c>
      <c r="H9126" t="str">
        <f>"91175"</f>
        <v>91175</v>
      </c>
      <c r="I9126">
        <v>1</v>
      </c>
      <c r="J9126">
        <v>360</v>
      </c>
      <c r="K9126">
        <v>0</v>
      </c>
      <c r="L9126">
        <v>280.8</v>
      </c>
    </row>
    <row r="9127" spans="1:12" x14ac:dyDescent="0.25">
      <c r="A9127" t="str">
        <f t="shared" si="1974"/>
        <v>89301000</v>
      </c>
      <c r="B9127" t="str">
        <f t="shared" si="1984"/>
        <v>06539000</v>
      </c>
      <c r="C9127" t="str">
        <f t="shared" si="1980"/>
        <v>06539003</v>
      </c>
      <c r="D9127" t="str">
        <f t="shared" si="1981"/>
        <v>813</v>
      </c>
      <c r="E9127" t="str">
        <f t="shared" si="1985"/>
        <v>89301171</v>
      </c>
      <c r="F9127" t="str">
        <f t="shared" si="1976"/>
        <v>495727053</v>
      </c>
      <c r="G9127" s="1">
        <v>44793</v>
      </c>
      <c r="H9127" t="str">
        <f>"91167"</f>
        <v>91167</v>
      </c>
      <c r="I9127">
        <v>1</v>
      </c>
      <c r="J9127">
        <v>425</v>
      </c>
      <c r="K9127">
        <v>0</v>
      </c>
      <c r="L9127">
        <v>331.5</v>
      </c>
    </row>
    <row r="9128" spans="1:12" x14ac:dyDescent="0.25">
      <c r="A9128" t="str">
        <f t="shared" si="1974"/>
        <v>89301000</v>
      </c>
      <c r="B9128" t="str">
        <f t="shared" si="1984"/>
        <v>06539000</v>
      </c>
      <c r="C9128" t="str">
        <f t="shared" si="1980"/>
        <v>06539003</v>
      </c>
      <c r="D9128" t="str">
        <f t="shared" si="1981"/>
        <v>813</v>
      </c>
      <c r="E9128" t="str">
        <f t="shared" si="1985"/>
        <v>89301171</v>
      </c>
      <c r="F9128" t="str">
        <f t="shared" si="1976"/>
        <v>495727053</v>
      </c>
      <c r="G9128" s="1">
        <v>44793</v>
      </c>
      <c r="H9128" t="str">
        <f>"91169"</f>
        <v>91169</v>
      </c>
      <c r="I9128">
        <v>1</v>
      </c>
      <c r="J9128">
        <v>425</v>
      </c>
      <c r="K9128">
        <v>0</v>
      </c>
      <c r="L9128">
        <v>331.5</v>
      </c>
    </row>
    <row r="9129" spans="1:12" x14ac:dyDescent="0.25">
      <c r="A9129" t="str">
        <f t="shared" si="1974"/>
        <v>89301000</v>
      </c>
      <c r="B9129" t="str">
        <f t="shared" si="1984"/>
        <v>06539000</v>
      </c>
      <c r="C9129" t="str">
        <f t="shared" si="1980"/>
        <v>06539003</v>
      </c>
      <c r="D9129" t="str">
        <f t="shared" si="1981"/>
        <v>813</v>
      </c>
      <c r="E9129" t="str">
        <f t="shared" si="1985"/>
        <v>89301171</v>
      </c>
      <c r="F9129" t="str">
        <f t="shared" si="1976"/>
        <v>495727053</v>
      </c>
      <c r="G9129" s="1">
        <v>44792</v>
      </c>
      <c r="H9129" t="str">
        <f>"91167"</f>
        <v>91167</v>
      </c>
      <c r="I9129">
        <v>1</v>
      </c>
      <c r="J9129">
        <v>425</v>
      </c>
      <c r="K9129">
        <v>0</v>
      </c>
      <c r="L9129">
        <v>331.5</v>
      </c>
    </row>
    <row r="9130" spans="1:12" x14ac:dyDescent="0.25">
      <c r="A9130" t="str">
        <f t="shared" si="1974"/>
        <v>89301000</v>
      </c>
      <c r="B9130" t="str">
        <f t="shared" si="1984"/>
        <v>06539000</v>
      </c>
      <c r="C9130" t="str">
        <f t="shared" si="1980"/>
        <v>06539003</v>
      </c>
      <c r="D9130" t="str">
        <f t="shared" si="1981"/>
        <v>813</v>
      </c>
      <c r="E9130" t="str">
        <f t="shared" si="1985"/>
        <v>89301171</v>
      </c>
      <c r="F9130" t="str">
        <f t="shared" si="1976"/>
        <v>495727053</v>
      </c>
      <c r="G9130" s="1">
        <v>44792</v>
      </c>
      <c r="H9130" t="str">
        <f>"91169"</f>
        <v>91169</v>
      </c>
      <c r="I9130">
        <v>1</v>
      </c>
      <c r="J9130">
        <v>425</v>
      </c>
      <c r="K9130">
        <v>0</v>
      </c>
      <c r="L9130">
        <v>331.5</v>
      </c>
    </row>
    <row r="9131" spans="1:12" x14ac:dyDescent="0.25">
      <c r="A9131" t="str">
        <f t="shared" si="1974"/>
        <v>89301000</v>
      </c>
      <c r="B9131" t="str">
        <f t="shared" si="1984"/>
        <v>06539000</v>
      </c>
      <c r="C9131" t="str">
        <f t="shared" si="1980"/>
        <v>06539003</v>
      </c>
      <c r="D9131" t="str">
        <f t="shared" si="1981"/>
        <v>813</v>
      </c>
      <c r="E9131" t="str">
        <f t="shared" si="1985"/>
        <v>89301171</v>
      </c>
      <c r="F9131" t="str">
        <f t="shared" si="1976"/>
        <v>495727053</v>
      </c>
      <c r="G9131" s="1">
        <v>44792</v>
      </c>
      <c r="H9131" t="str">
        <f>"91475"</f>
        <v>91475</v>
      </c>
      <c r="I9131">
        <v>1</v>
      </c>
      <c r="J9131">
        <v>206</v>
      </c>
      <c r="K9131">
        <v>0</v>
      </c>
      <c r="L9131">
        <v>160.68</v>
      </c>
    </row>
    <row r="9132" spans="1:12" x14ac:dyDescent="0.25">
      <c r="A9132" t="str">
        <f t="shared" si="1974"/>
        <v>89301000</v>
      </c>
      <c r="B9132" t="str">
        <f t="shared" si="1984"/>
        <v>06539000</v>
      </c>
      <c r="C9132" t="str">
        <f t="shared" ref="C9132:C9163" si="1986">"06539003"</f>
        <v>06539003</v>
      </c>
      <c r="D9132" t="str">
        <f t="shared" ref="D9132:D9163" si="1987">"813"</f>
        <v>813</v>
      </c>
      <c r="E9132" t="str">
        <f t="shared" si="1985"/>
        <v>89301171</v>
      </c>
      <c r="F9132" t="str">
        <f t="shared" ref="F9132:F9158" si="1988">"8707305816"</f>
        <v>8707305816</v>
      </c>
      <c r="G9132" s="1">
        <v>44804</v>
      </c>
      <c r="H9132" t="str">
        <f t="shared" ref="H9132:H9141" si="1989">"91413"</f>
        <v>91413</v>
      </c>
      <c r="I9132">
        <v>1</v>
      </c>
      <c r="J9132">
        <v>853</v>
      </c>
      <c r="K9132">
        <v>0</v>
      </c>
      <c r="L9132">
        <v>665.34</v>
      </c>
    </row>
    <row r="9133" spans="1:12" x14ac:dyDescent="0.25">
      <c r="A9133" t="str">
        <f t="shared" si="1974"/>
        <v>89301000</v>
      </c>
      <c r="B9133" t="str">
        <f t="shared" si="1984"/>
        <v>06539000</v>
      </c>
      <c r="C9133" t="str">
        <f t="shared" si="1986"/>
        <v>06539003</v>
      </c>
      <c r="D9133" t="str">
        <f t="shared" si="1987"/>
        <v>813</v>
      </c>
      <c r="E9133" t="str">
        <f t="shared" si="1985"/>
        <v>89301171</v>
      </c>
      <c r="F9133" t="str">
        <f t="shared" si="1988"/>
        <v>8707305816</v>
      </c>
      <c r="G9133" s="1">
        <v>44804</v>
      </c>
      <c r="H9133" t="str">
        <f t="shared" si="1989"/>
        <v>91413</v>
      </c>
      <c r="I9133">
        <v>1</v>
      </c>
      <c r="J9133">
        <v>853</v>
      </c>
      <c r="K9133">
        <v>0</v>
      </c>
      <c r="L9133">
        <v>665.34</v>
      </c>
    </row>
    <row r="9134" spans="1:12" x14ac:dyDescent="0.25">
      <c r="A9134" t="str">
        <f t="shared" si="1974"/>
        <v>89301000</v>
      </c>
      <c r="B9134" t="str">
        <f t="shared" si="1984"/>
        <v>06539000</v>
      </c>
      <c r="C9134" t="str">
        <f t="shared" si="1986"/>
        <v>06539003</v>
      </c>
      <c r="D9134" t="str">
        <f t="shared" si="1987"/>
        <v>813</v>
      </c>
      <c r="E9134" t="str">
        <f t="shared" si="1985"/>
        <v>89301171</v>
      </c>
      <c r="F9134" t="str">
        <f t="shared" si="1988"/>
        <v>8707305816</v>
      </c>
      <c r="G9134" s="1">
        <v>44812</v>
      </c>
      <c r="H9134" t="str">
        <f t="shared" si="1989"/>
        <v>91413</v>
      </c>
      <c r="I9134">
        <v>1</v>
      </c>
      <c r="J9134">
        <v>853</v>
      </c>
      <c r="K9134">
        <v>0</v>
      </c>
      <c r="L9134">
        <v>665.34</v>
      </c>
    </row>
    <row r="9135" spans="1:12" x14ac:dyDescent="0.25">
      <c r="A9135" t="str">
        <f t="shared" si="1974"/>
        <v>89301000</v>
      </c>
      <c r="B9135" t="str">
        <f t="shared" si="1984"/>
        <v>06539000</v>
      </c>
      <c r="C9135" t="str">
        <f t="shared" si="1986"/>
        <v>06539003</v>
      </c>
      <c r="D9135" t="str">
        <f t="shared" si="1987"/>
        <v>813</v>
      </c>
      <c r="E9135" t="str">
        <f t="shared" si="1985"/>
        <v>89301171</v>
      </c>
      <c r="F9135" t="str">
        <f t="shared" si="1988"/>
        <v>8707305816</v>
      </c>
      <c r="G9135" s="1">
        <v>44812</v>
      </c>
      <c r="H9135" t="str">
        <f t="shared" si="1989"/>
        <v>91413</v>
      </c>
      <c r="I9135">
        <v>1</v>
      </c>
      <c r="J9135">
        <v>853</v>
      </c>
      <c r="K9135">
        <v>0</v>
      </c>
      <c r="L9135">
        <v>665.34</v>
      </c>
    </row>
    <row r="9136" spans="1:12" x14ac:dyDescent="0.25">
      <c r="A9136" t="str">
        <f t="shared" si="1974"/>
        <v>89301000</v>
      </c>
      <c r="B9136" t="str">
        <f t="shared" si="1984"/>
        <v>06539000</v>
      </c>
      <c r="C9136" t="str">
        <f t="shared" si="1986"/>
        <v>06539003</v>
      </c>
      <c r="D9136" t="str">
        <f t="shared" si="1987"/>
        <v>813</v>
      </c>
      <c r="E9136" t="str">
        <f t="shared" si="1985"/>
        <v>89301171</v>
      </c>
      <c r="F9136" t="str">
        <f t="shared" si="1988"/>
        <v>8707305816</v>
      </c>
      <c r="G9136" s="1">
        <v>44811</v>
      </c>
      <c r="H9136" t="str">
        <f t="shared" si="1989"/>
        <v>91413</v>
      </c>
      <c r="I9136">
        <v>1</v>
      </c>
      <c r="J9136">
        <v>853</v>
      </c>
      <c r="K9136">
        <v>0</v>
      </c>
      <c r="L9136">
        <v>665.34</v>
      </c>
    </row>
    <row r="9137" spans="1:12" x14ac:dyDescent="0.25">
      <c r="A9137" t="str">
        <f t="shared" si="1974"/>
        <v>89301000</v>
      </c>
      <c r="B9137" t="str">
        <f t="shared" si="1984"/>
        <v>06539000</v>
      </c>
      <c r="C9137" t="str">
        <f t="shared" si="1986"/>
        <v>06539003</v>
      </c>
      <c r="D9137" t="str">
        <f t="shared" si="1987"/>
        <v>813</v>
      </c>
      <c r="E9137" t="str">
        <f t="shared" si="1985"/>
        <v>89301171</v>
      </c>
      <c r="F9137" t="str">
        <f t="shared" si="1988"/>
        <v>8707305816</v>
      </c>
      <c r="G9137" s="1">
        <v>44811</v>
      </c>
      <c r="H9137" t="str">
        <f t="shared" si="1989"/>
        <v>91413</v>
      </c>
      <c r="I9137">
        <v>1</v>
      </c>
      <c r="J9137">
        <v>853</v>
      </c>
      <c r="K9137">
        <v>0</v>
      </c>
      <c r="L9137">
        <v>665.34</v>
      </c>
    </row>
    <row r="9138" spans="1:12" x14ac:dyDescent="0.25">
      <c r="A9138" t="str">
        <f t="shared" si="1974"/>
        <v>89301000</v>
      </c>
      <c r="B9138" t="str">
        <f t="shared" si="1984"/>
        <v>06539000</v>
      </c>
      <c r="C9138" t="str">
        <f t="shared" si="1986"/>
        <v>06539003</v>
      </c>
      <c r="D9138" t="str">
        <f t="shared" si="1987"/>
        <v>813</v>
      </c>
      <c r="E9138" t="str">
        <f t="shared" si="1985"/>
        <v>89301171</v>
      </c>
      <c r="F9138" t="str">
        <f t="shared" si="1988"/>
        <v>8707305816</v>
      </c>
      <c r="G9138" s="1">
        <v>44812</v>
      </c>
      <c r="H9138" t="str">
        <f t="shared" si="1989"/>
        <v>91413</v>
      </c>
      <c r="I9138">
        <v>1</v>
      </c>
      <c r="J9138">
        <v>853</v>
      </c>
      <c r="K9138">
        <v>0</v>
      </c>
      <c r="L9138">
        <v>665.34</v>
      </c>
    </row>
    <row r="9139" spans="1:12" x14ac:dyDescent="0.25">
      <c r="A9139" t="str">
        <f t="shared" si="1974"/>
        <v>89301000</v>
      </c>
      <c r="B9139" t="str">
        <f t="shared" si="1984"/>
        <v>06539000</v>
      </c>
      <c r="C9139" t="str">
        <f t="shared" si="1986"/>
        <v>06539003</v>
      </c>
      <c r="D9139" t="str">
        <f t="shared" si="1987"/>
        <v>813</v>
      </c>
      <c r="E9139" t="str">
        <f t="shared" si="1985"/>
        <v>89301171</v>
      </c>
      <c r="F9139" t="str">
        <f t="shared" si="1988"/>
        <v>8707305816</v>
      </c>
      <c r="G9139" s="1">
        <v>44812</v>
      </c>
      <c r="H9139" t="str">
        <f t="shared" si="1989"/>
        <v>91413</v>
      </c>
      <c r="I9139">
        <v>1</v>
      </c>
      <c r="J9139">
        <v>853</v>
      </c>
      <c r="K9139">
        <v>0</v>
      </c>
      <c r="L9139">
        <v>665.34</v>
      </c>
    </row>
    <row r="9140" spans="1:12" x14ac:dyDescent="0.25">
      <c r="A9140" t="str">
        <f t="shared" si="1974"/>
        <v>89301000</v>
      </c>
      <c r="B9140" t="str">
        <f t="shared" si="1984"/>
        <v>06539000</v>
      </c>
      <c r="C9140" t="str">
        <f t="shared" si="1986"/>
        <v>06539003</v>
      </c>
      <c r="D9140" t="str">
        <f t="shared" si="1987"/>
        <v>813</v>
      </c>
      <c r="E9140" t="str">
        <f t="shared" si="1985"/>
        <v>89301171</v>
      </c>
      <c r="F9140" t="str">
        <f t="shared" si="1988"/>
        <v>8707305816</v>
      </c>
      <c r="G9140" s="1">
        <v>44812</v>
      </c>
      <c r="H9140" t="str">
        <f t="shared" si="1989"/>
        <v>91413</v>
      </c>
      <c r="I9140">
        <v>1</v>
      </c>
      <c r="J9140">
        <v>853</v>
      </c>
      <c r="K9140">
        <v>0</v>
      </c>
      <c r="L9140">
        <v>665.34</v>
      </c>
    </row>
    <row r="9141" spans="1:12" x14ac:dyDescent="0.25">
      <c r="A9141" t="str">
        <f t="shared" si="1974"/>
        <v>89301000</v>
      </c>
      <c r="B9141" t="str">
        <f t="shared" si="1984"/>
        <v>06539000</v>
      </c>
      <c r="C9141" t="str">
        <f t="shared" si="1986"/>
        <v>06539003</v>
      </c>
      <c r="D9141" t="str">
        <f t="shared" si="1987"/>
        <v>813</v>
      </c>
      <c r="E9141" t="str">
        <f t="shared" si="1985"/>
        <v>89301171</v>
      </c>
      <c r="F9141" t="str">
        <f t="shared" si="1988"/>
        <v>8707305816</v>
      </c>
      <c r="G9141" s="1">
        <v>44812</v>
      </c>
      <c r="H9141" t="str">
        <f t="shared" si="1989"/>
        <v>91413</v>
      </c>
      <c r="I9141">
        <v>1</v>
      </c>
      <c r="J9141">
        <v>853</v>
      </c>
      <c r="K9141">
        <v>0</v>
      </c>
      <c r="L9141">
        <v>665.34</v>
      </c>
    </row>
    <row r="9142" spans="1:12" x14ac:dyDescent="0.25">
      <c r="A9142" t="str">
        <f t="shared" si="1974"/>
        <v>89301000</v>
      </c>
      <c r="B9142" t="str">
        <f t="shared" si="1984"/>
        <v>06539000</v>
      </c>
      <c r="C9142" t="str">
        <f t="shared" si="1986"/>
        <v>06539003</v>
      </c>
      <c r="D9142" t="str">
        <f t="shared" si="1987"/>
        <v>813</v>
      </c>
      <c r="E9142" t="str">
        <f t="shared" si="1985"/>
        <v>89301171</v>
      </c>
      <c r="F9142" t="str">
        <f t="shared" si="1988"/>
        <v>8707305816</v>
      </c>
      <c r="G9142" s="1">
        <v>44802</v>
      </c>
      <c r="H9142" t="str">
        <f t="shared" ref="H9142:H9147" si="1990">"91197"</f>
        <v>91197</v>
      </c>
      <c r="I9142">
        <v>1</v>
      </c>
      <c r="J9142">
        <v>1046</v>
      </c>
      <c r="K9142">
        <v>0</v>
      </c>
      <c r="L9142">
        <v>815.88</v>
      </c>
    </row>
    <row r="9143" spans="1:12" x14ac:dyDescent="0.25">
      <c r="A9143" t="str">
        <f t="shared" si="1974"/>
        <v>89301000</v>
      </c>
      <c r="B9143" t="str">
        <f t="shared" si="1984"/>
        <v>06539000</v>
      </c>
      <c r="C9143" t="str">
        <f t="shared" si="1986"/>
        <v>06539003</v>
      </c>
      <c r="D9143" t="str">
        <f t="shared" si="1987"/>
        <v>813</v>
      </c>
      <c r="E9143" t="str">
        <f t="shared" si="1985"/>
        <v>89301171</v>
      </c>
      <c r="F9143" t="str">
        <f t="shared" si="1988"/>
        <v>8707305816</v>
      </c>
      <c r="G9143" s="1">
        <v>44802</v>
      </c>
      <c r="H9143" t="str">
        <f t="shared" si="1990"/>
        <v>91197</v>
      </c>
      <c r="I9143">
        <v>1</v>
      </c>
      <c r="J9143">
        <v>1046</v>
      </c>
      <c r="K9143">
        <v>0</v>
      </c>
      <c r="L9143">
        <v>815.88</v>
      </c>
    </row>
    <row r="9144" spans="1:12" x14ac:dyDescent="0.25">
      <c r="A9144" t="str">
        <f t="shared" si="1974"/>
        <v>89301000</v>
      </c>
      <c r="B9144" t="str">
        <f t="shared" si="1984"/>
        <v>06539000</v>
      </c>
      <c r="C9144" t="str">
        <f t="shared" si="1986"/>
        <v>06539003</v>
      </c>
      <c r="D9144" t="str">
        <f t="shared" si="1987"/>
        <v>813</v>
      </c>
      <c r="E9144" t="str">
        <f t="shared" si="1985"/>
        <v>89301171</v>
      </c>
      <c r="F9144" t="str">
        <f t="shared" si="1988"/>
        <v>8707305816</v>
      </c>
      <c r="G9144" s="1">
        <v>44801</v>
      </c>
      <c r="H9144" t="str">
        <f t="shared" si="1990"/>
        <v>91197</v>
      </c>
      <c r="I9144">
        <v>1</v>
      </c>
      <c r="J9144">
        <v>1046</v>
      </c>
      <c r="K9144">
        <v>0</v>
      </c>
      <c r="L9144">
        <v>815.88</v>
      </c>
    </row>
    <row r="9145" spans="1:12" x14ac:dyDescent="0.25">
      <c r="A9145" t="str">
        <f t="shared" si="1974"/>
        <v>89301000</v>
      </c>
      <c r="B9145" t="str">
        <f t="shared" si="1984"/>
        <v>06539000</v>
      </c>
      <c r="C9145" t="str">
        <f t="shared" si="1986"/>
        <v>06539003</v>
      </c>
      <c r="D9145" t="str">
        <f t="shared" si="1987"/>
        <v>813</v>
      </c>
      <c r="E9145" t="str">
        <f t="shared" si="1985"/>
        <v>89301171</v>
      </c>
      <c r="F9145" t="str">
        <f t="shared" si="1988"/>
        <v>8707305816</v>
      </c>
      <c r="G9145" s="1">
        <v>44801</v>
      </c>
      <c r="H9145" t="str">
        <f t="shared" si="1990"/>
        <v>91197</v>
      </c>
      <c r="I9145">
        <v>1</v>
      </c>
      <c r="J9145">
        <v>1046</v>
      </c>
      <c r="K9145">
        <v>0</v>
      </c>
      <c r="L9145">
        <v>815.88</v>
      </c>
    </row>
    <row r="9146" spans="1:12" x14ac:dyDescent="0.25">
      <c r="A9146" t="str">
        <f t="shared" si="1974"/>
        <v>89301000</v>
      </c>
      <c r="B9146" t="str">
        <f t="shared" si="1984"/>
        <v>06539000</v>
      </c>
      <c r="C9146" t="str">
        <f t="shared" si="1986"/>
        <v>06539003</v>
      </c>
      <c r="D9146" t="str">
        <f t="shared" si="1987"/>
        <v>813</v>
      </c>
      <c r="E9146" t="str">
        <f t="shared" si="1985"/>
        <v>89301171</v>
      </c>
      <c r="F9146" t="str">
        <f t="shared" si="1988"/>
        <v>8707305816</v>
      </c>
      <c r="G9146" s="1">
        <v>44800</v>
      </c>
      <c r="H9146" t="str">
        <f t="shared" si="1990"/>
        <v>91197</v>
      </c>
      <c r="I9146">
        <v>1</v>
      </c>
      <c r="J9146">
        <v>1046</v>
      </c>
      <c r="K9146">
        <v>0</v>
      </c>
      <c r="L9146">
        <v>815.88</v>
      </c>
    </row>
    <row r="9147" spans="1:12" x14ac:dyDescent="0.25">
      <c r="A9147" t="str">
        <f t="shared" si="1974"/>
        <v>89301000</v>
      </c>
      <c r="B9147" t="str">
        <f t="shared" si="1984"/>
        <v>06539000</v>
      </c>
      <c r="C9147" t="str">
        <f t="shared" si="1986"/>
        <v>06539003</v>
      </c>
      <c r="D9147" t="str">
        <f t="shared" si="1987"/>
        <v>813</v>
      </c>
      <c r="E9147" t="str">
        <f t="shared" si="1985"/>
        <v>89301171</v>
      </c>
      <c r="F9147" t="str">
        <f t="shared" si="1988"/>
        <v>8707305816</v>
      </c>
      <c r="G9147" s="1">
        <v>44800</v>
      </c>
      <c r="H9147" t="str">
        <f t="shared" si="1990"/>
        <v>91197</v>
      </c>
      <c r="I9147">
        <v>1</v>
      </c>
      <c r="J9147">
        <v>1046</v>
      </c>
      <c r="K9147">
        <v>0</v>
      </c>
      <c r="L9147">
        <v>815.88</v>
      </c>
    </row>
    <row r="9148" spans="1:12" x14ac:dyDescent="0.25">
      <c r="A9148" t="str">
        <f t="shared" si="1974"/>
        <v>89301000</v>
      </c>
      <c r="B9148" t="str">
        <f t="shared" si="1984"/>
        <v>06539000</v>
      </c>
      <c r="C9148" t="str">
        <f t="shared" si="1986"/>
        <v>06539003</v>
      </c>
      <c r="D9148" t="str">
        <f t="shared" si="1987"/>
        <v>813</v>
      </c>
      <c r="E9148" t="str">
        <f t="shared" si="1985"/>
        <v>89301171</v>
      </c>
      <c r="F9148" t="str">
        <f t="shared" si="1988"/>
        <v>8707305816</v>
      </c>
      <c r="G9148" s="1">
        <v>44803</v>
      </c>
      <c r="H9148" t="str">
        <f>"91329"</f>
        <v>91329</v>
      </c>
      <c r="I9148">
        <v>2</v>
      </c>
      <c r="J9148">
        <v>428</v>
      </c>
      <c r="K9148">
        <v>0</v>
      </c>
      <c r="L9148">
        <v>333.84</v>
      </c>
    </row>
    <row r="9149" spans="1:12" x14ac:dyDescent="0.25">
      <c r="A9149" t="str">
        <f t="shared" si="1974"/>
        <v>89301000</v>
      </c>
      <c r="B9149" t="str">
        <f t="shared" si="1984"/>
        <v>06539000</v>
      </c>
      <c r="C9149" t="str">
        <f t="shared" si="1986"/>
        <v>06539003</v>
      </c>
      <c r="D9149" t="str">
        <f t="shared" si="1987"/>
        <v>813</v>
      </c>
      <c r="E9149" t="str">
        <f t="shared" si="1985"/>
        <v>89301171</v>
      </c>
      <c r="F9149" t="str">
        <f t="shared" si="1988"/>
        <v>8707305816</v>
      </c>
      <c r="G9149" s="1">
        <v>44803</v>
      </c>
      <c r="H9149" t="str">
        <f>"91329"</f>
        <v>91329</v>
      </c>
      <c r="I9149">
        <v>2</v>
      </c>
      <c r="J9149">
        <v>428</v>
      </c>
      <c r="K9149">
        <v>0</v>
      </c>
      <c r="L9149">
        <v>333.84</v>
      </c>
    </row>
    <row r="9150" spans="1:12" x14ac:dyDescent="0.25">
      <c r="A9150" t="str">
        <f t="shared" si="1974"/>
        <v>89301000</v>
      </c>
      <c r="B9150" t="str">
        <f t="shared" si="1984"/>
        <v>06539000</v>
      </c>
      <c r="C9150" t="str">
        <f t="shared" si="1986"/>
        <v>06539003</v>
      </c>
      <c r="D9150" t="str">
        <f t="shared" si="1987"/>
        <v>813</v>
      </c>
      <c r="E9150" t="str">
        <f t="shared" si="1985"/>
        <v>89301171</v>
      </c>
      <c r="F9150" t="str">
        <f t="shared" si="1988"/>
        <v>8707305816</v>
      </c>
      <c r="G9150" s="1">
        <v>44803</v>
      </c>
      <c r="H9150" t="str">
        <f>"91329"</f>
        <v>91329</v>
      </c>
      <c r="I9150">
        <v>2</v>
      </c>
      <c r="J9150">
        <v>428</v>
      </c>
      <c r="K9150">
        <v>0</v>
      </c>
      <c r="L9150">
        <v>333.84</v>
      </c>
    </row>
    <row r="9151" spans="1:12" x14ac:dyDescent="0.25">
      <c r="A9151" t="str">
        <f t="shared" si="1974"/>
        <v>89301000</v>
      </c>
      <c r="B9151" t="str">
        <f t="shared" si="1984"/>
        <v>06539000</v>
      </c>
      <c r="C9151" t="str">
        <f t="shared" si="1986"/>
        <v>06539003</v>
      </c>
      <c r="D9151" t="str">
        <f t="shared" si="1987"/>
        <v>813</v>
      </c>
      <c r="E9151" t="str">
        <f t="shared" si="1985"/>
        <v>89301171</v>
      </c>
      <c r="F9151" t="str">
        <f t="shared" si="1988"/>
        <v>8707305816</v>
      </c>
      <c r="G9151" s="1">
        <v>44803</v>
      </c>
      <c r="H9151" t="str">
        <f>"91329"</f>
        <v>91329</v>
      </c>
      <c r="I9151">
        <v>2</v>
      </c>
      <c r="J9151">
        <v>428</v>
      </c>
      <c r="K9151">
        <v>0</v>
      </c>
      <c r="L9151">
        <v>333.84</v>
      </c>
    </row>
    <row r="9152" spans="1:12" x14ac:dyDescent="0.25">
      <c r="A9152" t="str">
        <f t="shared" si="1974"/>
        <v>89301000</v>
      </c>
      <c r="B9152" t="str">
        <f t="shared" si="1984"/>
        <v>06539000</v>
      </c>
      <c r="C9152" t="str">
        <f t="shared" si="1986"/>
        <v>06539003</v>
      </c>
      <c r="D9152" t="str">
        <f t="shared" si="1987"/>
        <v>813</v>
      </c>
      <c r="E9152" t="str">
        <f t="shared" si="1985"/>
        <v>89301171</v>
      </c>
      <c r="F9152" t="str">
        <f t="shared" si="1988"/>
        <v>8707305816</v>
      </c>
      <c r="G9152" s="1">
        <v>44802</v>
      </c>
      <c r="H9152" t="str">
        <f>"91129"</f>
        <v>91129</v>
      </c>
      <c r="I9152">
        <v>1</v>
      </c>
      <c r="J9152">
        <v>174</v>
      </c>
      <c r="K9152">
        <v>0</v>
      </c>
      <c r="L9152">
        <v>135.72</v>
      </c>
    </row>
    <row r="9153" spans="1:12" x14ac:dyDescent="0.25">
      <c r="A9153" t="str">
        <f t="shared" si="1974"/>
        <v>89301000</v>
      </c>
      <c r="B9153" t="str">
        <f t="shared" si="1984"/>
        <v>06539000</v>
      </c>
      <c r="C9153" t="str">
        <f t="shared" si="1986"/>
        <v>06539003</v>
      </c>
      <c r="D9153" t="str">
        <f t="shared" si="1987"/>
        <v>813</v>
      </c>
      <c r="E9153" t="str">
        <f t="shared" si="1985"/>
        <v>89301171</v>
      </c>
      <c r="F9153" t="str">
        <f t="shared" si="1988"/>
        <v>8707305816</v>
      </c>
      <c r="G9153" s="1">
        <v>44802</v>
      </c>
      <c r="H9153" t="str">
        <f>"91131"</f>
        <v>91131</v>
      </c>
      <c r="I9153">
        <v>1</v>
      </c>
      <c r="J9153">
        <v>171</v>
      </c>
      <c r="K9153">
        <v>0</v>
      </c>
      <c r="L9153">
        <v>133.38</v>
      </c>
    </row>
    <row r="9154" spans="1:12" x14ac:dyDescent="0.25">
      <c r="A9154" t="str">
        <f t="shared" ref="A9154:A9217" si="1991">"89301000"</f>
        <v>89301000</v>
      </c>
      <c r="B9154" t="str">
        <f t="shared" si="1984"/>
        <v>06539000</v>
      </c>
      <c r="C9154" t="str">
        <f t="shared" si="1986"/>
        <v>06539003</v>
      </c>
      <c r="D9154" t="str">
        <f t="shared" si="1987"/>
        <v>813</v>
      </c>
      <c r="E9154" t="str">
        <f t="shared" si="1985"/>
        <v>89301171</v>
      </c>
      <c r="F9154" t="str">
        <f t="shared" si="1988"/>
        <v>8707305816</v>
      </c>
      <c r="G9154" s="1">
        <v>44802</v>
      </c>
      <c r="H9154" t="str">
        <f>"91133"</f>
        <v>91133</v>
      </c>
      <c r="I9154">
        <v>1</v>
      </c>
      <c r="J9154">
        <v>176</v>
      </c>
      <c r="K9154">
        <v>0</v>
      </c>
      <c r="L9154">
        <v>137.28</v>
      </c>
    </row>
    <row r="9155" spans="1:12" x14ac:dyDescent="0.25">
      <c r="A9155" t="str">
        <f t="shared" si="1991"/>
        <v>89301000</v>
      </c>
      <c r="B9155" t="str">
        <f t="shared" si="1984"/>
        <v>06539000</v>
      </c>
      <c r="C9155" t="str">
        <f t="shared" si="1986"/>
        <v>06539003</v>
      </c>
      <c r="D9155" t="str">
        <f t="shared" si="1987"/>
        <v>813</v>
      </c>
      <c r="E9155" t="str">
        <f t="shared" si="1985"/>
        <v>89301171</v>
      </c>
      <c r="F9155" t="str">
        <f t="shared" si="1988"/>
        <v>8707305816</v>
      </c>
      <c r="G9155" s="1">
        <v>44802</v>
      </c>
      <c r="H9155" t="str">
        <f>"91171"</f>
        <v>91171</v>
      </c>
      <c r="I9155">
        <v>1</v>
      </c>
      <c r="J9155">
        <v>360</v>
      </c>
      <c r="K9155">
        <v>0</v>
      </c>
      <c r="L9155">
        <v>280.8</v>
      </c>
    </row>
    <row r="9156" spans="1:12" x14ac:dyDescent="0.25">
      <c r="A9156" t="str">
        <f t="shared" si="1991"/>
        <v>89301000</v>
      </c>
      <c r="B9156" t="str">
        <f t="shared" si="1984"/>
        <v>06539000</v>
      </c>
      <c r="C9156" t="str">
        <f t="shared" si="1986"/>
        <v>06539003</v>
      </c>
      <c r="D9156" t="str">
        <f t="shared" si="1987"/>
        <v>813</v>
      </c>
      <c r="E9156" t="str">
        <f t="shared" si="1985"/>
        <v>89301171</v>
      </c>
      <c r="F9156" t="str">
        <f t="shared" si="1988"/>
        <v>8707305816</v>
      </c>
      <c r="G9156" s="1">
        <v>44802</v>
      </c>
      <c r="H9156" t="str">
        <f>"91175"</f>
        <v>91175</v>
      </c>
      <c r="I9156">
        <v>1</v>
      </c>
      <c r="J9156">
        <v>360</v>
      </c>
      <c r="K9156">
        <v>0</v>
      </c>
      <c r="L9156">
        <v>280.8</v>
      </c>
    </row>
    <row r="9157" spans="1:12" x14ac:dyDescent="0.25">
      <c r="A9157" t="str">
        <f t="shared" si="1991"/>
        <v>89301000</v>
      </c>
      <c r="B9157" t="str">
        <f t="shared" si="1984"/>
        <v>06539000</v>
      </c>
      <c r="C9157" t="str">
        <f t="shared" si="1986"/>
        <v>06539003</v>
      </c>
      <c r="D9157" t="str">
        <f t="shared" si="1987"/>
        <v>813</v>
      </c>
      <c r="E9157" t="str">
        <f t="shared" si="1985"/>
        <v>89301171</v>
      </c>
      <c r="F9157" t="str">
        <f t="shared" si="1988"/>
        <v>8707305816</v>
      </c>
      <c r="G9157" s="1">
        <v>44800</v>
      </c>
      <c r="H9157" t="str">
        <f>"91167"</f>
        <v>91167</v>
      </c>
      <c r="I9157">
        <v>1</v>
      </c>
      <c r="J9157">
        <v>425</v>
      </c>
      <c r="K9157">
        <v>0</v>
      </c>
      <c r="L9157">
        <v>331.5</v>
      </c>
    </row>
    <row r="9158" spans="1:12" x14ac:dyDescent="0.25">
      <c r="A9158" t="str">
        <f t="shared" si="1991"/>
        <v>89301000</v>
      </c>
      <c r="B9158" t="str">
        <f t="shared" si="1984"/>
        <v>06539000</v>
      </c>
      <c r="C9158" t="str">
        <f t="shared" si="1986"/>
        <v>06539003</v>
      </c>
      <c r="D9158" t="str">
        <f t="shared" si="1987"/>
        <v>813</v>
      </c>
      <c r="E9158" t="str">
        <f t="shared" si="1985"/>
        <v>89301171</v>
      </c>
      <c r="F9158" t="str">
        <f t="shared" si="1988"/>
        <v>8707305816</v>
      </c>
      <c r="G9158" s="1">
        <v>44800</v>
      </c>
      <c r="H9158" t="str">
        <f>"91169"</f>
        <v>91169</v>
      </c>
      <c r="I9158">
        <v>1</v>
      </c>
      <c r="J9158">
        <v>425</v>
      </c>
      <c r="K9158">
        <v>0</v>
      </c>
      <c r="L9158">
        <v>331.5</v>
      </c>
    </row>
    <row r="9159" spans="1:12" x14ac:dyDescent="0.25">
      <c r="A9159" t="str">
        <f t="shared" si="1991"/>
        <v>89301000</v>
      </c>
      <c r="B9159" t="str">
        <f t="shared" si="1984"/>
        <v>06539000</v>
      </c>
      <c r="C9159" t="str">
        <f t="shared" si="1986"/>
        <v>06539003</v>
      </c>
      <c r="D9159" t="str">
        <f t="shared" si="1987"/>
        <v>813</v>
      </c>
      <c r="E9159" t="str">
        <f>"89301172"</f>
        <v>89301172</v>
      </c>
      <c r="F9159" t="str">
        <f>"9252126158"</f>
        <v>9252126158</v>
      </c>
      <c r="G9159" s="1">
        <v>44803</v>
      </c>
      <c r="H9159" t="str">
        <f>"91329"</f>
        <v>91329</v>
      </c>
      <c r="I9159">
        <v>2</v>
      </c>
      <c r="J9159">
        <v>428</v>
      </c>
      <c r="K9159">
        <v>0</v>
      </c>
      <c r="L9159">
        <v>333.84</v>
      </c>
    </row>
    <row r="9160" spans="1:12" x14ac:dyDescent="0.25">
      <c r="A9160" t="str">
        <f t="shared" si="1991"/>
        <v>89301000</v>
      </c>
      <c r="B9160" t="str">
        <f t="shared" si="1984"/>
        <v>06539000</v>
      </c>
      <c r="C9160" t="str">
        <f t="shared" si="1986"/>
        <v>06539003</v>
      </c>
      <c r="D9160" t="str">
        <f t="shared" si="1987"/>
        <v>813</v>
      </c>
      <c r="E9160" t="str">
        <f>"89301172"</f>
        <v>89301172</v>
      </c>
      <c r="F9160" t="str">
        <f>"9252126158"</f>
        <v>9252126158</v>
      </c>
      <c r="G9160" s="1">
        <v>44803</v>
      </c>
      <c r="H9160" t="str">
        <f>"91329"</f>
        <v>91329</v>
      </c>
      <c r="I9160">
        <v>2</v>
      </c>
      <c r="J9160">
        <v>428</v>
      </c>
      <c r="K9160">
        <v>0</v>
      </c>
      <c r="L9160">
        <v>333.84</v>
      </c>
    </row>
    <row r="9161" spans="1:12" x14ac:dyDescent="0.25">
      <c r="A9161" t="str">
        <f t="shared" si="1991"/>
        <v>89301000</v>
      </c>
      <c r="B9161" t="str">
        <f t="shared" si="1984"/>
        <v>06539000</v>
      </c>
      <c r="C9161" t="str">
        <f t="shared" si="1986"/>
        <v>06539003</v>
      </c>
      <c r="D9161" t="str">
        <f t="shared" si="1987"/>
        <v>813</v>
      </c>
      <c r="E9161" t="str">
        <f>"89301172"</f>
        <v>89301172</v>
      </c>
      <c r="F9161" t="str">
        <f>"9252126158"</f>
        <v>9252126158</v>
      </c>
      <c r="G9161" s="1">
        <v>44803</v>
      </c>
      <c r="H9161" t="str">
        <f>"91329"</f>
        <v>91329</v>
      </c>
      <c r="I9161">
        <v>2</v>
      </c>
      <c r="J9161">
        <v>428</v>
      </c>
      <c r="K9161">
        <v>0</v>
      </c>
      <c r="L9161">
        <v>333.84</v>
      </c>
    </row>
    <row r="9162" spans="1:12" x14ac:dyDescent="0.25">
      <c r="A9162" t="str">
        <f t="shared" si="1991"/>
        <v>89301000</v>
      </c>
      <c r="B9162" t="str">
        <f t="shared" si="1984"/>
        <v>06539000</v>
      </c>
      <c r="C9162" t="str">
        <f t="shared" si="1986"/>
        <v>06539003</v>
      </c>
      <c r="D9162" t="str">
        <f t="shared" si="1987"/>
        <v>813</v>
      </c>
      <c r="E9162" t="str">
        <f>"89301172"</f>
        <v>89301172</v>
      </c>
      <c r="F9162" t="str">
        <f>"9252126158"</f>
        <v>9252126158</v>
      </c>
      <c r="G9162" s="1">
        <v>44803</v>
      </c>
      <c r="H9162" t="str">
        <f>"91329"</f>
        <v>91329</v>
      </c>
      <c r="I9162">
        <v>2</v>
      </c>
      <c r="J9162">
        <v>428</v>
      </c>
      <c r="K9162">
        <v>0</v>
      </c>
      <c r="L9162">
        <v>333.84</v>
      </c>
    </row>
    <row r="9163" spans="1:12" x14ac:dyDescent="0.25">
      <c r="A9163" t="str">
        <f t="shared" si="1991"/>
        <v>89301000</v>
      </c>
      <c r="B9163" t="str">
        <f t="shared" si="1984"/>
        <v>06539000</v>
      </c>
      <c r="C9163" t="str">
        <f t="shared" si="1986"/>
        <v>06539003</v>
      </c>
      <c r="D9163" t="str">
        <f t="shared" si="1987"/>
        <v>813</v>
      </c>
      <c r="E9163" t="str">
        <f>"89301172"</f>
        <v>89301172</v>
      </c>
      <c r="F9163" t="str">
        <f>"9252126158"</f>
        <v>9252126158</v>
      </c>
      <c r="G9163" s="1">
        <v>44799</v>
      </c>
      <c r="H9163" t="str">
        <f>"91475"</f>
        <v>91475</v>
      </c>
      <c r="I9163">
        <v>1</v>
      </c>
      <c r="J9163">
        <v>206</v>
      </c>
      <c r="K9163">
        <v>0</v>
      </c>
      <c r="L9163">
        <v>160.68</v>
      </c>
    </row>
    <row r="9164" spans="1:12" x14ac:dyDescent="0.25">
      <c r="A9164" t="str">
        <f t="shared" si="1991"/>
        <v>89301000</v>
      </c>
      <c r="B9164" t="str">
        <f t="shared" si="1984"/>
        <v>06539000</v>
      </c>
      <c r="C9164" t="str">
        <f>"06539001"</f>
        <v>06539001</v>
      </c>
      <c r="D9164" t="str">
        <f>"801"</f>
        <v>801</v>
      </c>
      <c r="E9164" t="str">
        <f t="shared" ref="E9164:E9208" si="1992">"89301101"</f>
        <v>89301101</v>
      </c>
      <c r="F9164" t="str">
        <f t="shared" ref="F9164:F9208" si="1993">"1704041757"</f>
        <v>1704041757</v>
      </c>
      <c r="G9164" s="1">
        <v>44799</v>
      </c>
      <c r="H9164" t="str">
        <f>"81329"</f>
        <v>81329</v>
      </c>
      <c r="I9164">
        <v>1</v>
      </c>
      <c r="J9164">
        <v>16</v>
      </c>
      <c r="K9164">
        <v>0</v>
      </c>
      <c r="L9164">
        <v>12.48</v>
      </c>
    </row>
    <row r="9165" spans="1:12" x14ac:dyDescent="0.25">
      <c r="A9165" t="str">
        <f t="shared" si="1991"/>
        <v>89301000</v>
      </c>
      <c r="B9165" t="str">
        <f t="shared" si="1984"/>
        <v>06539000</v>
      </c>
      <c r="C9165" t="str">
        <f>"06539001"</f>
        <v>06539001</v>
      </c>
      <c r="D9165" t="str">
        <f>"801"</f>
        <v>801</v>
      </c>
      <c r="E9165" t="str">
        <f t="shared" si="1992"/>
        <v>89301101</v>
      </c>
      <c r="F9165" t="str">
        <f t="shared" si="1993"/>
        <v>1704041757</v>
      </c>
      <c r="G9165" s="1">
        <v>44799</v>
      </c>
      <c r="H9165" t="str">
        <f>"81331"</f>
        <v>81331</v>
      </c>
      <c r="I9165">
        <v>1</v>
      </c>
      <c r="J9165">
        <v>193</v>
      </c>
      <c r="K9165">
        <v>0</v>
      </c>
      <c r="L9165">
        <v>150.54</v>
      </c>
    </row>
    <row r="9166" spans="1:12" x14ac:dyDescent="0.25">
      <c r="A9166" t="str">
        <f t="shared" si="1991"/>
        <v>89301000</v>
      </c>
      <c r="B9166" t="str">
        <f t="shared" si="1984"/>
        <v>06539000</v>
      </c>
      <c r="C9166" t="str">
        <f t="shared" ref="C9166:C9180" si="1994">"06539002"</f>
        <v>06539002</v>
      </c>
      <c r="D9166" t="str">
        <f t="shared" ref="D9166:D9180" si="1995">"802"</f>
        <v>802</v>
      </c>
      <c r="E9166" t="str">
        <f t="shared" si="1992"/>
        <v>89301101</v>
      </c>
      <c r="F9166" t="str">
        <f t="shared" si="1993"/>
        <v>1704041757</v>
      </c>
      <c r="G9166" s="1">
        <v>44799</v>
      </c>
      <c r="H9166" t="str">
        <f>"82041"</f>
        <v>82041</v>
      </c>
      <c r="I9166">
        <v>1</v>
      </c>
      <c r="J9166">
        <v>1090</v>
      </c>
      <c r="K9166">
        <v>0</v>
      </c>
      <c r="L9166">
        <v>991.9</v>
      </c>
    </row>
    <row r="9167" spans="1:12" x14ac:dyDescent="0.25">
      <c r="A9167" t="str">
        <f t="shared" si="1991"/>
        <v>89301000</v>
      </c>
      <c r="B9167" t="str">
        <f t="shared" si="1984"/>
        <v>06539000</v>
      </c>
      <c r="C9167" t="str">
        <f t="shared" si="1994"/>
        <v>06539002</v>
      </c>
      <c r="D9167" t="str">
        <f t="shared" si="1995"/>
        <v>802</v>
      </c>
      <c r="E9167" t="str">
        <f t="shared" si="1992"/>
        <v>89301101</v>
      </c>
      <c r="F9167" t="str">
        <f t="shared" si="1993"/>
        <v>1704041757</v>
      </c>
      <c r="G9167" s="1">
        <v>44799</v>
      </c>
      <c r="H9167" t="str">
        <f>"82034"</f>
        <v>82034</v>
      </c>
      <c r="I9167">
        <v>1</v>
      </c>
      <c r="J9167">
        <v>348</v>
      </c>
      <c r="K9167">
        <v>0</v>
      </c>
      <c r="L9167">
        <v>316.68</v>
      </c>
    </row>
    <row r="9168" spans="1:12" x14ac:dyDescent="0.25">
      <c r="A9168" t="str">
        <f t="shared" si="1991"/>
        <v>89301000</v>
      </c>
      <c r="B9168" t="str">
        <f t="shared" si="1984"/>
        <v>06539000</v>
      </c>
      <c r="C9168" t="str">
        <f t="shared" si="1994"/>
        <v>06539002</v>
      </c>
      <c r="D9168" t="str">
        <f t="shared" si="1995"/>
        <v>802</v>
      </c>
      <c r="E9168" t="str">
        <f t="shared" si="1992"/>
        <v>89301101</v>
      </c>
      <c r="F9168" t="str">
        <f t="shared" si="1993"/>
        <v>1704041757</v>
      </c>
      <c r="G9168" s="1">
        <v>44799</v>
      </c>
      <c r="H9168" t="str">
        <f>"82097"</f>
        <v>82097</v>
      </c>
      <c r="I9168">
        <v>1</v>
      </c>
      <c r="J9168">
        <v>380</v>
      </c>
      <c r="K9168">
        <v>0</v>
      </c>
      <c r="L9168">
        <v>345.8</v>
      </c>
    </row>
    <row r="9169" spans="1:12" x14ac:dyDescent="0.25">
      <c r="A9169" t="str">
        <f t="shared" si="1991"/>
        <v>89301000</v>
      </c>
      <c r="B9169" t="str">
        <f t="shared" si="1984"/>
        <v>06539000</v>
      </c>
      <c r="C9169" t="str">
        <f t="shared" si="1994"/>
        <v>06539002</v>
      </c>
      <c r="D9169" t="str">
        <f t="shared" si="1995"/>
        <v>802</v>
      </c>
      <c r="E9169" t="str">
        <f t="shared" si="1992"/>
        <v>89301101</v>
      </c>
      <c r="F9169" t="str">
        <f t="shared" si="1993"/>
        <v>1704041757</v>
      </c>
      <c r="G9169" s="1">
        <v>44799</v>
      </c>
      <c r="H9169" t="str">
        <f>"82097"</f>
        <v>82097</v>
      </c>
      <c r="I9169">
        <v>1</v>
      </c>
      <c r="J9169">
        <v>380</v>
      </c>
      <c r="K9169">
        <v>0</v>
      </c>
      <c r="L9169">
        <v>345.8</v>
      </c>
    </row>
    <row r="9170" spans="1:12" x14ac:dyDescent="0.25">
      <c r="A9170" t="str">
        <f t="shared" si="1991"/>
        <v>89301000</v>
      </c>
      <c r="B9170" t="str">
        <f t="shared" si="1984"/>
        <v>06539000</v>
      </c>
      <c r="C9170" t="str">
        <f t="shared" si="1994"/>
        <v>06539002</v>
      </c>
      <c r="D9170" t="str">
        <f t="shared" si="1995"/>
        <v>802</v>
      </c>
      <c r="E9170" t="str">
        <f t="shared" si="1992"/>
        <v>89301101</v>
      </c>
      <c r="F9170" t="str">
        <f t="shared" si="1993"/>
        <v>1704041757</v>
      </c>
      <c r="G9170" s="1">
        <v>44799</v>
      </c>
      <c r="H9170" t="str">
        <f>"82097"</f>
        <v>82097</v>
      </c>
      <c r="I9170">
        <v>1</v>
      </c>
      <c r="J9170">
        <v>380</v>
      </c>
      <c r="K9170">
        <v>0</v>
      </c>
      <c r="L9170">
        <v>345.8</v>
      </c>
    </row>
    <row r="9171" spans="1:12" x14ac:dyDescent="0.25">
      <c r="A9171" t="str">
        <f t="shared" si="1991"/>
        <v>89301000</v>
      </c>
      <c r="B9171" t="str">
        <f t="shared" si="1984"/>
        <v>06539000</v>
      </c>
      <c r="C9171" t="str">
        <f t="shared" si="1994"/>
        <v>06539002</v>
      </c>
      <c r="D9171" t="str">
        <f t="shared" si="1995"/>
        <v>802</v>
      </c>
      <c r="E9171" t="str">
        <f t="shared" si="1992"/>
        <v>89301101</v>
      </c>
      <c r="F9171" t="str">
        <f t="shared" si="1993"/>
        <v>1704041757</v>
      </c>
      <c r="G9171" s="1">
        <v>44799</v>
      </c>
      <c r="H9171" t="str">
        <f>"82097"</f>
        <v>82097</v>
      </c>
      <c r="I9171">
        <v>1</v>
      </c>
      <c r="J9171">
        <v>380</v>
      </c>
      <c r="K9171">
        <v>0</v>
      </c>
      <c r="L9171">
        <v>345.8</v>
      </c>
    </row>
    <row r="9172" spans="1:12" x14ac:dyDescent="0.25">
      <c r="A9172" t="str">
        <f t="shared" si="1991"/>
        <v>89301000</v>
      </c>
      <c r="B9172" t="str">
        <f t="shared" si="1984"/>
        <v>06539000</v>
      </c>
      <c r="C9172" t="str">
        <f t="shared" si="1994"/>
        <v>06539002</v>
      </c>
      <c r="D9172" t="str">
        <f t="shared" si="1995"/>
        <v>802</v>
      </c>
      <c r="E9172" t="str">
        <f t="shared" si="1992"/>
        <v>89301101</v>
      </c>
      <c r="F9172" t="str">
        <f t="shared" si="1993"/>
        <v>1704041757</v>
      </c>
      <c r="G9172" s="1">
        <v>44799</v>
      </c>
      <c r="H9172" t="str">
        <f>"82075"</f>
        <v>82075</v>
      </c>
      <c r="I9172">
        <v>1</v>
      </c>
      <c r="J9172">
        <v>486</v>
      </c>
      <c r="K9172">
        <v>0</v>
      </c>
      <c r="L9172">
        <v>442.26</v>
      </c>
    </row>
    <row r="9173" spans="1:12" x14ac:dyDescent="0.25">
      <c r="A9173" t="str">
        <f t="shared" si="1991"/>
        <v>89301000</v>
      </c>
      <c r="B9173" t="str">
        <f t="shared" si="1984"/>
        <v>06539000</v>
      </c>
      <c r="C9173" t="str">
        <f t="shared" si="1994"/>
        <v>06539002</v>
      </c>
      <c r="D9173" t="str">
        <f t="shared" si="1995"/>
        <v>802</v>
      </c>
      <c r="E9173" t="str">
        <f t="shared" si="1992"/>
        <v>89301101</v>
      </c>
      <c r="F9173" t="str">
        <f t="shared" si="1993"/>
        <v>1704041757</v>
      </c>
      <c r="G9173" s="1">
        <v>44799</v>
      </c>
      <c r="H9173" t="str">
        <f t="shared" ref="H9173:H9180" si="1996">"82097"</f>
        <v>82097</v>
      </c>
      <c r="I9173">
        <v>1</v>
      </c>
      <c r="J9173">
        <v>380</v>
      </c>
      <c r="K9173">
        <v>0</v>
      </c>
      <c r="L9173">
        <v>345.8</v>
      </c>
    </row>
    <row r="9174" spans="1:12" x14ac:dyDescent="0.25">
      <c r="A9174" t="str">
        <f t="shared" si="1991"/>
        <v>89301000</v>
      </c>
      <c r="B9174" t="str">
        <f t="shared" si="1984"/>
        <v>06539000</v>
      </c>
      <c r="C9174" t="str">
        <f t="shared" si="1994"/>
        <v>06539002</v>
      </c>
      <c r="D9174" t="str">
        <f t="shared" si="1995"/>
        <v>802</v>
      </c>
      <c r="E9174" t="str">
        <f t="shared" si="1992"/>
        <v>89301101</v>
      </c>
      <c r="F9174" t="str">
        <f t="shared" si="1993"/>
        <v>1704041757</v>
      </c>
      <c r="G9174" s="1">
        <v>44799</v>
      </c>
      <c r="H9174" t="str">
        <f t="shared" si="1996"/>
        <v>82097</v>
      </c>
      <c r="I9174">
        <v>1</v>
      </c>
      <c r="J9174">
        <v>380</v>
      </c>
      <c r="K9174">
        <v>0</v>
      </c>
      <c r="L9174">
        <v>345.8</v>
      </c>
    </row>
    <row r="9175" spans="1:12" x14ac:dyDescent="0.25">
      <c r="A9175" t="str">
        <f t="shared" si="1991"/>
        <v>89301000</v>
      </c>
      <c r="B9175" t="str">
        <f t="shared" si="1984"/>
        <v>06539000</v>
      </c>
      <c r="C9175" t="str">
        <f t="shared" si="1994"/>
        <v>06539002</v>
      </c>
      <c r="D9175" t="str">
        <f t="shared" si="1995"/>
        <v>802</v>
      </c>
      <c r="E9175" t="str">
        <f t="shared" si="1992"/>
        <v>89301101</v>
      </c>
      <c r="F9175" t="str">
        <f t="shared" si="1993"/>
        <v>1704041757</v>
      </c>
      <c r="G9175" s="1">
        <v>44799</v>
      </c>
      <c r="H9175" t="str">
        <f t="shared" si="1996"/>
        <v>82097</v>
      </c>
      <c r="I9175">
        <v>1</v>
      </c>
      <c r="J9175">
        <v>380</v>
      </c>
      <c r="K9175">
        <v>0</v>
      </c>
      <c r="L9175">
        <v>345.8</v>
      </c>
    </row>
    <row r="9176" spans="1:12" x14ac:dyDescent="0.25">
      <c r="A9176" t="str">
        <f t="shared" si="1991"/>
        <v>89301000</v>
      </c>
      <c r="B9176" t="str">
        <f t="shared" ref="B9176:B9239" si="1997">"06539000"</f>
        <v>06539000</v>
      </c>
      <c r="C9176" t="str">
        <f t="shared" si="1994"/>
        <v>06539002</v>
      </c>
      <c r="D9176" t="str">
        <f t="shared" si="1995"/>
        <v>802</v>
      </c>
      <c r="E9176" t="str">
        <f t="shared" si="1992"/>
        <v>89301101</v>
      </c>
      <c r="F9176" t="str">
        <f t="shared" si="1993"/>
        <v>1704041757</v>
      </c>
      <c r="G9176" s="1">
        <v>44799</v>
      </c>
      <c r="H9176" t="str">
        <f t="shared" si="1996"/>
        <v>82097</v>
      </c>
      <c r="I9176">
        <v>1</v>
      </c>
      <c r="J9176">
        <v>380</v>
      </c>
      <c r="K9176">
        <v>0</v>
      </c>
      <c r="L9176">
        <v>345.8</v>
      </c>
    </row>
    <row r="9177" spans="1:12" x14ac:dyDescent="0.25">
      <c r="A9177" t="str">
        <f t="shared" si="1991"/>
        <v>89301000</v>
      </c>
      <c r="B9177" t="str">
        <f t="shared" si="1997"/>
        <v>06539000</v>
      </c>
      <c r="C9177" t="str">
        <f t="shared" si="1994"/>
        <v>06539002</v>
      </c>
      <c r="D9177" t="str">
        <f t="shared" si="1995"/>
        <v>802</v>
      </c>
      <c r="E9177" t="str">
        <f t="shared" si="1992"/>
        <v>89301101</v>
      </c>
      <c r="F9177" t="str">
        <f t="shared" si="1993"/>
        <v>1704041757</v>
      </c>
      <c r="G9177" s="1">
        <v>44799</v>
      </c>
      <c r="H9177" t="str">
        <f t="shared" si="1996"/>
        <v>82097</v>
      </c>
      <c r="I9177">
        <v>1</v>
      </c>
      <c r="J9177">
        <v>380</v>
      </c>
      <c r="K9177">
        <v>0</v>
      </c>
      <c r="L9177">
        <v>345.8</v>
      </c>
    </row>
    <row r="9178" spans="1:12" x14ac:dyDescent="0.25">
      <c r="A9178" t="str">
        <f t="shared" si="1991"/>
        <v>89301000</v>
      </c>
      <c r="B9178" t="str">
        <f t="shared" si="1997"/>
        <v>06539000</v>
      </c>
      <c r="C9178" t="str">
        <f t="shared" si="1994"/>
        <v>06539002</v>
      </c>
      <c r="D9178" t="str">
        <f t="shared" si="1995"/>
        <v>802</v>
      </c>
      <c r="E9178" t="str">
        <f t="shared" si="1992"/>
        <v>89301101</v>
      </c>
      <c r="F9178" t="str">
        <f t="shared" si="1993"/>
        <v>1704041757</v>
      </c>
      <c r="G9178" s="1">
        <v>44799</v>
      </c>
      <c r="H9178" t="str">
        <f t="shared" si="1996"/>
        <v>82097</v>
      </c>
      <c r="I9178">
        <v>1</v>
      </c>
      <c r="J9178">
        <v>380</v>
      </c>
      <c r="K9178">
        <v>0</v>
      </c>
      <c r="L9178">
        <v>345.8</v>
      </c>
    </row>
    <row r="9179" spans="1:12" x14ac:dyDescent="0.25">
      <c r="A9179" t="str">
        <f t="shared" si="1991"/>
        <v>89301000</v>
      </c>
      <c r="B9179" t="str">
        <f t="shared" si="1997"/>
        <v>06539000</v>
      </c>
      <c r="C9179" t="str">
        <f t="shared" si="1994"/>
        <v>06539002</v>
      </c>
      <c r="D9179" t="str">
        <f t="shared" si="1995"/>
        <v>802</v>
      </c>
      <c r="E9179" t="str">
        <f t="shared" si="1992"/>
        <v>89301101</v>
      </c>
      <c r="F9179" t="str">
        <f t="shared" si="1993"/>
        <v>1704041757</v>
      </c>
      <c r="G9179" s="1">
        <v>44799</v>
      </c>
      <c r="H9179" t="str">
        <f t="shared" si="1996"/>
        <v>82097</v>
      </c>
      <c r="I9179">
        <v>1</v>
      </c>
      <c r="J9179">
        <v>380</v>
      </c>
      <c r="K9179">
        <v>0</v>
      </c>
      <c r="L9179">
        <v>345.8</v>
      </c>
    </row>
    <row r="9180" spans="1:12" x14ac:dyDescent="0.25">
      <c r="A9180" t="str">
        <f t="shared" si="1991"/>
        <v>89301000</v>
      </c>
      <c r="B9180" t="str">
        <f t="shared" si="1997"/>
        <v>06539000</v>
      </c>
      <c r="C9180" t="str">
        <f t="shared" si="1994"/>
        <v>06539002</v>
      </c>
      <c r="D9180" t="str">
        <f t="shared" si="1995"/>
        <v>802</v>
      </c>
      <c r="E9180" t="str">
        <f t="shared" si="1992"/>
        <v>89301101</v>
      </c>
      <c r="F9180" t="str">
        <f t="shared" si="1993"/>
        <v>1704041757</v>
      </c>
      <c r="G9180" s="1">
        <v>44799</v>
      </c>
      <c r="H9180" t="str">
        <f t="shared" si="1996"/>
        <v>82097</v>
      </c>
      <c r="I9180">
        <v>1</v>
      </c>
      <c r="J9180">
        <v>380</v>
      </c>
      <c r="K9180">
        <v>0</v>
      </c>
      <c r="L9180">
        <v>345.8</v>
      </c>
    </row>
    <row r="9181" spans="1:12" x14ac:dyDescent="0.25">
      <c r="A9181" t="str">
        <f t="shared" si="1991"/>
        <v>89301000</v>
      </c>
      <c r="B9181" t="str">
        <f t="shared" si="1997"/>
        <v>06539000</v>
      </c>
      <c r="C9181" t="str">
        <f t="shared" ref="C9181:C9208" si="1998">"06539003"</f>
        <v>06539003</v>
      </c>
      <c r="D9181" t="str">
        <f t="shared" ref="D9181:D9208" si="1999">"813"</f>
        <v>813</v>
      </c>
      <c r="E9181" t="str">
        <f t="shared" si="1992"/>
        <v>89301101</v>
      </c>
      <c r="F9181" t="str">
        <f t="shared" si="1993"/>
        <v>1704041757</v>
      </c>
      <c r="G9181" s="1">
        <v>44804</v>
      </c>
      <c r="H9181" t="str">
        <f t="shared" ref="H9181:H9190" si="2000">"91413"</f>
        <v>91413</v>
      </c>
      <c r="I9181">
        <v>1</v>
      </c>
      <c r="J9181">
        <v>853</v>
      </c>
      <c r="K9181">
        <v>0</v>
      </c>
      <c r="L9181">
        <v>665.34</v>
      </c>
    </row>
    <row r="9182" spans="1:12" x14ac:dyDescent="0.25">
      <c r="A9182" t="str">
        <f t="shared" si="1991"/>
        <v>89301000</v>
      </c>
      <c r="B9182" t="str">
        <f t="shared" si="1997"/>
        <v>06539000</v>
      </c>
      <c r="C9182" t="str">
        <f t="shared" si="1998"/>
        <v>06539003</v>
      </c>
      <c r="D9182" t="str">
        <f t="shared" si="1999"/>
        <v>813</v>
      </c>
      <c r="E9182" t="str">
        <f t="shared" si="1992"/>
        <v>89301101</v>
      </c>
      <c r="F9182" t="str">
        <f t="shared" si="1993"/>
        <v>1704041757</v>
      </c>
      <c r="G9182" s="1">
        <v>44804</v>
      </c>
      <c r="H9182" t="str">
        <f t="shared" si="2000"/>
        <v>91413</v>
      </c>
      <c r="I9182">
        <v>1</v>
      </c>
      <c r="J9182">
        <v>853</v>
      </c>
      <c r="K9182">
        <v>0</v>
      </c>
      <c r="L9182">
        <v>665.34</v>
      </c>
    </row>
    <row r="9183" spans="1:12" x14ac:dyDescent="0.25">
      <c r="A9183" t="str">
        <f t="shared" si="1991"/>
        <v>89301000</v>
      </c>
      <c r="B9183" t="str">
        <f t="shared" si="1997"/>
        <v>06539000</v>
      </c>
      <c r="C9183" t="str">
        <f t="shared" si="1998"/>
        <v>06539003</v>
      </c>
      <c r="D9183" t="str">
        <f t="shared" si="1999"/>
        <v>813</v>
      </c>
      <c r="E9183" t="str">
        <f t="shared" si="1992"/>
        <v>89301101</v>
      </c>
      <c r="F9183" t="str">
        <f t="shared" si="1993"/>
        <v>1704041757</v>
      </c>
      <c r="G9183" s="1">
        <v>44812</v>
      </c>
      <c r="H9183" t="str">
        <f t="shared" si="2000"/>
        <v>91413</v>
      </c>
      <c r="I9183">
        <v>1</v>
      </c>
      <c r="J9183">
        <v>853</v>
      </c>
      <c r="K9183">
        <v>0</v>
      </c>
      <c r="L9183">
        <v>665.34</v>
      </c>
    </row>
    <row r="9184" spans="1:12" x14ac:dyDescent="0.25">
      <c r="A9184" t="str">
        <f t="shared" si="1991"/>
        <v>89301000</v>
      </c>
      <c r="B9184" t="str">
        <f t="shared" si="1997"/>
        <v>06539000</v>
      </c>
      <c r="C9184" t="str">
        <f t="shared" si="1998"/>
        <v>06539003</v>
      </c>
      <c r="D9184" t="str">
        <f t="shared" si="1999"/>
        <v>813</v>
      </c>
      <c r="E9184" t="str">
        <f t="shared" si="1992"/>
        <v>89301101</v>
      </c>
      <c r="F9184" t="str">
        <f t="shared" si="1993"/>
        <v>1704041757</v>
      </c>
      <c r="G9184" s="1">
        <v>44812</v>
      </c>
      <c r="H9184" t="str">
        <f t="shared" si="2000"/>
        <v>91413</v>
      </c>
      <c r="I9184">
        <v>1</v>
      </c>
      <c r="J9184">
        <v>853</v>
      </c>
      <c r="K9184">
        <v>0</v>
      </c>
      <c r="L9184">
        <v>665.34</v>
      </c>
    </row>
    <row r="9185" spans="1:12" x14ac:dyDescent="0.25">
      <c r="A9185" t="str">
        <f t="shared" si="1991"/>
        <v>89301000</v>
      </c>
      <c r="B9185" t="str">
        <f t="shared" si="1997"/>
        <v>06539000</v>
      </c>
      <c r="C9185" t="str">
        <f t="shared" si="1998"/>
        <v>06539003</v>
      </c>
      <c r="D9185" t="str">
        <f t="shared" si="1999"/>
        <v>813</v>
      </c>
      <c r="E9185" t="str">
        <f t="shared" si="1992"/>
        <v>89301101</v>
      </c>
      <c r="F9185" t="str">
        <f t="shared" si="1993"/>
        <v>1704041757</v>
      </c>
      <c r="G9185" s="1">
        <v>44811</v>
      </c>
      <c r="H9185" t="str">
        <f t="shared" si="2000"/>
        <v>91413</v>
      </c>
      <c r="I9185">
        <v>1</v>
      </c>
      <c r="J9185">
        <v>853</v>
      </c>
      <c r="K9185">
        <v>0</v>
      </c>
      <c r="L9185">
        <v>665.34</v>
      </c>
    </row>
    <row r="9186" spans="1:12" x14ac:dyDescent="0.25">
      <c r="A9186" t="str">
        <f t="shared" si="1991"/>
        <v>89301000</v>
      </c>
      <c r="B9186" t="str">
        <f t="shared" si="1997"/>
        <v>06539000</v>
      </c>
      <c r="C9186" t="str">
        <f t="shared" si="1998"/>
        <v>06539003</v>
      </c>
      <c r="D9186" t="str">
        <f t="shared" si="1999"/>
        <v>813</v>
      </c>
      <c r="E9186" t="str">
        <f t="shared" si="1992"/>
        <v>89301101</v>
      </c>
      <c r="F9186" t="str">
        <f t="shared" si="1993"/>
        <v>1704041757</v>
      </c>
      <c r="G9186" s="1">
        <v>44811</v>
      </c>
      <c r="H9186" t="str">
        <f t="shared" si="2000"/>
        <v>91413</v>
      </c>
      <c r="I9186">
        <v>1</v>
      </c>
      <c r="J9186">
        <v>853</v>
      </c>
      <c r="K9186">
        <v>0</v>
      </c>
      <c r="L9186">
        <v>665.34</v>
      </c>
    </row>
    <row r="9187" spans="1:12" x14ac:dyDescent="0.25">
      <c r="A9187" t="str">
        <f t="shared" si="1991"/>
        <v>89301000</v>
      </c>
      <c r="B9187" t="str">
        <f t="shared" si="1997"/>
        <v>06539000</v>
      </c>
      <c r="C9187" t="str">
        <f t="shared" si="1998"/>
        <v>06539003</v>
      </c>
      <c r="D9187" t="str">
        <f t="shared" si="1999"/>
        <v>813</v>
      </c>
      <c r="E9187" t="str">
        <f t="shared" si="1992"/>
        <v>89301101</v>
      </c>
      <c r="F9187" t="str">
        <f t="shared" si="1993"/>
        <v>1704041757</v>
      </c>
      <c r="G9187" s="1">
        <v>44812</v>
      </c>
      <c r="H9187" t="str">
        <f t="shared" si="2000"/>
        <v>91413</v>
      </c>
      <c r="I9187">
        <v>1</v>
      </c>
      <c r="J9187">
        <v>853</v>
      </c>
      <c r="K9187">
        <v>0</v>
      </c>
      <c r="L9187">
        <v>665.34</v>
      </c>
    </row>
    <row r="9188" spans="1:12" x14ac:dyDescent="0.25">
      <c r="A9188" t="str">
        <f t="shared" si="1991"/>
        <v>89301000</v>
      </c>
      <c r="B9188" t="str">
        <f t="shared" si="1997"/>
        <v>06539000</v>
      </c>
      <c r="C9188" t="str">
        <f t="shared" si="1998"/>
        <v>06539003</v>
      </c>
      <c r="D9188" t="str">
        <f t="shared" si="1999"/>
        <v>813</v>
      </c>
      <c r="E9188" t="str">
        <f t="shared" si="1992"/>
        <v>89301101</v>
      </c>
      <c r="F9188" t="str">
        <f t="shared" si="1993"/>
        <v>1704041757</v>
      </c>
      <c r="G9188" s="1">
        <v>44812</v>
      </c>
      <c r="H9188" t="str">
        <f t="shared" si="2000"/>
        <v>91413</v>
      </c>
      <c r="I9188">
        <v>1</v>
      </c>
      <c r="J9188">
        <v>853</v>
      </c>
      <c r="K9188">
        <v>0</v>
      </c>
      <c r="L9188">
        <v>665.34</v>
      </c>
    </row>
    <row r="9189" spans="1:12" x14ac:dyDescent="0.25">
      <c r="A9189" t="str">
        <f t="shared" si="1991"/>
        <v>89301000</v>
      </c>
      <c r="B9189" t="str">
        <f t="shared" si="1997"/>
        <v>06539000</v>
      </c>
      <c r="C9189" t="str">
        <f t="shared" si="1998"/>
        <v>06539003</v>
      </c>
      <c r="D9189" t="str">
        <f t="shared" si="1999"/>
        <v>813</v>
      </c>
      <c r="E9189" t="str">
        <f t="shared" si="1992"/>
        <v>89301101</v>
      </c>
      <c r="F9189" t="str">
        <f t="shared" si="1993"/>
        <v>1704041757</v>
      </c>
      <c r="G9189" s="1">
        <v>44812</v>
      </c>
      <c r="H9189" t="str">
        <f t="shared" si="2000"/>
        <v>91413</v>
      </c>
      <c r="I9189">
        <v>1</v>
      </c>
      <c r="J9189">
        <v>853</v>
      </c>
      <c r="K9189">
        <v>0</v>
      </c>
      <c r="L9189">
        <v>665.34</v>
      </c>
    </row>
    <row r="9190" spans="1:12" x14ac:dyDescent="0.25">
      <c r="A9190" t="str">
        <f t="shared" si="1991"/>
        <v>89301000</v>
      </c>
      <c r="B9190" t="str">
        <f t="shared" si="1997"/>
        <v>06539000</v>
      </c>
      <c r="C9190" t="str">
        <f t="shared" si="1998"/>
        <v>06539003</v>
      </c>
      <c r="D9190" t="str">
        <f t="shared" si="1999"/>
        <v>813</v>
      </c>
      <c r="E9190" t="str">
        <f t="shared" si="1992"/>
        <v>89301101</v>
      </c>
      <c r="F9190" t="str">
        <f t="shared" si="1993"/>
        <v>1704041757</v>
      </c>
      <c r="G9190" s="1">
        <v>44812</v>
      </c>
      <c r="H9190" t="str">
        <f t="shared" si="2000"/>
        <v>91413</v>
      </c>
      <c r="I9190">
        <v>1</v>
      </c>
      <c r="J9190">
        <v>853</v>
      </c>
      <c r="K9190">
        <v>0</v>
      </c>
      <c r="L9190">
        <v>665.34</v>
      </c>
    </row>
    <row r="9191" spans="1:12" x14ac:dyDescent="0.25">
      <c r="A9191" t="str">
        <f t="shared" si="1991"/>
        <v>89301000</v>
      </c>
      <c r="B9191" t="str">
        <f t="shared" si="1997"/>
        <v>06539000</v>
      </c>
      <c r="C9191" t="str">
        <f t="shared" si="1998"/>
        <v>06539003</v>
      </c>
      <c r="D9191" t="str">
        <f t="shared" si="1999"/>
        <v>813</v>
      </c>
      <c r="E9191" t="str">
        <f t="shared" si="1992"/>
        <v>89301101</v>
      </c>
      <c r="F9191" t="str">
        <f t="shared" si="1993"/>
        <v>1704041757</v>
      </c>
      <c r="G9191" s="1">
        <v>44799</v>
      </c>
      <c r="H9191" t="str">
        <f t="shared" ref="H9191:H9201" si="2001">"91197"</f>
        <v>91197</v>
      </c>
      <c r="I9191">
        <v>1</v>
      </c>
      <c r="J9191">
        <v>1046</v>
      </c>
      <c r="K9191">
        <v>0</v>
      </c>
      <c r="L9191">
        <v>815.88</v>
      </c>
    </row>
    <row r="9192" spans="1:12" x14ac:dyDescent="0.25">
      <c r="A9192" t="str">
        <f t="shared" si="1991"/>
        <v>89301000</v>
      </c>
      <c r="B9192" t="str">
        <f t="shared" si="1997"/>
        <v>06539000</v>
      </c>
      <c r="C9192" t="str">
        <f t="shared" si="1998"/>
        <v>06539003</v>
      </c>
      <c r="D9192" t="str">
        <f t="shared" si="1999"/>
        <v>813</v>
      </c>
      <c r="E9192" t="str">
        <f t="shared" si="1992"/>
        <v>89301101</v>
      </c>
      <c r="F9192" t="str">
        <f t="shared" si="1993"/>
        <v>1704041757</v>
      </c>
      <c r="G9192" s="1">
        <v>44804</v>
      </c>
      <c r="H9192" t="str">
        <f t="shared" si="2001"/>
        <v>91197</v>
      </c>
      <c r="I9192">
        <v>1</v>
      </c>
      <c r="J9192">
        <v>1046</v>
      </c>
      <c r="K9192">
        <v>0</v>
      </c>
      <c r="L9192">
        <v>815.88</v>
      </c>
    </row>
    <row r="9193" spans="1:12" x14ac:dyDescent="0.25">
      <c r="A9193" t="str">
        <f t="shared" si="1991"/>
        <v>89301000</v>
      </c>
      <c r="B9193" t="str">
        <f t="shared" si="1997"/>
        <v>06539000</v>
      </c>
      <c r="C9193" t="str">
        <f t="shared" si="1998"/>
        <v>06539003</v>
      </c>
      <c r="D9193" t="str">
        <f t="shared" si="1999"/>
        <v>813</v>
      </c>
      <c r="E9193" t="str">
        <f t="shared" si="1992"/>
        <v>89301101</v>
      </c>
      <c r="F9193" t="str">
        <f t="shared" si="1993"/>
        <v>1704041757</v>
      </c>
      <c r="G9193" s="1">
        <v>44804</v>
      </c>
      <c r="H9193" t="str">
        <f t="shared" si="2001"/>
        <v>91197</v>
      </c>
      <c r="I9193">
        <v>1</v>
      </c>
      <c r="J9193">
        <v>1046</v>
      </c>
      <c r="K9193">
        <v>0</v>
      </c>
      <c r="L9193">
        <v>815.88</v>
      </c>
    </row>
    <row r="9194" spans="1:12" x14ac:dyDescent="0.25">
      <c r="A9194" t="str">
        <f t="shared" si="1991"/>
        <v>89301000</v>
      </c>
      <c r="B9194" t="str">
        <f t="shared" si="1997"/>
        <v>06539000</v>
      </c>
      <c r="C9194" t="str">
        <f t="shared" si="1998"/>
        <v>06539003</v>
      </c>
      <c r="D9194" t="str">
        <f t="shared" si="1999"/>
        <v>813</v>
      </c>
      <c r="E9194" t="str">
        <f t="shared" si="1992"/>
        <v>89301101</v>
      </c>
      <c r="F9194" t="str">
        <f t="shared" si="1993"/>
        <v>1704041757</v>
      </c>
      <c r="G9194" s="1">
        <v>44803</v>
      </c>
      <c r="H9194" t="str">
        <f t="shared" si="2001"/>
        <v>91197</v>
      </c>
      <c r="I9194">
        <v>1</v>
      </c>
      <c r="J9194">
        <v>1046</v>
      </c>
      <c r="K9194">
        <v>0</v>
      </c>
      <c r="L9194">
        <v>815.88</v>
      </c>
    </row>
    <row r="9195" spans="1:12" x14ac:dyDescent="0.25">
      <c r="A9195" t="str">
        <f t="shared" si="1991"/>
        <v>89301000</v>
      </c>
      <c r="B9195" t="str">
        <f t="shared" si="1997"/>
        <v>06539000</v>
      </c>
      <c r="C9195" t="str">
        <f t="shared" si="1998"/>
        <v>06539003</v>
      </c>
      <c r="D9195" t="str">
        <f t="shared" si="1999"/>
        <v>813</v>
      </c>
      <c r="E9195" t="str">
        <f t="shared" si="1992"/>
        <v>89301101</v>
      </c>
      <c r="F9195" t="str">
        <f t="shared" si="1993"/>
        <v>1704041757</v>
      </c>
      <c r="G9195" s="1">
        <v>44803</v>
      </c>
      <c r="H9195" t="str">
        <f t="shared" si="2001"/>
        <v>91197</v>
      </c>
      <c r="I9195">
        <v>1</v>
      </c>
      <c r="J9195">
        <v>1046</v>
      </c>
      <c r="K9195">
        <v>0</v>
      </c>
      <c r="L9195">
        <v>815.88</v>
      </c>
    </row>
    <row r="9196" spans="1:12" x14ac:dyDescent="0.25">
      <c r="A9196" t="str">
        <f t="shared" si="1991"/>
        <v>89301000</v>
      </c>
      <c r="B9196" t="str">
        <f t="shared" si="1997"/>
        <v>06539000</v>
      </c>
      <c r="C9196" t="str">
        <f t="shared" si="1998"/>
        <v>06539003</v>
      </c>
      <c r="D9196" t="str">
        <f t="shared" si="1999"/>
        <v>813</v>
      </c>
      <c r="E9196" t="str">
        <f t="shared" si="1992"/>
        <v>89301101</v>
      </c>
      <c r="F9196" t="str">
        <f t="shared" si="1993"/>
        <v>1704041757</v>
      </c>
      <c r="G9196" s="1">
        <v>44802</v>
      </c>
      <c r="H9196" t="str">
        <f t="shared" si="2001"/>
        <v>91197</v>
      </c>
      <c r="I9196">
        <v>1</v>
      </c>
      <c r="J9196">
        <v>1046</v>
      </c>
      <c r="K9196">
        <v>0</v>
      </c>
      <c r="L9196">
        <v>815.88</v>
      </c>
    </row>
    <row r="9197" spans="1:12" x14ac:dyDescent="0.25">
      <c r="A9197" t="str">
        <f t="shared" si="1991"/>
        <v>89301000</v>
      </c>
      <c r="B9197" t="str">
        <f t="shared" si="1997"/>
        <v>06539000</v>
      </c>
      <c r="C9197" t="str">
        <f t="shared" si="1998"/>
        <v>06539003</v>
      </c>
      <c r="D9197" t="str">
        <f t="shared" si="1999"/>
        <v>813</v>
      </c>
      <c r="E9197" t="str">
        <f t="shared" si="1992"/>
        <v>89301101</v>
      </c>
      <c r="F9197" t="str">
        <f t="shared" si="1993"/>
        <v>1704041757</v>
      </c>
      <c r="G9197" s="1">
        <v>44802</v>
      </c>
      <c r="H9197" t="str">
        <f t="shared" si="2001"/>
        <v>91197</v>
      </c>
      <c r="I9197">
        <v>1</v>
      </c>
      <c r="J9197">
        <v>1046</v>
      </c>
      <c r="K9197">
        <v>0</v>
      </c>
      <c r="L9197">
        <v>815.88</v>
      </c>
    </row>
    <row r="9198" spans="1:12" x14ac:dyDescent="0.25">
      <c r="A9198" t="str">
        <f t="shared" si="1991"/>
        <v>89301000</v>
      </c>
      <c r="B9198" t="str">
        <f t="shared" si="1997"/>
        <v>06539000</v>
      </c>
      <c r="C9198" t="str">
        <f t="shared" si="1998"/>
        <v>06539003</v>
      </c>
      <c r="D9198" t="str">
        <f t="shared" si="1999"/>
        <v>813</v>
      </c>
      <c r="E9198" t="str">
        <f t="shared" si="1992"/>
        <v>89301101</v>
      </c>
      <c r="F9198" t="str">
        <f t="shared" si="1993"/>
        <v>1704041757</v>
      </c>
      <c r="G9198" s="1">
        <v>44801</v>
      </c>
      <c r="H9198" t="str">
        <f t="shared" si="2001"/>
        <v>91197</v>
      </c>
      <c r="I9198">
        <v>1</v>
      </c>
      <c r="J9198">
        <v>1046</v>
      </c>
      <c r="K9198">
        <v>0</v>
      </c>
      <c r="L9198">
        <v>815.88</v>
      </c>
    </row>
    <row r="9199" spans="1:12" x14ac:dyDescent="0.25">
      <c r="A9199" t="str">
        <f t="shared" si="1991"/>
        <v>89301000</v>
      </c>
      <c r="B9199" t="str">
        <f t="shared" si="1997"/>
        <v>06539000</v>
      </c>
      <c r="C9199" t="str">
        <f t="shared" si="1998"/>
        <v>06539003</v>
      </c>
      <c r="D9199" t="str">
        <f t="shared" si="1999"/>
        <v>813</v>
      </c>
      <c r="E9199" t="str">
        <f t="shared" si="1992"/>
        <v>89301101</v>
      </c>
      <c r="F9199" t="str">
        <f t="shared" si="1993"/>
        <v>1704041757</v>
      </c>
      <c r="G9199" s="1">
        <v>44801</v>
      </c>
      <c r="H9199" t="str">
        <f t="shared" si="2001"/>
        <v>91197</v>
      </c>
      <c r="I9199">
        <v>1</v>
      </c>
      <c r="J9199">
        <v>1046</v>
      </c>
      <c r="K9199">
        <v>0</v>
      </c>
      <c r="L9199">
        <v>815.88</v>
      </c>
    </row>
    <row r="9200" spans="1:12" x14ac:dyDescent="0.25">
      <c r="A9200" t="str">
        <f t="shared" si="1991"/>
        <v>89301000</v>
      </c>
      <c r="B9200" t="str">
        <f t="shared" si="1997"/>
        <v>06539000</v>
      </c>
      <c r="C9200" t="str">
        <f t="shared" si="1998"/>
        <v>06539003</v>
      </c>
      <c r="D9200" t="str">
        <f t="shared" si="1999"/>
        <v>813</v>
      </c>
      <c r="E9200" t="str">
        <f t="shared" si="1992"/>
        <v>89301101</v>
      </c>
      <c r="F9200" t="str">
        <f t="shared" si="1993"/>
        <v>1704041757</v>
      </c>
      <c r="G9200" s="1">
        <v>44800</v>
      </c>
      <c r="H9200" t="str">
        <f t="shared" si="2001"/>
        <v>91197</v>
      </c>
      <c r="I9200">
        <v>1</v>
      </c>
      <c r="J9200">
        <v>1046</v>
      </c>
      <c r="K9200">
        <v>0</v>
      </c>
      <c r="L9200">
        <v>815.88</v>
      </c>
    </row>
    <row r="9201" spans="1:12" x14ac:dyDescent="0.25">
      <c r="A9201" t="str">
        <f t="shared" si="1991"/>
        <v>89301000</v>
      </c>
      <c r="B9201" t="str">
        <f t="shared" si="1997"/>
        <v>06539000</v>
      </c>
      <c r="C9201" t="str">
        <f t="shared" si="1998"/>
        <v>06539003</v>
      </c>
      <c r="D9201" t="str">
        <f t="shared" si="1999"/>
        <v>813</v>
      </c>
      <c r="E9201" t="str">
        <f t="shared" si="1992"/>
        <v>89301101</v>
      </c>
      <c r="F9201" t="str">
        <f t="shared" si="1993"/>
        <v>1704041757</v>
      </c>
      <c r="G9201" s="1">
        <v>44800</v>
      </c>
      <c r="H9201" t="str">
        <f t="shared" si="2001"/>
        <v>91197</v>
      </c>
      <c r="I9201">
        <v>1</v>
      </c>
      <c r="J9201">
        <v>1046</v>
      </c>
      <c r="K9201">
        <v>0</v>
      </c>
      <c r="L9201">
        <v>815.88</v>
      </c>
    </row>
    <row r="9202" spans="1:12" x14ac:dyDescent="0.25">
      <c r="A9202" t="str">
        <f t="shared" si="1991"/>
        <v>89301000</v>
      </c>
      <c r="B9202" t="str">
        <f t="shared" si="1997"/>
        <v>06539000</v>
      </c>
      <c r="C9202" t="str">
        <f t="shared" si="1998"/>
        <v>06539003</v>
      </c>
      <c r="D9202" t="str">
        <f t="shared" si="1999"/>
        <v>813</v>
      </c>
      <c r="E9202" t="str">
        <f t="shared" si="1992"/>
        <v>89301101</v>
      </c>
      <c r="F9202" t="str">
        <f t="shared" si="1993"/>
        <v>1704041757</v>
      </c>
      <c r="G9202" s="1">
        <v>44802</v>
      </c>
      <c r="H9202" t="str">
        <f>"91129"</f>
        <v>91129</v>
      </c>
      <c r="I9202">
        <v>1</v>
      </c>
      <c r="J9202">
        <v>174</v>
      </c>
      <c r="K9202">
        <v>0</v>
      </c>
      <c r="L9202">
        <v>135.72</v>
      </c>
    </row>
    <row r="9203" spans="1:12" x14ac:dyDescent="0.25">
      <c r="A9203" t="str">
        <f t="shared" si="1991"/>
        <v>89301000</v>
      </c>
      <c r="B9203" t="str">
        <f t="shared" si="1997"/>
        <v>06539000</v>
      </c>
      <c r="C9203" t="str">
        <f t="shared" si="1998"/>
        <v>06539003</v>
      </c>
      <c r="D9203" t="str">
        <f t="shared" si="1999"/>
        <v>813</v>
      </c>
      <c r="E9203" t="str">
        <f t="shared" si="1992"/>
        <v>89301101</v>
      </c>
      <c r="F9203" t="str">
        <f t="shared" si="1993"/>
        <v>1704041757</v>
      </c>
      <c r="G9203" s="1">
        <v>44802</v>
      </c>
      <c r="H9203" t="str">
        <f>"91131"</f>
        <v>91131</v>
      </c>
      <c r="I9203">
        <v>1</v>
      </c>
      <c r="J9203">
        <v>171</v>
      </c>
      <c r="K9203">
        <v>0</v>
      </c>
      <c r="L9203">
        <v>133.38</v>
      </c>
    </row>
    <row r="9204" spans="1:12" x14ac:dyDescent="0.25">
      <c r="A9204" t="str">
        <f t="shared" si="1991"/>
        <v>89301000</v>
      </c>
      <c r="B9204" t="str">
        <f t="shared" si="1997"/>
        <v>06539000</v>
      </c>
      <c r="C9204" t="str">
        <f t="shared" si="1998"/>
        <v>06539003</v>
      </c>
      <c r="D9204" t="str">
        <f t="shared" si="1999"/>
        <v>813</v>
      </c>
      <c r="E9204" t="str">
        <f t="shared" si="1992"/>
        <v>89301101</v>
      </c>
      <c r="F9204" t="str">
        <f t="shared" si="1993"/>
        <v>1704041757</v>
      </c>
      <c r="G9204" s="1">
        <v>44802</v>
      </c>
      <c r="H9204" t="str">
        <f>"91133"</f>
        <v>91133</v>
      </c>
      <c r="I9204">
        <v>1</v>
      </c>
      <c r="J9204">
        <v>176</v>
      </c>
      <c r="K9204">
        <v>0</v>
      </c>
      <c r="L9204">
        <v>137.28</v>
      </c>
    </row>
    <row r="9205" spans="1:12" x14ac:dyDescent="0.25">
      <c r="A9205" t="str">
        <f t="shared" si="1991"/>
        <v>89301000</v>
      </c>
      <c r="B9205" t="str">
        <f t="shared" si="1997"/>
        <v>06539000</v>
      </c>
      <c r="C9205" t="str">
        <f t="shared" si="1998"/>
        <v>06539003</v>
      </c>
      <c r="D9205" t="str">
        <f t="shared" si="1999"/>
        <v>813</v>
      </c>
      <c r="E9205" t="str">
        <f t="shared" si="1992"/>
        <v>89301101</v>
      </c>
      <c r="F9205" t="str">
        <f t="shared" si="1993"/>
        <v>1704041757</v>
      </c>
      <c r="G9205" s="1">
        <v>44802</v>
      </c>
      <c r="H9205" t="str">
        <f>"91171"</f>
        <v>91171</v>
      </c>
      <c r="I9205">
        <v>1</v>
      </c>
      <c r="J9205">
        <v>360</v>
      </c>
      <c r="K9205">
        <v>0</v>
      </c>
      <c r="L9205">
        <v>280.8</v>
      </c>
    </row>
    <row r="9206" spans="1:12" x14ac:dyDescent="0.25">
      <c r="A9206" t="str">
        <f t="shared" si="1991"/>
        <v>89301000</v>
      </c>
      <c r="B9206" t="str">
        <f t="shared" si="1997"/>
        <v>06539000</v>
      </c>
      <c r="C9206" t="str">
        <f t="shared" si="1998"/>
        <v>06539003</v>
      </c>
      <c r="D9206" t="str">
        <f t="shared" si="1999"/>
        <v>813</v>
      </c>
      <c r="E9206" t="str">
        <f t="shared" si="1992"/>
        <v>89301101</v>
      </c>
      <c r="F9206" t="str">
        <f t="shared" si="1993"/>
        <v>1704041757</v>
      </c>
      <c r="G9206" s="1">
        <v>44799</v>
      </c>
      <c r="H9206" t="str">
        <f>"91173"</f>
        <v>91173</v>
      </c>
      <c r="I9206">
        <v>1</v>
      </c>
      <c r="J9206">
        <v>335</v>
      </c>
      <c r="K9206">
        <v>0</v>
      </c>
      <c r="L9206">
        <v>261.3</v>
      </c>
    </row>
    <row r="9207" spans="1:12" x14ac:dyDescent="0.25">
      <c r="A9207" t="str">
        <f t="shared" si="1991"/>
        <v>89301000</v>
      </c>
      <c r="B9207" t="str">
        <f t="shared" si="1997"/>
        <v>06539000</v>
      </c>
      <c r="C9207" t="str">
        <f t="shared" si="1998"/>
        <v>06539003</v>
      </c>
      <c r="D9207" t="str">
        <f t="shared" si="1999"/>
        <v>813</v>
      </c>
      <c r="E9207" t="str">
        <f t="shared" si="1992"/>
        <v>89301101</v>
      </c>
      <c r="F9207" t="str">
        <f t="shared" si="1993"/>
        <v>1704041757</v>
      </c>
      <c r="G9207" s="1">
        <v>44802</v>
      </c>
      <c r="H9207" t="str">
        <f>"91175"</f>
        <v>91175</v>
      </c>
      <c r="I9207">
        <v>1</v>
      </c>
      <c r="J9207">
        <v>360</v>
      </c>
      <c r="K9207">
        <v>0</v>
      </c>
      <c r="L9207">
        <v>280.8</v>
      </c>
    </row>
    <row r="9208" spans="1:12" x14ac:dyDescent="0.25">
      <c r="A9208" t="str">
        <f t="shared" si="1991"/>
        <v>89301000</v>
      </c>
      <c r="B9208" t="str">
        <f t="shared" si="1997"/>
        <v>06539000</v>
      </c>
      <c r="C9208" t="str">
        <f t="shared" si="1998"/>
        <v>06539003</v>
      </c>
      <c r="D9208" t="str">
        <f t="shared" si="1999"/>
        <v>813</v>
      </c>
      <c r="E9208" t="str">
        <f t="shared" si="1992"/>
        <v>89301101</v>
      </c>
      <c r="F9208" t="str">
        <f t="shared" si="1993"/>
        <v>1704041757</v>
      </c>
      <c r="G9208" s="1">
        <v>44799</v>
      </c>
      <c r="H9208" t="str">
        <f>"91475"</f>
        <v>91475</v>
      </c>
      <c r="I9208">
        <v>1</v>
      </c>
      <c r="J9208">
        <v>206</v>
      </c>
      <c r="K9208">
        <v>0</v>
      </c>
      <c r="L9208">
        <v>160.68</v>
      </c>
    </row>
    <row r="9209" spans="1:12" x14ac:dyDescent="0.25">
      <c r="A9209" t="str">
        <f t="shared" si="1991"/>
        <v>89301000</v>
      </c>
      <c r="B9209" t="str">
        <f t="shared" si="1997"/>
        <v>06539000</v>
      </c>
      <c r="C9209" t="str">
        <f>"06539001"</f>
        <v>06539001</v>
      </c>
      <c r="D9209" t="str">
        <f>"801"</f>
        <v>801</v>
      </c>
      <c r="E9209" t="str">
        <f t="shared" ref="E9209:E9253" si="2002">"89301171"</f>
        <v>89301171</v>
      </c>
      <c r="F9209" t="str">
        <f t="shared" ref="F9209:F9250" si="2003">"6806160658"</f>
        <v>6806160658</v>
      </c>
      <c r="G9209" s="1">
        <v>44799</v>
      </c>
      <c r="H9209" t="str">
        <f>"81329"</f>
        <v>81329</v>
      </c>
      <c r="I9209">
        <v>1</v>
      </c>
      <c r="J9209">
        <v>16</v>
      </c>
      <c r="K9209">
        <v>0</v>
      </c>
      <c r="L9209">
        <v>12.48</v>
      </c>
    </row>
    <row r="9210" spans="1:12" x14ac:dyDescent="0.25">
      <c r="A9210" t="str">
        <f t="shared" si="1991"/>
        <v>89301000</v>
      </c>
      <c r="B9210" t="str">
        <f t="shared" si="1997"/>
        <v>06539000</v>
      </c>
      <c r="C9210" t="str">
        <f>"06539001"</f>
        <v>06539001</v>
      </c>
      <c r="D9210" t="str">
        <f>"801"</f>
        <v>801</v>
      </c>
      <c r="E9210" t="str">
        <f t="shared" si="2002"/>
        <v>89301171</v>
      </c>
      <c r="F9210" t="str">
        <f t="shared" si="2003"/>
        <v>6806160658</v>
      </c>
      <c r="G9210" s="1">
        <v>44799</v>
      </c>
      <c r="H9210" t="str">
        <f>"81331"</f>
        <v>81331</v>
      </c>
      <c r="I9210">
        <v>1</v>
      </c>
      <c r="J9210">
        <v>193</v>
      </c>
      <c r="K9210">
        <v>0</v>
      </c>
      <c r="L9210">
        <v>150.54</v>
      </c>
    </row>
    <row r="9211" spans="1:12" x14ac:dyDescent="0.25">
      <c r="A9211" t="str">
        <f t="shared" si="1991"/>
        <v>89301000</v>
      </c>
      <c r="B9211" t="str">
        <f t="shared" si="1997"/>
        <v>06539000</v>
      </c>
      <c r="C9211" t="str">
        <f t="shared" ref="C9211:C9218" si="2004">"06539002"</f>
        <v>06539002</v>
      </c>
      <c r="D9211" t="str">
        <f t="shared" ref="D9211:D9218" si="2005">"802"</f>
        <v>802</v>
      </c>
      <c r="E9211" t="str">
        <f t="shared" si="2002"/>
        <v>89301171</v>
      </c>
      <c r="F9211" t="str">
        <f t="shared" si="2003"/>
        <v>6806160658</v>
      </c>
      <c r="G9211" s="1">
        <v>44799</v>
      </c>
      <c r="H9211" t="str">
        <f t="shared" ref="H9211:H9218" si="2006">"82097"</f>
        <v>82097</v>
      </c>
      <c r="I9211">
        <v>1</v>
      </c>
      <c r="J9211">
        <v>380</v>
      </c>
      <c r="K9211">
        <v>0</v>
      </c>
      <c r="L9211">
        <v>345.8</v>
      </c>
    </row>
    <row r="9212" spans="1:12" x14ac:dyDescent="0.25">
      <c r="A9212" t="str">
        <f t="shared" si="1991"/>
        <v>89301000</v>
      </c>
      <c r="B9212" t="str">
        <f t="shared" si="1997"/>
        <v>06539000</v>
      </c>
      <c r="C9212" t="str">
        <f t="shared" si="2004"/>
        <v>06539002</v>
      </c>
      <c r="D9212" t="str">
        <f t="shared" si="2005"/>
        <v>802</v>
      </c>
      <c r="E9212" t="str">
        <f t="shared" si="2002"/>
        <v>89301171</v>
      </c>
      <c r="F9212" t="str">
        <f t="shared" si="2003"/>
        <v>6806160658</v>
      </c>
      <c r="G9212" s="1">
        <v>44799</v>
      </c>
      <c r="H9212" t="str">
        <f t="shared" si="2006"/>
        <v>82097</v>
      </c>
      <c r="I9212">
        <v>1</v>
      </c>
      <c r="J9212">
        <v>380</v>
      </c>
      <c r="K9212">
        <v>0</v>
      </c>
      <c r="L9212">
        <v>345.8</v>
      </c>
    </row>
    <row r="9213" spans="1:12" x14ac:dyDescent="0.25">
      <c r="A9213" t="str">
        <f t="shared" si="1991"/>
        <v>89301000</v>
      </c>
      <c r="B9213" t="str">
        <f t="shared" si="1997"/>
        <v>06539000</v>
      </c>
      <c r="C9213" t="str">
        <f t="shared" si="2004"/>
        <v>06539002</v>
      </c>
      <c r="D9213" t="str">
        <f t="shared" si="2005"/>
        <v>802</v>
      </c>
      <c r="E9213" t="str">
        <f t="shared" si="2002"/>
        <v>89301171</v>
      </c>
      <c r="F9213" t="str">
        <f t="shared" si="2003"/>
        <v>6806160658</v>
      </c>
      <c r="G9213" s="1">
        <v>44799</v>
      </c>
      <c r="H9213" t="str">
        <f t="shared" si="2006"/>
        <v>82097</v>
      </c>
      <c r="I9213">
        <v>1</v>
      </c>
      <c r="J9213">
        <v>380</v>
      </c>
      <c r="K9213">
        <v>0</v>
      </c>
      <c r="L9213">
        <v>345.8</v>
      </c>
    </row>
    <row r="9214" spans="1:12" x14ac:dyDescent="0.25">
      <c r="A9214" t="str">
        <f t="shared" si="1991"/>
        <v>89301000</v>
      </c>
      <c r="B9214" t="str">
        <f t="shared" si="1997"/>
        <v>06539000</v>
      </c>
      <c r="C9214" t="str">
        <f t="shared" si="2004"/>
        <v>06539002</v>
      </c>
      <c r="D9214" t="str">
        <f t="shared" si="2005"/>
        <v>802</v>
      </c>
      <c r="E9214" t="str">
        <f t="shared" si="2002"/>
        <v>89301171</v>
      </c>
      <c r="F9214" t="str">
        <f t="shared" si="2003"/>
        <v>6806160658</v>
      </c>
      <c r="G9214" s="1">
        <v>44799</v>
      </c>
      <c r="H9214" t="str">
        <f t="shared" si="2006"/>
        <v>82097</v>
      </c>
      <c r="I9214">
        <v>1</v>
      </c>
      <c r="J9214">
        <v>380</v>
      </c>
      <c r="K9214">
        <v>0</v>
      </c>
      <c r="L9214">
        <v>345.8</v>
      </c>
    </row>
    <row r="9215" spans="1:12" x14ac:dyDescent="0.25">
      <c r="A9215" t="str">
        <f t="shared" si="1991"/>
        <v>89301000</v>
      </c>
      <c r="B9215" t="str">
        <f t="shared" si="1997"/>
        <v>06539000</v>
      </c>
      <c r="C9215" t="str">
        <f t="shared" si="2004"/>
        <v>06539002</v>
      </c>
      <c r="D9215" t="str">
        <f t="shared" si="2005"/>
        <v>802</v>
      </c>
      <c r="E9215" t="str">
        <f t="shared" si="2002"/>
        <v>89301171</v>
      </c>
      <c r="F9215" t="str">
        <f t="shared" si="2003"/>
        <v>6806160658</v>
      </c>
      <c r="G9215" s="1">
        <v>44799</v>
      </c>
      <c r="H9215" t="str">
        <f t="shared" si="2006"/>
        <v>82097</v>
      </c>
      <c r="I9215">
        <v>1</v>
      </c>
      <c r="J9215">
        <v>380</v>
      </c>
      <c r="K9215">
        <v>0</v>
      </c>
      <c r="L9215">
        <v>345.8</v>
      </c>
    </row>
    <row r="9216" spans="1:12" x14ac:dyDescent="0.25">
      <c r="A9216" t="str">
        <f t="shared" si="1991"/>
        <v>89301000</v>
      </c>
      <c r="B9216" t="str">
        <f t="shared" si="1997"/>
        <v>06539000</v>
      </c>
      <c r="C9216" t="str">
        <f t="shared" si="2004"/>
        <v>06539002</v>
      </c>
      <c r="D9216" t="str">
        <f t="shared" si="2005"/>
        <v>802</v>
      </c>
      <c r="E9216" t="str">
        <f t="shared" si="2002"/>
        <v>89301171</v>
      </c>
      <c r="F9216" t="str">
        <f t="shared" si="2003"/>
        <v>6806160658</v>
      </c>
      <c r="G9216" s="1">
        <v>44799</v>
      </c>
      <c r="H9216" t="str">
        <f t="shared" si="2006"/>
        <v>82097</v>
      </c>
      <c r="I9216">
        <v>1</v>
      </c>
      <c r="J9216">
        <v>380</v>
      </c>
      <c r="K9216">
        <v>0</v>
      </c>
      <c r="L9216">
        <v>345.8</v>
      </c>
    </row>
    <row r="9217" spans="1:12" x14ac:dyDescent="0.25">
      <c r="A9217" t="str">
        <f t="shared" si="1991"/>
        <v>89301000</v>
      </c>
      <c r="B9217" t="str">
        <f t="shared" si="1997"/>
        <v>06539000</v>
      </c>
      <c r="C9217" t="str">
        <f t="shared" si="2004"/>
        <v>06539002</v>
      </c>
      <c r="D9217" t="str">
        <f t="shared" si="2005"/>
        <v>802</v>
      </c>
      <c r="E9217" t="str">
        <f t="shared" si="2002"/>
        <v>89301171</v>
      </c>
      <c r="F9217" t="str">
        <f t="shared" si="2003"/>
        <v>6806160658</v>
      </c>
      <c r="G9217" s="1">
        <v>44799</v>
      </c>
      <c r="H9217" t="str">
        <f t="shared" si="2006"/>
        <v>82097</v>
      </c>
      <c r="I9217">
        <v>1</v>
      </c>
      <c r="J9217">
        <v>380</v>
      </c>
      <c r="K9217">
        <v>0</v>
      </c>
      <c r="L9217">
        <v>345.8</v>
      </c>
    </row>
    <row r="9218" spans="1:12" x14ac:dyDescent="0.25">
      <c r="A9218" t="str">
        <f t="shared" ref="A9218:A9281" si="2007">"89301000"</f>
        <v>89301000</v>
      </c>
      <c r="B9218" t="str">
        <f t="shared" si="1997"/>
        <v>06539000</v>
      </c>
      <c r="C9218" t="str">
        <f t="shared" si="2004"/>
        <v>06539002</v>
      </c>
      <c r="D9218" t="str">
        <f t="shared" si="2005"/>
        <v>802</v>
      </c>
      <c r="E9218" t="str">
        <f t="shared" si="2002"/>
        <v>89301171</v>
      </c>
      <c r="F9218" t="str">
        <f t="shared" si="2003"/>
        <v>6806160658</v>
      </c>
      <c r="G9218" s="1">
        <v>44799</v>
      </c>
      <c r="H9218" t="str">
        <f t="shared" si="2006"/>
        <v>82097</v>
      </c>
      <c r="I9218">
        <v>1</v>
      </c>
      <c r="J9218">
        <v>380</v>
      </c>
      <c r="K9218">
        <v>0</v>
      </c>
      <c r="L9218">
        <v>345.8</v>
      </c>
    </row>
    <row r="9219" spans="1:12" x14ac:dyDescent="0.25">
      <c r="A9219" t="str">
        <f t="shared" si="2007"/>
        <v>89301000</v>
      </c>
      <c r="B9219" t="str">
        <f t="shared" si="1997"/>
        <v>06539000</v>
      </c>
      <c r="C9219" t="str">
        <f t="shared" ref="C9219:C9250" si="2008">"06539003"</f>
        <v>06539003</v>
      </c>
      <c r="D9219" t="str">
        <f t="shared" ref="D9219:D9250" si="2009">"813"</f>
        <v>813</v>
      </c>
      <c r="E9219" t="str">
        <f t="shared" si="2002"/>
        <v>89301171</v>
      </c>
      <c r="F9219" t="str">
        <f t="shared" si="2003"/>
        <v>6806160658</v>
      </c>
      <c r="G9219" s="1">
        <v>44804</v>
      </c>
      <c r="H9219" t="str">
        <f t="shared" ref="H9219:H9228" si="2010">"91413"</f>
        <v>91413</v>
      </c>
      <c r="I9219">
        <v>1</v>
      </c>
      <c r="J9219">
        <v>853</v>
      </c>
      <c r="K9219">
        <v>0</v>
      </c>
      <c r="L9219">
        <v>665.34</v>
      </c>
    </row>
    <row r="9220" spans="1:12" x14ac:dyDescent="0.25">
      <c r="A9220" t="str">
        <f t="shared" si="2007"/>
        <v>89301000</v>
      </c>
      <c r="B9220" t="str">
        <f t="shared" si="1997"/>
        <v>06539000</v>
      </c>
      <c r="C9220" t="str">
        <f t="shared" si="2008"/>
        <v>06539003</v>
      </c>
      <c r="D9220" t="str">
        <f t="shared" si="2009"/>
        <v>813</v>
      </c>
      <c r="E9220" t="str">
        <f t="shared" si="2002"/>
        <v>89301171</v>
      </c>
      <c r="F9220" t="str">
        <f t="shared" si="2003"/>
        <v>6806160658</v>
      </c>
      <c r="G9220" s="1">
        <v>44804</v>
      </c>
      <c r="H9220" t="str">
        <f t="shared" si="2010"/>
        <v>91413</v>
      </c>
      <c r="I9220">
        <v>1</v>
      </c>
      <c r="J9220">
        <v>853</v>
      </c>
      <c r="K9220">
        <v>0</v>
      </c>
      <c r="L9220">
        <v>665.34</v>
      </c>
    </row>
    <row r="9221" spans="1:12" x14ac:dyDescent="0.25">
      <c r="A9221" t="str">
        <f t="shared" si="2007"/>
        <v>89301000</v>
      </c>
      <c r="B9221" t="str">
        <f t="shared" si="1997"/>
        <v>06539000</v>
      </c>
      <c r="C9221" t="str">
        <f t="shared" si="2008"/>
        <v>06539003</v>
      </c>
      <c r="D9221" t="str">
        <f t="shared" si="2009"/>
        <v>813</v>
      </c>
      <c r="E9221" t="str">
        <f t="shared" si="2002"/>
        <v>89301171</v>
      </c>
      <c r="F9221" t="str">
        <f t="shared" si="2003"/>
        <v>6806160658</v>
      </c>
      <c r="G9221" s="1">
        <v>44812</v>
      </c>
      <c r="H9221" t="str">
        <f t="shared" si="2010"/>
        <v>91413</v>
      </c>
      <c r="I9221">
        <v>1</v>
      </c>
      <c r="J9221">
        <v>853</v>
      </c>
      <c r="K9221">
        <v>0</v>
      </c>
      <c r="L9221">
        <v>665.34</v>
      </c>
    </row>
    <row r="9222" spans="1:12" x14ac:dyDescent="0.25">
      <c r="A9222" t="str">
        <f t="shared" si="2007"/>
        <v>89301000</v>
      </c>
      <c r="B9222" t="str">
        <f t="shared" si="1997"/>
        <v>06539000</v>
      </c>
      <c r="C9222" t="str">
        <f t="shared" si="2008"/>
        <v>06539003</v>
      </c>
      <c r="D9222" t="str">
        <f t="shared" si="2009"/>
        <v>813</v>
      </c>
      <c r="E9222" t="str">
        <f t="shared" si="2002"/>
        <v>89301171</v>
      </c>
      <c r="F9222" t="str">
        <f t="shared" si="2003"/>
        <v>6806160658</v>
      </c>
      <c r="G9222" s="1">
        <v>44812</v>
      </c>
      <c r="H9222" t="str">
        <f t="shared" si="2010"/>
        <v>91413</v>
      </c>
      <c r="I9222">
        <v>1</v>
      </c>
      <c r="J9222">
        <v>853</v>
      </c>
      <c r="K9222">
        <v>0</v>
      </c>
      <c r="L9222">
        <v>665.34</v>
      </c>
    </row>
    <row r="9223" spans="1:12" x14ac:dyDescent="0.25">
      <c r="A9223" t="str">
        <f t="shared" si="2007"/>
        <v>89301000</v>
      </c>
      <c r="B9223" t="str">
        <f t="shared" si="1997"/>
        <v>06539000</v>
      </c>
      <c r="C9223" t="str">
        <f t="shared" si="2008"/>
        <v>06539003</v>
      </c>
      <c r="D9223" t="str">
        <f t="shared" si="2009"/>
        <v>813</v>
      </c>
      <c r="E9223" t="str">
        <f t="shared" si="2002"/>
        <v>89301171</v>
      </c>
      <c r="F9223" t="str">
        <f t="shared" si="2003"/>
        <v>6806160658</v>
      </c>
      <c r="G9223" s="1">
        <v>44811</v>
      </c>
      <c r="H9223" t="str">
        <f t="shared" si="2010"/>
        <v>91413</v>
      </c>
      <c r="I9223">
        <v>1</v>
      </c>
      <c r="J9223">
        <v>853</v>
      </c>
      <c r="K9223">
        <v>0</v>
      </c>
      <c r="L9223">
        <v>665.34</v>
      </c>
    </row>
    <row r="9224" spans="1:12" x14ac:dyDescent="0.25">
      <c r="A9224" t="str">
        <f t="shared" si="2007"/>
        <v>89301000</v>
      </c>
      <c r="B9224" t="str">
        <f t="shared" si="1997"/>
        <v>06539000</v>
      </c>
      <c r="C9224" t="str">
        <f t="shared" si="2008"/>
        <v>06539003</v>
      </c>
      <c r="D9224" t="str">
        <f t="shared" si="2009"/>
        <v>813</v>
      </c>
      <c r="E9224" t="str">
        <f t="shared" si="2002"/>
        <v>89301171</v>
      </c>
      <c r="F9224" t="str">
        <f t="shared" si="2003"/>
        <v>6806160658</v>
      </c>
      <c r="G9224" s="1">
        <v>44811</v>
      </c>
      <c r="H9224" t="str">
        <f t="shared" si="2010"/>
        <v>91413</v>
      </c>
      <c r="I9224">
        <v>1</v>
      </c>
      <c r="J9224">
        <v>853</v>
      </c>
      <c r="K9224">
        <v>0</v>
      </c>
      <c r="L9224">
        <v>665.34</v>
      </c>
    </row>
    <row r="9225" spans="1:12" x14ac:dyDescent="0.25">
      <c r="A9225" t="str">
        <f t="shared" si="2007"/>
        <v>89301000</v>
      </c>
      <c r="B9225" t="str">
        <f t="shared" si="1997"/>
        <v>06539000</v>
      </c>
      <c r="C9225" t="str">
        <f t="shared" si="2008"/>
        <v>06539003</v>
      </c>
      <c r="D9225" t="str">
        <f t="shared" si="2009"/>
        <v>813</v>
      </c>
      <c r="E9225" t="str">
        <f t="shared" si="2002"/>
        <v>89301171</v>
      </c>
      <c r="F9225" t="str">
        <f t="shared" si="2003"/>
        <v>6806160658</v>
      </c>
      <c r="G9225" s="1">
        <v>44812</v>
      </c>
      <c r="H9225" t="str">
        <f t="shared" si="2010"/>
        <v>91413</v>
      </c>
      <c r="I9225">
        <v>1</v>
      </c>
      <c r="J9225">
        <v>853</v>
      </c>
      <c r="K9225">
        <v>0</v>
      </c>
      <c r="L9225">
        <v>665.34</v>
      </c>
    </row>
    <row r="9226" spans="1:12" x14ac:dyDescent="0.25">
      <c r="A9226" t="str">
        <f t="shared" si="2007"/>
        <v>89301000</v>
      </c>
      <c r="B9226" t="str">
        <f t="shared" si="1997"/>
        <v>06539000</v>
      </c>
      <c r="C9226" t="str">
        <f t="shared" si="2008"/>
        <v>06539003</v>
      </c>
      <c r="D9226" t="str">
        <f t="shared" si="2009"/>
        <v>813</v>
      </c>
      <c r="E9226" t="str">
        <f t="shared" si="2002"/>
        <v>89301171</v>
      </c>
      <c r="F9226" t="str">
        <f t="shared" si="2003"/>
        <v>6806160658</v>
      </c>
      <c r="G9226" s="1">
        <v>44812</v>
      </c>
      <c r="H9226" t="str">
        <f t="shared" si="2010"/>
        <v>91413</v>
      </c>
      <c r="I9226">
        <v>1</v>
      </c>
      <c r="J9226">
        <v>853</v>
      </c>
      <c r="K9226">
        <v>0</v>
      </c>
      <c r="L9226">
        <v>665.34</v>
      </c>
    </row>
    <row r="9227" spans="1:12" x14ac:dyDescent="0.25">
      <c r="A9227" t="str">
        <f t="shared" si="2007"/>
        <v>89301000</v>
      </c>
      <c r="B9227" t="str">
        <f t="shared" si="1997"/>
        <v>06539000</v>
      </c>
      <c r="C9227" t="str">
        <f t="shared" si="2008"/>
        <v>06539003</v>
      </c>
      <c r="D9227" t="str">
        <f t="shared" si="2009"/>
        <v>813</v>
      </c>
      <c r="E9227" t="str">
        <f t="shared" si="2002"/>
        <v>89301171</v>
      </c>
      <c r="F9227" t="str">
        <f t="shared" si="2003"/>
        <v>6806160658</v>
      </c>
      <c r="G9227" s="1">
        <v>44812</v>
      </c>
      <c r="H9227" t="str">
        <f t="shared" si="2010"/>
        <v>91413</v>
      </c>
      <c r="I9227">
        <v>1</v>
      </c>
      <c r="J9227">
        <v>853</v>
      </c>
      <c r="K9227">
        <v>0</v>
      </c>
      <c r="L9227">
        <v>665.34</v>
      </c>
    </row>
    <row r="9228" spans="1:12" x14ac:dyDescent="0.25">
      <c r="A9228" t="str">
        <f t="shared" si="2007"/>
        <v>89301000</v>
      </c>
      <c r="B9228" t="str">
        <f t="shared" si="1997"/>
        <v>06539000</v>
      </c>
      <c r="C9228" t="str">
        <f t="shared" si="2008"/>
        <v>06539003</v>
      </c>
      <c r="D9228" t="str">
        <f t="shared" si="2009"/>
        <v>813</v>
      </c>
      <c r="E9228" t="str">
        <f t="shared" si="2002"/>
        <v>89301171</v>
      </c>
      <c r="F9228" t="str">
        <f t="shared" si="2003"/>
        <v>6806160658</v>
      </c>
      <c r="G9228" s="1">
        <v>44812</v>
      </c>
      <c r="H9228" t="str">
        <f t="shared" si="2010"/>
        <v>91413</v>
      </c>
      <c r="I9228">
        <v>1</v>
      </c>
      <c r="J9228">
        <v>853</v>
      </c>
      <c r="K9228">
        <v>0</v>
      </c>
      <c r="L9228">
        <v>665.34</v>
      </c>
    </row>
    <row r="9229" spans="1:12" x14ac:dyDescent="0.25">
      <c r="A9229" t="str">
        <f t="shared" si="2007"/>
        <v>89301000</v>
      </c>
      <c r="B9229" t="str">
        <f t="shared" si="1997"/>
        <v>06539000</v>
      </c>
      <c r="C9229" t="str">
        <f t="shared" si="2008"/>
        <v>06539003</v>
      </c>
      <c r="D9229" t="str">
        <f t="shared" si="2009"/>
        <v>813</v>
      </c>
      <c r="E9229" t="str">
        <f t="shared" si="2002"/>
        <v>89301171</v>
      </c>
      <c r="F9229" t="str">
        <f t="shared" si="2003"/>
        <v>6806160658</v>
      </c>
      <c r="G9229" s="1">
        <v>44799</v>
      </c>
      <c r="H9229" t="str">
        <f t="shared" ref="H9229:H9235" si="2011">"91197"</f>
        <v>91197</v>
      </c>
      <c r="I9229">
        <v>1</v>
      </c>
      <c r="J9229">
        <v>1046</v>
      </c>
      <c r="K9229">
        <v>0</v>
      </c>
      <c r="L9229">
        <v>815.88</v>
      </c>
    </row>
    <row r="9230" spans="1:12" x14ac:dyDescent="0.25">
      <c r="A9230" t="str">
        <f t="shared" si="2007"/>
        <v>89301000</v>
      </c>
      <c r="B9230" t="str">
        <f t="shared" si="1997"/>
        <v>06539000</v>
      </c>
      <c r="C9230" t="str">
        <f t="shared" si="2008"/>
        <v>06539003</v>
      </c>
      <c r="D9230" t="str">
        <f t="shared" si="2009"/>
        <v>813</v>
      </c>
      <c r="E9230" t="str">
        <f t="shared" si="2002"/>
        <v>89301171</v>
      </c>
      <c r="F9230" t="str">
        <f t="shared" si="2003"/>
        <v>6806160658</v>
      </c>
      <c r="G9230" s="1">
        <v>44802</v>
      </c>
      <c r="H9230" t="str">
        <f t="shared" si="2011"/>
        <v>91197</v>
      </c>
      <c r="I9230">
        <v>1</v>
      </c>
      <c r="J9230">
        <v>1046</v>
      </c>
      <c r="K9230">
        <v>0</v>
      </c>
      <c r="L9230">
        <v>815.88</v>
      </c>
    </row>
    <row r="9231" spans="1:12" x14ac:dyDescent="0.25">
      <c r="A9231" t="str">
        <f t="shared" si="2007"/>
        <v>89301000</v>
      </c>
      <c r="B9231" t="str">
        <f t="shared" si="1997"/>
        <v>06539000</v>
      </c>
      <c r="C9231" t="str">
        <f t="shared" si="2008"/>
        <v>06539003</v>
      </c>
      <c r="D9231" t="str">
        <f t="shared" si="2009"/>
        <v>813</v>
      </c>
      <c r="E9231" t="str">
        <f t="shared" si="2002"/>
        <v>89301171</v>
      </c>
      <c r="F9231" t="str">
        <f t="shared" si="2003"/>
        <v>6806160658</v>
      </c>
      <c r="G9231" s="1">
        <v>44802</v>
      </c>
      <c r="H9231" t="str">
        <f t="shared" si="2011"/>
        <v>91197</v>
      </c>
      <c r="I9231">
        <v>1</v>
      </c>
      <c r="J9231">
        <v>1046</v>
      </c>
      <c r="K9231">
        <v>0</v>
      </c>
      <c r="L9231">
        <v>815.88</v>
      </c>
    </row>
    <row r="9232" spans="1:12" x14ac:dyDescent="0.25">
      <c r="A9232" t="str">
        <f t="shared" si="2007"/>
        <v>89301000</v>
      </c>
      <c r="B9232" t="str">
        <f t="shared" si="1997"/>
        <v>06539000</v>
      </c>
      <c r="C9232" t="str">
        <f t="shared" si="2008"/>
        <v>06539003</v>
      </c>
      <c r="D9232" t="str">
        <f t="shared" si="2009"/>
        <v>813</v>
      </c>
      <c r="E9232" t="str">
        <f t="shared" si="2002"/>
        <v>89301171</v>
      </c>
      <c r="F9232" t="str">
        <f t="shared" si="2003"/>
        <v>6806160658</v>
      </c>
      <c r="G9232" s="1">
        <v>44801</v>
      </c>
      <c r="H9232" t="str">
        <f t="shared" si="2011"/>
        <v>91197</v>
      </c>
      <c r="I9232">
        <v>1</v>
      </c>
      <c r="J9232">
        <v>1046</v>
      </c>
      <c r="K9232">
        <v>0</v>
      </c>
      <c r="L9232">
        <v>815.88</v>
      </c>
    </row>
    <row r="9233" spans="1:12" x14ac:dyDescent="0.25">
      <c r="A9233" t="str">
        <f t="shared" si="2007"/>
        <v>89301000</v>
      </c>
      <c r="B9233" t="str">
        <f t="shared" si="1997"/>
        <v>06539000</v>
      </c>
      <c r="C9233" t="str">
        <f t="shared" si="2008"/>
        <v>06539003</v>
      </c>
      <c r="D9233" t="str">
        <f t="shared" si="2009"/>
        <v>813</v>
      </c>
      <c r="E9233" t="str">
        <f t="shared" si="2002"/>
        <v>89301171</v>
      </c>
      <c r="F9233" t="str">
        <f t="shared" si="2003"/>
        <v>6806160658</v>
      </c>
      <c r="G9233" s="1">
        <v>44801</v>
      </c>
      <c r="H9233" t="str">
        <f t="shared" si="2011"/>
        <v>91197</v>
      </c>
      <c r="I9233">
        <v>1</v>
      </c>
      <c r="J9233">
        <v>1046</v>
      </c>
      <c r="K9233">
        <v>0</v>
      </c>
      <c r="L9233">
        <v>815.88</v>
      </c>
    </row>
    <row r="9234" spans="1:12" x14ac:dyDescent="0.25">
      <c r="A9234" t="str">
        <f t="shared" si="2007"/>
        <v>89301000</v>
      </c>
      <c r="B9234" t="str">
        <f t="shared" si="1997"/>
        <v>06539000</v>
      </c>
      <c r="C9234" t="str">
        <f t="shared" si="2008"/>
        <v>06539003</v>
      </c>
      <c r="D9234" t="str">
        <f t="shared" si="2009"/>
        <v>813</v>
      </c>
      <c r="E9234" t="str">
        <f t="shared" si="2002"/>
        <v>89301171</v>
      </c>
      <c r="F9234" t="str">
        <f t="shared" si="2003"/>
        <v>6806160658</v>
      </c>
      <c r="G9234" s="1">
        <v>44800</v>
      </c>
      <c r="H9234" t="str">
        <f t="shared" si="2011"/>
        <v>91197</v>
      </c>
      <c r="I9234">
        <v>1</v>
      </c>
      <c r="J9234">
        <v>1046</v>
      </c>
      <c r="K9234">
        <v>0</v>
      </c>
      <c r="L9234">
        <v>815.88</v>
      </c>
    </row>
    <row r="9235" spans="1:12" x14ac:dyDescent="0.25">
      <c r="A9235" t="str">
        <f t="shared" si="2007"/>
        <v>89301000</v>
      </c>
      <c r="B9235" t="str">
        <f t="shared" si="1997"/>
        <v>06539000</v>
      </c>
      <c r="C9235" t="str">
        <f t="shared" si="2008"/>
        <v>06539003</v>
      </c>
      <c r="D9235" t="str">
        <f t="shared" si="2009"/>
        <v>813</v>
      </c>
      <c r="E9235" t="str">
        <f t="shared" si="2002"/>
        <v>89301171</v>
      </c>
      <c r="F9235" t="str">
        <f t="shared" si="2003"/>
        <v>6806160658</v>
      </c>
      <c r="G9235" s="1">
        <v>44800</v>
      </c>
      <c r="H9235" t="str">
        <f t="shared" si="2011"/>
        <v>91197</v>
      </c>
      <c r="I9235">
        <v>1</v>
      </c>
      <c r="J9235">
        <v>1046</v>
      </c>
      <c r="K9235">
        <v>0</v>
      </c>
      <c r="L9235">
        <v>815.88</v>
      </c>
    </row>
    <row r="9236" spans="1:12" x14ac:dyDescent="0.25">
      <c r="A9236" t="str">
        <f t="shared" si="2007"/>
        <v>89301000</v>
      </c>
      <c r="B9236" t="str">
        <f t="shared" si="1997"/>
        <v>06539000</v>
      </c>
      <c r="C9236" t="str">
        <f t="shared" si="2008"/>
        <v>06539003</v>
      </c>
      <c r="D9236" t="str">
        <f t="shared" si="2009"/>
        <v>813</v>
      </c>
      <c r="E9236" t="str">
        <f t="shared" si="2002"/>
        <v>89301171</v>
      </c>
      <c r="F9236" t="str">
        <f t="shared" si="2003"/>
        <v>6806160658</v>
      </c>
      <c r="G9236" s="1">
        <v>44803</v>
      </c>
      <c r="H9236" t="str">
        <f>"91329"</f>
        <v>91329</v>
      </c>
      <c r="I9236">
        <v>2</v>
      </c>
      <c r="J9236">
        <v>428</v>
      </c>
      <c r="K9236">
        <v>0</v>
      </c>
      <c r="L9236">
        <v>333.84</v>
      </c>
    </row>
    <row r="9237" spans="1:12" x14ac:dyDescent="0.25">
      <c r="A9237" t="str">
        <f t="shared" si="2007"/>
        <v>89301000</v>
      </c>
      <c r="B9237" t="str">
        <f t="shared" si="1997"/>
        <v>06539000</v>
      </c>
      <c r="C9237" t="str">
        <f t="shared" si="2008"/>
        <v>06539003</v>
      </c>
      <c r="D9237" t="str">
        <f t="shared" si="2009"/>
        <v>813</v>
      </c>
      <c r="E9237" t="str">
        <f t="shared" si="2002"/>
        <v>89301171</v>
      </c>
      <c r="F9237" t="str">
        <f t="shared" si="2003"/>
        <v>6806160658</v>
      </c>
      <c r="G9237" s="1">
        <v>44803</v>
      </c>
      <c r="H9237" t="str">
        <f>"91329"</f>
        <v>91329</v>
      </c>
      <c r="I9237">
        <v>2</v>
      </c>
      <c r="J9237">
        <v>428</v>
      </c>
      <c r="K9237">
        <v>0</v>
      </c>
      <c r="L9237">
        <v>333.84</v>
      </c>
    </row>
    <row r="9238" spans="1:12" x14ac:dyDescent="0.25">
      <c r="A9238" t="str">
        <f t="shared" si="2007"/>
        <v>89301000</v>
      </c>
      <c r="B9238" t="str">
        <f t="shared" si="1997"/>
        <v>06539000</v>
      </c>
      <c r="C9238" t="str">
        <f t="shared" si="2008"/>
        <v>06539003</v>
      </c>
      <c r="D9238" t="str">
        <f t="shared" si="2009"/>
        <v>813</v>
      </c>
      <c r="E9238" t="str">
        <f t="shared" si="2002"/>
        <v>89301171</v>
      </c>
      <c r="F9238" t="str">
        <f t="shared" si="2003"/>
        <v>6806160658</v>
      </c>
      <c r="G9238" s="1">
        <v>44810</v>
      </c>
      <c r="H9238" t="str">
        <f>"91329"</f>
        <v>91329</v>
      </c>
      <c r="I9238">
        <v>2</v>
      </c>
      <c r="J9238">
        <v>428</v>
      </c>
      <c r="K9238">
        <v>0</v>
      </c>
      <c r="L9238">
        <v>333.84</v>
      </c>
    </row>
    <row r="9239" spans="1:12" x14ac:dyDescent="0.25">
      <c r="A9239" t="str">
        <f t="shared" si="2007"/>
        <v>89301000</v>
      </c>
      <c r="B9239" t="str">
        <f t="shared" si="1997"/>
        <v>06539000</v>
      </c>
      <c r="C9239" t="str">
        <f t="shared" si="2008"/>
        <v>06539003</v>
      </c>
      <c r="D9239" t="str">
        <f t="shared" si="2009"/>
        <v>813</v>
      </c>
      <c r="E9239" t="str">
        <f t="shared" si="2002"/>
        <v>89301171</v>
      </c>
      <c r="F9239" t="str">
        <f t="shared" si="2003"/>
        <v>6806160658</v>
      </c>
      <c r="G9239" s="1">
        <v>44810</v>
      </c>
      <c r="H9239" t="str">
        <f>"91329"</f>
        <v>91329</v>
      </c>
      <c r="I9239">
        <v>2</v>
      </c>
      <c r="J9239">
        <v>428</v>
      </c>
      <c r="K9239">
        <v>0</v>
      </c>
      <c r="L9239">
        <v>333.84</v>
      </c>
    </row>
    <row r="9240" spans="1:12" x14ac:dyDescent="0.25">
      <c r="A9240" t="str">
        <f t="shared" si="2007"/>
        <v>89301000</v>
      </c>
      <c r="B9240" t="str">
        <f t="shared" ref="B9240:B9303" si="2012">"06539000"</f>
        <v>06539000</v>
      </c>
      <c r="C9240" t="str">
        <f t="shared" si="2008"/>
        <v>06539003</v>
      </c>
      <c r="D9240" t="str">
        <f t="shared" si="2009"/>
        <v>813</v>
      </c>
      <c r="E9240" t="str">
        <f t="shared" si="2002"/>
        <v>89301171</v>
      </c>
      <c r="F9240" t="str">
        <f t="shared" si="2003"/>
        <v>6806160658</v>
      </c>
      <c r="G9240" s="1">
        <v>44802</v>
      </c>
      <c r="H9240" t="str">
        <f>"91129"</f>
        <v>91129</v>
      </c>
      <c r="I9240">
        <v>1</v>
      </c>
      <c r="J9240">
        <v>174</v>
      </c>
      <c r="K9240">
        <v>0</v>
      </c>
      <c r="L9240">
        <v>135.72</v>
      </c>
    </row>
    <row r="9241" spans="1:12" x14ac:dyDescent="0.25">
      <c r="A9241" t="str">
        <f t="shared" si="2007"/>
        <v>89301000</v>
      </c>
      <c r="B9241" t="str">
        <f t="shared" si="2012"/>
        <v>06539000</v>
      </c>
      <c r="C9241" t="str">
        <f t="shared" si="2008"/>
        <v>06539003</v>
      </c>
      <c r="D9241" t="str">
        <f t="shared" si="2009"/>
        <v>813</v>
      </c>
      <c r="E9241" t="str">
        <f t="shared" si="2002"/>
        <v>89301171</v>
      </c>
      <c r="F9241" t="str">
        <f t="shared" si="2003"/>
        <v>6806160658</v>
      </c>
      <c r="G9241" s="1">
        <v>44802</v>
      </c>
      <c r="H9241" t="str">
        <f>"91131"</f>
        <v>91131</v>
      </c>
      <c r="I9241">
        <v>1</v>
      </c>
      <c r="J9241">
        <v>171</v>
      </c>
      <c r="K9241">
        <v>0</v>
      </c>
      <c r="L9241">
        <v>133.38</v>
      </c>
    </row>
    <row r="9242" spans="1:12" x14ac:dyDescent="0.25">
      <c r="A9242" t="str">
        <f t="shared" si="2007"/>
        <v>89301000</v>
      </c>
      <c r="B9242" t="str">
        <f t="shared" si="2012"/>
        <v>06539000</v>
      </c>
      <c r="C9242" t="str">
        <f t="shared" si="2008"/>
        <v>06539003</v>
      </c>
      <c r="D9242" t="str">
        <f t="shared" si="2009"/>
        <v>813</v>
      </c>
      <c r="E9242" t="str">
        <f t="shared" si="2002"/>
        <v>89301171</v>
      </c>
      <c r="F9242" t="str">
        <f t="shared" si="2003"/>
        <v>6806160658</v>
      </c>
      <c r="G9242" s="1">
        <v>44802</v>
      </c>
      <c r="H9242" t="str">
        <f>"91133"</f>
        <v>91133</v>
      </c>
      <c r="I9242">
        <v>1</v>
      </c>
      <c r="J9242">
        <v>176</v>
      </c>
      <c r="K9242">
        <v>0</v>
      </c>
      <c r="L9242">
        <v>137.28</v>
      </c>
    </row>
    <row r="9243" spans="1:12" x14ac:dyDescent="0.25">
      <c r="A9243" t="str">
        <f t="shared" si="2007"/>
        <v>89301000</v>
      </c>
      <c r="B9243" t="str">
        <f t="shared" si="2012"/>
        <v>06539000</v>
      </c>
      <c r="C9243" t="str">
        <f t="shared" si="2008"/>
        <v>06539003</v>
      </c>
      <c r="D9243" t="str">
        <f t="shared" si="2009"/>
        <v>813</v>
      </c>
      <c r="E9243" t="str">
        <f t="shared" si="2002"/>
        <v>89301171</v>
      </c>
      <c r="F9243" t="str">
        <f t="shared" si="2003"/>
        <v>6806160658</v>
      </c>
      <c r="G9243" s="1">
        <v>44802</v>
      </c>
      <c r="H9243" t="str">
        <f>"91171"</f>
        <v>91171</v>
      </c>
      <c r="I9243">
        <v>1</v>
      </c>
      <c r="J9243">
        <v>360</v>
      </c>
      <c r="K9243">
        <v>0</v>
      </c>
      <c r="L9243">
        <v>280.8</v>
      </c>
    </row>
    <row r="9244" spans="1:12" x14ac:dyDescent="0.25">
      <c r="A9244" t="str">
        <f t="shared" si="2007"/>
        <v>89301000</v>
      </c>
      <c r="B9244" t="str">
        <f t="shared" si="2012"/>
        <v>06539000</v>
      </c>
      <c r="C9244" t="str">
        <f t="shared" si="2008"/>
        <v>06539003</v>
      </c>
      <c r="D9244" t="str">
        <f t="shared" si="2009"/>
        <v>813</v>
      </c>
      <c r="E9244" t="str">
        <f t="shared" si="2002"/>
        <v>89301171</v>
      </c>
      <c r="F9244" t="str">
        <f t="shared" si="2003"/>
        <v>6806160658</v>
      </c>
      <c r="G9244" s="1">
        <v>44799</v>
      </c>
      <c r="H9244" t="str">
        <f>"91173"</f>
        <v>91173</v>
      </c>
      <c r="I9244">
        <v>1</v>
      </c>
      <c r="J9244">
        <v>335</v>
      </c>
      <c r="K9244">
        <v>0</v>
      </c>
      <c r="L9244">
        <v>261.3</v>
      </c>
    </row>
    <row r="9245" spans="1:12" x14ac:dyDescent="0.25">
      <c r="A9245" t="str">
        <f t="shared" si="2007"/>
        <v>89301000</v>
      </c>
      <c r="B9245" t="str">
        <f t="shared" si="2012"/>
        <v>06539000</v>
      </c>
      <c r="C9245" t="str">
        <f t="shared" si="2008"/>
        <v>06539003</v>
      </c>
      <c r="D9245" t="str">
        <f t="shared" si="2009"/>
        <v>813</v>
      </c>
      <c r="E9245" t="str">
        <f t="shared" si="2002"/>
        <v>89301171</v>
      </c>
      <c r="F9245" t="str">
        <f t="shared" si="2003"/>
        <v>6806160658</v>
      </c>
      <c r="G9245" s="1">
        <v>44802</v>
      </c>
      <c r="H9245" t="str">
        <f>"91175"</f>
        <v>91175</v>
      </c>
      <c r="I9245">
        <v>1</v>
      </c>
      <c r="J9245">
        <v>360</v>
      </c>
      <c r="K9245">
        <v>0</v>
      </c>
      <c r="L9245">
        <v>280.8</v>
      </c>
    </row>
    <row r="9246" spans="1:12" x14ac:dyDescent="0.25">
      <c r="A9246" t="str">
        <f t="shared" si="2007"/>
        <v>89301000</v>
      </c>
      <c r="B9246" t="str">
        <f t="shared" si="2012"/>
        <v>06539000</v>
      </c>
      <c r="C9246" t="str">
        <f t="shared" si="2008"/>
        <v>06539003</v>
      </c>
      <c r="D9246" t="str">
        <f t="shared" si="2009"/>
        <v>813</v>
      </c>
      <c r="E9246" t="str">
        <f t="shared" si="2002"/>
        <v>89301171</v>
      </c>
      <c r="F9246" t="str">
        <f t="shared" si="2003"/>
        <v>6806160658</v>
      </c>
      <c r="G9246" s="1">
        <v>44800</v>
      </c>
      <c r="H9246" t="str">
        <f>"91167"</f>
        <v>91167</v>
      </c>
      <c r="I9246">
        <v>1</v>
      </c>
      <c r="J9246">
        <v>425</v>
      </c>
      <c r="K9246">
        <v>0</v>
      </c>
      <c r="L9246">
        <v>331.5</v>
      </c>
    </row>
    <row r="9247" spans="1:12" x14ac:dyDescent="0.25">
      <c r="A9247" t="str">
        <f t="shared" si="2007"/>
        <v>89301000</v>
      </c>
      <c r="B9247" t="str">
        <f t="shared" si="2012"/>
        <v>06539000</v>
      </c>
      <c r="C9247" t="str">
        <f t="shared" si="2008"/>
        <v>06539003</v>
      </c>
      <c r="D9247" t="str">
        <f t="shared" si="2009"/>
        <v>813</v>
      </c>
      <c r="E9247" t="str">
        <f t="shared" si="2002"/>
        <v>89301171</v>
      </c>
      <c r="F9247" t="str">
        <f t="shared" si="2003"/>
        <v>6806160658</v>
      </c>
      <c r="G9247" s="1">
        <v>44800</v>
      </c>
      <c r="H9247" t="str">
        <f>"91169"</f>
        <v>91169</v>
      </c>
      <c r="I9247">
        <v>1</v>
      </c>
      <c r="J9247">
        <v>425</v>
      </c>
      <c r="K9247">
        <v>0</v>
      </c>
      <c r="L9247">
        <v>331.5</v>
      </c>
    </row>
    <row r="9248" spans="1:12" x14ac:dyDescent="0.25">
      <c r="A9248" t="str">
        <f t="shared" si="2007"/>
        <v>89301000</v>
      </c>
      <c r="B9248" t="str">
        <f t="shared" si="2012"/>
        <v>06539000</v>
      </c>
      <c r="C9248" t="str">
        <f t="shared" si="2008"/>
        <v>06539003</v>
      </c>
      <c r="D9248" t="str">
        <f t="shared" si="2009"/>
        <v>813</v>
      </c>
      <c r="E9248" t="str">
        <f t="shared" si="2002"/>
        <v>89301171</v>
      </c>
      <c r="F9248" t="str">
        <f t="shared" si="2003"/>
        <v>6806160658</v>
      </c>
      <c r="G9248" s="1">
        <v>44799</v>
      </c>
      <c r="H9248" t="str">
        <f>"91167"</f>
        <v>91167</v>
      </c>
      <c r="I9248">
        <v>1</v>
      </c>
      <c r="J9248">
        <v>425</v>
      </c>
      <c r="K9248">
        <v>0</v>
      </c>
      <c r="L9248">
        <v>331.5</v>
      </c>
    </row>
    <row r="9249" spans="1:12" x14ac:dyDescent="0.25">
      <c r="A9249" t="str">
        <f t="shared" si="2007"/>
        <v>89301000</v>
      </c>
      <c r="B9249" t="str">
        <f t="shared" si="2012"/>
        <v>06539000</v>
      </c>
      <c r="C9249" t="str">
        <f t="shared" si="2008"/>
        <v>06539003</v>
      </c>
      <c r="D9249" t="str">
        <f t="shared" si="2009"/>
        <v>813</v>
      </c>
      <c r="E9249" t="str">
        <f t="shared" si="2002"/>
        <v>89301171</v>
      </c>
      <c r="F9249" t="str">
        <f t="shared" si="2003"/>
        <v>6806160658</v>
      </c>
      <c r="G9249" s="1">
        <v>44799</v>
      </c>
      <c r="H9249" t="str">
        <f>"91169"</f>
        <v>91169</v>
      </c>
      <c r="I9249">
        <v>1</v>
      </c>
      <c r="J9249">
        <v>425</v>
      </c>
      <c r="K9249">
        <v>0</v>
      </c>
      <c r="L9249">
        <v>331.5</v>
      </c>
    </row>
    <row r="9250" spans="1:12" x14ac:dyDescent="0.25">
      <c r="A9250" t="str">
        <f t="shared" si="2007"/>
        <v>89301000</v>
      </c>
      <c r="B9250" t="str">
        <f t="shared" si="2012"/>
        <v>06539000</v>
      </c>
      <c r="C9250" t="str">
        <f t="shared" si="2008"/>
        <v>06539003</v>
      </c>
      <c r="D9250" t="str">
        <f t="shared" si="2009"/>
        <v>813</v>
      </c>
      <c r="E9250" t="str">
        <f t="shared" si="2002"/>
        <v>89301171</v>
      </c>
      <c r="F9250" t="str">
        <f t="shared" si="2003"/>
        <v>6806160658</v>
      </c>
      <c r="G9250" s="1">
        <v>44799</v>
      </c>
      <c r="H9250" t="str">
        <f>"91475"</f>
        <v>91475</v>
      </c>
      <c r="I9250">
        <v>1</v>
      </c>
      <c r="J9250">
        <v>206</v>
      </c>
      <c r="K9250">
        <v>0</v>
      </c>
      <c r="L9250">
        <v>160.68</v>
      </c>
    </row>
    <row r="9251" spans="1:12" x14ac:dyDescent="0.25">
      <c r="A9251" t="str">
        <f t="shared" si="2007"/>
        <v>89301000</v>
      </c>
      <c r="B9251" t="str">
        <f t="shared" si="2012"/>
        <v>06539000</v>
      </c>
      <c r="C9251" t="str">
        <f>"06539001"</f>
        <v>06539001</v>
      </c>
      <c r="D9251" t="str">
        <f>"801"</f>
        <v>801</v>
      </c>
      <c r="E9251" t="str">
        <f t="shared" si="2002"/>
        <v>89301171</v>
      </c>
      <c r="F9251" t="str">
        <f>"5861081743"</f>
        <v>5861081743</v>
      </c>
      <c r="G9251" s="1">
        <v>44804</v>
      </c>
      <c r="H9251" t="str">
        <f>"81705"</f>
        <v>81705</v>
      </c>
      <c r="I9251">
        <v>1</v>
      </c>
      <c r="J9251">
        <v>346</v>
      </c>
      <c r="K9251">
        <v>0</v>
      </c>
      <c r="L9251">
        <v>269.88</v>
      </c>
    </row>
    <row r="9252" spans="1:12" x14ac:dyDescent="0.25">
      <c r="A9252" t="str">
        <f t="shared" si="2007"/>
        <v>89301000</v>
      </c>
      <c r="B9252" t="str">
        <f t="shared" si="2012"/>
        <v>06539000</v>
      </c>
      <c r="C9252" t="str">
        <f>"06539001"</f>
        <v>06539001</v>
      </c>
      <c r="D9252" t="str">
        <f>"801"</f>
        <v>801</v>
      </c>
      <c r="E9252" t="str">
        <f t="shared" si="2002"/>
        <v>89301171</v>
      </c>
      <c r="F9252" t="str">
        <f>"5861081743"</f>
        <v>5861081743</v>
      </c>
      <c r="G9252" s="1">
        <v>44810</v>
      </c>
      <c r="H9252" t="str">
        <f>"81705"</f>
        <v>81705</v>
      </c>
      <c r="I9252">
        <v>1</v>
      </c>
      <c r="J9252">
        <v>346</v>
      </c>
      <c r="K9252">
        <v>0</v>
      </c>
      <c r="L9252">
        <v>269.88</v>
      </c>
    </row>
    <row r="9253" spans="1:12" x14ac:dyDescent="0.25">
      <c r="A9253" t="str">
        <f t="shared" si="2007"/>
        <v>89301000</v>
      </c>
      <c r="B9253" t="str">
        <f t="shared" si="2012"/>
        <v>06539000</v>
      </c>
      <c r="C9253" t="str">
        <f t="shared" ref="C9253:C9258" si="2013">"06539003"</f>
        <v>06539003</v>
      </c>
      <c r="D9253" t="str">
        <f t="shared" ref="D9253:D9258" si="2014">"813"</f>
        <v>813</v>
      </c>
      <c r="E9253" t="str">
        <f t="shared" si="2002"/>
        <v>89301171</v>
      </c>
      <c r="F9253" t="str">
        <f>"5861081743"</f>
        <v>5861081743</v>
      </c>
      <c r="G9253" s="1">
        <v>44810</v>
      </c>
      <c r="H9253" t="str">
        <f>"91329"</f>
        <v>91329</v>
      </c>
      <c r="I9253">
        <v>2</v>
      </c>
      <c r="J9253">
        <v>428</v>
      </c>
      <c r="K9253">
        <v>0</v>
      </c>
      <c r="L9253">
        <v>333.84</v>
      </c>
    </row>
    <row r="9254" spans="1:12" x14ac:dyDescent="0.25">
      <c r="A9254" t="str">
        <f t="shared" si="2007"/>
        <v>89301000</v>
      </c>
      <c r="B9254" t="str">
        <f t="shared" si="2012"/>
        <v>06539000</v>
      </c>
      <c r="C9254" t="str">
        <f t="shared" si="2013"/>
        <v>06539003</v>
      </c>
      <c r="D9254" t="str">
        <f t="shared" si="2014"/>
        <v>813</v>
      </c>
      <c r="E9254" t="str">
        <f>"89301172"</f>
        <v>89301172</v>
      </c>
      <c r="F9254" t="str">
        <f>"9757014861"</f>
        <v>9757014861</v>
      </c>
      <c r="G9254" s="1">
        <v>44810</v>
      </c>
      <c r="H9254" t="str">
        <f>"91329"</f>
        <v>91329</v>
      </c>
      <c r="I9254">
        <v>2</v>
      </c>
      <c r="J9254">
        <v>428</v>
      </c>
      <c r="K9254">
        <v>0</v>
      </c>
      <c r="L9254">
        <v>333.84</v>
      </c>
    </row>
    <row r="9255" spans="1:12" x14ac:dyDescent="0.25">
      <c r="A9255" t="str">
        <f t="shared" si="2007"/>
        <v>89301000</v>
      </c>
      <c r="B9255" t="str">
        <f t="shared" si="2012"/>
        <v>06539000</v>
      </c>
      <c r="C9255" t="str">
        <f t="shared" si="2013"/>
        <v>06539003</v>
      </c>
      <c r="D9255" t="str">
        <f t="shared" si="2014"/>
        <v>813</v>
      </c>
      <c r="E9255" t="str">
        <f>"89301172"</f>
        <v>89301172</v>
      </c>
      <c r="F9255" t="str">
        <f>"9757014861"</f>
        <v>9757014861</v>
      </c>
      <c r="G9255" s="1">
        <v>44810</v>
      </c>
      <c r="H9255" t="str">
        <f>"91329"</f>
        <v>91329</v>
      </c>
      <c r="I9255">
        <v>2</v>
      </c>
      <c r="J9255">
        <v>428</v>
      </c>
      <c r="K9255">
        <v>0</v>
      </c>
      <c r="L9255">
        <v>333.84</v>
      </c>
    </row>
    <row r="9256" spans="1:12" x14ac:dyDescent="0.25">
      <c r="A9256" t="str">
        <f t="shared" si="2007"/>
        <v>89301000</v>
      </c>
      <c r="B9256" t="str">
        <f t="shared" si="2012"/>
        <v>06539000</v>
      </c>
      <c r="C9256" t="str">
        <f t="shared" si="2013"/>
        <v>06539003</v>
      </c>
      <c r="D9256" t="str">
        <f t="shared" si="2014"/>
        <v>813</v>
      </c>
      <c r="E9256" t="str">
        <f>"89301172"</f>
        <v>89301172</v>
      </c>
      <c r="F9256" t="str">
        <f>"9757014861"</f>
        <v>9757014861</v>
      </c>
      <c r="G9256" s="1">
        <v>44810</v>
      </c>
      <c r="H9256" t="str">
        <f>"91329"</f>
        <v>91329</v>
      </c>
      <c r="I9256">
        <v>2</v>
      </c>
      <c r="J9256">
        <v>428</v>
      </c>
      <c r="K9256">
        <v>0</v>
      </c>
      <c r="L9256">
        <v>333.84</v>
      </c>
    </row>
    <row r="9257" spans="1:12" x14ac:dyDescent="0.25">
      <c r="A9257" t="str">
        <f t="shared" si="2007"/>
        <v>89301000</v>
      </c>
      <c r="B9257" t="str">
        <f t="shared" si="2012"/>
        <v>06539000</v>
      </c>
      <c r="C9257" t="str">
        <f t="shared" si="2013"/>
        <v>06539003</v>
      </c>
      <c r="D9257" t="str">
        <f t="shared" si="2014"/>
        <v>813</v>
      </c>
      <c r="E9257" t="str">
        <f>"89301172"</f>
        <v>89301172</v>
      </c>
      <c r="F9257" t="str">
        <f>"9757014861"</f>
        <v>9757014861</v>
      </c>
      <c r="G9257" s="1">
        <v>44810</v>
      </c>
      <c r="H9257" t="str">
        <f>"91329"</f>
        <v>91329</v>
      </c>
      <c r="I9257">
        <v>2</v>
      </c>
      <c r="J9257">
        <v>428</v>
      </c>
      <c r="K9257">
        <v>0</v>
      </c>
      <c r="L9257">
        <v>333.84</v>
      </c>
    </row>
    <row r="9258" spans="1:12" x14ac:dyDescent="0.25">
      <c r="A9258" t="str">
        <f t="shared" si="2007"/>
        <v>89301000</v>
      </c>
      <c r="B9258" t="str">
        <f t="shared" si="2012"/>
        <v>06539000</v>
      </c>
      <c r="C9258" t="str">
        <f t="shared" si="2013"/>
        <v>06539003</v>
      </c>
      <c r="D9258" t="str">
        <f t="shared" si="2014"/>
        <v>813</v>
      </c>
      <c r="E9258" t="str">
        <f>"89301172"</f>
        <v>89301172</v>
      </c>
      <c r="F9258" t="str">
        <f>"9757014861"</f>
        <v>9757014861</v>
      </c>
      <c r="G9258" s="1">
        <v>44806</v>
      </c>
      <c r="H9258" t="str">
        <f>"91475"</f>
        <v>91475</v>
      </c>
      <c r="I9258">
        <v>1</v>
      </c>
      <c r="J9258">
        <v>206</v>
      </c>
      <c r="K9258">
        <v>0</v>
      </c>
      <c r="L9258">
        <v>160.68</v>
      </c>
    </row>
    <row r="9259" spans="1:12" x14ac:dyDescent="0.25">
      <c r="A9259" t="str">
        <f t="shared" si="2007"/>
        <v>89301000</v>
      </c>
      <c r="B9259" t="str">
        <f t="shared" si="2012"/>
        <v>06539000</v>
      </c>
      <c r="C9259" t="str">
        <f>"06539001"</f>
        <v>06539001</v>
      </c>
      <c r="D9259" t="str">
        <f>"801"</f>
        <v>801</v>
      </c>
      <c r="E9259" t="str">
        <f t="shared" ref="E9259:E9287" si="2015">"89301171"</f>
        <v>89301171</v>
      </c>
      <c r="F9259" t="str">
        <f t="shared" ref="F9259:F9287" si="2016">"6012231115"</f>
        <v>6012231115</v>
      </c>
      <c r="G9259" s="1">
        <v>44813</v>
      </c>
      <c r="H9259" t="str">
        <f>"81329"</f>
        <v>81329</v>
      </c>
      <c r="I9259">
        <v>1</v>
      </c>
      <c r="J9259">
        <v>16</v>
      </c>
      <c r="K9259">
        <v>0</v>
      </c>
      <c r="L9259">
        <v>12.48</v>
      </c>
    </row>
    <row r="9260" spans="1:12" x14ac:dyDescent="0.25">
      <c r="A9260" t="str">
        <f t="shared" si="2007"/>
        <v>89301000</v>
      </c>
      <c r="B9260" t="str">
        <f t="shared" si="2012"/>
        <v>06539000</v>
      </c>
      <c r="C9260" t="str">
        <f>"06539001"</f>
        <v>06539001</v>
      </c>
      <c r="D9260" t="str">
        <f>"801"</f>
        <v>801</v>
      </c>
      <c r="E9260" t="str">
        <f t="shared" si="2015"/>
        <v>89301171</v>
      </c>
      <c r="F9260" t="str">
        <f t="shared" si="2016"/>
        <v>6012231115</v>
      </c>
      <c r="G9260" s="1">
        <v>44813</v>
      </c>
      <c r="H9260" t="str">
        <f>"81331"</f>
        <v>81331</v>
      </c>
      <c r="I9260">
        <v>1</v>
      </c>
      <c r="J9260">
        <v>193</v>
      </c>
      <c r="K9260">
        <v>0</v>
      </c>
      <c r="L9260">
        <v>150.54</v>
      </c>
    </row>
    <row r="9261" spans="1:12" x14ac:dyDescent="0.25">
      <c r="A9261" t="str">
        <f t="shared" si="2007"/>
        <v>89301000</v>
      </c>
      <c r="B9261" t="str">
        <f t="shared" si="2012"/>
        <v>06539000</v>
      </c>
      <c r="C9261" t="str">
        <f t="shared" ref="C9261:C9287" si="2017">"06539003"</f>
        <v>06539003</v>
      </c>
      <c r="D9261" t="str">
        <f t="shared" ref="D9261:D9287" si="2018">"813"</f>
        <v>813</v>
      </c>
      <c r="E9261" t="str">
        <f t="shared" si="2015"/>
        <v>89301171</v>
      </c>
      <c r="F9261" t="str">
        <f t="shared" si="2016"/>
        <v>6012231115</v>
      </c>
      <c r="G9261" s="1">
        <v>44816</v>
      </c>
      <c r="H9261" t="str">
        <f t="shared" ref="H9261:H9270" si="2019">"91413"</f>
        <v>91413</v>
      </c>
      <c r="I9261">
        <v>1</v>
      </c>
      <c r="J9261">
        <v>853</v>
      </c>
      <c r="K9261">
        <v>0</v>
      </c>
      <c r="L9261">
        <v>665.34</v>
      </c>
    </row>
    <row r="9262" spans="1:12" x14ac:dyDescent="0.25">
      <c r="A9262" t="str">
        <f t="shared" si="2007"/>
        <v>89301000</v>
      </c>
      <c r="B9262" t="str">
        <f t="shared" si="2012"/>
        <v>06539000</v>
      </c>
      <c r="C9262" t="str">
        <f t="shared" si="2017"/>
        <v>06539003</v>
      </c>
      <c r="D9262" t="str">
        <f t="shared" si="2018"/>
        <v>813</v>
      </c>
      <c r="E9262" t="str">
        <f t="shared" si="2015"/>
        <v>89301171</v>
      </c>
      <c r="F9262" t="str">
        <f t="shared" si="2016"/>
        <v>6012231115</v>
      </c>
      <c r="G9262" s="1">
        <v>44816</v>
      </c>
      <c r="H9262" t="str">
        <f t="shared" si="2019"/>
        <v>91413</v>
      </c>
      <c r="I9262">
        <v>1</v>
      </c>
      <c r="J9262">
        <v>853</v>
      </c>
      <c r="K9262">
        <v>0</v>
      </c>
      <c r="L9262">
        <v>665.34</v>
      </c>
    </row>
    <row r="9263" spans="1:12" x14ac:dyDescent="0.25">
      <c r="A9263" t="str">
        <f t="shared" si="2007"/>
        <v>89301000</v>
      </c>
      <c r="B9263" t="str">
        <f t="shared" si="2012"/>
        <v>06539000</v>
      </c>
      <c r="C9263" t="str">
        <f t="shared" si="2017"/>
        <v>06539003</v>
      </c>
      <c r="D9263" t="str">
        <f t="shared" si="2018"/>
        <v>813</v>
      </c>
      <c r="E9263" t="str">
        <f t="shared" si="2015"/>
        <v>89301171</v>
      </c>
      <c r="F9263" t="str">
        <f t="shared" si="2016"/>
        <v>6012231115</v>
      </c>
      <c r="G9263" s="1">
        <v>44825</v>
      </c>
      <c r="H9263" t="str">
        <f t="shared" si="2019"/>
        <v>91413</v>
      </c>
      <c r="I9263">
        <v>1</v>
      </c>
      <c r="J9263">
        <v>853</v>
      </c>
      <c r="K9263">
        <v>0</v>
      </c>
      <c r="L9263">
        <v>665.34</v>
      </c>
    </row>
    <row r="9264" spans="1:12" x14ac:dyDescent="0.25">
      <c r="A9264" t="str">
        <f t="shared" si="2007"/>
        <v>89301000</v>
      </c>
      <c r="B9264" t="str">
        <f t="shared" si="2012"/>
        <v>06539000</v>
      </c>
      <c r="C9264" t="str">
        <f t="shared" si="2017"/>
        <v>06539003</v>
      </c>
      <c r="D9264" t="str">
        <f t="shared" si="2018"/>
        <v>813</v>
      </c>
      <c r="E9264" t="str">
        <f t="shared" si="2015"/>
        <v>89301171</v>
      </c>
      <c r="F9264" t="str">
        <f t="shared" si="2016"/>
        <v>6012231115</v>
      </c>
      <c r="G9264" s="1">
        <v>44825</v>
      </c>
      <c r="H9264" t="str">
        <f t="shared" si="2019"/>
        <v>91413</v>
      </c>
      <c r="I9264">
        <v>1</v>
      </c>
      <c r="J9264">
        <v>853</v>
      </c>
      <c r="K9264">
        <v>0</v>
      </c>
      <c r="L9264">
        <v>665.34</v>
      </c>
    </row>
    <row r="9265" spans="1:12" x14ac:dyDescent="0.25">
      <c r="A9265" t="str">
        <f t="shared" si="2007"/>
        <v>89301000</v>
      </c>
      <c r="B9265" t="str">
        <f t="shared" si="2012"/>
        <v>06539000</v>
      </c>
      <c r="C9265" t="str">
        <f t="shared" si="2017"/>
        <v>06539003</v>
      </c>
      <c r="D9265" t="str">
        <f t="shared" si="2018"/>
        <v>813</v>
      </c>
      <c r="E9265" t="str">
        <f t="shared" si="2015"/>
        <v>89301171</v>
      </c>
      <c r="F9265" t="str">
        <f t="shared" si="2016"/>
        <v>6012231115</v>
      </c>
      <c r="G9265" s="1">
        <v>44820</v>
      </c>
      <c r="H9265" t="str">
        <f t="shared" si="2019"/>
        <v>91413</v>
      </c>
      <c r="I9265">
        <v>1</v>
      </c>
      <c r="J9265">
        <v>853</v>
      </c>
      <c r="K9265">
        <v>0</v>
      </c>
      <c r="L9265">
        <v>665.34</v>
      </c>
    </row>
    <row r="9266" spans="1:12" x14ac:dyDescent="0.25">
      <c r="A9266" t="str">
        <f t="shared" si="2007"/>
        <v>89301000</v>
      </c>
      <c r="B9266" t="str">
        <f t="shared" si="2012"/>
        <v>06539000</v>
      </c>
      <c r="C9266" t="str">
        <f t="shared" si="2017"/>
        <v>06539003</v>
      </c>
      <c r="D9266" t="str">
        <f t="shared" si="2018"/>
        <v>813</v>
      </c>
      <c r="E9266" t="str">
        <f t="shared" si="2015"/>
        <v>89301171</v>
      </c>
      <c r="F9266" t="str">
        <f t="shared" si="2016"/>
        <v>6012231115</v>
      </c>
      <c r="G9266" s="1">
        <v>44820</v>
      </c>
      <c r="H9266" t="str">
        <f t="shared" si="2019"/>
        <v>91413</v>
      </c>
      <c r="I9266">
        <v>1</v>
      </c>
      <c r="J9266">
        <v>853</v>
      </c>
      <c r="K9266">
        <v>0</v>
      </c>
      <c r="L9266">
        <v>665.34</v>
      </c>
    </row>
    <row r="9267" spans="1:12" x14ac:dyDescent="0.25">
      <c r="A9267" t="str">
        <f t="shared" si="2007"/>
        <v>89301000</v>
      </c>
      <c r="B9267" t="str">
        <f t="shared" si="2012"/>
        <v>06539000</v>
      </c>
      <c r="C9267" t="str">
        <f t="shared" si="2017"/>
        <v>06539003</v>
      </c>
      <c r="D9267" t="str">
        <f t="shared" si="2018"/>
        <v>813</v>
      </c>
      <c r="E9267" t="str">
        <f t="shared" si="2015"/>
        <v>89301171</v>
      </c>
      <c r="F9267" t="str">
        <f t="shared" si="2016"/>
        <v>6012231115</v>
      </c>
      <c r="G9267" s="1">
        <v>44825</v>
      </c>
      <c r="H9267" t="str">
        <f t="shared" si="2019"/>
        <v>91413</v>
      </c>
      <c r="I9267">
        <v>1</v>
      </c>
      <c r="J9267">
        <v>853</v>
      </c>
      <c r="K9267">
        <v>0</v>
      </c>
      <c r="L9267">
        <v>665.34</v>
      </c>
    </row>
    <row r="9268" spans="1:12" x14ac:dyDescent="0.25">
      <c r="A9268" t="str">
        <f t="shared" si="2007"/>
        <v>89301000</v>
      </c>
      <c r="B9268" t="str">
        <f t="shared" si="2012"/>
        <v>06539000</v>
      </c>
      <c r="C9268" t="str">
        <f t="shared" si="2017"/>
        <v>06539003</v>
      </c>
      <c r="D9268" t="str">
        <f t="shared" si="2018"/>
        <v>813</v>
      </c>
      <c r="E9268" t="str">
        <f t="shared" si="2015"/>
        <v>89301171</v>
      </c>
      <c r="F9268" t="str">
        <f t="shared" si="2016"/>
        <v>6012231115</v>
      </c>
      <c r="G9268" s="1">
        <v>44825</v>
      </c>
      <c r="H9268" t="str">
        <f t="shared" si="2019"/>
        <v>91413</v>
      </c>
      <c r="I9268">
        <v>1</v>
      </c>
      <c r="J9268">
        <v>853</v>
      </c>
      <c r="K9268">
        <v>0</v>
      </c>
      <c r="L9268">
        <v>665.34</v>
      </c>
    </row>
    <row r="9269" spans="1:12" x14ac:dyDescent="0.25">
      <c r="A9269" t="str">
        <f t="shared" si="2007"/>
        <v>89301000</v>
      </c>
      <c r="B9269" t="str">
        <f t="shared" si="2012"/>
        <v>06539000</v>
      </c>
      <c r="C9269" t="str">
        <f t="shared" si="2017"/>
        <v>06539003</v>
      </c>
      <c r="D9269" t="str">
        <f t="shared" si="2018"/>
        <v>813</v>
      </c>
      <c r="E9269" t="str">
        <f t="shared" si="2015"/>
        <v>89301171</v>
      </c>
      <c r="F9269" t="str">
        <f t="shared" si="2016"/>
        <v>6012231115</v>
      </c>
      <c r="G9269" s="1">
        <v>44825</v>
      </c>
      <c r="H9269" t="str">
        <f t="shared" si="2019"/>
        <v>91413</v>
      </c>
      <c r="I9269">
        <v>1</v>
      </c>
      <c r="J9269">
        <v>853</v>
      </c>
      <c r="K9269">
        <v>0</v>
      </c>
      <c r="L9269">
        <v>665.34</v>
      </c>
    </row>
    <row r="9270" spans="1:12" x14ac:dyDescent="0.25">
      <c r="A9270" t="str">
        <f t="shared" si="2007"/>
        <v>89301000</v>
      </c>
      <c r="B9270" t="str">
        <f t="shared" si="2012"/>
        <v>06539000</v>
      </c>
      <c r="C9270" t="str">
        <f t="shared" si="2017"/>
        <v>06539003</v>
      </c>
      <c r="D9270" t="str">
        <f t="shared" si="2018"/>
        <v>813</v>
      </c>
      <c r="E9270" t="str">
        <f t="shared" si="2015"/>
        <v>89301171</v>
      </c>
      <c r="F9270" t="str">
        <f t="shared" si="2016"/>
        <v>6012231115</v>
      </c>
      <c r="G9270" s="1">
        <v>44825</v>
      </c>
      <c r="H9270" t="str">
        <f t="shared" si="2019"/>
        <v>91413</v>
      </c>
      <c r="I9270">
        <v>1</v>
      </c>
      <c r="J9270">
        <v>853</v>
      </c>
      <c r="K9270">
        <v>0</v>
      </c>
      <c r="L9270">
        <v>665.34</v>
      </c>
    </row>
    <row r="9271" spans="1:12" x14ac:dyDescent="0.25">
      <c r="A9271" t="str">
        <f t="shared" si="2007"/>
        <v>89301000</v>
      </c>
      <c r="B9271" t="str">
        <f t="shared" si="2012"/>
        <v>06539000</v>
      </c>
      <c r="C9271" t="str">
        <f t="shared" si="2017"/>
        <v>06539003</v>
      </c>
      <c r="D9271" t="str">
        <f t="shared" si="2018"/>
        <v>813</v>
      </c>
      <c r="E9271" t="str">
        <f t="shared" si="2015"/>
        <v>89301171</v>
      </c>
      <c r="F9271" t="str">
        <f t="shared" si="2016"/>
        <v>6012231115</v>
      </c>
      <c r="G9271" s="1">
        <v>44813</v>
      </c>
      <c r="H9271" t="str">
        <f t="shared" ref="H9271:H9276" si="2020">"91197"</f>
        <v>91197</v>
      </c>
      <c r="I9271">
        <v>1</v>
      </c>
      <c r="J9271">
        <v>1046</v>
      </c>
      <c r="K9271">
        <v>0</v>
      </c>
      <c r="L9271">
        <v>815.88</v>
      </c>
    </row>
    <row r="9272" spans="1:12" x14ac:dyDescent="0.25">
      <c r="A9272" t="str">
        <f t="shared" si="2007"/>
        <v>89301000</v>
      </c>
      <c r="B9272" t="str">
        <f t="shared" si="2012"/>
        <v>06539000</v>
      </c>
      <c r="C9272" t="str">
        <f t="shared" si="2017"/>
        <v>06539003</v>
      </c>
      <c r="D9272" t="str">
        <f t="shared" si="2018"/>
        <v>813</v>
      </c>
      <c r="E9272" t="str">
        <f t="shared" si="2015"/>
        <v>89301171</v>
      </c>
      <c r="F9272" t="str">
        <f t="shared" si="2016"/>
        <v>6012231115</v>
      </c>
      <c r="G9272" s="1">
        <v>44815</v>
      </c>
      <c r="H9272" t="str">
        <f t="shared" si="2020"/>
        <v>91197</v>
      </c>
      <c r="I9272">
        <v>1</v>
      </c>
      <c r="J9272">
        <v>1046</v>
      </c>
      <c r="K9272">
        <v>0</v>
      </c>
      <c r="L9272">
        <v>815.88</v>
      </c>
    </row>
    <row r="9273" spans="1:12" x14ac:dyDescent="0.25">
      <c r="A9273" t="str">
        <f t="shared" si="2007"/>
        <v>89301000</v>
      </c>
      <c r="B9273" t="str">
        <f t="shared" si="2012"/>
        <v>06539000</v>
      </c>
      <c r="C9273" t="str">
        <f t="shared" si="2017"/>
        <v>06539003</v>
      </c>
      <c r="D9273" t="str">
        <f t="shared" si="2018"/>
        <v>813</v>
      </c>
      <c r="E9273" t="str">
        <f t="shared" si="2015"/>
        <v>89301171</v>
      </c>
      <c r="F9273" t="str">
        <f t="shared" si="2016"/>
        <v>6012231115</v>
      </c>
      <c r="G9273" s="1">
        <v>44815</v>
      </c>
      <c r="H9273" t="str">
        <f t="shared" si="2020"/>
        <v>91197</v>
      </c>
      <c r="I9273">
        <v>1</v>
      </c>
      <c r="J9273">
        <v>1046</v>
      </c>
      <c r="K9273">
        <v>0</v>
      </c>
      <c r="L9273">
        <v>815.88</v>
      </c>
    </row>
    <row r="9274" spans="1:12" x14ac:dyDescent="0.25">
      <c r="A9274" t="str">
        <f t="shared" si="2007"/>
        <v>89301000</v>
      </c>
      <c r="B9274" t="str">
        <f t="shared" si="2012"/>
        <v>06539000</v>
      </c>
      <c r="C9274" t="str">
        <f t="shared" si="2017"/>
        <v>06539003</v>
      </c>
      <c r="D9274" t="str">
        <f t="shared" si="2018"/>
        <v>813</v>
      </c>
      <c r="E9274" t="str">
        <f t="shared" si="2015"/>
        <v>89301171</v>
      </c>
      <c r="F9274" t="str">
        <f t="shared" si="2016"/>
        <v>6012231115</v>
      </c>
      <c r="G9274" s="1">
        <v>44814</v>
      </c>
      <c r="H9274" t="str">
        <f t="shared" si="2020"/>
        <v>91197</v>
      </c>
      <c r="I9274">
        <v>1</v>
      </c>
      <c r="J9274">
        <v>1046</v>
      </c>
      <c r="K9274">
        <v>0</v>
      </c>
      <c r="L9274">
        <v>815.88</v>
      </c>
    </row>
    <row r="9275" spans="1:12" x14ac:dyDescent="0.25">
      <c r="A9275" t="str">
        <f t="shared" si="2007"/>
        <v>89301000</v>
      </c>
      <c r="B9275" t="str">
        <f t="shared" si="2012"/>
        <v>06539000</v>
      </c>
      <c r="C9275" t="str">
        <f t="shared" si="2017"/>
        <v>06539003</v>
      </c>
      <c r="D9275" t="str">
        <f t="shared" si="2018"/>
        <v>813</v>
      </c>
      <c r="E9275" t="str">
        <f t="shared" si="2015"/>
        <v>89301171</v>
      </c>
      <c r="F9275" t="str">
        <f t="shared" si="2016"/>
        <v>6012231115</v>
      </c>
      <c r="G9275" s="1">
        <v>44814</v>
      </c>
      <c r="H9275" t="str">
        <f t="shared" si="2020"/>
        <v>91197</v>
      </c>
      <c r="I9275">
        <v>1</v>
      </c>
      <c r="J9275">
        <v>1046</v>
      </c>
      <c r="K9275">
        <v>0</v>
      </c>
      <c r="L9275">
        <v>815.88</v>
      </c>
    </row>
    <row r="9276" spans="1:12" x14ac:dyDescent="0.25">
      <c r="A9276" t="str">
        <f t="shared" si="2007"/>
        <v>89301000</v>
      </c>
      <c r="B9276" t="str">
        <f t="shared" si="2012"/>
        <v>06539000</v>
      </c>
      <c r="C9276" t="str">
        <f t="shared" si="2017"/>
        <v>06539003</v>
      </c>
      <c r="D9276" t="str">
        <f t="shared" si="2018"/>
        <v>813</v>
      </c>
      <c r="E9276" t="str">
        <f t="shared" si="2015"/>
        <v>89301171</v>
      </c>
      <c r="F9276" t="str">
        <f t="shared" si="2016"/>
        <v>6012231115</v>
      </c>
      <c r="G9276" s="1">
        <v>44813</v>
      </c>
      <c r="H9276" t="str">
        <f t="shared" si="2020"/>
        <v>91197</v>
      </c>
      <c r="I9276">
        <v>1</v>
      </c>
      <c r="J9276">
        <v>1046</v>
      </c>
      <c r="K9276">
        <v>0</v>
      </c>
      <c r="L9276">
        <v>815.88</v>
      </c>
    </row>
    <row r="9277" spans="1:12" x14ac:dyDescent="0.25">
      <c r="A9277" t="str">
        <f t="shared" si="2007"/>
        <v>89301000</v>
      </c>
      <c r="B9277" t="str">
        <f t="shared" si="2012"/>
        <v>06539000</v>
      </c>
      <c r="C9277" t="str">
        <f t="shared" si="2017"/>
        <v>06539003</v>
      </c>
      <c r="D9277" t="str">
        <f t="shared" si="2018"/>
        <v>813</v>
      </c>
      <c r="E9277" t="str">
        <f t="shared" si="2015"/>
        <v>89301171</v>
      </c>
      <c r="F9277" t="str">
        <f t="shared" si="2016"/>
        <v>6012231115</v>
      </c>
      <c r="G9277" s="1">
        <v>44813</v>
      </c>
      <c r="H9277" t="str">
        <f>"91129"</f>
        <v>91129</v>
      </c>
      <c r="I9277">
        <v>1</v>
      </c>
      <c r="J9277">
        <v>174</v>
      </c>
      <c r="K9277">
        <v>0</v>
      </c>
      <c r="L9277">
        <v>135.72</v>
      </c>
    </row>
    <row r="9278" spans="1:12" x14ac:dyDescent="0.25">
      <c r="A9278" t="str">
        <f t="shared" si="2007"/>
        <v>89301000</v>
      </c>
      <c r="B9278" t="str">
        <f t="shared" si="2012"/>
        <v>06539000</v>
      </c>
      <c r="C9278" t="str">
        <f t="shared" si="2017"/>
        <v>06539003</v>
      </c>
      <c r="D9278" t="str">
        <f t="shared" si="2018"/>
        <v>813</v>
      </c>
      <c r="E9278" t="str">
        <f t="shared" si="2015"/>
        <v>89301171</v>
      </c>
      <c r="F9278" t="str">
        <f t="shared" si="2016"/>
        <v>6012231115</v>
      </c>
      <c r="G9278" s="1">
        <v>44813</v>
      </c>
      <c r="H9278" t="str">
        <f>"91131"</f>
        <v>91131</v>
      </c>
      <c r="I9278">
        <v>1</v>
      </c>
      <c r="J9278">
        <v>171</v>
      </c>
      <c r="K9278">
        <v>0</v>
      </c>
      <c r="L9278">
        <v>133.38</v>
      </c>
    </row>
    <row r="9279" spans="1:12" x14ac:dyDescent="0.25">
      <c r="A9279" t="str">
        <f t="shared" si="2007"/>
        <v>89301000</v>
      </c>
      <c r="B9279" t="str">
        <f t="shared" si="2012"/>
        <v>06539000</v>
      </c>
      <c r="C9279" t="str">
        <f t="shared" si="2017"/>
        <v>06539003</v>
      </c>
      <c r="D9279" t="str">
        <f t="shared" si="2018"/>
        <v>813</v>
      </c>
      <c r="E9279" t="str">
        <f t="shared" si="2015"/>
        <v>89301171</v>
      </c>
      <c r="F9279" t="str">
        <f t="shared" si="2016"/>
        <v>6012231115</v>
      </c>
      <c r="G9279" s="1">
        <v>44813</v>
      </c>
      <c r="H9279" t="str">
        <f>"91133"</f>
        <v>91133</v>
      </c>
      <c r="I9279">
        <v>1</v>
      </c>
      <c r="J9279">
        <v>176</v>
      </c>
      <c r="K9279">
        <v>0</v>
      </c>
      <c r="L9279">
        <v>137.28</v>
      </c>
    </row>
    <row r="9280" spans="1:12" x14ac:dyDescent="0.25">
      <c r="A9280" t="str">
        <f t="shared" si="2007"/>
        <v>89301000</v>
      </c>
      <c r="B9280" t="str">
        <f t="shared" si="2012"/>
        <v>06539000</v>
      </c>
      <c r="C9280" t="str">
        <f t="shared" si="2017"/>
        <v>06539003</v>
      </c>
      <c r="D9280" t="str">
        <f t="shared" si="2018"/>
        <v>813</v>
      </c>
      <c r="E9280" t="str">
        <f t="shared" si="2015"/>
        <v>89301171</v>
      </c>
      <c r="F9280" t="str">
        <f t="shared" si="2016"/>
        <v>6012231115</v>
      </c>
      <c r="G9280" s="1">
        <v>44813</v>
      </c>
      <c r="H9280" t="str">
        <f>"91171"</f>
        <v>91171</v>
      </c>
      <c r="I9280">
        <v>1</v>
      </c>
      <c r="J9280">
        <v>360</v>
      </c>
      <c r="K9280">
        <v>0</v>
      </c>
      <c r="L9280">
        <v>280.8</v>
      </c>
    </row>
    <row r="9281" spans="1:12" x14ac:dyDescent="0.25">
      <c r="A9281" t="str">
        <f t="shared" si="2007"/>
        <v>89301000</v>
      </c>
      <c r="B9281" t="str">
        <f t="shared" si="2012"/>
        <v>06539000</v>
      </c>
      <c r="C9281" t="str">
        <f t="shared" si="2017"/>
        <v>06539003</v>
      </c>
      <c r="D9281" t="str">
        <f t="shared" si="2018"/>
        <v>813</v>
      </c>
      <c r="E9281" t="str">
        <f t="shared" si="2015"/>
        <v>89301171</v>
      </c>
      <c r="F9281" t="str">
        <f t="shared" si="2016"/>
        <v>6012231115</v>
      </c>
      <c r="G9281" s="1">
        <v>44813</v>
      </c>
      <c r="H9281" t="str">
        <f>"91173"</f>
        <v>91173</v>
      </c>
      <c r="I9281">
        <v>1</v>
      </c>
      <c r="J9281">
        <v>335</v>
      </c>
      <c r="K9281">
        <v>0</v>
      </c>
      <c r="L9281">
        <v>261.3</v>
      </c>
    </row>
    <row r="9282" spans="1:12" x14ac:dyDescent="0.25">
      <c r="A9282" t="str">
        <f t="shared" ref="A9282:A9345" si="2021">"89301000"</f>
        <v>89301000</v>
      </c>
      <c r="B9282" t="str">
        <f t="shared" si="2012"/>
        <v>06539000</v>
      </c>
      <c r="C9282" t="str">
        <f t="shared" si="2017"/>
        <v>06539003</v>
      </c>
      <c r="D9282" t="str">
        <f t="shared" si="2018"/>
        <v>813</v>
      </c>
      <c r="E9282" t="str">
        <f t="shared" si="2015"/>
        <v>89301171</v>
      </c>
      <c r="F9282" t="str">
        <f t="shared" si="2016"/>
        <v>6012231115</v>
      </c>
      <c r="G9282" s="1">
        <v>44813</v>
      </c>
      <c r="H9282" t="str">
        <f>"91175"</f>
        <v>91175</v>
      </c>
      <c r="I9282">
        <v>1</v>
      </c>
      <c r="J9282">
        <v>360</v>
      </c>
      <c r="K9282">
        <v>0</v>
      </c>
      <c r="L9282">
        <v>280.8</v>
      </c>
    </row>
    <row r="9283" spans="1:12" x14ac:dyDescent="0.25">
      <c r="A9283" t="str">
        <f t="shared" si="2021"/>
        <v>89301000</v>
      </c>
      <c r="B9283" t="str">
        <f t="shared" si="2012"/>
        <v>06539000</v>
      </c>
      <c r="C9283" t="str">
        <f t="shared" si="2017"/>
        <v>06539003</v>
      </c>
      <c r="D9283" t="str">
        <f t="shared" si="2018"/>
        <v>813</v>
      </c>
      <c r="E9283" t="str">
        <f t="shared" si="2015"/>
        <v>89301171</v>
      </c>
      <c r="F9283" t="str">
        <f t="shared" si="2016"/>
        <v>6012231115</v>
      </c>
      <c r="G9283" s="1">
        <v>44814</v>
      </c>
      <c r="H9283" t="str">
        <f>"91167"</f>
        <v>91167</v>
      </c>
      <c r="I9283">
        <v>1</v>
      </c>
      <c r="J9283">
        <v>425</v>
      </c>
      <c r="K9283">
        <v>0</v>
      </c>
      <c r="L9283">
        <v>331.5</v>
      </c>
    </row>
    <row r="9284" spans="1:12" x14ac:dyDescent="0.25">
      <c r="A9284" t="str">
        <f t="shared" si="2021"/>
        <v>89301000</v>
      </c>
      <c r="B9284" t="str">
        <f t="shared" si="2012"/>
        <v>06539000</v>
      </c>
      <c r="C9284" t="str">
        <f t="shared" si="2017"/>
        <v>06539003</v>
      </c>
      <c r="D9284" t="str">
        <f t="shared" si="2018"/>
        <v>813</v>
      </c>
      <c r="E9284" t="str">
        <f t="shared" si="2015"/>
        <v>89301171</v>
      </c>
      <c r="F9284" t="str">
        <f t="shared" si="2016"/>
        <v>6012231115</v>
      </c>
      <c r="G9284" s="1">
        <v>44814</v>
      </c>
      <c r="H9284" t="str">
        <f>"91169"</f>
        <v>91169</v>
      </c>
      <c r="I9284">
        <v>1</v>
      </c>
      <c r="J9284">
        <v>425</v>
      </c>
      <c r="K9284">
        <v>0</v>
      </c>
      <c r="L9284">
        <v>331.5</v>
      </c>
    </row>
    <row r="9285" spans="1:12" x14ac:dyDescent="0.25">
      <c r="A9285" t="str">
        <f t="shared" si="2021"/>
        <v>89301000</v>
      </c>
      <c r="B9285" t="str">
        <f t="shared" si="2012"/>
        <v>06539000</v>
      </c>
      <c r="C9285" t="str">
        <f t="shared" si="2017"/>
        <v>06539003</v>
      </c>
      <c r="D9285" t="str">
        <f t="shared" si="2018"/>
        <v>813</v>
      </c>
      <c r="E9285" t="str">
        <f t="shared" si="2015"/>
        <v>89301171</v>
      </c>
      <c r="F9285" t="str">
        <f t="shared" si="2016"/>
        <v>6012231115</v>
      </c>
      <c r="G9285" s="1">
        <v>44813</v>
      </c>
      <c r="H9285" t="str">
        <f>"91167"</f>
        <v>91167</v>
      </c>
      <c r="I9285">
        <v>1</v>
      </c>
      <c r="J9285">
        <v>425</v>
      </c>
      <c r="K9285">
        <v>0</v>
      </c>
      <c r="L9285">
        <v>331.5</v>
      </c>
    </row>
    <row r="9286" spans="1:12" x14ac:dyDescent="0.25">
      <c r="A9286" t="str">
        <f t="shared" si="2021"/>
        <v>89301000</v>
      </c>
      <c r="B9286" t="str">
        <f t="shared" si="2012"/>
        <v>06539000</v>
      </c>
      <c r="C9286" t="str">
        <f t="shared" si="2017"/>
        <v>06539003</v>
      </c>
      <c r="D9286" t="str">
        <f t="shared" si="2018"/>
        <v>813</v>
      </c>
      <c r="E9286" t="str">
        <f t="shared" si="2015"/>
        <v>89301171</v>
      </c>
      <c r="F9286" t="str">
        <f t="shared" si="2016"/>
        <v>6012231115</v>
      </c>
      <c r="G9286" s="1">
        <v>44813</v>
      </c>
      <c r="H9286" t="str">
        <f>"91169"</f>
        <v>91169</v>
      </c>
      <c r="I9286">
        <v>1</v>
      </c>
      <c r="J9286">
        <v>425</v>
      </c>
      <c r="K9286">
        <v>0</v>
      </c>
      <c r="L9286">
        <v>331.5</v>
      </c>
    </row>
    <row r="9287" spans="1:12" x14ac:dyDescent="0.25">
      <c r="A9287" t="str">
        <f t="shared" si="2021"/>
        <v>89301000</v>
      </c>
      <c r="B9287" t="str">
        <f t="shared" si="2012"/>
        <v>06539000</v>
      </c>
      <c r="C9287" t="str">
        <f t="shared" si="2017"/>
        <v>06539003</v>
      </c>
      <c r="D9287" t="str">
        <f t="shared" si="2018"/>
        <v>813</v>
      </c>
      <c r="E9287" t="str">
        <f t="shared" si="2015"/>
        <v>89301171</v>
      </c>
      <c r="F9287" t="str">
        <f t="shared" si="2016"/>
        <v>6012231115</v>
      </c>
      <c r="G9287" s="1">
        <v>44813</v>
      </c>
      <c r="H9287" t="str">
        <f>"91475"</f>
        <v>91475</v>
      </c>
      <c r="I9287">
        <v>1</v>
      </c>
      <c r="J9287">
        <v>206</v>
      </c>
      <c r="K9287">
        <v>0</v>
      </c>
      <c r="L9287">
        <v>160.68</v>
      </c>
    </row>
    <row r="9288" spans="1:12" x14ac:dyDescent="0.25">
      <c r="A9288" t="str">
        <f t="shared" si="2021"/>
        <v>89301000</v>
      </c>
      <c r="B9288" t="str">
        <f t="shared" si="2012"/>
        <v>06539000</v>
      </c>
      <c r="C9288" t="str">
        <f>"06539001"</f>
        <v>06539001</v>
      </c>
      <c r="D9288" t="str">
        <f>"801"</f>
        <v>801</v>
      </c>
      <c r="E9288" t="str">
        <f t="shared" ref="E9288:E9300" si="2022">"89301172"</f>
        <v>89301172</v>
      </c>
      <c r="F9288" t="str">
        <f t="shared" ref="F9288:F9300" si="2023">"7408205772"</f>
        <v>7408205772</v>
      </c>
      <c r="G9288" s="1">
        <v>44820</v>
      </c>
      <c r="H9288" t="str">
        <f>"81329"</f>
        <v>81329</v>
      </c>
      <c r="I9288">
        <v>1</v>
      </c>
      <c r="J9288">
        <v>16</v>
      </c>
      <c r="K9288">
        <v>0</v>
      </c>
      <c r="L9288">
        <v>12.48</v>
      </c>
    </row>
    <row r="9289" spans="1:12" x14ac:dyDescent="0.25">
      <c r="A9289" t="str">
        <f t="shared" si="2021"/>
        <v>89301000</v>
      </c>
      <c r="B9289" t="str">
        <f t="shared" si="2012"/>
        <v>06539000</v>
      </c>
      <c r="C9289" t="str">
        <f>"06539001"</f>
        <v>06539001</v>
      </c>
      <c r="D9289" t="str">
        <f>"801"</f>
        <v>801</v>
      </c>
      <c r="E9289" t="str">
        <f t="shared" si="2022"/>
        <v>89301172</v>
      </c>
      <c r="F9289" t="str">
        <f t="shared" si="2023"/>
        <v>7408205772</v>
      </c>
      <c r="G9289" s="1">
        <v>44820</v>
      </c>
      <c r="H9289" t="str">
        <f>"81331"</f>
        <v>81331</v>
      </c>
      <c r="I9289">
        <v>1</v>
      </c>
      <c r="J9289">
        <v>193</v>
      </c>
      <c r="K9289">
        <v>0</v>
      </c>
      <c r="L9289">
        <v>150.54</v>
      </c>
    </row>
    <row r="9290" spans="1:12" x14ac:dyDescent="0.25">
      <c r="A9290" t="str">
        <f t="shared" si="2021"/>
        <v>89301000</v>
      </c>
      <c r="B9290" t="str">
        <f t="shared" si="2012"/>
        <v>06539000</v>
      </c>
      <c r="C9290" t="str">
        <f t="shared" ref="C9290:C9295" si="2024">"06539002"</f>
        <v>06539002</v>
      </c>
      <c r="D9290" t="str">
        <f t="shared" ref="D9290:D9295" si="2025">"802"</f>
        <v>802</v>
      </c>
      <c r="E9290" t="str">
        <f t="shared" si="2022"/>
        <v>89301172</v>
      </c>
      <c r="F9290" t="str">
        <f t="shared" si="2023"/>
        <v>7408205772</v>
      </c>
      <c r="G9290" s="1">
        <v>44820</v>
      </c>
      <c r="H9290" t="str">
        <f>"82097"</f>
        <v>82097</v>
      </c>
      <c r="I9290">
        <v>1</v>
      </c>
      <c r="J9290">
        <v>380</v>
      </c>
      <c r="K9290">
        <v>0</v>
      </c>
      <c r="L9290">
        <v>345.8</v>
      </c>
    </row>
    <row r="9291" spans="1:12" x14ac:dyDescent="0.25">
      <c r="A9291" t="str">
        <f t="shared" si="2021"/>
        <v>89301000</v>
      </c>
      <c r="B9291" t="str">
        <f t="shared" si="2012"/>
        <v>06539000</v>
      </c>
      <c r="C9291" t="str">
        <f t="shared" si="2024"/>
        <v>06539002</v>
      </c>
      <c r="D9291" t="str">
        <f t="shared" si="2025"/>
        <v>802</v>
      </c>
      <c r="E9291" t="str">
        <f t="shared" si="2022"/>
        <v>89301172</v>
      </c>
      <c r="F9291" t="str">
        <f t="shared" si="2023"/>
        <v>7408205772</v>
      </c>
      <c r="G9291" s="1">
        <v>44820</v>
      </c>
      <c r="H9291" t="str">
        <f>"82097"</f>
        <v>82097</v>
      </c>
      <c r="I9291">
        <v>1</v>
      </c>
      <c r="J9291">
        <v>380</v>
      </c>
      <c r="K9291">
        <v>0</v>
      </c>
      <c r="L9291">
        <v>345.8</v>
      </c>
    </row>
    <row r="9292" spans="1:12" x14ac:dyDescent="0.25">
      <c r="A9292" t="str">
        <f t="shared" si="2021"/>
        <v>89301000</v>
      </c>
      <c r="B9292" t="str">
        <f t="shared" si="2012"/>
        <v>06539000</v>
      </c>
      <c r="C9292" t="str">
        <f t="shared" si="2024"/>
        <v>06539002</v>
      </c>
      <c r="D9292" t="str">
        <f t="shared" si="2025"/>
        <v>802</v>
      </c>
      <c r="E9292" t="str">
        <f t="shared" si="2022"/>
        <v>89301172</v>
      </c>
      <c r="F9292" t="str">
        <f t="shared" si="2023"/>
        <v>7408205772</v>
      </c>
      <c r="G9292" s="1">
        <v>44820</v>
      </c>
      <c r="H9292" t="str">
        <f>"82075"</f>
        <v>82075</v>
      </c>
      <c r="I9292">
        <v>1</v>
      </c>
      <c r="J9292">
        <v>486</v>
      </c>
      <c r="K9292">
        <v>0</v>
      </c>
      <c r="L9292">
        <v>442.26</v>
      </c>
    </row>
    <row r="9293" spans="1:12" x14ac:dyDescent="0.25">
      <c r="A9293" t="str">
        <f t="shared" si="2021"/>
        <v>89301000</v>
      </c>
      <c r="B9293" t="str">
        <f t="shared" si="2012"/>
        <v>06539000</v>
      </c>
      <c r="C9293" t="str">
        <f t="shared" si="2024"/>
        <v>06539002</v>
      </c>
      <c r="D9293" t="str">
        <f t="shared" si="2025"/>
        <v>802</v>
      </c>
      <c r="E9293" t="str">
        <f t="shared" si="2022"/>
        <v>89301172</v>
      </c>
      <c r="F9293" t="str">
        <f t="shared" si="2023"/>
        <v>7408205772</v>
      </c>
      <c r="G9293" s="1">
        <v>44820</v>
      </c>
      <c r="H9293" t="str">
        <f>"82097"</f>
        <v>82097</v>
      </c>
      <c r="I9293">
        <v>1</v>
      </c>
      <c r="J9293">
        <v>380</v>
      </c>
      <c r="K9293">
        <v>0</v>
      </c>
      <c r="L9293">
        <v>345.8</v>
      </c>
    </row>
    <row r="9294" spans="1:12" x14ac:dyDescent="0.25">
      <c r="A9294" t="str">
        <f t="shared" si="2021"/>
        <v>89301000</v>
      </c>
      <c r="B9294" t="str">
        <f t="shared" si="2012"/>
        <v>06539000</v>
      </c>
      <c r="C9294" t="str">
        <f t="shared" si="2024"/>
        <v>06539002</v>
      </c>
      <c r="D9294" t="str">
        <f t="shared" si="2025"/>
        <v>802</v>
      </c>
      <c r="E9294" t="str">
        <f t="shared" si="2022"/>
        <v>89301172</v>
      </c>
      <c r="F9294" t="str">
        <f t="shared" si="2023"/>
        <v>7408205772</v>
      </c>
      <c r="G9294" s="1">
        <v>44820</v>
      </c>
      <c r="H9294" t="str">
        <f>"82097"</f>
        <v>82097</v>
      </c>
      <c r="I9294">
        <v>1</v>
      </c>
      <c r="J9294">
        <v>380</v>
      </c>
      <c r="K9294">
        <v>0</v>
      </c>
      <c r="L9294">
        <v>345.8</v>
      </c>
    </row>
    <row r="9295" spans="1:12" x14ac:dyDescent="0.25">
      <c r="A9295" t="str">
        <f t="shared" si="2021"/>
        <v>89301000</v>
      </c>
      <c r="B9295" t="str">
        <f t="shared" si="2012"/>
        <v>06539000</v>
      </c>
      <c r="C9295" t="str">
        <f t="shared" si="2024"/>
        <v>06539002</v>
      </c>
      <c r="D9295" t="str">
        <f t="shared" si="2025"/>
        <v>802</v>
      </c>
      <c r="E9295" t="str">
        <f t="shared" si="2022"/>
        <v>89301172</v>
      </c>
      <c r="F9295" t="str">
        <f t="shared" si="2023"/>
        <v>7408205772</v>
      </c>
      <c r="G9295" s="1">
        <v>44820</v>
      </c>
      <c r="H9295" t="str">
        <f>"82075"</f>
        <v>82075</v>
      </c>
      <c r="I9295">
        <v>1</v>
      </c>
      <c r="J9295">
        <v>486</v>
      </c>
      <c r="K9295">
        <v>0</v>
      </c>
      <c r="L9295">
        <v>442.26</v>
      </c>
    </row>
    <row r="9296" spans="1:12" x14ac:dyDescent="0.25">
      <c r="A9296" t="str">
        <f t="shared" si="2021"/>
        <v>89301000</v>
      </c>
      <c r="B9296" t="str">
        <f t="shared" si="2012"/>
        <v>06539000</v>
      </c>
      <c r="C9296" t="str">
        <f>"06539003"</f>
        <v>06539003</v>
      </c>
      <c r="D9296" t="str">
        <f>"813"</f>
        <v>813</v>
      </c>
      <c r="E9296" t="str">
        <f t="shared" si="2022"/>
        <v>89301172</v>
      </c>
      <c r="F9296" t="str">
        <f t="shared" si="2023"/>
        <v>7408205772</v>
      </c>
      <c r="G9296" s="1">
        <v>44823</v>
      </c>
      <c r="H9296" t="str">
        <f>"91129"</f>
        <v>91129</v>
      </c>
      <c r="I9296">
        <v>1</v>
      </c>
      <c r="J9296">
        <v>174</v>
      </c>
      <c r="K9296">
        <v>0</v>
      </c>
      <c r="L9296">
        <v>135.72</v>
      </c>
    </row>
    <row r="9297" spans="1:12" x14ac:dyDescent="0.25">
      <c r="A9297" t="str">
        <f t="shared" si="2021"/>
        <v>89301000</v>
      </c>
      <c r="B9297" t="str">
        <f t="shared" si="2012"/>
        <v>06539000</v>
      </c>
      <c r="C9297" t="str">
        <f>"06539003"</f>
        <v>06539003</v>
      </c>
      <c r="D9297" t="str">
        <f>"813"</f>
        <v>813</v>
      </c>
      <c r="E9297" t="str">
        <f t="shared" si="2022"/>
        <v>89301172</v>
      </c>
      <c r="F9297" t="str">
        <f t="shared" si="2023"/>
        <v>7408205772</v>
      </c>
      <c r="G9297" s="1">
        <v>44823</v>
      </c>
      <c r="H9297" t="str">
        <f>"91133"</f>
        <v>91133</v>
      </c>
      <c r="I9297">
        <v>1</v>
      </c>
      <c r="J9297">
        <v>176</v>
      </c>
      <c r="K9297">
        <v>0</v>
      </c>
      <c r="L9297">
        <v>137.28</v>
      </c>
    </row>
    <row r="9298" spans="1:12" x14ac:dyDescent="0.25">
      <c r="A9298" t="str">
        <f t="shared" si="2021"/>
        <v>89301000</v>
      </c>
      <c r="B9298" t="str">
        <f t="shared" si="2012"/>
        <v>06539000</v>
      </c>
      <c r="C9298" t="str">
        <f>"06539003"</f>
        <v>06539003</v>
      </c>
      <c r="D9298" t="str">
        <f>"813"</f>
        <v>813</v>
      </c>
      <c r="E9298" t="str">
        <f t="shared" si="2022"/>
        <v>89301172</v>
      </c>
      <c r="F9298" t="str">
        <f t="shared" si="2023"/>
        <v>7408205772</v>
      </c>
      <c r="G9298" s="1">
        <v>44823</v>
      </c>
      <c r="H9298" t="str">
        <f>"91171"</f>
        <v>91171</v>
      </c>
      <c r="I9298">
        <v>1</v>
      </c>
      <c r="J9298">
        <v>360</v>
      </c>
      <c r="K9298">
        <v>0</v>
      </c>
      <c r="L9298">
        <v>280.8</v>
      </c>
    </row>
    <row r="9299" spans="1:12" x14ac:dyDescent="0.25">
      <c r="A9299" t="str">
        <f t="shared" si="2021"/>
        <v>89301000</v>
      </c>
      <c r="B9299" t="str">
        <f t="shared" si="2012"/>
        <v>06539000</v>
      </c>
      <c r="C9299" t="str">
        <f>"06539003"</f>
        <v>06539003</v>
      </c>
      <c r="D9299" t="str">
        <f>"813"</f>
        <v>813</v>
      </c>
      <c r="E9299" t="str">
        <f t="shared" si="2022"/>
        <v>89301172</v>
      </c>
      <c r="F9299" t="str">
        <f t="shared" si="2023"/>
        <v>7408205772</v>
      </c>
      <c r="G9299" s="1">
        <v>44823</v>
      </c>
      <c r="H9299" t="str">
        <f>"91175"</f>
        <v>91175</v>
      </c>
      <c r="I9299">
        <v>1</v>
      </c>
      <c r="J9299">
        <v>360</v>
      </c>
      <c r="K9299">
        <v>0</v>
      </c>
      <c r="L9299">
        <v>280.8</v>
      </c>
    </row>
    <row r="9300" spans="1:12" x14ac:dyDescent="0.25">
      <c r="A9300" t="str">
        <f t="shared" si="2021"/>
        <v>89301000</v>
      </c>
      <c r="B9300" t="str">
        <f t="shared" si="2012"/>
        <v>06539000</v>
      </c>
      <c r="C9300" t="str">
        <f>"06539003"</f>
        <v>06539003</v>
      </c>
      <c r="D9300" t="str">
        <f>"813"</f>
        <v>813</v>
      </c>
      <c r="E9300" t="str">
        <f t="shared" si="2022"/>
        <v>89301172</v>
      </c>
      <c r="F9300" t="str">
        <f t="shared" si="2023"/>
        <v>7408205772</v>
      </c>
      <c r="G9300" s="1">
        <v>44820</v>
      </c>
      <c r="H9300" t="str">
        <f>"91475"</f>
        <v>91475</v>
      </c>
      <c r="I9300">
        <v>1</v>
      </c>
      <c r="J9300">
        <v>206</v>
      </c>
      <c r="K9300">
        <v>0</v>
      </c>
      <c r="L9300">
        <v>160.68</v>
      </c>
    </row>
    <row r="9301" spans="1:12" x14ac:dyDescent="0.25">
      <c r="A9301" t="str">
        <f t="shared" si="2021"/>
        <v>89301000</v>
      </c>
      <c r="B9301" t="str">
        <f t="shared" si="2012"/>
        <v>06539000</v>
      </c>
      <c r="C9301" t="str">
        <f>"06539001"</f>
        <v>06539001</v>
      </c>
      <c r="D9301" t="str">
        <f>"801"</f>
        <v>801</v>
      </c>
      <c r="E9301" t="str">
        <f t="shared" ref="E9301:E9329" si="2026">"89301171"</f>
        <v>89301171</v>
      </c>
      <c r="F9301" t="str">
        <f t="shared" ref="F9301:F9329" si="2027">"5711032239"</f>
        <v>5711032239</v>
      </c>
      <c r="G9301" s="1">
        <v>44820</v>
      </c>
      <c r="H9301" t="str">
        <f>"81329"</f>
        <v>81329</v>
      </c>
      <c r="I9301">
        <v>1</v>
      </c>
      <c r="J9301">
        <v>16</v>
      </c>
      <c r="K9301">
        <v>0</v>
      </c>
      <c r="L9301">
        <v>12.48</v>
      </c>
    </row>
    <row r="9302" spans="1:12" x14ac:dyDescent="0.25">
      <c r="A9302" t="str">
        <f t="shared" si="2021"/>
        <v>89301000</v>
      </c>
      <c r="B9302" t="str">
        <f t="shared" si="2012"/>
        <v>06539000</v>
      </c>
      <c r="C9302" t="str">
        <f>"06539001"</f>
        <v>06539001</v>
      </c>
      <c r="D9302" t="str">
        <f>"801"</f>
        <v>801</v>
      </c>
      <c r="E9302" t="str">
        <f t="shared" si="2026"/>
        <v>89301171</v>
      </c>
      <c r="F9302" t="str">
        <f t="shared" si="2027"/>
        <v>5711032239</v>
      </c>
      <c r="G9302" s="1">
        <v>44820</v>
      </c>
      <c r="H9302" t="str">
        <f>"81331"</f>
        <v>81331</v>
      </c>
      <c r="I9302">
        <v>1</v>
      </c>
      <c r="J9302">
        <v>193</v>
      </c>
      <c r="K9302">
        <v>0</v>
      </c>
      <c r="L9302">
        <v>150.54</v>
      </c>
    </row>
    <row r="9303" spans="1:12" x14ac:dyDescent="0.25">
      <c r="A9303" t="str">
        <f t="shared" si="2021"/>
        <v>89301000</v>
      </c>
      <c r="B9303" t="str">
        <f t="shared" si="2012"/>
        <v>06539000</v>
      </c>
      <c r="C9303" t="str">
        <f t="shared" ref="C9303:C9334" si="2028">"06539003"</f>
        <v>06539003</v>
      </c>
      <c r="D9303" t="str">
        <f t="shared" ref="D9303:D9334" si="2029">"813"</f>
        <v>813</v>
      </c>
      <c r="E9303" t="str">
        <f t="shared" si="2026"/>
        <v>89301171</v>
      </c>
      <c r="F9303" t="str">
        <f t="shared" si="2027"/>
        <v>5711032239</v>
      </c>
      <c r="G9303" s="1">
        <v>44825</v>
      </c>
      <c r="H9303" t="str">
        <f t="shared" ref="H9303:H9312" si="2030">"91413"</f>
        <v>91413</v>
      </c>
      <c r="I9303">
        <v>1</v>
      </c>
      <c r="J9303">
        <v>853</v>
      </c>
      <c r="K9303">
        <v>0</v>
      </c>
      <c r="L9303">
        <v>665.34</v>
      </c>
    </row>
    <row r="9304" spans="1:12" x14ac:dyDescent="0.25">
      <c r="A9304" t="str">
        <f t="shared" si="2021"/>
        <v>89301000</v>
      </c>
      <c r="B9304" t="str">
        <f t="shared" ref="B9304:B9359" si="2031">"06539000"</f>
        <v>06539000</v>
      </c>
      <c r="C9304" t="str">
        <f t="shared" si="2028"/>
        <v>06539003</v>
      </c>
      <c r="D9304" t="str">
        <f t="shared" si="2029"/>
        <v>813</v>
      </c>
      <c r="E9304" t="str">
        <f t="shared" si="2026"/>
        <v>89301171</v>
      </c>
      <c r="F9304" t="str">
        <f t="shared" si="2027"/>
        <v>5711032239</v>
      </c>
      <c r="G9304" s="1">
        <v>44825</v>
      </c>
      <c r="H9304" t="str">
        <f t="shared" si="2030"/>
        <v>91413</v>
      </c>
      <c r="I9304">
        <v>1</v>
      </c>
      <c r="J9304">
        <v>853</v>
      </c>
      <c r="K9304">
        <v>0</v>
      </c>
      <c r="L9304">
        <v>665.34</v>
      </c>
    </row>
    <row r="9305" spans="1:12" x14ac:dyDescent="0.25">
      <c r="A9305" t="str">
        <f t="shared" si="2021"/>
        <v>89301000</v>
      </c>
      <c r="B9305" t="str">
        <f t="shared" si="2031"/>
        <v>06539000</v>
      </c>
      <c r="C9305" t="str">
        <f t="shared" si="2028"/>
        <v>06539003</v>
      </c>
      <c r="D9305" t="str">
        <f t="shared" si="2029"/>
        <v>813</v>
      </c>
      <c r="E9305" t="str">
        <f t="shared" si="2026"/>
        <v>89301171</v>
      </c>
      <c r="F9305" t="str">
        <f t="shared" si="2027"/>
        <v>5711032239</v>
      </c>
      <c r="G9305" s="1">
        <v>44830</v>
      </c>
      <c r="H9305" t="str">
        <f t="shared" si="2030"/>
        <v>91413</v>
      </c>
      <c r="I9305">
        <v>1</v>
      </c>
      <c r="J9305">
        <v>853</v>
      </c>
      <c r="K9305">
        <v>0</v>
      </c>
      <c r="L9305">
        <v>665.34</v>
      </c>
    </row>
    <row r="9306" spans="1:12" x14ac:dyDescent="0.25">
      <c r="A9306" t="str">
        <f t="shared" si="2021"/>
        <v>89301000</v>
      </c>
      <c r="B9306" t="str">
        <f t="shared" si="2031"/>
        <v>06539000</v>
      </c>
      <c r="C9306" t="str">
        <f t="shared" si="2028"/>
        <v>06539003</v>
      </c>
      <c r="D9306" t="str">
        <f t="shared" si="2029"/>
        <v>813</v>
      </c>
      <c r="E9306" t="str">
        <f t="shared" si="2026"/>
        <v>89301171</v>
      </c>
      <c r="F9306" t="str">
        <f t="shared" si="2027"/>
        <v>5711032239</v>
      </c>
      <c r="G9306" s="1">
        <v>44830</v>
      </c>
      <c r="H9306" t="str">
        <f t="shared" si="2030"/>
        <v>91413</v>
      </c>
      <c r="I9306">
        <v>1</v>
      </c>
      <c r="J9306">
        <v>853</v>
      </c>
      <c r="K9306">
        <v>0</v>
      </c>
      <c r="L9306">
        <v>665.34</v>
      </c>
    </row>
    <row r="9307" spans="1:12" x14ac:dyDescent="0.25">
      <c r="A9307" t="str">
        <f t="shared" si="2021"/>
        <v>89301000</v>
      </c>
      <c r="B9307" t="str">
        <f t="shared" si="2031"/>
        <v>06539000</v>
      </c>
      <c r="C9307" t="str">
        <f t="shared" si="2028"/>
        <v>06539003</v>
      </c>
      <c r="D9307" t="str">
        <f t="shared" si="2029"/>
        <v>813</v>
      </c>
      <c r="E9307" t="str">
        <f t="shared" si="2026"/>
        <v>89301171</v>
      </c>
      <c r="F9307" t="str">
        <f t="shared" si="2027"/>
        <v>5711032239</v>
      </c>
      <c r="G9307" s="1">
        <v>44827</v>
      </c>
      <c r="H9307" t="str">
        <f t="shared" si="2030"/>
        <v>91413</v>
      </c>
      <c r="I9307">
        <v>1</v>
      </c>
      <c r="J9307">
        <v>853</v>
      </c>
      <c r="K9307">
        <v>0</v>
      </c>
      <c r="L9307">
        <v>665.34</v>
      </c>
    </row>
    <row r="9308" spans="1:12" x14ac:dyDescent="0.25">
      <c r="A9308" t="str">
        <f t="shared" si="2021"/>
        <v>89301000</v>
      </c>
      <c r="B9308" t="str">
        <f t="shared" si="2031"/>
        <v>06539000</v>
      </c>
      <c r="C9308" t="str">
        <f t="shared" si="2028"/>
        <v>06539003</v>
      </c>
      <c r="D9308" t="str">
        <f t="shared" si="2029"/>
        <v>813</v>
      </c>
      <c r="E9308" t="str">
        <f t="shared" si="2026"/>
        <v>89301171</v>
      </c>
      <c r="F9308" t="str">
        <f t="shared" si="2027"/>
        <v>5711032239</v>
      </c>
      <c r="G9308" s="1">
        <v>44827</v>
      </c>
      <c r="H9308" t="str">
        <f t="shared" si="2030"/>
        <v>91413</v>
      </c>
      <c r="I9308">
        <v>1</v>
      </c>
      <c r="J9308">
        <v>853</v>
      </c>
      <c r="K9308">
        <v>0</v>
      </c>
      <c r="L9308">
        <v>665.34</v>
      </c>
    </row>
    <row r="9309" spans="1:12" x14ac:dyDescent="0.25">
      <c r="A9309" t="str">
        <f t="shared" si="2021"/>
        <v>89301000</v>
      </c>
      <c r="B9309" t="str">
        <f t="shared" si="2031"/>
        <v>06539000</v>
      </c>
      <c r="C9309" t="str">
        <f t="shared" si="2028"/>
        <v>06539003</v>
      </c>
      <c r="D9309" t="str">
        <f t="shared" si="2029"/>
        <v>813</v>
      </c>
      <c r="E9309" t="str">
        <f t="shared" si="2026"/>
        <v>89301171</v>
      </c>
      <c r="F9309" t="str">
        <f t="shared" si="2027"/>
        <v>5711032239</v>
      </c>
      <c r="G9309" s="1">
        <v>44830</v>
      </c>
      <c r="H9309" t="str">
        <f t="shared" si="2030"/>
        <v>91413</v>
      </c>
      <c r="I9309">
        <v>1</v>
      </c>
      <c r="J9309">
        <v>853</v>
      </c>
      <c r="K9309">
        <v>0</v>
      </c>
      <c r="L9309">
        <v>665.34</v>
      </c>
    </row>
    <row r="9310" spans="1:12" x14ac:dyDescent="0.25">
      <c r="A9310" t="str">
        <f t="shared" si="2021"/>
        <v>89301000</v>
      </c>
      <c r="B9310" t="str">
        <f t="shared" si="2031"/>
        <v>06539000</v>
      </c>
      <c r="C9310" t="str">
        <f t="shared" si="2028"/>
        <v>06539003</v>
      </c>
      <c r="D9310" t="str">
        <f t="shared" si="2029"/>
        <v>813</v>
      </c>
      <c r="E9310" t="str">
        <f t="shared" si="2026"/>
        <v>89301171</v>
      </c>
      <c r="F9310" t="str">
        <f t="shared" si="2027"/>
        <v>5711032239</v>
      </c>
      <c r="G9310" s="1">
        <v>44830</v>
      </c>
      <c r="H9310" t="str">
        <f t="shared" si="2030"/>
        <v>91413</v>
      </c>
      <c r="I9310">
        <v>1</v>
      </c>
      <c r="J9310">
        <v>853</v>
      </c>
      <c r="K9310">
        <v>0</v>
      </c>
      <c r="L9310">
        <v>665.34</v>
      </c>
    </row>
    <row r="9311" spans="1:12" x14ac:dyDescent="0.25">
      <c r="A9311" t="str">
        <f t="shared" si="2021"/>
        <v>89301000</v>
      </c>
      <c r="B9311" t="str">
        <f t="shared" si="2031"/>
        <v>06539000</v>
      </c>
      <c r="C9311" t="str">
        <f t="shared" si="2028"/>
        <v>06539003</v>
      </c>
      <c r="D9311" t="str">
        <f t="shared" si="2029"/>
        <v>813</v>
      </c>
      <c r="E9311" t="str">
        <f t="shared" si="2026"/>
        <v>89301171</v>
      </c>
      <c r="F9311" t="str">
        <f t="shared" si="2027"/>
        <v>5711032239</v>
      </c>
      <c r="G9311" s="1">
        <v>44830</v>
      </c>
      <c r="H9311" t="str">
        <f t="shared" si="2030"/>
        <v>91413</v>
      </c>
      <c r="I9311">
        <v>1</v>
      </c>
      <c r="J9311">
        <v>853</v>
      </c>
      <c r="K9311">
        <v>0</v>
      </c>
      <c r="L9311">
        <v>665.34</v>
      </c>
    </row>
    <row r="9312" spans="1:12" x14ac:dyDescent="0.25">
      <c r="A9312" t="str">
        <f t="shared" si="2021"/>
        <v>89301000</v>
      </c>
      <c r="B9312" t="str">
        <f t="shared" si="2031"/>
        <v>06539000</v>
      </c>
      <c r="C9312" t="str">
        <f t="shared" si="2028"/>
        <v>06539003</v>
      </c>
      <c r="D9312" t="str">
        <f t="shared" si="2029"/>
        <v>813</v>
      </c>
      <c r="E9312" t="str">
        <f t="shared" si="2026"/>
        <v>89301171</v>
      </c>
      <c r="F9312" t="str">
        <f t="shared" si="2027"/>
        <v>5711032239</v>
      </c>
      <c r="G9312" s="1">
        <v>44830</v>
      </c>
      <c r="H9312" t="str">
        <f t="shared" si="2030"/>
        <v>91413</v>
      </c>
      <c r="I9312">
        <v>1</v>
      </c>
      <c r="J9312">
        <v>853</v>
      </c>
      <c r="K9312">
        <v>0</v>
      </c>
      <c r="L9312">
        <v>665.34</v>
      </c>
    </row>
    <row r="9313" spans="1:12" x14ac:dyDescent="0.25">
      <c r="A9313" t="str">
        <f t="shared" si="2021"/>
        <v>89301000</v>
      </c>
      <c r="B9313" t="str">
        <f t="shared" si="2031"/>
        <v>06539000</v>
      </c>
      <c r="C9313" t="str">
        <f t="shared" si="2028"/>
        <v>06539003</v>
      </c>
      <c r="D9313" t="str">
        <f t="shared" si="2029"/>
        <v>813</v>
      </c>
      <c r="E9313" t="str">
        <f t="shared" si="2026"/>
        <v>89301171</v>
      </c>
      <c r="F9313" t="str">
        <f t="shared" si="2027"/>
        <v>5711032239</v>
      </c>
      <c r="G9313" s="1">
        <v>44820</v>
      </c>
      <c r="H9313" t="str">
        <f t="shared" ref="H9313:H9318" si="2032">"91197"</f>
        <v>91197</v>
      </c>
      <c r="I9313">
        <v>1</v>
      </c>
      <c r="J9313">
        <v>1046</v>
      </c>
      <c r="K9313">
        <v>0</v>
      </c>
      <c r="L9313">
        <v>815.88</v>
      </c>
    </row>
    <row r="9314" spans="1:12" x14ac:dyDescent="0.25">
      <c r="A9314" t="str">
        <f t="shared" si="2021"/>
        <v>89301000</v>
      </c>
      <c r="B9314" t="str">
        <f t="shared" si="2031"/>
        <v>06539000</v>
      </c>
      <c r="C9314" t="str">
        <f t="shared" si="2028"/>
        <v>06539003</v>
      </c>
      <c r="D9314" t="str">
        <f t="shared" si="2029"/>
        <v>813</v>
      </c>
      <c r="E9314" t="str">
        <f t="shared" si="2026"/>
        <v>89301171</v>
      </c>
      <c r="F9314" t="str">
        <f t="shared" si="2027"/>
        <v>5711032239</v>
      </c>
      <c r="G9314" s="1">
        <v>44822</v>
      </c>
      <c r="H9314" t="str">
        <f t="shared" si="2032"/>
        <v>91197</v>
      </c>
      <c r="I9314">
        <v>1</v>
      </c>
      <c r="J9314">
        <v>1046</v>
      </c>
      <c r="K9314">
        <v>0</v>
      </c>
      <c r="L9314">
        <v>815.88</v>
      </c>
    </row>
    <row r="9315" spans="1:12" x14ac:dyDescent="0.25">
      <c r="A9315" t="str">
        <f t="shared" si="2021"/>
        <v>89301000</v>
      </c>
      <c r="B9315" t="str">
        <f t="shared" si="2031"/>
        <v>06539000</v>
      </c>
      <c r="C9315" t="str">
        <f t="shared" si="2028"/>
        <v>06539003</v>
      </c>
      <c r="D9315" t="str">
        <f t="shared" si="2029"/>
        <v>813</v>
      </c>
      <c r="E9315" t="str">
        <f t="shared" si="2026"/>
        <v>89301171</v>
      </c>
      <c r="F9315" t="str">
        <f t="shared" si="2027"/>
        <v>5711032239</v>
      </c>
      <c r="G9315" s="1">
        <v>44822</v>
      </c>
      <c r="H9315" t="str">
        <f t="shared" si="2032"/>
        <v>91197</v>
      </c>
      <c r="I9315">
        <v>1</v>
      </c>
      <c r="J9315">
        <v>1046</v>
      </c>
      <c r="K9315">
        <v>0</v>
      </c>
      <c r="L9315">
        <v>815.88</v>
      </c>
    </row>
    <row r="9316" spans="1:12" x14ac:dyDescent="0.25">
      <c r="A9316" t="str">
        <f t="shared" si="2021"/>
        <v>89301000</v>
      </c>
      <c r="B9316" t="str">
        <f t="shared" si="2031"/>
        <v>06539000</v>
      </c>
      <c r="C9316" t="str">
        <f t="shared" si="2028"/>
        <v>06539003</v>
      </c>
      <c r="D9316" t="str">
        <f t="shared" si="2029"/>
        <v>813</v>
      </c>
      <c r="E9316" t="str">
        <f t="shared" si="2026"/>
        <v>89301171</v>
      </c>
      <c r="F9316" t="str">
        <f t="shared" si="2027"/>
        <v>5711032239</v>
      </c>
      <c r="G9316" s="1">
        <v>44821</v>
      </c>
      <c r="H9316" t="str">
        <f t="shared" si="2032"/>
        <v>91197</v>
      </c>
      <c r="I9316">
        <v>1</v>
      </c>
      <c r="J9316">
        <v>1046</v>
      </c>
      <c r="K9316">
        <v>0</v>
      </c>
      <c r="L9316">
        <v>815.88</v>
      </c>
    </row>
    <row r="9317" spans="1:12" x14ac:dyDescent="0.25">
      <c r="A9317" t="str">
        <f t="shared" si="2021"/>
        <v>89301000</v>
      </c>
      <c r="B9317" t="str">
        <f t="shared" si="2031"/>
        <v>06539000</v>
      </c>
      <c r="C9317" t="str">
        <f t="shared" si="2028"/>
        <v>06539003</v>
      </c>
      <c r="D9317" t="str">
        <f t="shared" si="2029"/>
        <v>813</v>
      </c>
      <c r="E9317" t="str">
        <f t="shared" si="2026"/>
        <v>89301171</v>
      </c>
      <c r="F9317" t="str">
        <f t="shared" si="2027"/>
        <v>5711032239</v>
      </c>
      <c r="G9317" s="1">
        <v>44821</v>
      </c>
      <c r="H9317" t="str">
        <f t="shared" si="2032"/>
        <v>91197</v>
      </c>
      <c r="I9317">
        <v>1</v>
      </c>
      <c r="J9317">
        <v>1046</v>
      </c>
      <c r="K9317">
        <v>0</v>
      </c>
      <c r="L9317">
        <v>815.88</v>
      </c>
    </row>
    <row r="9318" spans="1:12" x14ac:dyDescent="0.25">
      <c r="A9318" t="str">
        <f t="shared" si="2021"/>
        <v>89301000</v>
      </c>
      <c r="B9318" t="str">
        <f t="shared" si="2031"/>
        <v>06539000</v>
      </c>
      <c r="C9318" t="str">
        <f t="shared" si="2028"/>
        <v>06539003</v>
      </c>
      <c r="D9318" t="str">
        <f t="shared" si="2029"/>
        <v>813</v>
      </c>
      <c r="E9318" t="str">
        <f t="shared" si="2026"/>
        <v>89301171</v>
      </c>
      <c r="F9318" t="str">
        <f t="shared" si="2027"/>
        <v>5711032239</v>
      </c>
      <c r="G9318" s="1">
        <v>44820</v>
      </c>
      <c r="H9318" t="str">
        <f t="shared" si="2032"/>
        <v>91197</v>
      </c>
      <c r="I9318">
        <v>1</v>
      </c>
      <c r="J9318">
        <v>1046</v>
      </c>
      <c r="K9318">
        <v>0</v>
      </c>
      <c r="L9318">
        <v>815.88</v>
      </c>
    </row>
    <row r="9319" spans="1:12" x14ac:dyDescent="0.25">
      <c r="A9319" t="str">
        <f t="shared" si="2021"/>
        <v>89301000</v>
      </c>
      <c r="B9319" t="str">
        <f t="shared" si="2031"/>
        <v>06539000</v>
      </c>
      <c r="C9319" t="str">
        <f t="shared" si="2028"/>
        <v>06539003</v>
      </c>
      <c r="D9319" t="str">
        <f t="shared" si="2029"/>
        <v>813</v>
      </c>
      <c r="E9319" t="str">
        <f t="shared" si="2026"/>
        <v>89301171</v>
      </c>
      <c r="F9319" t="str">
        <f t="shared" si="2027"/>
        <v>5711032239</v>
      </c>
      <c r="G9319" s="1">
        <v>44823</v>
      </c>
      <c r="H9319" t="str">
        <f>"91129"</f>
        <v>91129</v>
      </c>
      <c r="I9319">
        <v>1</v>
      </c>
      <c r="J9319">
        <v>174</v>
      </c>
      <c r="K9319">
        <v>0</v>
      </c>
      <c r="L9319">
        <v>135.72</v>
      </c>
    </row>
    <row r="9320" spans="1:12" x14ac:dyDescent="0.25">
      <c r="A9320" t="str">
        <f t="shared" si="2021"/>
        <v>89301000</v>
      </c>
      <c r="B9320" t="str">
        <f t="shared" si="2031"/>
        <v>06539000</v>
      </c>
      <c r="C9320" t="str">
        <f t="shared" si="2028"/>
        <v>06539003</v>
      </c>
      <c r="D9320" t="str">
        <f t="shared" si="2029"/>
        <v>813</v>
      </c>
      <c r="E9320" t="str">
        <f t="shared" si="2026"/>
        <v>89301171</v>
      </c>
      <c r="F9320" t="str">
        <f t="shared" si="2027"/>
        <v>5711032239</v>
      </c>
      <c r="G9320" s="1">
        <v>44823</v>
      </c>
      <c r="H9320" t="str">
        <f>"91131"</f>
        <v>91131</v>
      </c>
      <c r="I9320">
        <v>1</v>
      </c>
      <c r="J9320">
        <v>171</v>
      </c>
      <c r="K9320">
        <v>0</v>
      </c>
      <c r="L9320">
        <v>133.38</v>
      </c>
    </row>
    <row r="9321" spans="1:12" x14ac:dyDescent="0.25">
      <c r="A9321" t="str">
        <f t="shared" si="2021"/>
        <v>89301000</v>
      </c>
      <c r="B9321" t="str">
        <f t="shared" si="2031"/>
        <v>06539000</v>
      </c>
      <c r="C9321" t="str">
        <f t="shared" si="2028"/>
        <v>06539003</v>
      </c>
      <c r="D9321" t="str">
        <f t="shared" si="2029"/>
        <v>813</v>
      </c>
      <c r="E9321" t="str">
        <f t="shared" si="2026"/>
        <v>89301171</v>
      </c>
      <c r="F9321" t="str">
        <f t="shared" si="2027"/>
        <v>5711032239</v>
      </c>
      <c r="G9321" s="1">
        <v>44823</v>
      </c>
      <c r="H9321" t="str">
        <f>"91133"</f>
        <v>91133</v>
      </c>
      <c r="I9321">
        <v>1</v>
      </c>
      <c r="J9321">
        <v>176</v>
      </c>
      <c r="K9321">
        <v>0</v>
      </c>
      <c r="L9321">
        <v>137.28</v>
      </c>
    </row>
    <row r="9322" spans="1:12" x14ac:dyDescent="0.25">
      <c r="A9322" t="str">
        <f t="shared" si="2021"/>
        <v>89301000</v>
      </c>
      <c r="B9322" t="str">
        <f t="shared" si="2031"/>
        <v>06539000</v>
      </c>
      <c r="C9322" t="str">
        <f t="shared" si="2028"/>
        <v>06539003</v>
      </c>
      <c r="D9322" t="str">
        <f t="shared" si="2029"/>
        <v>813</v>
      </c>
      <c r="E9322" t="str">
        <f t="shared" si="2026"/>
        <v>89301171</v>
      </c>
      <c r="F9322" t="str">
        <f t="shared" si="2027"/>
        <v>5711032239</v>
      </c>
      <c r="G9322" s="1">
        <v>44823</v>
      </c>
      <c r="H9322" t="str">
        <f>"91171"</f>
        <v>91171</v>
      </c>
      <c r="I9322">
        <v>1</v>
      </c>
      <c r="J9322">
        <v>360</v>
      </c>
      <c r="K9322">
        <v>0</v>
      </c>
      <c r="L9322">
        <v>280.8</v>
      </c>
    </row>
    <row r="9323" spans="1:12" x14ac:dyDescent="0.25">
      <c r="A9323" t="str">
        <f t="shared" si="2021"/>
        <v>89301000</v>
      </c>
      <c r="B9323" t="str">
        <f t="shared" si="2031"/>
        <v>06539000</v>
      </c>
      <c r="C9323" t="str">
        <f t="shared" si="2028"/>
        <v>06539003</v>
      </c>
      <c r="D9323" t="str">
        <f t="shared" si="2029"/>
        <v>813</v>
      </c>
      <c r="E9323" t="str">
        <f t="shared" si="2026"/>
        <v>89301171</v>
      </c>
      <c r="F9323" t="str">
        <f t="shared" si="2027"/>
        <v>5711032239</v>
      </c>
      <c r="G9323" s="1">
        <v>44820</v>
      </c>
      <c r="H9323" t="str">
        <f>"91173"</f>
        <v>91173</v>
      </c>
      <c r="I9323">
        <v>1</v>
      </c>
      <c r="J9323">
        <v>335</v>
      </c>
      <c r="K9323">
        <v>0</v>
      </c>
      <c r="L9323">
        <v>261.3</v>
      </c>
    </row>
    <row r="9324" spans="1:12" x14ac:dyDescent="0.25">
      <c r="A9324" t="str">
        <f t="shared" si="2021"/>
        <v>89301000</v>
      </c>
      <c r="B9324" t="str">
        <f t="shared" si="2031"/>
        <v>06539000</v>
      </c>
      <c r="C9324" t="str">
        <f t="shared" si="2028"/>
        <v>06539003</v>
      </c>
      <c r="D9324" t="str">
        <f t="shared" si="2029"/>
        <v>813</v>
      </c>
      <c r="E9324" t="str">
        <f t="shared" si="2026"/>
        <v>89301171</v>
      </c>
      <c r="F9324" t="str">
        <f t="shared" si="2027"/>
        <v>5711032239</v>
      </c>
      <c r="G9324" s="1">
        <v>44823</v>
      </c>
      <c r="H9324" t="str">
        <f>"91175"</f>
        <v>91175</v>
      </c>
      <c r="I9324">
        <v>1</v>
      </c>
      <c r="J9324">
        <v>360</v>
      </c>
      <c r="K9324">
        <v>0</v>
      </c>
      <c r="L9324">
        <v>280.8</v>
      </c>
    </row>
    <row r="9325" spans="1:12" x14ac:dyDescent="0.25">
      <c r="A9325" t="str">
        <f t="shared" si="2021"/>
        <v>89301000</v>
      </c>
      <c r="B9325" t="str">
        <f t="shared" si="2031"/>
        <v>06539000</v>
      </c>
      <c r="C9325" t="str">
        <f t="shared" si="2028"/>
        <v>06539003</v>
      </c>
      <c r="D9325" t="str">
        <f t="shared" si="2029"/>
        <v>813</v>
      </c>
      <c r="E9325" t="str">
        <f t="shared" si="2026"/>
        <v>89301171</v>
      </c>
      <c r="F9325" t="str">
        <f t="shared" si="2027"/>
        <v>5711032239</v>
      </c>
      <c r="G9325" s="1">
        <v>44821</v>
      </c>
      <c r="H9325" t="str">
        <f>"91167"</f>
        <v>91167</v>
      </c>
      <c r="I9325">
        <v>1</v>
      </c>
      <c r="J9325">
        <v>425</v>
      </c>
      <c r="K9325">
        <v>0</v>
      </c>
      <c r="L9325">
        <v>331.5</v>
      </c>
    </row>
    <row r="9326" spans="1:12" x14ac:dyDescent="0.25">
      <c r="A9326" t="str">
        <f t="shared" si="2021"/>
        <v>89301000</v>
      </c>
      <c r="B9326" t="str">
        <f t="shared" si="2031"/>
        <v>06539000</v>
      </c>
      <c r="C9326" t="str">
        <f t="shared" si="2028"/>
        <v>06539003</v>
      </c>
      <c r="D9326" t="str">
        <f t="shared" si="2029"/>
        <v>813</v>
      </c>
      <c r="E9326" t="str">
        <f t="shared" si="2026"/>
        <v>89301171</v>
      </c>
      <c r="F9326" t="str">
        <f t="shared" si="2027"/>
        <v>5711032239</v>
      </c>
      <c r="G9326" s="1">
        <v>44821</v>
      </c>
      <c r="H9326" t="str">
        <f>"91169"</f>
        <v>91169</v>
      </c>
      <c r="I9326">
        <v>1</v>
      </c>
      <c r="J9326">
        <v>425</v>
      </c>
      <c r="K9326">
        <v>0</v>
      </c>
      <c r="L9326">
        <v>331.5</v>
      </c>
    </row>
    <row r="9327" spans="1:12" x14ac:dyDescent="0.25">
      <c r="A9327" t="str">
        <f t="shared" si="2021"/>
        <v>89301000</v>
      </c>
      <c r="B9327" t="str">
        <f t="shared" si="2031"/>
        <v>06539000</v>
      </c>
      <c r="C9327" t="str">
        <f t="shared" si="2028"/>
        <v>06539003</v>
      </c>
      <c r="D9327" t="str">
        <f t="shared" si="2029"/>
        <v>813</v>
      </c>
      <c r="E9327" t="str">
        <f t="shared" si="2026"/>
        <v>89301171</v>
      </c>
      <c r="F9327" t="str">
        <f t="shared" si="2027"/>
        <v>5711032239</v>
      </c>
      <c r="G9327" s="1">
        <v>44820</v>
      </c>
      <c r="H9327" t="str">
        <f>"91167"</f>
        <v>91167</v>
      </c>
      <c r="I9327">
        <v>1</v>
      </c>
      <c r="J9327">
        <v>425</v>
      </c>
      <c r="K9327">
        <v>0</v>
      </c>
      <c r="L9327">
        <v>331.5</v>
      </c>
    </row>
    <row r="9328" spans="1:12" x14ac:dyDescent="0.25">
      <c r="A9328" t="str">
        <f t="shared" si="2021"/>
        <v>89301000</v>
      </c>
      <c r="B9328" t="str">
        <f t="shared" si="2031"/>
        <v>06539000</v>
      </c>
      <c r="C9328" t="str">
        <f t="shared" si="2028"/>
        <v>06539003</v>
      </c>
      <c r="D9328" t="str">
        <f t="shared" si="2029"/>
        <v>813</v>
      </c>
      <c r="E9328" t="str">
        <f t="shared" si="2026"/>
        <v>89301171</v>
      </c>
      <c r="F9328" t="str">
        <f t="shared" si="2027"/>
        <v>5711032239</v>
      </c>
      <c r="G9328" s="1">
        <v>44820</v>
      </c>
      <c r="H9328" t="str">
        <f>"91169"</f>
        <v>91169</v>
      </c>
      <c r="I9328">
        <v>1</v>
      </c>
      <c r="J9328">
        <v>425</v>
      </c>
      <c r="K9328">
        <v>0</v>
      </c>
      <c r="L9328">
        <v>331.5</v>
      </c>
    </row>
    <row r="9329" spans="1:12" x14ac:dyDescent="0.25">
      <c r="A9329" t="str">
        <f t="shared" si="2021"/>
        <v>89301000</v>
      </c>
      <c r="B9329" t="str">
        <f t="shared" si="2031"/>
        <v>06539000</v>
      </c>
      <c r="C9329" t="str">
        <f t="shared" si="2028"/>
        <v>06539003</v>
      </c>
      <c r="D9329" t="str">
        <f t="shared" si="2029"/>
        <v>813</v>
      </c>
      <c r="E9329" t="str">
        <f t="shared" si="2026"/>
        <v>89301171</v>
      </c>
      <c r="F9329" t="str">
        <f t="shared" si="2027"/>
        <v>5711032239</v>
      </c>
      <c r="G9329" s="1">
        <v>44820</v>
      </c>
      <c r="H9329" t="str">
        <f>"91475"</f>
        <v>91475</v>
      </c>
      <c r="I9329">
        <v>1</v>
      </c>
      <c r="J9329">
        <v>206</v>
      </c>
      <c r="K9329">
        <v>0</v>
      </c>
      <c r="L9329">
        <v>160.68</v>
      </c>
    </row>
    <row r="9330" spans="1:12" x14ac:dyDescent="0.25">
      <c r="A9330" t="str">
        <f t="shared" si="2021"/>
        <v>89301000</v>
      </c>
      <c r="B9330" t="str">
        <f t="shared" si="2031"/>
        <v>06539000</v>
      </c>
      <c r="C9330" t="str">
        <f t="shared" si="2028"/>
        <v>06539003</v>
      </c>
      <c r="D9330" t="str">
        <f t="shared" si="2029"/>
        <v>813</v>
      </c>
      <c r="E9330" t="str">
        <f t="shared" ref="E9330:E9338" si="2033">"89301172"</f>
        <v>89301172</v>
      </c>
      <c r="F9330" t="str">
        <f t="shared" ref="F9330:F9338" si="2034">"8651025812"</f>
        <v>8651025812</v>
      </c>
      <c r="G9330" s="1">
        <v>44830</v>
      </c>
      <c r="H9330" t="str">
        <f t="shared" ref="H9330:H9337" si="2035">"91413"</f>
        <v>91413</v>
      </c>
      <c r="I9330">
        <v>1</v>
      </c>
      <c r="J9330">
        <v>853</v>
      </c>
      <c r="K9330">
        <v>0</v>
      </c>
      <c r="L9330">
        <v>665.34</v>
      </c>
    </row>
    <row r="9331" spans="1:12" x14ac:dyDescent="0.25">
      <c r="A9331" t="str">
        <f t="shared" si="2021"/>
        <v>89301000</v>
      </c>
      <c r="B9331" t="str">
        <f t="shared" si="2031"/>
        <v>06539000</v>
      </c>
      <c r="C9331" t="str">
        <f t="shared" si="2028"/>
        <v>06539003</v>
      </c>
      <c r="D9331" t="str">
        <f t="shared" si="2029"/>
        <v>813</v>
      </c>
      <c r="E9331" t="str">
        <f t="shared" si="2033"/>
        <v>89301172</v>
      </c>
      <c r="F9331" t="str">
        <f t="shared" si="2034"/>
        <v>8651025812</v>
      </c>
      <c r="G9331" s="1">
        <v>44830</v>
      </c>
      <c r="H9331" t="str">
        <f t="shared" si="2035"/>
        <v>91413</v>
      </c>
      <c r="I9331">
        <v>1</v>
      </c>
      <c r="J9331">
        <v>853</v>
      </c>
      <c r="K9331">
        <v>0</v>
      </c>
      <c r="L9331">
        <v>665.34</v>
      </c>
    </row>
    <row r="9332" spans="1:12" x14ac:dyDescent="0.25">
      <c r="A9332" t="str">
        <f t="shared" si="2021"/>
        <v>89301000</v>
      </c>
      <c r="B9332" t="str">
        <f t="shared" si="2031"/>
        <v>06539000</v>
      </c>
      <c r="C9332" t="str">
        <f t="shared" si="2028"/>
        <v>06539003</v>
      </c>
      <c r="D9332" t="str">
        <f t="shared" si="2029"/>
        <v>813</v>
      </c>
      <c r="E9332" t="str">
        <f t="shared" si="2033"/>
        <v>89301172</v>
      </c>
      <c r="F9332" t="str">
        <f t="shared" si="2034"/>
        <v>8651025812</v>
      </c>
      <c r="G9332" s="1">
        <v>44827</v>
      </c>
      <c r="H9332" t="str">
        <f t="shared" si="2035"/>
        <v>91413</v>
      </c>
      <c r="I9332">
        <v>1</v>
      </c>
      <c r="J9332">
        <v>853</v>
      </c>
      <c r="K9332">
        <v>0</v>
      </c>
      <c r="L9332">
        <v>665.34</v>
      </c>
    </row>
    <row r="9333" spans="1:12" x14ac:dyDescent="0.25">
      <c r="A9333" t="str">
        <f t="shared" si="2021"/>
        <v>89301000</v>
      </c>
      <c r="B9333" t="str">
        <f t="shared" si="2031"/>
        <v>06539000</v>
      </c>
      <c r="C9333" t="str">
        <f t="shared" si="2028"/>
        <v>06539003</v>
      </c>
      <c r="D9333" t="str">
        <f t="shared" si="2029"/>
        <v>813</v>
      </c>
      <c r="E9333" t="str">
        <f t="shared" si="2033"/>
        <v>89301172</v>
      </c>
      <c r="F9333" t="str">
        <f t="shared" si="2034"/>
        <v>8651025812</v>
      </c>
      <c r="G9333" s="1">
        <v>44827</v>
      </c>
      <c r="H9333" t="str">
        <f t="shared" si="2035"/>
        <v>91413</v>
      </c>
      <c r="I9333">
        <v>1</v>
      </c>
      <c r="J9333">
        <v>853</v>
      </c>
      <c r="K9333">
        <v>0</v>
      </c>
      <c r="L9333">
        <v>665.34</v>
      </c>
    </row>
    <row r="9334" spans="1:12" x14ac:dyDescent="0.25">
      <c r="A9334" t="str">
        <f t="shared" si="2021"/>
        <v>89301000</v>
      </c>
      <c r="B9334" t="str">
        <f t="shared" si="2031"/>
        <v>06539000</v>
      </c>
      <c r="C9334" t="str">
        <f t="shared" si="2028"/>
        <v>06539003</v>
      </c>
      <c r="D9334" t="str">
        <f t="shared" si="2029"/>
        <v>813</v>
      </c>
      <c r="E9334" t="str">
        <f t="shared" si="2033"/>
        <v>89301172</v>
      </c>
      <c r="F9334" t="str">
        <f t="shared" si="2034"/>
        <v>8651025812</v>
      </c>
      <c r="G9334" s="1">
        <v>44830</v>
      </c>
      <c r="H9334" t="str">
        <f t="shared" si="2035"/>
        <v>91413</v>
      </c>
      <c r="I9334">
        <v>1</v>
      </c>
      <c r="J9334">
        <v>853</v>
      </c>
      <c r="K9334">
        <v>0</v>
      </c>
      <c r="L9334">
        <v>665.34</v>
      </c>
    </row>
    <row r="9335" spans="1:12" x14ac:dyDescent="0.25">
      <c r="A9335" t="str">
        <f t="shared" si="2021"/>
        <v>89301000</v>
      </c>
      <c r="B9335" t="str">
        <f t="shared" si="2031"/>
        <v>06539000</v>
      </c>
      <c r="C9335" t="str">
        <f t="shared" ref="C9335:C9359" si="2036">"06539003"</f>
        <v>06539003</v>
      </c>
      <c r="D9335" t="str">
        <f t="shared" ref="D9335:D9359" si="2037">"813"</f>
        <v>813</v>
      </c>
      <c r="E9335" t="str">
        <f t="shared" si="2033"/>
        <v>89301172</v>
      </c>
      <c r="F9335" t="str">
        <f t="shared" si="2034"/>
        <v>8651025812</v>
      </c>
      <c r="G9335" s="1">
        <v>44830</v>
      </c>
      <c r="H9335" t="str">
        <f t="shared" si="2035"/>
        <v>91413</v>
      </c>
      <c r="I9335">
        <v>1</v>
      </c>
      <c r="J9335">
        <v>853</v>
      </c>
      <c r="K9335">
        <v>0</v>
      </c>
      <c r="L9335">
        <v>665.34</v>
      </c>
    </row>
    <row r="9336" spans="1:12" x14ac:dyDescent="0.25">
      <c r="A9336" t="str">
        <f t="shared" si="2021"/>
        <v>89301000</v>
      </c>
      <c r="B9336" t="str">
        <f t="shared" si="2031"/>
        <v>06539000</v>
      </c>
      <c r="C9336" t="str">
        <f t="shared" si="2036"/>
        <v>06539003</v>
      </c>
      <c r="D9336" t="str">
        <f t="shared" si="2037"/>
        <v>813</v>
      </c>
      <c r="E9336" t="str">
        <f t="shared" si="2033"/>
        <v>89301172</v>
      </c>
      <c r="F9336" t="str">
        <f t="shared" si="2034"/>
        <v>8651025812</v>
      </c>
      <c r="G9336" s="1">
        <v>44830</v>
      </c>
      <c r="H9336" t="str">
        <f t="shared" si="2035"/>
        <v>91413</v>
      </c>
      <c r="I9336">
        <v>1</v>
      </c>
      <c r="J9336">
        <v>853</v>
      </c>
      <c r="K9336">
        <v>0</v>
      </c>
      <c r="L9336">
        <v>665.34</v>
      </c>
    </row>
    <row r="9337" spans="1:12" x14ac:dyDescent="0.25">
      <c r="A9337" t="str">
        <f t="shared" si="2021"/>
        <v>89301000</v>
      </c>
      <c r="B9337" t="str">
        <f t="shared" si="2031"/>
        <v>06539000</v>
      </c>
      <c r="C9337" t="str">
        <f t="shared" si="2036"/>
        <v>06539003</v>
      </c>
      <c r="D9337" t="str">
        <f t="shared" si="2037"/>
        <v>813</v>
      </c>
      <c r="E9337" t="str">
        <f t="shared" si="2033"/>
        <v>89301172</v>
      </c>
      <c r="F9337" t="str">
        <f t="shared" si="2034"/>
        <v>8651025812</v>
      </c>
      <c r="G9337" s="1">
        <v>44830</v>
      </c>
      <c r="H9337" t="str">
        <f t="shared" si="2035"/>
        <v>91413</v>
      </c>
      <c r="I9337">
        <v>1</v>
      </c>
      <c r="J9337">
        <v>853</v>
      </c>
      <c r="K9337">
        <v>0</v>
      </c>
      <c r="L9337">
        <v>665.34</v>
      </c>
    </row>
    <row r="9338" spans="1:12" x14ac:dyDescent="0.25">
      <c r="A9338" t="str">
        <f t="shared" si="2021"/>
        <v>89301000</v>
      </c>
      <c r="B9338" t="str">
        <f t="shared" si="2031"/>
        <v>06539000</v>
      </c>
      <c r="C9338" t="str">
        <f t="shared" si="2036"/>
        <v>06539003</v>
      </c>
      <c r="D9338" t="str">
        <f t="shared" si="2037"/>
        <v>813</v>
      </c>
      <c r="E9338" t="str">
        <f t="shared" si="2033"/>
        <v>89301172</v>
      </c>
      <c r="F9338" t="str">
        <f t="shared" si="2034"/>
        <v>8651025812</v>
      </c>
      <c r="G9338" s="1">
        <v>44830</v>
      </c>
      <c r="H9338" t="str">
        <f>"91329"</f>
        <v>91329</v>
      </c>
      <c r="I9338">
        <v>2</v>
      </c>
      <c r="J9338">
        <v>428</v>
      </c>
      <c r="K9338">
        <v>0</v>
      </c>
      <c r="L9338">
        <v>333.84</v>
      </c>
    </row>
    <row r="9339" spans="1:12" x14ac:dyDescent="0.25">
      <c r="A9339" t="str">
        <f t="shared" si="2021"/>
        <v>89301000</v>
      </c>
      <c r="B9339" t="str">
        <f t="shared" si="2031"/>
        <v>06539000</v>
      </c>
      <c r="C9339" t="str">
        <f t="shared" si="2036"/>
        <v>06539003</v>
      </c>
      <c r="D9339" t="str">
        <f t="shared" si="2037"/>
        <v>813</v>
      </c>
      <c r="E9339" t="str">
        <f t="shared" ref="E9339:E9359" si="2038">"89301171"</f>
        <v>89301171</v>
      </c>
      <c r="F9339" t="str">
        <f t="shared" ref="F9339:F9359" si="2039">"0361165706"</f>
        <v>0361165706</v>
      </c>
      <c r="G9339" s="1">
        <v>44734</v>
      </c>
      <c r="H9339" t="str">
        <f>"91413"</f>
        <v>91413</v>
      </c>
      <c r="I9339">
        <v>1</v>
      </c>
      <c r="J9339">
        <v>853</v>
      </c>
      <c r="K9339">
        <v>0</v>
      </c>
      <c r="L9339">
        <v>665.34</v>
      </c>
    </row>
    <row r="9340" spans="1:12" x14ac:dyDescent="0.25">
      <c r="A9340" t="str">
        <f t="shared" si="2021"/>
        <v>89301000</v>
      </c>
      <c r="B9340" t="str">
        <f t="shared" si="2031"/>
        <v>06539000</v>
      </c>
      <c r="C9340" t="str">
        <f t="shared" si="2036"/>
        <v>06539003</v>
      </c>
      <c r="D9340" t="str">
        <f t="shared" si="2037"/>
        <v>813</v>
      </c>
      <c r="E9340" t="str">
        <f t="shared" si="2038"/>
        <v>89301171</v>
      </c>
      <c r="F9340" t="str">
        <f t="shared" si="2039"/>
        <v>0361165706</v>
      </c>
      <c r="G9340" s="1">
        <v>44734</v>
      </c>
      <c r="H9340" t="str">
        <f>"91413"</f>
        <v>91413</v>
      </c>
      <c r="I9340">
        <v>1</v>
      </c>
      <c r="J9340">
        <v>853</v>
      </c>
      <c r="K9340">
        <v>0</v>
      </c>
      <c r="L9340">
        <v>665.34</v>
      </c>
    </row>
    <row r="9341" spans="1:12" x14ac:dyDescent="0.25">
      <c r="A9341" t="str">
        <f t="shared" si="2021"/>
        <v>89301000</v>
      </c>
      <c r="B9341" t="str">
        <f t="shared" si="2031"/>
        <v>06539000</v>
      </c>
      <c r="C9341" t="str">
        <f t="shared" si="2036"/>
        <v>06539003</v>
      </c>
      <c r="D9341" t="str">
        <f t="shared" si="2037"/>
        <v>813</v>
      </c>
      <c r="E9341" t="str">
        <f t="shared" si="2038"/>
        <v>89301171</v>
      </c>
      <c r="F9341" t="str">
        <f t="shared" si="2039"/>
        <v>0361165706</v>
      </c>
      <c r="G9341" s="1">
        <v>44742</v>
      </c>
      <c r="H9341" t="str">
        <f>"91413"</f>
        <v>91413</v>
      </c>
      <c r="I9341">
        <v>1</v>
      </c>
      <c r="J9341">
        <v>853</v>
      </c>
      <c r="K9341">
        <v>0</v>
      </c>
      <c r="L9341">
        <v>665.34</v>
      </c>
    </row>
    <row r="9342" spans="1:12" x14ac:dyDescent="0.25">
      <c r="A9342" t="str">
        <f t="shared" si="2021"/>
        <v>89301000</v>
      </c>
      <c r="B9342" t="str">
        <f t="shared" si="2031"/>
        <v>06539000</v>
      </c>
      <c r="C9342" t="str">
        <f t="shared" si="2036"/>
        <v>06539003</v>
      </c>
      <c r="D9342" t="str">
        <f t="shared" si="2037"/>
        <v>813</v>
      </c>
      <c r="E9342" t="str">
        <f t="shared" si="2038"/>
        <v>89301171</v>
      </c>
      <c r="F9342" t="str">
        <f t="shared" si="2039"/>
        <v>0361165706</v>
      </c>
      <c r="G9342" s="1">
        <v>44742</v>
      </c>
      <c r="H9342" t="str">
        <f>"91413"</f>
        <v>91413</v>
      </c>
      <c r="I9342">
        <v>1</v>
      </c>
      <c r="J9342">
        <v>853</v>
      </c>
      <c r="K9342">
        <v>0</v>
      </c>
      <c r="L9342">
        <v>665.34</v>
      </c>
    </row>
    <row r="9343" spans="1:12" x14ac:dyDescent="0.25">
      <c r="A9343" t="str">
        <f t="shared" si="2021"/>
        <v>89301000</v>
      </c>
      <c r="B9343" t="str">
        <f t="shared" si="2031"/>
        <v>06539000</v>
      </c>
      <c r="C9343" t="str">
        <f t="shared" si="2036"/>
        <v>06539003</v>
      </c>
      <c r="D9343" t="str">
        <f t="shared" si="2037"/>
        <v>813</v>
      </c>
      <c r="E9343" t="str">
        <f t="shared" si="2038"/>
        <v>89301171</v>
      </c>
      <c r="F9343" t="str">
        <f t="shared" si="2039"/>
        <v>0361165706</v>
      </c>
      <c r="G9343" s="1">
        <v>44729</v>
      </c>
      <c r="H9343" t="str">
        <f t="shared" ref="H9343:H9349" si="2040">"91197"</f>
        <v>91197</v>
      </c>
      <c r="I9343">
        <v>1</v>
      </c>
      <c r="J9343">
        <v>1046</v>
      </c>
      <c r="K9343">
        <v>0</v>
      </c>
      <c r="L9343">
        <v>815.88</v>
      </c>
    </row>
    <row r="9344" spans="1:12" x14ac:dyDescent="0.25">
      <c r="A9344" t="str">
        <f t="shared" si="2021"/>
        <v>89301000</v>
      </c>
      <c r="B9344" t="str">
        <f t="shared" si="2031"/>
        <v>06539000</v>
      </c>
      <c r="C9344" t="str">
        <f t="shared" si="2036"/>
        <v>06539003</v>
      </c>
      <c r="D9344" t="str">
        <f t="shared" si="2037"/>
        <v>813</v>
      </c>
      <c r="E9344" t="str">
        <f t="shared" si="2038"/>
        <v>89301171</v>
      </c>
      <c r="F9344" t="str">
        <f t="shared" si="2039"/>
        <v>0361165706</v>
      </c>
      <c r="G9344" s="1">
        <v>44732</v>
      </c>
      <c r="H9344" t="str">
        <f t="shared" si="2040"/>
        <v>91197</v>
      </c>
      <c r="I9344">
        <v>1</v>
      </c>
      <c r="J9344">
        <v>1046</v>
      </c>
      <c r="K9344">
        <v>0</v>
      </c>
      <c r="L9344">
        <v>815.88</v>
      </c>
    </row>
    <row r="9345" spans="1:12" x14ac:dyDescent="0.25">
      <c r="A9345" t="str">
        <f t="shared" si="2021"/>
        <v>89301000</v>
      </c>
      <c r="B9345" t="str">
        <f t="shared" si="2031"/>
        <v>06539000</v>
      </c>
      <c r="C9345" t="str">
        <f t="shared" si="2036"/>
        <v>06539003</v>
      </c>
      <c r="D9345" t="str">
        <f t="shared" si="2037"/>
        <v>813</v>
      </c>
      <c r="E9345" t="str">
        <f t="shared" si="2038"/>
        <v>89301171</v>
      </c>
      <c r="F9345" t="str">
        <f t="shared" si="2039"/>
        <v>0361165706</v>
      </c>
      <c r="G9345" s="1">
        <v>44732</v>
      </c>
      <c r="H9345" t="str">
        <f t="shared" si="2040"/>
        <v>91197</v>
      </c>
      <c r="I9345">
        <v>1</v>
      </c>
      <c r="J9345">
        <v>1046</v>
      </c>
      <c r="K9345">
        <v>0</v>
      </c>
      <c r="L9345">
        <v>815.88</v>
      </c>
    </row>
    <row r="9346" spans="1:12" x14ac:dyDescent="0.25">
      <c r="A9346" t="str">
        <f t="shared" ref="A9346:A9409" si="2041">"89301000"</f>
        <v>89301000</v>
      </c>
      <c r="B9346" t="str">
        <f t="shared" si="2031"/>
        <v>06539000</v>
      </c>
      <c r="C9346" t="str">
        <f t="shared" si="2036"/>
        <v>06539003</v>
      </c>
      <c r="D9346" t="str">
        <f t="shared" si="2037"/>
        <v>813</v>
      </c>
      <c r="E9346" t="str">
        <f t="shared" si="2038"/>
        <v>89301171</v>
      </c>
      <c r="F9346" t="str">
        <f t="shared" si="2039"/>
        <v>0361165706</v>
      </c>
      <c r="G9346" s="1">
        <v>44731</v>
      </c>
      <c r="H9346" t="str">
        <f t="shared" si="2040"/>
        <v>91197</v>
      </c>
      <c r="I9346">
        <v>1</v>
      </c>
      <c r="J9346">
        <v>1046</v>
      </c>
      <c r="K9346">
        <v>0</v>
      </c>
      <c r="L9346">
        <v>815.88</v>
      </c>
    </row>
    <row r="9347" spans="1:12" x14ac:dyDescent="0.25">
      <c r="A9347" t="str">
        <f t="shared" si="2041"/>
        <v>89301000</v>
      </c>
      <c r="B9347" t="str">
        <f t="shared" si="2031"/>
        <v>06539000</v>
      </c>
      <c r="C9347" t="str">
        <f t="shared" si="2036"/>
        <v>06539003</v>
      </c>
      <c r="D9347" t="str">
        <f t="shared" si="2037"/>
        <v>813</v>
      </c>
      <c r="E9347" t="str">
        <f t="shared" si="2038"/>
        <v>89301171</v>
      </c>
      <c r="F9347" t="str">
        <f t="shared" si="2039"/>
        <v>0361165706</v>
      </c>
      <c r="G9347" s="1">
        <v>44731</v>
      </c>
      <c r="H9347" t="str">
        <f t="shared" si="2040"/>
        <v>91197</v>
      </c>
      <c r="I9347">
        <v>1</v>
      </c>
      <c r="J9347">
        <v>1046</v>
      </c>
      <c r="K9347">
        <v>0</v>
      </c>
      <c r="L9347">
        <v>815.88</v>
      </c>
    </row>
    <row r="9348" spans="1:12" x14ac:dyDescent="0.25">
      <c r="A9348" t="str">
        <f t="shared" si="2041"/>
        <v>89301000</v>
      </c>
      <c r="B9348" t="str">
        <f t="shared" si="2031"/>
        <v>06539000</v>
      </c>
      <c r="C9348" t="str">
        <f t="shared" si="2036"/>
        <v>06539003</v>
      </c>
      <c r="D9348" t="str">
        <f t="shared" si="2037"/>
        <v>813</v>
      </c>
      <c r="E9348" t="str">
        <f t="shared" si="2038"/>
        <v>89301171</v>
      </c>
      <c r="F9348" t="str">
        <f t="shared" si="2039"/>
        <v>0361165706</v>
      </c>
      <c r="G9348" s="1">
        <v>44730</v>
      </c>
      <c r="H9348" t="str">
        <f t="shared" si="2040"/>
        <v>91197</v>
      </c>
      <c r="I9348">
        <v>1</v>
      </c>
      <c r="J9348">
        <v>1046</v>
      </c>
      <c r="K9348">
        <v>0</v>
      </c>
      <c r="L9348">
        <v>815.88</v>
      </c>
    </row>
    <row r="9349" spans="1:12" x14ac:dyDescent="0.25">
      <c r="A9349" t="str">
        <f t="shared" si="2041"/>
        <v>89301000</v>
      </c>
      <c r="B9349" t="str">
        <f t="shared" si="2031"/>
        <v>06539000</v>
      </c>
      <c r="C9349" t="str">
        <f t="shared" si="2036"/>
        <v>06539003</v>
      </c>
      <c r="D9349" t="str">
        <f t="shared" si="2037"/>
        <v>813</v>
      </c>
      <c r="E9349" t="str">
        <f t="shared" si="2038"/>
        <v>89301171</v>
      </c>
      <c r="F9349" t="str">
        <f t="shared" si="2039"/>
        <v>0361165706</v>
      </c>
      <c r="G9349" s="1">
        <v>44730</v>
      </c>
      <c r="H9349" t="str">
        <f t="shared" si="2040"/>
        <v>91197</v>
      </c>
      <c r="I9349">
        <v>1</v>
      </c>
      <c r="J9349">
        <v>1046</v>
      </c>
      <c r="K9349">
        <v>0</v>
      </c>
      <c r="L9349">
        <v>815.88</v>
      </c>
    </row>
    <row r="9350" spans="1:12" x14ac:dyDescent="0.25">
      <c r="A9350" t="str">
        <f t="shared" si="2041"/>
        <v>89301000</v>
      </c>
      <c r="B9350" t="str">
        <f t="shared" si="2031"/>
        <v>06539000</v>
      </c>
      <c r="C9350" t="str">
        <f t="shared" si="2036"/>
        <v>06539003</v>
      </c>
      <c r="D9350" t="str">
        <f t="shared" si="2037"/>
        <v>813</v>
      </c>
      <c r="E9350" t="str">
        <f t="shared" si="2038"/>
        <v>89301171</v>
      </c>
      <c r="F9350" t="str">
        <f t="shared" si="2039"/>
        <v>0361165706</v>
      </c>
      <c r="G9350" s="1">
        <v>44729</v>
      </c>
      <c r="H9350" t="str">
        <f>"91129"</f>
        <v>91129</v>
      </c>
      <c r="I9350">
        <v>1</v>
      </c>
      <c r="J9350">
        <v>174</v>
      </c>
      <c r="K9350">
        <v>0</v>
      </c>
      <c r="L9350">
        <v>135.72</v>
      </c>
    </row>
    <row r="9351" spans="1:12" x14ac:dyDescent="0.25">
      <c r="A9351" t="str">
        <f t="shared" si="2041"/>
        <v>89301000</v>
      </c>
      <c r="B9351" t="str">
        <f t="shared" si="2031"/>
        <v>06539000</v>
      </c>
      <c r="C9351" t="str">
        <f t="shared" si="2036"/>
        <v>06539003</v>
      </c>
      <c r="D9351" t="str">
        <f t="shared" si="2037"/>
        <v>813</v>
      </c>
      <c r="E9351" t="str">
        <f t="shared" si="2038"/>
        <v>89301171</v>
      </c>
      <c r="F9351" t="str">
        <f t="shared" si="2039"/>
        <v>0361165706</v>
      </c>
      <c r="G9351" s="1">
        <v>44729</v>
      </c>
      <c r="H9351" t="str">
        <f>"91131"</f>
        <v>91131</v>
      </c>
      <c r="I9351">
        <v>1</v>
      </c>
      <c r="J9351">
        <v>171</v>
      </c>
      <c r="K9351">
        <v>0</v>
      </c>
      <c r="L9351">
        <v>133.38</v>
      </c>
    </row>
    <row r="9352" spans="1:12" x14ac:dyDescent="0.25">
      <c r="A9352" t="str">
        <f t="shared" si="2041"/>
        <v>89301000</v>
      </c>
      <c r="B9352" t="str">
        <f t="shared" si="2031"/>
        <v>06539000</v>
      </c>
      <c r="C9352" t="str">
        <f t="shared" si="2036"/>
        <v>06539003</v>
      </c>
      <c r="D9352" t="str">
        <f t="shared" si="2037"/>
        <v>813</v>
      </c>
      <c r="E9352" t="str">
        <f t="shared" si="2038"/>
        <v>89301171</v>
      </c>
      <c r="F9352" t="str">
        <f t="shared" si="2039"/>
        <v>0361165706</v>
      </c>
      <c r="G9352" s="1">
        <v>44729</v>
      </c>
      <c r="H9352" t="str">
        <f>"91133"</f>
        <v>91133</v>
      </c>
      <c r="I9352">
        <v>1</v>
      </c>
      <c r="J9352">
        <v>176</v>
      </c>
      <c r="K9352">
        <v>0</v>
      </c>
      <c r="L9352">
        <v>137.28</v>
      </c>
    </row>
    <row r="9353" spans="1:12" x14ac:dyDescent="0.25">
      <c r="A9353" t="str">
        <f t="shared" si="2041"/>
        <v>89301000</v>
      </c>
      <c r="B9353" t="str">
        <f t="shared" si="2031"/>
        <v>06539000</v>
      </c>
      <c r="C9353" t="str">
        <f t="shared" si="2036"/>
        <v>06539003</v>
      </c>
      <c r="D9353" t="str">
        <f t="shared" si="2037"/>
        <v>813</v>
      </c>
      <c r="E9353" t="str">
        <f t="shared" si="2038"/>
        <v>89301171</v>
      </c>
      <c r="F9353" t="str">
        <f t="shared" si="2039"/>
        <v>0361165706</v>
      </c>
      <c r="G9353" s="1">
        <v>44729</v>
      </c>
      <c r="H9353" t="str">
        <f>"91171"</f>
        <v>91171</v>
      </c>
      <c r="I9353">
        <v>1</v>
      </c>
      <c r="J9353">
        <v>360</v>
      </c>
      <c r="K9353">
        <v>0</v>
      </c>
      <c r="L9353">
        <v>280.8</v>
      </c>
    </row>
    <row r="9354" spans="1:12" x14ac:dyDescent="0.25">
      <c r="A9354" t="str">
        <f t="shared" si="2041"/>
        <v>89301000</v>
      </c>
      <c r="B9354" t="str">
        <f t="shared" si="2031"/>
        <v>06539000</v>
      </c>
      <c r="C9354" t="str">
        <f t="shared" si="2036"/>
        <v>06539003</v>
      </c>
      <c r="D9354" t="str">
        <f t="shared" si="2037"/>
        <v>813</v>
      </c>
      <c r="E9354" t="str">
        <f t="shared" si="2038"/>
        <v>89301171</v>
      </c>
      <c r="F9354" t="str">
        <f t="shared" si="2039"/>
        <v>0361165706</v>
      </c>
      <c r="G9354" s="1">
        <v>44729</v>
      </c>
      <c r="H9354" t="str">
        <f>"91173"</f>
        <v>91173</v>
      </c>
      <c r="I9354">
        <v>1</v>
      </c>
      <c r="J9354">
        <v>335</v>
      </c>
      <c r="K9354">
        <v>0</v>
      </c>
      <c r="L9354">
        <v>261.3</v>
      </c>
    </row>
    <row r="9355" spans="1:12" x14ac:dyDescent="0.25">
      <c r="A9355" t="str">
        <f t="shared" si="2041"/>
        <v>89301000</v>
      </c>
      <c r="B9355" t="str">
        <f t="shared" si="2031"/>
        <v>06539000</v>
      </c>
      <c r="C9355" t="str">
        <f t="shared" si="2036"/>
        <v>06539003</v>
      </c>
      <c r="D9355" t="str">
        <f t="shared" si="2037"/>
        <v>813</v>
      </c>
      <c r="E9355" t="str">
        <f t="shared" si="2038"/>
        <v>89301171</v>
      </c>
      <c r="F9355" t="str">
        <f t="shared" si="2039"/>
        <v>0361165706</v>
      </c>
      <c r="G9355" s="1">
        <v>44729</v>
      </c>
      <c r="H9355" t="str">
        <f>"91175"</f>
        <v>91175</v>
      </c>
      <c r="I9355">
        <v>1</v>
      </c>
      <c r="J9355">
        <v>360</v>
      </c>
      <c r="K9355">
        <v>0</v>
      </c>
      <c r="L9355">
        <v>280.8</v>
      </c>
    </row>
    <row r="9356" spans="1:12" x14ac:dyDescent="0.25">
      <c r="A9356" t="str">
        <f t="shared" si="2041"/>
        <v>89301000</v>
      </c>
      <c r="B9356" t="str">
        <f t="shared" si="2031"/>
        <v>06539000</v>
      </c>
      <c r="C9356" t="str">
        <f t="shared" si="2036"/>
        <v>06539003</v>
      </c>
      <c r="D9356" t="str">
        <f t="shared" si="2037"/>
        <v>813</v>
      </c>
      <c r="E9356" t="str">
        <f t="shared" si="2038"/>
        <v>89301171</v>
      </c>
      <c r="F9356" t="str">
        <f t="shared" si="2039"/>
        <v>0361165706</v>
      </c>
      <c r="G9356" s="1">
        <v>44730</v>
      </c>
      <c r="H9356" t="str">
        <f>"91167"</f>
        <v>91167</v>
      </c>
      <c r="I9356">
        <v>1</v>
      </c>
      <c r="J9356">
        <v>425</v>
      </c>
      <c r="K9356">
        <v>0</v>
      </c>
      <c r="L9356">
        <v>331.5</v>
      </c>
    </row>
    <row r="9357" spans="1:12" x14ac:dyDescent="0.25">
      <c r="A9357" t="str">
        <f t="shared" si="2041"/>
        <v>89301000</v>
      </c>
      <c r="B9357" t="str">
        <f t="shared" si="2031"/>
        <v>06539000</v>
      </c>
      <c r="C9357" t="str">
        <f t="shared" si="2036"/>
        <v>06539003</v>
      </c>
      <c r="D9357" t="str">
        <f t="shared" si="2037"/>
        <v>813</v>
      </c>
      <c r="E9357" t="str">
        <f t="shared" si="2038"/>
        <v>89301171</v>
      </c>
      <c r="F9357" t="str">
        <f t="shared" si="2039"/>
        <v>0361165706</v>
      </c>
      <c r="G9357" s="1">
        <v>44730</v>
      </c>
      <c r="H9357" t="str">
        <f>"91169"</f>
        <v>91169</v>
      </c>
      <c r="I9357">
        <v>1</v>
      </c>
      <c r="J9357">
        <v>425</v>
      </c>
      <c r="K9357">
        <v>0</v>
      </c>
      <c r="L9357">
        <v>331.5</v>
      </c>
    </row>
    <row r="9358" spans="1:12" x14ac:dyDescent="0.25">
      <c r="A9358" t="str">
        <f t="shared" si="2041"/>
        <v>89301000</v>
      </c>
      <c r="B9358" t="str">
        <f t="shared" si="2031"/>
        <v>06539000</v>
      </c>
      <c r="C9358" t="str">
        <f t="shared" si="2036"/>
        <v>06539003</v>
      </c>
      <c r="D9358" t="str">
        <f t="shared" si="2037"/>
        <v>813</v>
      </c>
      <c r="E9358" t="str">
        <f t="shared" si="2038"/>
        <v>89301171</v>
      </c>
      <c r="F9358" t="str">
        <f t="shared" si="2039"/>
        <v>0361165706</v>
      </c>
      <c r="G9358" s="1">
        <v>44729</v>
      </c>
      <c r="H9358" t="str">
        <f>"91167"</f>
        <v>91167</v>
      </c>
      <c r="I9358">
        <v>1</v>
      </c>
      <c r="J9358">
        <v>425</v>
      </c>
      <c r="K9358">
        <v>0</v>
      </c>
      <c r="L9358">
        <v>331.5</v>
      </c>
    </row>
    <row r="9359" spans="1:12" x14ac:dyDescent="0.25">
      <c r="A9359" t="str">
        <f t="shared" si="2041"/>
        <v>89301000</v>
      </c>
      <c r="B9359" t="str">
        <f t="shared" si="2031"/>
        <v>06539000</v>
      </c>
      <c r="C9359" t="str">
        <f t="shared" si="2036"/>
        <v>06539003</v>
      </c>
      <c r="D9359" t="str">
        <f t="shared" si="2037"/>
        <v>813</v>
      </c>
      <c r="E9359" t="str">
        <f t="shared" si="2038"/>
        <v>89301171</v>
      </c>
      <c r="F9359" t="str">
        <f t="shared" si="2039"/>
        <v>0361165706</v>
      </c>
      <c r="G9359" s="1">
        <v>44729</v>
      </c>
      <c r="H9359" t="str">
        <f>"91169"</f>
        <v>91169</v>
      </c>
      <c r="I9359">
        <v>1</v>
      </c>
      <c r="J9359">
        <v>425</v>
      </c>
      <c r="K9359">
        <v>0</v>
      </c>
      <c r="L9359">
        <v>331.5</v>
      </c>
    </row>
    <row r="9360" spans="1:12" x14ac:dyDescent="0.25">
      <c r="A9360" t="str">
        <f t="shared" si="2041"/>
        <v>89301000</v>
      </c>
      <c r="B9360" t="str">
        <f>"44564000"</f>
        <v>44564000</v>
      </c>
      <c r="C9360" t="str">
        <f>"44564006"</f>
        <v>44564006</v>
      </c>
      <c r="D9360" t="str">
        <f>"816"</f>
        <v>816</v>
      </c>
      <c r="E9360" t="str">
        <f>"89301212"</f>
        <v>89301212</v>
      </c>
      <c r="F9360" t="str">
        <f>"460321413"</f>
        <v>460321413</v>
      </c>
      <c r="G9360" s="1">
        <v>44564</v>
      </c>
      <c r="H9360" t="str">
        <f>"94223"</f>
        <v>94223</v>
      </c>
      <c r="I9360">
        <v>9</v>
      </c>
      <c r="J9360">
        <v>22077</v>
      </c>
      <c r="K9360">
        <v>0</v>
      </c>
      <c r="L9360">
        <v>18765.45</v>
      </c>
    </row>
    <row r="9361" spans="1:12" x14ac:dyDescent="0.25">
      <c r="A9361" t="str">
        <f t="shared" si="2041"/>
        <v>89301000</v>
      </c>
      <c r="B9361" t="str">
        <f>"44564000"</f>
        <v>44564000</v>
      </c>
      <c r="C9361" t="str">
        <f>"44564006"</f>
        <v>44564006</v>
      </c>
      <c r="D9361" t="str">
        <f>"816"</f>
        <v>816</v>
      </c>
      <c r="E9361" t="str">
        <f>"89301212"</f>
        <v>89301212</v>
      </c>
      <c r="F9361" t="str">
        <f>"460321413"</f>
        <v>460321413</v>
      </c>
      <c r="G9361" s="1">
        <v>44564</v>
      </c>
      <c r="H9361" t="str">
        <f>"94223"</f>
        <v>94223</v>
      </c>
      <c r="I9361">
        <v>6</v>
      </c>
      <c r="J9361">
        <v>14718</v>
      </c>
      <c r="K9361">
        <v>0</v>
      </c>
      <c r="L9361">
        <v>12510.3</v>
      </c>
    </row>
    <row r="9362" spans="1:12" x14ac:dyDescent="0.25">
      <c r="A9362" t="str">
        <f t="shared" si="2041"/>
        <v>89301000</v>
      </c>
      <c r="B9362" t="str">
        <f>"86102000"</f>
        <v>86102000</v>
      </c>
      <c r="C9362" t="str">
        <f>"86102476"</f>
        <v>86102476</v>
      </c>
      <c r="D9362" t="str">
        <f>"801"</f>
        <v>801</v>
      </c>
      <c r="E9362" t="str">
        <f>"89301082"</f>
        <v>89301082</v>
      </c>
      <c r="F9362" t="str">
        <f>"8252224948"</f>
        <v>8252224948</v>
      </c>
      <c r="G9362" s="1">
        <v>44809</v>
      </c>
      <c r="H9362" t="str">
        <f>"09119"</f>
        <v>09119</v>
      </c>
      <c r="I9362">
        <v>1</v>
      </c>
      <c r="J9362">
        <v>42</v>
      </c>
      <c r="K9362">
        <v>0</v>
      </c>
      <c r="L9362">
        <v>32.76</v>
      </c>
    </row>
    <row r="9363" spans="1:12" x14ac:dyDescent="0.25">
      <c r="A9363" t="str">
        <f t="shared" si="2041"/>
        <v>89301000</v>
      </c>
      <c r="B9363" t="str">
        <f>"86102000"</f>
        <v>86102000</v>
      </c>
      <c r="C9363" t="str">
        <f>"86102476"</f>
        <v>86102476</v>
      </c>
      <c r="D9363" t="str">
        <f>"801"</f>
        <v>801</v>
      </c>
      <c r="E9363" t="str">
        <f>"89301082"</f>
        <v>89301082</v>
      </c>
      <c r="F9363" t="str">
        <f>"8252224948"</f>
        <v>8252224948</v>
      </c>
      <c r="G9363" s="1">
        <v>44809</v>
      </c>
      <c r="H9363" t="str">
        <f>"93159"</f>
        <v>93159</v>
      </c>
      <c r="I9363">
        <v>1</v>
      </c>
      <c r="J9363">
        <v>195</v>
      </c>
      <c r="K9363">
        <v>0</v>
      </c>
      <c r="L9363">
        <v>152.1</v>
      </c>
    </row>
    <row r="9364" spans="1:12" x14ac:dyDescent="0.25">
      <c r="A9364" t="str">
        <f t="shared" si="2041"/>
        <v>89301000</v>
      </c>
      <c r="B9364" t="str">
        <f>"86102000"</f>
        <v>86102000</v>
      </c>
      <c r="C9364" t="str">
        <f>"86102476"</f>
        <v>86102476</v>
      </c>
      <c r="D9364" t="str">
        <f>"801"</f>
        <v>801</v>
      </c>
      <c r="E9364" t="str">
        <f>"89301082"</f>
        <v>89301082</v>
      </c>
      <c r="F9364" t="str">
        <f>"8252224948"</f>
        <v>8252224948</v>
      </c>
      <c r="G9364" s="1">
        <v>44809</v>
      </c>
      <c r="H9364" t="str">
        <f>"97111"</f>
        <v>97111</v>
      </c>
      <c r="I9364">
        <v>1</v>
      </c>
      <c r="J9364">
        <v>18</v>
      </c>
      <c r="K9364">
        <v>0</v>
      </c>
      <c r="L9364">
        <v>14.04</v>
      </c>
    </row>
    <row r="9365" spans="1:12" x14ac:dyDescent="0.25">
      <c r="A9365" t="str">
        <f t="shared" si="2041"/>
        <v>89301000</v>
      </c>
      <c r="B9365" t="str">
        <f t="shared" ref="B9365:B9373" si="2042">"91009000"</f>
        <v>91009000</v>
      </c>
      <c r="C9365" t="str">
        <f>"91009132"</f>
        <v>91009132</v>
      </c>
      <c r="D9365" t="str">
        <f>"812"</f>
        <v>812</v>
      </c>
      <c r="E9365" t="str">
        <f>"89301212"</f>
        <v>89301212</v>
      </c>
      <c r="F9365" t="str">
        <f>"8556125776"</f>
        <v>8556125776</v>
      </c>
      <c r="G9365" s="1">
        <v>44803</v>
      </c>
      <c r="H9365" t="str">
        <f>"99111"</f>
        <v>99111</v>
      </c>
      <c r="I9365">
        <v>1</v>
      </c>
      <c r="J9365">
        <v>206</v>
      </c>
      <c r="K9365">
        <v>0</v>
      </c>
      <c r="L9365">
        <v>160.68</v>
      </c>
    </row>
    <row r="9366" spans="1:12" x14ac:dyDescent="0.25">
      <c r="A9366" t="str">
        <f t="shared" si="2041"/>
        <v>89301000</v>
      </c>
      <c r="B9366" t="str">
        <f t="shared" si="2042"/>
        <v>91009000</v>
      </c>
      <c r="C9366" t="str">
        <f>"91009132"</f>
        <v>91009132</v>
      </c>
      <c r="D9366" t="str">
        <f>"812"</f>
        <v>812</v>
      </c>
      <c r="E9366" t="str">
        <f>"89301212"</f>
        <v>89301212</v>
      </c>
      <c r="F9366" t="str">
        <f>"8556125776"</f>
        <v>8556125776</v>
      </c>
      <c r="G9366" s="1">
        <v>44831</v>
      </c>
      <c r="H9366" t="str">
        <f>"92157"</f>
        <v>92157</v>
      </c>
      <c r="I9366">
        <v>1</v>
      </c>
      <c r="J9366">
        <v>1754</v>
      </c>
      <c r="K9366">
        <v>0</v>
      </c>
      <c r="L9366">
        <v>1368.12</v>
      </c>
    </row>
    <row r="9367" spans="1:12" x14ac:dyDescent="0.25">
      <c r="A9367" t="str">
        <f t="shared" si="2041"/>
        <v>89301000</v>
      </c>
      <c r="B9367" t="str">
        <f t="shared" si="2042"/>
        <v>91009000</v>
      </c>
      <c r="C9367" t="str">
        <f t="shared" ref="C9367:C9372" si="2043">"91009522"</f>
        <v>91009522</v>
      </c>
      <c r="D9367" t="str">
        <f t="shared" ref="D9367:D9372" si="2044">"816"</f>
        <v>816</v>
      </c>
      <c r="E9367" t="str">
        <f t="shared" ref="E9367:E9372" si="2045">"89301282"</f>
        <v>89301282</v>
      </c>
      <c r="F9367" t="str">
        <f>"7755205766"</f>
        <v>7755205766</v>
      </c>
      <c r="G9367" s="1">
        <v>44829</v>
      </c>
      <c r="H9367" t="str">
        <f>"94948"</f>
        <v>94948</v>
      </c>
      <c r="I9367">
        <v>2</v>
      </c>
      <c r="J9367">
        <v>0</v>
      </c>
      <c r="K9367">
        <v>0</v>
      </c>
      <c r="L9367">
        <v>0</v>
      </c>
    </row>
    <row r="9368" spans="1:12" x14ac:dyDescent="0.25">
      <c r="A9368" t="str">
        <f t="shared" si="2041"/>
        <v>89301000</v>
      </c>
      <c r="B9368" t="str">
        <f t="shared" si="2042"/>
        <v>91009000</v>
      </c>
      <c r="C9368" t="str">
        <f t="shared" si="2043"/>
        <v>91009522</v>
      </c>
      <c r="D9368" t="str">
        <f t="shared" si="2044"/>
        <v>816</v>
      </c>
      <c r="E9368" t="str">
        <f t="shared" si="2045"/>
        <v>89301282</v>
      </c>
      <c r="F9368" t="str">
        <f>"7755205766"</f>
        <v>7755205766</v>
      </c>
      <c r="G9368" s="1">
        <v>44829</v>
      </c>
      <c r="H9368" t="str">
        <f>"94982"</f>
        <v>94982</v>
      </c>
      <c r="I9368">
        <v>1</v>
      </c>
      <c r="J9368">
        <v>0</v>
      </c>
      <c r="K9368">
        <v>27500</v>
      </c>
      <c r="L9368">
        <v>27500</v>
      </c>
    </row>
    <row r="9369" spans="1:12" x14ac:dyDescent="0.25">
      <c r="A9369" t="str">
        <f t="shared" si="2041"/>
        <v>89301000</v>
      </c>
      <c r="B9369" t="str">
        <f t="shared" si="2042"/>
        <v>91009000</v>
      </c>
      <c r="C9369" t="str">
        <f t="shared" si="2043"/>
        <v>91009522</v>
      </c>
      <c r="D9369" t="str">
        <f t="shared" si="2044"/>
        <v>816</v>
      </c>
      <c r="E9369" t="str">
        <f t="shared" si="2045"/>
        <v>89301282</v>
      </c>
      <c r="F9369" t="str">
        <f>"7755205766"</f>
        <v>7755205766</v>
      </c>
      <c r="G9369" s="1">
        <v>44829</v>
      </c>
      <c r="H9369" t="str">
        <f>"94996"</f>
        <v>94996</v>
      </c>
      <c r="I9369">
        <v>1</v>
      </c>
      <c r="J9369">
        <v>0</v>
      </c>
      <c r="K9369">
        <v>0</v>
      </c>
      <c r="L9369">
        <v>0</v>
      </c>
    </row>
    <row r="9370" spans="1:12" x14ac:dyDescent="0.25">
      <c r="A9370" t="str">
        <f t="shared" si="2041"/>
        <v>89301000</v>
      </c>
      <c r="B9370" t="str">
        <f t="shared" si="2042"/>
        <v>91009000</v>
      </c>
      <c r="C9370" t="str">
        <f t="shared" si="2043"/>
        <v>91009522</v>
      </c>
      <c r="D9370" t="str">
        <f t="shared" si="2044"/>
        <v>816</v>
      </c>
      <c r="E9370" t="str">
        <f t="shared" si="2045"/>
        <v>89301282</v>
      </c>
      <c r="F9370" t="str">
        <f>"2252010497"</f>
        <v>2252010497</v>
      </c>
      <c r="G9370" s="1">
        <v>44812</v>
      </c>
      <c r="H9370" t="str">
        <f>"94948"</f>
        <v>94948</v>
      </c>
      <c r="I9370">
        <v>2</v>
      </c>
      <c r="J9370">
        <v>0</v>
      </c>
      <c r="K9370">
        <v>0</v>
      </c>
      <c r="L9370">
        <v>0</v>
      </c>
    </row>
    <row r="9371" spans="1:12" x14ac:dyDescent="0.25">
      <c r="A9371" t="str">
        <f t="shared" si="2041"/>
        <v>89301000</v>
      </c>
      <c r="B9371" t="str">
        <f t="shared" si="2042"/>
        <v>91009000</v>
      </c>
      <c r="C9371" t="str">
        <f t="shared" si="2043"/>
        <v>91009522</v>
      </c>
      <c r="D9371" t="str">
        <f t="shared" si="2044"/>
        <v>816</v>
      </c>
      <c r="E9371" t="str">
        <f t="shared" si="2045"/>
        <v>89301282</v>
      </c>
      <c r="F9371" t="str">
        <f>"2252010497"</f>
        <v>2252010497</v>
      </c>
      <c r="G9371" s="1">
        <v>44812</v>
      </c>
      <c r="H9371" t="str">
        <f>"94982"</f>
        <v>94982</v>
      </c>
      <c r="I9371">
        <v>1</v>
      </c>
      <c r="J9371">
        <v>0</v>
      </c>
      <c r="K9371">
        <v>27500</v>
      </c>
      <c r="L9371">
        <v>27500</v>
      </c>
    </row>
    <row r="9372" spans="1:12" x14ac:dyDescent="0.25">
      <c r="A9372" t="str">
        <f t="shared" si="2041"/>
        <v>89301000</v>
      </c>
      <c r="B9372" t="str">
        <f t="shared" si="2042"/>
        <v>91009000</v>
      </c>
      <c r="C9372" t="str">
        <f t="shared" si="2043"/>
        <v>91009522</v>
      </c>
      <c r="D9372" t="str">
        <f t="shared" si="2044"/>
        <v>816</v>
      </c>
      <c r="E9372" t="str">
        <f t="shared" si="2045"/>
        <v>89301282</v>
      </c>
      <c r="F9372" t="str">
        <f>"2252010497"</f>
        <v>2252010497</v>
      </c>
      <c r="G9372" s="1">
        <v>44812</v>
      </c>
      <c r="H9372" t="str">
        <f>"94996"</f>
        <v>94996</v>
      </c>
      <c r="I9372">
        <v>1</v>
      </c>
      <c r="J9372">
        <v>0</v>
      </c>
      <c r="K9372">
        <v>0</v>
      </c>
      <c r="L9372">
        <v>0</v>
      </c>
    </row>
    <row r="9373" spans="1:12" x14ac:dyDescent="0.25">
      <c r="A9373" t="str">
        <f t="shared" si="2041"/>
        <v>89301000</v>
      </c>
      <c r="B9373" t="str">
        <f t="shared" si="2042"/>
        <v>91009000</v>
      </c>
      <c r="C9373" t="str">
        <f>"91009581"</f>
        <v>91009581</v>
      </c>
      <c r="D9373" t="str">
        <f>"801"</f>
        <v>801</v>
      </c>
      <c r="E9373" t="str">
        <f>"89301212"</f>
        <v>89301212</v>
      </c>
      <c r="F9373" t="str">
        <f>"8556125776"</f>
        <v>8556125776</v>
      </c>
      <c r="G9373" s="1">
        <v>44831</v>
      </c>
      <c r="H9373" t="str">
        <f>"97111"</f>
        <v>97111</v>
      </c>
      <c r="I9373">
        <v>1</v>
      </c>
      <c r="J9373">
        <v>18</v>
      </c>
      <c r="K9373">
        <v>0</v>
      </c>
      <c r="L9373">
        <v>14.04</v>
      </c>
    </row>
    <row r="9374" spans="1:12" x14ac:dyDescent="0.25">
      <c r="A9374" t="str">
        <f t="shared" si="2041"/>
        <v>89301000</v>
      </c>
      <c r="B9374" t="str">
        <f t="shared" ref="B9374:B9383" si="2046">"89903000"</f>
        <v>89903000</v>
      </c>
      <c r="C9374" t="str">
        <f>"89903504"</f>
        <v>89903504</v>
      </c>
      <c r="D9374" t="str">
        <f>"810"</f>
        <v>810</v>
      </c>
      <c r="E9374" t="str">
        <f>"89301045"</f>
        <v>89301045</v>
      </c>
      <c r="F9374" t="str">
        <f>"7160065352"</f>
        <v>7160065352</v>
      </c>
      <c r="G9374" s="1">
        <v>44806</v>
      </c>
      <c r="H9374" t="str">
        <f>"89713"</f>
        <v>89713</v>
      </c>
      <c r="I9374">
        <v>1</v>
      </c>
      <c r="J9374">
        <v>5362</v>
      </c>
      <c r="K9374">
        <v>0</v>
      </c>
      <c r="L9374">
        <v>3217.2</v>
      </c>
    </row>
    <row r="9375" spans="1:12" x14ac:dyDescent="0.25">
      <c r="A9375" t="str">
        <f t="shared" si="2041"/>
        <v>89301000</v>
      </c>
      <c r="B9375" t="str">
        <f t="shared" si="2046"/>
        <v>89903000</v>
      </c>
      <c r="C9375" t="str">
        <f>"89903504"</f>
        <v>89903504</v>
      </c>
      <c r="D9375" t="str">
        <f>"810"</f>
        <v>810</v>
      </c>
      <c r="E9375" t="str">
        <f t="shared" ref="E9375:E9381" si="2047">"89301062"</f>
        <v>89301062</v>
      </c>
      <c r="F9375" t="str">
        <f>"490409028"</f>
        <v>490409028</v>
      </c>
      <c r="G9375" s="1">
        <v>44810</v>
      </c>
      <c r="H9375" t="str">
        <f>"89713"</f>
        <v>89713</v>
      </c>
      <c r="I9375">
        <v>2</v>
      </c>
      <c r="J9375">
        <v>10724</v>
      </c>
      <c r="K9375">
        <v>0</v>
      </c>
      <c r="L9375">
        <v>6434.4</v>
      </c>
    </row>
    <row r="9376" spans="1:12" x14ac:dyDescent="0.25">
      <c r="A9376" t="str">
        <f t="shared" si="2041"/>
        <v>89301000</v>
      </c>
      <c r="B9376" t="str">
        <f t="shared" si="2046"/>
        <v>89903000</v>
      </c>
      <c r="C9376" t="str">
        <f>"89903504"</f>
        <v>89903504</v>
      </c>
      <c r="D9376" t="str">
        <f>"810"</f>
        <v>810</v>
      </c>
      <c r="E9376" t="str">
        <f t="shared" si="2047"/>
        <v>89301062</v>
      </c>
      <c r="F9376" t="str">
        <f>"490409028"</f>
        <v>490409028</v>
      </c>
      <c r="G9376" s="1">
        <v>44810</v>
      </c>
      <c r="H9376" t="str">
        <f>"89725"</f>
        <v>89725</v>
      </c>
      <c r="I9376">
        <v>1</v>
      </c>
      <c r="J9376">
        <v>2839</v>
      </c>
      <c r="K9376">
        <v>0</v>
      </c>
      <c r="L9376">
        <v>1703.4</v>
      </c>
    </row>
    <row r="9377" spans="1:12" x14ac:dyDescent="0.25">
      <c r="A9377" t="str">
        <f t="shared" si="2041"/>
        <v>89301000</v>
      </c>
      <c r="B9377" t="str">
        <f t="shared" si="2046"/>
        <v>89903000</v>
      </c>
      <c r="C9377" t="str">
        <f>"89903504"</f>
        <v>89903504</v>
      </c>
      <c r="D9377" t="str">
        <f>"810"</f>
        <v>810</v>
      </c>
      <c r="E9377" t="str">
        <f t="shared" si="2047"/>
        <v>89301062</v>
      </c>
      <c r="F9377" t="str">
        <f>"490409028"</f>
        <v>490409028</v>
      </c>
      <c r="G9377" s="1">
        <v>44810</v>
      </c>
      <c r="H9377" t="str">
        <f>"0054253"</f>
        <v>0054253</v>
      </c>
      <c r="I9377">
        <v>2</v>
      </c>
      <c r="K9377">
        <v>1686.92</v>
      </c>
      <c r="L9377">
        <v>1686.92</v>
      </c>
    </row>
    <row r="9378" spans="1:12" x14ac:dyDescent="0.25">
      <c r="A9378" t="str">
        <f t="shared" si="2041"/>
        <v>89301000</v>
      </c>
      <c r="B9378" t="str">
        <f t="shared" si="2046"/>
        <v>89903000</v>
      </c>
      <c r="C9378" t="str">
        <f t="shared" ref="C9378:C9383" si="2048">"89903503"</f>
        <v>89903503</v>
      </c>
      <c r="D9378" t="str">
        <f t="shared" ref="D9378:D9383" si="2049">"809"</f>
        <v>809</v>
      </c>
      <c r="E9378" t="str">
        <f t="shared" si="2047"/>
        <v>89301062</v>
      </c>
      <c r="F9378" t="str">
        <f>"521227010"</f>
        <v>521227010</v>
      </c>
      <c r="G9378" s="1">
        <v>44817</v>
      </c>
      <c r="H9378" t="str">
        <f>"09233"</f>
        <v>09233</v>
      </c>
      <c r="I9378">
        <v>1</v>
      </c>
      <c r="J9378">
        <v>99</v>
      </c>
      <c r="K9378">
        <v>0</v>
      </c>
      <c r="L9378">
        <v>138.6</v>
      </c>
    </row>
    <row r="9379" spans="1:12" x14ac:dyDescent="0.25">
      <c r="A9379" t="str">
        <f t="shared" si="2041"/>
        <v>89301000</v>
      </c>
      <c r="B9379" t="str">
        <f t="shared" si="2046"/>
        <v>89903000</v>
      </c>
      <c r="C9379" t="str">
        <f t="shared" si="2048"/>
        <v>89903503</v>
      </c>
      <c r="D9379" t="str">
        <f t="shared" si="2049"/>
        <v>809</v>
      </c>
      <c r="E9379" t="str">
        <f t="shared" si="2047"/>
        <v>89301062</v>
      </c>
      <c r="F9379" t="str">
        <f>"521227010"</f>
        <v>521227010</v>
      </c>
      <c r="G9379" s="1">
        <v>44817</v>
      </c>
      <c r="H9379" t="str">
        <f>"89311"</f>
        <v>89311</v>
      </c>
      <c r="I9379">
        <v>1</v>
      </c>
      <c r="J9379">
        <v>936</v>
      </c>
      <c r="K9379">
        <v>0</v>
      </c>
      <c r="L9379">
        <v>1310.4000000000001</v>
      </c>
    </row>
    <row r="9380" spans="1:12" x14ac:dyDescent="0.25">
      <c r="A9380" t="str">
        <f t="shared" si="2041"/>
        <v>89301000</v>
      </c>
      <c r="B9380" t="str">
        <f t="shared" si="2046"/>
        <v>89903000</v>
      </c>
      <c r="C9380" t="str">
        <f t="shared" si="2048"/>
        <v>89903503</v>
      </c>
      <c r="D9380" t="str">
        <f t="shared" si="2049"/>
        <v>809</v>
      </c>
      <c r="E9380" t="str">
        <f t="shared" si="2047"/>
        <v>89301062</v>
      </c>
      <c r="F9380" t="str">
        <f>"521227010"</f>
        <v>521227010</v>
      </c>
      <c r="G9380" s="1">
        <v>44817</v>
      </c>
      <c r="H9380" t="str">
        <f>"89615"</f>
        <v>89615</v>
      </c>
      <c r="I9380">
        <v>1</v>
      </c>
      <c r="J9380">
        <v>2170</v>
      </c>
      <c r="K9380">
        <v>0</v>
      </c>
      <c r="L9380">
        <v>1302</v>
      </c>
    </row>
    <row r="9381" spans="1:12" x14ac:dyDescent="0.25">
      <c r="A9381" t="str">
        <f t="shared" si="2041"/>
        <v>89301000</v>
      </c>
      <c r="B9381" t="str">
        <f t="shared" si="2046"/>
        <v>89903000</v>
      </c>
      <c r="C9381" t="str">
        <f t="shared" si="2048"/>
        <v>89903503</v>
      </c>
      <c r="D9381" t="str">
        <f t="shared" si="2049"/>
        <v>809</v>
      </c>
      <c r="E9381" t="str">
        <f t="shared" si="2047"/>
        <v>89301062</v>
      </c>
      <c r="F9381" t="str">
        <f>"521227010"</f>
        <v>521227010</v>
      </c>
      <c r="G9381" s="1">
        <v>44817</v>
      </c>
      <c r="H9381" t="str">
        <f>"0084090"</f>
        <v>0084090</v>
      </c>
      <c r="I9381">
        <v>0.2</v>
      </c>
      <c r="K9381">
        <v>17.03</v>
      </c>
      <c r="L9381">
        <v>17.03</v>
      </c>
    </row>
    <row r="9382" spans="1:12" x14ac:dyDescent="0.25">
      <c r="A9382" t="str">
        <f t="shared" si="2041"/>
        <v>89301000</v>
      </c>
      <c r="B9382" t="str">
        <f t="shared" si="2046"/>
        <v>89903000</v>
      </c>
      <c r="C9382" t="str">
        <f t="shared" si="2048"/>
        <v>89903503</v>
      </c>
      <c r="D9382" t="str">
        <f t="shared" si="2049"/>
        <v>809</v>
      </c>
      <c r="E9382" t="str">
        <f>"89301322"</f>
        <v>89301322</v>
      </c>
      <c r="F9382" t="str">
        <f>"500813219"</f>
        <v>500813219</v>
      </c>
      <c r="G9382" s="1">
        <v>44830</v>
      </c>
      <c r="H9382" t="str">
        <f>"89513"</f>
        <v>89513</v>
      </c>
      <c r="I9382">
        <v>1</v>
      </c>
      <c r="J9382">
        <v>371</v>
      </c>
      <c r="K9382">
        <v>0</v>
      </c>
      <c r="L9382">
        <v>519.4</v>
      </c>
    </row>
    <row r="9383" spans="1:12" x14ac:dyDescent="0.25">
      <c r="A9383" t="str">
        <f t="shared" si="2041"/>
        <v>89301000</v>
      </c>
      <c r="B9383" t="str">
        <f t="shared" si="2046"/>
        <v>89903000</v>
      </c>
      <c r="C9383" t="str">
        <f t="shared" si="2048"/>
        <v>89903503</v>
      </c>
      <c r="D9383" t="str">
        <f t="shared" si="2049"/>
        <v>809</v>
      </c>
      <c r="E9383" t="str">
        <f>"89301322"</f>
        <v>89301322</v>
      </c>
      <c r="F9383" t="str">
        <f>"500813219"</f>
        <v>500813219</v>
      </c>
      <c r="G9383" s="1">
        <v>44830</v>
      </c>
      <c r="H9383" t="str">
        <f>"89514"</f>
        <v>89514</v>
      </c>
      <c r="I9383">
        <v>1</v>
      </c>
      <c r="J9383">
        <v>371</v>
      </c>
      <c r="K9383">
        <v>0</v>
      </c>
      <c r="L9383">
        <v>519.4</v>
      </c>
    </row>
    <row r="9384" spans="1:12" x14ac:dyDescent="0.25">
      <c r="A9384" t="str">
        <f t="shared" si="2041"/>
        <v>89301000</v>
      </c>
      <c r="B9384" t="str">
        <f>"02001000"</f>
        <v>02001000</v>
      </c>
      <c r="C9384" t="str">
        <f>"02001171"</f>
        <v>02001171</v>
      </c>
      <c r="D9384" t="str">
        <f>"813"</f>
        <v>813</v>
      </c>
      <c r="E9384" t="str">
        <f>"89301031"</f>
        <v>89301031</v>
      </c>
      <c r="F9384" t="str">
        <f>"430912486"</f>
        <v>430912486</v>
      </c>
      <c r="G9384" s="1">
        <v>44834</v>
      </c>
      <c r="H9384" t="str">
        <f>"91197"</f>
        <v>91197</v>
      </c>
      <c r="I9384">
        <v>1</v>
      </c>
      <c r="J9384">
        <v>1046</v>
      </c>
      <c r="K9384">
        <v>0</v>
      </c>
      <c r="L9384">
        <v>815.88</v>
      </c>
    </row>
    <row r="9385" spans="1:12" x14ac:dyDescent="0.25">
      <c r="A9385" t="str">
        <f t="shared" si="2041"/>
        <v>89301000</v>
      </c>
      <c r="B9385" t="str">
        <f>"02001000"</f>
        <v>02001000</v>
      </c>
      <c r="C9385" t="str">
        <f>"02001171"</f>
        <v>02001171</v>
      </c>
      <c r="D9385" t="str">
        <f>"813"</f>
        <v>813</v>
      </c>
      <c r="E9385" t="str">
        <f>"89301031"</f>
        <v>89301031</v>
      </c>
      <c r="F9385" t="str">
        <f>"430912486"</f>
        <v>430912486</v>
      </c>
      <c r="G9385" s="1">
        <v>44834</v>
      </c>
      <c r="H9385" t="str">
        <f>"91399"</f>
        <v>91399</v>
      </c>
      <c r="I9385">
        <v>1</v>
      </c>
      <c r="J9385">
        <v>2318</v>
      </c>
      <c r="K9385">
        <v>0</v>
      </c>
      <c r="L9385">
        <v>1808.04</v>
      </c>
    </row>
    <row r="9386" spans="1:12" x14ac:dyDescent="0.25">
      <c r="A9386" t="str">
        <f t="shared" si="2041"/>
        <v>89301000</v>
      </c>
      <c r="B9386" t="str">
        <f>"02001000"</f>
        <v>02001000</v>
      </c>
      <c r="C9386" t="str">
        <f>"02001171"</f>
        <v>02001171</v>
      </c>
      <c r="D9386" t="str">
        <f>"813"</f>
        <v>813</v>
      </c>
      <c r="E9386" t="str">
        <f>"89301031"</f>
        <v>89301031</v>
      </c>
      <c r="F9386" t="str">
        <f>"430912486"</f>
        <v>430912486</v>
      </c>
      <c r="G9386" s="1">
        <v>44834</v>
      </c>
      <c r="H9386" t="str">
        <f>"97111"</f>
        <v>97111</v>
      </c>
      <c r="I9386">
        <v>1</v>
      </c>
      <c r="J9386">
        <v>18</v>
      </c>
      <c r="K9386">
        <v>0</v>
      </c>
      <c r="L9386">
        <v>14.04</v>
      </c>
    </row>
    <row r="9387" spans="1:12" x14ac:dyDescent="0.25">
      <c r="A9387" t="str">
        <f t="shared" si="2041"/>
        <v>89301000</v>
      </c>
      <c r="B9387" t="str">
        <f>"02001000"</f>
        <v>02001000</v>
      </c>
      <c r="C9387" t="str">
        <f>"02001171"</f>
        <v>02001171</v>
      </c>
      <c r="D9387" t="str">
        <f>"813"</f>
        <v>813</v>
      </c>
      <c r="E9387" t="str">
        <f>"89301031"</f>
        <v>89301031</v>
      </c>
      <c r="F9387" t="str">
        <f>"430912486"</f>
        <v>430912486</v>
      </c>
      <c r="G9387" s="1">
        <v>44834</v>
      </c>
      <c r="H9387" t="str">
        <f>"91411"</f>
        <v>91411</v>
      </c>
      <c r="I9387">
        <v>1</v>
      </c>
      <c r="J9387">
        <v>1600</v>
      </c>
      <c r="K9387">
        <v>0</v>
      </c>
      <c r="L9387">
        <v>1248</v>
      </c>
    </row>
    <row r="9388" spans="1:12" x14ac:dyDescent="0.25">
      <c r="A9388" t="str">
        <f t="shared" si="2041"/>
        <v>89301000</v>
      </c>
      <c r="B9388" t="str">
        <f t="shared" ref="B9388:B9419" si="2050">"89383000"</f>
        <v>89383000</v>
      </c>
      <c r="C9388" t="str">
        <f>"89383001"</f>
        <v>89383001</v>
      </c>
      <c r="D9388" t="str">
        <f>"806"</f>
        <v>806</v>
      </c>
      <c r="E9388" t="str">
        <f>"89301212"</f>
        <v>89301212</v>
      </c>
      <c r="F9388" t="str">
        <f>"465612184"</f>
        <v>465612184</v>
      </c>
      <c r="G9388" s="1">
        <v>44830</v>
      </c>
      <c r="H9388" t="str">
        <f>"89813"</f>
        <v>89813</v>
      </c>
      <c r="I9388">
        <v>1</v>
      </c>
      <c r="J9388">
        <v>130</v>
      </c>
      <c r="K9388">
        <v>0</v>
      </c>
      <c r="L9388">
        <v>154.69999999999999</v>
      </c>
    </row>
    <row r="9389" spans="1:12" x14ac:dyDescent="0.25">
      <c r="A9389" t="str">
        <f t="shared" si="2041"/>
        <v>89301000</v>
      </c>
      <c r="B9389" t="str">
        <f t="shared" si="2050"/>
        <v>89383000</v>
      </c>
      <c r="C9389" t="str">
        <f t="shared" ref="C9389:C9420" si="2051">"89383002"</f>
        <v>89383002</v>
      </c>
      <c r="D9389" t="str">
        <f t="shared" ref="D9389:D9420" si="2052">"809"</f>
        <v>809</v>
      </c>
      <c r="E9389" t="str">
        <f>"89301212"</f>
        <v>89301212</v>
      </c>
      <c r="F9389" t="str">
        <f>"6457251053"</f>
        <v>6457251053</v>
      </c>
      <c r="G9389" s="1">
        <v>44805</v>
      </c>
      <c r="H9389" t="str">
        <f>"89513"</f>
        <v>89513</v>
      </c>
      <c r="I9389">
        <v>1</v>
      </c>
      <c r="J9389">
        <v>371</v>
      </c>
      <c r="K9389">
        <v>0</v>
      </c>
      <c r="L9389">
        <v>519.4</v>
      </c>
    </row>
    <row r="9390" spans="1:12" x14ac:dyDescent="0.25">
      <c r="A9390" t="str">
        <f t="shared" si="2041"/>
        <v>89301000</v>
      </c>
      <c r="B9390" t="str">
        <f t="shared" si="2050"/>
        <v>89383000</v>
      </c>
      <c r="C9390" t="str">
        <f t="shared" si="2051"/>
        <v>89383002</v>
      </c>
      <c r="D9390" t="str">
        <f t="shared" si="2052"/>
        <v>809</v>
      </c>
      <c r="E9390" t="str">
        <f>"89301212"</f>
        <v>89301212</v>
      </c>
      <c r="F9390" t="str">
        <f>"6457251053"</f>
        <v>6457251053</v>
      </c>
      <c r="G9390" s="1">
        <v>44805</v>
      </c>
      <c r="H9390" t="str">
        <f>"89514"</f>
        <v>89514</v>
      </c>
      <c r="I9390">
        <v>1</v>
      </c>
      <c r="J9390">
        <v>371</v>
      </c>
      <c r="K9390">
        <v>0</v>
      </c>
      <c r="L9390">
        <v>519.4</v>
      </c>
    </row>
    <row r="9391" spans="1:12" x14ac:dyDescent="0.25">
      <c r="A9391" t="str">
        <f t="shared" si="2041"/>
        <v>89301000</v>
      </c>
      <c r="B9391" t="str">
        <f t="shared" si="2050"/>
        <v>89383000</v>
      </c>
      <c r="C9391" t="str">
        <f t="shared" si="2051"/>
        <v>89383002</v>
      </c>
      <c r="D9391" t="str">
        <f t="shared" si="2052"/>
        <v>809</v>
      </c>
      <c r="E9391" t="str">
        <f>"89301042"</f>
        <v>89301042</v>
      </c>
      <c r="F9391" t="str">
        <f>"7557205304"</f>
        <v>7557205304</v>
      </c>
      <c r="G9391" s="1">
        <v>44805</v>
      </c>
      <c r="H9391" t="str">
        <f>"89512"</f>
        <v>89512</v>
      </c>
      <c r="I9391">
        <v>1</v>
      </c>
      <c r="J9391">
        <v>277</v>
      </c>
      <c r="K9391">
        <v>0</v>
      </c>
      <c r="L9391">
        <v>387.8</v>
      </c>
    </row>
    <row r="9392" spans="1:12" x14ac:dyDescent="0.25">
      <c r="A9392" t="str">
        <f t="shared" si="2041"/>
        <v>89301000</v>
      </c>
      <c r="B9392" t="str">
        <f t="shared" si="2050"/>
        <v>89383000</v>
      </c>
      <c r="C9392" t="str">
        <f t="shared" si="2051"/>
        <v>89383002</v>
      </c>
      <c r="D9392" t="str">
        <f t="shared" si="2052"/>
        <v>809</v>
      </c>
      <c r="E9392" t="str">
        <f t="shared" ref="E9392:E9422" si="2053">"89301212"</f>
        <v>89301212</v>
      </c>
      <c r="F9392" t="str">
        <f>"6553240881"</f>
        <v>6553240881</v>
      </c>
      <c r="G9392" s="1">
        <v>44805</v>
      </c>
      <c r="H9392" t="str">
        <f>"89513"</f>
        <v>89513</v>
      </c>
      <c r="I9392">
        <v>1</v>
      </c>
      <c r="J9392">
        <v>371</v>
      </c>
      <c r="K9392">
        <v>0</v>
      </c>
      <c r="L9392">
        <v>519.4</v>
      </c>
    </row>
    <row r="9393" spans="1:12" x14ac:dyDescent="0.25">
      <c r="A9393" t="str">
        <f t="shared" si="2041"/>
        <v>89301000</v>
      </c>
      <c r="B9393" t="str">
        <f t="shared" si="2050"/>
        <v>89383000</v>
      </c>
      <c r="C9393" t="str">
        <f t="shared" si="2051"/>
        <v>89383002</v>
      </c>
      <c r="D9393" t="str">
        <f t="shared" si="2052"/>
        <v>809</v>
      </c>
      <c r="E9393" t="str">
        <f t="shared" si="2053"/>
        <v>89301212</v>
      </c>
      <c r="F9393" t="str">
        <f>"6553240881"</f>
        <v>6553240881</v>
      </c>
      <c r="G9393" s="1">
        <v>44805</v>
      </c>
      <c r="H9393" t="str">
        <f>"89514"</f>
        <v>89514</v>
      </c>
      <c r="I9393">
        <v>1</v>
      </c>
      <c r="J9393">
        <v>371</v>
      </c>
      <c r="K9393">
        <v>0</v>
      </c>
      <c r="L9393">
        <v>519.4</v>
      </c>
    </row>
    <row r="9394" spans="1:12" x14ac:dyDescent="0.25">
      <c r="A9394" t="str">
        <f t="shared" si="2041"/>
        <v>89301000</v>
      </c>
      <c r="B9394" t="str">
        <f t="shared" si="2050"/>
        <v>89383000</v>
      </c>
      <c r="C9394" t="str">
        <f t="shared" si="2051"/>
        <v>89383002</v>
      </c>
      <c r="D9394" t="str">
        <f t="shared" si="2052"/>
        <v>809</v>
      </c>
      <c r="E9394" t="str">
        <f t="shared" si="2053"/>
        <v>89301212</v>
      </c>
      <c r="F9394" t="str">
        <f>"7059105328"</f>
        <v>7059105328</v>
      </c>
      <c r="G9394" s="1">
        <v>44806</v>
      </c>
      <c r="H9394" t="str">
        <f>"89180"</f>
        <v>89180</v>
      </c>
      <c r="I9394">
        <v>2</v>
      </c>
      <c r="J9394">
        <v>752</v>
      </c>
      <c r="K9394">
        <v>0</v>
      </c>
      <c r="L9394">
        <v>1052.8</v>
      </c>
    </row>
    <row r="9395" spans="1:12" x14ac:dyDescent="0.25">
      <c r="A9395" t="str">
        <f t="shared" si="2041"/>
        <v>89301000</v>
      </c>
      <c r="B9395" t="str">
        <f t="shared" si="2050"/>
        <v>89383000</v>
      </c>
      <c r="C9395" t="str">
        <f t="shared" si="2051"/>
        <v>89383002</v>
      </c>
      <c r="D9395" t="str">
        <f t="shared" si="2052"/>
        <v>809</v>
      </c>
      <c r="E9395" t="str">
        <f t="shared" si="2053"/>
        <v>89301212</v>
      </c>
      <c r="F9395" t="str">
        <f>"7059105328"</f>
        <v>7059105328</v>
      </c>
      <c r="G9395" s="1">
        <v>44806</v>
      </c>
      <c r="H9395" t="str">
        <f>"89512"</f>
        <v>89512</v>
      </c>
      <c r="I9395">
        <v>1</v>
      </c>
      <c r="J9395">
        <v>277</v>
      </c>
      <c r="K9395">
        <v>0</v>
      </c>
      <c r="L9395">
        <v>387.8</v>
      </c>
    </row>
    <row r="9396" spans="1:12" x14ac:dyDescent="0.25">
      <c r="A9396" t="str">
        <f t="shared" si="2041"/>
        <v>89301000</v>
      </c>
      <c r="B9396" t="str">
        <f t="shared" si="2050"/>
        <v>89383000</v>
      </c>
      <c r="C9396" t="str">
        <f t="shared" si="2051"/>
        <v>89383002</v>
      </c>
      <c r="D9396" t="str">
        <f t="shared" si="2052"/>
        <v>809</v>
      </c>
      <c r="E9396" t="str">
        <f t="shared" si="2053"/>
        <v>89301212</v>
      </c>
      <c r="F9396" t="str">
        <f>"6954269916"</f>
        <v>6954269916</v>
      </c>
      <c r="G9396" s="1">
        <v>44806</v>
      </c>
      <c r="H9396" t="str">
        <f>"89513"</f>
        <v>89513</v>
      </c>
      <c r="I9396">
        <v>1</v>
      </c>
      <c r="J9396">
        <v>371</v>
      </c>
      <c r="K9396">
        <v>0</v>
      </c>
      <c r="L9396">
        <v>519.4</v>
      </c>
    </row>
    <row r="9397" spans="1:12" x14ac:dyDescent="0.25">
      <c r="A9397" t="str">
        <f t="shared" si="2041"/>
        <v>89301000</v>
      </c>
      <c r="B9397" t="str">
        <f t="shared" si="2050"/>
        <v>89383000</v>
      </c>
      <c r="C9397" t="str">
        <f t="shared" si="2051"/>
        <v>89383002</v>
      </c>
      <c r="D9397" t="str">
        <f t="shared" si="2052"/>
        <v>809</v>
      </c>
      <c r="E9397" t="str">
        <f t="shared" si="2053"/>
        <v>89301212</v>
      </c>
      <c r="F9397" t="str">
        <f>"6954269916"</f>
        <v>6954269916</v>
      </c>
      <c r="G9397" s="1">
        <v>44806</v>
      </c>
      <c r="H9397" t="str">
        <f>"89514"</f>
        <v>89514</v>
      </c>
      <c r="I9397">
        <v>1</v>
      </c>
      <c r="J9397">
        <v>371</v>
      </c>
      <c r="K9397">
        <v>0</v>
      </c>
      <c r="L9397">
        <v>519.4</v>
      </c>
    </row>
    <row r="9398" spans="1:12" x14ac:dyDescent="0.25">
      <c r="A9398" t="str">
        <f t="shared" si="2041"/>
        <v>89301000</v>
      </c>
      <c r="B9398" t="str">
        <f t="shared" si="2050"/>
        <v>89383000</v>
      </c>
      <c r="C9398" t="str">
        <f t="shared" si="2051"/>
        <v>89383002</v>
      </c>
      <c r="D9398" t="str">
        <f t="shared" si="2052"/>
        <v>809</v>
      </c>
      <c r="E9398" t="str">
        <f t="shared" si="2053"/>
        <v>89301212</v>
      </c>
      <c r="F9398" t="str">
        <f>"7153264833"</f>
        <v>7153264833</v>
      </c>
      <c r="G9398" s="1">
        <v>44806</v>
      </c>
      <c r="H9398" t="str">
        <f>"89512"</f>
        <v>89512</v>
      </c>
      <c r="I9398">
        <v>1</v>
      </c>
      <c r="J9398">
        <v>277</v>
      </c>
      <c r="K9398">
        <v>0</v>
      </c>
      <c r="L9398">
        <v>387.8</v>
      </c>
    </row>
    <row r="9399" spans="1:12" x14ac:dyDescent="0.25">
      <c r="A9399" t="str">
        <f t="shared" si="2041"/>
        <v>89301000</v>
      </c>
      <c r="B9399" t="str">
        <f t="shared" si="2050"/>
        <v>89383000</v>
      </c>
      <c r="C9399" t="str">
        <f t="shared" si="2051"/>
        <v>89383002</v>
      </c>
      <c r="D9399" t="str">
        <f t="shared" si="2052"/>
        <v>809</v>
      </c>
      <c r="E9399" t="str">
        <f t="shared" si="2053"/>
        <v>89301212</v>
      </c>
      <c r="F9399" t="str">
        <f>"7153264833"</f>
        <v>7153264833</v>
      </c>
      <c r="G9399" s="1">
        <v>44806</v>
      </c>
      <c r="H9399" t="str">
        <f>"89180"</f>
        <v>89180</v>
      </c>
      <c r="I9399">
        <v>2</v>
      </c>
      <c r="J9399">
        <v>752</v>
      </c>
      <c r="K9399">
        <v>0</v>
      </c>
      <c r="L9399">
        <v>1052.8</v>
      </c>
    </row>
    <row r="9400" spans="1:12" x14ac:dyDescent="0.25">
      <c r="A9400" t="str">
        <f t="shared" si="2041"/>
        <v>89301000</v>
      </c>
      <c r="B9400" t="str">
        <f t="shared" si="2050"/>
        <v>89383000</v>
      </c>
      <c r="C9400" t="str">
        <f t="shared" si="2051"/>
        <v>89383002</v>
      </c>
      <c r="D9400" t="str">
        <f t="shared" si="2052"/>
        <v>809</v>
      </c>
      <c r="E9400" t="str">
        <f t="shared" si="2053"/>
        <v>89301212</v>
      </c>
      <c r="F9400" t="str">
        <f>"7153264833"</f>
        <v>7153264833</v>
      </c>
      <c r="G9400" s="1">
        <v>44806</v>
      </c>
      <c r="H9400" t="str">
        <f>"89513"</f>
        <v>89513</v>
      </c>
      <c r="I9400">
        <v>1</v>
      </c>
      <c r="J9400">
        <v>371</v>
      </c>
      <c r="K9400">
        <v>0</v>
      </c>
      <c r="L9400">
        <v>519.4</v>
      </c>
    </row>
    <row r="9401" spans="1:12" x14ac:dyDescent="0.25">
      <c r="A9401" t="str">
        <f t="shared" si="2041"/>
        <v>89301000</v>
      </c>
      <c r="B9401" t="str">
        <f t="shared" si="2050"/>
        <v>89383000</v>
      </c>
      <c r="C9401" t="str">
        <f t="shared" si="2051"/>
        <v>89383002</v>
      </c>
      <c r="D9401" t="str">
        <f t="shared" si="2052"/>
        <v>809</v>
      </c>
      <c r="E9401" t="str">
        <f t="shared" si="2053"/>
        <v>89301212</v>
      </c>
      <c r="F9401" t="str">
        <f>"7153264833"</f>
        <v>7153264833</v>
      </c>
      <c r="G9401" s="1">
        <v>44806</v>
      </c>
      <c r="H9401" t="str">
        <f>"89514"</f>
        <v>89514</v>
      </c>
      <c r="I9401">
        <v>1</v>
      </c>
      <c r="J9401">
        <v>371</v>
      </c>
      <c r="K9401">
        <v>0</v>
      </c>
      <c r="L9401">
        <v>519.4</v>
      </c>
    </row>
    <row r="9402" spans="1:12" x14ac:dyDescent="0.25">
      <c r="A9402" t="str">
        <f t="shared" si="2041"/>
        <v>89301000</v>
      </c>
      <c r="B9402" t="str">
        <f t="shared" si="2050"/>
        <v>89383000</v>
      </c>
      <c r="C9402" t="str">
        <f t="shared" si="2051"/>
        <v>89383002</v>
      </c>
      <c r="D9402" t="str">
        <f t="shared" si="2052"/>
        <v>809</v>
      </c>
      <c r="E9402" t="str">
        <f t="shared" si="2053"/>
        <v>89301212</v>
      </c>
      <c r="F9402" t="str">
        <f>"7756215357"</f>
        <v>7756215357</v>
      </c>
      <c r="G9402" s="1">
        <v>44809</v>
      </c>
      <c r="H9402" t="str">
        <f>"89512"</f>
        <v>89512</v>
      </c>
      <c r="I9402">
        <v>1</v>
      </c>
      <c r="J9402">
        <v>277</v>
      </c>
      <c r="K9402">
        <v>0</v>
      </c>
      <c r="L9402">
        <v>387.8</v>
      </c>
    </row>
    <row r="9403" spans="1:12" x14ac:dyDescent="0.25">
      <c r="A9403" t="str">
        <f t="shared" si="2041"/>
        <v>89301000</v>
      </c>
      <c r="B9403" t="str">
        <f t="shared" si="2050"/>
        <v>89383000</v>
      </c>
      <c r="C9403" t="str">
        <f t="shared" si="2051"/>
        <v>89383002</v>
      </c>
      <c r="D9403" t="str">
        <f t="shared" si="2052"/>
        <v>809</v>
      </c>
      <c r="E9403" t="str">
        <f t="shared" si="2053"/>
        <v>89301212</v>
      </c>
      <c r="F9403" t="str">
        <f>"5951271392"</f>
        <v>5951271392</v>
      </c>
      <c r="G9403" s="1">
        <v>44810</v>
      </c>
      <c r="H9403" t="str">
        <f>"89513"</f>
        <v>89513</v>
      </c>
      <c r="I9403">
        <v>1</v>
      </c>
      <c r="J9403">
        <v>371</v>
      </c>
      <c r="K9403">
        <v>0</v>
      </c>
      <c r="L9403">
        <v>519.4</v>
      </c>
    </row>
    <row r="9404" spans="1:12" x14ac:dyDescent="0.25">
      <c r="A9404" t="str">
        <f t="shared" si="2041"/>
        <v>89301000</v>
      </c>
      <c r="B9404" t="str">
        <f t="shared" si="2050"/>
        <v>89383000</v>
      </c>
      <c r="C9404" t="str">
        <f t="shared" si="2051"/>
        <v>89383002</v>
      </c>
      <c r="D9404" t="str">
        <f t="shared" si="2052"/>
        <v>809</v>
      </c>
      <c r="E9404" t="str">
        <f t="shared" si="2053"/>
        <v>89301212</v>
      </c>
      <c r="F9404" t="str">
        <f>"5951271392"</f>
        <v>5951271392</v>
      </c>
      <c r="G9404" s="1">
        <v>44810</v>
      </c>
      <c r="H9404" t="str">
        <f>"89514"</f>
        <v>89514</v>
      </c>
      <c r="I9404">
        <v>1</v>
      </c>
      <c r="J9404">
        <v>371</v>
      </c>
      <c r="K9404">
        <v>0</v>
      </c>
      <c r="L9404">
        <v>519.4</v>
      </c>
    </row>
    <row r="9405" spans="1:12" x14ac:dyDescent="0.25">
      <c r="A9405" t="str">
        <f t="shared" si="2041"/>
        <v>89301000</v>
      </c>
      <c r="B9405" t="str">
        <f t="shared" si="2050"/>
        <v>89383000</v>
      </c>
      <c r="C9405" t="str">
        <f t="shared" si="2051"/>
        <v>89383002</v>
      </c>
      <c r="D9405" t="str">
        <f t="shared" si="2052"/>
        <v>809</v>
      </c>
      <c r="E9405" t="str">
        <f t="shared" si="2053"/>
        <v>89301212</v>
      </c>
      <c r="F9405" t="str">
        <f>"7157235360"</f>
        <v>7157235360</v>
      </c>
      <c r="G9405" s="1">
        <v>44810</v>
      </c>
      <c r="H9405" t="str">
        <f>"89512"</f>
        <v>89512</v>
      </c>
      <c r="I9405">
        <v>1</v>
      </c>
      <c r="J9405">
        <v>277</v>
      </c>
      <c r="K9405">
        <v>0</v>
      </c>
      <c r="L9405">
        <v>387.8</v>
      </c>
    </row>
    <row r="9406" spans="1:12" x14ac:dyDescent="0.25">
      <c r="A9406" t="str">
        <f t="shared" si="2041"/>
        <v>89301000</v>
      </c>
      <c r="B9406" t="str">
        <f t="shared" si="2050"/>
        <v>89383000</v>
      </c>
      <c r="C9406" t="str">
        <f t="shared" si="2051"/>
        <v>89383002</v>
      </c>
      <c r="D9406" t="str">
        <f t="shared" si="2052"/>
        <v>809</v>
      </c>
      <c r="E9406" t="str">
        <f t="shared" si="2053"/>
        <v>89301212</v>
      </c>
      <c r="F9406" t="str">
        <f>"7157235360"</f>
        <v>7157235360</v>
      </c>
      <c r="G9406" s="1">
        <v>44810</v>
      </c>
      <c r="H9406" t="str">
        <f>"89513"</f>
        <v>89513</v>
      </c>
      <c r="I9406">
        <v>1</v>
      </c>
      <c r="J9406">
        <v>371</v>
      </c>
      <c r="K9406">
        <v>0</v>
      </c>
      <c r="L9406">
        <v>519.4</v>
      </c>
    </row>
    <row r="9407" spans="1:12" x14ac:dyDescent="0.25">
      <c r="A9407" t="str">
        <f t="shared" si="2041"/>
        <v>89301000</v>
      </c>
      <c r="B9407" t="str">
        <f t="shared" si="2050"/>
        <v>89383000</v>
      </c>
      <c r="C9407" t="str">
        <f t="shared" si="2051"/>
        <v>89383002</v>
      </c>
      <c r="D9407" t="str">
        <f t="shared" si="2052"/>
        <v>809</v>
      </c>
      <c r="E9407" t="str">
        <f t="shared" si="2053"/>
        <v>89301212</v>
      </c>
      <c r="F9407" t="str">
        <f>"7157235360"</f>
        <v>7157235360</v>
      </c>
      <c r="G9407" s="1">
        <v>44810</v>
      </c>
      <c r="H9407" t="str">
        <f>"89514"</f>
        <v>89514</v>
      </c>
      <c r="I9407">
        <v>1</v>
      </c>
      <c r="J9407">
        <v>371</v>
      </c>
      <c r="K9407">
        <v>0</v>
      </c>
      <c r="L9407">
        <v>519.4</v>
      </c>
    </row>
    <row r="9408" spans="1:12" x14ac:dyDescent="0.25">
      <c r="A9408" t="str">
        <f t="shared" si="2041"/>
        <v>89301000</v>
      </c>
      <c r="B9408" t="str">
        <f t="shared" si="2050"/>
        <v>89383000</v>
      </c>
      <c r="C9408" t="str">
        <f t="shared" si="2051"/>
        <v>89383002</v>
      </c>
      <c r="D9408" t="str">
        <f t="shared" si="2052"/>
        <v>809</v>
      </c>
      <c r="E9408" t="str">
        <f t="shared" si="2053"/>
        <v>89301212</v>
      </c>
      <c r="F9408" t="str">
        <f>"6756080639"</f>
        <v>6756080639</v>
      </c>
      <c r="G9408" s="1">
        <v>44810</v>
      </c>
      <c r="H9408" t="str">
        <f>"89512"</f>
        <v>89512</v>
      </c>
      <c r="I9408">
        <v>1</v>
      </c>
      <c r="J9408">
        <v>277</v>
      </c>
      <c r="K9408">
        <v>0</v>
      </c>
      <c r="L9408">
        <v>387.8</v>
      </c>
    </row>
    <row r="9409" spans="1:12" x14ac:dyDescent="0.25">
      <c r="A9409" t="str">
        <f t="shared" si="2041"/>
        <v>89301000</v>
      </c>
      <c r="B9409" t="str">
        <f t="shared" si="2050"/>
        <v>89383000</v>
      </c>
      <c r="C9409" t="str">
        <f t="shared" si="2051"/>
        <v>89383002</v>
      </c>
      <c r="D9409" t="str">
        <f t="shared" si="2052"/>
        <v>809</v>
      </c>
      <c r="E9409" t="str">
        <f t="shared" si="2053"/>
        <v>89301212</v>
      </c>
      <c r="F9409" t="str">
        <f>"7752055729"</f>
        <v>7752055729</v>
      </c>
      <c r="G9409" s="1">
        <v>44810</v>
      </c>
      <c r="H9409" t="str">
        <f>"89512"</f>
        <v>89512</v>
      </c>
      <c r="I9409">
        <v>1</v>
      </c>
      <c r="J9409">
        <v>277</v>
      </c>
      <c r="K9409">
        <v>0</v>
      </c>
      <c r="L9409">
        <v>387.8</v>
      </c>
    </row>
    <row r="9410" spans="1:12" x14ac:dyDescent="0.25">
      <c r="A9410" t="str">
        <f t="shared" ref="A9410:A9473" si="2054">"89301000"</f>
        <v>89301000</v>
      </c>
      <c r="B9410" t="str">
        <f t="shared" si="2050"/>
        <v>89383000</v>
      </c>
      <c r="C9410" t="str">
        <f t="shared" si="2051"/>
        <v>89383002</v>
      </c>
      <c r="D9410" t="str">
        <f t="shared" si="2052"/>
        <v>809</v>
      </c>
      <c r="E9410" t="str">
        <f t="shared" si="2053"/>
        <v>89301212</v>
      </c>
      <c r="F9410" t="str">
        <f>"7752055729"</f>
        <v>7752055729</v>
      </c>
      <c r="G9410" s="1">
        <v>44810</v>
      </c>
      <c r="H9410" t="str">
        <f>"89180"</f>
        <v>89180</v>
      </c>
      <c r="I9410">
        <v>1</v>
      </c>
      <c r="J9410">
        <v>376</v>
      </c>
      <c r="K9410">
        <v>0</v>
      </c>
      <c r="L9410">
        <v>526.4</v>
      </c>
    </row>
    <row r="9411" spans="1:12" x14ac:dyDescent="0.25">
      <c r="A9411" t="str">
        <f t="shared" si="2054"/>
        <v>89301000</v>
      </c>
      <c r="B9411" t="str">
        <f t="shared" si="2050"/>
        <v>89383000</v>
      </c>
      <c r="C9411" t="str">
        <f t="shared" si="2051"/>
        <v>89383002</v>
      </c>
      <c r="D9411" t="str">
        <f t="shared" si="2052"/>
        <v>809</v>
      </c>
      <c r="E9411" t="str">
        <f t="shared" si="2053"/>
        <v>89301212</v>
      </c>
      <c r="F9411" t="str">
        <f>"6655050303"</f>
        <v>6655050303</v>
      </c>
      <c r="G9411" s="1">
        <v>44810</v>
      </c>
      <c r="H9411" t="str">
        <f>"89512"</f>
        <v>89512</v>
      </c>
      <c r="I9411">
        <v>1</v>
      </c>
      <c r="J9411">
        <v>277</v>
      </c>
      <c r="K9411">
        <v>0</v>
      </c>
      <c r="L9411">
        <v>387.8</v>
      </c>
    </row>
    <row r="9412" spans="1:12" x14ac:dyDescent="0.25">
      <c r="A9412" t="str">
        <f t="shared" si="2054"/>
        <v>89301000</v>
      </c>
      <c r="B9412" t="str">
        <f t="shared" si="2050"/>
        <v>89383000</v>
      </c>
      <c r="C9412" t="str">
        <f t="shared" si="2051"/>
        <v>89383002</v>
      </c>
      <c r="D9412" t="str">
        <f t="shared" si="2052"/>
        <v>809</v>
      </c>
      <c r="E9412" t="str">
        <f t="shared" si="2053"/>
        <v>89301212</v>
      </c>
      <c r="F9412" t="str">
        <f>"5662050328"</f>
        <v>5662050328</v>
      </c>
      <c r="G9412" s="1">
        <v>44812</v>
      </c>
      <c r="H9412" t="str">
        <f>"89513"</f>
        <v>89513</v>
      </c>
      <c r="I9412">
        <v>1</v>
      </c>
      <c r="J9412">
        <v>371</v>
      </c>
      <c r="K9412">
        <v>0</v>
      </c>
      <c r="L9412">
        <v>519.4</v>
      </c>
    </row>
    <row r="9413" spans="1:12" x14ac:dyDescent="0.25">
      <c r="A9413" t="str">
        <f t="shared" si="2054"/>
        <v>89301000</v>
      </c>
      <c r="B9413" t="str">
        <f t="shared" si="2050"/>
        <v>89383000</v>
      </c>
      <c r="C9413" t="str">
        <f t="shared" si="2051"/>
        <v>89383002</v>
      </c>
      <c r="D9413" t="str">
        <f t="shared" si="2052"/>
        <v>809</v>
      </c>
      <c r="E9413" t="str">
        <f t="shared" si="2053"/>
        <v>89301212</v>
      </c>
      <c r="F9413" t="str">
        <f>"5662050328"</f>
        <v>5662050328</v>
      </c>
      <c r="G9413" s="1">
        <v>44812</v>
      </c>
      <c r="H9413" t="str">
        <f>"89514"</f>
        <v>89514</v>
      </c>
      <c r="I9413">
        <v>1</v>
      </c>
      <c r="J9413">
        <v>371</v>
      </c>
      <c r="K9413">
        <v>0</v>
      </c>
      <c r="L9413">
        <v>519.4</v>
      </c>
    </row>
    <row r="9414" spans="1:12" x14ac:dyDescent="0.25">
      <c r="A9414" t="str">
        <f t="shared" si="2054"/>
        <v>89301000</v>
      </c>
      <c r="B9414" t="str">
        <f t="shared" si="2050"/>
        <v>89383000</v>
      </c>
      <c r="C9414" t="str">
        <f t="shared" si="2051"/>
        <v>89383002</v>
      </c>
      <c r="D9414" t="str">
        <f t="shared" si="2052"/>
        <v>809</v>
      </c>
      <c r="E9414" t="str">
        <f t="shared" si="2053"/>
        <v>89301212</v>
      </c>
      <c r="F9414" t="str">
        <f>"8059245348"</f>
        <v>8059245348</v>
      </c>
      <c r="G9414" s="1">
        <v>44813</v>
      </c>
      <c r="H9414" t="str">
        <f>"89512"</f>
        <v>89512</v>
      </c>
      <c r="I9414">
        <v>1</v>
      </c>
      <c r="J9414">
        <v>277</v>
      </c>
      <c r="K9414">
        <v>0</v>
      </c>
      <c r="L9414">
        <v>387.8</v>
      </c>
    </row>
    <row r="9415" spans="1:12" x14ac:dyDescent="0.25">
      <c r="A9415" t="str">
        <f t="shared" si="2054"/>
        <v>89301000</v>
      </c>
      <c r="B9415" t="str">
        <f t="shared" si="2050"/>
        <v>89383000</v>
      </c>
      <c r="C9415" t="str">
        <f t="shared" si="2051"/>
        <v>89383002</v>
      </c>
      <c r="D9415" t="str">
        <f t="shared" si="2052"/>
        <v>809</v>
      </c>
      <c r="E9415" t="str">
        <f t="shared" si="2053"/>
        <v>89301212</v>
      </c>
      <c r="F9415" t="str">
        <f>"8059245348"</f>
        <v>8059245348</v>
      </c>
      <c r="G9415" s="1">
        <v>44813</v>
      </c>
      <c r="H9415" t="str">
        <f>"89513"</f>
        <v>89513</v>
      </c>
      <c r="I9415">
        <v>1</v>
      </c>
      <c r="J9415">
        <v>371</v>
      </c>
      <c r="K9415">
        <v>0</v>
      </c>
      <c r="L9415">
        <v>519.4</v>
      </c>
    </row>
    <row r="9416" spans="1:12" x14ac:dyDescent="0.25">
      <c r="A9416" t="str">
        <f t="shared" si="2054"/>
        <v>89301000</v>
      </c>
      <c r="B9416" t="str">
        <f t="shared" si="2050"/>
        <v>89383000</v>
      </c>
      <c r="C9416" t="str">
        <f t="shared" si="2051"/>
        <v>89383002</v>
      </c>
      <c r="D9416" t="str">
        <f t="shared" si="2052"/>
        <v>809</v>
      </c>
      <c r="E9416" t="str">
        <f t="shared" si="2053"/>
        <v>89301212</v>
      </c>
      <c r="F9416" t="str">
        <f>"8059245348"</f>
        <v>8059245348</v>
      </c>
      <c r="G9416" s="1">
        <v>44813</v>
      </c>
      <c r="H9416" t="str">
        <f>"89514"</f>
        <v>89514</v>
      </c>
      <c r="I9416">
        <v>1</v>
      </c>
      <c r="J9416">
        <v>371</v>
      </c>
      <c r="K9416">
        <v>0</v>
      </c>
      <c r="L9416">
        <v>519.4</v>
      </c>
    </row>
    <row r="9417" spans="1:12" x14ac:dyDescent="0.25">
      <c r="A9417" t="str">
        <f t="shared" si="2054"/>
        <v>89301000</v>
      </c>
      <c r="B9417" t="str">
        <f t="shared" si="2050"/>
        <v>89383000</v>
      </c>
      <c r="C9417" t="str">
        <f t="shared" si="2051"/>
        <v>89383002</v>
      </c>
      <c r="D9417" t="str">
        <f t="shared" si="2052"/>
        <v>809</v>
      </c>
      <c r="E9417" t="str">
        <f t="shared" si="2053"/>
        <v>89301212</v>
      </c>
      <c r="F9417" t="str">
        <f>"8751085783"</f>
        <v>8751085783</v>
      </c>
      <c r="G9417" s="1">
        <v>44813</v>
      </c>
      <c r="H9417" t="str">
        <f>"89180"</f>
        <v>89180</v>
      </c>
      <c r="I9417">
        <v>1</v>
      </c>
      <c r="J9417">
        <v>376</v>
      </c>
      <c r="K9417">
        <v>0</v>
      </c>
      <c r="L9417">
        <v>526.4</v>
      </c>
    </row>
    <row r="9418" spans="1:12" x14ac:dyDescent="0.25">
      <c r="A9418" t="str">
        <f t="shared" si="2054"/>
        <v>89301000</v>
      </c>
      <c r="B9418" t="str">
        <f t="shared" si="2050"/>
        <v>89383000</v>
      </c>
      <c r="C9418" t="str">
        <f t="shared" si="2051"/>
        <v>89383002</v>
      </c>
      <c r="D9418" t="str">
        <f t="shared" si="2052"/>
        <v>809</v>
      </c>
      <c r="E9418" t="str">
        <f t="shared" si="2053"/>
        <v>89301212</v>
      </c>
      <c r="F9418" t="str">
        <f>"8751085783"</f>
        <v>8751085783</v>
      </c>
      <c r="G9418" s="1">
        <v>44813</v>
      </c>
      <c r="H9418" t="str">
        <f>"89512"</f>
        <v>89512</v>
      </c>
      <c r="I9418">
        <v>1</v>
      </c>
      <c r="J9418">
        <v>277</v>
      </c>
      <c r="K9418">
        <v>0</v>
      </c>
      <c r="L9418">
        <v>387.8</v>
      </c>
    </row>
    <row r="9419" spans="1:12" x14ac:dyDescent="0.25">
      <c r="A9419" t="str">
        <f t="shared" si="2054"/>
        <v>89301000</v>
      </c>
      <c r="B9419" t="str">
        <f t="shared" si="2050"/>
        <v>89383000</v>
      </c>
      <c r="C9419" t="str">
        <f t="shared" si="2051"/>
        <v>89383002</v>
      </c>
      <c r="D9419" t="str">
        <f t="shared" si="2052"/>
        <v>809</v>
      </c>
      <c r="E9419" t="str">
        <f t="shared" si="2053"/>
        <v>89301212</v>
      </c>
      <c r="F9419" t="str">
        <f>"8751085783"</f>
        <v>8751085783</v>
      </c>
      <c r="G9419" s="1">
        <v>44813</v>
      </c>
      <c r="H9419" t="str">
        <f>"89513"</f>
        <v>89513</v>
      </c>
      <c r="I9419">
        <v>1</v>
      </c>
      <c r="J9419">
        <v>371</v>
      </c>
      <c r="K9419">
        <v>0</v>
      </c>
      <c r="L9419">
        <v>519.4</v>
      </c>
    </row>
    <row r="9420" spans="1:12" x14ac:dyDescent="0.25">
      <c r="A9420" t="str">
        <f t="shared" si="2054"/>
        <v>89301000</v>
      </c>
      <c r="B9420" t="str">
        <f t="shared" ref="B9420:B9451" si="2055">"89383000"</f>
        <v>89383000</v>
      </c>
      <c r="C9420" t="str">
        <f t="shared" si="2051"/>
        <v>89383002</v>
      </c>
      <c r="D9420" t="str">
        <f t="shared" si="2052"/>
        <v>809</v>
      </c>
      <c r="E9420" t="str">
        <f t="shared" si="2053"/>
        <v>89301212</v>
      </c>
      <c r="F9420" t="str">
        <f>"8751085783"</f>
        <v>8751085783</v>
      </c>
      <c r="G9420" s="1">
        <v>44813</v>
      </c>
      <c r="H9420" t="str">
        <f>"89514"</f>
        <v>89514</v>
      </c>
      <c r="I9420">
        <v>1</v>
      </c>
      <c r="J9420">
        <v>371</v>
      </c>
      <c r="K9420">
        <v>0</v>
      </c>
      <c r="L9420">
        <v>519.4</v>
      </c>
    </row>
    <row r="9421" spans="1:12" x14ac:dyDescent="0.25">
      <c r="A9421" t="str">
        <f t="shared" si="2054"/>
        <v>89301000</v>
      </c>
      <c r="B9421" t="str">
        <f t="shared" si="2055"/>
        <v>89383000</v>
      </c>
      <c r="C9421" t="str">
        <f t="shared" ref="C9421:C9452" si="2056">"89383002"</f>
        <v>89383002</v>
      </c>
      <c r="D9421" t="str">
        <f t="shared" ref="D9421:D9452" si="2057">"809"</f>
        <v>809</v>
      </c>
      <c r="E9421" t="str">
        <f t="shared" si="2053"/>
        <v>89301212</v>
      </c>
      <c r="F9421" t="str">
        <f>"9354025714"</f>
        <v>9354025714</v>
      </c>
      <c r="G9421" s="1">
        <v>44816</v>
      </c>
      <c r="H9421" t="str">
        <f>"89512"</f>
        <v>89512</v>
      </c>
      <c r="I9421">
        <v>1</v>
      </c>
      <c r="J9421">
        <v>277</v>
      </c>
      <c r="K9421">
        <v>0</v>
      </c>
      <c r="L9421">
        <v>387.8</v>
      </c>
    </row>
    <row r="9422" spans="1:12" x14ac:dyDescent="0.25">
      <c r="A9422" t="str">
        <f t="shared" si="2054"/>
        <v>89301000</v>
      </c>
      <c r="B9422" t="str">
        <f t="shared" si="2055"/>
        <v>89383000</v>
      </c>
      <c r="C9422" t="str">
        <f t="shared" si="2056"/>
        <v>89383002</v>
      </c>
      <c r="D9422" t="str">
        <f t="shared" si="2057"/>
        <v>809</v>
      </c>
      <c r="E9422" t="str">
        <f t="shared" si="2053"/>
        <v>89301212</v>
      </c>
      <c r="F9422" t="str">
        <f>"6361020578"</f>
        <v>6361020578</v>
      </c>
      <c r="G9422" s="1">
        <v>44809</v>
      </c>
      <c r="H9422" t="str">
        <f t="shared" ref="H9422:H9428" si="2058">"89813"</f>
        <v>89813</v>
      </c>
      <c r="I9422">
        <v>1</v>
      </c>
      <c r="J9422">
        <v>130</v>
      </c>
      <c r="K9422">
        <v>0</v>
      </c>
      <c r="L9422">
        <v>182</v>
      </c>
    </row>
    <row r="9423" spans="1:12" x14ac:dyDescent="0.25">
      <c r="A9423" t="str">
        <f t="shared" si="2054"/>
        <v>89301000</v>
      </c>
      <c r="B9423" t="str">
        <f t="shared" si="2055"/>
        <v>89383000</v>
      </c>
      <c r="C9423" t="str">
        <f t="shared" si="2056"/>
        <v>89383002</v>
      </c>
      <c r="D9423" t="str">
        <f t="shared" si="2057"/>
        <v>809</v>
      </c>
      <c r="E9423" t="str">
        <f>"89301045"</f>
        <v>89301045</v>
      </c>
      <c r="F9423" t="str">
        <f>"5751101400"</f>
        <v>5751101400</v>
      </c>
      <c r="G9423" s="1">
        <v>44809</v>
      </c>
      <c r="H9423" t="str">
        <f t="shared" si="2058"/>
        <v>89813</v>
      </c>
      <c r="I9423">
        <v>1</v>
      </c>
      <c r="J9423">
        <v>130</v>
      </c>
      <c r="K9423">
        <v>0</v>
      </c>
      <c r="L9423">
        <v>182</v>
      </c>
    </row>
    <row r="9424" spans="1:12" x14ac:dyDescent="0.25">
      <c r="A9424" t="str">
        <f t="shared" si="2054"/>
        <v>89301000</v>
      </c>
      <c r="B9424" t="str">
        <f t="shared" si="2055"/>
        <v>89383000</v>
      </c>
      <c r="C9424" t="str">
        <f t="shared" si="2056"/>
        <v>89383002</v>
      </c>
      <c r="D9424" t="str">
        <f t="shared" si="2057"/>
        <v>809</v>
      </c>
      <c r="E9424" t="str">
        <f>"89301212"</f>
        <v>89301212</v>
      </c>
      <c r="F9424" t="str">
        <f>"6553240881"</f>
        <v>6553240881</v>
      </c>
      <c r="G9424" s="1">
        <v>44809</v>
      </c>
      <c r="H9424" t="str">
        <f t="shared" si="2058"/>
        <v>89813</v>
      </c>
      <c r="I9424">
        <v>1</v>
      </c>
      <c r="J9424">
        <v>130</v>
      </c>
      <c r="K9424">
        <v>0</v>
      </c>
      <c r="L9424">
        <v>182</v>
      </c>
    </row>
    <row r="9425" spans="1:12" x14ac:dyDescent="0.25">
      <c r="A9425" t="str">
        <f t="shared" si="2054"/>
        <v>89301000</v>
      </c>
      <c r="B9425" t="str">
        <f t="shared" si="2055"/>
        <v>89383000</v>
      </c>
      <c r="C9425" t="str">
        <f t="shared" si="2056"/>
        <v>89383002</v>
      </c>
      <c r="D9425" t="str">
        <f t="shared" si="2057"/>
        <v>809</v>
      </c>
      <c r="E9425" t="str">
        <f>"89301042"</f>
        <v>89301042</v>
      </c>
      <c r="F9425" t="str">
        <f>"496020238"</f>
        <v>496020238</v>
      </c>
      <c r="G9425" s="1">
        <v>44817</v>
      </c>
      <c r="H9425" t="str">
        <f t="shared" si="2058"/>
        <v>89813</v>
      </c>
      <c r="I9425">
        <v>1</v>
      </c>
      <c r="J9425">
        <v>130</v>
      </c>
      <c r="K9425">
        <v>0</v>
      </c>
      <c r="L9425">
        <v>182</v>
      </c>
    </row>
    <row r="9426" spans="1:12" x14ac:dyDescent="0.25">
      <c r="A9426" t="str">
        <f t="shared" si="2054"/>
        <v>89301000</v>
      </c>
      <c r="B9426" t="str">
        <f t="shared" si="2055"/>
        <v>89383000</v>
      </c>
      <c r="C9426" t="str">
        <f t="shared" si="2056"/>
        <v>89383002</v>
      </c>
      <c r="D9426" t="str">
        <f t="shared" si="2057"/>
        <v>809</v>
      </c>
      <c r="E9426" t="str">
        <f>"89301042"</f>
        <v>89301042</v>
      </c>
      <c r="F9426" t="str">
        <f>"6955223308"</f>
        <v>6955223308</v>
      </c>
      <c r="G9426" s="1">
        <v>44816</v>
      </c>
      <c r="H9426" t="str">
        <f t="shared" si="2058"/>
        <v>89813</v>
      </c>
      <c r="I9426">
        <v>1</v>
      </c>
      <c r="J9426">
        <v>130</v>
      </c>
      <c r="K9426">
        <v>0</v>
      </c>
      <c r="L9426">
        <v>182</v>
      </c>
    </row>
    <row r="9427" spans="1:12" x14ac:dyDescent="0.25">
      <c r="A9427" t="str">
        <f t="shared" si="2054"/>
        <v>89301000</v>
      </c>
      <c r="B9427" t="str">
        <f t="shared" si="2055"/>
        <v>89383000</v>
      </c>
      <c r="C9427" t="str">
        <f t="shared" si="2056"/>
        <v>89383002</v>
      </c>
      <c r="D9427" t="str">
        <f t="shared" si="2057"/>
        <v>809</v>
      </c>
      <c r="E9427" t="str">
        <f>"89301042"</f>
        <v>89301042</v>
      </c>
      <c r="F9427" t="str">
        <f>"8054205302"</f>
        <v>8054205302</v>
      </c>
      <c r="G9427" s="1">
        <v>44816</v>
      </c>
      <c r="H9427" t="str">
        <f t="shared" si="2058"/>
        <v>89813</v>
      </c>
      <c r="I9427">
        <v>1</v>
      </c>
      <c r="J9427">
        <v>130</v>
      </c>
      <c r="K9427">
        <v>0</v>
      </c>
      <c r="L9427">
        <v>182</v>
      </c>
    </row>
    <row r="9428" spans="1:12" x14ac:dyDescent="0.25">
      <c r="A9428" t="str">
        <f t="shared" si="2054"/>
        <v>89301000</v>
      </c>
      <c r="B9428" t="str">
        <f t="shared" si="2055"/>
        <v>89383000</v>
      </c>
      <c r="C9428" t="str">
        <f t="shared" si="2056"/>
        <v>89383002</v>
      </c>
      <c r="D9428" t="str">
        <f t="shared" si="2057"/>
        <v>809</v>
      </c>
      <c r="E9428" t="str">
        <f>"89301042"</f>
        <v>89301042</v>
      </c>
      <c r="F9428" t="str">
        <f>"465719487"</f>
        <v>465719487</v>
      </c>
      <c r="G9428" s="1">
        <v>44816</v>
      </c>
      <c r="H9428" t="str">
        <f t="shared" si="2058"/>
        <v>89813</v>
      </c>
      <c r="I9428">
        <v>1</v>
      </c>
      <c r="J9428">
        <v>130</v>
      </c>
      <c r="K9428">
        <v>0</v>
      </c>
      <c r="L9428">
        <v>182</v>
      </c>
    </row>
    <row r="9429" spans="1:12" x14ac:dyDescent="0.25">
      <c r="A9429" t="str">
        <f t="shared" si="2054"/>
        <v>89301000</v>
      </c>
      <c r="B9429" t="str">
        <f t="shared" si="2055"/>
        <v>89383000</v>
      </c>
      <c r="C9429" t="str">
        <f t="shared" si="2056"/>
        <v>89383002</v>
      </c>
      <c r="D9429" t="str">
        <f t="shared" si="2057"/>
        <v>809</v>
      </c>
      <c r="E9429" t="str">
        <f>"89301212"</f>
        <v>89301212</v>
      </c>
      <c r="F9429" t="str">
        <f>"375322446"</f>
        <v>375322446</v>
      </c>
      <c r="G9429" s="1">
        <v>44817</v>
      </c>
      <c r="H9429" t="str">
        <f>"89512"</f>
        <v>89512</v>
      </c>
      <c r="I9429">
        <v>1</v>
      </c>
      <c r="J9429">
        <v>277</v>
      </c>
      <c r="K9429">
        <v>0</v>
      </c>
      <c r="L9429">
        <v>387.8</v>
      </c>
    </row>
    <row r="9430" spans="1:12" x14ac:dyDescent="0.25">
      <c r="A9430" t="str">
        <f t="shared" si="2054"/>
        <v>89301000</v>
      </c>
      <c r="B9430" t="str">
        <f t="shared" si="2055"/>
        <v>89383000</v>
      </c>
      <c r="C9430" t="str">
        <f t="shared" si="2056"/>
        <v>89383002</v>
      </c>
      <c r="D9430" t="str">
        <f t="shared" si="2057"/>
        <v>809</v>
      </c>
      <c r="E9430" t="str">
        <f>"89301045"</f>
        <v>89301045</v>
      </c>
      <c r="F9430" t="str">
        <f>"465719487"</f>
        <v>465719487</v>
      </c>
      <c r="G9430" s="1">
        <v>44818</v>
      </c>
      <c r="H9430" t="str">
        <f>"89513"</f>
        <v>89513</v>
      </c>
      <c r="I9430">
        <v>1</v>
      </c>
      <c r="J9430">
        <v>371</v>
      </c>
      <c r="K9430">
        <v>0</v>
      </c>
      <c r="L9430">
        <v>519.4</v>
      </c>
    </row>
    <row r="9431" spans="1:12" x14ac:dyDescent="0.25">
      <c r="A9431" t="str">
        <f t="shared" si="2054"/>
        <v>89301000</v>
      </c>
      <c r="B9431" t="str">
        <f t="shared" si="2055"/>
        <v>89383000</v>
      </c>
      <c r="C9431" t="str">
        <f t="shared" si="2056"/>
        <v>89383002</v>
      </c>
      <c r="D9431" t="str">
        <f t="shared" si="2057"/>
        <v>809</v>
      </c>
      <c r="E9431" t="str">
        <f>"89301045"</f>
        <v>89301045</v>
      </c>
      <c r="F9431" t="str">
        <f>"465719487"</f>
        <v>465719487</v>
      </c>
      <c r="G9431" s="1">
        <v>44818</v>
      </c>
      <c r="H9431" t="str">
        <f>"89514"</f>
        <v>89514</v>
      </c>
      <c r="I9431">
        <v>1</v>
      </c>
      <c r="J9431">
        <v>371</v>
      </c>
      <c r="K9431">
        <v>0</v>
      </c>
      <c r="L9431">
        <v>519.4</v>
      </c>
    </row>
    <row r="9432" spans="1:12" x14ac:dyDescent="0.25">
      <c r="A9432" t="str">
        <f t="shared" si="2054"/>
        <v>89301000</v>
      </c>
      <c r="B9432" t="str">
        <f t="shared" si="2055"/>
        <v>89383000</v>
      </c>
      <c r="C9432" t="str">
        <f t="shared" si="2056"/>
        <v>89383002</v>
      </c>
      <c r="D9432" t="str">
        <f t="shared" si="2057"/>
        <v>809</v>
      </c>
      <c r="E9432" t="str">
        <f>"89301212"</f>
        <v>89301212</v>
      </c>
      <c r="F9432" t="str">
        <f>"6854110274"</f>
        <v>6854110274</v>
      </c>
      <c r="G9432" s="1">
        <v>44818</v>
      </c>
      <c r="H9432" t="str">
        <f>"89513"</f>
        <v>89513</v>
      </c>
      <c r="I9432">
        <v>1</v>
      </c>
      <c r="J9432">
        <v>371</v>
      </c>
      <c r="K9432">
        <v>0</v>
      </c>
      <c r="L9432">
        <v>519.4</v>
      </c>
    </row>
    <row r="9433" spans="1:12" x14ac:dyDescent="0.25">
      <c r="A9433" t="str">
        <f t="shared" si="2054"/>
        <v>89301000</v>
      </c>
      <c r="B9433" t="str">
        <f t="shared" si="2055"/>
        <v>89383000</v>
      </c>
      <c r="C9433" t="str">
        <f t="shared" si="2056"/>
        <v>89383002</v>
      </c>
      <c r="D9433" t="str">
        <f t="shared" si="2057"/>
        <v>809</v>
      </c>
      <c r="E9433" t="str">
        <f>"89301212"</f>
        <v>89301212</v>
      </c>
      <c r="F9433" t="str">
        <f>"6854110274"</f>
        <v>6854110274</v>
      </c>
      <c r="G9433" s="1">
        <v>44818</v>
      </c>
      <c r="H9433" t="str">
        <f>"89514"</f>
        <v>89514</v>
      </c>
      <c r="I9433">
        <v>1</v>
      </c>
      <c r="J9433">
        <v>371</v>
      </c>
      <c r="K9433">
        <v>0</v>
      </c>
      <c r="L9433">
        <v>519.4</v>
      </c>
    </row>
    <row r="9434" spans="1:12" x14ac:dyDescent="0.25">
      <c r="A9434" t="str">
        <f t="shared" si="2054"/>
        <v>89301000</v>
      </c>
      <c r="B9434" t="str">
        <f t="shared" si="2055"/>
        <v>89383000</v>
      </c>
      <c r="C9434" t="str">
        <f t="shared" si="2056"/>
        <v>89383002</v>
      </c>
      <c r="D9434" t="str">
        <f t="shared" si="2057"/>
        <v>809</v>
      </c>
      <c r="E9434" t="str">
        <f>"89301212"</f>
        <v>89301212</v>
      </c>
      <c r="F9434" t="str">
        <f>"7852105679"</f>
        <v>7852105679</v>
      </c>
      <c r="G9434" s="1">
        <v>44818</v>
      </c>
      <c r="H9434" t="str">
        <f>"89512"</f>
        <v>89512</v>
      </c>
      <c r="I9434">
        <v>1</v>
      </c>
      <c r="J9434">
        <v>277</v>
      </c>
      <c r="K9434">
        <v>0</v>
      </c>
      <c r="L9434">
        <v>387.8</v>
      </c>
    </row>
    <row r="9435" spans="1:12" x14ac:dyDescent="0.25">
      <c r="A9435" t="str">
        <f t="shared" si="2054"/>
        <v>89301000</v>
      </c>
      <c r="B9435" t="str">
        <f t="shared" si="2055"/>
        <v>89383000</v>
      </c>
      <c r="C9435" t="str">
        <f t="shared" si="2056"/>
        <v>89383002</v>
      </c>
      <c r="D9435" t="str">
        <f t="shared" si="2057"/>
        <v>809</v>
      </c>
      <c r="E9435" t="str">
        <f>"89301045"</f>
        <v>89301045</v>
      </c>
      <c r="F9435" t="str">
        <f>"6659281365"</f>
        <v>6659281365</v>
      </c>
      <c r="G9435" s="1">
        <v>44819</v>
      </c>
      <c r="H9435" t="str">
        <f>"89513"</f>
        <v>89513</v>
      </c>
      <c r="I9435">
        <v>1</v>
      </c>
      <c r="J9435">
        <v>371</v>
      </c>
      <c r="K9435">
        <v>0</v>
      </c>
      <c r="L9435">
        <v>519.4</v>
      </c>
    </row>
    <row r="9436" spans="1:12" x14ac:dyDescent="0.25">
      <c r="A9436" t="str">
        <f t="shared" si="2054"/>
        <v>89301000</v>
      </c>
      <c r="B9436" t="str">
        <f t="shared" si="2055"/>
        <v>89383000</v>
      </c>
      <c r="C9436" t="str">
        <f t="shared" si="2056"/>
        <v>89383002</v>
      </c>
      <c r="D9436" t="str">
        <f t="shared" si="2057"/>
        <v>809</v>
      </c>
      <c r="E9436" t="str">
        <f>"89301045"</f>
        <v>89301045</v>
      </c>
      <c r="F9436" t="str">
        <f>"6659281365"</f>
        <v>6659281365</v>
      </c>
      <c r="G9436" s="1">
        <v>44819</v>
      </c>
      <c r="H9436" t="str">
        <f>"89514"</f>
        <v>89514</v>
      </c>
      <c r="I9436">
        <v>1</v>
      </c>
      <c r="J9436">
        <v>371</v>
      </c>
      <c r="K9436">
        <v>0</v>
      </c>
      <c r="L9436">
        <v>519.4</v>
      </c>
    </row>
    <row r="9437" spans="1:12" x14ac:dyDescent="0.25">
      <c r="A9437" t="str">
        <f t="shared" si="2054"/>
        <v>89301000</v>
      </c>
      <c r="B9437" t="str">
        <f t="shared" si="2055"/>
        <v>89383000</v>
      </c>
      <c r="C9437" t="str">
        <f t="shared" si="2056"/>
        <v>89383002</v>
      </c>
      <c r="D9437" t="str">
        <f t="shared" si="2057"/>
        <v>809</v>
      </c>
      <c r="E9437" t="str">
        <f>"89301045"</f>
        <v>89301045</v>
      </c>
      <c r="F9437" t="str">
        <f>"6351180297"</f>
        <v>6351180297</v>
      </c>
      <c r="G9437" s="1">
        <v>44819</v>
      </c>
      <c r="H9437" t="str">
        <f>"89180"</f>
        <v>89180</v>
      </c>
      <c r="I9437">
        <v>1</v>
      </c>
      <c r="J9437">
        <v>376</v>
      </c>
      <c r="K9437">
        <v>0</v>
      </c>
      <c r="L9437">
        <v>526.4</v>
      </c>
    </row>
    <row r="9438" spans="1:12" x14ac:dyDescent="0.25">
      <c r="A9438" t="str">
        <f t="shared" si="2054"/>
        <v>89301000</v>
      </c>
      <c r="B9438" t="str">
        <f t="shared" si="2055"/>
        <v>89383000</v>
      </c>
      <c r="C9438" t="str">
        <f t="shared" si="2056"/>
        <v>89383002</v>
      </c>
      <c r="D9438" t="str">
        <f t="shared" si="2057"/>
        <v>809</v>
      </c>
      <c r="E9438" t="str">
        <f>"89301045"</f>
        <v>89301045</v>
      </c>
      <c r="F9438" t="str">
        <f>"6351180297"</f>
        <v>6351180297</v>
      </c>
      <c r="G9438" s="1">
        <v>44819</v>
      </c>
      <c r="H9438" t="str">
        <f>"89513"</f>
        <v>89513</v>
      </c>
      <c r="I9438">
        <v>1</v>
      </c>
      <c r="J9438">
        <v>371</v>
      </c>
      <c r="K9438">
        <v>0</v>
      </c>
      <c r="L9438">
        <v>519.4</v>
      </c>
    </row>
    <row r="9439" spans="1:12" x14ac:dyDescent="0.25">
      <c r="A9439" t="str">
        <f t="shared" si="2054"/>
        <v>89301000</v>
      </c>
      <c r="B9439" t="str">
        <f t="shared" si="2055"/>
        <v>89383000</v>
      </c>
      <c r="C9439" t="str">
        <f t="shared" si="2056"/>
        <v>89383002</v>
      </c>
      <c r="D9439" t="str">
        <f t="shared" si="2057"/>
        <v>809</v>
      </c>
      <c r="E9439" t="str">
        <f>"89301045"</f>
        <v>89301045</v>
      </c>
      <c r="F9439" t="str">
        <f>"6351180297"</f>
        <v>6351180297</v>
      </c>
      <c r="G9439" s="1">
        <v>44819</v>
      </c>
      <c r="H9439" t="str">
        <f>"89514"</f>
        <v>89514</v>
      </c>
      <c r="I9439">
        <v>1</v>
      </c>
      <c r="J9439">
        <v>371</v>
      </c>
      <c r="K9439">
        <v>0</v>
      </c>
      <c r="L9439">
        <v>519.4</v>
      </c>
    </row>
    <row r="9440" spans="1:12" x14ac:dyDescent="0.25">
      <c r="A9440" t="str">
        <f t="shared" si="2054"/>
        <v>89301000</v>
      </c>
      <c r="B9440" t="str">
        <f t="shared" si="2055"/>
        <v>89383000</v>
      </c>
      <c r="C9440" t="str">
        <f t="shared" si="2056"/>
        <v>89383002</v>
      </c>
      <c r="D9440" t="str">
        <f t="shared" si="2057"/>
        <v>809</v>
      </c>
      <c r="E9440" t="str">
        <f t="shared" ref="E9440:E9450" si="2059">"89301212"</f>
        <v>89301212</v>
      </c>
      <c r="F9440" t="str">
        <f>"8061225755"</f>
        <v>8061225755</v>
      </c>
      <c r="G9440" s="1">
        <v>44820</v>
      </c>
      <c r="H9440" t="str">
        <f>"89180"</f>
        <v>89180</v>
      </c>
      <c r="I9440">
        <v>2</v>
      </c>
      <c r="J9440">
        <v>752</v>
      </c>
      <c r="K9440">
        <v>0</v>
      </c>
      <c r="L9440">
        <v>1052.8</v>
      </c>
    </row>
    <row r="9441" spans="1:12" x14ac:dyDescent="0.25">
      <c r="A9441" t="str">
        <f t="shared" si="2054"/>
        <v>89301000</v>
      </c>
      <c r="B9441" t="str">
        <f t="shared" si="2055"/>
        <v>89383000</v>
      </c>
      <c r="C9441" t="str">
        <f t="shared" si="2056"/>
        <v>89383002</v>
      </c>
      <c r="D9441" t="str">
        <f t="shared" si="2057"/>
        <v>809</v>
      </c>
      <c r="E9441" t="str">
        <f t="shared" si="2059"/>
        <v>89301212</v>
      </c>
      <c r="F9441" t="str">
        <f>"8061225755"</f>
        <v>8061225755</v>
      </c>
      <c r="G9441" s="1">
        <v>44820</v>
      </c>
      <c r="H9441" t="str">
        <f>"89512"</f>
        <v>89512</v>
      </c>
      <c r="I9441">
        <v>1</v>
      </c>
      <c r="J9441">
        <v>277</v>
      </c>
      <c r="K9441">
        <v>0</v>
      </c>
      <c r="L9441">
        <v>387.8</v>
      </c>
    </row>
    <row r="9442" spans="1:12" x14ac:dyDescent="0.25">
      <c r="A9442" t="str">
        <f t="shared" si="2054"/>
        <v>89301000</v>
      </c>
      <c r="B9442" t="str">
        <f t="shared" si="2055"/>
        <v>89383000</v>
      </c>
      <c r="C9442" t="str">
        <f t="shared" si="2056"/>
        <v>89383002</v>
      </c>
      <c r="D9442" t="str">
        <f t="shared" si="2057"/>
        <v>809</v>
      </c>
      <c r="E9442" t="str">
        <f t="shared" si="2059"/>
        <v>89301212</v>
      </c>
      <c r="F9442" t="str">
        <f>"8061225755"</f>
        <v>8061225755</v>
      </c>
      <c r="G9442" s="1">
        <v>44820</v>
      </c>
      <c r="H9442" t="str">
        <f>"89513"</f>
        <v>89513</v>
      </c>
      <c r="I9442">
        <v>1</v>
      </c>
      <c r="J9442">
        <v>371</v>
      </c>
      <c r="K9442">
        <v>0</v>
      </c>
      <c r="L9442">
        <v>519.4</v>
      </c>
    </row>
    <row r="9443" spans="1:12" x14ac:dyDescent="0.25">
      <c r="A9443" t="str">
        <f t="shared" si="2054"/>
        <v>89301000</v>
      </c>
      <c r="B9443" t="str">
        <f t="shared" si="2055"/>
        <v>89383000</v>
      </c>
      <c r="C9443" t="str">
        <f t="shared" si="2056"/>
        <v>89383002</v>
      </c>
      <c r="D9443" t="str">
        <f t="shared" si="2057"/>
        <v>809</v>
      </c>
      <c r="E9443" t="str">
        <f t="shared" si="2059"/>
        <v>89301212</v>
      </c>
      <c r="F9443" t="str">
        <f>"8061225755"</f>
        <v>8061225755</v>
      </c>
      <c r="G9443" s="1">
        <v>44820</v>
      </c>
      <c r="H9443" t="str">
        <f>"89514"</f>
        <v>89514</v>
      </c>
      <c r="I9443">
        <v>1</v>
      </c>
      <c r="J9443">
        <v>371</v>
      </c>
      <c r="K9443">
        <v>0</v>
      </c>
      <c r="L9443">
        <v>519.4</v>
      </c>
    </row>
    <row r="9444" spans="1:12" x14ac:dyDescent="0.25">
      <c r="A9444" t="str">
        <f t="shared" si="2054"/>
        <v>89301000</v>
      </c>
      <c r="B9444" t="str">
        <f t="shared" si="2055"/>
        <v>89383000</v>
      </c>
      <c r="C9444" t="str">
        <f t="shared" si="2056"/>
        <v>89383002</v>
      </c>
      <c r="D9444" t="str">
        <f t="shared" si="2057"/>
        <v>809</v>
      </c>
      <c r="E9444" t="str">
        <f t="shared" si="2059"/>
        <v>89301212</v>
      </c>
      <c r="F9444" t="str">
        <f>"7160205184"</f>
        <v>7160205184</v>
      </c>
      <c r="G9444" s="1">
        <v>44820</v>
      </c>
      <c r="H9444" t="str">
        <f>"89180"</f>
        <v>89180</v>
      </c>
      <c r="I9444">
        <v>2</v>
      </c>
      <c r="J9444">
        <v>752</v>
      </c>
      <c r="K9444">
        <v>0</v>
      </c>
      <c r="L9444">
        <v>1052.8</v>
      </c>
    </row>
    <row r="9445" spans="1:12" x14ac:dyDescent="0.25">
      <c r="A9445" t="str">
        <f t="shared" si="2054"/>
        <v>89301000</v>
      </c>
      <c r="B9445" t="str">
        <f t="shared" si="2055"/>
        <v>89383000</v>
      </c>
      <c r="C9445" t="str">
        <f t="shared" si="2056"/>
        <v>89383002</v>
      </c>
      <c r="D9445" t="str">
        <f t="shared" si="2057"/>
        <v>809</v>
      </c>
      <c r="E9445" t="str">
        <f t="shared" si="2059"/>
        <v>89301212</v>
      </c>
      <c r="F9445" t="str">
        <f>"7160205184"</f>
        <v>7160205184</v>
      </c>
      <c r="G9445" s="1">
        <v>44820</v>
      </c>
      <c r="H9445" t="str">
        <f>"89513"</f>
        <v>89513</v>
      </c>
      <c r="I9445">
        <v>1</v>
      </c>
      <c r="J9445">
        <v>371</v>
      </c>
      <c r="K9445">
        <v>0</v>
      </c>
      <c r="L9445">
        <v>519.4</v>
      </c>
    </row>
    <row r="9446" spans="1:12" x14ac:dyDescent="0.25">
      <c r="A9446" t="str">
        <f t="shared" si="2054"/>
        <v>89301000</v>
      </c>
      <c r="B9446" t="str">
        <f t="shared" si="2055"/>
        <v>89383000</v>
      </c>
      <c r="C9446" t="str">
        <f t="shared" si="2056"/>
        <v>89383002</v>
      </c>
      <c r="D9446" t="str">
        <f t="shared" si="2057"/>
        <v>809</v>
      </c>
      <c r="E9446" t="str">
        <f t="shared" si="2059"/>
        <v>89301212</v>
      </c>
      <c r="F9446" t="str">
        <f>"7160205184"</f>
        <v>7160205184</v>
      </c>
      <c r="G9446" s="1">
        <v>44820</v>
      </c>
      <c r="H9446" t="str">
        <f>"89514"</f>
        <v>89514</v>
      </c>
      <c r="I9446">
        <v>1</v>
      </c>
      <c r="J9446">
        <v>371</v>
      </c>
      <c r="K9446">
        <v>0</v>
      </c>
      <c r="L9446">
        <v>519.4</v>
      </c>
    </row>
    <row r="9447" spans="1:12" x14ac:dyDescent="0.25">
      <c r="A9447" t="str">
        <f t="shared" si="2054"/>
        <v>89301000</v>
      </c>
      <c r="B9447" t="str">
        <f t="shared" si="2055"/>
        <v>89383000</v>
      </c>
      <c r="C9447" t="str">
        <f t="shared" si="2056"/>
        <v>89383002</v>
      </c>
      <c r="D9447" t="str">
        <f t="shared" si="2057"/>
        <v>809</v>
      </c>
      <c r="E9447" t="str">
        <f t="shared" si="2059"/>
        <v>89301212</v>
      </c>
      <c r="F9447" t="str">
        <f>"7160205184"</f>
        <v>7160205184</v>
      </c>
      <c r="G9447" s="1">
        <v>44820</v>
      </c>
      <c r="H9447" t="str">
        <f>"89512"</f>
        <v>89512</v>
      </c>
      <c r="I9447">
        <v>1</v>
      </c>
      <c r="J9447">
        <v>277</v>
      </c>
      <c r="K9447">
        <v>0</v>
      </c>
      <c r="L9447">
        <v>387.8</v>
      </c>
    </row>
    <row r="9448" spans="1:12" x14ac:dyDescent="0.25">
      <c r="A9448" t="str">
        <f t="shared" si="2054"/>
        <v>89301000</v>
      </c>
      <c r="B9448" t="str">
        <f t="shared" si="2055"/>
        <v>89383000</v>
      </c>
      <c r="C9448" t="str">
        <f t="shared" si="2056"/>
        <v>89383002</v>
      </c>
      <c r="D9448" t="str">
        <f t="shared" si="2057"/>
        <v>809</v>
      </c>
      <c r="E9448" t="str">
        <f t="shared" si="2059"/>
        <v>89301212</v>
      </c>
      <c r="F9448" t="str">
        <f>"7559204466"</f>
        <v>7559204466</v>
      </c>
      <c r="G9448" s="1">
        <v>44823</v>
      </c>
      <c r="H9448" t="str">
        <f>"89512"</f>
        <v>89512</v>
      </c>
      <c r="I9448">
        <v>1</v>
      </c>
      <c r="J9448">
        <v>277</v>
      </c>
      <c r="K9448">
        <v>0</v>
      </c>
      <c r="L9448">
        <v>387.8</v>
      </c>
    </row>
    <row r="9449" spans="1:12" x14ac:dyDescent="0.25">
      <c r="A9449" t="str">
        <f t="shared" si="2054"/>
        <v>89301000</v>
      </c>
      <c r="B9449" t="str">
        <f t="shared" si="2055"/>
        <v>89383000</v>
      </c>
      <c r="C9449" t="str">
        <f t="shared" si="2056"/>
        <v>89383002</v>
      </c>
      <c r="D9449" t="str">
        <f t="shared" si="2057"/>
        <v>809</v>
      </c>
      <c r="E9449" t="str">
        <f t="shared" si="2059"/>
        <v>89301212</v>
      </c>
      <c r="F9449" t="str">
        <f>"7559204466"</f>
        <v>7559204466</v>
      </c>
      <c r="G9449" s="1">
        <v>44823</v>
      </c>
      <c r="H9449" t="str">
        <f>"89513"</f>
        <v>89513</v>
      </c>
      <c r="I9449">
        <v>1</v>
      </c>
      <c r="J9449">
        <v>371</v>
      </c>
      <c r="K9449">
        <v>0</v>
      </c>
      <c r="L9449">
        <v>519.4</v>
      </c>
    </row>
    <row r="9450" spans="1:12" x14ac:dyDescent="0.25">
      <c r="A9450" t="str">
        <f t="shared" si="2054"/>
        <v>89301000</v>
      </c>
      <c r="B9450" t="str">
        <f t="shared" si="2055"/>
        <v>89383000</v>
      </c>
      <c r="C9450" t="str">
        <f t="shared" si="2056"/>
        <v>89383002</v>
      </c>
      <c r="D9450" t="str">
        <f t="shared" si="2057"/>
        <v>809</v>
      </c>
      <c r="E9450" t="str">
        <f t="shared" si="2059"/>
        <v>89301212</v>
      </c>
      <c r="F9450" t="str">
        <f>"7559204466"</f>
        <v>7559204466</v>
      </c>
      <c r="G9450" s="1">
        <v>44823</v>
      </c>
      <c r="H9450" t="str">
        <f>"89514"</f>
        <v>89514</v>
      </c>
      <c r="I9450">
        <v>1</v>
      </c>
      <c r="J9450">
        <v>371</v>
      </c>
      <c r="K9450">
        <v>0</v>
      </c>
      <c r="L9450">
        <v>519.4</v>
      </c>
    </row>
    <row r="9451" spans="1:12" x14ac:dyDescent="0.25">
      <c r="A9451" t="str">
        <f t="shared" si="2054"/>
        <v>89301000</v>
      </c>
      <c r="B9451" t="str">
        <f t="shared" si="2055"/>
        <v>89383000</v>
      </c>
      <c r="C9451" t="str">
        <f t="shared" si="2056"/>
        <v>89383002</v>
      </c>
      <c r="D9451" t="str">
        <f t="shared" si="2057"/>
        <v>809</v>
      </c>
      <c r="E9451" t="str">
        <f>"89301042"</f>
        <v>89301042</v>
      </c>
      <c r="F9451" t="str">
        <f>"496020238"</f>
        <v>496020238</v>
      </c>
      <c r="G9451" s="1">
        <v>44812</v>
      </c>
      <c r="H9451" t="str">
        <f>"89513"</f>
        <v>89513</v>
      </c>
      <c r="I9451">
        <v>1</v>
      </c>
      <c r="J9451">
        <v>371</v>
      </c>
      <c r="K9451">
        <v>0</v>
      </c>
      <c r="L9451">
        <v>519.4</v>
      </c>
    </row>
    <row r="9452" spans="1:12" x14ac:dyDescent="0.25">
      <c r="A9452" t="str">
        <f t="shared" si="2054"/>
        <v>89301000</v>
      </c>
      <c r="B9452" t="str">
        <f t="shared" ref="B9452:B9479" si="2060">"89383000"</f>
        <v>89383000</v>
      </c>
      <c r="C9452" t="str">
        <f t="shared" si="2056"/>
        <v>89383002</v>
      </c>
      <c r="D9452" t="str">
        <f t="shared" si="2057"/>
        <v>809</v>
      </c>
      <c r="E9452" t="str">
        <f>"89301042"</f>
        <v>89301042</v>
      </c>
      <c r="F9452" t="str">
        <f>"496020238"</f>
        <v>496020238</v>
      </c>
      <c r="G9452" s="1">
        <v>44812</v>
      </c>
      <c r="H9452" t="str">
        <f>"89514"</f>
        <v>89514</v>
      </c>
      <c r="I9452">
        <v>1</v>
      </c>
      <c r="J9452">
        <v>371</v>
      </c>
      <c r="K9452">
        <v>0</v>
      </c>
      <c r="L9452">
        <v>519.4</v>
      </c>
    </row>
    <row r="9453" spans="1:12" x14ac:dyDescent="0.25">
      <c r="A9453" t="str">
        <f t="shared" si="2054"/>
        <v>89301000</v>
      </c>
      <c r="B9453" t="str">
        <f t="shared" si="2060"/>
        <v>89383000</v>
      </c>
      <c r="C9453" t="str">
        <f t="shared" ref="C9453:C9479" si="2061">"89383002"</f>
        <v>89383002</v>
      </c>
      <c r="D9453" t="str">
        <f t="shared" ref="D9453:D9463" si="2062">"809"</f>
        <v>809</v>
      </c>
      <c r="E9453" t="str">
        <f t="shared" ref="E9453:E9463" si="2063">"89301212"</f>
        <v>89301212</v>
      </c>
      <c r="F9453" t="str">
        <f>"465612184"</f>
        <v>465612184</v>
      </c>
      <c r="G9453" s="1">
        <v>44825</v>
      </c>
      <c r="H9453" t="str">
        <f>"89512"</f>
        <v>89512</v>
      </c>
      <c r="I9453">
        <v>1</v>
      </c>
      <c r="J9453">
        <v>277</v>
      </c>
      <c r="K9453">
        <v>0</v>
      </c>
      <c r="L9453">
        <v>387.8</v>
      </c>
    </row>
    <row r="9454" spans="1:12" x14ac:dyDescent="0.25">
      <c r="A9454" t="str">
        <f t="shared" si="2054"/>
        <v>89301000</v>
      </c>
      <c r="B9454" t="str">
        <f t="shared" si="2060"/>
        <v>89383000</v>
      </c>
      <c r="C9454" t="str">
        <f t="shared" si="2061"/>
        <v>89383002</v>
      </c>
      <c r="D9454" t="str">
        <f t="shared" si="2062"/>
        <v>809</v>
      </c>
      <c r="E9454" t="str">
        <f t="shared" si="2063"/>
        <v>89301212</v>
      </c>
      <c r="F9454" t="str">
        <f>"465612184"</f>
        <v>465612184</v>
      </c>
      <c r="G9454" s="1">
        <v>44825</v>
      </c>
      <c r="H9454" t="str">
        <f>"89180"</f>
        <v>89180</v>
      </c>
      <c r="I9454">
        <v>1</v>
      </c>
      <c r="J9454">
        <v>376</v>
      </c>
      <c r="K9454">
        <v>0</v>
      </c>
      <c r="L9454">
        <v>526.4</v>
      </c>
    </row>
    <row r="9455" spans="1:12" x14ac:dyDescent="0.25">
      <c r="A9455" t="str">
        <f t="shared" si="2054"/>
        <v>89301000</v>
      </c>
      <c r="B9455" t="str">
        <f t="shared" si="2060"/>
        <v>89383000</v>
      </c>
      <c r="C9455" t="str">
        <f t="shared" si="2061"/>
        <v>89383002</v>
      </c>
      <c r="D9455" t="str">
        <f t="shared" si="2062"/>
        <v>809</v>
      </c>
      <c r="E9455" t="str">
        <f t="shared" si="2063"/>
        <v>89301212</v>
      </c>
      <c r="F9455" t="str">
        <f>"5861161482"</f>
        <v>5861161482</v>
      </c>
      <c r="G9455" s="1">
        <v>44826</v>
      </c>
      <c r="H9455" t="str">
        <f>"89512"</f>
        <v>89512</v>
      </c>
      <c r="I9455">
        <v>1</v>
      </c>
      <c r="J9455">
        <v>277</v>
      </c>
      <c r="K9455">
        <v>0</v>
      </c>
      <c r="L9455">
        <v>387.8</v>
      </c>
    </row>
    <row r="9456" spans="1:12" x14ac:dyDescent="0.25">
      <c r="A9456" t="str">
        <f t="shared" si="2054"/>
        <v>89301000</v>
      </c>
      <c r="B9456" t="str">
        <f t="shared" si="2060"/>
        <v>89383000</v>
      </c>
      <c r="C9456" t="str">
        <f t="shared" si="2061"/>
        <v>89383002</v>
      </c>
      <c r="D9456" t="str">
        <f t="shared" si="2062"/>
        <v>809</v>
      </c>
      <c r="E9456" t="str">
        <f t="shared" si="2063"/>
        <v>89301212</v>
      </c>
      <c r="F9456" t="str">
        <f>"7351229908"</f>
        <v>7351229908</v>
      </c>
      <c r="G9456" s="1">
        <v>44827</v>
      </c>
      <c r="H9456" t="str">
        <f>"89180"</f>
        <v>89180</v>
      </c>
      <c r="I9456">
        <v>2</v>
      </c>
      <c r="J9456">
        <v>752</v>
      </c>
      <c r="K9456">
        <v>0</v>
      </c>
      <c r="L9456">
        <v>1052.8</v>
      </c>
    </row>
    <row r="9457" spans="1:12" x14ac:dyDescent="0.25">
      <c r="A9457" t="str">
        <f t="shared" si="2054"/>
        <v>89301000</v>
      </c>
      <c r="B9457" t="str">
        <f t="shared" si="2060"/>
        <v>89383000</v>
      </c>
      <c r="C9457" t="str">
        <f t="shared" si="2061"/>
        <v>89383002</v>
      </c>
      <c r="D9457" t="str">
        <f t="shared" si="2062"/>
        <v>809</v>
      </c>
      <c r="E9457" t="str">
        <f t="shared" si="2063"/>
        <v>89301212</v>
      </c>
      <c r="F9457" t="str">
        <f>"7351229908"</f>
        <v>7351229908</v>
      </c>
      <c r="G9457" s="1">
        <v>44827</v>
      </c>
      <c r="H9457" t="str">
        <f>"89512"</f>
        <v>89512</v>
      </c>
      <c r="I9457">
        <v>1</v>
      </c>
      <c r="J9457">
        <v>277</v>
      </c>
      <c r="K9457">
        <v>0</v>
      </c>
      <c r="L9457">
        <v>387.8</v>
      </c>
    </row>
    <row r="9458" spans="1:12" x14ac:dyDescent="0.25">
      <c r="A9458" t="str">
        <f t="shared" si="2054"/>
        <v>89301000</v>
      </c>
      <c r="B9458" t="str">
        <f t="shared" si="2060"/>
        <v>89383000</v>
      </c>
      <c r="C9458" t="str">
        <f t="shared" si="2061"/>
        <v>89383002</v>
      </c>
      <c r="D9458" t="str">
        <f t="shared" si="2062"/>
        <v>809</v>
      </c>
      <c r="E9458" t="str">
        <f t="shared" si="2063"/>
        <v>89301212</v>
      </c>
      <c r="F9458" t="str">
        <f>"7351229908"</f>
        <v>7351229908</v>
      </c>
      <c r="G9458" s="1">
        <v>44827</v>
      </c>
      <c r="H9458" t="str">
        <f>"89513"</f>
        <v>89513</v>
      </c>
      <c r="I9458">
        <v>1</v>
      </c>
      <c r="J9458">
        <v>371</v>
      </c>
      <c r="K9458">
        <v>0</v>
      </c>
      <c r="L9458">
        <v>519.4</v>
      </c>
    </row>
    <row r="9459" spans="1:12" x14ac:dyDescent="0.25">
      <c r="A9459" t="str">
        <f t="shared" si="2054"/>
        <v>89301000</v>
      </c>
      <c r="B9459" t="str">
        <f t="shared" si="2060"/>
        <v>89383000</v>
      </c>
      <c r="C9459" t="str">
        <f t="shared" si="2061"/>
        <v>89383002</v>
      </c>
      <c r="D9459" t="str">
        <f t="shared" si="2062"/>
        <v>809</v>
      </c>
      <c r="E9459" t="str">
        <f t="shared" si="2063"/>
        <v>89301212</v>
      </c>
      <c r="F9459" t="str">
        <f>"7351229908"</f>
        <v>7351229908</v>
      </c>
      <c r="G9459" s="1">
        <v>44827</v>
      </c>
      <c r="H9459" t="str">
        <f>"89514"</f>
        <v>89514</v>
      </c>
      <c r="I9459">
        <v>1</v>
      </c>
      <c r="J9459">
        <v>371</v>
      </c>
      <c r="K9459">
        <v>0</v>
      </c>
      <c r="L9459">
        <v>519.4</v>
      </c>
    </row>
    <row r="9460" spans="1:12" x14ac:dyDescent="0.25">
      <c r="A9460" t="str">
        <f t="shared" si="2054"/>
        <v>89301000</v>
      </c>
      <c r="B9460" t="str">
        <f t="shared" si="2060"/>
        <v>89383000</v>
      </c>
      <c r="C9460" t="str">
        <f t="shared" si="2061"/>
        <v>89383002</v>
      </c>
      <c r="D9460" t="str">
        <f t="shared" si="2062"/>
        <v>809</v>
      </c>
      <c r="E9460" t="str">
        <f t="shared" si="2063"/>
        <v>89301212</v>
      </c>
      <c r="F9460" t="str">
        <f>"6252051575"</f>
        <v>6252051575</v>
      </c>
      <c r="G9460" s="1">
        <v>44827</v>
      </c>
      <c r="H9460" t="str">
        <f>"89180"</f>
        <v>89180</v>
      </c>
      <c r="I9460">
        <v>2</v>
      </c>
      <c r="J9460">
        <v>752</v>
      </c>
      <c r="K9460">
        <v>0</v>
      </c>
      <c r="L9460">
        <v>1052.8</v>
      </c>
    </row>
    <row r="9461" spans="1:12" x14ac:dyDescent="0.25">
      <c r="A9461" t="str">
        <f t="shared" si="2054"/>
        <v>89301000</v>
      </c>
      <c r="B9461" t="str">
        <f t="shared" si="2060"/>
        <v>89383000</v>
      </c>
      <c r="C9461" t="str">
        <f t="shared" si="2061"/>
        <v>89383002</v>
      </c>
      <c r="D9461" t="str">
        <f t="shared" si="2062"/>
        <v>809</v>
      </c>
      <c r="E9461" t="str">
        <f t="shared" si="2063"/>
        <v>89301212</v>
      </c>
      <c r="F9461" t="str">
        <f>"6252051575"</f>
        <v>6252051575</v>
      </c>
      <c r="G9461" s="1">
        <v>44827</v>
      </c>
      <c r="H9461" t="str">
        <f>"89512"</f>
        <v>89512</v>
      </c>
      <c r="I9461">
        <v>1</v>
      </c>
      <c r="J9461">
        <v>277</v>
      </c>
      <c r="K9461">
        <v>0</v>
      </c>
      <c r="L9461">
        <v>387.8</v>
      </c>
    </row>
    <row r="9462" spans="1:12" x14ac:dyDescent="0.25">
      <c r="A9462" t="str">
        <f t="shared" si="2054"/>
        <v>89301000</v>
      </c>
      <c r="B9462" t="str">
        <f t="shared" si="2060"/>
        <v>89383000</v>
      </c>
      <c r="C9462" t="str">
        <f t="shared" si="2061"/>
        <v>89383002</v>
      </c>
      <c r="D9462" t="str">
        <f t="shared" si="2062"/>
        <v>809</v>
      </c>
      <c r="E9462" t="str">
        <f t="shared" si="2063"/>
        <v>89301212</v>
      </c>
      <c r="F9462" t="str">
        <f>"7153195313"</f>
        <v>7153195313</v>
      </c>
      <c r="G9462" s="1">
        <v>44830</v>
      </c>
      <c r="H9462" t="str">
        <f>"89513"</f>
        <v>89513</v>
      </c>
      <c r="I9462">
        <v>1</v>
      </c>
      <c r="J9462">
        <v>371</v>
      </c>
      <c r="K9462">
        <v>0</v>
      </c>
      <c r="L9462">
        <v>519.4</v>
      </c>
    </row>
    <row r="9463" spans="1:12" x14ac:dyDescent="0.25">
      <c r="A9463" t="str">
        <f t="shared" si="2054"/>
        <v>89301000</v>
      </c>
      <c r="B9463" t="str">
        <f t="shared" si="2060"/>
        <v>89383000</v>
      </c>
      <c r="C9463" t="str">
        <f t="shared" si="2061"/>
        <v>89383002</v>
      </c>
      <c r="D9463" t="str">
        <f t="shared" si="2062"/>
        <v>809</v>
      </c>
      <c r="E9463" t="str">
        <f t="shared" si="2063"/>
        <v>89301212</v>
      </c>
      <c r="F9463" t="str">
        <f>"7153195313"</f>
        <v>7153195313</v>
      </c>
      <c r="G9463" s="1">
        <v>44830</v>
      </c>
      <c r="H9463" t="str">
        <f>"89514"</f>
        <v>89514</v>
      </c>
      <c r="I9463">
        <v>1</v>
      </c>
      <c r="J9463">
        <v>371</v>
      </c>
      <c r="K9463">
        <v>0</v>
      </c>
      <c r="L9463">
        <v>519.4</v>
      </c>
    </row>
    <row r="9464" spans="1:12" x14ac:dyDescent="0.25">
      <c r="A9464" t="str">
        <f t="shared" si="2054"/>
        <v>89301000</v>
      </c>
      <c r="B9464" t="str">
        <f t="shared" si="2060"/>
        <v>89383000</v>
      </c>
      <c r="C9464" t="str">
        <f t="shared" si="2061"/>
        <v>89383002</v>
      </c>
      <c r="D9464" t="str">
        <f>"806"</f>
        <v>806</v>
      </c>
      <c r="E9464" t="str">
        <f>"89301045"</f>
        <v>89301045</v>
      </c>
      <c r="F9464" t="str">
        <f>"6062271435"</f>
        <v>6062271435</v>
      </c>
      <c r="G9464" s="1">
        <v>44833</v>
      </c>
      <c r="H9464" t="str">
        <f>"89813"</f>
        <v>89813</v>
      </c>
      <c r="I9464">
        <v>1</v>
      </c>
      <c r="J9464">
        <v>130</v>
      </c>
      <c r="K9464">
        <v>0</v>
      </c>
      <c r="L9464">
        <v>154.69999999999999</v>
      </c>
    </row>
    <row r="9465" spans="1:12" x14ac:dyDescent="0.25">
      <c r="A9465" t="str">
        <f t="shared" si="2054"/>
        <v>89301000</v>
      </c>
      <c r="B9465" t="str">
        <f t="shared" si="2060"/>
        <v>89383000</v>
      </c>
      <c r="C9465" t="str">
        <f t="shared" si="2061"/>
        <v>89383002</v>
      </c>
      <c r="D9465" t="str">
        <f t="shared" ref="D9465:D9479" si="2064">"809"</f>
        <v>809</v>
      </c>
      <c r="E9465" t="str">
        <f>"89301042"</f>
        <v>89301042</v>
      </c>
      <c r="F9465" t="str">
        <f>"6560291573"</f>
        <v>6560291573</v>
      </c>
      <c r="G9465" s="1">
        <v>44833</v>
      </c>
      <c r="H9465" t="str">
        <f>"89513"</f>
        <v>89513</v>
      </c>
      <c r="I9465">
        <v>1</v>
      </c>
      <c r="J9465">
        <v>371</v>
      </c>
      <c r="K9465">
        <v>0</v>
      </c>
      <c r="L9465">
        <v>519.4</v>
      </c>
    </row>
    <row r="9466" spans="1:12" x14ac:dyDescent="0.25">
      <c r="A9466" t="str">
        <f t="shared" si="2054"/>
        <v>89301000</v>
      </c>
      <c r="B9466" t="str">
        <f t="shared" si="2060"/>
        <v>89383000</v>
      </c>
      <c r="C9466" t="str">
        <f t="shared" si="2061"/>
        <v>89383002</v>
      </c>
      <c r="D9466" t="str">
        <f t="shared" si="2064"/>
        <v>809</v>
      </c>
      <c r="E9466" t="str">
        <f>"89301042"</f>
        <v>89301042</v>
      </c>
      <c r="F9466" t="str">
        <f>"6560291573"</f>
        <v>6560291573</v>
      </c>
      <c r="G9466" s="1">
        <v>44833</v>
      </c>
      <c r="H9466" t="str">
        <f>"89514"</f>
        <v>89514</v>
      </c>
      <c r="I9466">
        <v>1</v>
      </c>
      <c r="J9466">
        <v>371</v>
      </c>
      <c r="K9466">
        <v>0</v>
      </c>
      <c r="L9466">
        <v>519.4</v>
      </c>
    </row>
    <row r="9467" spans="1:12" x14ac:dyDescent="0.25">
      <c r="A9467" t="str">
        <f t="shared" si="2054"/>
        <v>89301000</v>
      </c>
      <c r="B9467" t="str">
        <f t="shared" si="2060"/>
        <v>89383000</v>
      </c>
      <c r="C9467" t="str">
        <f t="shared" si="2061"/>
        <v>89383002</v>
      </c>
      <c r="D9467" t="str">
        <f t="shared" si="2064"/>
        <v>809</v>
      </c>
      <c r="E9467" t="str">
        <f t="shared" ref="E9467:E9474" si="2065">"89301212"</f>
        <v>89301212</v>
      </c>
      <c r="F9467" t="str">
        <f>"535215035"</f>
        <v>535215035</v>
      </c>
      <c r="G9467" s="1">
        <v>44834</v>
      </c>
      <c r="H9467" t="str">
        <f>"89513"</f>
        <v>89513</v>
      </c>
      <c r="I9467">
        <v>1</v>
      </c>
      <c r="J9467">
        <v>371</v>
      </c>
      <c r="K9467">
        <v>0</v>
      </c>
      <c r="L9467">
        <v>519.4</v>
      </c>
    </row>
    <row r="9468" spans="1:12" x14ac:dyDescent="0.25">
      <c r="A9468" t="str">
        <f t="shared" si="2054"/>
        <v>89301000</v>
      </c>
      <c r="B9468" t="str">
        <f t="shared" si="2060"/>
        <v>89383000</v>
      </c>
      <c r="C9468" t="str">
        <f t="shared" si="2061"/>
        <v>89383002</v>
      </c>
      <c r="D9468" t="str">
        <f t="shared" si="2064"/>
        <v>809</v>
      </c>
      <c r="E9468" t="str">
        <f t="shared" si="2065"/>
        <v>89301212</v>
      </c>
      <c r="F9468" t="str">
        <f>"535215035"</f>
        <v>535215035</v>
      </c>
      <c r="G9468" s="1">
        <v>44834</v>
      </c>
      <c r="H9468" t="str">
        <f>"89514"</f>
        <v>89514</v>
      </c>
      <c r="I9468">
        <v>1</v>
      </c>
      <c r="J9468">
        <v>371</v>
      </c>
      <c r="K9468">
        <v>0</v>
      </c>
      <c r="L9468">
        <v>519.4</v>
      </c>
    </row>
    <row r="9469" spans="1:12" x14ac:dyDescent="0.25">
      <c r="A9469" t="str">
        <f t="shared" si="2054"/>
        <v>89301000</v>
      </c>
      <c r="B9469" t="str">
        <f t="shared" si="2060"/>
        <v>89383000</v>
      </c>
      <c r="C9469" t="str">
        <f t="shared" si="2061"/>
        <v>89383002</v>
      </c>
      <c r="D9469" t="str">
        <f t="shared" si="2064"/>
        <v>809</v>
      </c>
      <c r="E9469" t="str">
        <f t="shared" si="2065"/>
        <v>89301212</v>
      </c>
      <c r="F9469" t="str">
        <f>"8659064920"</f>
        <v>8659064920</v>
      </c>
      <c r="G9469" s="1">
        <v>44834</v>
      </c>
      <c r="H9469" t="str">
        <f>"89180"</f>
        <v>89180</v>
      </c>
      <c r="I9469">
        <v>2</v>
      </c>
      <c r="J9469">
        <v>752</v>
      </c>
      <c r="K9469">
        <v>0</v>
      </c>
      <c r="L9469">
        <v>1052.8</v>
      </c>
    </row>
    <row r="9470" spans="1:12" x14ac:dyDescent="0.25">
      <c r="A9470" t="str">
        <f t="shared" si="2054"/>
        <v>89301000</v>
      </c>
      <c r="B9470" t="str">
        <f t="shared" si="2060"/>
        <v>89383000</v>
      </c>
      <c r="C9470" t="str">
        <f t="shared" si="2061"/>
        <v>89383002</v>
      </c>
      <c r="D9470" t="str">
        <f t="shared" si="2064"/>
        <v>809</v>
      </c>
      <c r="E9470" t="str">
        <f t="shared" si="2065"/>
        <v>89301212</v>
      </c>
      <c r="F9470" t="str">
        <f>"8659064920"</f>
        <v>8659064920</v>
      </c>
      <c r="G9470" s="1">
        <v>44834</v>
      </c>
      <c r="H9470" t="str">
        <f>"89512"</f>
        <v>89512</v>
      </c>
      <c r="I9470">
        <v>1</v>
      </c>
      <c r="J9470">
        <v>277</v>
      </c>
      <c r="K9470">
        <v>0</v>
      </c>
      <c r="L9470">
        <v>387.8</v>
      </c>
    </row>
    <row r="9471" spans="1:12" x14ac:dyDescent="0.25">
      <c r="A9471" t="str">
        <f t="shared" si="2054"/>
        <v>89301000</v>
      </c>
      <c r="B9471" t="str">
        <f t="shared" si="2060"/>
        <v>89383000</v>
      </c>
      <c r="C9471" t="str">
        <f t="shared" si="2061"/>
        <v>89383002</v>
      </c>
      <c r="D9471" t="str">
        <f t="shared" si="2064"/>
        <v>809</v>
      </c>
      <c r="E9471" t="str">
        <f t="shared" si="2065"/>
        <v>89301212</v>
      </c>
      <c r="F9471" t="str">
        <f>"8659064920"</f>
        <v>8659064920</v>
      </c>
      <c r="G9471" s="1">
        <v>44834</v>
      </c>
      <c r="H9471" t="str">
        <f>"89513"</f>
        <v>89513</v>
      </c>
      <c r="I9471">
        <v>1</v>
      </c>
      <c r="J9471">
        <v>371</v>
      </c>
      <c r="K9471">
        <v>0</v>
      </c>
      <c r="L9471">
        <v>519.4</v>
      </c>
    </row>
    <row r="9472" spans="1:12" x14ac:dyDescent="0.25">
      <c r="A9472" t="str">
        <f t="shared" si="2054"/>
        <v>89301000</v>
      </c>
      <c r="B9472" t="str">
        <f t="shared" si="2060"/>
        <v>89383000</v>
      </c>
      <c r="C9472" t="str">
        <f t="shared" si="2061"/>
        <v>89383002</v>
      </c>
      <c r="D9472" t="str">
        <f t="shared" si="2064"/>
        <v>809</v>
      </c>
      <c r="E9472" t="str">
        <f t="shared" si="2065"/>
        <v>89301212</v>
      </c>
      <c r="F9472" t="str">
        <f>"8659064920"</f>
        <v>8659064920</v>
      </c>
      <c r="G9472" s="1">
        <v>44834</v>
      </c>
      <c r="H9472" t="str">
        <f>"89514"</f>
        <v>89514</v>
      </c>
      <c r="I9472">
        <v>1</v>
      </c>
      <c r="J9472">
        <v>371</v>
      </c>
      <c r="K9472">
        <v>0</v>
      </c>
      <c r="L9472">
        <v>519.4</v>
      </c>
    </row>
    <row r="9473" spans="1:12" x14ac:dyDescent="0.25">
      <c r="A9473" t="str">
        <f t="shared" si="2054"/>
        <v>89301000</v>
      </c>
      <c r="B9473" t="str">
        <f t="shared" si="2060"/>
        <v>89383000</v>
      </c>
      <c r="C9473" t="str">
        <f t="shared" si="2061"/>
        <v>89383002</v>
      </c>
      <c r="D9473" t="str">
        <f t="shared" si="2064"/>
        <v>809</v>
      </c>
      <c r="E9473" t="str">
        <f t="shared" si="2065"/>
        <v>89301212</v>
      </c>
      <c r="F9473" t="str">
        <f>"8354235780"</f>
        <v>8354235780</v>
      </c>
      <c r="G9473" s="1">
        <v>44833</v>
      </c>
      <c r="H9473" t="str">
        <f>"89513"</f>
        <v>89513</v>
      </c>
      <c r="I9473">
        <v>1</v>
      </c>
      <c r="J9473">
        <v>371</v>
      </c>
      <c r="K9473">
        <v>0</v>
      </c>
      <c r="L9473">
        <v>519.4</v>
      </c>
    </row>
    <row r="9474" spans="1:12" x14ac:dyDescent="0.25">
      <c r="A9474" t="str">
        <f t="shared" ref="A9474:A9537" si="2066">"89301000"</f>
        <v>89301000</v>
      </c>
      <c r="B9474" t="str">
        <f t="shared" si="2060"/>
        <v>89383000</v>
      </c>
      <c r="C9474" t="str">
        <f t="shared" si="2061"/>
        <v>89383002</v>
      </c>
      <c r="D9474" t="str">
        <f t="shared" si="2064"/>
        <v>809</v>
      </c>
      <c r="E9474" t="str">
        <f t="shared" si="2065"/>
        <v>89301212</v>
      </c>
      <c r="F9474" t="str">
        <f>"8354235780"</f>
        <v>8354235780</v>
      </c>
      <c r="G9474" s="1">
        <v>44833</v>
      </c>
      <c r="H9474" t="str">
        <f>"89514"</f>
        <v>89514</v>
      </c>
      <c r="I9474">
        <v>1</v>
      </c>
      <c r="J9474">
        <v>371</v>
      </c>
      <c r="K9474">
        <v>0</v>
      </c>
      <c r="L9474">
        <v>519.4</v>
      </c>
    </row>
    <row r="9475" spans="1:12" x14ac:dyDescent="0.25">
      <c r="A9475" t="str">
        <f t="shared" si="2066"/>
        <v>89301000</v>
      </c>
      <c r="B9475" t="str">
        <f t="shared" si="2060"/>
        <v>89383000</v>
      </c>
      <c r="C9475" t="str">
        <f t="shared" si="2061"/>
        <v>89383002</v>
      </c>
      <c r="D9475" t="str">
        <f t="shared" si="2064"/>
        <v>809</v>
      </c>
      <c r="E9475" t="str">
        <f>"89301042"</f>
        <v>89301042</v>
      </c>
      <c r="F9475" t="str">
        <f>"505105165"</f>
        <v>505105165</v>
      </c>
      <c r="G9475" s="1">
        <v>44831</v>
      </c>
      <c r="H9475" t="str">
        <f>"89313"</f>
        <v>89313</v>
      </c>
      <c r="I9475">
        <v>1</v>
      </c>
      <c r="J9475">
        <v>406</v>
      </c>
      <c r="K9475">
        <v>0</v>
      </c>
      <c r="L9475">
        <v>568.4</v>
      </c>
    </row>
    <row r="9476" spans="1:12" x14ac:dyDescent="0.25">
      <c r="A9476" t="str">
        <f t="shared" si="2066"/>
        <v>89301000</v>
      </c>
      <c r="B9476" t="str">
        <f t="shared" si="2060"/>
        <v>89383000</v>
      </c>
      <c r="C9476" t="str">
        <f t="shared" si="2061"/>
        <v>89383002</v>
      </c>
      <c r="D9476" t="str">
        <f t="shared" si="2064"/>
        <v>809</v>
      </c>
      <c r="E9476" t="str">
        <f>"89301042"</f>
        <v>89301042</v>
      </c>
      <c r="F9476" t="str">
        <f>"505105165"</f>
        <v>505105165</v>
      </c>
      <c r="G9476" s="1">
        <v>44831</v>
      </c>
      <c r="H9476" t="str">
        <f>"09233"</f>
        <v>09233</v>
      </c>
      <c r="I9476">
        <v>1</v>
      </c>
      <c r="J9476">
        <v>99</v>
      </c>
      <c r="K9476">
        <v>0</v>
      </c>
      <c r="L9476">
        <v>138.6</v>
      </c>
    </row>
    <row r="9477" spans="1:12" x14ac:dyDescent="0.25">
      <c r="A9477" t="str">
        <f t="shared" si="2066"/>
        <v>89301000</v>
      </c>
      <c r="B9477" t="str">
        <f t="shared" si="2060"/>
        <v>89383000</v>
      </c>
      <c r="C9477" t="str">
        <f t="shared" si="2061"/>
        <v>89383002</v>
      </c>
      <c r="D9477" t="str">
        <f t="shared" si="2064"/>
        <v>809</v>
      </c>
      <c r="E9477" t="str">
        <f>"89301042"</f>
        <v>89301042</v>
      </c>
      <c r="F9477" t="str">
        <f>"505105165"</f>
        <v>505105165</v>
      </c>
      <c r="G9477" s="1">
        <v>44831</v>
      </c>
      <c r="H9477" t="str">
        <f>"89512"</f>
        <v>89512</v>
      </c>
      <c r="I9477">
        <v>1</v>
      </c>
      <c r="J9477">
        <v>277</v>
      </c>
      <c r="K9477">
        <v>0</v>
      </c>
      <c r="L9477">
        <v>387.8</v>
      </c>
    </row>
    <row r="9478" spans="1:12" x14ac:dyDescent="0.25">
      <c r="A9478" t="str">
        <f t="shared" si="2066"/>
        <v>89301000</v>
      </c>
      <c r="B9478" t="str">
        <f t="shared" si="2060"/>
        <v>89383000</v>
      </c>
      <c r="C9478" t="str">
        <f t="shared" si="2061"/>
        <v>89383002</v>
      </c>
      <c r="D9478" t="str">
        <f t="shared" si="2064"/>
        <v>809</v>
      </c>
      <c r="E9478" t="str">
        <f>"89301042"</f>
        <v>89301042</v>
      </c>
      <c r="F9478" t="str">
        <f>"505105165"</f>
        <v>505105165</v>
      </c>
      <c r="G9478" s="1">
        <v>44831</v>
      </c>
      <c r="H9478" t="str">
        <f>"0225891"</f>
        <v>0225891</v>
      </c>
      <c r="I9478">
        <v>0.05</v>
      </c>
      <c r="K9478">
        <v>18.39</v>
      </c>
      <c r="L9478">
        <v>18.39</v>
      </c>
    </row>
    <row r="9479" spans="1:12" x14ac:dyDescent="0.25">
      <c r="A9479" t="str">
        <f t="shared" si="2066"/>
        <v>89301000</v>
      </c>
      <c r="B9479" t="str">
        <f t="shared" si="2060"/>
        <v>89383000</v>
      </c>
      <c r="C9479" t="str">
        <f t="shared" si="2061"/>
        <v>89383002</v>
      </c>
      <c r="D9479" t="str">
        <f t="shared" si="2064"/>
        <v>809</v>
      </c>
      <c r="E9479" t="str">
        <f>"89301042"</f>
        <v>89301042</v>
      </c>
      <c r="F9479" t="str">
        <f>"505105165"</f>
        <v>505105165</v>
      </c>
      <c r="G9479" s="1">
        <v>44831</v>
      </c>
      <c r="H9479" t="str">
        <f>"0082502"</f>
        <v>0082502</v>
      </c>
      <c r="I9479">
        <v>1</v>
      </c>
      <c r="K9479">
        <v>2093</v>
      </c>
      <c r="L9479">
        <v>2093</v>
      </c>
    </row>
    <row r="9480" spans="1:12" x14ac:dyDescent="0.25">
      <c r="A9480" t="str">
        <f t="shared" si="2066"/>
        <v>89301000</v>
      </c>
      <c r="B9480" t="str">
        <f t="shared" ref="B9480:B9494" si="2067">"06223000"</f>
        <v>06223000</v>
      </c>
      <c r="C9480" t="str">
        <f t="shared" ref="C9480:C9494" si="2068">"06223043"</f>
        <v>06223043</v>
      </c>
      <c r="D9480" t="str">
        <f t="shared" ref="D9480:D9494" si="2069">"801"</f>
        <v>801</v>
      </c>
      <c r="E9480" t="str">
        <f t="shared" ref="E9480:E9494" si="2070">"89301122"</f>
        <v>89301122</v>
      </c>
      <c r="F9480" t="str">
        <f>"5710051116"</f>
        <v>5710051116</v>
      </c>
      <c r="G9480" s="1">
        <v>44833</v>
      </c>
      <c r="H9480" t="str">
        <f>"81485"</f>
        <v>81485</v>
      </c>
      <c r="I9480">
        <v>1</v>
      </c>
      <c r="J9480">
        <v>453</v>
      </c>
      <c r="K9480">
        <v>0</v>
      </c>
      <c r="L9480">
        <v>353.34</v>
      </c>
    </row>
    <row r="9481" spans="1:12" x14ac:dyDescent="0.25">
      <c r="A9481" t="str">
        <f t="shared" si="2066"/>
        <v>89301000</v>
      </c>
      <c r="B9481" t="str">
        <f t="shared" si="2067"/>
        <v>06223000</v>
      </c>
      <c r="C9481" t="str">
        <f t="shared" si="2068"/>
        <v>06223043</v>
      </c>
      <c r="D9481" t="str">
        <f t="shared" si="2069"/>
        <v>801</v>
      </c>
      <c r="E9481" t="str">
        <f t="shared" si="2070"/>
        <v>89301122</v>
      </c>
      <c r="F9481" t="str">
        <f>"6509031320"</f>
        <v>6509031320</v>
      </c>
      <c r="G9481" s="1">
        <v>44812</v>
      </c>
      <c r="H9481" t="str">
        <f>"81485"</f>
        <v>81485</v>
      </c>
      <c r="I9481">
        <v>1</v>
      </c>
      <c r="J9481">
        <v>453</v>
      </c>
      <c r="K9481">
        <v>0</v>
      </c>
      <c r="L9481">
        <v>353.34</v>
      </c>
    </row>
    <row r="9482" spans="1:12" x14ac:dyDescent="0.25">
      <c r="A9482" t="str">
        <f t="shared" si="2066"/>
        <v>89301000</v>
      </c>
      <c r="B9482" t="str">
        <f t="shared" si="2067"/>
        <v>06223000</v>
      </c>
      <c r="C9482" t="str">
        <f t="shared" si="2068"/>
        <v>06223043</v>
      </c>
      <c r="D9482" t="str">
        <f t="shared" si="2069"/>
        <v>801</v>
      </c>
      <c r="E9482" t="str">
        <f t="shared" si="2070"/>
        <v>89301122</v>
      </c>
      <c r="F9482" t="str">
        <f>"7458283756"</f>
        <v>7458283756</v>
      </c>
      <c r="G9482" s="1">
        <v>44815</v>
      </c>
      <c r="H9482" t="str">
        <f>"92165"</f>
        <v>92165</v>
      </c>
      <c r="I9482">
        <v>1</v>
      </c>
      <c r="J9482">
        <v>2113</v>
      </c>
      <c r="K9482">
        <v>0</v>
      </c>
      <c r="L9482">
        <v>1648.14</v>
      </c>
    </row>
    <row r="9483" spans="1:12" x14ac:dyDescent="0.25">
      <c r="A9483" t="str">
        <f t="shared" si="2066"/>
        <v>89301000</v>
      </c>
      <c r="B9483" t="str">
        <f t="shared" si="2067"/>
        <v>06223000</v>
      </c>
      <c r="C9483" t="str">
        <f t="shared" si="2068"/>
        <v>06223043</v>
      </c>
      <c r="D9483" t="str">
        <f t="shared" si="2069"/>
        <v>801</v>
      </c>
      <c r="E9483" t="str">
        <f t="shared" si="2070"/>
        <v>89301122</v>
      </c>
      <c r="F9483" t="str">
        <f>"0161225702"</f>
        <v>0161225702</v>
      </c>
      <c r="G9483" s="1">
        <v>44812</v>
      </c>
      <c r="H9483" t="str">
        <f t="shared" ref="H9483:H9492" si="2071">"81485"</f>
        <v>81485</v>
      </c>
      <c r="I9483">
        <v>1</v>
      </c>
      <c r="J9483">
        <v>453</v>
      </c>
      <c r="K9483">
        <v>0</v>
      </c>
      <c r="L9483">
        <v>353.34</v>
      </c>
    </row>
    <row r="9484" spans="1:12" x14ac:dyDescent="0.25">
      <c r="A9484" t="str">
        <f t="shared" si="2066"/>
        <v>89301000</v>
      </c>
      <c r="B9484" t="str">
        <f t="shared" si="2067"/>
        <v>06223000</v>
      </c>
      <c r="C9484" t="str">
        <f t="shared" si="2068"/>
        <v>06223043</v>
      </c>
      <c r="D9484" t="str">
        <f t="shared" si="2069"/>
        <v>801</v>
      </c>
      <c r="E9484" t="str">
        <f t="shared" si="2070"/>
        <v>89301122</v>
      </c>
      <c r="F9484" t="str">
        <f>"470225401"</f>
        <v>470225401</v>
      </c>
      <c r="G9484" s="1">
        <v>44819</v>
      </c>
      <c r="H9484" t="str">
        <f t="shared" si="2071"/>
        <v>81485</v>
      </c>
      <c r="I9484">
        <v>1</v>
      </c>
      <c r="J9484">
        <v>453</v>
      </c>
      <c r="K9484">
        <v>0</v>
      </c>
      <c r="L9484">
        <v>353.34</v>
      </c>
    </row>
    <row r="9485" spans="1:12" x14ac:dyDescent="0.25">
      <c r="A9485" t="str">
        <f t="shared" si="2066"/>
        <v>89301000</v>
      </c>
      <c r="B9485" t="str">
        <f t="shared" si="2067"/>
        <v>06223000</v>
      </c>
      <c r="C9485" t="str">
        <f t="shared" si="2068"/>
        <v>06223043</v>
      </c>
      <c r="D9485" t="str">
        <f t="shared" si="2069"/>
        <v>801</v>
      </c>
      <c r="E9485" t="str">
        <f t="shared" si="2070"/>
        <v>89301122</v>
      </c>
      <c r="F9485" t="str">
        <f>"8105265377"</f>
        <v>8105265377</v>
      </c>
      <c r="G9485" s="1">
        <v>44833</v>
      </c>
      <c r="H9485" t="str">
        <f t="shared" si="2071"/>
        <v>81485</v>
      </c>
      <c r="I9485">
        <v>1</v>
      </c>
      <c r="J9485">
        <v>453</v>
      </c>
      <c r="K9485">
        <v>0</v>
      </c>
      <c r="L9485">
        <v>353.34</v>
      </c>
    </row>
    <row r="9486" spans="1:12" x14ac:dyDescent="0.25">
      <c r="A9486" t="str">
        <f t="shared" si="2066"/>
        <v>89301000</v>
      </c>
      <c r="B9486" t="str">
        <f t="shared" si="2067"/>
        <v>06223000</v>
      </c>
      <c r="C9486" t="str">
        <f t="shared" si="2068"/>
        <v>06223043</v>
      </c>
      <c r="D9486" t="str">
        <f t="shared" si="2069"/>
        <v>801</v>
      </c>
      <c r="E9486" t="str">
        <f t="shared" si="2070"/>
        <v>89301122</v>
      </c>
      <c r="F9486" t="str">
        <f>"485510404"</f>
        <v>485510404</v>
      </c>
      <c r="G9486" s="1">
        <v>44824</v>
      </c>
      <c r="H9486" t="str">
        <f t="shared" si="2071"/>
        <v>81485</v>
      </c>
      <c r="I9486">
        <v>1</v>
      </c>
      <c r="J9486">
        <v>453</v>
      </c>
      <c r="K9486">
        <v>0</v>
      </c>
      <c r="L9486">
        <v>353.34</v>
      </c>
    </row>
    <row r="9487" spans="1:12" x14ac:dyDescent="0.25">
      <c r="A9487" t="str">
        <f t="shared" si="2066"/>
        <v>89301000</v>
      </c>
      <c r="B9487" t="str">
        <f t="shared" si="2067"/>
        <v>06223000</v>
      </c>
      <c r="C9487" t="str">
        <f t="shared" si="2068"/>
        <v>06223043</v>
      </c>
      <c r="D9487" t="str">
        <f t="shared" si="2069"/>
        <v>801</v>
      </c>
      <c r="E9487" t="str">
        <f t="shared" si="2070"/>
        <v>89301122</v>
      </c>
      <c r="F9487" t="str">
        <f>"7461115321"</f>
        <v>7461115321</v>
      </c>
      <c r="G9487" s="1">
        <v>44819</v>
      </c>
      <c r="H9487" t="str">
        <f t="shared" si="2071"/>
        <v>81485</v>
      </c>
      <c r="I9487">
        <v>1</v>
      </c>
      <c r="J9487">
        <v>453</v>
      </c>
      <c r="K9487">
        <v>0</v>
      </c>
      <c r="L9487">
        <v>353.34</v>
      </c>
    </row>
    <row r="9488" spans="1:12" x14ac:dyDescent="0.25">
      <c r="A9488" t="str">
        <f t="shared" si="2066"/>
        <v>89301000</v>
      </c>
      <c r="B9488" t="str">
        <f t="shared" si="2067"/>
        <v>06223000</v>
      </c>
      <c r="C9488" t="str">
        <f t="shared" si="2068"/>
        <v>06223043</v>
      </c>
      <c r="D9488" t="str">
        <f t="shared" si="2069"/>
        <v>801</v>
      </c>
      <c r="E9488" t="str">
        <f t="shared" si="2070"/>
        <v>89301122</v>
      </c>
      <c r="F9488" t="str">
        <f>"6858150838"</f>
        <v>6858150838</v>
      </c>
      <c r="G9488" s="1">
        <v>44812</v>
      </c>
      <c r="H9488" t="str">
        <f t="shared" si="2071"/>
        <v>81485</v>
      </c>
      <c r="I9488">
        <v>1</v>
      </c>
      <c r="J9488">
        <v>453</v>
      </c>
      <c r="K9488">
        <v>0</v>
      </c>
      <c r="L9488">
        <v>353.34</v>
      </c>
    </row>
    <row r="9489" spans="1:12" x14ac:dyDescent="0.25">
      <c r="A9489" t="str">
        <f t="shared" si="2066"/>
        <v>89301000</v>
      </c>
      <c r="B9489" t="str">
        <f t="shared" si="2067"/>
        <v>06223000</v>
      </c>
      <c r="C9489" t="str">
        <f t="shared" si="2068"/>
        <v>06223043</v>
      </c>
      <c r="D9489" t="str">
        <f t="shared" si="2069"/>
        <v>801</v>
      </c>
      <c r="E9489" t="str">
        <f t="shared" si="2070"/>
        <v>89301122</v>
      </c>
      <c r="F9489" t="str">
        <f>"7512235071"</f>
        <v>7512235071</v>
      </c>
      <c r="G9489" s="1">
        <v>44833</v>
      </c>
      <c r="H9489" t="str">
        <f t="shared" si="2071"/>
        <v>81485</v>
      </c>
      <c r="I9489">
        <v>1</v>
      </c>
      <c r="J9489">
        <v>453</v>
      </c>
      <c r="K9489">
        <v>0</v>
      </c>
      <c r="L9489">
        <v>353.34</v>
      </c>
    </row>
    <row r="9490" spans="1:12" x14ac:dyDescent="0.25">
      <c r="A9490" t="str">
        <f t="shared" si="2066"/>
        <v>89301000</v>
      </c>
      <c r="B9490" t="str">
        <f t="shared" si="2067"/>
        <v>06223000</v>
      </c>
      <c r="C9490" t="str">
        <f t="shared" si="2068"/>
        <v>06223043</v>
      </c>
      <c r="D9490" t="str">
        <f t="shared" si="2069"/>
        <v>801</v>
      </c>
      <c r="E9490" t="str">
        <f t="shared" si="2070"/>
        <v>89301122</v>
      </c>
      <c r="F9490" t="str">
        <f>"5902201008"</f>
        <v>5902201008</v>
      </c>
      <c r="G9490" s="1">
        <v>44833</v>
      </c>
      <c r="H9490" t="str">
        <f t="shared" si="2071"/>
        <v>81485</v>
      </c>
      <c r="I9490">
        <v>1</v>
      </c>
      <c r="J9490">
        <v>453</v>
      </c>
      <c r="K9490">
        <v>0</v>
      </c>
      <c r="L9490">
        <v>353.34</v>
      </c>
    </row>
    <row r="9491" spans="1:12" x14ac:dyDescent="0.25">
      <c r="A9491" t="str">
        <f t="shared" si="2066"/>
        <v>89301000</v>
      </c>
      <c r="B9491" t="str">
        <f t="shared" si="2067"/>
        <v>06223000</v>
      </c>
      <c r="C9491" t="str">
        <f t="shared" si="2068"/>
        <v>06223043</v>
      </c>
      <c r="D9491" t="str">
        <f t="shared" si="2069"/>
        <v>801</v>
      </c>
      <c r="E9491" t="str">
        <f t="shared" si="2070"/>
        <v>89301122</v>
      </c>
      <c r="F9491" t="str">
        <f>"5901200140"</f>
        <v>5901200140</v>
      </c>
      <c r="G9491" s="1">
        <v>44812</v>
      </c>
      <c r="H9491" t="str">
        <f t="shared" si="2071"/>
        <v>81485</v>
      </c>
      <c r="I9491">
        <v>1</v>
      </c>
      <c r="J9491">
        <v>453</v>
      </c>
      <c r="K9491">
        <v>0</v>
      </c>
      <c r="L9491">
        <v>353.34</v>
      </c>
    </row>
    <row r="9492" spans="1:12" x14ac:dyDescent="0.25">
      <c r="A9492" t="str">
        <f t="shared" si="2066"/>
        <v>89301000</v>
      </c>
      <c r="B9492" t="str">
        <f t="shared" si="2067"/>
        <v>06223000</v>
      </c>
      <c r="C9492" t="str">
        <f t="shared" si="2068"/>
        <v>06223043</v>
      </c>
      <c r="D9492" t="str">
        <f t="shared" si="2069"/>
        <v>801</v>
      </c>
      <c r="E9492" t="str">
        <f t="shared" si="2070"/>
        <v>89301122</v>
      </c>
      <c r="F9492" t="str">
        <f>"5710051116"</f>
        <v>5710051116</v>
      </c>
      <c r="G9492" s="1">
        <v>44812</v>
      </c>
      <c r="H9492" t="str">
        <f t="shared" si="2071"/>
        <v>81485</v>
      </c>
      <c r="I9492">
        <v>1</v>
      </c>
      <c r="J9492">
        <v>453</v>
      </c>
      <c r="K9492">
        <v>0</v>
      </c>
      <c r="L9492">
        <v>353.34</v>
      </c>
    </row>
    <row r="9493" spans="1:12" x14ac:dyDescent="0.25">
      <c r="A9493" t="str">
        <f t="shared" si="2066"/>
        <v>89301000</v>
      </c>
      <c r="B9493" t="str">
        <f t="shared" si="2067"/>
        <v>06223000</v>
      </c>
      <c r="C9493" t="str">
        <f t="shared" si="2068"/>
        <v>06223043</v>
      </c>
      <c r="D9493" t="str">
        <f t="shared" si="2069"/>
        <v>801</v>
      </c>
      <c r="E9493" t="str">
        <f t="shared" si="2070"/>
        <v>89301122</v>
      </c>
      <c r="F9493" t="str">
        <f>"5710051116"</f>
        <v>5710051116</v>
      </c>
      <c r="G9493" s="1">
        <v>44813</v>
      </c>
      <c r="H9493" t="str">
        <f>"92165"</f>
        <v>92165</v>
      </c>
      <c r="I9493">
        <v>1</v>
      </c>
      <c r="J9493">
        <v>2113</v>
      </c>
      <c r="K9493">
        <v>0</v>
      </c>
      <c r="L9493">
        <v>1648.14</v>
      </c>
    </row>
    <row r="9494" spans="1:12" x14ac:dyDescent="0.25">
      <c r="A9494" t="str">
        <f t="shared" si="2066"/>
        <v>89301000</v>
      </c>
      <c r="B9494" t="str">
        <f t="shared" si="2067"/>
        <v>06223000</v>
      </c>
      <c r="C9494" t="str">
        <f t="shared" si="2068"/>
        <v>06223043</v>
      </c>
      <c r="D9494" t="str">
        <f t="shared" si="2069"/>
        <v>801</v>
      </c>
      <c r="E9494" t="str">
        <f t="shared" si="2070"/>
        <v>89301122</v>
      </c>
      <c r="F9494" t="str">
        <f>"470127716"</f>
        <v>470127716</v>
      </c>
      <c r="G9494" s="1">
        <v>44833</v>
      </c>
      <c r="H9494" t="str">
        <f>"81485"</f>
        <v>81485</v>
      </c>
      <c r="I9494">
        <v>1</v>
      </c>
      <c r="J9494">
        <v>453</v>
      </c>
      <c r="K9494">
        <v>0</v>
      </c>
      <c r="L9494">
        <v>353.34</v>
      </c>
    </row>
    <row r="9495" spans="1:12" x14ac:dyDescent="0.25">
      <c r="A9495" t="str">
        <f t="shared" si="2066"/>
        <v>89301000</v>
      </c>
      <c r="B9495" t="str">
        <f t="shared" ref="B9495:B9510" si="2072">"02004000"</f>
        <v>02004000</v>
      </c>
      <c r="C9495" t="str">
        <f>"02004371"</f>
        <v>02004371</v>
      </c>
      <c r="D9495" t="str">
        <f>"810"</f>
        <v>810</v>
      </c>
      <c r="E9495" t="str">
        <f>"89301062"</f>
        <v>89301062</v>
      </c>
      <c r="F9495" t="str">
        <f>"6659060177"</f>
        <v>6659060177</v>
      </c>
      <c r="G9495" s="1">
        <v>44808</v>
      </c>
      <c r="H9495" t="str">
        <f>"89713"</f>
        <v>89713</v>
      </c>
      <c r="I9495">
        <v>1</v>
      </c>
      <c r="J9495">
        <v>5362</v>
      </c>
      <c r="K9495">
        <v>0</v>
      </c>
      <c r="L9495">
        <v>3217.2</v>
      </c>
    </row>
    <row r="9496" spans="1:12" x14ac:dyDescent="0.25">
      <c r="A9496" t="str">
        <f t="shared" si="2066"/>
        <v>89301000</v>
      </c>
      <c r="B9496" t="str">
        <f t="shared" si="2072"/>
        <v>02004000</v>
      </c>
      <c r="C9496" t="str">
        <f>"02004371"</f>
        <v>02004371</v>
      </c>
      <c r="D9496" t="str">
        <f>"810"</f>
        <v>810</v>
      </c>
      <c r="E9496" t="str">
        <f>"89301062"</f>
        <v>89301062</v>
      </c>
      <c r="F9496" t="str">
        <f>"6659060177"</f>
        <v>6659060177</v>
      </c>
      <c r="G9496" s="1">
        <v>44808</v>
      </c>
      <c r="H9496" t="str">
        <f>"89725"</f>
        <v>89725</v>
      </c>
      <c r="I9496">
        <v>1</v>
      </c>
      <c r="J9496">
        <v>2839</v>
      </c>
      <c r="K9496">
        <v>0</v>
      </c>
      <c r="L9496">
        <v>1703.4</v>
      </c>
    </row>
    <row r="9497" spans="1:12" x14ac:dyDescent="0.25">
      <c r="A9497" t="str">
        <f t="shared" si="2066"/>
        <v>89301000</v>
      </c>
      <c r="B9497" t="str">
        <f t="shared" si="2072"/>
        <v>02004000</v>
      </c>
      <c r="C9497" t="str">
        <f t="shared" ref="C9497:C9510" si="2073">"02004556"</f>
        <v>02004556</v>
      </c>
      <c r="D9497" t="str">
        <f t="shared" ref="D9497:D9510" si="2074">"813"</f>
        <v>813</v>
      </c>
      <c r="E9497" t="str">
        <f>"89301102"</f>
        <v>89301102</v>
      </c>
      <c r="F9497" t="str">
        <f>"0707116157"</f>
        <v>0707116157</v>
      </c>
      <c r="G9497" s="1">
        <v>44810</v>
      </c>
      <c r="H9497" t="str">
        <f>"91249"</f>
        <v>91249</v>
      </c>
      <c r="I9497">
        <v>1</v>
      </c>
      <c r="J9497">
        <v>1489</v>
      </c>
      <c r="K9497">
        <v>0</v>
      </c>
      <c r="L9497">
        <v>1161.42</v>
      </c>
    </row>
    <row r="9498" spans="1:12" x14ac:dyDescent="0.25">
      <c r="A9498" t="str">
        <f t="shared" si="2066"/>
        <v>89301000</v>
      </c>
      <c r="B9498" t="str">
        <f t="shared" si="2072"/>
        <v>02004000</v>
      </c>
      <c r="C9498" t="str">
        <f t="shared" si="2073"/>
        <v>02004556</v>
      </c>
      <c r="D9498" t="str">
        <f t="shared" si="2074"/>
        <v>813</v>
      </c>
      <c r="E9498" t="str">
        <f>"89301102"</f>
        <v>89301102</v>
      </c>
      <c r="F9498" t="str">
        <f>"0707116157"</f>
        <v>0707116157</v>
      </c>
      <c r="G9498" s="1">
        <v>44810</v>
      </c>
      <c r="H9498" t="str">
        <f>"91251"</f>
        <v>91251</v>
      </c>
      <c r="I9498">
        <v>1</v>
      </c>
      <c r="J9498">
        <v>1489</v>
      </c>
      <c r="K9498">
        <v>0</v>
      </c>
      <c r="L9498">
        <v>1161.42</v>
      </c>
    </row>
    <row r="9499" spans="1:12" x14ac:dyDescent="0.25">
      <c r="A9499" t="str">
        <f t="shared" si="2066"/>
        <v>89301000</v>
      </c>
      <c r="B9499" t="str">
        <f t="shared" si="2072"/>
        <v>02004000</v>
      </c>
      <c r="C9499" t="str">
        <f t="shared" si="2073"/>
        <v>02004556</v>
      </c>
      <c r="D9499" t="str">
        <f t="shared" si="2074"/>
        <v>813</v>
      </c>
      <c r="E9499" t="str">
        <f>"89301102"</f>
        <v>89301102</v>
      </c>
      <c r="F9499" t="str">
        <f>"0309275703"</f>
        <v>0309275703</v>
      </c>
      <c r="G9499" s="1">
        <v>44810</v>
      </c>
      <c r="H9499" t="str">
        <f>"91249"</f>
        <v>91249</v>
      </c>
      <c r="I9499">
        <v>1</v>
      </c>
      <c r="J9499">
        <v>1489</v>
      </c>
      <c r="K9499">
        <v>0</v>
      </c>
      <c r="L9499">
        <v>1161.42</v>
      </c>
    </row>
    <row r="9500" spans="1:12" x14ac:dyDescent="0.25">
      <c r="A9500" t="str">
        <f t="shared" si="2066"/>
        <v>89301000</v>
      </c>
      <c r="B9500" t="str">
        <f t="shared" si="2072"/>
        <v>02004000</v>
      </c>
      <c r="C9500" t="str">
        <f t="shared" si="2073"/>
        <v>02004556</v>
      </c>
      <c r="D9500" t="str">
        <f t="shared" si="2074"/>
        <v>813</v>
      </c>
      <c r="E9500" t="str">
        <f>"89301102"</f>
        <v>89301102</v>
      </c>
      <c r="F9500" t="str">
        <f>"0309275703"</f>
        <v>0309275703</v>
      </c>
      <c r="G9500" s="1">
        <v>44810</v>
      </c>
      <c r="H9500" t="str">
        <f>"91251"</f>
        <v>91251</v>
      </c>
      <c r="I9500">
        <v>1</v>
      </c>
      <c r="J9500">
        <v>1489</v>
      </c>
      <c r="K9500">
        <v>0</v>
      </c>
      <c r="L9500">
        <v>1161.42</v>
      </c>
    </row>
    <row r="9501" spans="1:12" x14ac:dyDescent="0.25">
      <c r="A9501" t="str">
        <f t="shared" si="2066"/>
        <v>89301000</v>
      </c>
      <c r="B9501" t="str">
        <f t="shared" si="2072"/>
        <v>02004000</v>
      </c>
      <c r="C9501" t="str">
        <f t="shared" si="2073"/>
        <v>02004556</v>
      </c>
      <c r="D9501" t="str">
        <f t="shared" si="2074"/>
        <v>813</v>
      </c>
      <c r="E9501" t="str">
        <f>"89301702"</f>
        <v>89301702</v>
      </c>
      <c r="F9501" t="str">
        <f>"1311050246"</f>
        <v>1311050246</v>
      </c>
      <c r="G9501" s="1">
        <v>44816</v>
      </c>
      <c r="H9501" t="str">
        <f>"91249"</f>
        <v>91249</v>
      </c>
      <c r="I9501">
        <v>1</v>
      </c>
      <c r="J9501">
        <v>1489</v>
      </c>
      <c r="K9501">
        <v>0</v>
      </c>
      <c r="L9501">
        <v>1161.42</v>
      </c>
    </row>
    <row r="9502" spans="1:12" x14ac:dyDescent="0.25">
      <c r="A9502" t="str">
        <f t="shared" si="2066"/>
        <v>89301000</v>
      </c>
      <c r="B9502" t="str">
        <f t="shared" si="2072"/>
        <v>02004000</v>
      </c>
      <c r="C9502" t="str">
        <f t="shared" si="2073"/>
        <v>02004556</v>
      </c>
      <c r="D9502" t="str">
        <f t="shared" si="2074"/>
        <v>813</v>
      </c>
      <c r="E9502" t="str">
        <f>"89301702"</f>
        <v>89301702</v>
      </c>
      <c r="F9502" t="str">
        <f>"1311050246"</f>
        <v>1311050246</v>
      </c>
      <c r="G9502" s="1">
        <v>44816</v>
      </c>
      <c r="H9502" t="str">
        <f>"91251"</f>
        <v>91251</v>
      </c>
      <c r="I9502">
        <v>1</v>
      </c>
      <c r="J9502">
        <v>1489</v>
      </c>
      <c r="K9502">
        <v>0</v>
      </c>
      <c r="L9502">
        <v>1161.42</v>
      </c>
    </row>
    <row r="9503" spans="1:12" x14ac:dyDescent="0.25">
      <c r="A9503" t="str">
        <f t="shared" si="2066"/>
        <v>89301000</v>
      </c>
      <c r="B9503" t="str">
        <f t="shared" si="2072"/>
        <v>02004000</v>
      </c>
      <c r="C9503" t="str">
        <f t="shared" si="2073"/>
        <v>02004556</v>
      </c>
      <c r="D9503" t="str">
        <f t="shared" si="2074"/>
        <v>813</v>
      </c>
      <c r="E9503" t="str">
        <f>"89301102"</f>
        <v>89301102</v>
      </c>
      <c r="F9503" t="str">
        <f>"0658303239"</f>
        <v>0658303239</v>
      </c>
      <c r="G9503" s="1">
        <v>44799</v>
      </c>
      <c r="H9503" t="str">
        <f>"91249"</f>
        <v>91249</v>
      </c>
      <c r="I9503">
        <v>1</v>
      </c>
      <c r="J9503">
        <v>1489</v>
      </c>
      <c r="K9503">
        <v>0</v>
      </c>
      <c r="L9503">
        <v>1161.42</v>
      </c>
    </row>
    <row r="9504" spans="1:12" x14ac:dyDescent="0.25">
      <c r="A9504" t="str">
        <f t="shared" si="2066"/>
        <v>89301000</v>
      </c>
      <c r="B9504" t="str">
        <f t="shared" si="2072"/>
        <v>02004000</v>
      </c>
      <c r="C9504" t="str">
        <f t="shared" si="2073"/>
        <v>02004556</v>
      </c>
      <c r="D9504" t="str">
        <f t="shared" si="2074"/>
        <v>813</v>
      </c>
      <c r="E9504" t="str">
        <f>"89301102"</f>
        <v>89301102</v>
      </c>
      <c r="F9504" t="str">
        <f>"0658303239"</f>
        <v>0658303239</v>
      </c>
      <c r="G9504" s="1">
        <v>44799</v>
      </c>
      <c r="H9504" t="str">
        <f>"91251"</f>
        <v>91251</v>
      </c>
      <c r="I9504">
        <v>1</v>
      </c>
      <c r="J9504">
        <v>1489</v>
      </c>
      <c r="K9504">
        <v>0</v>
      </c>
      <c r="L9504">
        <v>1161.42</v>
      </c>
    </row>
    <row r="9505" spans="1:12" x14ac:dyDescent="0.25">
      <c r="A9505" t="str">
        <f t="shared" si="2066"/>
        <v>89301000</v>
      </c>
      <c r="B9505" t="str">
        <f t="shared" si="2072"/>
        <v>02004000</v>
      </c>
      <c r="C9505" t="str">
        <f t="shared" si="2073"/>
        <v>02004556</v>
      </c>
      <c r="D9505" t="str">
        <f t="shared" si="2074"/>
        <v>813</v>
      </c>
      <c r="E9505" t="str">
        <f>"89301102"</f>
        <v>89301102</v>
      </c>
      <c r="F9505" t="str">
        <f>"0606161380"</f>
        <v>0606161380</v>
      </c>
      <c r="G9505" s="1">
        <v>44789</v>
      </c>
      <c r="H9505" t="str">
        <f>"91249"</f>
        <v>91249</v>
      </c>
      <c r="I9505">
        <v>1</v>
      </c>
      <c r="J9505">
        <v>1489</v>
      </c>
      <c r="K9505">
        <v>0</v>
      </c>
      <c r="L9505">
        <v>1161.42</v>
      </c>
    </row>
    <row r="9506" spans="1:12" x14ac:dyDescent="0.25">
      <c r="A9506" t="str">
        <f t="shared" si="2066"/>
        <v>89301000</v>
      </c>
      <c r="B9506" t="str">
        <f t="shared" si="2072"/>
        <v>02004000</v>
      </c>
      <c r="C9506" t="str">
        <f t="shared" si="2073"/>
        <v>02004556</v>
      </c>
      <c r="D9506" t="str">
        <f t="shared" si="2074"/>
        <v>813</v>
      </c>
      <c r="E9506" t="str">
        <f>"89301102"</f>
        <v>89301102</v>
      </c>
      <c r="F9506" t="str">
        <f>"0606161380"</f>
        <v>0606161380</v>
      </c>
      <c r="G9506" s="1">
        <v>44789</v>
      </c>
      <c r="H9506" t="str">
        <f>"91251"</f>
        <v>91251</v>
      </c>
      <c r="I9506">
        <v>1</v>
      </c>
      <c r="J9506">
        <v>1489</v>
      </c>
      <c r="K9506">
        <v>0</v>
      </c>
      <c r="L9506">
        <v>1161.42</v>
      </c>
    </row>
    <row r="9507" spans="1:12" x14ac:dyDescent="0.25">
      <c r="A9507" t="str">
        <f t="shared" si="2066"/>
        <v>89301000</v>
      </c>
      <c r="B9507" t="str">
        <f t="shared" si="2072"/>
        <v>02004000</v>
      </c>
      <c r="C9507" t="str">
        <f t="shared" si="2073"/>
        <v>02004556</v>
      </c>
      <c r="D9507" t="str">
        <f t="shared" si="2074"/>
        <v>813</v>
      </c>
      <c r="E9507" t="str">
        <f>"89301028"</f>
        <v>89301028</v>
      </c>
      <c r="F9507" t="str">
        <f>"0161054850"</f>
        <v>0161054850</v>
      </c>
      <c r="G9507" s="1">
        <v>44798</v>
      </c>
      <c r="H9507" t="str">
        <f>"91249"</f>
        <v>91249</v>
      </c>
      <c r="I9507">
        <v>1</v>
      </c>
      <c r="J9507">
        <v>1489</v>
      </c>
      <c r="K9507">
        <v>0</v>
      </c>
      <c r="L9507">
        <v>1161.42</v>
      </c>
    </row>
    <row r="9508" spans="1:12" x14ac:dyDescent="0.25">
      <c r="A9508" t="str">
        <f t="shared" si="2066"/>
        <v>89301000</v>
      </c>
      <c r="B9508" t="str">
        <f t="shared" si="2072"/>
        <v>02004000</v>
      </c>
      <c r="C9508" t="str">
        <f t="shared" si="2073"/>
        <v>02004556</v>
      </c>
      <c r="D9508" t="str">
        <f t="shared" si="2074"/>
        <v>813</v>
      </c>
      <c r="E9508" t="str">
        <f>"89301028"</f>
        <v>89301028</v>
      </c>
      <c r="F9508" t="str">
        <f>"0161054850"</f>
        <v>0161054850</v>
      </c>
      <c r="G9508" s="1">
        <v>44798</v>
      </c>
      <c r="H9508" t="str">
        <f>"91251"</f>
        <v>91251</v>
      </c>
      <c r="I9508">
        <v>1</v>
      </c>
      <c r="J9508">
        <v>1489</v>
      </c>
      <c r="K9508">
        <v>0</v>
      </c>
      <c r="L9508">
        <v>1161.42</v>
      </c>
    </row>
    <row r="9509" spans="1:12" x14ac:dyDescent="0.25">
      <c r="A9509" t="str">
        <f t="shared" si="2066"/>
        <v>89301000</v>
      </c>
      <c r="B9509" t="str">
        <f t="shared" si="2072"/>
        <v>02004000</v>
      </c>
      <c r="C9509" t="str">
        <f t="shared" si="2073"/>
        <v>02004556</v>
      </c>
      <c r="D9509" t="str">
        <f t="shared" si="2074"/>
        <v>813</v>
      </c>
      <c r="E9509" t="str">
        <f>"89301102"</f>
        <v>89301102</v>
      </c>
      <c r="F9509" t="str">
        <f>"0756083383"</f>
        <v>0756083383</v>
      </c>
      <c r="G9509" s="1">
        <v>44803</v>
      </c>
      <c r="H9509" t="str">
        <f>"91249"</f>
        <v>91249</v>
      </c>
      <c r="I9509">
        <v>1</v>
      </c>
      <c r="J9509">
        <v>1489</v>
      </c>
      <c r="K9509">
        <v>0</v>
      </c>
      <c r="L9509">
        <v>1161.42</v>
      </c>
    </row>
    <row r="9510" spans="1:12" x14ac:dyDescent="0.25">
      <c r="A9510" t="str">
        <f t="shared" si="2066"/>
        <v>89301000</v>
      </c>
      <c r="B9510" t="str">
        <f t="shared" si="2072"/>
        <v>02004000</v>
      </c>
      <c r="C9510" t="str">
        <f t="shared" si="2073"/>
        <v>02004556</v>
      </c>
      <c r="D9510" t="str">
        <f t="shared" si="2074"/>
        <v>813</v>
      </c>
      <c r="E9510" t="str">
        <f>"89301102"</f>
        <v>89301102</v>
      </c>
      <c r="F9510" t="str">
        <f>"0756083383"</f>
        <v>0756083383</v>
      </c>
      <c r="G9510" s="1">
        <v>44803</v>
      </c>
      <c r="H9510" t="str">
        <f>"91251"</f>
        <v>91251</v>
      </c>
      <c r="I9510">
        <v>1</v>
      </c>
      <c r="J9510">
        <v>1489</v>
      </c>
      <c r="K9510">
        <v>0</v>
      </c>
      <c r="L9510">
        <v>1161.42</v>
      </c>
    </row>
    <row r="9511" spans="1:12" x14ac:dyDescent="0.25">
      <c r="A9511" t="str">
        <f t="shared" si="2066"/>
        <v>89301000</v>
      </c>
      <c r="B9511" t="str">
        <f>"89100260"</f>
        <v>89100260</v>
      </c>
      <c r="C9511" t="str">
        <f>"89100261"</f>
        <v>89100261</v>
      </c>
      <c r="D9511" t="str">
        <f t="shared" ref="D9511:D9522" si="2075">"809"</f>
        <v>809</v>
      </c>
      <c r="E9511" t="str">
        <f>"89301212"</f>
        <v>89301212</v>
      </c>
      <c r="F9511" t="str">
        <f>"6360290673"</f>
        <v>6360290673</v>
      </c>
      <c r="G9511" s="1">
        <v>44830</v>
      </c>
      <c r="H9511" t="str">
        <f>"89131"</f>
        <v>89131</v>
      </c>
      <c r="I9511">
        <v>1</v>
      </c>
      <c r="J9511">
        <v>187</v>
      </c>
      <c r="K9511">
        <v>0</v>
      </c>
      <c r="L9511">
        <v>261.8</v>
      </c>
    </row>
    <row r="9512" spans="1:12" x14ac:dyDescent="0.25">
      <c r="A9512" t="str">
        <f t="shared" si="2066"/>
        <v>89301000</v>
      </c>
      <c r="B9512" t="str">
        <f t="shared" ref="B9512:B9549" si="2076">"78006000"</f>
        <v>78006000</v>
      </c>
      <c r="C9512" t="str">
        <f t="shared" ref="C9512:C9522" si="2077">"78006231"</f>
        <v>78006231</v>
      </c>
      <c r="D9512" t="str">
        <f t="shared" si="2075"/>
        <v>809</v>
      </c>
      <c r="E9512" t="str">
        <f>"89301212"</f>
        <v>89301212</v>
      </c>
      <c r="F9512" t="str">
        <f>"470909402"</f>
        <v>470909402</v>
      </c>
      <c r="G9512" s="1">
        <v>44816</v>
      </c>
      <c r="H9512" t="str">
        <f>"89611"</f>
        <v>89611</v>
      </c>
      <c r="I9512">
        <v>1</v>
      </c>
      <c r="J9512">
        <v>2241</v>
      </c>
      <c r="K9512">
        <v>0</v>
      </c>
      <c r="L9512">
        <v>1344.6</v>
      </c>
    </row>
    <row r="9513" spans="1:12" x14ac:dyDescent="0.25">
      <c r="A9513" t="str">
        <f t="shared" si="2066"/>
        <v>89301000</v>
      </c>
      <c r="B9513" t="str">
        <f t="shared" si="2076"/>
        <v>78006000</v>
      </c>
      <c r="C9513" t="str">
        <f t="shared" si="2077"/>
        <v>78006231</v>
      </c>
      <c r="D9513" t="str">
        <f t="shared" si="2075"/>
        <v>809</v>
      </c>
      <c r="E9513" t="str">
        <f>"89301212"</f>
        <v>89301212</v>
      </c>
      <c r="F9513" t="str">
        <f>"470909402"</f>
        <v>470909402</v>
      </c>
      <c r="G9513" s="1">
        <v>44816</v>
      </c>
      <c r="H9513" t="str">
        <f>"0022075"</f>
        <v>0022075</v>
      </c>
      <c r="I9513">
        <v>1</v>
      </c>
      <c r="K9513">
        <v>1004.83</v>
      </c>
      <c r="L9513">
        <v>1004.83</v>
      </c>
    </row>
    <row r="9514" spans="1:12" x14ac:dyDescent="0.25">
      <c r="A9514" t="str">
        <f t="shared" si="2066"/>
        <v>89301000</v>
      </c>
      <c r="B9514" t="str">
        <f t="shared" si="2076"/>
        <v>78006000</v>
      </c>
      <c r="C9514" t="str">
        <f t="shared" si="2077"/>
        <v>78006231</v>
      </c>
      <c r="D9514" t="str">
        <f t="shared" si="2075"/>
        <v>809</v>
      </c>
      <c r="E9514" t="str">
        <f>"89301212"</f>
        <v>89301212</v>
      </c>
      <c r="F9514" t="str">
        <f>"470909402"</f>
        <v>470909402</v>
      </c>
      <c r="G9514" s="1">
        <v>44816</v>
      </c>
      <c r="H9514" t="str">
        <f>"0059496"</f>
        <v>0059496</v>
      </c>
      <c r="I9514">
        <v>0.5</v>
      </c>
      <c r="K9514">
        <v>126.04</v>
      </c>
      <c r="L9514">
        <v>126.04</v>
      </c>
    </row>
    <row r="9515" spans="1:12" x14ac:dyDescent="0.25">
      <c r="A9515" t="str">
        <f t="shared" si="2066"/>
        <v>89301000</v>
      </c>
      <c r="B9515" t="str">
        <f t="shared" si="2076"/>
        <v>78006000</v>
      </c>
      <c r="C9515" t="str">
        <f t="shared" si="2077"/>
        <v>78006231</v>
      </c>
      <c r="D9515" t="str">
        <f t="shared" si="2075"/>
        <v>809</v>
      </c>
      <c r="E9515" t="str">
        <f>"89301132"</f>
        <v>89301132</v>
      </c>
      <c r="F9515" t="str">
        <f>"7655014510"</f>
        <v>7655014510</v>
      </c>
      <c r="G9515" s="1">
        <v>44826</v>
      </c>
      <c r="H9515" t="str">
        <f>"89617"</f>
        <v>89617</v>
      </c>
      <c r="I9515">
        <v>1</v>
      </c>
      <c r="J9515">
        <v>1332</v>
      </c>
      <c r="K9515">
        <v>0</v>
      </c>
      <c r="L9515">
        <v>799.2</v>
      </c>
    </row>
    <row r="9516" spans="1:12" x14ac:dyDescent="0.25">
      <c r="A9516" t="str">
        <f t="shared" si="2066"/>
        <v>89301000</v>
      </c>
      <c r="B9516" t="str">
        <f t="shared" si="2076"/>
        <v>78006000</v>
      </c>
      <c r="C9516" t="str">
        <f t="shared" si="2077"/>
        <v>78006231</v>
      </c>
      <c r="D9516" t="str">
        <f t="shared" si="2075"/>
        <v>809</v>
      </c>
      <c r="E9516" t="str">
        <f>"89301132"</f>
        <v>89301132</v>
      </c>
      <c r="F9516" t="str">
        <f>"7655014510"</f>
        <v>7655014510</v>
      </c>
      <c r="G9516" s="1">
        <v>44826</v>
      </c>
      <c r="H9516" t="str">
        <f>"0022075"</f>
        <v>0022075</v>
      </c>
      <c r="I9516">
        <v>1</v>
      </c>
      <c r="K9516">
        <v>1004.83</v>
      </c>
      <c r="L9516">
        <v>1004.83</v>
      </c>
    </row>
    <row r="9517" spans="1:12" x14ac:dyDescent="0.25">
      <c r="A9517" t="str">
        <f t="shared" si="2066"/>
        <v>89301000</v>
      </c>
      <c r="B9517" t="str">
        <f t="shared" si="2076"/>
        <v>78006000</v>
      </c>
      <c r="C9517" t="str">
        <f t="shared" si="2077"/>
        <v>78006231</v>
      </c>
      <c r="D9517" t="str">
        <f t="shared" si="2075"/>
        <v>809</v>
      </c>
      <c r="E9517" t="str">
        <f>"89301039"</f>
        <v>89301039</v>
      </c>
      <c r="F9517" t="str">
        <f>"9608084849"</f>
        <v>9608084849</v>
      </c>
      <c r="G9517" s="1">
        <v>44805</v>
      </c>
      <c r="H9517" t="str">
        <f>"89180"</f>
        <v>89180</v>
      </c>
      <c r="I9517">
        <v>2</v>
      </c>
      <c r="J9517">
        <v>752</v>
      </c>
      <c r="K9517">
        <v>0</v>
      </c>
      <c r="L9517">
        <v>1052.8</v>
      </c>
    </row>
    <row r="9518" spans="1:12" x14ac:dyDescent="0.25">
      <c r="A9518" t="str">
        <f t="shared" si="2066"/>
        <v>89301000</v>
      </c>
      <c r="B9518" t="str">
        <f t="shared" si="2076"/>
        <v>78006000</v>
      </c>
      <c r="C9518" t="str">
        <f t="shared" si="2077"/>
        <v>78006231</v>
      </c>
      <c r="D9518" t="str">
        <f t="shared" si="2075"/>
        <v>809</v>
      </c>
      <c r="E9518" t="str">
        <f>"89301212"</f>
        <v>89301212</v>
      </c>
      <c r="F9518" t="str">
        <f>"7651075784"</f>
        <v>7651075784</v>
      </c>
      <c r="G9518" s="1">
        <v>44817</v>
      </c>
      <c r="H9518" t="str">
        <f>"89180"</f>
        <v>89180</v>
      </c>
      <c r="I9518">
        <v>1</v>
      </c>
      <c r="J9518">
        <v>376</v>
      </c>
      <c r="K9518">
        <v>0</v>
      </c>
      <c r="L9518">
        <v>526.4</v>
      </c>
    </row>
    <row r="9519" spans="1:12" x14ac:dyDescent="0.25">
      <c r="A9519" t="str">
        <f t="shared" si="2066"/>
        <v>89301000</v>
      </c>
      <c r="B9519" t="str">
        <f t="shared" si="2076"/>
        <v>78006000</v>
      </c>
      <c r="C9519" t="str">
        <f t="shared" si="2077"/>
        <v>78006231</v>
      </c>
      <c r="D9519" t="str">
        <f t="shared" si="2075"/>
        <v>809</v>
      </c>
      <c r="E9519" t="str">
        <f>"89301212"</f>
        <v>89301212</v>
      </c>
      <c r="F9519" t="str">
        <f>"470909402"</f>
        <v>470909402</v>
      </c>
      <c r="G9519" s="1">
        <v>44816</v>
      </c>
      <c r="H9519" t="str">
        <f>"89131"</f>
        <v>89131</v>
      </c>
      <c r="I9519">
        <v>1</v>
      </c>
      <c r="J9519">
        <v>187</v>
      </c>
      <c r="K9519">
        <v>0</v>
      </c>
      <c r="L9519">
        <v>261.8</v>
      </c>
    </row>
    <row r="9520" spans="1:12" x14ac:dyDescent="0.25">
      <c r="A9520" t="str">
        <f t="shared" si="2066"/>
        <v>89301000</v>
      </c>
      <c r="B9520" t="str">
        <f t="shared" si="2076"/>
        <v>78006000</v>
      </c>
      <c r="C9520" t="str">
        <f t="shared" si="2077"/>
        <v>78006231</v>
      </c>
      <c r="D9520" t="str">
        <f t="shared" si="2075"/>
        <v>809</v>
      </c>
      <c r="E9520" t="str">
        <f>"89301212"</f>
        <v>89301212</v>
      </c>
      <c r="F9520" t="str">
        <f>"485830415"</f>
        <v>485830415</v>
      </c>
      <c r="G9520" s="1">
        <v>44818</v>
      </c>
      <c r="H9520" t="str">
        <f>"89131"</f>
        <v>89131</v>
      </c>
      <c r="I9520">
        <v>1</v>
      </c>
      <c r="J9520">
        <v>187</v>
      </c>
      <c r="K9520">
        <v>0</v>
      </c>
      <c r="L9520">
        <v>261.8</v>
      </c>
    </row>
    <row r="9521" spans="1:12" x14ac:dyDescent="0.25">
      <c r="A9521" t="str">
        <f t="shared" si="2066"/>
        <v>89301000</v>
      </c>
      <c r="B9521" t="str">
        <f t="shared" si="2076"/>
        <v>78006000</v>
      </c>
      <c r="C9521" t="str">
        <f t="shared" si="2077"/>
        <v>78006231</v>
      </c>
      <c r="D9521" t="str">
        <f t="shared" si="2075"/>
        <v>809</v>
      </c>
      <c r="E9521" t="str">
        <f>"89301037"</f>
        <v>89301037</v>
      </c>
      <c r="F9521" t="str">
        <f>"5853150347"</f>
        <v>5853150347</v>
      </c>
      <c r="G9521" s="1">
        <v>44830</v>
      </c>
      <c r="H9521" t="str">
        <f>"89111"</f>
        <v>89111</v>
      </c>
      <c r="I9521">
        <v>2</v>
      </c>
      <c r="J9521">
        <v>336</v>
      </c>
      <c r="K9521">
        <v>0</v>
      </c>
      <c r="L9521">
        <v>470.4</v>
      </c>
    </row>
    <row r="9522" spans="1:12" x14ac:dyDescent="0.25">
      <c r="A9522" t="str">
        <f t="shared" si="2066"/>
        <v>89301000</v>
      </c>
      <c r="B9522" t="str">
        <f t="shared" si="2076"/>
        <v>78006000</v>
      </c>
      <c r="C9522" t="str">
        <f t="shared" si="2077"/>
        <v>78006231</v>
      </c>
      <c r="D9522" t="str">
        <f t="shared" si="2075"/>
        <v>809</v>
      </c>
      <c r="E9522" t="str">
        <f>"89301212"</f>
        <v>89301212</v>
      </c>
      <c r="F9522" t="str">
        <f>"7952204458"</f>
        <v>7952204458</v>
      </c>
      <c r="G9522" s="1">
        <v>44830</v>
      </c>
      <c r="H9522" t="str">
        <f>"09135"</f>
        <v>09135</v>
      </c>
      <c r="I9522">
        <v>1</v>
      </c>
      <c r="J9522">
        <v>174</v>
      </c>
      <c r="K9522">
        <v>0</v>
      </c>
      <c r="L9522">
        <v>243.6</v>
      </c>
    </row>
    <row r="9523" spans="1:12" x14ac:dyDescent="0.25">
      <c r="A9523" t="str">
        <f t="shared" si="2066"/>
        <v>89301000</v>
      </c>
      <c r="B9523" t="str">
        <f t="shared" si="2076"/>
        <v>78006000</v>
      </c>
      <c r="C9523" t="str">
        <f t="shared" ref="C9523:C9530" si="2078">"78006207"</f>
        <v>78006207</v>
      </c>
      <c r="D9523" t="str">
        <f t="shared" ref="D9523:D9530" si="2079">"813"</f>
        <v>813</v>
      </c>
      <c r="E9523" t="str">
        <f>"89301167"</f>
        <v>89301167</v>
      </c>
      <c r="F9523" t="str">
        <f>"5854210813"</f>
        <v>5854210813</v>
      </c>
      <c r="G9523" s="1">
        <v>44824</v>
      </c>
      <c r="H9523" t="str">
        <f>"91153"</f>
        <v>91153</v>
      </c>
      <c r="I9523">
        <v>1</v>
      </c>
      <c r="J9523">
        <v>152</v>
      </c>
      <c r="K9523">
        <v>0</v>
      </c>
      <c r="L9523">
        <v>118.56</v>
      </c>
    </row>
    <row r="9524" spans="1:12" x14ac:dyDescent="0.25">
      <c r="A9524" t="str">
        <f t="shared" si="2066"/>
        <v>89301000</v>
      </c>
      <c r="B9524" t="str">
        <f t="shared" si="2076"/>
        <v>78006000</v>
      </c>
      <c r="C9524" t="str">
        <f t="shared" si="2078"/>
        <v>78006207</v>
      </c>
      <c r="D9524" t="str">
        <f t="shared" si="2079"/>
        <v>813</v>
      </c>
      <c r="E9524" t="str">
        <f t="shared" ref="E9524:E9533" si="2080">"89301171"</f>
        <v>89301171</v>
      </c>
      <c r="F9524" t="str">
        <f>"6012231115"</f>
        <v>6012231115</v>
      </c>
      <c r="G9524" s="1">
        <v>44826</v>
      </c>
      <c r="H9524" t="str">
        <f t="shared" ref="H9524:H9530" si="2081">"91197"</f>
        <v>91197</v>
      </c>
      <c r="I9524">
        <v>6</v>
      </c>
      <c r="J9524">
        <v>6276</v>
      </c>
      <c r="K9524">
        <v>0</v>
      </c>
      <c r="L9524">
        <v>4895.28</v>
      </c>
    </row>
    <row r="9525" spans="1:12" x14ac:dyDescent="0.25">
      <c r="A9525" t="str">
        <f t="shared" si="2066"/>
        <v>89301000</v>
      </c>
      <c r="B9525" t="str">
        <f t="shared" si="2076"/>
        <v>78006000</v>
      </c>
      <c r="C9525" t="str">
        <f t="shared" si="2078"/>
        <v>78006207</v>
      </c>
      <c r="D9525" t="str">
        <f t="shared" si="2079"/>
        <v>813</v>
      </c>
      <c r="E9525" t="str">
        <f t="shared" si="2080"/>
        <v>89301171</v>
      </c>
      <c r="F9525" t="str">
        <f>"5711032239"</f>
        <v>5711032239</v>
      </c>
      <c r="G9525" s="1">
        <v>44830</v>
      </c>
      <c r="H9525" t="str">
        <f t="shared" si="2081"/>
        <v>91197</v>
      </c>
      <c r="I9525">
        <v>6</v>
      </c>
      <c r="J9525">
        <v>6276</v>
      </c>
      <c r="K9525">
        <v>0</v>
      </c>
      <c r="L9525">
        <v>4895.28</v>
      </c>
    </row>
    <row r="9526" spans="1:12" x14ac:dyDescent="0.25">
      <c r="A9526" t="str">
        <f t="shared" si="2066"/>
        <v>89301000</v>
      </c>
      <c r="B9526" t="str">
        <f t="shared" si="2076"/>
        <v>78006000</v>
      </c>
      <c r="C9526" t="str">
        <f t="shared" si="2078"/>
        <v>78006207</v>
      </c>
      <c r="D9526" t="str">
        <f t="shared" si="2079"/>
        <v>813</v>
      </c>
      <c r="E9526" t="str">
        <f t="shared" si="2080"/>
        <v>89301171</v>
      </c>
      <c r="F9526" t="str">
        <f>"495727053"</f>
        <v>495727053</v>
      </c>
      <c r="G9526" s="1">
        <v>44805</v>
      </c>
      <c r="H9526" t="str">
        <f t="shared" si="2081"/>
        <v>91197</v>
      </c>
      <c r="I9526">
        <v>6</v>
      </c>
      <c r="J9526">
        <v>6276</v>
      </c>
      <c r="K9526">
        <v>0</v>
      </c>
      <c r="L9526">
        <v>4895.28</v>
      </c>
    </row>
    <row r="9527" spans="1:12" x14ac:dyDescent="0.25">
      <c r="A9527" t="str">
        <f t="shared" si="2066"/>
        <v>89301000</v>
      </c>
      <c r="B9527" t="str">
        <f t="shared" si="2076"/>
        <v>78006000</v>
      </c>
      <c r="C9527" t="str">
        <f t="shared" si="2078"/>
        <v>78006207</v>
      </c>
      <c r="D9527" t="str">
        <f t="shared" si="2079"/>
        <v>813</v>
      </c>
      <c r="E9527" t="str">
        <f t="shared" si="2080"/>
        <v>89301171</v>
      </c>
      <c r="F9527" t="str">
        <f>"9255135791"</f>
        <v>9255135791</v>
      </c>
      <c r="G9527" s="1">
        <v>44831</v>
      </c>
      <c r="H9527" t="str">
        <f t="shared" si="2081"/>
        <v>91197</v>
      </c>
      <c r="I9527">
        <v>6</v>
      </c>
      <c r="J9527">
        <v>6276</v>
      </c>
      <c r="K9527">
        <v>0</v>
      </c>
      <c r="L9527">
        <v>4895.28</v>
      </c>
    </row>
    <row r="9528" spans="1:12" x14ac:dyDescent="0.25">
      <c r="A9528" t="str">
        <f t="shared" si="2066"/>
        <v>89301000</v>
      </c>
      <c r="B9528" t="str">
        <f t="shared" si="2076"/>
        <v>78006000</v>
      </c>
      <c r="C9528" t="str">
        <f t="shared" si="2078"/>
        <v>78006207</v>
      </c>
      <c r="D9528" t="str">
        <f t="shared" si="2079"/>
        <v>813</v>
      </c>
      <c r="E9528" t="str">
        <f t="shared" si="2080"/>
        <v>89301171</v>
      </c>
      <c r="F9528" t="str">
        <f>"8707305816"</f>
        <v>8707305816</v>
      </c>
      <c r="G9528" s="1">
        <v>44818</v>
      </c>
      <c r="H9528" t="str">
        <f t="shared" si="2081"/>
        <v>91197</v>
      </c>
      <c r="I9528">
        <v>6</v>
      </c>
      <c r="J9528">
        <v>6276</v>
      </c>
      <c r="K9528">
        <v>0</v>
      </c>
      <c r="L9528">
        <v>4895.28</v>
      </c>
    </row>
    <row r="9529" spans="1:12" x14ac:dyDescent="0.25">
      <c r="A9529" t="str">
        <f t="shared" si="2066"/>
        <v>89301000</v>
      </c>
      <c r="B9529" t="str">
        <f t="shared" si="2076"/>
        <v>78006000</v>
      </c>
      <c r="C9529" t="str">
        <f t="shared" si="2078"/>
        <v>78006207</v>
      </c>
      <c r="D9529" t="str">
        <f t="shared" si="2079"/>
        <v>813</v>
      </c>
      <c r="E9529" t="str">
        <f t="shared" si="2080"/>
        <v>89301171</v>
      </c>
      <c r="F9529" t="str">
        <f>"6806160658"</f>
        <v>6806160658</v>
      </c>
      <c r="G9529" s="1">
        <v>44818</v>
      </c>
      <c r="H9529" t="str">
        <f t="shared" si="2081"/>
        <v>91197</v>
      </c>
      <c r="I9529">
        <v>6</v>
      </c>
      <c r="J9529">
        <v>6276</v>
      </c>
      <c r="K9529">
        <v>0</v>
      </c>
      <c r="L9529">
        <v>4895.28</v>
      </c>
    </row>
    <row r="9530" spans="1:12" x14ac:dyDescent="0.25">
      <c r="A9530" t="str">
        <f t="shared" si="2066"/>
        <v>89301000</v>
      </c>
      <c r="B9530" t="str">
        <f t="shared" si="2076"/>
        <v>78006000</v>
      </c>
      <c r="C9530" t="str">
        <f t="shared" si="2078"/>
        <v>78006207</v>
      </c>
      <c r="D9530" t="str">
        <f t="shared" si="2079"/>
        <v>813</v>
      </c>
      <c r="E9530" t="str">
        <f t="shared" si="2080"/>
        <v>89301171</v>
      </c>
      <c r="F9530" t="str">
        <f>"8651025812"</f>
        <v>8651025812</v>
      </c>
      <c r="G9530" s="1">
        <v>44831</v>
      </c>
      <c r="H9530" t="str">
        <f t="shared" si="2081"/>
        <v>91197</v>
      </c>
      <c r="I9530">
        <v>6</v>
      </c>
      <c r="J9530">
        <v>6276</v>
      </c>
      <c r="K9530">
        <v>0</v>
      </c>
      <c r="L9530">
        <v>4895.28</v>
      </c>
    </row>
    <row r="9531" spans="1:12" x14ac:dyDescent="0.25">
      <c r="A9531" t="str">
        <f t="shared" si="2066"/>
        <v>89301000</v>
      </c>
      <c r="B9531" t="str">
        <f t="shared" si="2076"/>
        <v>78006000</v>
      </c>
      <c r="C9531" t="str">
        <f t="shared" ref="C9531:C9539" si="2082">"78006201"</f>
        <v>78006201</v>
      </c>
      <c r="D9531" t="str">
        <f t="shared" ref="D9531:D9539" si="2083">"801"</f>
        <v>801</v>
      </c>
      <c r="E9531" t="str">
        <f t="shared" si="2080"/>
        <v>89301171</v>
      </c>
      <c r="F9531" t="str">
        <f>"6012231115"</f>
        <v>6012231115</v>
      </c>
      <c r="G9531" s="1">
        <v>44812</v>
      </c>
      <c r="H9531" t="str">
        <f>"81703"</f>
        <v>81703</v>
      </c>
      <c r="I9531">
        <v>2</v>
      </c>
      <c r="J9531">
        <v>556</v>
      </c>
      <c r="K9531">
        <v>0</v>
      </c>
      <c r="L9531">
        <v>433.68</v>
      </c>
    </row>
    <row r="9532" spans="1:12" x14ac:dyDescent="0.25">
      <c r="A9532" t="str">
        <f t="shared" si="2066"/>
        <v>89301000</v>
      </c>
      <c r="B9532" t="str">
        <f t="shared" si="2076"/>
        <v>78006000</v>
      </c>
      <c r="C9532" t="str">
        <f t="shared" si="2082"/>
        <v>78006201</v>
      </c>
      <c r="D9532" t="str">
        <f t="shared" si="2083"/>
        <v>801</v>
      </c>
      <c r="E9532" t="str">
        <f t="shared" si="2080"/>
        <v>89301171</v>
      </c>
      <c r="F9532" t="str">
        <f>"8607265788"</f>
        <v>8607265788</v>
      </c>
      <c r="G9532" s="1">
        <v>44833</v>
      </c>
      <c r="H9532" t="str">
        <f>"81703"</f>
        <v>81703</v>
      </c>
      <c r="I9532">
        <v>2</v>
      </c>
      <c r="J9532">
        <v>556</v>
      </c>
      <c r="K9532">
        <v>0</v>
      </c>
      <c r="L9532">
        <v>433.68</v>
      </c>
    </row>
    <row r="9533" spans="1:12" x14ac:dyDescent="0.25">
      <c r="A9533" t="str">
        <f t="shared" si="2066"/>
        <v>89301000</v>
      </c>
      <c r="B9533" t="str">
        <f t="shared" si="2076"/>
        <v>78006000</v>
      </c>
      <c r="C9533" t="str">
        <f t="shared" si="2082"/>
        <v>78006201</v>
      </c>
      <c r="D9533" t="str">
        <f t="shared" si="2083"/>
        <v>801</v>
      </c>
      <c r="E9533" t="str">
        <f t="shared" si="2080"/>
        <v>89301171</v>
      </c>
      <c r="F9533" t="str">
        <f>"9255135791"</f>
        <v>9255135791</v>
      </c>
      <c r="G9533" s="1">
        <v>44823</v>
      </c>
      <c r="H9533" t="str">
        <f>"81703"</f>
        <v>81703</v>
      </c>
      <c r="I9533">
        <v>2</v>
      </c>
      <c r="J9533">
        <v>556</v>
      </c>
      <c r="K9533">
        <v>0</v>
      </c>
      <c r="L9533">
        <v>433.68</v>
      </c>
    </row>
    <row r="9534" spans="1:12" x14ac:dyDescent="0.25">
      <c r="A9534" t="str">
        <f t="shared" si="2066"/>
        <v>89301000</v>
      </c>
      <c r="B9534" t="str">
        <f t="shared" si="2076"/>
        <v>78006000</v>
      </c>
      <c r="C9534" t="str">
        <f t="shared" si="2082"/>
        <v>78006201</v>
      </c>
      <c r="D9534" t="str">
        <f t="shared" si="2083"/>
        <v>801</v>
      </c>
      <c r="E9534" t="str">
        <f>"89301082"</f>
        <v>89301082</v>
      </c>
      <c r="F9534" t="str">
        <f>"9758255760"</f>
        <v>9758255760</v>
      </c>
      <c r="G9534" s="1">
        <v>44823</v>
      </c>
      <c r="H9534" t="str">
        <f>"81707"</f>
        <v>81707</v>
      </c>
      <c r="I9534">
        <v>1</v>
      </c>
      <c r="J9534">
        <v>394</v>
      </c>
      <c r="K9534">
        <v>0</v>
      </c>
      <c r="L9534">
        <v>307.32</v>
      </c>
    </row>
    <row r="9535" spans="1:12" x14ac:dyDescent="0.25">
      <c r="A9535" t="str">
        <f t="shared" si="2066"/>
        <v>89301000</v>
      </c>
      <c r="B9535" t="str">
        <f t="shared" si="2076"/>
        <v>78006000</v>
      </c>
      <c r="C9535" t="str">
        <f t="shared" si="2082"/>
        <v>78006201</v>
      </c>
      <c r="D9535" t="str">
        <f t="shared" si="2083"/>
        <v>801</v>
      </c>
      <c r="E9535" t="str">
        <f>"89301171"</f>
        <v>89301171</v>
      </c>
      <c r="F9535" t="str">
        <f>"6806160658"</f>
        <v>6806160658</v>
      </c>
      <c r="G9535" s="1">
        <v>44818</v>
      </c>
      <c r="H9535" t="str">
        <f>"97111"</f>
        <v>97111</v>
      </c>
      <c r="I9535">
        <v>1</v>
      </c>
      <c r="J9535">
        <v>18</v>
      </c>
      <c r="K9535">
        <v>0</v>
      </c>
      <c r="L9535">
        <v>14.04</v>
      </c>
    </row>
    <row r="9536" spans="1:12" x14ac:dyDescent="0.25">
      <c r="A9536" t="str">
        <f t="shared" si="2066"/>
        <v>89301000</v>
      </c>
      <c r="B9536" t="str">
        <f t="shared" si="2076"/>
        <v>78006000</v>
      </c>
      <c r="C9536" t="str">
        <f t="shared" si="2082"/>
        <v>78006201</v>
      </c>
      <c r="D9536" t="str">
        <f t="shared" si="2083"/>
        <v>801</v>
      </c>
      <c r="E9536" t="str">
        <f>"89301167"</f>
        <v>89301167</v>
      </c>
      <c r="F9536" t="str">
        <f>"5854210813"</f>
        <v>5854210813</v>
      </c>
      <c r="G9536" s="1">
        <v>44824</v>
      </c>
      <c r="H9536" t="str">
        <f>"81329"</f>
        <v>81329</v>
      </c>
      <c r="I9536">
        <v>1</v>
      </c>
      <c r="J9536">
        <v>16</v>
      </c>
      <c r="K9536">
        <v>0</v>
      </c>
      <c r="L9536">
        <v>12.48</v>
      </c>
    </row>
    <row r="9537" spans="1:12" x14ac:dyDescent="0.25">
      <c r="A9537" t="str">
        <f t="shared" si="2066"/>
        <v>89301000</v>
      </c>
      <c r="B9537" t="str">
        <f t="shared" si="2076"/>
        <v>78006000</v>
      </c>
      <c r="C9537" t="str">
        <f t="shared" si="2082"/>
        <v>78006201</v>
      </c>
      <c r="D9537" t="str">
        <f t="shared" si="2083"/>
        <v>801</v>
      </c>
      <c r="E9537" t="str">
        <f>"89301167"</f>
        <v>89301167</v>
      </c>
      <c r="F9537" t="str">
        <f>"5854210813"</f>
        <v>5854210813</v>
      </c>
      <c r="G9537" s="1">
        <v>44824</v>
      </c>
      <c r="H9537" t="str">
        <f>"81625"</f>
        <v>81625</v>
      </c>
      <c r="I9537">
        <v>1</v>
      </c>
      <c r="J9537">
        <v>20</v>
      </c>
      <c r="K9537">
        <v>0</v>
      </c>
      <c r="L9537">
        <v>15.6</v>
      </c>
    </row>
    <row r="9538" spans="1:12" x14ac:dyDescent="0.25">
      <c r="A9538" t="str">
        <f t="shared" ref="A9538:A9601" si="2084">"89301000"</f>
        <v>89301000</v>
      </c>
      <c r="B9538" t="str">
        <f t="shared" si="2076"/>
        <v>78006000</v>
      </c>
      <c r="C9538" t="str">
        <f t="shared" si="2082"/>
        <v>78006201</v>
      </c>
      <c r="D9538" t="str">
        <f t="shared" si="2083"/>
        <v>801</v>
      </c>
      <c r="E9538" t="str">
        <f>"89301167"</f>
        <v>89301167</v>
      </c>
      <c r="F9538" t="str">
        <f>"5854210813"</f>
        <v>5854210813</v>
      </c>
      <c r="G9538" s="1">
        <v>44824</v>
      </c>
      <c r="H9538" t="str">
        <f>"97111"</f>
        <v>97111</v>
      </c>
      <c r="I9538">
        <v>1</v>
      </c>
      <c r="J9538">
        <v>18</v>
      </c>
      <c r="K9538">
        <v>0</v>
      </c>
      <c r="L9538">
        <v>14.04</v>
      </c>
    </row>
    <row r="9539" spans="1:12" x14ac:dyDescent="0.25">
      <c r="A9539" t="str">
        <f t="shared" si="2084"/>
        <v>89301000</v>
      </c>
      <c r="B9539" t="str">
        <f t="shared" si="2076"/>
        <v>78006000</v>
      </c>
      <c r="C9539" t="str">
        <f t="shared" si="2082"/>
        <v>78006201</v>
      </c>
      <c r="D9539" t="str">
        <f t="shared" si="2083"/>
        <v>801</v>
      </c>
      <c r="E9539" t="str">
        <f>"89301167"</f>
        <v>89301167</v>
      </c>
      <c r="F9539" t="str">
        <f>"5854210813"</f>
        <v>5854210813</v>
      </c>
      <c r="G9539" s="1">
        <v>44824</v>
      </c>
      <c r="H9539" t="str">
        <f>"09119"</f>
        <v>09119</v>
      </c>
      <c r="I9539">
        <v>1</v>
      </c>
      <c r="J9539">
        <v>42</v>
      </c>
      <c r="K9539">
        <v>0</v>
      </c>
      <c r="L9539">
        <v>32.76</v>
      </c>
    </row>
    <row r="9540" spans="1:12" x14ac:dyDescent="0.25">
      <c r="A9540" t="str">
        <f t="shared" si="2084"/>
        <v>89301000</v>
      </c>
      <c r="B9540" t="str">
        <f t="shared" si="2076"/>
        <v>78006000</v>
      </c>
      <c r="C9540" t="str">
        <f>"78006205"</f>
        <v>78006205</v>
      </c>
      <c r="D9540" t="str">
        <f>"818"</f>
        <v>818</v>
      </c>
      <c r="E9540" t="str">
        <f>"89301167"</f>
        <v>89301167</v>
      </c>
      <c r="F9540" t="str">
        <f>"5854210813"</f>
        <v>5854210813</v>
      </c>
      <c r="G9540" s="1">
        <v>44824</v>
      </c>
      <c r="H9540" t="str">
        <f>"96167"</f>
        <v>96167</v>
      </c>
      <c r="I9540">
        <v>1</v>
      </c>
      <c r="J9540">
        <v>67</v>
      </c>
      <c r="K9540">
        <v>0</v>
      </c>
      <c r="L9540">
        <v>60.97</v>
      </c>
    </row>
    <row r="9541" spans="1:12" x14ac:dyDescent="0.25">
      <c r="A9541" t="str">
        <f t="shared" si="2084"/>
        <v>89301000</v>
      </c>
      <c r="B9541" t="str">
        <f t="shared" si="2076"/>
        <v>78006000</v>
      </c>
      <c r="C9541" t="str">
        <f t="shared" ref="C9541:C9549" si="2085">"78006831"</f>
        <v>78006831</v>
      </c>
      <c r="D9541" t="str">
        <f t="shared" ref="D9541:D9552" si="2086">"809"</f>
        <v>809</v>
      </c>
      <c r="E9541" t="str">
        <f>"89301212"</f>
        <v>89301212</v>
      </c>
      <c r="F9541" t="str">
        <f>"456008436"</f>
        <v>456008436</v>
      </c>
      <c r="G9541" s="1">
        <v>44810</v>
      </c>
      <c r="H9541" t="str">
        <f>"89513"</f>
        <v>89513</v>
      </c>
      <c r="I9541">
        <v>1</v>
      </c>
      <c r="J9541">
        <v>371</v>
      </c>
      <c r="K9541">
        <v>0</v>
      </c>
      <c r="L9541">
        <v>519.4</v>
      </c>
    </row>
    <row r="9542" spans="1:12" x14ac:dyDescent="0.25">
      <c r="A9542" t="str">
        <f t="shared" si="2084"/>
        <v>89301000</v>
      </c>
      <c r="B9542" t="str">
        <f t="shared" si="2076"/>
        <v>78006000</v>
      </c>
      <c r="C9542" t="str">
        <f t="shared" si="2085"/>
        <v>78006831</v>
      </c>
      <c r="D9542" t="str">
        <f t="shared" si="2086"/>
        <v>809</v>
      </c>
      <c r="E9542" t="str">
        <f>"89301212"</f>
        <v>89301212</v>
      </c>
      <c r="F9542" t="str">
        <f>"456008436"</f>
        <v>456008436</v>
      </c>
      <c r="G9542" s="1">
        <v>44810</v>
      </c>
      <c r="H9542" t="str">
        <f>"89514"</f>
        <v>89514</v>
      </c>
      <c r="I9542">
        <v>1</v>
      </c>
      <c r="J9542">
        <v>371</v>
      </c>
      <c r="K9542">
        <v>0</v>
      </c>
      <c r="L9542">
        <v>519.4</v>
      </c>
    </row>
    <row r="9543" spans="1:12" x14ac:dyDescent="0.25">
      <c r="A9543" t="str">
        <f t="shared" si="2084"/>
        <v>89301000</v>
      </c>
      <c r="B9543" t="str">
        <f t="shared" si="2076"/>
        <v>78006000</v>
      </c>
      <c r="C9543" t="str">
        <f t="shared" si="2085"/>
        <v>78006831</v>
      </c>
      <c r="D9543" t="str">
        <f t="shared" si="2086"/>
        <v>809</v>
      </c>
      <c r="E9543" t="str">
        <f>"89301012"</f>
        <v>89301012</v>
      </c>
      <c r="F9543" t="str">
        <f>"9909215778"</f>
        <v>9909215778</v>
      </c>
      <c r="G9543" s="1">
        <v>44811</v>
      </c>
      <c r="H9543" t="str">
        <f>"89517"</f>
        <v>89517</v>
      </c>
      <c r="I9543">
        <v>1</v>
      </c>
      <c r="J9543">
        <v>970</v>
      </c>
      <c r="K9543">
        <v>0</v>
      </c>
      <c r="L9543">
        <v>1358</v>
      </c>
    </row>
    <row r="9544" spans="1:12" x14ac:dyDescent="0.25">
      <c r="A9544" t="str">
        <f t="shared" si="2084"/>
        <v>89301000</v>
      </c>
      <c r="B9544" t="str">
        <f t="shared" si="2076"/>
        <v>78006000</v>
      </c>
      <c r="C9544" t="str">
        <f t="shared" si="2085"/>
        <v>78006831</v>
      </c>
      <c r="D9544" t="str">
        <f t="shared" si="2086"/>
        <v>809</v>
      </c>
      <c r="E9544" t="str">
        <f t="shared" ref="E9544:E9549" si="2087">"89301212"</f>
        <v>89301212</v>
      </c>
      <c r="F9544" t="str">
        <f t="shared" ref="F9544:F9549" si="2088">"5412223762"</f>
        <v>5412223762</v>
      </c>
      <c r="G9544" s="1">
        <v>44819</v>
      </c>
      <c r="H9544" t="str">
        <f>"89611"</f>
        <v>89611</v>
      </c>
      <c r="I9544">
        <v>1</v>
      </c>
      <c r="J9544">
        <v>2241</v>
      </c>
      <c r="K9544">
        <v>0</v>
      </c>
      <c r="L9544">
        <v>1344.6</v>
      </c>
    </row>
    <row r="9545" spans="1:12" x14ac:dyDescent="0.25">
      <c r="A9545" t="str">
        <f t="shared" si="2084"/>
        <v>89301000</v>
      </c>
      <c r="B9545" t="str">
        <f t="shared" si="2076"/>
        <v>78006000</v>
      </c>
      <c r="C9545" t="str">
        <f t="shared" si="2085"/>
        <v>78006831</v>
      </c>
      <c r="D9545" t="str">
        <f t="shared" si="2086"/>
        <v>809</v>
      </c>
      <c r="E9545" t="str">
        <f t="shared" si="2087"/>
        <v>89301212</v>
      </c>
      <c r="F9545" t="str">
        <f t="shared" si="2088"/>
        <v>5412223762</v>
      </c>
      <c r="G9545" s="1">
        <v>44819</v>
      </c>
      <c r="H9545" t="str">
        <f>"89619"</f>
        <v>89619</v>
      </c>
      <c r="I9545">
        <v>1</v>
      </c>
      <c r="J9545">
        <v>1210</v>
      </c>
      <c r="K9545">
        <v>0</v>
      </c>
      <c r="L9545">
        <v>726</v>
      </c>
    </row>
    <row r="9546" spans="1:12" x14ac:dyDescent="0.25">
      <c r="A9546" t="str">
        <f t="shared" si="2084"/>
        <v>89301000</v>
      </c>
      <c r="B9546" t="str">
        <f t="shared" si="2076"/>
        <v>78006000</v>
      </c>
      <c r="C9546" t="str">
        <f t="shared" si="2085"/>
        <v>78006831</v>
      </c>
      <c r="D9546" t="str">
        <f t="shared" si="2086"/>
        <v>809</v>
      </c>
      <c r="E9546" t="str">
        <f t="shared" si="2087"/>
        <v>89301212</v>
      </c>
      <c r="F9546" t="str">
        <f t="shared" si="2088"/>
        <v>5412223762</v>
      </c>
      <c r="G9546" s="1">
        <v>44819</v>
      </c>
      <c r="H9546" t="str">
        <f>"0137480"</f>
        <v>0137480</v>
      </c>
      <c r="I9546">
        <v>0.2</v>
      </c>
      <c r="K9546">
        <v>1004.83</v>
      </c>
      <c r="L9546">
        <v>1004.83</v>
      </c>
    </row>
    <row r="9547" spans="1:12" x14ac:dyDescent="0.25">
      <c r="A9547" t="str">
        <f t="shared" si="2084"/>
        <v>89301000</v>
      </c>
      <c r="B9547" t="str">
        <f t="shared" si="2076"/>
        <v>78006000</v>
      </c>
      <c r="C9547" t="str">
        <f t="shared" si="2085"/>
        <v>78006831</v>
      </c>
      <c r="D9547" t="str">
        <f t="shared" si="2086"/>
        <v>809</v>
      </c>
      <c r="E9547" t="str">
        <f t="shared" si="2087"/>
        <v>89301212</v>
      </c>
      <c r="F9547" t="str">
        <f t="shared" si="2088"/>
        <v>5412223762</v>
      </c>
      <c r="G9547" s="1">
        <v>44819</v>
      </c>
      <c r="H9547" t="str">
        <f>"0059496"</f>
        <v>0059496</v>
      </c>
      <c r="I9547">
        <v>0.15</v>
      </c>
      <c r="K9547">
        <v>37.81</v>
      </c>
      <c r="L9547">
        <v>37.81</v>
      </c>
    </row>
    <row r="9548" spans="1:12" x14ac:dyDescent="0.25">
      <c r="A9548" t="str">
        <f t="shared" si="2084"/>
        <v>89301000</v>
      </c>
      <c r="B9548" t="str">
        <f t="shared" si="2076"/>
        <v>78006000</v>
      </c>
      <c r="C9548" t="str">
        <f t="shared" si="2085"/>
        <v>78006831</v>
      </c>
      <c r="D9548" t="str">
        <f t="shared" si="2086"/>
        <v>809</v>
      </c>
      <c r="E9548" t="str">
        <f t="shared" si="2087"/>
        <v>89301212</v>
      </c>
      <c r="F9548" t="str">
        <f t="shared" si="2088"/>
        <v>5412223762</v>
      </c>
      <c r="G9548" s="1">
        <v>44833</v>
      </c>
      <c r="H9548" t="str">
        <f>"89611"</f>
        <v>89611</v>
      </c>
      <c r="I9548">
        <v>1</v>
      </c>
      <c r="J9548">
        <v>2241</v>
      </c>
      <c r="K9548">
        <v>0</v>
      </c>
      <c r="L9548">
        <v>1344.6</v>
      </c>
    </row>
    <row r="9549" spans="1:12" x14ac:dyDescent="0.25">
      <c r="A9549" t="str">
        <f t="shared" si="2084"/>
        <v>89301000</v>
      </c>
      <c r="B9549" t="str">
        <f t="shared" si="2076"/>
        <v>78006000</v>
      </c>
      <c r="C9549" t="str">
        <f t="shared" si="2085"/>
        <v>78006831</v>
      </c>
      <c r="D9549" t="str">
        <f t="shared" si="2086"/>
        <v>809</v>
      </c>
      <c r="E9549" t="str">
        <f t="shared" si="2087"/>
        <v>89301212</v>
      </c>
      <c r="F9549" t="str">
        <f t="shared" si="2088"/>
        <v>5412223762</v>
      </c>
      <c r="G9549" s="1">
        <v>44833</v>
      </c>
      <c r="H9549" t="str">
        <f>"0137480"</f>
        <v>0137480</v>
      </c>
      <c r="I9549">
        <v>0.2</v>
      </c>
      <c r="K9549">
        <v>1004.83</v>
      </c>
      <c r="L9549">
        <v>1004.83</v>
      </c>
    </row>
    <row r="9550" spans="1:12" x14ac:dyDescent="0.25">
      <c r="A9550" t="str">
        <f t="shared" si="2084"/>
        <v>89301000</v>
      </c>
      <c r="B9550" t="str">
        <f>"70001000"</f>
        <v>70001000</v>
      </c>
      <c r="C9550" t="str">
        <f>"70001898"</f>
        <v>70001898</v>
      </c>
      <c r="D9550" t="str">
        <f t="shared" si="2086"/>
        <v>809</v>
      </c>
      <c r="E9550" t="str">
        <f>"89301062"</f>
        <v>89301062</v>
      </c>
      <c r="F9550" t="str">
        <f>"6657302113"</f>
        <v>6657302113</v>
      </c>
      <c r="G9550" s="1">
        <v>44833</v>
      </c>
      <c r="H9550" t="str">
        <f>"89311"</f>
        <v>89311</v>
      </c>
      <c r="I9550">
        <v>1</v>
      </c>
      <c r="J9550">
        <v>936</v>
      </c>
      <c r="K9550">
        <v>0</v>
      </c>
      <c r="L9550">
        <v>1310.4000000000001</v>
      </c>
    </row>
    <row r="9551" spans="1:12" x14ac:dyDescent="0.25">
      <c r="A9551" t="str">
        <f t="shared" si="2084"/>
        <v>89301000</v>
      </c>
      <c r="B9551" t="str">
        <f>"70001000"</f>
        <v>70001000</v>
      </c>
      <c r="C9551" t="str">
        <f>"70001898"</f>
        <v>70001898</v>
      </c>
      <c r="D9551" t="str">
        <f t="shared" si="2086"/>
        <v>809</v>
      </c>
      <c r="E9551" t="str">
        <f>"89301062"</f>
        <v>89301062</v>
      </c>
      <c r="F9551" t="str">
        <f>"6657302113"</f>
        <v>6657302113</v>
      </c>
      <c r="G9551" s="1">
        <v>44833</v>
      </c>
      <c r="H9551" t="str">
        <f>"89615"</f>
        <v>89615</v>
      </c>
      <c r="I9551">
        <v>1</v>
      </c>
      <c r="J9551">
        <v>2170</v>
      </c>
      <c r="K9551">
        <v>0</v>
      </c>
      <c r="L9551">
        <v>1302</v>
      </c>
    </row>
    <row r="9552" spans="1:12" x14ac:dyDescent="0.25">
      <c r="A9552" t="str">
        <f t="shared" si="2084"/>
        <v>89301000</v>
      </c>
      <c r="B9552" t="str">
        <f>"70001000"</f>
        <v>70001000</v>
      </c>
      <c r="C9552" t="str">
        <f>"70001898"</f>
        <v>70001898</v>
      </c>
      <c r="D9552" t="str">
        <f t="shared" si="2086"/>
        <v>809</v>
      </c>
      <c r="E9552" t="str">
        <f>"89301062"</f>
        <v>89301062</v>
      </c>
      <c r="F9552" t="str">
        <f>"6657302113"</f>
        <v>6657302113</v>
      </c>
      <c r="G9552" s="1">
        <v>44833</v>
      </c>
      <c r="H9552" t="str">
        <f>"0096251"</f>
        <v>0096251</v>
      </c>
      <c r="I9552">
        <v>0.02</v>
      </c>
      <c r="K9552">
        <v>23.39</v>
      </c>
      <c r="L9552">
        <v>23.39</v>
      </c>
    </row>
    <row r="9553" spans="1:12" x14ac:dyDescent="0.25">
      <c r="A9553" t="str">
        <f t="shared" si="2084"/>
        <v>89301000</v>
      </c>
      <c r="B9553" t="str">
        <f>"94101000"</f>
        <v>94101000</v>
      </c>
      <c r="C9553" t="str">
        <f>"94101858"</f>
        <v>94101858</v>
      </c>
      <c r="D9553" t="str">
        <f>"801"</f>
        <v>801</v>
      </c>
      <c r="E9553" t="str">
        <f>"89301082"</f>
        <v>89301082</v>
      </c>
      <c r="F9553" t="str">
        <f>"9556056268"</f>
        <v>9556056268</v>
      </c>
      <c r="G9553" s="1">
        <v>44823</v>
      </c>
      <c r="H9553" t="str">
        <f>"93159"</f>
        <v>93159</v>
      </c>
      <c r="I9553">
        <v>1</v>
      </c>
      <c r="J9553">
        <v>195</v>
      </c>
      <c r="K9553">
        <v>0</v>
      </c>
      <c r="L9553">
        <v>152.1</v>
      </c>
    </row>
    <row r="9554" spans="1:12" x14ac:dyDescent="0.25">
      <c r="A9554" t="str">
        <f t="shared" si="2084"/>
        <v>89301000</v>
      </c>
      <c r="B9554" t="str">
        <f>"94101000"</f>
        <v>94101000</v>
      </c>
      <c r="C9554" t="str">
        <f>"94101858"</f>
        <v>94101858</v>
      </c>
      <c r="D9554" t="str">
        <f>"801"</f>
        <v>801</v>
      </c>
      <c r="E9554" t="str">
        <f>"89301082"</f>
        <v>89301082</v>
      </c>
      <c r="F9554" t="str">
        <f>"9556056268"</f>
        <v>9556056268</v>
      </c>
      <c r="G9554" s="1">
        <v>44823</v>
      </c>
      <c r="H9554" t="str">
        <f>"97111"</f>
        <v>97111</v>
      </c>
      <c r="I9554">
        <v>1</v>
      </c>
      <c r="J9554">
        <v>18</v>
      </c>
      <c r="K9554">
        <v>0</v>
      </c>
      <c r="L9554">
        <v>14.04</v>
      </c>
    </row>
    <row r="9555" spans="1:12" x14ac:dyDescent="0.25">
      <c r="A9555" t="str">
        <f t="shared" si="2084"/>
        <v>89301000</v>
      </c>
      <c r="B9555" t="str">
        <f>"94101000"</f>
        <v>94101000</v>
      </c>
      <c r="C9555" t="str">
        <f>"94101858"</f>
        <v>94101858</v>
      </c>
      <c r="D9555" t="str">
        <f>"801"</f>
        <v>801</v>
      </c>
      <c r="E9555" t="str">
        <f>"89301082"</f>
        <v>89301082</v>
      </c>
      <c r="F9555" t="str">
        <f>"9556056268"</f>
        <v>9556056268</v>
      </c>
      <c r="G9555" s="1">
        <v>44823</v>
      </c>
      <c r="H9555" t="str">
        <f>"09119"</f>
        <v>09119</v>
      </c>
      <c r="I9555">
        <v>1</v>
      </c>
      <c r="J9555">
        <v>42</v>
      </c>
      <c r="K9555">
        <v>0</v>
      </c>
      <c r="L9555">
        <v>32.76</v>
      </c>
    </row>
    <row r="9556" spans="1:12" x14ac:dyDescent="0.25">
      <c r="A9556" t="str">
        <f t="shared" si="2084"/>
        <v>89301000</v>
      </c>
      <c r="B9556" t="str">
        <f t="shared" ref="B9556:B9561" si="2089">"05002000"</f>
        <v>05002000</v>
      </c>
      <c r="C9556" t="str">
        <f>"05002397"</f>
        <v>05002397</v>
      </c>
      <c r="D9556" t="str">
        <f>"818"</f>
        <v>818</v>
      </c>
      <c r="E9556" t="str">
        <f>"89301105"</f>
        <v>89301105</v>
      </c>
      <c r="F9556" t="str">
        <f>"2109170943"</f>
        <v>2109170943</v>
      </c>
      <c r="G9556" s="1">
        <v>44818</v>
      </c>
      <c r="H9556" t="str">
        <f>"94225"</f>
        <v>94225</v>
      </c>
      <c r="I9556">
        <v>1</v>
      </c>
      <c r="J9556">
        <v>1187</v>
      </c>
      <c r="K9556">
        <v>0</v>
      </c>
      <c r="L9556">
        <v>1080.17</v>
      </c>
    </row>
    <row r="9557" spans="1:12" x14ac:dyDescent="0.25">
      <c r="A9557" t="str">
        <f t="shared" si="2084"/>
        <v>89301000</v>
      </c>
      <c r="B9557" t="str">
        <f t="shared" si="2089"/>
        <v>05002000</v>
      </c>
      <c r="C9557" t="str">
        <f>"05002397"</f>
        <v>05002397</v>
      </c>
      <c r="D9557" t="str">
        <f>"818"</f>
        <v>818</v>
      </c>
      <c r="E9557" t="str">
        <f>"89301105"</f>
        <v>89301105</v>
      </c>
      <c r="F9557" t="str">
        <f>"2109170943"</f>
        <v>2109170943</v>
      </c>
      <c r="G9557" s="1">
        <v>44818</v>
      </c>
      <c r="H9557" t="str">
        <f>"94337"</f>
        <v>94337</v>
      </c>
      <c r="I9557">
        <v>6</v>
      </c>
      <c r="J9557">
        <v>53760</v>
      </c>
      <c r="K9557">
        <v>0</v>
      </c>
      <c r="L9557">
        <v>48921.599999999999</v>
      </c>
    </row>
    <row r="9558" spans="1:12" x14ac:dyDescent="0.25">
      <c r="A9558" t="str">
        <f t="shared" si="2084"/>
        <v>89301000</v>
      </c>
      <c r="B9558" t="str">
        <f t="shared" si="2089"/>
        <v>05002000</v>
      </c>
      <c r="C9558" t="str">
        <f>"05002141"</f>
        <v>05002141</v>
      </c>
      <c r="D9558" t="str">
        <f>"816"</f>
        <v>816</v>
      </c>
      <c r="E9558" t="str">
        <f>"89301282"</f>
        <v>89301282</v>
      </c>
      <c r="F9558" t="str">
        <f>"531012129"</f>
        <v>531012129</v>
      </c>
      <c r="G9558" s="1">
        <v>44812</v>
      </c>
      <c r="H9558" t="str">
        <f>"94345"</f>
        <v>94345</v>
      </c>
      <c r="I9558">
        <v>2</v>
      </c>
      <c r="J9558">
        <v>9250</v>
      </c>
      <c r="K9558">
        <v>0</v>
      </c>
      <c r="L9558">
        <v>7862.5</v>
      </c>
    </row>
    <row r="9559" spans="1:12" x14ac:dyDescent="0.25">
      <c r="A9559" t="str">
        <f t="shared" si="2084"/>
        <v>89301000</v>
      </c>
      <c r="B9559" t="str">
        <f t="shared" si="2089"/>
        <v>05002000</v>
      </c>
      <c r="C9559" t="str">
        <f>"05002141"</f>
        <v>05002141</v>
      </c>
      <c r="D9559" t="str">
        <f>"816"</f>
        <v>816</v>
      </c>
      <c r="E9559" t="str">
        <f>"89301282"</f>
        <v>89301282</v>
      </c>
      <c r="F9559" t="str">
        <f>"6602141568"</f>
        <v>6602141568</v>
      </c>
      <c r="G9559" s="1">
        <v>44818</v>
      </c>
      <c r="H9559" t="str">
        <f>"94221"</f>
        <v>94221</v>
      </c>
      <c r="I9559">
        <v>6</v>
      </c>
      <c r="J9559">
        <v>14718</v>
      </c>
      <c r="K9559">
        <v>0</v>
      </c>
      <c r="L9559">
        <v>12510.3</v>
      </c>
    </row>
    <row r="9560" spans="1:12" x14ac:dyDescent="0.25">
      <c r="A9560" t="str">
        <f t="shared" si="2084"/>
        <v>89301000</v>
      </c>
      <c r="B9560" t="str">
        <f t="shared" si="2089"/>
        <v>05002000</v>
      </c>
      <c r="C9560" t="str">
        <f>"05002152"</f>
        <v>05002152</v>
      </c>
      <c r="D9560" t="str">
        <f>"801"</f>
        <v>801</v>
      </c>
      <c r="E9560" t="str">
        <f>"89301162"</f>
        <v>89301162</v>
      </c>
      <c r="F9560" t="str">
        <f>"9110185832"</f>
        <v>9110185832</v>
      </c>
      <c r="G9560" s="1">
        <v>44810</v>
      </c>
      <c r="H9560" t="str">
        <f>"81221"</f>
        <v>81221</v>
      </c>
      <c r="I9560">
        <v>1</v>
      </c>
      <c r="J9560">
        <v>164</v>
      </c>
      <c r="K9560">
        <v>0</v>
      </c>
      <c r="L9560">
        <v>127.92</v>
      </c>
    </row>
    <row r="9561" spans="1:12" x14ac:dyDescent="0.25">
      <c r="A9561" t="str">
        <f t="shared" si="2084"/>
        <v>89301000</v>
      </c>
      <c r="B9561" t="str">
        <f t="shared" si="2089"/>
        <v>05002000</v>
      </c>
      <c r="C9561" t="str">
        <f>"05002174"</f>
        <v>05002174</v>
      </c>
      <c r="D9561" t="str">
        <f>"802"</f>
        <v>802</v>
      </c>
      <c r="E9561" t="str">
        <f>"89301172"</f>
        <v>89301172</v>
      </c>
      <c r="F9561" t="str">
        <f>"7452144469"</f>
        <v>7452144469</v>
      </c>
      <c r="G9561" s="1">
        <v>44788</v>
      </c>
      <c r="H9561" t="str">
        <f>"85115"</f>
        <v>85115</v>
      </c>
      <c r="I9561">
        <v>1</v>
      </c>
      <c r="J9561">
        <v>2423</v>
      </c>
      <c r="K9561">
        <v>0</v>
      </c>
      <c r="L9561">
        <v>2204.9299999999998</v>
      </c>
    </row>
    <row r="9562" spans="1:12" x14ac:dyDescent="0.25">
      <c r="A9562" t="str">
        <f t="shared" si="2084"/>
        <v>89301000</v>
      </c>
      <c r="B9562" t="str">
        <f>"89632000"</f>
        <v>89632000</v>
      </c>
      <c r="C9562" t="str">
        <f>"89632000"</f>
        <v>89632000</v>
      </c>
      <c r="D9562" t="str">
        <f t="shared" ref="D9562:D9593" si="2090">"809"</f>
        <v>809</v>
      </c>
      <c r="E9562" t="str">
        <f>"89301212"</f>
        <v>89301212</v>
      </c>
      <c r="F9562" t="str">
        <f>"6756200253"</f>
        <v>6756200253</v>
      </c>
      <c r="G9562" s="1">
        <v>44825</v>
      </c>
      <c r="H9562" t="str">
        <f>"89513"</f>
        <v>89513</v>
      </c>
      <c r="I9562">
        <v>1</v>
      </c>
      <c r="J9562">
        <v>371</v>
      </c>
      <c r="K9562">
        <v>0</v>
      </c>
      <c r="L9562">
        <v>519.4</v>
      </c>
    </row>
    <row r="9563" spans="1:12" x14ac:dyDescent="0.25">
      <c r="A9563" t="str">
        <f t="shared" si="2084"/>
        <v>89301000</v>
      </c>
      <c r="B9563" t="str">
        <f>"89632000"</f>
        <v>89632000</v>
      </c>
      <c r="C9563" t="str">
        <f>"89632000"</f>
        <v>89632000</v>
      </c>
      <c r="D9563" t="str">
        <f t="shared" si="2090"/>
        <v>809</v>
      </c>
      <c r="E9563" t="str">
        <f>"89301212"</f>
        <v>89301212</v>
      </c>
      <c r="F9563" t="str">
        <f>"6756200253"</f>
        <v>6756200253</v>
      </c>
      <c r="G9563" s="1">
        <v>44825</v>
      </c>
      <c r="H9563" t="str">
        <f>"89514"</f>
        <v>89514</v>
      </c>
      <c r="I9563">
        <v>1</v>
      </c>
      <c r="J9563">
        <v>371</v>
      </c>
      <c r="K9563">
        <v>0</v>
      </c>
      <c r="L9563">
        <v>519.4</v>
      </c>
    </row>
    <row r="9564" spans="1:12" x14ac:dyDescent="0.25">
      <c r="A9564" t="str">
        <f t="shared" si="2084"/>
        <v>89301000</v>
      </c>
      <c r="B9564" t="str">
        <f t="shared" ref="B9564:C9583" si="2091">"89063000"</f>
        <v>89063000</v>
      </c>
      <c r="C9564" t="str">
        <f t="shared" si="2091"/>
        <v>89063000</v>
      </c>
      <c r="D9564" t="str">
        <f t="shared" si="2090"/>
        <v>809</v>
      </c>
      <c r="E9564" t="str">
        <f>"89301037"</f>
        <v>89301037</v>
      </c>
      <c r="F9564" t="str">
        <f>"5659152004"</f>
        <v>5659152004</v>
      </c>
      <c r="G9564" s="1">
        <v>44837</v>
      </c>
      <c r="H9564" t="str">
        <f t="shared" ref="H9564:H9595" si="2092">"89312"</f>
        <v>89312</v>
      </c>
      <c r="I9564">
        <v>3</v>
      </c>
      <c r="J9564">
        <v>906</v>
      </c>
      <c r="K9564">
        <v>0</v>
      </c>
      <c r="L9564">
        <v>951.3</v>
      </c>
    </row>
    <row r="9565" spans="1:12" x14ac:dyDescent="0.25">
      <c r="A9565" t="str">
        <f t="shared" si="2084"/>
        <v>89301000</v>
      </c>
      <c r="B9565" t="str">
        <f t="shared" si="2091"/>
        <v>89063000</v>
      </c>
      <c r="C9565" t="str">
        <f t="shared" si="2091"/>
        <v>89063000</v>
      </c>
      <c r="D9565" t="str">
        <f t="shared" si="2090"/>
        <v>809</v>
      </c>
      <c r="E9565" t="str">
        <f>"89301037"</f>
        <v>89301037</v>
      </c>
      <c r="F9565" t="str">
        <f>"495713147"</f>
        <v>495713147</v>
      </c>
      <c r="G9565" s="1">
        <v>44837</v>
      </c>
      <c r="H9565" t="str">
        <f t="shared" si="2092"/>
        <v>89312</v>
      </c>
      <c r="I9565">
        <v>3</v>
      </c>
      <c r="J9565">
        <v>906</v>
      </c>
      <c r="K9565">
        <v>0</v>
      </c>
      <c r="L9565">
        <v>951.3</v>
      </c>
    </row>
    <row r="9566" spans="1:12" x14ac:dyDescent="0.25">
      <c r="A9566" t="str">
        <f t="shared" si="2084"/>
        <v>89301000</v>
      </c>
      <c r="B9566" t="str">
        <f t="shared" si="2091"/>
        <v>89063000</v>
      </c>
      <c r="C9566" t="str">
        <f t="shared" si="2091"/>
        <v>89063000</v>
      </c>
      <c r="D9566" t="str">
        <f t="shared" si="2090"/>
        <v>809</v>
      </c>
      <c r="E9566" t="str">
        <f>"89301032"</f>
        <v>89301032</v>
      </c>
      <c r="F9566" t="str">
        <f>"8758075777"</f>
        <v>8758075777</v>
      </c>
      <c r="G9566" s="1">
        <v>44837</v>
      </c>
      <c r="H9566" t="str">
        <f t="shared" si="2092"/>
        <v>89312</v>
      </c>
      <c r="I9566">
        <v>3</v>
      </c>
      <c r="J9566">
        <v>906</v>
      </c>
      <c r="K9566">
        <v>0</v>
      </c>
      <c r="L9566">
        <v>951.3</v>
      </c>
    </row>
    <row r="9567" spans="1:12" x14ac:dyDescent="0.25">
      <c r="A9567" t="str">
        <f t="shared" si="2084"/>
        <v>89301000</v>
      </c>
      <c r="B9567" t="str">
        <f t="shared" si="2091"/>
        <v>89063000</v>
      </c>
      <c r="C9567" t="str">
        <f t="shared" si="2091"/>
        <v>89063000</v>
      </c>
      <c r="D9567" t="str">
        <f t="shared" si="2090"/>
        <v>809</v>
      </c>
      <c r="E9567" t="str">
        <f>"89301212"</f>
        <v>89301212</v>
      </c>
      <c r="F9567" t="str">
        <f>"6260100495"</f>
        <v>6260100495</v>
      </c>
      <c r="G9567" s="1">
        <v>44837</v>
      </c>
      <c r="H9567" t="str">
        <f t="shared" si="2092"/>
        <v>89312</v>
      </c>
      <c r="I9567">
        <v>3</v>
      </c>
      <c r="J9567">
        <v>906</v>
      </c>
      <c r="K9567">
        <v>0</v>
      </c>
      <c r="L9567">
        <v>951.3</v>
      </c>
    </row>
    <row r="9568" spans="1:12" x14ac:dyDescent="0.25">
      <c r="A9568" t="str">
        <f t="shared" si="2084"/>
        <v>89301000</v>
      </c>
      <c r="B9568" t="str">
        <f t="shared" si="2091"/>
        <v>89063000</v>
      </c>
      <c r="C9568" t="str">
        <f t="shared" si="2091"/>
        <v>89063000</v>
      </c>
      <c r="D9568" t="str">
        <f t="shared" si="2090"/>
        <v>809</v>
      </c>
      <c r="E9568" t="str">
        <f>"89301702"</f>
        <v>89301702</v>
      </c>
      <c r="F9568" t="str">
        <f>"0911113258"</f>
        <v>0911113258</v>
      </c>
      <c r="G9568" s="1">
        <v>44838</v>
      </c>
      <c r="H9568" t="str">
        <f t="shared" si="2092"/>
        <v>89312</v>
      </c>
      <c r="I9568">
        <v>1</v>
      </c>
      <c r="J9568">
        <v>302</v>
      </c>
      <c r="K9568">
        <v>0</v>
      </c>
      <c r="L9568">
        <v>317.10000000000002</v>
      </c>
    </row>
    <row r="9569" spans="1:12" x14ac:dyDescent="0.25">
      <c r="A9569" t="str">
        <f t="shared" si="2084"/>
        <v>89301000</v>
      </c>
      <c r="B9569" t="str">
        <f t="shared" si="2091"/>
        <v>89063000</v>
      </c>
      <c r="C9569" t="str">
        <f t="shared" si="2091"/>
        <v>89063000</v>
      </c>
      <c r="D9569" t="str">
        <f t="shared" si="2090"/>
        <v>809</v>
      </c>
      <c r="E9569" t="str">
        <f>"89301036"</f>
        <v>89301036</v>
      </c>
      <c r="F9569" t="str">
        <f>"6608261044"</f>
        <v>6608261044</v>
      </c>
      <c r="G9569" s="1">
        <v>44838</v>
      </c>
      <c r="H9569" t="str">
        <f t="shared" si="2092"/>
        <v>89312</v>
      </c>
      <c r="I9569">
        <v>3</v>
      </c>
      <c r="J9569">
        <v>906</v>
      </c>
      <c r="K9569">
        <v>0</v>
      </c>
      <c r="L9569">
        <v>951.3</v>
      </c>
    </row>
    <row r="9570" spans="1:12" x14ac:dyDescent="0.25">
      <c r="A9570" t="str">
        <f t="shared" si="2084"/>
        <v>89301000</v>
      </c>
      <c r="B9570" t="str">
        <f t="shared" si="2091"/>
        <v>89063000</v>
      </c>
      <c r="C9570" t="str">
        <f t="shared" si="2091"/>
        <v>89063000</v>
      </c>
      <c r="D9570" t="str">
        <f t="shared" si="2090"/>
        <v>809</v>
      </c>
      <c r="E9570" t="str">
        <f>"89301036"</f>
        <v>89301036</v>
      </c>
      <c r="F9570" t="str">
        <f>"6202130352"</f>
        <v>6202130352</v>
      </c>
      <c r="G9570" s="1">
        <v>44838</v>
      </c>
      <c r="H9570" t="str">
        <f t="shared" si="2092"/>
        <v>89312</v>
      </c>
      <c r="I9570">
        <v>3</v>
      </c>
      <c r="J9570">
        <v>906</v>
      </c>
      <c r="K9570">
        <v>0</v>
      </c>
      <c r="L9570">
        <v>951.3</v>
      </c>
    </row>
    <row r="9571" spans="1:12" x14ac:dyDescent="0.25">
      <c r="A9571" t="str">
        <f t="shared" si="2084"/>
        <v>89301000</v>
      </c>
      <c r="B9571" t="str">
        <f t="shared" si="2091"/>
        <v>89063000</v>
      </c>
      <c r="C9571" t="str">
        <f t="shared" si="2091"/>
        <v>89063000</v>
      </c>
      <c r="D9571" t="str">
        <f t="shared" si="2090"/>
        <v>809</v>
      </c>
      <c r="E9571" t="str">
        <f t="shared" ref="E9571:E9580" si="2093">"89301037"</f>
        <v>89301037</v>
      </c>
      <c r="F9571" t="str">
        <f>"8954126203"</f>
        <v>8954126203</v>
      </c>
      <c r="G9571" s="1">
        <v>44838</v>
      </c>
      <c r="H9571" t="str">
        <f t="shared" si="2092"/>
        <v>89312</v>
      </c>
      <c r="I9571">
        <v>3</v>
      </c>
      <c r="J9571">
        <v>906</v>
      </c>
      <c r="K9571">
        <v>0</v>
      </c>
      <c r="L9571">
        <v>951.3</v>
      </c>
    </row>
    <row r="9572" spans="1:12" x14ac:dyDescent="0.25">
      <c r="A9572" t="str">
        <f t="shared" si="2084"/>
        <v>89301000</v>
      </c>
      <c r="B9572" t="str">
        <f t="shared" si="2091"/>
        <v>89063000</v>
      </c>
      <c r="C9572" t="str">
        <f t="shared" si="2091"/>
        <v>89063000</v>
      </c>
      <c r="D9572" t="str">
        <f t="shared" si="2090"/>
        <v>809</v>
      </c>
      <c r="E9572" t="str">
        <f t="shared" si="2093"/>
        <v>89301037</v>
      </c>
      <c r="F9572" t="str">
        <f>"5752061777"</f>
        <v>5752061777</v>
      </c>
      <c r="G9572" s="1">
        <v>44840</v>
      </c>
      <c r="H9572" t="str">
        <f t="shared" si="2092"/>
        <v>89312</v>
      </c>
      <c r="I9572">
        <v>3</v>
      </c>
      <c r="J9572">
        <v>906</v>
      </c>
      <c r="K9572">
        <v>0</v>
      </c>
      <c r="L9572">
        <v>951.3</v>
      </c>
    </row>
    <row r="9573" spans="1:12" x14ac:dyDescent="0.25">
      <c r="A9573" t="str">
        <f t="shared" si="2084"/>
        <v>89301000</v>
      </c>
      <c r="B9573" t="str">
        <f t="shared" si="2091"/>
        <v>89063000</v>
      </c>
      <c r="C9573" t="str">
        <f t="shared" si="2091"/>
        <v>89063000</v>
      </c>
      <c r="D9573" t="str">
        <f t="shared" si="2090"/>
        <v>809</v>
      </c>
      <c r="E9573" t="str">
        <f t="shared" si="2093"/>
        <v>89301037</v>
      </c>
      <c r="F9573" t="str">
        <f>"7753155311"</f>
        <v>7753155311</v>
      </c>
      <c r="G9573" s="1">
        <v>44839</v>
      </c>
      <c r="H9573" t="str">
        <f t="shared" si="2092"/>
        <v>89312</v>
      </c>
      <c r="I9573">
        <v>3</v>
      </c>
      <c r="J9573">
        <v>906</v>
      </c>
      <c r="K9573">
        <v>0</v>
      </c>
      <c r="L9573">
        <v>951.3</v>
      </c>
    </row>
    <row r="9574" spans="1:12" x14ac:dyDescent="0.25">
      <c r="A9574" t="str">
        <f t="shared" si="2084"/>
        <v>89301000</v>
      </c>
      <c r="B9574" t="str">
        <f t="shared" si="2091"/>
        <v>89063000</v>
      </c>
      <c r="C9574" t="str">
        <f t="shared" si="2091"/>
        <v>89063000</v>
      </c>
      <c r="D9574" t="str">
        <f t="shared" si="2090"/>
        <v>809</v>
      </c>
      <c r="E9574" t="str">
        <f t="shared" si="2093"/>
        <v>89301037</v>
      </c>
      <c r="F9574" t="str">
        <f>"8060024478"</f>
        <v>8060024478</v>
      </c>
      <c r="G9574" s="1">
        <v>44839</v>
      </c>
      <c r="H9574" t="str">
        <f t="shared" si="2092"/>
        <v>89312</v>
      </c>
      <c r="I9574">
        <v>3</v>
      </c>
      <c r="J9574">
        <v>906</v>
      </c>
      <c r="K9574">
        <v>0</v>
      </c>
      <c r="L9574">
        <v>951.3</v>
      </c>
    </row>
    <row r="9575" spans="1:12" x14ac:dyDescent="0.25">
      <c r="A9575" t="str">
        <f t="shared" si="2084"/>
        <v>89301000</v>
      </c>
      <c r="B9575" t="str">
        <f t="shared" si="2091"/>
        <v>89063000</v>
      </c>
      <c r="C9575" t="str">
        <f t="shared" si="2091"/>
        <v>89063000</v>
      </c>
      <c r="D9575" t="str">
        <f t="shared" si="2090"/>
        <v>809</v>
      </c>
      <c r="E9575" t="str">
        <f t="shared" si="2093"/>
        <v>89301037</v>
      </c>
      <c r="F9575" t="str">
        <f>"526128188"</f>
        <v>526128188</v>
      </c>
      <c r="G9575" s="1">
        <v>44839</v>
      </c>
      <c r="H9575" t="str">
        <f t="shared" si="2092"/>
        <v>89312</v>
      </c>
      <c r="I9575">
        <v>3</v>
      </c>
      <c r="J9575">
        <v>906</v>
      </c>
      <c r="K9575">
        <v>0</v>
      </c>
      <c r="L9575">
        <v>951.3</v>
      </c>
    </row>
    <row r="9576" spans="1:12" x14ac:dyDescent="0.25">
      <c r="A9576" t="str">
        <f t="shared" si="2084"/>
        <v>89301000</v>
      </c>
      <c r="B9576" t="str">
        <f t="shared" si="2091"/>
        <v>89063000</v>
      </c>
      <c r="C9576" t="str">
        <f t="shared" si="2091"/>
        <v>89063000</v>
      </c>
      <c r="D9576" t="str">
        <f t="shared" si="2090"/>
        <v>809</v>
      </c>
      <c r="E9576" t="str">
        <f t="shared" si="2093"/>
        <v>89301037</v>
      </c>
      <c r="F9576" t="str">
        <f>"485218409"</f>
        <v>485218409</v>
      </c>
      <c r="G9576" s="1">
        <v>44839</v>
      </c>
      <c r="H9576" t="str">
        <f t="shared" si="2092"/>
        <v>89312</v>
      </c>
      <c r="I9576">
        <v>3</v>
      </c>
      <c r="J9576">
        <v>906</v>
      </c>
      <c r="K9576">
        <v>0</v>
      </c>
      <c r="L9576">
        <v>951.3</v>
      </c>
    </row>
    <row r="9577" spans="1:12" x14ac:dyDescent="0.25">
      <c r="A9577" t="str">
        <f t="shared" si="2084"/>
        <v>89301000</v>
      </c>
      <c r="B9577" t="str">
        <f t="shared" si="2091"/>
        <v>89063000</v>
      </c>
      <c r="C9577" t="str">
        <f t="shared" si="2091"/>
        <v>89063000</v>
      </c>
      <c r="D9577" t="str">
        <f t="shared" si="2090"/>
        <v>809</v>
      </c>
      <c r="E9577" t="str">
        <f t="shared" si="2093"/>
        <v>89301037</v>
      </c>
      <c r="F9577" t="str">
        <f>"6359090056"</f>
        <v>6359090056</v>
      </c>
      <c r="G9577" s="1">
        <v>44839</v>
      </c>
      <c r="H9577" t="str">
        <f t="shared" si="2092"/>
        <v>89312</v>
      </c>
      <c r="I9577">
        <v>3</v>
      </c>
      <c r="J9577">
        <v>906</v>
      </c>
      <c r="K9577">
        <v>0</v>
      </c>
      <c r="L9577">
        <v>951.3</v>
      </c>
    </row>
    <row r="9578" spans="1:12" x14ac:dyDescent="0.25">
      <c r="A9578" t="str">
        <f t="shared" si="2084"/>
        <v>89301000</v>
      </c>
      <c r="B9578" t="str">
        <f t="shared" si="2091"/>
        <v>89063000</v>
      </c>
      <c r="C9578" t="str">
        <f t="shared" si="2091"/>
        <v>89063000</v>
      </c>
      <c r="D9578" t="str">
        <f t="shared" si="2090"/>
        <v>809</v>
      </c>
      <c r="E9578" t="str">
        <f t="shared" si="2093"/>
        <v>89301037</v>
      </c>
      <c r="F9578" t="str">
        <f>"535510028"</f>
        <v>535510028</v>
      </c>
      <c r="G9578" s="1">
        <v>44839</v>
      </c>
      <c r="H9578" t="str">
        <f t="shared" si="2092"/>
        <v>89312</v>
      </c>
      <c r="I9578">
        <v>3</v>
      </c>
      <c r="J9578">
        <v>906</v>
      </c>
      <c r="K9578">
        <v>0</v>
      </c>
      <c r="L9578">
        <v>951.3</v>
      </c>
    </row>
    <row r="9579" spans="1:12" x14ac:dyDescent="0.25">
      <c r="A9579" t="str">
        <f t="shared" si="2084"/>
        <v>89301000</v>
      </c>
      <c r="B9579" t="str">
        <f t="shared" si="2091"/>
        <v>89063000</v>
      </c>
      <c r="C9579" t="str">
        <f t="shared" si="2091"/>
        <v>89063000</v>
      </c>
      <c r="D9579" t="str">
        <f t="shared" si="2090"/>
        <v>809</v>
      </c>
      <c r="E9579" t="str">
        <f t="shared" si="2093"/>
        <v>89301037</v>
      </c>
      <c r="F9579" t="str">
        <f>"435816443"</f>
        <v>435816443</v>
      </c>
      <c r="G9579" s="1">
        <v>44840</v>
      </c>
      <c r="H9579" t="str">
        <f t="shared" si="2092"/>
        <v>89312</v>
      </c>
      <c r="I9579">
        <v>3</v>
      </c>
      <c r="J9579">
        <v>906</v>
      </c>
      <c r="K9579">
        <v>0</v>
      </c>
      <c r="L9579">
        <v>951.3</v>
      </c>
    </row>
    <row r="9580" spans="1:12" x14ac:dyDescent="0.25">
      <c r="A9580" t="str">
        <f t="shared" si="2084"/>
        <v>89301000</v>
      </c>
      <c r="B9580" t="str">
        <f t="shared" si="2091"/>
        <v>89063000</v>
      </c>
      <c r="C9580" t="str">
        <f t="shared" si="2091"/>
        <v>89063000</v>
      </c>
      <c r="D9580" t="str">
        <f t="shared" si="2090"/>
        <v>809</v>
      </c>
      <c r="E9580" t="str">
        <f t="shared" si="2093"/>
        <v>89301037</v>
      </c>
      <c r="F9580" t="str">
        <f>"460505463"</f>
        <v>460505463</v>
      </c>
      <c r="G9580" s="1">
        <v>44840</v>
      </c>
      <c r="H9580" t="str">
        <f t="shared" si="2092"/>
        <v>89312</v>
      </c>
      <c r="I9580">
        <v>3</v>
      </c>
      <c r="J9580">
        <v>906</v>
      </c>
      <c r="K9580">
        <v>0</v>
      </c>
      <c r="L9580">
        <v>951.3</v>
      </c>
    </row>
    <row r="9581" spans="1:12" x14ac:dyDescent="0.25">
      <c r="A9581" t="str">
        <f t="shared" si="2084"/>
        <v>89301000</v>
      </c>
      <c r="B9581" t="str">
        <f t="shared" si="2091"/>
        <v>89063000</v>
      </c>
      <c r="C9581" t="str">
        <f t="shared" si="2091"/>
        <v>89063000</v>
      </c>
      <c r="D9581" t="str">
        <f t="shared" si="2090"/>
        <v>809</v>
      </c>
      <c r="E9581" t="str">
        <f>"89301302"</f>
        <v>89301302</v>
      </c>
      <c r="F9581" t="str">
        <f>"5452170911"</f>
        <v>5452170911</v>
      </c>
      <c r="G9581" s="1">
        <v>44840</v>
      </c>
      <c r="H9581" t="str">
        <f t="shared" si="2092"/>
        <v>89312</v>
      </c>
      <c r="I9581">
        <v>3</v>
      </c>
      <c r="J9581">
        <v>906</v>
      </c>
      <c r="K9581">
        <v>0</v>
      </c>
      <c r="L9581">
        <v>951.3</v>
      </c>
    </row>
    <row r="9582" spans="1:12" x14ac:dyDescent="0.25">
      <c r="A9582" t="str">
        <f t="shared" si="2084"/>
        <v>89301000</v>
      </c>
      <c r="B9582" t="str">
        <f t="shared" si="2091"/>
        <v>89063000</v>
      </c>
      <c r="C9582" t="str">
        <f t="shared" si="2091"/>
        <v>89063000</v>
      </c>
      <c r="D9582" t="str">
        <f t="shared" si="2090"/>
        <v>809</v>
      </c>
      <c r="E9582" t="str">
        <f>"89301037"</f>
        <v>89301037</v>
      </c>
      <c r="F9582" t="str">
        <f>"6555082336"</f>
        <v>6555082336</v>
      </c>
      <c r="G9582" s="1">
        <v>44840</v>
      </c>
      <c r="H9582" t="str">
        <f t="shared" si="2092"/>
        <v>89312</v>
      </c>
      <c r="I9582">
        <v>3</v>
      </c>
      <c r="J9582">
        <v>906</v>
      </c>
      <c r="K9582">
        <v>0</v>
      </c>
      <c r="L9582">
        <v>951.3</v>
      </c>
    </row>
    <row r="9583" spans="1:12" x14ac:dyDescent="0.25">
      <c r="A9583" t="str">
        <f t="shared" si="2084"/>
        <v>89301000</v>
      </c>
      <c r="B9583" t="str">
        <f t="shared" si="2091"/>
        <v>89063000</v>
      </c>
      <c r="C9583" t="str">
        <f t="shared" si="2091"/>
        <v>89063000</v>
      </c>
      <c r="D9583" t="str">
        <f t="shared" si="2090"/>
        <v>809</v>
      </c>
      <c r="E9583" t="str">
        <f>"89301037"</f>
        <v>89301037</v>
      </c>
      <c r="F9583" t="str">
        <f>"8061072283"</f>
        <v>8061072283</v>
      </c>
      <c r="G9583" s="1">
        <v>44841</v>
      </c>
      <c r="H9583" t="str">
        <f t="shared" si="2092"/>
        <v>89312</v>
      </c>
      <c r="I9583">
        <v>3</v>
      </c>
      <c r="J9583">
        <v>906</v>
      </c>
      <c r="K9583">
        <v>0</v>
      </c>
      <c r="L9583">
        <v>951.3</v>
      </c>
    </row>
    <row r="9584" spans="1:12" x14ac:dyDescent="0.25">
      <c r="A9584" t="str">
        <f t="shared" si="2084"/>
        <v>89301000</v>
      </c>
      <c r="B9584" t="str">
        <f t="shared" ref="B9584:C9603" si="2094">"89063000"</f>
        <v>89063000</v>
      </c>
      <c r="C9584" t="str">
        <f t="shared" si="2094"/>
        <v>89063000</v>
      </c>
      <c r="D9584" t="str">
        <f t="shared" si="2090"/>
        <v>809</v>
      </c>
      <c r="E9584" t="str">
        <f>"89301702"</f>
        <v>89301702</v>
      </c>
      <c r="F9584" t="str">
        <f>"1302140928"</f>
        <v>1302140928</v>
      </c>
      <c r="G9584" s="1">
        <v>44841</v>
      </c>
      <c r="H9584" t="str">
        <f t="shared" si="2092"/>
        <v>89312</v>
      </c>
      <c r="I9584">
        <v>1</v>
      </c>
      <c r="J9584">
        <v>302</v>
      </c>
      <c r="K9584">
        <v>0</v>
      </c>
      <c r="L9584">
        <v>317.10000000000002</v>
      </c>
    </row>
    <row r="9585" spans="1:12" x14ac:dyDescent="0.25">
      <c r="A9585" t="str">
        <f t="shared" si="2084"/>
        <v>89301000</v>
      </c>
      <c r="B9585" t="str">
        <f t="shared" si="2094"/>
        <v>89063000</v>
      </c>
      <c r="C9585" t="str">
        <f t="shared" si="2094"/>
        <v>89063000</v>
      </c>
      <c r="D9585" t="str">
        <f t="shared" si="2090"/>
        <v>809</v>
      </c>
      <c r="E9585" t="str">
        <f>"89301037"</f>
        <v>89301037</v>
      </c>
      <c r="F9585" t="str">
        <f>"7608184606"</f>
        <v>7608184606</v>
      </c>
      <c r="G9585" s="1">
        <v>44844</v>
      </c>
      <c r="H9585" t="str">
        <f t="shared" si="2092"/>
        <v>89312</v>
      </c>
      <c r="I9585">
        <v>3</v>
      </c>
      <c r="J9585">
        <v>906</v>
      </c>
      <c r="K9585">
        <v>0</v>
      </c>
      <c r="L9585">
        <v>951.3</v>
      </c>
    </row>
    <row r="9586" spans="1:12" x14ac:dyDescent="0.25">
      <c r="A9586" t="str">
        <f t="shared" si="2084"/>
        <v>89301000</v>
      </c>
      <c r="B9586" t="str">
        <f t="shared" si="2094"/>
        <v>89063000</v>
      </c>
      <c r="C9586" t="str">
        <f t="shared" si="2094"/>
        <v>89063000</v>
      </c>
      <c r="D9586" t="str">
        <f t="shared" si="2090"/>
        <v>809</v>
      </c>
      <c r="E9586" t="str">
        <f>"89301036"</f>
        <v>89301036</v>
      </c>
      <c r="F9586" t="str">
        <f>"6001131290"</f>
        <v>6001131290</v>
      </c>
      <c r="G9586" s="1">
        <v>44844</v>
      </c>
      <c r="H9586" t="str">
        <f t="shared" si="2092"/>
        <v>89312</v>
      </c>
      <c r="I9586">
        <v>3</v>
      </c>
      <c r="J9586">
        <v>906</v>
      </c>
      <c r="K9586">
        <v>0</v>
      </c>
      <c r="L9586">
        <v>951.3</v>
      </c>
    </row>
    <row r="9587" spans="1:12" x14ac:dyDescent="0.25">
      <c r="A9587" t="str">
        <f t="shared" si="2084"/>
        <v>89301000</v>
      </c>
      <c r="B9587" t="str">
        <f t="shared" si="2094"/>
        <v>89063000</v>
      </c>
      <c r="C9587" t="str">
        <f t="shared" si="2094"/>
        <v>89063000</v>
      </c>
      <c r="D9587" t="str">
        <f t="shared" si="2090"/>
        <v>809</v>
      </c>
      <c r="E9587" t="str">
        <f>"89301102"</f>
        <v>89301102</v>
      </c>
      <c r="F9587" t="str">
        <f>"0407023254"</f>
        <v>0407023254</v>
      </c>
      <c r="G9587" s="1">
        <v>44844</v>
      </c>
      <c r="H9587" t="str">
        <f t="shared" si="2092"/>
        <v>89312</v>
      </c>
      <c r="I9587">
        <v>1</v>
      </c>
      <c r="J9587">
        <v>302</v>
      </c>
      <c r="K9587">
        <v>0</v>
      </c>
      <c r="L9587">
        <v>317.10000000000002</v>
      </c>
    </row>
    <row r="9588" spans="1:12" x14ac:dyDescent="0.25">
      <c r="A9588" t="str">
        <f t="shared" si="2084"/>
        <v>89301000</v>
      </c>
      <c r="B9588" t="str">
        <f t="shared" si="2094"/>
        <v>89063000</v>
      </c>
      <c r="C9588" t="str">
        <f t="shared" si="2094"/>
        <v>89063000</v>
      </c>
      <c r="D9588" t="str">
        <f t="shared" si="2090"/>
        <v>809</v>
      </c>
      <c r="E9588" t="str">
        <f>"89301031"</f>
        <v>89301031</v>
      </c>
      <c r="F9588" t="str">
        <f>"5960051614"</f>
        <v>5960051614</v>
      </c>
      <c r="G9588" s="1">
        <v>44845</v>
      </c>
      <c r="H9588" t="str">
        <f t="shared" si="2092"/>
        <v>89312</v>
      </c>
      <c r="I9588">
        <v>3</v>
      </c>
      <c r="J9588">
        <v>906</v>
      </c>
      <c r="K9588">
        <v>0</v>
      </c>
      <c r="L9588">
        <v>951.3</v>
      </c>
    </row>
    <row r="9589" spans="1:12" x14ac:dyDescent="0.25">
      <c r="A9589" t="str">
        <f t="shared" si="2084"/>
        <v>89301000</v>
      </c>
      <c r="B9589" t="str">
        <f t="shared" si="2094"/>
        <v>89063000</v>
      </c>
      <c r="C9589" t="str">
        <f t="shared" si="2094"/>
        <v>89063000</v>
      </c>
      <c r="D9589" t="str">
        <f t="shared" si="2090"/>
        <v>809</v>
      </c>
      <c r="E9589" t="str">
        <f>"89301036"</f>
        <v>89301036</v>
      </c>
      <c r="F9589" t="str">
        <f>"375223007"</f>
        <v>375223007</v>
      </c>
      <c r="G9589" s="1">
        <v>44845</v>
      </c>
      <c r="H9589" t="str">
        <f t="shared" si="2092"/>
        <v>89312</v>
      </c>
      <c r="I9589">
        <v>3</v>
      </c>
      <c r="J9589">
        <v>906</v>
      </c>
      <c r="K9589">
        <v>0</v>
      </c>
      <c r="L9589">
        <v>951.3</v>
      </c>
    </row>
    <row r="9590" spans="1:12" x14ac:dyDescent="0.25">
      <c r="A9590" t="str">
        <f t="shared" si="2084"/>
        <v>89301000</v>
      </c>
      <c r="B9590" t="str">
        <f t="shared" si="2094"/>
        <v>89063000</v>
      </c>
      <c r="C9590" t="str">
        <f t="shared" si="2094"/>
        <v>89063000</v>
      </c>
      <c r="D9590" t="str">
        <f t="shared" si="2090"/>
        <v>809</v>
      </c>
      <c r="E9590" t="str">
        <f>"89301162"</f>
        <v>89301162</v>
      </c>
      <c r="F9590" t="str">
        <f>"426205435"</f>
        <v>426205435</v>
      </c>
      <c r="G9590" s="1">
        <v>44845</v>
      </c>
      <c r="H9590" t="str">
        <f t="shared" si="2092"/>
        <v>89312</v>
      </c>
      <c r="I9590">
        <v>3</v>
      </c>
      <c r="J9590">
        <v>906</v>
      </c>
      <c r="K9590">
        <v>0</v>
      </c>
      <c r="L9590">
        <v>951.3</v>
      </c>
    </row>
    <row r="9591" spans="1:12" x14ac:dyDescent="0.25">
      <c r="A9591" t="str">
        <f t="shared" si="2084"/>
        <v>89301000</v>
      </c>
      <c r="B9591" t="str">
        <f t="shared" si="2094"/>
        <v>89063000</v>
      </c>
      <c r="C9591" t="str">
        <f t="shared" si="2094"/>
        <v>89063000</v>
      </c>
      <c r="D9591" t="str">
        <f t="shared" si="2090"/>
        <v>809</v>
      </c>
      <c r="E9591" t="str">
        <f t="shared" ref="E9591:E9599" si="2095">"89301037"</f>
        <v>89301037</v>
      </c>
      <c r="F9591" t="str">
        <f>"525609087"</f>
        <v>525609087</v>
      </c>
      <c r="G9591" s="1">
        <v>44846</v>
      </c>
      <c r="H9591" t="str">
        <f t="shared" si="2092"/>
        <v>89312</v>
      </c>
      <c r="I9591">
        <v>3</v>
      </c>
      <c r="J9591">
        <v>906</v>
      </c>
      <c r="K9591">
        <v>0</v>
      </c>
      <c r="L9591">
        <v>951.3</v>
      </c>
    </row>
    <row r="9592" spans="1:12" x14ac:dyDescent="0.25">
      <c r="A9592" t="str">
        <f t="shared" si="2084"/>
        <v>89301000</v>
      </c>
      <c r="B9592" t="str">
        <f t="shared" si="2094"/>
        <v>89063000</v>
      </c>
      <c r="C9592" t="str">
        <f t="shared" si="2094"/>
        <v>89063000</v>
      </c>
      <c r="D9592" t="str">
        <f t="shared" si="2090"/>
        <v>809</v>
      </c>
      <c r="E9592" t="str">
        <f t="shared" si="2095"/>
        <v>89301037</v>
      </c>
      <c r="F9592" t="str">
        <f>"5952170730"</f>
        <v>5952170730</v>
      </c>
      <c r="G9592" s="1">
        <v>44846</v>
      </c>
      <c r="H9592" t="str">
        <f t="shared" si="2092"/>
        <v>89312</v>
      </c>
      <c r="I9592">
        <v>3</v>
      </c>
      <c r="J9592">
        <v>906</v>
      </c>
      <c r="K9592">
        <v>0</v>
      </c>
      <c r="L9592">
        <v>951.3</v>
      </c>
    </row>
    <row r="9593" spans="1:12" x14ac:dyDescent="0.25">
      <c r="A9593" t="str">
        <f t="shared" si="2084"/>
        <v>89301000</v>
      </c>
      <c r="B9593" t="str">
        <f t="shared" si="2094"/>
        <v>89063000</v>
      </c>
      <c r="C9593" t="str">
        <f t="shared" si="2094"/>
        <v>89063000</v>
      </c>
      <c r="D9593" t="str">
        <f t="shared" si="2090"/>
        <v>809</v>
      </c>
      <c r="E9593" t="str">
        <f t="shared" si="2095"/>
        <v>89301037</v>
      </c>
      <c r="F9593" t="str">
        <f>"515625318"</f>
        <v>515625318</v>
      </c>
      <c r="G9593" s="1">
        <v>44847</v>
      </c>
      <c r="H9593" t="str">
        <f t="shared" si="2092"/>
        <v>89312</v>
      </c>
      <c r="I9593">
        <v>3</v>
      </c>
      <c r="J9593">
        <v>906</v>
      </c>
      <c r="K9593">
        <v>0</v>
      </c>
      <c r="L9593">
        <v>951.3</v>
      </c>
    </row>
    <row r="9594" spans="1:12" x14ac:dyDescent="0.25">
      <c r="A9594" t="str">
        <f t="shared" si="2084"/>
        <v>89301000</v>
      </c>
      <c r="B9594" t="str">
        <f t="shared" si="2094"/>
        <v>89063000</v>
      </c>
      <c r="C9594" t="str">
        <f t="shared" si="2094"/>
        <v>89063000</v>
      </c>
      <c r="D9594" t="str">
        <f t="shared" ref="D9594:D9625" si="2096">"809"</f>
        <v>809</v>
      </c>
      <c r="E9594" t="str">
        <f t="shared" si="2095"/>
        <v>89301037</v>
      </c>
      <c r="F9594" t="str">
        <f>"536002053"</f>
        <v>536002053</v>
      </c>
      <c r="G9594" s="1">
        <v>44847</v>
      </c>
      <c r="H9594" t="str">
        <f t="shared" si="2092"/>
        <v>89312</v>
      </c>
      <c r="I9594">
        <v>3</v>
      </c>
      <c r="J9594">
        <v>906</v>
      </c>
      <c r="K9594">
        <v>0</v>
      </c>
      <c r="L9594">
        <v>951.3</v>
      </c>
    </row>
    <row r="9595" spans="1:12" x14ac:dyDescent="0.25">
      <c r="A9595" t="str">
        <f t="shared" si="2084"/>
        <v>89301000</v>
      </c>
      <c r="B9595" t="str">
        <f t="shared" si="2094"/>
        <v>89063000</v>
      </c>
      <c r="C9595" t="str">
        <f t="shared" si="2094"/>
        <v>89063000</v>
      </c>
      <c r="D9595" t="str">
        <f t="shared" si="2096"/>
        <v>809</v>
      </c>
      <c r="E9595" t="str">
        <f t="shared" si="2095"/>
        <v>89301037</v>
      </c>
      <c r="F9595" t="str">
        <f>"5751260295"</f>
        <v>5751260295</v>
      </c>
      <c r="G9595" s="1">
        <v>44848</v>
      </c>
      <c r="H9595" t="str">
        <f t="shared" si="2092"/>
        <v>89312</v>
      </c>
      <c r="I9595">
        <v>3</v>
      </c>
      <c r="J9595">
        <v>906</v>
      </c>
      <c r="K9595">
        <v>0</v>
      </c>
      <c r="L9595">
        <v>951.3</v>
      </c>
    </row>
    <row r="9596" spans="1:12" x14ac:dyDescent="0.25">
      <c r="A9596" t="str">
        <f t="shared" si="2084"/>
        <v>89301000</v>
      </c>
      <c r="B9596" t="str">
        <f t="shared" si="2094"/>
        <v>89063000</v>
      </c>
      <c r="C9596" t="str">
        <f t="shared" si="2094"/>
        <v>89063000</v>
      </c>
      <c r="D9596" t="str">
        <f t="shared" si="2096"/>
        <v>809</v>
      </c>
      <c r="E9596" t="str">
        <f t="shared" si="2095"/>
        <v>89301037</v>
      </c>
      <c r="F9596" t="str">
        <f>"5462262388"</f>
        <v>5462262388</v>
      </c>
      <c r="G9596" s="1">
        <v>44846</v>
      </c>
      <c r="H9596" t="str">
        <f t="shared" ref="H9596:H9628" si="2097">"89312"</f>
        <v>89312</v>
      </c>
      <c r="I9596">
        <v>3</v>
      </c>
      <c r="J9596">
        <v>906</v>
      </c>
      <c r="K9596">
        <v>0</v>
      </c>
      <c r="L9596">
        <v>951.3</v>
      </c>
    </row>
    <row r="9597" spans="1:12" x14ac:dyDescent="0.25">
      <c r="A9597" t="str">
        <f t="shared" si="2084"/>
        <v>89301000</v>
      </c>
      <c r="B9597" t="str">
        <f t="shared" si="2094"/>
        <v>89063000</v>
      </c>
      <c r="C9597" t="str">
        <f t="shared" si="2094"/>
        <v>89063000</v>
      </c>
      <c r="D9597" t="str">
        <f t="shared" si="2096"/>
        <v>809</v>
      </c>
      <c r="E9597" t="str">
        <f t="shared" si="2095"/>
        <v>89301037</v>
      </c>
      <c r="F9597" t="str">
        <f>"7358035773"</f>
        <v>7358035773</v>
      </c>
      <c r="G9597" s="1">
        <v>44851</v>
      </c>
      <c r="H9597" t="str">
        <f t="shared" si="2097"/>
        <v>89312</v>
      </c>
      <c r="I9597">
        <v>3</v>
      </c>
      <c r="J9597">
        <v>906</v>
      </c>
      <c r="K9597">
        <v>0</v>
      </c>
      <c r="L9597">
        <v>951.3</v>
      </c>
    </row>
    <row r="9598" spans="1:12" x14ac:dyDescent="0.25">
      <c r="A9598" t="str">
        <f t="shared" si="2084"/>
        <v>89301000</v>
      </c>
      <c r="B9598" t="str">
        <f t="shared" si="2094"/>
        <v>89063000</v>
      </c>
      <c r="C9598" t="str">
        <f t="shared" si="2094"/>
        <v>89063000</v>
      </c>
      <c r="D9598" t="str">
        <f t="shared" si="2096"/>
        <v>809</v>
      </c>
      <c r="E9598" t="str">
        <f t="shared" si="2095"/>
        <v>89301037</v>
      </c>
      <c r="F9598" t="str">
        <f>"7561075324"</f>
        <v>7561075324</v>
      </c>
      <c r="G9598" s="1">
        <v>44851</v>
      </c>
      <c r="H9598" t="str">
        <f t="shared" si="2097"/>
        <v>89312</v>
      </c>
      <c r="I9598">
        <v>3</v>
      </c>
      <c r="J9598">
        <v>906</v>
      </c>
      <c r="K9598">
        <v>0</v>
      </c>
      <c r="L9598">
        <v>951.3</v>
      </c>
    </row>
    <row r="9599" spans="1:12" x14ac:dyDescent="0.25">
      <c r="A9599" t="str">
        <f t="shared" si="2084"/>
        <v>89301000</v>
      </c>
      <c r="B9599" t="str">
        <f t="shared" si="2094"/>
        <v>89063000</v>
      </c>
      <c r="C9599" t="str">
        <f t="shared" si="2094"/>
        <v>89063000</v>
      </c>
      <c r="D9599" t="str">
        <f t="shared" si="2096"/>
        <v>809</v>
      </c>
      <c r="E9599" t="str">
        <f t="shared" si="2095"/>
        <v>89301037</v>
      </c>
      <c r="F9599" t="str">
        <f>"6652171229"</f>
        <v>6652171229</v>
      </c>
      <c r="G9599" s="1">
        <v>44851</v>
      </c>
      <c r="H9599" t="str">
        <f t="shared" si="2097"/>
        <v>89312</v>
      </c>
      <c r="I9599">
        <v>3</v>
      </c>
      <c r="J9599">
        <v>906</v>
      </c>
      <c r="K9599">
        <v>0</v>
      </c>
      <c r="L9599">
        <v>951.3</v>
      </c>
    </row>
    <row r="9600" spans="1:12" x14ac:dyDescent="0.25">
      <c r="A9600" t="str">
        <f t="shared" si="2084"/>
        <v>89301000</v>
      </c>
      <c r="B9600" t="str">
        <f t="shared" si="2094"/>
        <v>89063000</v>
      </c>
      <c r="C9600" t="str">
        <f t="shared" si="2094"/>
        <v>89063000</v>
      </c>
      <c r="D9600" t="str">
        <f t="shared" si="2096"/>
        <v>809</v>
      </c>
      <c r="E9600" t="str">
        <f>"89301039"</f>
        <v>89301039</v>
      </c>
      <c r="F9600" t="str">
        <f>"6110131456"</f>
        <v>6110131456</v>
      </c>
      <c r="G9600" s="1">
        <v>44851</v>
      </c>
      <c r="H9600" t="str">
        <f t="shared" si="2097"/>
        <v>89312</v>
      </c>
      <c r="I9600">
        <v>3</v>
      </c>
      <c r="J9600">
        <v>906</v>
      </c>
      <c r="K9600">
        <v>0</v>
      </c>
      <c r="L9600">
        <v>951.3</v>
      </c>
    </row>
    <row r="9601" spans="1:12" x14ac:dyDescent="0.25">
      <c r="A9601" t="str">
        <f t="shared" si="2084"/>
        <v>89301000</v>
      </c>
      <c r="B9601" t="str">
        <f t="shared" si="2094"/>
        <v>89063000</v>
      </c>
      <c r="C9601" t="str">
        <f t="shared" si="2094"/>
        <v>89063000</v>
      </c>
      <c r="D9601" t="str">
        <f t="shared" si="2096"/>
        <v>809</v>
      </c>
      <c r="E9601" t="str">
        <f>"89301037"</f>
        <v>89301037</v>
      </c>
      <c r="F9601" t="str">
        <f>"6959244490"</f>
        <v>6959244490</v>
      </c>
      <c r="G9601" s="1">
        <v>44851</v>
      </c>
      <c r="H9601" t="str">
        <f t="shared" si="2097"/>
        <v>89312</v>
      </c>
      <c r="I9601">
        <v>3</v>
      </c>
      <c r="J9601">
        <v>906</v>
      </c>
      <c r="K9601">
        <v>0</v>
      </c>
      <c r="L9601">
        <v>951.3</v>
      </c>
    </row>
    <row r="9602" spans="1:12" x14ac:dyDescent="0.25">
      <c r="A9602" t="str">
        <f t="shared" ref="A9602:A9665" si="2098">"89301000"</f>
        <v>89301000</v>
      </c>
      <c r="B9602" t="str">
        <f t="shared" si="2094"/>
        <v>89063000</v>
      </c>
      <c r="C9602" t="str">
        <f t="shared" si="2094"/>
        <v>89063000</v>
      </c>
      <c r="D9602" t="str">
        <f t="shared" si="2096"/>
        <v>809</v>
      </c>
      <c r="E9602" t="str">
        <f>"89301037"</f>
        <v>89301037</v>
      </c>
      <c r="F9602" t="str">
        <f>"7758225761"</f>
        <v>7758225761</v>
      </c>
      <c r="G9602" s="1">
        <v>44851</v>
      </c>
      <c r="H9602" t="str">
        <f t="shared" si="2097"/>
        <v>89312</v>
      </c>
      <c r="I9602">
        <v>3</v>
      </c>
      <c r="J9602">
        <v>906</v>
      </c>
      <c r="K9602">
        <v>0</v>
      </c>
      <c r="L9602">
        <v>951.3</v>
      </c>
    </row>
    <row r="9603" spans="1:12" x14ac:dyDescent="0.25">
      <c r="A9603" t="str">
        <f t="shared" si="2098"/>
        <v>89301000</v>
      </c>
      <c r="B9603" t="str">
        <f t="shared" si="2094"/>
        <v>89063000</v>
      </c>
      <c r="C9603" t="str">
        <f t="shared" si="2094"/>
        <v>89063000</v>
      </c>
      <c r="D9603" t="str">
        <f t="shared" si="2096"/>
        <v>809</v>
      </c>
      <c r="E9603" t="str">
        <f>"89301037"</f>
        <v>89301037</v>
      </c>
      <c r="F9603" t="str">
        <f>"436008429"</f>
        <v>436008429</v>
      </c>
      <c r="G9603" s="1">
        <v>44852</v>
      </c>
      <c r="H9603" t="str">
        <f t="shared" si="2097"/>
        <v>89312</v>
      </c>
      <c r="I9603">
        <v>3</v>
      </c>
      <c r="J9603">
        <v>906</v>
      </c>
      <c r="K9603">
        <v>0</v>
      </c>
      <c r="L9603">
        <v>951.3</v>
      </c>
    </row>
    <row r="9604" spans="1:12" x14ac:dyDescent="0.25">
      <c r="A9604" t="str">
        <f t="shared" si="2098"/>
        <v>89301000</v>
      </c>
      <c r="B9604" t="str">
        <f t="shared" ref="B9604:C9628" si="2099">"89063000"</f>
        <v>89063000</v>
      </c>
      <c r="C9604" t="str">
        <f t="shared" si="2099"/>
        <v>89063000</v>
      </c>
      <c r="D9604" t="str">
        <f t="shared" si="2096"/>
        <v>809</v>
      </c>
      <c r="E9604" t="str">
        <f>"89301037"</f>
        <v>89301037</v>
      </c>
      <c r="F9604" t="str">
        <f>"7808205790"</f>
        <v>7808205790</v>
      </c>
      <c r="G9604" s="1">
        <v>44852</v>
      </c>
      <c r="H9604" t="str">
        <f t="shared" si="2097"/>
        <v>89312</v>
      </c>
      <c r="I9604">
        <v>3</v>
      </c>
      <c r="J9604">
        <v>906</v>
      </c>
      <c r="K9604">
        <v>0</v>
      </c>
      <c r="L9604">
        <v>951.3</v>
      </c>
    </row>
    <row r="9605" spans="1:12" x14ac:dyDescent="0.25">
      <c r="A9605" t="str">
        <f t="shared" si="2098"/>
        <v>89301000</v>
      </c>
      <c r="B9605" t="str">
        <f t="shared" si="2099"/>
        <v>89063000</v>
      </c>
      <c r="C9605" t="str">
        <f t="shared" si="2099"/>
        <v>89063000</v>
      </c>
      <c r="D9605" t="str">
        <f t="shared" si="2096"/>
        <v>809</v>
      </c>
      <c r="E9605" t="str">
        <f>"89301037"</f>
        <v>89301037</v>
      </c>
      <c r="F9605" t="str">
        <f>"9057035735"</f>
        <v>9057035735</v>
      </c>
      <c r="G9605" s="1">
        <v>44852</v>
      </c>
      <c r="H9605" t="str">
        <f t="shared" si="2097"/>
        <v>89312</v>
      </c>
      <c r="I9605">
        <v>3</v>
      </c>
      <c r="J9605">
        <v>906</v>
      </c>
      <c r="K9605">
        <v>0</v>
      </c>
      <c r="L9605">
        <v>951.3</v>
      </c>
    </row>
    <row r="9606" spans="1:12" x14ac:dyDescent="0.25">
      <c r="A9606" t="str">
        <f t="shared" si="2098"/>
        <v>89301000</v>
      </c>
      <c r="B9606" t="str">
        <f t="shared" si="2099"/>
        <v>89063000</v>
      </c>
      <c r="C9606" t="str">
        <f t="shared" si="2099"/>
        <v>89063000</v>
      </c>
      <c r="D9606" t="str">
        <f t="shared" si="2096"/>
        <v>809</v>
      </c>
      <c r="E9606" t="str">
        <f>"89301212"</f>
        <v>89301212</v>
      </c>
      <c r="F9606" t="str">
        <f>"6659100217"</f>
        <v>6659100217</v>
      </c>
      <c r="G9606" s="1">
        <v>44852</v>
      </c>
      <c r="H9606" t="str">
        <f t="shared" si="2097"/>
        <v>89312</v>
      </c>
      <c r="I9606">
        <v>3</v>
      </c>
      <c r="J9606">
        <v>906</v>
      </c>
      <c r="K9606">
        <v>0</v>
      </c>
      <c r="L9606">
        <v>951.3</v>
      </c>
    </row>
    <row r="9607" spans="1:12" x14ac:dyDescent="0.25">
      <c r="A9607" t="str">
        <f t="shared" si="2098"/>
        <v>89301000</v>
      </c>
      <c r="B9607" t="str">
        <f t="shared" si="2099"/>
        <v>89063000</v>
      </c>
      <c r="C9607" t="str">
        <f t="shared" si="2099"/>
        <v>89063000</v>
      </c>
      <c r="D9607" t="str">
        <f t="shared" si="2096"/>
        <v>809</v>
      </c>
      <c r="E9607" t="str">
        <f>"89301037"</f>
        <v>89301037</v>
      </c>
      <c r="F9607" t="str">
        <f>"496114266"</f>
        <v>496114266</v>
      </c>
      <c r="G9607" s="1">
        <v>44853</v>
      </c>
      <c r="H9607" t="str">
        <f t="shared" si="2097"/>
        <v>89312</v>
      </c>
      <c r="I9607">
        <v>3</v>
      </c>
      <c r="J9607">
        <v>906</v>
      </c>
      <c r="K9607">
        <v>0</v>
      </c>
      <c r="L9607">
        <v>951.3</v>
      </c>
    </row>
    <row r="9608" spans="1:12" x14ac:dyDescent="0.25">
      <c r="A9608" t="str">
        <f t="shared" si="2098"/>
        <v>89301000</v>
      </c>
      <c r="B9608" t="str">
        <f t="shared" si="2099"/>
        <v>89063000</v>
      </c>
      <c r="C9608" t="str">
        <f t="shared" si="2099"/>
        <v>89063000</v>
      </c>
      <c r="D9608" t="str">
        <f t="shared" si="2096"/>
        <v>809</v>
      </c>
      <c r="E9608" t="str">
        <f>"89301037"</f>
        <v>89301037</v>
      </c>
      <c r="F9608" t="str">
        <f>"5753260381"</f>
        <v>5753260381</v>
      </c>
      <c r="G9608" s="1">
        <v>44853</v>
      </c>
      <c r="H9608" t="str">
        <f t="shared" si="2097"/>
        <v>89312</v>
      </c>
      <c r="I9608">
        <v>3</v>
      </c>
      <c r="J9608">
        <v>906</v>
      </c>
      <c r="K9608">
        <v>0</v>
      </c>
      <c r="L9608">
        <v>951.3</v>
      </c>
    </row>
    <row r="9609" spans="1:12" x14ac:dyDescent="0.25">
      <c r="A9609" t="str">
        <f t="shared" si="2098"/>
        <v>89301000</v>
      </c>
      <c r="B9609" t="str">
        <f t="shared" si="2099"/>
        <v>89063000</v>
      </c>
      <c r="C9609" t="str">
        <f t="shared" si="2099"/>
        <v>89063000</v>
      </c>
      <c r="D9609" t="str">
        <f t="shared" si="2096"/>
        <v>809</v>
      </c>
      <c r="E9609" t="str">
        <f>"89301037"</f>
        <v>89301037</v>
      </c>
      <c r="F9609" t="str">
        <f>"536222231"</f>
        <v>536222231</v>
      </c>
      <c r="G9609" s="1">
        <v>44853</v>
      </c>
      <c r="H9609" t="str">
        <f t="shared" si="2097"/>
        <v>89312</v>
      </c>
      <c r="I9609">
        <v>3</v>
      </c>
      <c r="J9609">
        <v>906</v>
      </c>
      <c r="K9609">
        <v>0</v>
      </c>
      <c r="L9609">
        <v>951.3</v>
      </c>
    </row>
    <row r="9610" spans="1:12" x14ac:dyDescent="0.25">
      <c r="A9610" t="str">
        <f t="shared" si="2098"/>
        <v>89301000</v>
      </c>
      <c r="B9610" t="str">
        <f t="shared" si="2099"/>
        <v>89063000</v>
      </c>
      <c r="C9610" t="str">
        <f t="shared" si="2099"/>
        <v>89063000</v>
      </c>
      <c r="D9610" t="str">
        <f t="shared" si="2096"/>
        <v>809</v>
      </c>
      <c r="E9610" t="str">
        <f>"89301037"</f>
        <v>89301037</v>
      </c>
      <c r="F9610" t="str">
        <f>"5904290040"</f>
        <v>5904290040</v>
      </c>
      <c r="G9610" s="1">
        <v>44854</v>
      </c>
      <c r="H9610" t="str">
        <f t="shared" si="2097"/>
        <v>89312</v>
      </c>
      <c r="I9610">
        <v>3</v>
      </c>
      <c r="J9610">
        <v>906</v>
      </c>
      <c r="K9610">
        <v>0</v>
      </c>
      <c r="L9610">
        <v>951.3</v>
      </c>
    </row>
    <row r="9611" spans="1:12" x14ac:dyDescent="0.25">
      <c r="A9611" t="str">
        <f t="shared" si="2098"/>
        <v>89301000</v>
      </c>
      <c r="B9611" t="str">
        <f t="shared" si="2099"/>
        <v>89063000</v>
      </c>
      <c r="C9611" t="str">
        <f t="shared" si="2099"/>
        <v>89063000</v>
      </c>
      <c r="D9611" t="str">
        <f t="shared" si="2096"/>
        <v>809</v>
      </c>
      <c r="E9611" t="str">
        <f>"89301704"</f>
        <v>89301704</v>
      </c>
      <c r="F9611" t="str">
        <f>"0453094367"</f>
        <v>0453094367</v>
      </c>
      <c r="G9611" s="1">
        <v>44854</v>
      </c>
      <c r="H9611" t="str">
        <f t="shared" si="2097"/>
        <v>89312</v>
      </c>
      <c r="I9611">
        <v>1</v>
      </c>
      <c r="J9611">
        <v>302</v>
      </c>
      <c r="K9611">
        <v>0</v>
      </c>
      <c r="L9611">
        <v>317.10000000000002</v>
      </c>
    </row>
    <row r="9612" spans="1:12" x14ac:dyDescent="0.25">
      <c r="A9612" t="str">
        <f t="shared" si="2098"/>
        <v>89301000</v>
      </c>
      <c r="B9612" t="str">
        <f t="shared" si="2099"/>
        <v>89063000</v>
      </c>
      <c r="C9612" t="str">
        <f t="shared" si="2099"/>
        <v>89063000</v>
      </c>
      <c r="D9612" t="str">
        <f t="shared" si="2096"/>
        <v>809</v>
      </c>
      <c r="E9612" t="str">
        <f>"89301036"</f>
        <v>89301036</v>
      </c>
      <c r="F9612" t="str">
        <f>"6060291666"</f>
        <v>6060291666</v>
      </c>
      <c r="G9612" s="1">
        <v>44854</v>
      </c>
      <c r="H9612" t="str">
        <f t="shared" si="2097"/>
        <v>89312</v>
      </c>
      <c r="I9612">
        <v>3</v>
      </c>
      <c r="J9612">
        <v>906</v>
      </c>
      <c r="K9612">
        <v>0</v>
      </c>
      <c r="L9612">
        <v>951.3</v>
      </c>
    </row>
    <row r="9613" spans="1:12" x14ac:dyDescent="0.25">
      <c r="A9613" t="str">
        <f t="shared" si="2098"/>
        <v>89301000</v>
      </c>
      <c r="B9613" t="str">
        <f t="shared" si="2099"/>
        <v>89063000</v>
      </c>
      <c r="C9613" t="str">
        <f t="shared" si="2099"/>
        <v>89063000</v>
      </c>
      <c r="D9613" t="str">
        <f t="shared" si="2096"/>
        <v>809</v>
      </c>
      <c r="E9613" t="str">
        <f>"89301032"</f>
        <v>89301032</v>
      </c>
      <c r="F9613" t="str">
        <f>"7958155579"</f>
        <v>7958155579</v>
      </c>
      <c r="G9613" s="1">
        <v>44854</v>
      </c>
      <c r="H9613" t="str">
        <f t="shared" si="2097"/>
        <v>89312</v>
      </c>
      <c r="I9613">
        <v>3</v>
      </c>
      <c r="J9613">
        <v>906</v>
      </c>
      <c r="K9613">
        <v>0</v>
      </c>
      <c r="L9613">
        <v>951.3</v>
      </c>
    </row>
    <row r="9614" spans="1:12" x14ac:dyDescent="0.25">
      <c r="A9614" t="str">
        <f t="shared" si="2098"/>
        <v>89301000</v>
      </c>
      <c r="B9614" t="str">
        <f t="shared" si="2099"/>
        <v>89063000</v>
      </c>
      <c r="C9614" t="str">
        <f t="shared" si="2099"/>
        <v>89063000</v>
      </c>
      <c r="D9614" t="str">
        <f t="shared" si="2096"/>
        <v>809</v>
      </c>
      <c r="E9614" t="str">
        <f>"89301037"</f>
        <v>89301037</v>
      </c>
      <c r="F9614" t="str">
        <f>"5952140700"</f>
        <v>5952140700</v>
      </c>
      <c r="G9614" s="1">
        <v>44854</v>
      </c>
      <c r="H9614" t="str">
        <f t="shared" si="2097"/>
        <v>89312</v>
      </c>
      <c r="I9614">
        <v>3</v>
      </c>
      <c r="J9614">
        <v>906</v>
      </c>
      <c r="K9614">
        <v>0</v>
      </c>
      <c r="L9614">
        <v>951.3</v>
      </c>
    </row>
    <row r="9615" spans="1:12" x14ac:dyDescent="0.25">
      <c r="A9615" t="str">
        <f t="shared" si="2098"/>
        <v>89301000</v>
      </c>
      <c r="B9615" t="str">
        <f t="shared" si="2099"/>
        <v>89063000</v>
      </c>
      <c r="C9615" t="str">
        <f t="shared" si="2099"/>
        <v>89063000</v>
      </c>
      <c r="D9615" t="str">
        <f t="shared" si="2096"/>
        <v>809</v>
      </c>
      <c r="E9615" t="str">
        <f>"89301037"</f>
        <v>89301037</v>
      </c>
      <c r="F9615" t="str">
        <f>"525705253"</f>
        <v>525705253</v>
      </c>
      <c r="G9615" s="1">
        <v>44854</v>
      </c>
      <c r="H9615" t="str">
        <f t="shared" si="2097"/>
        <v>89312</v>
      </c>
      <c r="I9615">
        <v>3</v>
      </c>
      <c r="J9615">
        <v>906</v>
      </c>
      <c r="K9615">
        <v>0</v>
      </c>
      <c r="L9615">
        <v>951.3</v>
      </c>
    </row>
    <row r="9616" spans="1:12" x14ac:dyDescent="0.25">
      <c r="A9616" t="str">
        <f t="shared" si="2098"/>
        <v>89301000</v>
      </c>
      <c r="B9616" t="str">
        <f t="shared" si="2099"/>
        <v>89063000</v>
      </c>
      <c r="C9616" t="str">
        <f t="shared" si="2099"/>
        <v>89063000</v>
      </c>
      <c r="D9616" t="str">
        <f t="shared" si="2096"/>
        <v>809</v>
      </c>
      <c r="E9616" t="str">
        <f>"89301212"</f>
        <v>89301212</v>
      </c>
      <c r="F9616" t="str">
        <f>"5553281987"</f>
        <v>5553281987</v>
      </c>
      <c r="G9616" s="1">
        <v>44855</v>
      </c>
      <c r="H9616" t="str">
        <f t="shared" si="2097"/>
        <v>89312</v>
      </c>
      <c r="I9616">
        <v>3</v>
      </c>
      <c r="J9616">
        <v>906</v>
      </c>
      <c r="K9616">
        <v>0</v>
      </c>
      <c r="L9616">
        <v>951.3</v>
      </c>
    </row>
    <row r="9617" spans="1:12" x14ac:dyDescent="0.25">
      <c r="A9617" t="str">
        <f t="shared" si="2098"/>
        <v>89301000</v>
      </c>
      <c r="B9617" t="str">
        <f t="shared" si="2099"/>
        <v>89063000</v>
      </c>
      <c r="C9617" t="str">
        <f t="shared" si="2099"/>
        <v>89063000</v>
      </c>
      <c r="D9617" t="str">
        <f t="shared" si="2096"/>
        <v>809</v>
      </c>
      <c r="E9617" t="str">
        <f t="shared" ref="E9617:E9624" si="2100">"89301037"</f>
        <v>89301037</v>
      </c>
      <c r="F9617" t="str">
        <f>"5456061039"</f>
        <v>5456061039</v>
      </c>
      <c r="G9617" s="1">
        <v>44858</v>
      </c>
      <c r="H9617" t="str">
        <f t="shared" si="2097"/>
        <v>89312</v>
      </c>
      <c r="I9617">
        <v>3</v>
      </c>
      <c r="J9617">
        <v>906</v>
      </c>
      <c r="K9617">
        <v>0</v>
      </c>
      <c r="L9617">
        <v>951.3</v>
      </c>
    </row>
    <row r="9618" spans="1:12" x14ac:dyDescent="0.25">
      <c r="A9618" t="str">
        <f t="shared" si="2098"/>
        <v>89301000</v>
      </c>
      <c r="B9618" t="str">
        <f t="shared" si="2099"/>
        <v>89063000</v>
      </c>
      <c r="C9618" t="str">
        <f t="shared" si="2099"/>
        <v>89063000</v>
      </c>
      <c r="D9618" t="str">
        <f t="shared" si="2096"/>
        <v>809</v>
      </c>
      <c r="E9618" t="str">
        <f t="shared" si="2100"/>
        <v>89301037</v>
      </c>
      <c r="F9618" t="str">
        <f>"8060204064"</f>
        <v>8060204064</v>
      </c>
      <c r="G9618" s="1">
        <v>44858</v>
      </c>
      <c r="H9618" t="str">
        <f t="shared" si="2097"/>
        <v>89312</v>
      </c>
      <c r="I9618">
        <v>3</v>
      </c>
      <c r="J9618">
        <v>906</v>
      </c>
      <c r="K9618">
        <v>0</v>
      </c>
      <c r="L9618">
        <v>951.3</v>
      </c>
    </row>
    <row r="9619" spans="1:12" x14ac:dyDescent="0.25">
      <c r="A9619" t="str">
        <f t="shared" si="2098"/>
        <v>89301000</v>
      </c>
      <c r="B9619" t="str">
        <f t="shared" si="2099"/>
        <v>89063000</v>
      </c>
      <c r="C9619" t="str">
        <f t="shared" si="2099"/>
        <v>89063000</v>
      </c>
      <c r="D9619" t="str">
        <f t="shared" si="2096"/>
        <v>809</v>
      </c>
      <c r="E9619" t="str">
        <f t="shared" si="2100"/>
        <v>89301037</v>
      </c>
      <c r="F9619" t="str">
        <f>"5455212576"</f>
        <v>5455212576</v>
      </c>
      <c r="G9619" s="1">
        <v>44858</v>
      </c>
      <c r="H9619" t="str">
        <f t="shared" si="2097"/>
        <v>89312</v>
      </c>
      <c r="I9619">
        <v>3</v>
      </c>
      <c r="J9619">
        <v>906</v>
      </c>
      <c r="K9619">
        <v>0</v>
      </c>
      <c r="L9619">
        <v>951.3</v>
      </c>
    </row>
    <row r="9620" spans="1:12" x14ac:dyDescent="0.25">
      <c r="A9620" t="str">
        <f t="shared" si="2098"/>
        <v>89301000</v>
      </c>
      <c r="B9620" t="str">
        <f t="shared" si="2099"/>
        <v>89063000</v>
      </c>
      <c r="C9620" t="str">
        <f t="shared" si="2099"/>
        <v>89063000</v>
      </c>
      <c r="D9620" t="str">
        <f t="shared" si="2096"/>
        <v>809</v>
      </c>
      <c r="E9620" t="str">
        <f t="shared" si="2100"/>
        <v>89301037</v>
      </c>
      <c r="F9620" t="str">
        <f>"7457235819"</f>
        <v>7457235819</v>
      </c>
      <c r="G9620" s="1">
        <v>44859</v>
      </c>
      <c r="H9620" t="str">
        <f t="shared" si="2097"/>
        <v>89312</v>
      </c>
      <c r="I9620">
        <v>3</v>
      </c>
      <c r="J9620">
        <v>906</v>
      </c>
      <c r="K9620">
        <v>0</v>
      </c>
      <c r="L9620">
        <v>951.3</v>
      </c>
    </row>
    <row r="9621" spans="1:12" x14ac:dyDescent="0.25">
      <c r="A9621" t="str">
        <f t="shared" si="2098"/>
        <v>89301000</v>
      </c>
      <c r="B9621" t="str">
        <f t="shared" si="2099"/>
        <v>89063000</v>
      </c>
      <c r="C9621" t="str">
        <f t="shared" si="2099"/>
        <v>89063000</v>
      </c>
      <c r="D9621" t="str">
        <f t="shared" si="2096"/>
        <v>809</v>
      </c>
      <c r="E9621" t="str">
        <f t="shared" si="2100"/>
        <v>89301037</v>
      </c>
      <c r="F9621" t="str">
        <f>"5511290972"</f>
        <v>5511290972</v>
      </c>
      <c r="G9621" s="1">
        <v>44859</v>
      </c>
      <c r="H9621" t="str">
        <f t="shared" si="2097"/>
        <v>89312</v>
      </c>
      <c r="I9621">
        <v>3</v>
      </c>
      <c r="J9621">
        <v>906</v>
      </c>
      <c r="K9621">
        <v>0</v>
      </c>
      <c r="L9621">
        <v>951.3</v>
      </c>
    </row>
    <row r="9622" spans="1:12" x14ac:dyDescent="0.25">
      <c r="A9622" t="str">
        <f t="shared" si="2098"/>
        <v>89301000</v>
      </c>
      <c r="B9622" t="str">
        <f t="shared" si="2099"/>
        <v>89063000</v>
      </c>
      <c r="C9622" t="str">
        <f t="shared" si="2099"/>
        <v>89063000</v>
      </c>
      <c r="D9622" t="str">
        <f t="shared" si="2096"/>
        <v>809</v>
      </c>
      <c r="E9622" t="str">
        <f t="shared" si="2100"/>
        <v>89301037</v>
      </c>
      <c r="F9622" t="str">
        <f>"5505032489"</f>
        <v>5505032489</v>
      </c>
      <c r="G9622" s="1">
        <v>44859</v>
      </c>
      <c r="H9622" t="str">
        <f t="shared" si="2097"/>
        <v>89312</v>
      </c>
      <c r="I9622">
        <v>3</v>
      </c>
      <c r="J9622">
        <v>906</v>
      </c>
      <c r="K9622">
        <v>0</v>
      </c>
      <c r="L9622">
        <v>951.3</v>
      </c>
    </row>
    <row r="9623" spans="1:12" x14ac:dyDescent="0.25">
      <c r="A9623" t="str">
        <f t="shared" si="2098"/>
        <v>89301000</v>
      </c>
      <c r="B9623" t="str">
        <f t="shared" si="2099"/>
        <v>89063000</v>
      </c>
      <c r="C9623" t="str">
        <f t="shared" si="2099"/>
        <v>89063000</v>
      </c>
      <c r="D9623" t="str">
        <f t="shared" si="2096"/>
        <v>809</v>
      </c>
      <c r="E9623" t="str">
        <f t="shared" si="2100"/>
        <v>89301037</v>
      </c>
      <c r="F9623" t="str">
        <f>"6561101459"</f>
        <v>6561101459</v>
      </c>
      <c r="G9623" s="1">
        <v>44860</v>
      </c>
      <c r="H9623" t="str">
        <f t="shared" si="2097"/>
        <v>89312</v>
      </c>
      <c r="I9623">
        <v>3</v>
      </c>
      <c r="J9623">
        <v>906</v>
      </c>
      <c r="K9623">
        <v>0</v>
      </c>
      <c r="L9623">
        <v>951.3</v>
      </c>
    </row>
    <row r="9624" spans="1:12" x14ac:dyDescent="0.25">
      <c r="A9624" t="str">
        <f t="shared" si="2098"/>
        <v>89301000</v>
      </c>
      <c r="B9624" t="str">
        <f t="shared" si="2099"/>
        <v>89063000</v>
      </c>
      <c r="C9624" t="str">
        <f t="shared" si="2099"/>
        <v>89063000</v>
      </c>
      <c r="D9624" t="str">
        <f t="shared" si="2096"/>
        <v>809</v>
      </c>
      <c r="E9624" t="str">
        <f t="shared" si="2100"/>
        <v>89301037</v>
      </c>
      <c r="F9624" t="str">
        <f>"7654155322"</f>
        <v>7654155322</v>
      </c>
      <c r="G9624" s="1">
        <v>44860</v>
      </c>
      <c r="H9624" t="str">
        <f t="shared" si="2097"/>
        <v>89312</v>
      </c>
      <c r="I9624">
        <v>3</v>
      </c>
      <c r="J9624">
        <v>906</v>
      </c>
      <c r="K9624">
        <v>0</v>
      </c>
      <c r="L9624">
        <v>951.3</v>
      </c>
    </row>
    <row r="9625" spans="1:12" x14ac:dyDescent="0.25">
      <c r="A9625" t="str">
        <f t="shared" si="2098"/>
        <v>89301000</v>
      </c>
      <c r="B9625" t="str">
        <f t="shared" si="2099"/>
        <v>89063000</v>
      </c>
      <c r="C9625" t="str">
        <f t="shared" si="2099"/>
        <v>89063000</v>
      </c>
      <c r="D9625" t="str">
        <f t="shared" si="2096"/>
        <v>809</v>
      </c>
      <c r="E9625" t="str">
        <f>"89301704"</f>
        <v>89301704</v>
      </c>
      <c r="F9625" t="str">
        <f>"0712286157"</f>
        <v>0712286157</v>
      </c>
      <c r="G9625" s="1">
        <v>44861</v>
      </c>
      <c r="H9625" t="str">
        <f t="shared" si="2097"/>
        <v>89312</v>
      </c>
      <c r="I9625">
        <v>1</v>
      </c>
      <c r="J9625">
        <v>302</v>
      </c>
      <c r="K9625">
        <v>0</v>
      </c>
      <c r="L9625">
        <v>317.10000000000002</v>
      </c>
    </row>
    <row r="9626" spans="1:12" x14ac:dyDescent="0.25">
      <c r="A9626" t="str">
        <f t="shared" si="2098"/>
        <v>89301000</v>
      </c>
      <c r="B9626" t="str">
        <f t="shared" si="2099"/>
        <v>89063000</v>
      </c>
      <c r="C9626" t="str">
        <f t="shared" si="2099"/>
        <v>89063000</v>
      </c>
      <c r="D9626" t="str">
        <f t="shared" ref="D9626:D9631" si="2101">"809"</f>
        <v>809</v>
      </c>
      <c r="E9626" t="str">
        <f>"89301037"</f>
        <v>89301037</v>
      </c>
      <c r="F9626" t="str">
        <f>"6258121837"</f>
        <v>6258121837</v>
      </c>
      <c r="G9626" s="1">
        <v>44865</v>
      </c>
      <c r="H9626" t="str">
        <f t="shared" si="2097"/>
        <v>89312</v>
      </c>
      <c r="I9626">
        <v>3</v>
      </c>
      <c r="J9626">
        <v>906</v>
      </c>
      <c r="K9626">
        <v>0</v>
      </c>
      <c r="L9626">
        <v>951.3</v>
      </c>
    </row>
    <row r="9627" spans="1:12" x14ac:dyDescent="0.25">
      <c r="A9627" t="str">
        <f t="shared" si="2098"/>
        <v>89301000</v>
      </c>
      <c r="B9627" t="str">
        <f t="shared" si="2099"/>
        <v>89063000</v>
      </c>
      <c r="C9627" t="str">
        <f t="shared" si="2099"/>
        <v>89063000</v>
      </c>
      <c r="D9627" t="str">
        <f t="shared" si="2101"/>
        <v>809</v>
      </c>
      <c r="E9627" t="str">
        <f>"89301037"</f>
        <v>89301037</v>
      </c>
      <c r="F9627" t="str">
        <f>"465124410"</f>
        <v>465124410</v>
      </c>
      <c r="G9627" s="1">
        <v>44865</v>
      </c>
      <c r="H9627" t="str">
        <f t="shared" si="2097"/>
        <v>89312</v>
      </c>
      <c r="I9627">
        <v>3</v>
      </c>
      <c r="J9627">
        <v>906</v>
      </c>
      <c r="K9627">
        <v>0</v>
      </c>
      <c r="L9627">
        <v>951.3</v>
      </c>
    </row>
    <row r="9628" spans="1:12" x14ac:dyDescent="0.25">
      <c r="A9628" t="str">
        <f t="shared" si="2098"/>
        <v>89301000</v>
      </c>
      <c r="B9628" t="str">
        <f t="shared" si="2099"/>
        <v>89063000</v>
      </c>
      <c r="C9628" t="str">
        <f t="shared" si="2099"/>
        <v>89063000</v>
      </c>
      <c r="D9628" t="str">
        <f t="shared" si="2101"/>
        <v>809</v>
      </c>
      <c r="E9628" t="str">
        <f>"89301702"</f>
        <v>89301702</v>
      </c>
      <c r="F9628" t="str">
        <f>"0909123237"</f>
        <v>0909123237</v>
      </c>
      <c r="G9628" s="1">
        <v>44865</v>
      </c>
      <c r="H9628" t="str">
        <f t="shared" si="2097"/>
        <v>89312</v>
      </c>
      <c r="I9628">
        <v>1</v>
      </c>
      <c r="J9628">
        <v>302</v>
      </c>
      <c r="K9628">
        <v>0</v>
      </c>
      <c r="L9628">
        <v>317.10000000000002</v>
      </c>
    </row>
    <row r="9629" spans="1:12" x14ac:dyDescent="0.25">
      <c r="A9629" t="str">
        <f t="shared" si="2098"/>
        <v>89301000</v>
      </c>
      <c r="B9629" t="str">
        <f>"86106000"</f>
        <v>86106000</v>
      </c>
      <c r="C9629" t="str">
        <f>"86106064"</f>
        <v>86106064</v>
      </c>
      <c r="D9629" t="str">
        <f t="shared" si="2101"/>
        <v>809</v>
      </c>
      <c r="E9629" t="str">
        <f>"89301042"</f>
        <v>89301042</v>
      </c>
      <c r="F9629" t="str">
        <f>"8657035442"</f>
        <v>8657035442</v>
      </c>
      <c r="G9629" s="1">
        <v>44852</v>
      </c>
      <c r="H9629" t="str">
        <f>"89131"</f>
        <v>89131</v>
      </c>
      <c r="I9629">
        <v>1</v>
      </c>
      <c r="J9629">
        <v>187</v>
      </c>
      <c r="K9629">
        <v>0</v>
      </c>
      <c r="L9629">
        <v>261.8</v>
      </c>
    </row>
    <row r="9630" spans="1:12" x14ac:dyDescent="0.25">
      <c r="A9630" t="str">
        <f t="shared" si="2098"/>
        <v>89301000</v>
      </c>
      <c r="B9630" t="str">
        <f>"86106000"</f>
        <v>86106000</v>
      </c>
      <c r="C9630" t="str">
        <f>"86106064"</f>
        <v>86106064</v>
      </c>
      <c r="D9630" t="str">
        <f t="shared" si="2101"/>
        <v>809</v>
      </c>
      <c r="E9630" t="str">
        <f>"89301042"</f>
        <v>89301042</v>
      </c>
      <c r="F9630" t="str">
        <f>"8657035442"</f>
        <v>8657035442</v>
      </c>
      <c r="G9630" s="1">
        <v>44852</v>
      </c>
      <c r="H9630" t="str">
        <f>"89513"</f>
        <v>89513</v>
      </c>
      <c r="I9630">
        <v>1</v>
      </c>
      <c r="J9630">
        <v>371</v>
      </c>
      <c r="K9630">
        <v>0</v>
      </c>
      <c r="L9630">
        <v>519.4</v>
      </c>
    </row>
    <row r="9631" spans="1:12" x14ac:dyDescent="0.25">
      <c r="A9631" t="str">
        <f t="shared" si="2098"/>
        <v>89301000</v>
      </c>
      <c r="B9631" t="str">
        <f>"86106000"</f>
        <v>86106000</v>
      </c>
      <c r="C9631" t="str">
        <f>"86106064"</f>
        <v>86106064</v>
      </c>
      <c r="D9631" t="str">
        <f t="shared" si="2101"/>
        <v>809</v>
      </c>
      <c r="E9631" t="str">
        <f>"89301042"</f>
        <v>89301042</v>
      </c>
      <c r="F9631" t="str">
        <f>"8657035442"</f>
        <v>8657035442</v>
      </c>
      <c r="G9631" s="1">
        <v>44852</v>
      </c>
      <c r="H9631" t="str">
        <f>"89514"</f>
        <v>89514</v>
      </c>
      <c r="I9631">
        <v>1</v>
      </c>
      <c r="J9631">
        <v>371</v>
      </c>
      <c r="K9631">
        <v>0</v>
      </c>
      <c r="L9631">
        <v>519.4</v>
      </c>
    </row>
    <row r="9632" spans="1:12" x14ac:dyDescent="0.25">
      <c r="A9632" t="str">
        <f t="shared" si="2098"/>
        <v>89301000</v>
      </c>
      <c r="B9632" t="str">
        <f t="shared" ref="B9632:B9663" si="2102">"93501000"</f>
        <v>93501000</v>
      </c>
      <c r="C9632" t="str">
        <f t="shared" ref="C9632:C9675" si="2103">"93501001"</f>
        <v>93501001</v>
      </c>
      <c r="D9632" t="str">
        <f t="shared" ref="D9632:D9679" si="2104">"801"</f>
        <v>801</v>
      </c>
      <c r="E9632" t="str">
        <f t="shared" ref="E9632:E9671" si="2105">"89301167"</f>
        <v>89301167</v>
      </c>
      <c r="F9632" t="str">
        <f t="shared" ref="F9632:F9671" si="2106">"470127462"</f>
        <v>470127462</v>
      </c>
      <c r="G9632" s="1">
        <v>44858</v>
      </c>
      <c r="H9632" t="str">
        <f>"09119"</f>
        <v>09119</v>
      </c>
      <c r="I9632">
        <v>1</v>
      </c>
      <c r="J9632">
        <v>42</v>
      </c>
      <c r="K9632">
        <v>0</v>
      </c>
      <c r="L9632">
        <v>32.76</v>
      </c>
    </row>
    <row r="9633" spans="1:12" x14ac:dyDescent="0.25">
      <c r="A9633" t="str">
        <f t="shared" si="2098"/>
        <v>89301000</v>
      </c>
      <c r="B9633" t="str">
        <f t="shared" si="2102"/>
        <v>93501000</v>
      </c>
      <c r="C9633" t="str">
        <f t="shared" si="2103"/>
        <v>93501001</v>
      </c>
      <c r="D9633" t="str">
        <f t="shared" si="2104"/>
        <v>801</v>
      </c>
      <c r="E9633" t="str">
        <f t="shared" si="2105"/>
        <v>89301167</v>
      </c>
      <c r="F9633" t="str">
        <f t="shared" si="2106"/>
        <v>470127462</v>
      </c>
      <c r="G9633" s="1">
        <v>44858</v>
      </c>
      <c r="H9633" t="str">
        <f>"81329"</f>
        <v>81329</v>
      </c>
      <c r="I9633">
        <v>1</v>
      </c>
      <c r="J9633">
        <v>16</v>
      </c>
      <c r="K9633">
        <v>0</v>
      </c>
      <c r="L9633">
        <v>12.48</v>
      </c>
    </row>
    <row r="9634" spans="1:12" x14ac:dyDescent="0.25">
      <c r="A9634" t="str">
        <f t="shared" si="2098"/>
        <v>89301000</v>
      </c>
      <c r="B9634" t="str">
        <f t="shared" si="2102"/>
        <v>93501000</v>
      </c>
      <c r="C9634" t="str">
        <f t="shared" si="2103"/>
        <v>93501001</v>
      </c>
      <c r="D9634" t="str">
        <f t="shared" si="2104"/>
        <v>801</v>
      </c>
      <c r="E9634" t="str">
        <f t="shared" si="2105"/>
        <v>89301167</v>
      </c>
      <c r="F9634" t="str">
        <f t="shared" si="2106"/>
        <v>470127462</v>
      </c>
      <c r="G9634" s="1">
        <v>44858</v>
      </c>
      <c r="H9634" t="str">
        <f>"81337"</f>
        <v>81337</v>
      </c>
      <c r="I9634">
        <v>1</v>
      </c>
      <c r="J9634">
        <v>19</v>
      </c>
      <c r="K9634">
        <v>0</v>
      </c>
      <c r="L9634">
        <v>14.82</v>
      </c>
    </row>
    <row r="9635" spans="1:12" x14ac:dyDescent="0.25">
      <c r="A9635" t="str">
        <f t="shared" si="2098"/>
        <v>89301000</v>
      </c>
      <c r="B9635" t="str">
        <f t="shared" si="2102"/>
        <v>93501000</v>
      </c>
      <c r="C9635" t="str">
        <f t="shared" si="2103"/>
        <v>93501001</v>
      </c>
      <c r="D9635" t="str">
        <f t="shared" si="2104"/>
        <v>801</v>
      </c>
      <c r="E9635" t="str">
        <f t="shared" si="2105"/>
        <v>89301167</v>
      </c>
      <c r="F9635" t="str">
        <f t="shared" si="2106"/>
        <v>470127462</v>
      </c>
      <c r="G9635" s="1">
        <v>44858</v>
      </c>
      <c r="H9635" t="str">
        <f>"81357"</f>
        <v>81357</v>
      </c>
      <c r="I9635">
        <v>1</v>
      </c>
      <c r="J9635">
        <v>19</v>
      </c>
      <c r="K9635">
        <v>0</v>
      </c>
      <c r="L9635">
        <v>14.82</v>
      </c>
    </row>
    <row r="9636" spans="1:12" x14ac:dyDescent="0.25">
      <c r="A9636" t="str">
        <f t="shared" si="2098"/>
        <v>89301000</v>
      </c>
      <c r="B9636" t="str">
        <f t="shared" si="2102"/>
        <v>93501000</v>
      </c>
      <c r="C9636" t="str">
        <f t="shared" si="2103"/>
        <v>93501001</v>
      </c>
      <c r="D9636" t="str">
        <f t="shared" si="2104"/>
        <v>801</v>
      </c>
      <c r="E9636" t="str">
        <f t="shared" si="2105"/>
        <v>89301167</v>
      </c>
      <c r="F9636" t="str">
        <f t="shared" si="2106"/>
        <v>470127462</v>
      </c>
      <c r="G9636" s="1">
        <v>44858</v>
      </c>
      <c r="H9636" t="str">
        <f>"81361"</f>
        <v>81361</v>
      </c>
      <c r="I9636">
        <v>1</v>
      </c>
      <c r="J9636">
        <v>17</v>
      </c>
      <c r="K9636">
        <v>0</v>
      </c>
      <c r="L9636">
        <v>13.26</v>
      </c>
    </row>
    <row r="9637" spans="1:12" x14ac:dyDescent="0.25">
      <c r="A9637" t="str">
        <f t="shared" si="2098"/>
        <v>89301000</v>
      </c>
      <c r="B9637" t="str">
        <f t="shared" si="2102"/>
        <v>93501000</v>
      </c>
      <c r="C9637" t="str">
        <f t="shared" si="2103"/>
        <v>93501001</v>
      </c>
      <c r="D9637" t="str">
        <f t="shared" si="2104"/>
        <v>801</v>
      </c>
      <c r="E9637" t="str">
        <f t="shared" si="2105"/>
        <v>89301167</v>
      </c>
      <c r="F9637" t="str">
        <f t="shared" si="2106"/>
        <v>470127462</v>
      </c>
      <c r="G9637" s="1">
        <v>44858</v>
      </c>
      <c r="H9637" t="str">
        <f>"81365"</f>
        <v>81365</v>
      </c>
      <c r="I9637">
        <v>1</v>
      </c>
      <c r="J9637">
        <v>16</v>
      </c>
      <c r="K9637">
        <v>0</v>
      </c>
      <c r="L9637">
        <v>12.48</v>
      </c>
    </row>
    <row r="9638" spans="1:12" x14ac:dyDescent="0.25">
      <c r="A9638" t="str">
        <f t="shared" si="2098"/>
        <v>89301000</v>
      </c>
      <c r="B9638" t="str">
        <f t="shared" si="2102"/>
        <v>93501000</v>
      </c>
      <c r="C9638" t="str">
        <f t="shared" si="2103"/>
        <v>93501001</v>
      </c>
      <c r="D9638" t="str">
        <f t="shared" si="2104"/>
        <v>801</v>
      </c>
      <c r="E9638" t="str">
        <f t="shared" si="2105"/>
        <v>89301167</v>
      </c>
      <c r="F9638" t="str">
        <f t="shared" si="2106"/>
        <v>470127462</v>
      </c>
      <c r="G9638" s="1">
        <v>44858</v>
      </c>
      <c r="H9638" t="str">
        <f>"81383"</f>
        <v>81383</v>
      </c>
      <c r="I9638">
        <v>1</v>
      </c>
      <c r="J9638">
        <v>23</v>
      </c>
      <c r="K9638">
        <v>0</v>
      </c>
      <c r="L9638">
        <v>17.940000000000001</v>
      </c>
    </row>
    <row r="9639" spans="1:12" x14ac:dyDescent="0.25">
      <c r="A9639" t="str">
        <f t="shared" si="2098"/>
        <v>89301000</v>
      </c>
      <c r="B9639" t="str">
        <f t="shared" si="2102"/>
        <v>93501000</v>
      </c>
      <c r="C9639" t="str">
        <f t="shared" si="2103"/>
        <v>93501001</v>
      </c>
      <c r="D9639" t="str">
        <f t="shared" si="2104"/>
        <v>801</v>
      </c>
      <c r="E9639" t="str">
        <f t="shared" si="2105"/>
        <v>89301167</v>
      </c>
      <c r="F9639" t="str">
        <f t="shared" si="2106"/>
        <v>470127462</v>
      </c>
      <c r="G9639" s="1">
        <v>44858</v>
      </c>
      <c r="H9639" t="str">
        <f>"81393"</f>
        <v>81393</v>
      </c>
      <c r="I9639">
        <v>1</v>
      </c>
      <c r="J9639">
        <v>24</v>
      </c>
      <c r="K9639">
        <v>0</v>
      </c>
      <c r="L9639">
        <v>18.72</v>
      </c>
    </row>
    <row r="9640" spans="1:12" x14ac:dyDescent="0.25">
      <c r="A9640" t="str">
        <f t="shared" si="2098"/>
        <v>89301000</v>
      </c>
      <c r="B9640" t="str">
        <f t="shared" si="2102"/>
        <v>93501000</v>
      </c>
      <c r="C9640" t="str">
        <f t="shared" si="2103"/>
        <v>93501001</v>
      </c>
      <c r="D9640" t="str">
        <f t="shared" si="2104"/>
        <v>801</v>
      </c>
      <c r="E9640" t="str">
        <f t="shared" si="2105"/>
        <v>89301167</v>
      </c>
      <c r="F9640" t="str">
        <f t="shared" si="2106"/>
        <v>470127462</v>
      </c>
      <c r="G9640" s="1">
        <v>44858</v>
      </c>
      <c r="H9640" t="str">
        <f>"81435"</f>
        <v>81435</v>
      </c>
      <c r="I9640">
        <v>1</v>
      </c>
      <c r="J9640">
        <v>22</v>
      </c>
      <c r="K9640">
        <v>0</v>
      </c>
      <c r="L9640">
        <v>17.16</v>
      </c>
    </row>
    <row r="9641" spans="1:12" x14ac:dyDescent="0.25">
      <c r="A9641" t="str">
        <f t="shared" si="2098"/>
        <v>89301000</v>
      </c>
      <c r="B9641" t="str">
        <f t="shared" si="2102"/>
        <v>93501000</v>
      </c>
      <c r="C9641" t="str">
        <f t="shared" si="2103"/>
        <v>93501001</v>
      </c>
      <c r="D9641" t="str">
        <f t="shared" si="2104"/>
        <v>801</v>
      </c>
      <c r="E9641" t="str">
        <f t="shared" si="2105"/>
        <v>89301167</v>
      </c>
      <c r="F9641" t="str">
        <f t="shared" si="2106"/>
        <v>470127462</v>
      </c>
      <c r="G9641" s="1">
        <v>44858</v>
      </c>
      <c r="H9641" t="str">
        <f>"81439"</f>
        <v>81439</v>
      </c>
      <c r="I9641">
        <v>1</v>
      </c>
      <c r="J9641">
        <v>16</v>
      </c>
      <c r="K9641">
        <v>0</v>
      </c>
      <c r="L9641">
        <v>12.48</v>
      </c>
    </row>
    <row r="9642" spans="1:12" x14ac:dyDescent="0.25">
      <c r="A9642" t="str">
        <f t="shared" si="2098"/>
        <v>89301000</v>
      </c>
      <c r="B9642" t="str">
        <f t="shared" si="2102"/>
        <v>93501000</v>
      </c>
      <c r="C9642" t="str">
        <f t="shared" si="2103"/>
        <v>93501001</v>
      </c>
      <c r="D9642" t="str">
        <f t="shared" si="2104"/>
        <v>801</v>
      </c>
      <c r="E9642" t="str">
        <f t="shared" si="2105"/>
        <v>89301167</v>
      </c>
      <c r="F9642" t="str">
        <f t="shared" si="2106"/>
        <v>470127462</v>
      </c>
      <c r="G9642" s="1">
        <v>44858</v>
      </c>
      <c r="H9642" t="str">
        <f>"81469"</f>
        <v>81469</v>
      </c>
      <c r="I9642">
        <v>1</v>
      </c>
      <c r="J9642">
        <v>16</v>
      </c>
      <c r="K9642">
        <v>0</v>
      </c>
      <c r="L9642">
        <v>12.48</v>
      </c>
    </row>
    <row r="9643" spans="1:12" x14ac:dyDescent="0.25">
      <c r="A9643" t="str">
        <f t="shared" si="2098"/>
        <v>89301000</v>
      </c>
      <c r="B9643" t="str">
        <f t="shared" si="2102"/>
        <v>93501000</v>
      </c>
      <c r="C9643" t="str">
        <f t="shared" si="2103"/>
        <v>93501001</v>
      </c>
      <c r="D9643" t="str">
        <f t="shared" si="2104"/>
        <v>801</v>
      </c>
      <c r="E9643" t="str">
        <f t="shared" si="2105"/>
        <v>89301167</v>
      </c>
      <c r="F9643" t="str">
        <f t="shared" si="2106"/>
        <v>470127462</v>
      </c>
      <c r="G9643" s="1">
        <v>44858</v>
      </c>
      <c r="H9643" t="str">
        <f>"81499"</f>
        <v>81499</v>
      </c>
      <c r="I9643">
        <v>1</v>
      </c>
      <c r="J9643">
        <v>18</v>
      </c>
      <c r="K9643">
        <v>0</v>
      </c>
      <c r="L9643">
        <v>14.04</v>
      </c>
    </row>
    <row r="9644" spans="1:12" x14ac:dyDescent="0.25">
      <c r="A9644" t="str">
        <f t="shared" si="2098"/>
        <v>89301000</v>
      </c>
      <c r="B9644" t="str">
        <f t="shared" si="2102"/>
        <v>93501000</v>
      </c>
      <c r="C9644" t="str">
        <f t="shared" si="2103"/>
        <v>93501001</v>
      </c>
      <c r="D9644" t="str">
        <f t="shared" si="2104"/>
        <v>801</v>
      </c>
      <c r="E9644" t="str">
        <f t="shared" si="2105"/>
        <v>89301167</v>
      </c>
      <c r="F9644" t="str">
        <f t="shared" si="2106"/>
        <v>470127462</v>
      </c>
      <c r="G9644" s="1">
        <v>44858</v>
      </c>
      <c r="H9644" t="str">
        <f>"81523"</f>
        <v>81523</v>
      </c>
      <c r="I9644">
        <v>1</v>
      </c>
      <c r="J9644">
        <v>23</v>
      </c>
      <c r="K9644">
        <v>0</v>
      </c>
      <c r="L9644">
        <v>17.940000000000001</v>
      </c>
    </row>
    <row r="9645" spans="1:12" x14ac:dyDescent="0.25">
      <c r="A9645" t="str">
        <f t="shared" si="2098"/>
        <v>89301000</v>
      </c>
      <c r="B9645" t="str">
        <f t="shared" si="2102"/>
        <v>93501000</v>
      </c>
      <c r="C9645" t="str">
        <f t="shared" si="2103"/>
        <v>93501001</v>
      </c>
      <c r="D9645" t="str">
        <f t="shared" si="2104"/>
        <v>801</v>
      </c>
      <c r="E9645" t="str">
        <f t="shared" si="2105"/>
        <v>89301167</v>
      </c>
      <c r="F9645" t="str">
        <f t="shared" si="2106"/>
        <v>470127462</v>
      </c>
      <c r="G9645" s="1">
        <v>44858</v>
      </c>
      <c r="H9645" t="str">
        <f>"81593"</f>
        <v>81593</v>
      </c>
      <c r="I9645">
        <v>1</v>
      </c>
      <c r="J9645">
        <v>22</v>
      </c>
      <c r="K9645">
        <v>0</v>
      </c>
      <c r="L9645">
        <v>17.16</v>
      </c>
    </row>
    <row r="9646" spans="1:12" x14ac:dyDescent="0.25">
      <c r="A9646" t="str">
        <f t="shared" si="2098"/>
        <v>89301000</v>
      </c>
      <c r="B9646" t="str">
        <f t="shared" si="2102"/>
        <v>93501000</v>
      </c>
      <c r="C9646" t="str">
        <f t="shared" si="2103"/>
        <v>93501001</v>
      </c>
      <c r="D9646" t="str">
        <f t="shared" si="2104"/>
        <v>801</v>
      </c>
      <c r="E9646" t="str">
        <f t="shared" si="2105"/>
        <v>89301167</v>
      </c>
      <c r="F9646" t="str">
        <f t="shared" si="2106"/>
        <v>470127462</v>
      </c>
      <c r="G9646" s="1">
        <v>44858</v>
      </c>
      <c r="H9646" t="str">
        <f>"81621"</f>
        <v>81621</v>
      </c>
      <c r="I9646">
        <v>1</v>
      </c>
      <c r="J9646">
        <v>19</v>
      </c>
      <c r="K9646">
        <v>0</v>
      </c>
      <c r="L9646">
        <v>14.82</v>
      </c>
    </row>
    <row r="9647" spans="1:12" x14ac:dyDescent="0.25">
      <c r="A9647" t="str">
        <f t="shared" si="2098"/>
        <v>89301000</v>
      </c>
      <c r="B9647" t="str">
        <f t="shared" si="2102"/>
        <v>93501000</v>
      </c>
      <c r="C9647" t="str">
        <f t="shared" si="2103"/>
        <v>93501001</v>
      </c>
      <c r="D9647" t="str">
        <f t="shared" si="2104"/>
        <v>801</v>
      </c>
      <c r="E9647" t="str">
        <f t="shared" si="2105"/>
        <v>89301167</v>
      </c>
      <c r="F9647" t="str">
        <f t="shared" si="2106"/>
        <v>470127462</v>
      </c>
      <c r="G9647" s="1">
        <v>44858</v>
      </c>
      <c r="H9647" t="str">
        <f>"81625"</f>
        <v>81625</v>
      </c>
      <c r="I9647">
        <v>1</v>
      </c>
      <c r="J9647">
        <v>20</v>
      </c>
      <c r="K9647">
        <v>0</v>
      </c>
      <c r="L9647">
        <v>15.6</v>
      </c>
    </row>
    <row r="9648" spans="1:12" x14ac:dyDescent="0.25">
      <c r="A9648" t="str">
        <f t="shared" si="2098"/>
        <v>89301000</v>
      </c>
      <c r="B9648" t="str">
        <f t="shared" si="2102"/>
        <v>93501000</v>
      </c>
      <c r="C9648" t="str">
        <f t="shared" si="2103"/>
        <v>93501001</v>
      </c>
      <c r="D9648" t="str">
        <f t="shared" si="2104"/>
        <v>801</v>
      </c>
      <c r="E9648" t="str">
        <f t="shared" si="2105"/>
        <v>89301167</v>
      </c>
      <c r="F9648" t="str">
        <f t="shared" si="2106"/>
        <v>470127462</v>
      </c>
      <c r="G9648" s="1">
        <v>44858</v>
      </c>
      <c r="H9648" t="str">
        <f>"91153"</f>
        <v>91153</v>
      </c>
      <c r="I9648">
        <v>1</v>
      </c>
      <c r="J9648">
        <v>152</v>
      </c>
      <c r="K9648">
        <v>0</v>
      </c>
      <c r="L9648">
        <v>118.56</v>
      </c>
    </row>
    <row r="9649" spans="1:12" x14ac:dyDescent="0.25">
      <c r="A9649" t="str">
        <f t="shared" si="2098"/>
        <v>89301000</v>
      </c>
      <c r="B9649" t="str">
        <f t="shared" si="2102"/>
        <v>93501000</v>
      </c>
      <c r="C9649" t="str">
        <f t="shared" si="2103"/>
        <v>93501001</v>
      </c>
      <c r="D9649" t="str">
        <f t="shared" si="2104"/>
        <v>801</v>
      </c>
      <c r="E9649" t="str">
        <f t="shared" si="2105"/>
        <v>89301167</v>
      </c>
      <c r="F9649" t="str">
        <f t="shared" si="2106"/>
        <v>470127462</v>
      </c>
      <c r="G9649" s="1">
        <v>44858</v>
      </c>
      <c r="H9649" t="str">
        <f>"93189"</f>
        <v>93189</v>
      </c>
      <c r="I9649">
        <v>1</v>
      </c>
      <c r="J9649">
        <v>189</v>
      </c>
      <c r="K9649">
        <v>0</v>
      </c>
      <c r="L9649">
        <v>147.41999999999999</v>
      </c>
    </row>
    <row r="9650" spans="1:12" x14ac:dyDescent="0.25">
      <c r="A9650" t="str">
        <f t="shared" si="2098"/>
        <v>89301000</v>
      </c>
      <c r="B9650" t="str">
        <f t="shared" si="2102"/>
        <v>93501000</v>
      </c>
      <c r="C9650" t="str">
        <f t="shared" si="2103"/>
        <v>93501001</v>
      </c>
      <c r="D9650" t="str">
        <f t="shared" si="2104"/>
        <v>801</v>
      </c>
      <c r="E9650" t="str">
        <f t="shared" si="2105"/>
        <v>89301167</v>
      </c>
      <c r="F9650" t="str">
        <f t="shared" si="2106"/>
        <v>470127462</v>
      </c>
      <c r="G9650" s="1">
        <v>44858</v>
      </c>
      <c r="H9650" t="str">
        <f>"93195"</f>
        <v>93195</v>
      </c>
      <c r="I9650">
        <v>1</v>
      </c>
      <c r="J9650">
        <v>181</v>
      </c>
      <c r="K9650">
        <v>0</v>
      </c>
      <c r="L9650">
        <v>141.18</v>
      </c>
    </row>
    <row r="9651" spans="1:12" x14ac:dyDescent="0.25">
      <c r="A9651" t="str">
        <f t="shared" si="2098"/>
        <v>89301000</v>
      </c>
      <c r="B9651" t="str">
        <f t="shared" si="2102"/>
        <v>93501000</v>
      </c>
      <c r="C9651" t="str">
        <f t="shared" si="2103"/>
        <v>93501001</v>
      </c>
      <c r="D9651" t="str">
        <f t="shared" si="2104"/>
        <v>801</v>
      </c>
      <c r="E9651" t="str">
        <f t="shared" si="2105"/>
        <v>89301167</v>
      </c>
      <c r="F9651" t="str">
        <f t="shared" si="2106"/>
        <v>470127462</v>
      </c>
      <c r="G9651" s="1">
        <v>44858</v>
      </c>
      <c r="H9651" t="str">
        <f>"97111"</f>
        <v>97111</v>
      </c>
      <c r="I9651">
        <v>1</v>
      </c>
      <c r="J9651">
        <v>18</v>
      </c>
      <c r="K9651">
        <v>0</v>
      </c>
      <c r="L9651">
        <v>14.04</v>
      </c>
    </row>
    <row r="9652" spans="1:12" x14ac:dyDescent="0.25">
      <c r="A9652" t="str">
        <f t="shared" si="2098"/>
        <v>89301000</v>
      </c>
      <c r="B9652" t="str">
        <f t="shared" si="2102"/>
        <v>93501000</v>
      </c>
      <c r="C9652" t="str">
        <f t="shared" si="2103"/>
        <v>93501001</v>
      </c>
      <c r="D9652" t="str">
        <f t="shared" si="2104"/>
        <v>801</v>
      </c>
      <c r="E9652" t="str">
        <f t="shared" si="2105"/>
        <v>89301167</v>
      </c>
      <c r="F9652" t="str">
        <f t="shared" si="2106"/>
        <v>470127462</v>
      </c>
      <c r="G9652" s="1">
        <v>44838</v>
      </c>
      <c r="H9652" t="str">
        <f>"09119"</f>
        <v>09119</v>
      </c>
      <c r="I9652">
        <v>1</v>
      </c>
      <c r="J9652">
        <v>42</v>
      </c>
      <c r="K9652">
        <v>0</v>
      </c>
      <c r="L9652">
        <v>32.76</v>
      </c>
    </row>
    <row r="9653" spans="1:12" x14ac:dyDescent="0.25">
      <c r="A9653" t="str">
        <f t="shared" si="2098"/>
        <v>89301000</v>
      </c>
      <c r="B9653" t="str">
        <f t="shared" si="2102"/>
        <v>93501000</v>
      </c>
      <c r="C9653" t="str">
        <f t="shared" si="2103"/>
        <v>93501001</v>
      </c>
      <c r="D9653" t="str">
        <f t="shared" si="2104"/>
        <v>801</v>
      </c>
      <c r="E9653" t="str">
        <f t="shared" si="2105"/>
        <v>89301167</v>
      </c>
      <c r="F9653" t="str">
        <f t="shared" si="2106"/>
        <v>470127462</v>
      </c>
      <c r="G9653" s="1">
        <v>44838</v>
      </c>
      <c r="H9653" t="str">
        <f>"81249"</f>
        <v>81249</v>
      </c>
      <c r="I9653">
        <v>1</v>
      </c>
      <c r="J9653">
        <v>333</v>
      </c>
      <c r="K9653">
        <v>0</v>
      </c>
      <c r="L9653">
        <v>259.74</v>
      </c>
    </row>
    <row r="9654" spans="1:12" x14ac:dyDescent="0.25">
      <c r="A9654" t="str">
        <f t="shared" si="2098"/>
        <v>89301000</v>
      </c>
      <c r="B9654" t="str">
        <f t="shared" si="2102"/>
        <v>93501000</v>
      </c>
      <c r="C9654" t="str">
        <f t="shared" si="2103"/>
        <v>93501001</v>
      </c>
      <c r="D9654" t="str">
        <f t="shared" si="2104"/>
        <v>801</v>
      </c>
      <c r="E9654" t="str">
        <f t="shared" si="2105"/>
        <v>89301167</v>
      </c>
      <c r="F9654" t="str">
        <f t="shared" si="2106"/>
        <v>470127462</v>
      </c>
      <c r="G9654" s="1">
        <v>44838</v>
      </c>
      <c r="H9654" t="str">
        <f>"81337"</f>
        <v>81337</v>
      </c>
      <c r="I9654">
        <v>1</v>
      </c>
      <c r="J9654">
        <v>19</v>
      </c>
      <c r="K9654">
        <v>0</v>
      </c>
      <c r="L9654">
        <v>14.82</v>
      </c>
    </row>
    <row r="9655" spans="1:12" x14ac:dyDescent="0.25">
      <c r="A9655" t="str">
        <f t="shared" si="2098"/>
        <v>89301000</v>
      </c>
      <c r="B9655" t="str">
        <f t="shared" si="2102"/>
        <v>93501000</v>
      </c>
      <c r="C9655" t="str">
        <f t="shared" si="2103"/>
        <v>93501001</v>
      </c>
      <c r="D9655" t="str">
        <f t="shared" si="2104"/>
        <v>801</v>
      </c>
      <c r="E9655" t="str">
        <f t="shared" si="2105"/>
        <v>89301167</v>
      </c>
      <c r="F9655" t="str">
        <f t="shared" si="2106"/>
        <v>470127462</v>
      </c>
      <c r="G9655" s="1">
        <v>44838</v>
      </c>
      <c r="H9655" t="str">
        <f>"81357"</f>
        <v>81357</v>
      </c>
      <c r="I9655">
        <v>1</v>
      </c>
      <c r="J9655">
        <v>19</v>
      </c>
      <c r="K9655">
        <v>0</v>
      </c>
      <c r="L9655">
        <v>14.82</v>
      </c>
    </row>
    <row r="9656" spans="1:12" x14ac:dyDescent="0.25">
      <c r="A9656" t="str">
        <f t="shared" si="2098"/>
        <v>89301000</v>
      </c>
      <c r="B9656" t="str">
        <f t="shared" si="2102"/>
        <v>93501000</v>
      </c>
      <c r="C9656" t="str">
        <f t="shared" si="2103"/>
        <v>93501001</v>
      </c>
      <c r="D9656" t="str">
        <f t="shared" si="2104"/>
        <v>801</v>
      </c>
      <c r="E9656" t="str">
        <f t="shared" si="2105"/>
        <v>89301167</v>
      </c>
      <c r="F9656" t="str">
        <f t="shared" si="2106"/>
        <v>470127462</v>
      </c>
      <c r="G9656" s="1">
        <v>44838</v>
      </c>
      <c r="H9656" t="str">
        <f>"81361"</f>
        <v>81361</v>
      </c>
      <c r="I9656">
        <v>1</v>
      </c>
      <c r="J9656">
        <v>17</v>
      </c>
      <c r="K9656">
        <v>0</v>
      </c>
      <c r="L9656">
        <v>13.26</v>
      </c>
    </row>
    <row r="9657" spans="1:12" x14ac:dyDescent="0.25">
      <c r="A9657" t="str">
        <f t="shared" si="2098"/>
        <v>89301000</v>
      </c>
      <c r="B9657" t="str">
        <f t="shared" si="2102"/>
        <v>93501000</v>
      </c>
      <c r="C9657" t="str">
        <f t="shared" si="2103"/>
        <v>93501001</v>
      </c>
      <c r="D9657" t="str">
        <f t="shared" si="2104"/>
        <v>801</v>
      </c>
      <c r="E9657" t="str">
        <f t="shared" si="2105"/>
        <v>89301167</v>
      </c>
      <c r="F9657" t="str">
        <f t="shared" si="2106"/>
        <v>470127462</v>
      </c>
      <c r="G9657" s="1">
        <v>44838</v>
      </c>
      <c r="H9657" t="str">
        <f>"81365"</f>
        <v>81365</v>
      </c>
      <c r="I9657">
        <v>1</v>
      </c>
      <c r="J9657">
        <v>16</v>
      </c>
      <c r="K9657">
        <v>0</v>
      </c>
      <c r="L9657">
        <v>12.48</v>
      </c>
    </row>
    <row r="9658" spans="1:12" x14ac:dyDescent="0.25">
      <c r="A9658" t="str">
        <f t="shared" si="2098"/>
        <v>89301000</v>
      </c>
      <c r="B9658" t="str">
        <f t="shared" si="2102"/>
        <v>93501000</v>
      </c>
      <c r="C9658" t="str">
        <f t="shared" si="2103"/>
        <v>93501001</v>
      </c>
      <c r="D9658" t="str">
        <f t="shared" si="2104"/>
        <v>801</v>
      </c>
      <c r="E9658" t="str">
        <f t="shared" si="2105"/>
        <v>89301167</v>
      </c>
      <c r="F9658" t="str">
        <f t="shared" si="2106"/>
        <v>470127462</v>
      </c>
      <c r="G9658" s="1">
        <v>44838</v>
      </c>
      <c r="H9658" t="str">
        <f>"81383"</f>
        <v>81383</v>
      </c>
      <c r="I9658">
        <v>1</v>
      </c>
      <c r="J9658">
        <v>23</v>
      </c>
      <c r="K9658">
        <v>0</v>
      </c>
      <c r="L9658">
        <v>17.940000000000001</v>
      </c>
    </row>
    <row r="9659" spans="1:12" x14ac:dyDescent="0.25">
      <c r="A9659" t="str">
        <f t="shared" si="2098"/>
        <v>89301000</v>
      </c>
      <c r="B9659" t="str">
        <f t="shared" si="2102"/>
        <v>93501000</v>
      </c>
      <c r="C9659" t="str">
        <f t="shared" si="2103"/>
        <v>93501001</v>
      </c>
      <c r="D9659" t="str">
        <f t="shared" si="2104"/>
        <v>801</v>
      </c>
      <c r="E9659" t="str">
        <f t="shared" si="2105"/>
        <v>89301167</v>
      </c>
      <c r="F9659" t="str">
        <f t="shared" si="2106"/>
        <v>470127462</v>
      </c>
      <c r="G9659" s="1">
        <v>44838</v>
      </c>
      <c r="H9659" t="str">
        <f>"81393"</f>
        <v>81393</v>
      </c>
      <c r="I9659">
        <v>1</v>
      </c>
      <c r="J9659">
        <v>24</v>
      </c>
      <c r="K9659">
        <v>0</v>
      </c>
      <c r="L9659">
        <v>18.72</v>
      </c>
    </row>
    <row r="9660" spans="1:12" x14ac:dyDescent="0.25">
      <c r="A9660" t="str">
        <f t="shared" si="2098"/>
        <v>89301000</v>
      </c>
      <c r="B9660" t="str">
        <f t="shared" si="2102"/>
        <v>93501000</v>
      </c>
      <c r="C9660" t="str">
        <f t="shared" si="2103"/>
        <v>93501001</v>
      </c>
      <c r="D9660" t="str">
        <f t="shared" si="2104"/>
        <v>801</v>
      </c>
      <c r="E9660" t="str">
        <f t="shared" si="2105"/>
        <v>89301167</v>
      </c>
      <c r="F9660" t="str">
        <f t="shared" si="2106"/>
        <v>470127462</v>
      </c>
      <c r="G9660" s="1">
        <v>44838</v>
      </c>
      <c r="H9660" t="str">
        <f>"81435"</f>
        <v>81435</v>
      </c>
      <c r="I9660">
        <v>1</v>
      </c>
      <c r="J9660">
        <v>22</v>
      </c>
      <c r="K9660">
        <v>0</v>
      </c>
      <c r="L9660">
        <v>17.16</v>
      </c>
    </row>
    <row r="9661" spans="1:12" x14ac:dyDescent="0.25">
      <c r="A9661" t="str">
        <f t="shared" si="2098"/>
        <v>89301000</v>
      </c>
      <c r="B9661" t="str">
        <f t="shared" si="2102"/>
        <v>93501000</v>
      </c>
      <c r="C9661" t="str">
        <f t="shared" si="2103"/>
        <v>93501001</v>
      </c>
      <c r="D9661" t="str">
        <f t="shared" si="2104"/>
        <v>801</v>
      </c>
      <c r="E9661" t="str">
        <f t="shared" si="2105"/>
        <v>89301167</v>
      </c>
      <c r="F9661" t="str">
        <f t="shared" si="2106"/>
        <v>470127462</v>
      </c>
      <c r="G9661" s="1">
        <v>44838</v>
      </c>
      <c r="H9661" t="str">
        <f>"81439"</f>
        <v>81439</v>
      </c>
      <c r="I9661">
        <v>1</v>
      </c>
      <c r="J9661">
        <v>16</v>
      </c>
      <c r="K9661">
        <v>0</v>
      </c>
      <c r="L9661">
        <v>12.48</v>
      </c>
    </row>
    <row r="9662" spans="1:12" x14ac:dyDescent="0.25">
      <c r="A9662" t="str">
        <f t="shared" si="2098"/>
        <v>89301000</v>
      </c>
      <c r="B9662" t="str">
        <f t="shared" si="2102"/>
        <v>93501000</v>
      </c>
      <c r="C9662" t="str">
        <f t="shared" si="2103"/>
        <v>93501001</v>
      </c>
      <c r="D9662" t="str">
        <f t="shared" si="2104"/>
        <v>801</v>
      </c>
      <c r="E9662" t="str">
        <f t="shared" si="2105"/>
        <v>89301167</v>
      </c>
      <c r="F9662" t="str">
        <f t="shared" si="2106"/>
        <v>470127462</v>
      </c>
      <c r="G9662" s="1">
        <v>44838</v>
      </c>
      <c r="H9662" t="str">
        <f>"81469"</f>
        <v>81469</v>
      </c>
      <c r="I9662">
        <v>1</v>
      </c>
      <c r="J9662">
        <v>16</v>
      </c>
      <c r="K9662">
        <v>0</v>
      </c>
      <c r="L9662">
        <v>12.48</v>
      </c>
    </row>
    <row r="9663" spans="1:12" x14ac:dyDescent="0.25">
      <c r="A9663" t="str">
        <f t="shared" si="2098"/>
        <v>89301000</v>
      </c>
      <c r="B9663" t="str">
        <f t="shared" si="2102"/>
        <v>93501000</v>
      </c>
      <c r="C9663" t="str">
        <f t="shared" si="2103"/>
        <v>93501001</v>
      </c>
      <c r="D9663" t="str">
        <f t="shared" si="2104"/>
        <v>801</v>
      </c>
      <c r="E9663" t="str">
        <f t="shared" si="2105"/>
        <v>89301167</v>
      </c>
      <c r="F9663" t="str">
        <f t="shared" si="2106"/>
        <v>470127462</v>
      </c>
      <c r="G9663" s="1">
        <v>44838</v>
      </c>
      <c r="H9663" t="str">
        <f>"81499"</f>
        <v>81499</v>
      </c>
      <c r="I9663">
        <v>1</v>
      </c>
      <c r="J9663">
        <v>18</v>
      </c>
      <c r="K9663">
        <v>0</v>
      </c>
      <c r="L9663">
        <v>14.04</v>
      </c>
    </row>
    <row r="9664" spans="1:12" x14ac:dyDescent="0.25">
      <c r="A9664" t="str">
        <f t="shared" si="2098"/>
        <v>89301000</v>
      </c>
      <c r="B9664" t="str">
        <f t="shared" ref="B9664:B9681" si="2107">"93501000"</f>
        <v>93501000</v>
      </c>
      <c r="C9664" t="str">
        <f t="shared" si="2103"/>
        <v>93501001</v>
      </c>
      <c r="D9664" t="str">
        <f t="shared" si="2104"/>
        <v>801</v>
      </c>
      <c r="E9664" t="str">
        <f t="shared" si="2105"/>
        <v>89301167</v>
      </c>
      <c r="F9664" t="str">
        <f t="shared" si="2106"/>
        <v>470127462</v>
      </c>
      <c r="G9664" s="1">
        <v>44838</v>
      </c>
      <c r="H9664" t="str">
        <f>"81523"</f>
        <v>81523</v>
      </c>
      <c r="I9664">
        <v>1</v>
      </c>
      <c r="J9664">
        <v>23</v>
      </c>
      <c r="K9664">
        <v>0</v>
      </c>
      <c r="L9664">
        <v>17.940000000000001</v>
      </c>
    </row>
    <row r="9665" spans="1:12" x14ac:dyDescent="0.25">
      <c r="A9665" t="str">
        <f t="shared" si="2098"/>
        <v>89301000</v>
      </c>
      <c r="B9665" t="str">
        <f t="shared" si="2107"/>
        <v>93501000</v>
      </c>
      <c r="C9665" t="str">
        <f t="shared" si="2103"/>
        <v>93501001</v>
      </c>
      <c r="D9665" t="str">
        <f t="shared" si="2104"/>
        <v>801</v>
      </c>
      <c r="E9665" t="str">
        <f t="shared" si="2105"/>
        <v>89301167</v>
      </c>
      <c r="F9665" t="str">
        <f t="shared" si="2106"/>
        <v>470127462</v>
      </c>
      <c r="G9665" s="1">
        <v>44838</v>
      </c>
      <c r="H9665" t="str">
        <f>"81593"</f>
        <v>81593</v>
      </c>
      <c r="I9665">
        <v>1</v>
      </c>
      <c r="J9665">
        <v>22</v>
      </c>
      <c r="K9665">
        <v>0</v>
      </c>
      <c r="L9665">
        <v>17.16</v>
      </c>
    </row>
    <row r="9666" spans="1:12" x14ac:dyDescent="0.25">
      <c r="A9666" t="str">
        <f t="shared" ref="A9666:A9729" si="2108">"89301000"</f>
        <v>89301000</v>
      </c>
      <c r="B9666" t="str">
        <f t="shared" si="2107"/>
        <v>93501000</v>
      </c>
      <c r="C9666" t="str">
        <f t="shared" si="2103"/>
        <v>93501001</v>
      </c>
      <c r="D9666" t="str">
        <f t="shared" si="2104"/>
        <v>801</v>
      </c>
      <c r="E9666" t="str">
        <f t="shared" si="2105"/>
        <v>89301167</v>
      </c>
      <c r="F9666" t="str">
        <f t="shared" si="2106"/>
        <v>470127462</v>
      </c>
      <c r="G9666" s="1">
        <v>44838</v>
      </c>
      <c r="H9666" t="str">
        <f>"81621"</f>
        <v>81621</v>
      </c>
      <c r="I9666">
        <v>1</v>
      </c>
      <c r="J9666">
        <v>19</v>
      </c>
      <c r="K9666">
        <v>0</v>
      </c>
      <c r="L9666">
        <v>14.82</v>
      </c>
    </row>
    <row r="9667" spans="1:12" x14ac:dyDescent="0.25">
      <c r="A9667" t="str">
        <f t="shared" si="2108"/>
        <v>89301000</v>
      </c>
      <c r="B9667" t="str">
        <f t="shared" si="2107"/>
        <v>93501000</v>
      </c>
      <c r="C9667" t="str">
        <f t="shared" si="2103"/>
        <v>93501001</v>
      </c>
      <c r="D9667" t="str">
        <f t="shared" si="2104"/>
        <v>801</v>
      </c>
      <c r="E9667" t="str">
        <f t="shared" si="2105"/>
        <v>89301167</v>
      </c>
      <c r="F9667" t="str">
        <f t="shared" si="2106"/>
        <v>470127462</v>
      </c>
      <c r="G9667" s="1">
        <v>44838</v>
      </c>
      <c r="H9667" t="str">
        <f>"81625"</f>
        <v>81625</v>
      </c>
      <c r="I9667">
        <v>1</v>
      </c>
      <c r="J9667">
        <v>20</v>
      </c>
      <c r="K9667">
        <v>0</v>
      </c>
      <c r="L9667">
        <v>15.6</v>
      </c>
    </row>
    <row r="9668" spans="1:12" x14ac:dyDescent="0.25">
      <c r="A9668" t="str">
        <f t="shared" si="2108"/>
        <v>89301000</v>
      </c>
      <c r="B9668" t="str">
        <f t="shared" si="2107"/>
        <v>93501000</v>
      </c>
      <c r="C9668" t="str">
        <f t="shared" si="2103"/>
        <v>93501001</v>
      </c>
      <c r="D9668" t="str">
        <f t="shared" si="2104"/>
        <v>801</v>
      </c>
      <c r="E9668" t="str">
        <f t="shared" si="2105"/>
        <v>89301167</v>
      </c>
      <c r="F9668" t="str">
        <f t="shared" si="2106"/>
        <v>470127462</v>
      </c>
      <c r="G9668" s="1">
        <v>44838</v>
      </c>
      <c r="H9668" t="str">
        <f>"91153"</f>
        <v>91153</v>
      </c>
      <c r="I9668">
        <v>1</v>
      </c>
      <c r="J9668">
        <v>152</v>
      </c>
      <c r="K9668">
        <v>0</v>
      </c>
      <c r="L9668">
        <v>118.56</v>
      </c>
    </row>
    <row r="9669" spans="1:12" x14ac:dyDescent="0.25">
      <c r="A9669" t="str">
        <f t="shared" si="2108"/>
        <v>89301000</v>
      </c>
      <c r="B9669" t="str">
        <f t="shared" si="2107"/>
        <v>93501000</v>
      </c>
      <c r="C9669" t="str">
        <f t="shared" si="2103"/>
        <v>93501001</v>
      </c>
      <c r="D9669" t="str">
        <f t="shared" si="2104"/>
        <v>801</v>
      </c>
      <c r="E9669" t="str">
        <f t="shared" si="2105"/>
        <v>89301167</v>
      </c>
      <c r="F9669" t="str">
        <f t="shared" si="2106"/>
        <v>470127462</v>
      </c>
      <c r="G9669" s="1">
        <v>44838</v>
      </c>
      <c r="H9669" t="str">
        <f>"93189"</f>
        <v>93189</v>
      </c>
      <c r="I9669">
        <v>1</v>
      </c>
      <c r="J9669">
        <v>189</v>
      </c>
      <c r="K9669">
        <v>0</v>
      </c>
      <c r="L9669">
        <v>147.41999999999999</v>
      </c>
    </row>
    <row r="9670" spans="1:12" x14ac:dyDescent="0.25">
      <c r="A9670" t="str">
        <f t="shared" si="2108"/>
        <v>89301000</v>
      </c>
      <c r="B9670" t="str">
        <f t="shared" si="2107"/>
        <v>93501000</v>
      </c>
      <c r="C9670" t="str">
        <f t="shared" si="2103"/>
        <v>93501001</v>
      </c>
      <c r="D9670" t="str">
        <f t="shared" si="2104"/>
        <v>801</v>
      </c>
      <c r="E9670" t="str">
        <f t="shared" si="2105"/>
        <v>89301167</v>
      </c>
      <c r="F9670" t="str">
        <f t="shared" si="2106"/>
        <v>470127462</v>
      </c>
      <c r="G9670" s="1">
        <v>44838</v>
      </c>
      <c r="H9670" t="str">
        <f>"93195"</f>
        <v>93195</v>
      </c>
      <c r="I9670">
        <v>1</v>
      </c>
      <c r="J9670">
        <v>181</v>
      </c>
      <c r="K9670">
        <v>0</v>
      </c>
      <c r="L9670">
        <v>141.18</v>
      </c>
    </row>
    <row r="9671" spans="1:12" x14ac:dyDescent="0.25">
      <c r="A9671" t="str">
        <f t="shared" si="2108"/>
        <v>89301000</v>
      </c>
      <c r="B9671" t="str">
        <f t="shared" si="2107"/>
        <v>93501000</v>
      </c>
      <c r="C9671" t="str">
        <f t="shared" si="2103"/>
        <v>93501001</v>
      </c>
      <c r="D9671" t="str">
        <f t="shared" si="2104"/>
        <v>801</v>
      </c>
      <c r="E9671" t="str">
        <f t="shared" si="2105"/>
        <v>89301167</v>
      </c>
      <c r="F9671" t="str">
        <f t="shared" si="2106"/>
        <v>470127462</v>
      </c>
      <c r="G9671" s="1">
        <v>44838</v>
      </c>
      <c r="H9671" t="str">
        <f>"97111"</f>
        <v>97111</v>
      </c>
      <c r="I9671">
        <v>1</v>
      </c>
      <c r="J9671">
        <v>18</v>
      </c>
      <c r="K9671">
        <v>0</v>
      </c>
      <c r="L9671">
        <v>14.04</v>
      </c>
    </row>
    <row r="9672" spans="1:12" x14ac:dyDescent="0.25">
      <c r="A9672" t="str">
        <f t="shared" si="2108"/>
        <v>89301000</v>
      </c>
      <c r="B9672" t="str">
        <f t="shared" si="2107"/>
        <v>93501000</v>
      </c>
      <c r="C9672" t="str">
        <f t="shared" si="2103"/>
        <v>93501001</v>
      </c>
      <c r="D9672" t="str">
        <f t="shared" si="2104"/>
        <v>801</v>
      </c>
      <c r="E9672" t="str">
        <f t="shared" ref="E9672:E9679" si="2109">"89301082"</f>
        <v>89301082</v>
      </c>
      <c r="F9672" t="str">
        <f>"8859056206"</f>
        <v>8859056206</v>
      </c>
      <c r="G9672" s="1">
        <v>44838</v>
      </c>
      <c r="H9672" t="str">
        <f>"81393"</f>
        <v>81393</v>
      </c>
      <c r="I9672">
        <v>1</v>
      </c>
      <c r="J9672">
        <v>24</v>
      </c>
      <c r="K9672">
        <v>0</v>
      </c>
      <c r="L9672">
        <v>18.72</v>
      </c>
    </row>
    <row r="9673" spans="1:12" x14ac:dyDescent="0.25">
      <c r="A9673" t="str">
        <f t="shared" si="2108"/>
        <v>89301000</v>
      </c>
      <c r="B9673" t="str">
        <f t="shared" si="2107"/>
        <v>93501000</v>
      </c>
      <c r="C9673" t="str">
        <f t="shared" si="2103"/>
        <v>93501001</v>
      </c>
      <c r="D9673" t="str">
        <f t="shared" si="2104"/>
        <v>801</v>
      </c>
      <c r="E9673" t="str">
        <f t="shared" si="2109"/>
        <v>89301082</v>
      </c>
      <c r="F9673" t="str">
        <f>"8859056206"</f>
        <v>8859056206</v>
      </c>
      <c r="G9673" s="1">
        <v>44838</v>
      </c>
      <c r="H9673" t="str">
        <f>"81469"</f>
        <v>81469</v>
      </c>
      <c r="I9673">
        <v>1</v>
      </c>
      <c r="J9673">
        <v>16</v>
      </c>
      <c r="K9673">
        <v>0</v>
      </c>
      <c r="L9673">
        <v>12.48</v>
      </c>
    </row>
    <row r="9674" spans="1:12" x14ac:dyDescent="0.25">
      <c r="A9674" t="str">
        <f t="shared" si="2108"/>
        <v>89301000</v>
      </c>
      <c r="B9674" t="str">
        <f t="shared" si="2107"/>
        <v>93501000</v>
      </c>
      <c r="C9674" t="str">
        <f t="shared" si="2103"/>
        <v>93501001</v>
      </c>
      <c r="D9674" t="str">
        <f t="shared" si="2104"/>
        <v>801</v>
      </c>
      <c r="E9674" t="str">
        <f t="shared" si="2109"/>
        <v>89301082</v>
      </c>
      <c r="F9674" t="str">
        <f>"8859056206"</f>
        <v>8859056206</v>
      </c>
      <c r="G9674" s="1">
        <v>44838</v>
      </c>
      <c r="H9674" t="str">
        <f>"81593"</f>
        <v>81593</v>
      </c>
      <c r="I9674">
        <v>1</v>
      </c>
      <c r="J9674">
        <v>22</v>
      </c>
      <c r="K9674">
        <v>0</v>
      </c>
      <c r="L9674">
        <v>17.16</v>
      </c>
    </row>
    <row r="9675" spans="1:12" x14ac:dyDescent="0.25">
      <c r="A9675" t="str">
        <f t="shared" si="2108"/>
        <v>89301000</v>
      </c>
      <c r="B9675" t="str">
        <f t="shared" si="2107"/>
        <v>93501000</v>
      </c>
      <c r="C9675" t="str">
        <f t="shared" si="2103"/>
        <v>93501001</v>
      </c>
      <c r="D9675" t="str">
        <f t="shared" si="2104"/>
        <v>801</v>
      </c>
      <c r="E9675" t="str">
        <f t="shared" si="2109"/>
        <v>89301082</v>
      </c>
      <c r="F9675" t="str">
        <f>"8859056206"</f>
        <v>8859056206</v>
      </c>
      <c r="G9675" s="1">
        <v>44838</v>
      </c>
      <c r="H9675" t="str">
        <f>"97111"</f>
        <v>97111</v>
      </c>
      <c r="I9675">
        <v>1</v>
      </c>
      <c r="J9675">
        <v>18</v>
      </c>
      <c r="K9675">
        <v>0</v>
      </c>
      <c r="L9675">
        <v>14.04</v>
      </c>
    </row>
    <row r="9676" spans="1:12" x14ac:dyDescent="0.25">
      <c r="A9676" t="str">
        <f t="shared" si="2108"/>
        <v>89301000</v>
      </c>
      <c r="B9676" t="str">
        <f t="shared" si="2107"/>
        <v>93501000</v>
      </c>
      <c r="C9676" t="str">
        <f>"93501003"</f>
        <v>93501003</v>
      </c>
      <c r="D9676" t="str">
        <f t="shared" si="2104"/>
        <v>801</v>
      </c>
      <c r="E9676" t="str">
        <f t="shared" si="2109"/>
        <v>89301082</v>
      </c>
      <c r="F9676" t="str">
        <f>"8454195354"</f>
        <v>8454195354</v>
      </c>
      <c r="G9676" s="1">
        <v>44853</v>
      </c>
      <c r="H9676" t="str">
        <f>"09119"</f>
        <v>09119</v>
      </c>
      <c r="I9676">
        <v>1</v>
      </c>
      <c r="J9676">
        <v>42</v>
      </c>
      <c r="K9676">
        <v>0</v>
      </c>
      <c r="L9676">
        <v>32.76</v>
      </c>
    </row>
    <row r="9677" spans="1:12" x14ac:dyDescent="0.25">
      <c r="A9677" t="str">
        <f t="shared" si="2108"/>
        <v>89301000</v>
      </c>
      <c r="B9677" t="str">
        <f t="shared" si="2107"/>
        <v>93501000</v>
      </c>
      <c r="C9677" t="str">
        <f>"93501003"</f>
        <v>93501003</v>
      </c>
      <c r="D9677" t="str">
        <f t="shared" si="2104"/>
        <v>801</v>
      </c>
      <c r="E9677" t="str">
        <f t="shared" si="2109"/>
        <v>89301082</v>
      </c>
      <c r="F9677" t="str">
        <f>"8859056206"</f>
        <v>8859056206</v>
      </c>
      <c r="G9677" s="1">
        <v>44838</v>
      </c>
      <c r="H9677" t="str">
        <f>"09119"</f>
        <v>09119</v>
      </c>
      <c r="I9677">
        <v>1</v>
      </c>
      <c r="J9677">
        <v>42</v>
      </c>
      <c r="K9677">
        <v>0</v>
      </c>
      <c r="L9677">
        <v>32.76</v>
      </c>
    </row>
    <row r="9678" spans="1:12" x14ac:dyDescent="0.25">
      <c r="A9678" t="str">
        <f t="shared" si="2108"/>
        <v>89301000</v>
      </c>
      <c r="B9678" t="str">
        <f t="shared" si="2107"/>
        <v>93501000</v>
      </c>
      <c r="C9678" t="str">
        <f>"93501001"</f>
        <v>93501001</v>
      </c>
      <c r="D9678" t="str">
        <f t="shared" si="2104"/>
        <v>801</v>
      </c>
      <c r="E9678" t="str">
        <f t="shared" si="2109"/>
        <v>89301082</v>
      </c>
      <c r="F9678" t="str">
        <f>"8454195354"</f>
        <v>8454195354</v>
      </c>
      <c r="G9678" s="1">
        <v>44853</v>
      </c>
      <c r="H9678" t="str">
        <f>"93159"</f>
        <v>93159</v>
      </c>
      <c r="I9678">
        <v>1</v>
      </c>
      <c r="J9678">
        <v>195</v>
      </c>
      <c r="K9678">
        <v>0</v>
      </c>
      <c r="L9678">
        <v>152.1</v>
      </c>
    </row>
    <row r="9679" spans="1:12" x14ac:dyDescent="0.25">
      <c r="A9679" t="str">
        <f t="shared" si="2108"/>
        <v>89301000</v>
      </c>
      <c r="B9679" t="str">
        <f t="shared" si="2107"/>
        <v>93501000</v>
      </c>
      <c r="C9679" t="str">
        <f>"93501001"</f>
        <v>93501001</v>
      </c>
      <c r="D9679" t="str">
        <f t="shared" si="2104"/>
        <v>801</v>
      </c>
      <c r="E9679" t="str">
        <f t="shared" si="2109"/>
        <v>89301082</v>
      </c>
      <c r="F9679" t="str">
        <f>"8454195354"</f>
        <v>8454195354</v>
      </c>
      <c r="G9679" s="1">
        <v>44853</v>
      </c>
      <c r="H9679" t="str">
        <f>"97111"</f>
        <v>97111</v>
      </c>
      <c r="I9679">
        <v>1</v>
      </c>
      <c r="J9679">
        <v>18</v>
      </c>
      <c r="K9679">
        <v>0</v>
      </c>
      <c r="L9679">
        <v>14.04</v>
      </c>
    </row>
    <row r="9680" spans="1:12" x14ac:dyDescent="0.25">
      <c r="A9680" t="str">
        <f t="shared" si="2108"/>
        <v>89301000</v>
      </c>
      <c r="B9680" t="str">
        <f t="shared" si="2107"/>
        <v>93501000</v>
      </c>
      <c r="C9680" t="str">
        <f>"93501005"</f>
        <v>93501005</v>
      </c>
      <c r="D9680" t="str">
        <f>"818"</f>
        <v>818</v>
      </c>
      <c r="E9680" t="str">
        <f>"89301167"</f>
        <v>89301167</v>
      </c>
      <c r="F9680" t="str">
        <f>"470127462"</f>
        <v>470127462</v>
      </c>
      <c r="G9680" s="1">
        <v>44858</v>
      </c>
      <c r="H9680" t="str">
        <f>"96167"</f>
        <v>96167</v>
      </c>
      <c r="I9680">
        <v>1</v>
      </c>
      <c r="J9680">
        <v>67</v>
      </c>
      <c r="K9680">
        <v>0</v>
      </c>
      <c r="L9680">
        <v>60.97</v>
      </c>
    </row>
    <row r="9681" spans="1:12" x14ac:dyDescent="0.25">
      <c r="A9681" t="str">
        <f t="shared" si="2108"/>
        <v>89301000</v>
      </c>
      <c r="B9681" t="str">
        <f t="shared" si="2107"/>
        <v>93501000</v>
      </c>
      <c r="C9681" t="str">
        <f>"93501005"</f>
        <v>93501005</v>
      </c>
      <c r="D9681" t="str">
        <f>"818"</f>
        <v>818</v>
      </c>
      <c r="E9681" t="str">
        <f>"89301167"</f>
        <v>89301167</v>
      </c>
      <c r="F9681" t="str">
        <f>"470127462"</f>
        <v>470127462</v>
      </c>
      <c r="G9681" s="1">
        <v>44838</v>
      </c>
      <c r="H9681" t="str">
        <f>"96167"</f>
        <v>96167</v>
      </c>
      <c r="I9681">
        <v>1</v>
      </c>
      <c r="J9681">
        <v>67</v>
      </c>
      <c r="K9681">
        <v>0</v>
      </c>
      <c r="L9681">
        <v>60.97</v>
      </c>
    </row>
    <row r="9682" spans="1:12" x14ac:dyDescent="0.25">
      <c r="A9682" t="str">
        <f t="shared" si="2108"/>
        <v>89301000</v>
      </c>
      <c r="B9682" t="str">
        <f t="shared" ref="B9682:B9713" si="2110">"78915000"</f>
        <v>78915000</v>
      </c>
      <c r="C9682" t="str">
        <f t="shared" ref="C9682:C9713" si="2111">"78915001"</f>
        <v>78915001</v>
      </c>
      <c r="D9682" t="str">
        <f t="shared" ref="D9682:D9713" si="2112">"809"</f>
        <v>809</v>
      </c>
      <c r="E9682" t="str">
        <f t="shared" ref="E9682:E9689" si="2113">"89301112"</f>
        <v>89301112</v>
      </c>
      <c r="F9682" t="str">
        <f>"0202045745"</f>
        <v>0202045745</v>
      </c>
      <c r="G9682" s="1">
        <v>44838</v>
      </c>
      <c r="H9682" t="str">
        <f>"09569"</f>
        <v>09569</v>
      </c>
      <c r="I9682">
        <v>1</v>
      </c>
      <c r="J9682">
        <v>0</v>
      </c>
      <c r="K9682">
        <v>0</v>
      </c>
      <c r="L9682">
        <v>0</v>
      </c>
    </row>
    <row r="9683" spans="1:12" x14ac:dyDescent="0.25">
      <c r="A9683" t="str">
        <f t="shared" si="2108"/>
        <v>89301000</v>
      </c>
      <c r="B9683" t="str">
        <f t="shared" si="2110"/>
        <v>78915000</v>
      </c>
      <c r="C9683" t="str">
        <f t="shared" si="2111"/>
        <v>78915001</v>
      </c>
      <c r="D9683" t="str">
        <f t="shared" si="2112"/>
        <v>809</v>
      </c>
      <c r="E9683" t="str">
        <f t="shared" si="2113"/>
        <v>89301112</v>
      </c>
      <c r="F9683" t="str">
        <f>"0202045745"</f>
        <v>0202045745</v>
      </c>
      <c r="G9683" s="1">
        <v>44838</v>
      </c>
      <c r="H9683" t="str">
        <f>"89713"</f>
        <v>89713</v>
      </c>
      <c r="I9683">
        <v>1</v>
      </c>
      <c r="J9683">
        <v>5362</v>
      </c>
      <c r="K9683">
        <v>0</v>
      </c>
      <c r="L9683">
        <v>3217.2</v>
      </c>
    </row>
    <row r="9684" spans="1:12" x14ac:dyDescent="0.25">
      <c r="A9684" t="str">
        <f t="shared" si="2108"/>
        <v>89301000</v>
      </c>
      <c r="B9684" t="str">
        <f t="shared" si="2110"/>
        <v>78915000</v>
      </c>
      <c r="C9684" t="str">
        <f t="shared" si="2111"/>
        <v>78915001</v>
      </c>
      <c r="D9684" t="str">
        <f t="shared" si="2112"/>
        <v>809</v>
      </c>
      <c r="E9684" t="str">
        <f t="shared" si="2113"/>
        <v>89301112</v>
      </c>
      <c r="F9684" t="str">
        <f>"0258145723"</f>
        <v>0258145723</v>
      </c>
      <c r="G9684" s="1">
        <v>44846</v>
      </c>
      <c r="H9684" t="str">
        <f>"09569"</f>
        <v>09569</v>
      </c>
      <c r="I9684">
        <v>1</v>
      </c>
      <c r="J9684">
        <v>0</v>
      </c>
      <c r="K9684">
        <v>0</v>
      </c>
      <c r="L9684">
        <v>0</v>
      </c>
    </row>
    <row r="9685" spans="1:12" x14ac:dyDescent="0.25">
      <c r="A9685" t="str">
        <f t="shared" si="2108"/>
        <v>89301000</v>
      </c>
      <c r="B9685" t="str">
        <f t="shared" si="2110"/>
        <v>78915000</v>
      </c>
      <c r="C9685" t="str">
        <f t="shared" si="2111"/>
        <v>78915001</v>
      </c>
      <c r="D9685" t="str">
        <f t="shared" si="2112"/>
        <v>809</v>
      </c>
      <c r="E9685" t="str">
        <f t="shared" si="2113"/>
        <v>89301112</v>
      </c>
      <c r="F9685" t="str">
        <f>"0258145723"</f>
        <v>0258145723</v>
      </c>
      <c r="G9685" s="1">
        <v>44846</v>
      </c>
      <c r="H9685" t="str">
        <f>"89713"</f>
        <v>89713</v>
      </c>
      <c r="I9685">
        <v>1</v>
      </c>
      <c r="J9685">
        <v>5362</v>
      </c>
      <c r="K9685">
        <v>0</v>
      </c>
      <c r="L9685">
        <v>3217.2</v>
      </c>
    </row>
    <row r="9686" spans="1:12" x14ac:dyDescent="0.25">
      <c r="A9686" t="str">
        <f t="shared" si="2108"/>
        <v>89301000</v>
      </c>
      <c r="B9686" t="str">
        <f t="shared" si="2110"/>
        <v>78915000</v>
      </c>
      <c r="C9686" t="str">
        <f t="shared" si="2111"/>
        <v>78915001</v>
      </c>
      <c r="D9686" t="str">
        <f t="shared" si="2112"/>
        <v>809</v>
      </c>
      <c r="E9686" t="str">
        <f t="shared" si="2113"/>
        <v>89301112</v>
      </c>
      <c r="F9686" t="str">
        <f>"0657165278"</f>
        <v>0657165278</v>
      </c>
      <c r="G9686" s="1">
        <v>44838</v>
      </c>
      <c r="H9686" t="str">
        <f>"09569"</f>
        <v>09569</v>
      </c>
      <c r="I9686">
        <v>1</v>
      </c>
      <c r="J9686">
        <v>0</v>
      </c>
      <c r="K9686">
        <v>0</v>
      </c>
      <c r="L9686">
        <v>0</v>
      </c>
    </row>
    <row r="9687" spans="1:12" x14ac:dyDescent="0.25">
      <c r="A9687" t="str">
        <f t="shared" si="2108"/>
        <v>89301000</v>
      </c>
      <c r="B9687" t="str">
        <f t="shared" si="2110"/>
        <v>78915000</v>
      </c>
      <c r="C9687" t="str">
        <f t="shared" si="2111"/>
        <v>78915001</v>
      </c>
      <c r="D9687" t="str">
        <f t="shared" si="2112"/>
        <v>809</v>
      </c>
      <c r="E9687" t="str">
        <f t="shared" si="2113"/>
        <v>89301112</v>
      </c>
      <c r="F9687" t="str">
        <f>"0657165278"</f>
        <v>0657165278</v>
      </c>
      <c r="G9687" s="1">
        <v>44838</v>
      </c>
      <c r="H9687" t="str">
        <f>"89713"</f>
        <v>89713</v>
      </c>
      <c r="I9687">
        <v>1</v>
      </c>
      <c r="J9687">
        <v>5362</v>
      </c>
      <c r="K9687">
        <v>0</v>
      </c>
      <c r="L9687">
        <v>3217.2</v>
      </c>
    </row>
    <row r="9688" spans="1:12" x14ac:dyDescent="0.25">
      <c r="A9688" t="str">
        <f t="shared" si="2108"/>
        <v>89301000</v>
      </c>
      <c r="B9688" t="str">
        <f t="shared" si="2110"/>
        <v>78915000</v>
      </c>
      <c r="C9688" t="str">
        <f t="shared" si="2111"/>
        <v>78915001</v>
      </c>
      <c r="D9688" t="str">
        <f t="shared" si="2112"/>
        <v>809</v>
      </c>
      <c r="E9688" t="str">
        <f t="shared" si="2113"/>
        <v>89301112</v>
      </c>
      <c r="F9688" t="str">
        <f>"0855203019"</f>
        <v>0855203019</v>
      </c>
      <c r="G9688" s="1">
        <v>44859</v>
      </c>
      <c r="H9688" t="str">
        <f>"09567"</f>
        <v>09567</v>
      </c>
      <c r="I9688">
        <v>1</v>
      </c>
      <c r="J9688">
        <v>0</v>
      </c>
      <c r="K9688">
        <v>0</v>
      </c>
      <c r="L9688">
        <v>0</v>
      </c>
    </row>
    <row r="9689" spans="1:12" x14ac:dyDescent="0.25">
      <c r="A9689" t="str">
        <f t="shared" si="2108"/>
        <v>89301000</v>
      </c>
      <c r="B9689" t="str">
        <f t="shared" si="2110"/>
        <v>78915000</v>
      </c>
      <c r="C9689" t="str">
        <f t="shared" si="2111"/>
        <v>78915001</v>
      </c>
      <c r="D9689" t="str">
        <f t="shared" si="2112"/>
        <v>809</v>
      </c>
      <c r="E9689" t="str">
        <f t="shared" si="2113"/>
        <v>89301112</v>
      </c>
      <c r="F9689" t="str">
        <f>"0855203019"</f>
        <v>0855203019</v>
      </c>
      <c r="G9689" s="1">
        <v>44859</v>
      </c>
      <c r="H9689" t="str">
        <f>"89713"</f>
        <v>89713</v>
      </c>
      <c r="I9689">
        <v>1</v>
      </c>
      <c r="J9689">
        <v>5362</v>
      </c>
      <c r="K9689">
        <v>0</v>
      </c>
      <c r="L9689">
        <v>3217.2</v>
      </c>
    </row>
    <row r="9690" spans="1:12" x14ac:dyDescent="0.25">
      <c r="A9690" t="str">
        <f t="shared" si="2108"/>
        <v>89301000</v>
      </c>
      <c r="B9690" t="str">
        <f t="shared" si="2110"/>
        <v>78915000</v>
      </c>
      <c r="C9690" t="str">
        <f t="shared" si="2111"/>
        <v>78915001</v>
      </c>
      <c r="D9690" t="str">
        <f t="shared" si="2112"/>
        <v>809</v>
      </c>
      <c r="E9690" t="str">
        <f>"89301062"</f>
        <v>89301062</v>
      </c>
      <c r="F9690" t="str">
        <f>"445914402"</f>
        <v>445914402</v>
      </c>
      <c r="G9690" s="1">
        <v>44844</v>
      </c>
      <c r="H9690" t="str">
        <f>"89713"</f>
        <v>89713</v>
      </c>
      <c r="I9690">
        <v>1</v>
      </c>
      <c r="J9690">
        <v>5362</v>
      </c>
      <c r="K9690">
        <v>0</v>
      </c>
      <c r="L9690">
        <v>3217.2</v>
      </c>
    </row>
    <row r="9691" spans="1:12" x14ac:dyDescent="0.25">
      <c r="A9691" t="str">
        <f t="shared" si="2108"/>
        <v>89301000</v>
      </c>
      <c r="B9691" t="str">
        <f t="shared" si="2110"/>
        <v>78915000</v>
      </c>
      <c r="C9691" t="str">
        <f t="shared" si="2111"/>
        <v>78915001</v>
      </c>
      <c r="D9691" t="str">
        <f t="shared" si="2112"/>
        <v>809</v>
      </c>
      <c r="E9691" t="str">
        <f>"89301062"</f>
        <v>89301062</v>
      </c>
      <c r="F9691" t="str">
        <f>"445914402"</f>
        <v>445914402</v>
      </c>
      <c r="G9691" s="1">
        <v>44844</v>
      </c>
      <c r="H9691" t="str">
        <f>"89725"</f>
        <v>89725</v>
      </c>
      <c r="I9691">
        <v>1</v>
      </c>
      <c r="J9691">
        <v>2839</v>
      </c>
      <c r="K9691">
        <v>0</v>
      </c>
      <c r="L9691">
        <v>1703.4</v>
      </c>
    </row>
    <row r="9692" spans="1:12" x14ac:dyDescent="0.25">
      <c r="A9692" t="str">
        <f t="shared" si="2108"/>
        <v>89301000</v>
      </c>
      <c r="B9692" t="str">
        <f t="shared" si="2110"/>
        <v>78915000</v>
      </c>
      <c r="C9692" t="str">
        <f t="shared" si="2111"/>
        <v>78915001</v>
      </c>
      <c r="D9692" t="str">
        <f t="shared" si="2112"/>
        <v>809</v>
      </c>
      <c r="E9692" t="str">
        <f>"89301606"</f>
        <v>89301606</v>
      </c>
      <c r="F9692" t="str">
        <f>"485105401"</f>
        <v>485105401</v>
      </c>
      <c r="G9692" s="1">
        <v>44854</v>
      </c>
      <c r="H9692" t="str">
        <f>"89713"</f>
        <v>89713</v>
      </c>
      <c r="I9692">
        <v>2</v>
      </c>
      <c r="J9692">
        <v>10724</v>
      </c>
      <c r="K9692">
        <v>0</v>
      </c>
      <c r="L9692">
        <v>6434.4</v>
      </c>
    </row>
    <row r="9693" spans="1:12" x14ac:dyDescent="0.25">
      <c r="A9693" t="str">
        <f t="shared" si="2108"/>
        <v>89301000</v>
      </c>
      <c r="B9693" t="str">
        <f t="shared" si="2110"/>
        <v>78915000</v>
      </c>
      <c r="C9693" t="str">
        <f t="shared" si="2111"/>
        <v>78915001</v>
      </c>
      <c r="D9693" t="str">
        <f t="shared" si="2112"/>
        <v>809</v>
      </c>
      <c r="E9693" t="str">
        <f>"89301606"</f>
        <v>89301606</v>
      </c>
      <c r="F9693" t="str">
        <f>"485105401"</f>
        <v>485105401</v>
      </c>
      <c r="G9693" s="1">
        <v>44854</v>
      </c>
      <c r="H9693" t="str">
        <f>"89725"</f>
        <v>89725</v>
      </c>
      <c r="I9693">
        <v>1</v>
      </c>
      <c r="J9693">
        <v>2839</v>
      </c>
      <c r="K9693">
        <v>0</v>
      </c>
      <c r="L9693">
        <v>1703.4</v>
      </c>
    </row>
    <row r="9694" spans="1:12" x14ac:dyDescent="0.25">
      <c r="A9694" t="str">
        <f t="shared" si="2108"/>
        <v>89301000</v>
      </c>
      <c r="B9694" t="str">
        <f t="shared" si="2110"/>
        <v>78915000</v>
      </c>
      <c r="C9694" t="str">
        <f t="shared" si="2111"/>
        <v>78915001</v>
      </c>
      <c r="D9694" t="str">
        <f t="shared" si="2112"/>
        <v>809</v>
      </c>
      <c r="E9694" t="str">
        <f t="shared" ref="E9694:E9703" si="2114">"89301062"</f>
        <v>89301062</v>
      </c>
      <c r="F9694" t="str">
        <f>"485913405"</f>
        <v>485913405</v>
      </c>
      <c r="G9694" s="1">
        <v>44837</v>
      </c>
      <c r="H9694" t="str">
        <f>"89713"</f>
        <v>89713</v>
      </c>
      <c r="I9694">
        <v>1</v>
      </c>
      <c r="J9694">
        <v>5362</v>
      </c>
      <c r="K9694">
        <v>0</v>
      </c>
      <c r="L9694">
        <v>3217.2</v>
      </c>
    </row>
    <row r="9695" spans="1:12" x14ac:dyDescent="0.25">
      <c r="A9695" t="str">
        <f t="shared" si="2108"/>
        <v>89301000</v>
      </c>
      <c r="B9695" t="str">
        <f t="shared" si="2110"/>
        <v>78915000</v>
      </c>
      <c r="C9695" t="str">
        <f t="shared" si="2111"/>
        <v>78915001</v>
      </c>
      <c r="D9695" t="str">
        <f t="shared" si="2112"/>
        <v>809</v>
      </c>
      <c r="E9695" t="str">
        <f t="shared" si="2114"/>
        <v>89301062</v>
      </c>
      <c r="F9695" t="str">
        <f>"485913405"</f>
        <v>485913405</v>
      </c>
      <c r="G9695" s="1">
        <v>44837</v>
      </c>
      <c r="H9695" t="str">
        <f>"89725"</f>
        <v>89725</v>
      </c>
      <c r="I9695">
        <v>1</v>
      </c>
      <c r="J9695">
        <v>2839</v>
      </c>
      <c r="K9695">
        <v>0</v>
      </c>
      <c r="L9695">
        <v>1703.4</v>
      </c>
    </row>
    <row r="9696" spans="1:12" x14ac:dyDescent="0.25">
      <c r="A9696" t="str">
        <f t="shared" si="2108"/>
        <v>89301000</v>
      </c>
      <c r="B9696" t="str">
        <f t="shared" si="2110"/>
        <v>78915000</v>
      </c>
      <c r="C9696" t="str">
        <f t="shared" si="2111"/>
        <v>78915001</v>
      </c>
      <c r="D9696" t="str">
        <f t="shared" si="2112"/>
        <v>809</v>
      </c>
      <c r="E9696" t="str">
        <f t="shared" si="2114"/>
        <v>89301062</v>
      </c>
      <c r="F9696" t="str">
        <f>"520529097"</f>
        <v>520529097</v>
      </c>
      <c r="G9696" s="1">
        <v>44854</v>
      </c>
      <c r="H9696" t="str">
        <f>"89713"</f>
        <v>89713</v>
      </c>
      <c r="I9696">
        <v>1</v>
      </c>
      <c r="J9696">
        <v>5362</v>
      </c>
      <c r="K9696">
        <v>0</v>
      </c>
      <c r="L9696">
        <v>3217.2</v>
      </c>
    </row>
    <row r="9697" spans="1:12" x14ac:dyDescent="0.25">
      <c r="A9697" t="str">
        <f t="shared" si="2108"/>
        <v>89301000</v>
      </c>
      <c r="B9697" t="str">
        <f t="shared" si="2110"/>
        <v>78915000</v>
      </c>
      <c r="C9697" t="str">
        <f t="shared" si="2111"/>
        <v>78915001</v>
      </c>
      <c r="D9697" t="str">
        <f t="shared" si="2112"/>
        <v>809</v>
      </c>
      <c r="E9697" t="str">
        <f t="shared" si="2114"/>
        <v>89301062</v>
      </c>
      <c r="F9697" t="str">
        <f>"520529097"</f>
        <v>520529097</v>
      </c>
      <c r="G9697" s="1">
        <v>44854</v>
      </c>
      <c r="H9697" t="str">
        <f>"89725"</f>
        <v>89725</v>
      </c>
      <c r="I9697">
        <v>1</v>
      </c>
      <c r="J9697">
        <v>2839</v>
      </c>
      <c r="K9697">
        <v>0</v>
      </c>
      <c r="L9697">
        <v>1703.4</v>
      </c>
    </row>
    <row r="9698" spans="1:12" x14ac:dyDescent="0.25">
      <c r="A9698" t="str">
        <f t="shared" si="2108"/>
        <v>89301000</v>
      </c>
      <c r="B9698" t="str">
        <f t="shared" si="2110"/>
        <v>78915000</v>
      </c>
      <c r="C9698" t="str">
        <f t="shared" si="2111"/>
        <v>78915001</v>
      </c>
      <c r="D9698" t="str">
        <f t="shared" si="2112"/>
        <v>809</v>
      </c>
      <c r="E9698" t="str">
        <f t="shared" si="2114"/>
        <v>89301062</v>
      </c>
      <c r="F9698" t="str">
        <f>"531108216"</f>
        <v>531108216</v>
      </c>
      <c r="G9698" s="1">
        <v>44865</v>
      </c>
      <c r="H9698" t="str">
        <f>"89713"</f>
        <v>89713</v>
      </c>
      <c r="I9698">
        <v>1</v>
      </c>
      <c r="J9698">
        <v>5362</v>
      </c>
      <c r="K9698">
        <v>0</v>
      </c>
      <c r="L9698">
        <v>3217.2</v>
      </c>
    </row>
    <row r="9699" spans="1:12" x14ac:dyDescent="0.25">
      <c r="A9699" t="str">
        <f t="shared" si="2108"/>
        <v>89301000</v>
      </c>
      <c r="B9699" t="str">
        <f t="shared" si="2110"/>
        <v>78915000</v>
      </c>
      <c r="C9699" t="str">
        <f t="shared" si="2111"/>
        <v>78915001</v>
      </c>
      <c r="D9699" t="str">
        <f t="shared" si="2112"/>
        <v>809</v>
      </c>
      <c r="E9699" t="str">
        <f t="shared" si="2114"/>
        <v>89301062</v>
      </c>
      <c r="F9699" t="str">
        <f>"536122110"</f>
        <v>536122110</v>
      </c>
      <c r="G9699" s="1">
        <v>44849</v>
      </c>
      <c r="H9699" t="str">
        <f>"89713"</f>
        <v>89713</v>
      </c>
      <c r="I9699">
        <v>1</v>
      </c>
      <c r="J9699">
        <v>5362</v>
      </c>
      <c r="K9699">
        <v>0</v>
      </c>
      <c r="L9699">
        <v>3217.2</v>
      </c>
    </row>
    <row r="9700" spans="1:12" x14ac:dyDescent="0.25">
      <c r="A9700" t="str">
        <f t="shared" si="2108"/>
        <v>89301000</v>
      </c>
      <c r="B9700" t="str">
        <f t="shared" si="2110"/>
        <v>78915000</v>
      </c>
      <c r="C9700" t="str">
        <f t="shared" si="2111"/>
        <v>78915001</v>
      </c>
      <c r="D9700" t="str">
        <f t="shared" si="2112"/>
        <v>809</v>
      </c>
      <c r="E9700" t="str">
        <f t="shared" si="2114"/>
        <v>89301062</v>
      </c>
      <c r="F9700" t="str">
        <f>"536122110"</f>
        <v>536122110</v>
      </c>
      <c r="G9700" s="1">
        <v>44849</v>
      </c>
      <c r="H9700" t="str">
        <f>"89725"</f>
        <v>89725</v>
      </c>
      <c r="I9700">
        <v>1</v>
      </c>
      <c r="J9700">
        <v>2839</v>
      </c>
      <c r="K9700">
        <v>0</v>
      </c>
      <c r="L9700">
        <v>1703.4</v>
      </c>
    </row>
    <row r="9701" spans="1:12" x14ac:dyDescent="0.25">
      <c r="A9701" t="str">
        <f t="shared" si="2108"/>
        <v>89301000</v>
      </c>
      <c r="B9701" t="str">
        <f t="shared" si="2110"/>
        <v>78915000</v>
      </c>
      <c r="C9701" t="str">
        <f t="shared" si="2111"/>
        <v>78915001</v>
      </c>
      <c r="D9701" t="str">
        <f t="shared" si="2112"/>
        <v>809</v>
      </c>
      <c r="E9701" t="str">
        <f t="shared" si="2114"/>
        <v>89301062</v>
      </c>
      <c r="F9701" t="str">
        <f>"536122110"</f>
        <v>536122110</v>
      </c>
      <c r="G9701" s="1">
        <v>44849</v>
      </c>
      <c r="H9701" t="str">
        <f>"0054255"</f>
        <v>0054255</v>
      </c>
      <c r="I9701">
        <v>1.8</v>
      </c>
      <c r="K9701">
        <v>3036.46</v>
      </c>
      <c r="L9701">
        <v>3036.46</v>
      </c>
    </row>
    <row r="9702" spans="1:12" x14ac:dyDescent="0.25">
      <c r="A9702" t="str">
        <f t="shared" si="2108"/>
        <v>89301000</v>
      </c>
      <c r="B9702" t="str">
        <f t="shared" si="2110"/>
        <v>78915000</v>
      </c>
      <c r="C9702" t="str">
        <f t="shared" si="2111"/>
        <v>78915001</v>
      </c>
      <c r="D9702" t="str">
        <f t="shared" si="2112"/>
        <v>809</v>
      </c>
      <c r="E9702" t="str">
        <f t="shared" si="2114"/>
        <v>89301062</v>
      </c>
      <c r="F9702" t="str">
        <f>"5656060399"</f>
        <v>5656060399</v>
      </c>
      <c r="G9702" s="1">
        <v>44854</v>
      </c>
      <c r="H9702" t="str">
        <f>"89713"</f>
        <v>89713</v>
      </c>
      <c r="I9702">
        <v>1</v>
      </c>
      <c r="J9702">
        <v>5362</v>
      </c>
      <c r="K9702">
        <v>0</v>
      </c>
      <c r="L9702">
        <v>3217.2</v>
      </c>
    </row>
    <row r="9703" spans="1:12" x14ac:dyDescent="0.25">
      <c r="A9703" t="str">
        <f t="shared" si="2108"/>
        <v>89301000</v>
      </c>
      <c r="B9703" t="str">
        <f t="shared" si="2110"/>
        <v>78915000</v>
      </c>
      <c r="C9703" t="str">
        <f t="shared" si="2111"/>
        <v>78915001</v>
      </c>
      <c r="D9703" t="str">
        <f t="shared" si="2112"/>
        <v>809</v>
      </c>
      <c r="E9703" t="str">
        <f t="shared" si="2114"/>
        <v>89301062</v>
      </c>
      <c r="F9703" t="str">
        <f>"5656060399"</f>
        <v>5656060399</v>
      </c>
      <c r="G9703" s="1">
        <v>44854</v>
      </c>
      <c r="H9703" t="str">
        <f>"89725"</f>
        <v>89725</v>
      </c>
      <c r="I9703">
        <v>1</v>
      </c>
      <c r="J9703">
        <v>2839</v>
      </c>
      <c r="K9703">
        <v>0</v>
      </c>
      <c r="L9703">
        <v>1703.4</v>
      </c>
    </row>
    <row r="9704" spans="1:12" x14ac:dyDescent="0.25">
      <c r="A9704" t="str">
        <f t="shared" si="2108"/>
        <v>89301000</v>
      </c>
      <c r="B9704" t="str">
        <f t="shared" si="2110"/>
        <v>78915000</v>
      </c>
      <c r="C9704" t="str">
        <f t="shared" si="2111"/>
        <v>78915001</v>
      </c>
      <c r="D9704" t="str">
        <f t="shared" si="2112"/>
        <v>809</v>
      </c>
      <c r="E9704" t="str">
        <f>"89301112"</f>
        <v>89301112</v>
      </c>
      <c r="F9704" t="str">
        <f>"5811280090"</f>
        <v>5811280090</v>
      </c>
      <c r="G9704" s="1">
        <v>44847</v>
      </c>
      <c r="H9704" t="str">
        <f>"09569"</f>
        <v>09569</v>
      </c>
      <c r="I9704">
        <v>1</v>
      </c>
      <c r="J9704">
        <v>0</v>
      </c>
      <c r="K9704">
        <v>0</v>
      </c>
      <c r="L9704">
        <v>0</v>
      </c>
    </row>
    <row r="9705" spans="1:12" x14ac:dyDescent="0.25">
      <c r="A9705" t="str">
        <f t="shared" si="2108"/>
        <v>89301000</v>
      </c>
      <c r="B9705" t="str">
        <f t="shared" si="2110"/>
        <v>78915000</v>
      </c>
      <c r="C9705" t="str">
        <f t="shared" si="2111"/>
        <v>78915001</v>
      </c>
      <c r="D9705" t="str">
        <f t="shared" si="2112"/>
        <v>809</v>
      </c>
      <c r="E9705" t="str">
        <f>"89301112"</f>
        <v>89301112</v>
      </c>
      <c r="F9705" t="str">
        <f>"5811280090"</f>
        <v>5811280090</v>
      </c>
      <c r="G9705" s="1">
        <v>44847</v>
      </c>
      <c r="H9705" t="str">
        <f>"89713"</f>
        <v>89713</v>
      </c>
      <c r="I9705">
        <v>1</v>
      </c>
      <c r="J9705">
        <v>5362</v>
      </c>
      <c r="K9705">
        <v>0</v>
      </c>
      <c r="L9705">
        <v>3217.2</v>
      </c>
    </row>
    <row r="9706" spans="1:12" x14ac:dyDescent="0.25">
      <c r="A9706" t="str">
        <f t="shared" si="2108"/>
        <v>89301000</v>
      </c>
      <c r="B9706" t="str">
        <f t="shared" si="2110"/>
        <v>78915000</v>
      </c>
      <c r="C9706" t="str">
        <f t="shared" si="2111"/>
        <v>78915001</v>
      </c>
      <c r="D9706" t="str">
        <f t="shared" si="2112"/>
        <v>809</v>
      </c>
      <c r="E9706" t="str">
        <f>"89301062"</f>
        <v>89301062</v>
      </c>
      <c r="F9706" t="str">
        <f>"5858311712"</f>
        <v>5858311712</v>
      </c>
      <c r="G9706" s="1">
        <v>44839</v>
      </c>
      <c r="H9706" t="str">
        <f>"89713"</f>
        <v>89713</v>
      </c>
      <c r="I9706">
        <v>1</v>
      </c>
      <c r="J9706">
        <v>5362</v>
      </c>
      <c r="K9706">
        <v>0</v>
      </c>
      <c r="L9706">
        <v>3217.2</v>
      </c>
    </row>
    <row r="9707" spans="1:12" x14ac:dyDescent="0.25">
      <c r="A9707" t="str">
        <f t="shared" si="2108"/>
        <v>89301000</v>
      </c>
      <c r="B9707" t="str">
        <f t="shared" si="2110"/>
        <v>78915000</v>
      </c>
      <c r="C9707" t="str">
        <f t="shared" si="2111"/>
        <v>78915001</v>
      </c>
      <c r="D9707" t="str">
        <f t="shared" si="2112"/>
        <v>809</v>
      </c>
      <c r="E9707" t="str">
        <f>"89301062"</f>
        <v>89301062</v>
      </c>
      <c r="F9707" t="str">
        <f>"5858311712"</f>
        <v>5858311712</v>
      </c>
      <c r="G9707" s="1">
        <v>44839</v>
      </c>
      <c r="H9707" t="str">
        <f>"89725"</f>
        <v>89725</v>
      </c>
      <c r="I9707">
        <v>1</v>
      </c>
      <c r="J9707">
        <v>2839</v>
      </c>
      <c r="K9707">
        <v>0</v>
      </c>
      <c r="L9707">
        <v>1703.4</v>
      </c>
    </row>
    <row r="9708" spans="1:12" x14ac:dyDescent="0.25">
      <c r="A9708" t="str">
        <f t="shared" si="2108"/>
        <v>89301000</v>
      </c>
      <c r="B9708" t="str">
        <f t="shared" si="2110"/>
        <v>78915000</v>
      </c>
      <c r="C9708" t="str">
        <f t="shared" si="2111"/>
        <v>78915001</v>
      </c>
      <c r="D9708" t="str">
        <f t="shared" si="2112"/>
        <v>809</v>
      </c>
      <c r="E9708" t="str">
        <f>"89301112"</f>
        <v>89301112</v>
      </c>
      <c r="F9708" t="str">
        <f>"5911180770"</f>
        <v>5911180770</v>
      </c>
      <c r="G9708" s="1">
        <v>44855</v>
      </c>
      <c r="H9708" t="str">
        <f>"09567"</f>
        <v>09567</v>
      </c>
      <c r="I9708">
        <v>1</v>
      </c>
      <c r="J9708">
        <v>0</v>
      </c>
      <c r="K9708">
        <v>0</v>
      </c>
      <c r="L9708">
        <v>0</v>
      </c>
    </row>
    <row r="9709" spans="1:12" x14ac:dyDescent="0.25">
      <c r="A9709" t="str">
        <f t="shared" si="2108"/>
        <v>89301000</v>
      </c>
      <c r="B9709" t="str">
        <f t="shared" si="2110"/>
        <v>78915000</v>
      </c>
      <c r="C9709" t="str">
        <f t="shared" si="2111"/>
        <v>78915001</v>
      </c>
      <c r="D9709" t="str">
        <f t="shared" si="2112"/>
        <v>809</v>
      </c>
      <c r="E9709" t="str">
        <f>"89301112"</f>
        <v>89301112</v>
      </c>
      <c r="F9709" t="str">
        <f>"5911180770"</f>
        <v>5911180770</v>
      </c>
      <c r="G9709" s="1">
        <v>44855</v>
      </c>
      <c r="H9709" t="str">
        <f>"89713"</f>
        <v>89713</v>
      </c>
      <c r="I9709">
        <v>1</v>
      </c>
      <c r="J9709">
        <v>5362</v>
      </c>
      <c r="K9709">
        <v>0</v>
      </c>
      <c r="L9709">
        <v>3217.2</v>
      </c>
    </row>
    <row r="9710" spans="1:12" x14ac:dyDescent="0.25">
      <c r="A9710" t="str">
        <f t="shared" si="2108"/>
        <v>89301000</v>
      </c>
      <c r="B9710" t="str">
        <f t="shared" si="2110"/>
        <v>78915000</v>
      </c>
      <c r="C9710" t="str">
        <f t="shared" si="2111"/>
        <v>78915001</v>
      </c>
      <c r="D9710" t="str">
        <f t="shared" si="2112"/>
        <v>809</v>
      </c>
      <c r="E9710" t="str">
        <f>"89301606"</f>
        <v>89301606</v>
      </c>
      <c r="F9710" t="str">
        <f>"5954161378"</f>
        <v>5954161378</v>
      </c>
      <c r="G9710" s="1">
        <v>44841</v>
      </c>
      <c r="H9710" t="str">
        <f>"89713"</f>
        <v>89713</v>
      </c>
      <c r="I9710">
        <v>1</v>
      </c>
      <c r="J9710">
        <v>5362</v>
      </c>
      <c r="K9710">
        <v>0</v>
      </c>
      <c r="L9710">
        <v>3217.2</v>
      </c>
    </row>
    <row r="9711" spans="1:12" x14ac:dyDescent="0.25">
      <c r="A9711" t="str">
        <f t="shared" si="2108"/>
        <v>89301000</v>
      </c>
      <c r="B9711" t="str">
        <f t="shared" si="2110"/>
        <v>78915000</v>
      </c>
      <c r="C9711" t="str">
        <f t="shared" si="2111"/>
        <v>78915001</v>
      </c>
      <c r="D9711" t="str">
        <f t="shared" si="2112"/>
        <v>809</v>
      </c>
      <c r="E9711" t="str">
        <f>"89301606"</f>
        <v>89301606</v>
      </c>
      <c r="F9711" t="str">
        <f>"5954161378"</f>
        <v>5954161378</v>
      </c>
      <c r="G9711" s="1">
        <v>44841</v>
      </c>
      <c r="H9711" t="str">
        <f>"89725"</f>
        <v>89725</v>
      </c>
      <c r="I9711">
        <v>1</v>
      </c>
      <c r="J9711">
        <v>2839</v>
      </c>
      <c r="K9711">
        <v>0</v>
      </c>
      <c r="L9711">
        <v>1703.4</v>
      </c>
    </row>
    <row r="9712" spans="1:12" x14ac:dyDescent="0.25">
      <c r="A9712" t="str">
        <f t="shared" si="2108"/>
        <v>89301000</v>
      </c>
      <c r="B9712" t="str">
        <f t="shared" si="2110"/>
        <v>78915000</v>
      </c>
      <c r="C9712" t="str">
        <f t="shared" si="2111"/>
        <v>78915001</v>
      </c>
      <c r="D9712" t="str">
        <f t="shared" si="2112"/>
        <v>809</v>
      </c>
      <c r="E9712" t="str">
        <f>"89301045"</f>
        <v>89301045</v>
      </c>
      <c r="F9712" t="str">
        <f>"6062271435"</f>
        <v>6062271435</v>
      </c>
      <c r="G9712" s="1">
        <v>44853</v>
      </c>
      <c r="H9712" t="str">
        <f>"89715"</f>
        <v>89715</v>
      </c>
      <c r="I9712">
        <v>1</v>
      </c>
      <c r="J9712">
        <v>5474</v>
      </c>
      <c r="K9712">
        <v>0</v>
      </c>
      <c r="L9712">
        <v>3284.4</v>
      </c>
    </row>
    <row r="9713" spans="1:12" x14ac:dyDescent="0.25">
      <c r="A9713" t="str">
        <f t="shared" si="2108"/>
        <v>89301000</v>
      </c>
      <c r="B9713" t="str">
        <f t="shared" si="2110"/>
        <v>78915000</v>
      </c>
      <c r="C9713" t="str">
        <f t="shared" si="2111"/>
        <v>78915001</v>
      </c>
      <c r="D9713" t="str">
        <f t="shared" si="2112"/>
        <v>809</v>
      </c>
      <c r="E9713" t="str">
        <f>"89301045"</f>
        <v>89301045</v>
      </c>
      <c r="F9713" t="str">
        <f>"6062271435"</f>
        <v>6062271435</v>
      </c>
      <c r="G9713" s="1">
        <v>44853</v>
      </c>
      <c r="H9713" t="str">
        <f>"89725"</f>
        <v>89725</v>
      </c>
      <c r="I9713">
        <v>1</v>
      </c>
      <c r="J9713">
        <v>2839</v>
      </c>
      <c r="K9713">
        <v>0</v>
      </c>
      <c r="L9713">
        <v>1703.4</v>
      </c>
    </row>
    <row r="9714" spans="1:12" x14ac:dyDescent="0.25">
      <c r="A9714" t="str">
        <f t="shared" si="2108"/>
        <v>89301000</v>
      </c>
      <c r="B9714" t="str">
        <f t="shared" ref="B9714:B9745" si="2115">"78915000"</f>
        <v>78915000</v>
      </c>
      <c r="C9714" t="str">
        <f t="shared" ref="C9714:C9745" si="2116">"78915001"</f>
        <v>78915001</v>
      </c>
      <c r="D9714" t="str">
        <f t="shared" ref="D9714:D9745" si="2117">"809"</f>
        <v>809</v>
      </c>
      <c r="E9714" t="str">
        <f>"89301045"</f>
        <v>89301045</v>
      </c>
      <c r="F9714" t="str">
        <f>"6062271435"</f>
        <v>6062271435</v>
      </c>
      <c r="G9714" s="1">
        <v>44853</v>
      </c>
      <c r="H9714" t="str">
        <f>"0207733"</f>
        <v>0207733</v>
      </c>
      <c r="I9714">
        <v>1</v>
      </c>
      <c r="K9714">
        <v>2590.5300000000002</v>
      </c>
      <c r="L9714">
        <v>2590.5300000000002</v>
      </c>
    </row>
    <row r="9715" spans="1:12" x14ac:dyDescent="0.25">
      <c r="A9715" t="str">
        <f t="shared" si="2108"/>
        <v>89301000</v>
      </c>
      <c r="B9715" t="str">
        <f t="shared" si="2115"/>
        <v>78915000</v>
      </c>
      <c r="C9715" t="str">
        <f t="shared" si="2116"/>
        <v>78915001</v>
      </c>
      <c r="D9715" t="str">
        <f t="shared" si="2117"/>
        <v>809</v>
      </c>
      <c r="E9715" t="str">
        <f>"89301606"</f>
        <v>89301606</v>
      </c>
      <c r="F9715" t="str">
        <f>"6308251081"</f>
        <v>6308251081</v>
      </c>
      <c r="G9715" s="1">
        <v>44841</v>
      </c>
      <c r="H9715" t="str">
        <f>"89713"</f>
        <v>89713</v>
      </c>
      <c r="I9715">
        <v>1</v>
      </c>
      <c r="J9715">
        <v>5362</v>
      </c>
      <c r="K9715">
        <v>0</v>
      </c>
      <c r="L9715">
        <v>3217.2</v>
      </c>
    </row>
    <row r="9716" spans="1:12" x14ac:dyDescent="0.25">
      <c r="A9716" t="str">
        <f t="shared" si="2108"/>
        <v>89301000</v>
      </c>
      <c r="B9716" t="str">
        <f t="shared" si="2115"/>
        <v>78915000</v>
      </c>
      <c r="C9716" t="str">
        <f t="shared" si="2116"/>
        <v>78915001</v>
      </c>
      <c r="D9716" t="str">
        <f t="shared" si="2117"/>
        <v>809</v>
      </c>
      <c r="E9716" t="str">
        <f>"89301606"</f>
        <v>89301606</v>
      </c>
      <c r="F9716" t="str">
        <f>"6308251081"</f>
        <v>6308251081</v>
      </c>
      <c r="G9716" s="1">
        <v>44841</v>
      </c>
      <c r="H9716" t="str">
        <f>"89725"</f>
        <v>89725</v>
      </c>
      <c r="I9716">
        <v>1</v>
      </c>
      <c r="J9716">
        <v>2839</v>
      </c>
      <c r="K9716">
        <v>0</v>
      </c>
      <c r="L9716">
        <v>1703.4</v>
      </c>
    </row>
    <row r="9717" spans="1:12" x14ac:dyDescent="0.25">
      <c r="A9717" t="str">
        <f t="shared" si="2108"/>
        <v>89301000</v>
      </c>
      <c r="B9717" t="str">
        <f t="shared" si="2115"/>
        <v>78915000</v>
      </c>
      <c r="C9717" t="str">
        <f t="shared" si="2116"/>
        <v>78915001</v>
      </c>
      <c r="D9717" t="str">
        <f t="shared" si="2117"/>
        <v>809</v>
      </c>
      <c r="E9717" t="str">
        <f>"89301062"</f>
        <v>89301062</v>
      </c>
      <c r="F9717" t="str">
        <f>"6410040395"</f>
        <v>6410040395</v>
      </c>
      <c r="G9717" s="1">
        <v>44852</v>
      </c>
      <c r="H9717" t="str">
        <f>"89713"</f>
        <v>89713</v>
      </c>
      <c r="I9717">
        <v>1</v>
      </c>
      <c r="J9717">
        <v>5362</v>
      </c>
      <c r="K9717">
        <v>0</v>
      </c>
      <c r="L9717">
        <v>3217.2</v>
      </c>
    </row>
    <row r="9718" spans="1:12" x14ac:dyDescent="0.25">
      <c r="A9718" t="str">
        <f t="shared" si="2108"/>
        <v>89301000</v>
      </c>
      <c r="B9718" t="str">
        <f t="shared" si="2115"/>
        <v>78915000</v>
      </c>
      <c r="C9718" t="str">
        <f t="shared" si="2116"/>
        <v>78915001</v>
      </c>
      <c r="D9718" t="str">
        <f t="shared" si="2117"/>
        <v>809</v>
      </c>
      <c r="E9718" t="str">
        <f>"89301062"</f>
        <v>89301062</v>
      </c>
      <c r="F9718" t="str">
        <f>"6410040395"</f>
        <v>6410040395</v>
      </c>
      <c r="G9718" s="1">
        <v>44852</v>
      </c>
      <c r="H9718" t="str">
        <f>"89725"</f>
        <v>89725</v>
      </c>
      <c r="I9718">
        <v>1</v>
      </c>
      <c r="J9718">
        <v>2839</v>
      </c>
      <c r="K9718">
        <v>0</v>
      </c>
      <c r="L9718">
        <v>1703.4</v>
      </c>
    </row>
    <row r="9719" spans="1:12" x14ac:dyDescent="0.25">
      <c r="A9719" t="str">
        <f t="shared" si="2108"/>
        <v>89301000</v>
      </c>
      <c r="B9719" t="str">
        <f t="shared" si="2115"/>
        <v>78915000</v>
      </c>
      <c r="C9719" t="str">
        <f t="shared" si="2116"/>
        <v>78915001</v>
      </c>
      <c r="D9719" t="str">
        <f t="shared" si="2117"/>
        <v>809</v>
      </c>
      <c r="E9719" t="str">
        <f>"89301045"</f>
        <v>89301045</v>
      </c>
      <c r="F9719" t="str">
        <f>"6560291573"</f>
        <v>6560291573</v>
      </c>
      <c r="G9719" s="1">
        <v>44835</v>
      </c>
      <c r="H9719" t="str">
        <f>"89715"</f>
        <v>89715</v>
      </c>
      <c r="I9719">
        <v>1</v>
      </c>
      <c r="J9719">
        <v>5474</v>
      </c>
      <c r="K9719">
        <v>0</v>
      </c>
      <c r="L9719">
        <v>3284.4</v>
      </c>
    </row>
    <row r="9720" spans="1:12" x14ac:dyDescent="0.25">
      <c r="A9720" t="str">
        <f t="shared" si="2108"/>
        <v>89301000</v>
      </c>
      <c r="B9720" t="str">
        <f t="shared" si="2115"/>
        <v>78915000</v>
      </c>
      <c r="C9720" t="str">
        <f t="shared" si="2116"/>
        <v>78915001</v>
      </c>
      <c r="D9720" t="str">
        <f t="shared" si="2117"/>
        <v>809</v>
      </c>
      <c r="E9720" t="str">
        <f>"89301045"</f>
        <v>89301045</v>
      </c>
      <c r="F9720" t="str">
        <f>"6560291573"</f>
        <v>6560291573</v>
      </c>
      <c r="G9720" s="1">
        <v>44835</v>
      </c>
      <c r="H9720" t="str">
        <f>"89725"</f>
        <v>89725</v>
      </c>
      <c r="I9720">
        <v>1</v>
      </c>
      <c r="J9720">
        <v>2839</v>
      </c>
      <c r="K9720">
        <v>0</v>
      </c>
      <c r="L9720">
        <v>1703.4</v>
      </c>
    </row>
    <row r="9721" spans="1:12" x14ac:dyDescent="0.25">
      <c r="A9721" t="str">
        <f t="shared" si="2108"/>
        <v>89301000</v>
      </c>
      <c r="B9721" t="str">
        <f t="shared" si="2115"/>
        <v>78915000</v>
      </c>
      <c r="C9721" t="str">
        <f t="shared" si="2116"/>
        <v>78915001</v>
      </c>
      <c r="D9721" t="str">
        <f t="shared" si="2117"/>
        <v>809</v>
      </c>
      <c r="E9721" t="str">
        <f>"89301045"</f>
        <v>89301045</v>
      </c>
      <c r="F9721" t="str">
        <f>"6560291573"</f>
        <v>6560291573</v>
      </c>
      <c r="G9721" s="1">
        <v>44835</v>
      </c>
      <c r="H9721" t="str">
        <f>"0207733"</f>
        <v>0207733</v>
      </c>
      <c r="I9721">
        <v>1</v>
      </c>
      <c r="K9721">
        <v>2590.5300000000002</v>
      </c>
      <c r="L9721">
        <v>2590.5300000000002</v>
      </c>
    </row>
    <row r="9722" spans="1:12" x14ac:dyDescent="0.25">
      <c r="A9722" t="str">
        <f t="shared" si="2108"/>
        <v>89301000</v>
      </c>
      <c r="B9722" t="str">
        <f t="shared" si="2115"/>
        <v>78915000</v>
      </c>
      <c r="C9722" t="str">
        <f t="shared" si="2116"/>
        <v>78915001</v>
      </c>
      <c r="D9722" t="str">
        <f t="shared" si="2117"/>
        <v>809</v>
      </c>
      <c r="E9722" t="str">
        <f>"89301172"</f>
        <v>89301172</v>
      </c>
      <c r="F9722" t="str">
        <f>"6655270303"</f>
        <v>6655270303</v>
      </c>
      <c r="G9722" s="1">
        <v>44846</v>
      </c>
      <c r="H9722" t="str">
        <f>"89713"</f>
        <v>89713</v>
      </c>
      <c r="I9722">
        <v>2</v>
      </c>
      <c r="J9722">
        <v>10724</v>
      </c>
      <c r="K9722">
        <v>0</v>
      </c>
      <c r="L9722">
        <v>6434.4</v>
      </c>
    </row>
    <row r="9723" spans="1:12" x14ac:dyDescent="0.25">
      <c r="A9723" t="str">
        <f t="shared" si="2108"/>
        <v>89301000</v>
      </c>
      <c r="B9723" t="str">
        <f t="shared" si="2115"/>
        <v>78915000</v>
      </c>
      <c r="C9723" t="str">
        <f t="shared" si="2116"/>
        <v>78915001</v>
      </c>
      <c r="D9723" t="str">
        <f t="shared" si="2117"/>
        <v>809</v>
      </c>
      <c r="E9723" t="str">
        <f>"89301172"</f>
        <v>89301172</v>
      </c>
      <c r="F9723" t="str">
        <f>"6655270303"</f>
        <v>6655270303</v>
      </c>
      <c r="G9723" s="1">
        <v>44846</v>
      </c>
      <c r="H9723" t="str">
        <f>"89725"</f>
        <v>89725</v>
      </c>
      <c r="I9723">
        <v>1</v>
      </c>
      <c r="J9723">
        <v>2839</v>
      </c>
      <c r="K9723">
        <v>0</v>
      </c>
      <c r="L9723">
        <v>1703.4</v>
      </c>
    </row>
    <row r="9724" spans="1:12" x14ac:dyDescent="0.25">
      <c r="A9724" t="str">
        <f t="shared" si="2108"/>
        <v>89301000</v>
      </c>
      <c r="B9724" t="str">
        <f t="shared" si="2115"/>
        <v>78915000</v>
      </c>
      <c r="C9724" t="str">
        <f t="shared" si="2116"/>
        <v>78915001</v>
      </c>
      <c r="D9724" t="str">
        <f t="shared" si="2117"/>
        <v>809</v>
      </c>
      <c r="E9724" t="str">
        <f>"89301045"</f>
        <v>89301045</v>
      </c>
      <c r="F9724" t="str">
        <f>"6757081881"</f>
        <v>6757081881</v>
      </c>
      <c r="G9724" s="1">
        <v>44846</v>
      </c>
      <c r="H9724" t="str">
        <f>"89715"</f>
        <v>89715</v>
      </c>
      <c r="I9724">
        <v>1</v>
      </c>
      <c r="J9724">
        <v>5474</v>
      </c>
      <c r="K9724">
        <v>0</v>
      </c>
      <c r="L9724">
        <v>3284.4</v>
      </c>
    </row>
    <row r="9725" spans="1:12" x14ac:dyDescent="0.25">
      <c r="A9725" t="str">
        <f t="shared" si="2108"/>
        <v>89301000</v>
      </c>
      <c r="B9725" t="str">
        <f t="shared" si="2115"/>
        <v>78915000</v>
      </c>
      <c r="C9725" t="str">
        <f t="shared" si="2116"/>
        <v>78915001</v>
      </c>
      <c r="D9725" t="str">
        <f t="shared" si="2117"/>
        <v>809</v>
      </c>
      <c r="E9725" t="str">
        <f>"89301045"</f>
        <v>89301045</v>
      </c>
      <c r="F9725" t="str">
        <f>"6757081881"</f>
        <v>6757081881</v>
      </c>
      <c r="G9725" s="1">
        <v>44846</v>
      </c>
      <c r="H9725" t="str">
        <f>"89725"</f>
        <v>89725</v>
      </c>
      <c r="I9725">
        <v>1</v>
      </c>
      <c r="J9725">
        <v>2839</v>
      </c>
      <c r="K9725">
        <v>0</v>
      </c>
      <c r="L9725">
        <v>1703.4</v>
      </c>
    </row>
    <row r="9726" spans="1:12" x14ac:dyDescent="0.25">
      <c r="A9726" t="str">
        <f t="shared" si="2108"/>
        <v>89301000</v>
      </c>
      <c r="B9726" t="str">
        <f t="shared" si="2115"/>
        <v>78915000</v>
      </c>
      <c r="C9726" t="str">
        <f t="shared" si="2116"/>
        <v>78915001</v>
      </c>
      <c r="D9726" t="str">
        <f t="shared" si="2117"/>
        <v>809</v>
      </c>
      <c r="E9726" t="str">
        <f>"89301045"</f>
        <v>89301045</v>
      </c>
      <c r="F9726" t="str">
        <f>"6757081881"</f>
        <v>6757081881</v>
      </c>
      <c r="G9726" s="1">
        <v>44846</v>
      </c>
      <c r="H9726" t="str">
        <f>"0207733"</f>
        <v>0207733</v>
      </c>
      <c r="I9726">
        <v>1</v>
      </c>
      <c r="K9726">
        <v>2590.5300000000002</v>
      </c>
      <c r="L9726">
        <v>2590.5300000000002</v>
      </c>
    </row>
    <row r="9727" spans="1:12" x14ac:dyDescent="0.25">
      <c r="A9727" t="str">
        <f t="shared" si="2108"/>
        <v>89301000</v>
      </c>
      <c r="B9727" t="str">
        <f t="shared" si="2115"/>
        <v>78915000</v>
      </c>
      <c r="C9727" t="str">
        <f t="shared" si="2116"/>
        <v>78915001</v>
      </c>
      <c r="D9727" t="str">
        <f t="shared" si="2117"/>
        <v>809</v>
      </c>
      <c r="E9727" t="str">
        <f>"89301606"</f>
        <v>89301606</v>
      </c>
      <c r="F9727" t="str">
        <f>"7054025352"</f>
        <v>7054025352</v>
      </c>
      <c r="G9727" s="1">
        <v>44844</v>
      </c>
      <c r="H9727" t="str">
        <f>"89713"</f>
        <v>89713</v>
      </c>
      <c r="I9727">
        <v>1</v>
      </c>
      <c r="J9727">
        <v>5362</v>
      </c>
      <c r="K9727">
        <v>0</v>
      </c>
      <c r="L9727">
        <v>3217.2</v>
      </c>
    </row>
    <row r="9728" spans="1:12" x14ac:dyDescent="0.25">
      <c r="A9728" t="str">
        <f t="shared" si="2108"/>
        <v>89301000</v>
      </c>
      <c r="B9728" t="str">
        <f t="shared" si="2115"/>
        <v>78915000</v>
      </c>
      <c r="C9728" t="str">
        <f t="shared" si="2116"/>
        <v>78915001</v>
      </c>
      <c r="D9728" t="str">
        <f t="shared" si="2117"/>
        <v>809</v>
      </c>
      <c r="E9728" t="str">
        <f>"89301606"</f>
        <v>89301606</v>
      </c>
      <c r="F9728" t="str">
        <f>"7054025352"</f>
        <v>7054025352</v>
      </c>
      <c r="G9728" s="1">
        <v>44844</v>
      </c>
      <c r="H9728" t="str">
        <f>"89723"</f>
        <v>89723</v>
      </c>
      <c r="I9728">
        <v>1</v>
      </c>
      <c r="J9728">
        <v>5880</v>
      </c>
      <c r="K9728">
        <v>0</v>
      </c>
      <c r="L9728">
        <v>3528</v>
      </c>
    </row>
    <row r="9729" spans="1:12" x14ac:dyDescent="0.25">
      <c r="A9729" t="str">
        <f t="shared" si="2108"/>
        <v>89301000</v>
      </c>
      <c r="B9729" t="str">
        <f t="shared" si="2115"/>
        <v>78915000</v>
      </c>
      <c r="C9729" t="str">
        <f t="shared" si="2116"/>
        <v>78915001</v>
      </c>
      <c r="D9729" t="str">
        <f t="shared" si="2117"/>
        <v>809</v>
      </c>
      <c r="E9729" t="str">
        <f>"89301606"</f>
        <v>89301606</v>
      </c>
      <c r="F9729" t="str">
        <f>"7054025352"</f>
        <v>7054025352</v>
      </c>
      <c r="G9729" s="1">
        <v>44844</v>
      </c>
      <c r="H9729" t="str">
        <f>"89725"</f>
        <v>89725</v>
      </c>
      <c r="I9729">
        <v>1</v>
      </c>
      <c r="J9729">
        <v>2839</v>
      </c>
      <c r="K9729">
        <v>0</v>
      </c>
      <c r="L9729">
        <v>1703.4</v>
      </c>
    </row>
    <row r="9730" spans="1:12" x14ac:dyDescent="0.25">
      <c r="A9730" t="str">
        <f t="shared" ref="A9730:A9793" si="2118">"89301000"</f>
        <v>89301000</v>
      </c>
      <c r="B9730" t="str">
        <f t="shared" si="2115"/>
        <v>78915000</v>
      </c>
      <c r="C9730" t="str">
        <f t="shared" si="2116"/>
        <v>78915001</v>
      </c>
      <c r="D9730" t="str">
        <f t="shared" si="2117"/>
        <v>809</v>
      </c>
      <c r="E9730" t="str">
        <f>"89301112"</f>
        <v>89301112</v>
      </c>
      <c r="F9730" t="str">
        <f>"7157215340"</f>
        <v>7157215340</v>
      </c>
      <c r="G9730" s="1">
        <v>44837</v>
      </c>
      <c r="H9730" t="str">
        <f>"09569"</f>
        <v>09569</v>
      </c>
      <c r="I9730">
        <v>1</v>
      </c>
      <c r="J9730">
        <v>0</v>
      </c>
      <c r="K9730">
        <v>0</v>
      </c>
      <c r="L9730">
        <v>0</v>
      </c>
    </row>
    <row r="9731" spans="1:12" x14ac:dyDescent="0.25">
      <c r="A9731" t="str">
        <f t="shared" si="2118"/>
        <v>89301000</v>
      </c>
      <c r="B9731" t="str">
        <f t="shared" si="2115"/>
        <v>78915000</v>
      </c>
      <c r="C9731" t="str">
        <f t="shared" si="2116"/>
        <v>78915001</v>
      </c>
      <c r="D9731" t="str">
        <f t="shared" si="2117"/>
        <v>809</v>
      </c>
      <c r="E9731" t="str">
        <f>"89301112"</f>
        <v>89301112</v>
      </c>
      <c r="F9731" t="str">
        <f>"7157215340"</f>
        <v>7157215340</v>
      </c>
      <c r="G9731" s="1">
        <v>44837</v>
      </c>
      <c r="H9731" t="str">
        <f>"89713"</f>
        <v>89713</v>
      </c>
      <c r="I9731">
        <v>1</v>
      </c>
      <c r="J9731">
        <v>5362</v>
      </c>
      <c r="K9731">
        <v>0</v>
      </c>
      <c r="L9731">
        <v>3217.2</v>
      </c>
    </row>
    <row r="9732" spans="1:12" x14ac:dyDescent="0.25">
      <c r="A9732" t="str">
        <f t="shared" si="2118"/>
        <v>89301000</v>
      </c>
      <c r="B9732" t="str">
        <f t="shared" si="2115"/>
        <v>78915000</v>
      </c>
      <c r="C9732" t="str">
        <f t="shared" si="2116"/>
        <v>78915001</v>
      </c>
      <c r="D9732" t="str">
        <f t="shared" si="2117"/>
        <v>809</v>
      </c>
      <c r="E9732" t="str">
        <f>"89301062"</f>
        <v>89301062</v>
      </c>
      <c r="F9732" t="str">
        <f>"7161075394"</f>
        <v>7161075394</v>
      </c>
      <c r="G9732" s="1">
        <v>44861</v>
      </c>
      <c r="H9732" t="str">
        <f>"89713"</f>
        <v>89713</v>
      </c>
      <c r="I9732">
        <v>1</v>
      </c>
      <c r="J9732">
        <v>5362</v>
      </c>
      <c r="K9732">
        <v>0</v>
      </c>
      <c r="L9732">
        <v>3217.2</v>
      </c>
    </row>
    <row r="9733" spans="1:12" x14ac:dyDescent="0.25">
      <c r="A9733" t="str">
        <f t="shared" si="2118"/>
        <v>89301000</v>
      </c>
      <c r="B9733" t="str">
        <f t="shared" si="2115"/>
        <v>78915000</v>
      </c>
      <c r="C9733" t="str">
        <f t="shared" si="2116"/>
        <v>78915001</v>
      </c>
      <c r="D9733" t="str">
        <f t="shared" si="2117"/>
        <v>809</v>
      </c>
      <c r="E9733" t="str">
        <f>"89301062"</f>
        <v>89301062</v>
      </c>
      <c r="F9733" t="str">
        <f>"7161075394"</f>
        <v>7161075394</v>
      </c>
      <c r="G9733" s="1">
        <v>44861</v>
      </c>
      <c r="H9733" t="str">
        <f>"89725"</f>
        <v>89725</v>
      </c>
      <c r="I9733">
        <v>1</v>
      </c>
      <c r="J9733">
        <v>2839</v>
      </c>
      <c r="K9733">
        <v>0</v>
      </c>
      <c r="L9733">
        <v>1703.4</v>
      </c>
    </row>
    <row r="9734" spans="1:12" x14ac:dyDescent="0.25">
      <c r="A9734" t="str">
        <f t="shared" si="2118"/>
        <v>89301000</v>
      </c>
      <c r="B9734" t="str">
        <f t="shared" si="2115"/>
        <v>78915000</v>
      </c>
      <c r="C9734" t="str">
        <f t="shared" si="2116"/>
        <v>78915001</v>
      </c>
      <c r="D9734" t="str">
        <f t="shared" si="2117"/>
        <v>809</v>
      </c>
      <c r="E9734" t="str">
        <f>"89301062"</f>
        <v>89301062</v>
      </c>
      <c r="F9734" t="str">
        <f>"7256265324"</f>
        <v>7256265324</v>
      </c>
      <c r="G9734" s="1">
        <v>44844</v>
      </c>
      <c r="H9734" t="str">
        <f>"89713"</f>
        <v>89713</v>
      </c>
      <c r="I9734">
        <v>1</v>
      </c>
      <c r="J9734">
        <v>5362</v>
      </c>
      <c r="K9734">
        <v>0</v>
      </c>
      <c r="L9734">
        <v>3217.2</v>
      </c>
    </row>
    <row r="9735" spans="1:12" x14ac:dyDescent="0.25">
      <c r="A9735" t="str">
        <f t="shared" si="2118"/>
        <v>89301000</v>
      </c>
      <c r="B9735" t="str">
        <f t="shared" si="2115"/>
        <v>78915000</v>
      </c>
      <c r="C9735" t="str">
        <f t="shared" si="2116"/>
        <v>78915001</v>
      </c>
      <c r="D9735" t="str">
        <f t="shared" si="2117"/>
        <v>809</v>
      </c>
      <c r="E9735" t="str">
        <f>"89301062"</f>
        <v>89301062</v>
      </c>
      <c r="F9735" t="str">
        <f>"7256265324"</f>
        <v>7256265324</v>
      </c>
      <c r="G9735" s="1">
        <v>44844</v>
      </c>
      <c r="H9735" t="str">
        <f>"89725"</f>
        <v>89725</v>
      </c>
      <c r="I9735">
        <v>1</v>
      </c>
      <c r="J9735">
        <v>2839</v>
      </c>
      <c r="K9735">
        <v>0</v>
      </c>
      <c r="L9735">
        <v>1703.4</v>
      </c>
    </row>
    <row r="9736" spans="1:12" x14ac:dyDescent="0.25">
      <c r="A9736" t="str">
        <f t="shared" si="2118"/>
        <v>89301000</v>
      </c>
      <c r="B9736" t="str">
        <f t="shared" si="2115"/>
        <v>78915000</v>
      </c>
      <c r="C9736" t="str">
        <f t="shared" si="2116"/>
        <v>78915001</v>
      </c>
      <c r="D9736" t="str">
        <f t="shared" si="2117"/>
        <v>809</v>
      </c>
      <c r="E9736" t="str">
        <f>"89301312"</f>
        <v>89301312</v>
      </c>
      <c r="F9736" t="str">
        <f>"7403215754"</f>
        <v>7403215754</v>
      </c>
      <c r="G9736" s="1">
        <v>44839</v>
      </c>
      <c r="H9736" t="str">
        <f>"09569"</f>
        <v>09569</v>
      </c>
      <c r="I9736">
        <v>1</v>
      </c>
      <c r="J9736">
        <v>0</v>
      </c>
      <c r="K9736">
        <v>0</v>
      </c>
      <c r="L9736">
        <v>0</v>
      </c>
    </row>
    <row r="9737" spans="1:12" x14ac:dyDescent="0.25">
      <c r="A9737" t="str">
        <f t="shared" si="2118"/>
        <v>89301000</v>
      </c>
      <c r="B9737" t="str">
        <f t="shared" si="2115"/>
        <v>78915000</v>
      </c>
      <c r="C9737" t="str">
        <f t="shared" si="2116"/>
        <v>78915001</v>
      </c>
      <c r="D9737" t="str">
        <f t="shared" si="2117"/>
        <v>809</v>
      </c>
      <c r="E9737" t="str">
        <f>"89301312"</f>
        <v>89301312</v>
      </c>
      <c r="F9737" t="str">
        <f>"7403215754"</f>
        <v>7403215754</v>
      </c>
      <c r="G9737" s="1">
        <v>44839</v>
      </c>
      <c r="H9737" t="str">
        <f>"89713"</f>
        <v>89713</v>
      </c>
      <c r="I9737">
        <v>1</v>
      </c>
      <c r="J9737">
        <v>5362</v>
      </c>
      <c r="K9737">
        <v>0</v>
      </c>
      <c r="L9737">
        <v>3217.2</v>
      </c>
    </row>
    <row r="9738" spans="1:12" x14ac:dyDescent="0.25">
      <c r="A9738" t="str">
        <f t="shared" si="2118"/>
        <v>89301000</v>
      </c>
      <c r="B9738" t="str">
        <f t="shared" si="2115"/>
        <v>78915000</v>
      </c>
      <c r="C9738" t="str">
        <f t="shared" si="2116"/>
        <v>78915001</v>
      </c>
      <c r="D9738" t="str">
        <f t="shared" si="2117"/>
        <v>809</v>
      </c>
      <c r="E9738" t="str">
        <f>"89301045"</f>
        <v>89301045</v>
      </c>
      <c r="F9738" t="str">
        <f>"7454275312"</f>
        <v>7454275312</v>
      </c>
      <c r="G9738" s="1">
        <v>44846</v>
      </c>
      <c r="H9738" t="str">
        <f>"89715"</f>
        <v>89715</v>
      </c>
      <c r="I9738">
        <v>1</v>
      </c>
      <c r="J9738">
        <v>5474</v>
      </c>
      <c r="K9738">
        <v>0</v>
      </c>
      <c r="L9738">
        <v>3284.4</v>
      </c>
    </row>
    <row r="9739" spans="1:12" x14ac:dyDescent="0.25">
      <c r="A9739" t="str">
        <f t="shared" si="2118"/>
        <v>89301000</v>
      </c>
      <c r="B9739" t="str">
        <f t="shared" si="2115"/>
        <v>78915000</v>
      </c>
      <c r="C9739" t="str">
        <f t="shared" si="2116"/>
        <v>78915001</v>
      </c>
      <c r="D9739" t="str">
        <f t="shared" si="2117"/>
        <v>809</v>
      </c>
      <c r="E9739" t="str">
        <f>"89301045"</f>
        <v>89301045</v>
      </c>
      <c r="F9739" t="str">
        <f>"7454275312"</f>
        <v>7454275312</v>
      </c>
      <c r="G9739" s="1">
        <v>44846</v>
      </c>
      <c r="H9739" t="str">
        <f>"89725"</f>
        <v>89725</v>
      </c>
      <c r="I9739">
        <v>1</v>
      </c>
      <c r="J9739">
        <v>2839</v>
      </c>
      <c r="K9739">
        <v>0</v>
      </c>
      <c r="L9739">
        <v>1703.4</v>
      </c>
    </row>
    <row r="9740" spans="1:12" x14ac:dyDescent="0.25">
      <c r="A9740" t="str">
        <f t="shared" si="2118"/>
        <v>89301000</v>
      </c>
      <c r="B9740" t="str">
        <f t="shared" si="2115"/>
        <v>78915000</v>
      </c>
      <c r="C9740" t="str">
        <f t="shared" si="2116"/>
        <v>78915001</v>
      </c>
      <c r="D9740" t="str">
        <f t="shared" si="2117"/>
        <v>809</v>
      </c>
      <c r="E9740" t="str">
        <f>"89301045"</f>
        <v>89301045</v>
      </c>
      <c r="F9740" t="str">
        <f>"7454275312"</f>
        <v>7454275312</v>
      </c>
      <c r="G9740" s="1">
        <v>44846</v>
      </c>
      <c r="H9740" t="str">
        <f>"0207733"</f>
        <v>0207733</v>
      </c>
      <c r="I9740">
        <v>1</v>
      </c>
      <c r="K9740">
        <v>2590.5300000000002</v>
      </c>
      <c r="L9740">
        <v>2590.5300000000002</v>
      </c>
    </row>
    <row r="9741" spans="1:12" x14ac:dyDescent="0.25">
      <c r="A9741" t="str">
        <f t="shared" si="2118"/>
        <v>89301000</v>
      </c>
      <c r="B9741" t="str">
        <f t="shared" si="2115"/>
        <v>78915000</v>
      </c>
      <c r="C9741" t="str">
        <f t="shared" si="2116"/>
        <v>78915001</v>
      </c>
      <c r="D9741" t="str">
        <f t="shared" si="2117"/>
        <v>809</v>
      </c>
      <c r="E9741" t="str">
        <f>"89301212"</f>
        <v>89301212</v>
      </c>
      <c r="F9741" t="str">
        <f>"7456205339"</f>
        <v>7456205339</v>
      </c>
      <c r="G9741" s="1">
        <v>44860</v>
      </c>
      <c r="H9741" t="str">
        <f>"89715"</f>
        <v>89715</v>
      </c>
      <c r="I9741">
        <v>1</v>
      </c>
      <c r="J9741">
        <v>5474</v>
      </c>
      <c r="K9741">
        <v>0</v>
      </c>
      <c r="L9741">
        <v>3284.4</v>
      </c>
    </row>
    <row r="9742" spans="1:12" x14ac:dyDescent="0.25">
      <c r="A9742" t="str">
        <f t="shared" si="2118"/>
        <v>89301000</v>
      </c>
      <c r="B9742" t="str">
        <f t="shared" si="2115"/>
        <v>78915000</v>
      </c>
      <c r="C9742" t="str">
        <f t="shared" si="2116"/>
        <v>78915001</v>
      </c>
      <c r="D9742" t="str">
        <f t="shared" si="2117"/>
        <v>809</v>
      </c>
      <c r="E9742" t="str">
        <f>"89301212"</f>
        <v>89301212</v>
      </c>
      <c r="F9742" t="str">
        <f>"7456205339"</f>
        <v>7456205339</v>
      </c>
      <c r="G9742" s="1">
        <v>44860</v>
      </c>
      <c r="H9742" t="str">
        <f>"89725"</f>
        <v>89725</v>
      </c>
      <c r="I9742">
        <v>1</v>
      </c>
      <c r="J9742">
        <v>2839</v>
      </c>
      <c r="K9742">
        <v>0</v>
      </c>
      <c r="L9742">
        <v>1703.4</v>
      </c>
    </row>
    <row r="9743" spans="1:12" x14ac:dyDescent="0.25">
      <c r="A9743" t="str">
        <f t="shared" si="2118"/>
        <v>89301000</v>
      </c>
      <c r="B9743" t="str">
        <f t="shared" si="2115"/>
        <v>78915000</v>
      </c>
      <c r="C9743" t="str">
        <f t="shared" si="2116"/>
        <v>78915001</v>
      </c>
      <c r="D9743" t="str">
        <f t="shared" si="2117"/>
        <v>809</v>
      </c>
      <c r="E9743" t="str">
        <f>"89301212"</f>
        <v>89301212</v>
      </c>
      <c r="F9743" t="str">
        <f>"7456205339"</f>
        <v>7456205339</v>
      </c>
      <c r="G9743" s="1">
        <v>44860</v>
      </c>
      <c r="H9743" t="str">
        <f>"0207733"</f>
        <v>0207733</v>
      </c>
      <c r="I9743">
        <v>1</v>
      </c>
      <c r="K9743">
        <v>2590.5300000000002</v>
      </c>
      <c r="L9743">
        <v>2590.5300000000002</v>
      </c>
    </row>
    <row r="9744" spans="1:12" x14ac:dyDescent="0.25">
      <c r="A9744" t="str">
        <f t="shared" si="2118"/>
        <v>89301000</v>
      </c>
      <c r="B9744" t="str">
        <f t="shared" si="2115"/>
        <v>78915000</v>
      </c>
      <c r="C9744" t="str">
        <f t="shared" si="2116"/>
        <v>78915001</v>
      </c>
      <c r="D9744" t="str">
        <f t="shared" si="2117"/>
        <v>809</v>
      </c>
      <c r="E9744" t="str">
        <f>"89301062"</f>
        <v>89301062</v>
      </c>
      <c r="F9744" t="str">
        <f>"7701045319"</f>
        <v>7701045319</v>
      </c>
      <c r="G9744" s="1">
        <v>44856</v>
      </c>
      <c r="H9744" t="str">
        <f>"89713"</f>
        <v>89713</v>
      </c>
      <c r="I9744">
        <v>1</v>
      </c>
      <c r="J9744">
        <v>5362</v>
      </c>
      <c r="K9744">
        <v>0</v>
      </c>
      <c r="L9744">
        <v>3217.2</v>
      </c>
    </row>
    <row r="9745" spans="1:12" x14ac:dyDescent="0.25">
      <c r="A9745" t="str">
        <f t="shared" si="2118"/>
        <v>89301000</v>
      </c>
      <c r="B9745" t="str">
        <f t="shared" si="2115"/>
        <v>78915000</v>
      </c>
      <c r="C9745" t="str">
        <f t="shared" si="2116"/>
        <v>78915001</v>
      </c>
      <c r="D9745" t="str">
        <f t="shared" si="2117"/>
        <v>809</v>
      </c>
      <c r="E9745" t="str">
        <f>"89301062"</f>
        <v>89301062</v>
      </c>
      <c r="F9745" t="str">
        <f>"7701045319"</f>
        <v>7701045319</v>
      </c>
      <c r="G9745" s="1">
        <v>44856</v>
      </c>
      <c r="H9745" t="str">
        <f>"89725"</f>
        <v>89725</v>
      </c>
      <c r="I9745">
        <v>1</v>
      </c>
      <c r="J9745">
        <v>2839</v>
      </c>
      <c r="K9745">
        <v>0</v>
      </c>
      <c r="L9745">
        <v>1703.4</v>
      </c>
    </row>
    <row r="9746" spans="1:12" x14ac:dyDescent="0.25">
      <c r="A9746" t="str">
        <f t="shared" si="2118"/>
        <v>89301000</v>
      </c>
      <c r="B9746" t="str">
        <f t="shared" ref="B9746:B9776" si="2119">"78915000"</f>
        <v>78915000</v>
      </c>
      <c r="C9746" t="str">
        <f t="shared" ref="C9746:C9776" si="2120">"78915001"</f>
        <v>78915001</v>
      </c>
      <c r="D9746" t="str">
        <f t="shared" ref="D9746:D9777" si="2121">"809"</f>
        <v>809</v>
      </c>
      <c r="E9746" t="str">
        <f>"89301062"</f>
        <v>89301062</v>
      </c>
      <c r="F9746" t="str">
        <f>"7701045319"</f>
        <v>7701045319</v>
      </c>
      <c r="G9746" s="1">
        <v>44856</v>
      </c>
      <c r="H9746" t="str">
        <f>"0207733"</f>
        <v>0207733</v>
      </c>
      <c r="I9746">
        <v>1.1299999999999999</v>
      </c>
      <c r="K9746">
        <v>2927.3</v>
      </c>
      <c r="L9746">
        <v>2927.3</v>
      </c>
    </row>
    <row r="9747" spans="1:12" x14ac:dyDescent="0.25">
      <c r="A9747" t="str">
        <f t="shared" si="2118"/>
        <v>89301000</v>
      </c>
      <c r="B9747" t="str">
        <f t="shared" si="2119"/>
        <v>78915000</v>
      </c>
      <c r="C9747" t="str">
        <f t="shared" si="2120"/>
        <v>78915001</v>
      </c>
      <c r="D9747" t="str">
        <f t="shared" si="2121"/>
        <v>809</v>
      </c>
      <c r="E9747" t="str">
        <f>"89301045"</f>
        <v>89301045</v>
      </c>
      <c r="F9747" t="str">
        <f>"7856075381"</f>
        <v>7856075381</v>
      </c>
      <c r="G9747" s="1">
        <v>44846</v>
      </c>
      <c r="H9747" t="str">
        <f>"89715"</f>
        <v>89715</v>
      </c>
      <c r="I9747">
        <v>1</v>
      </c>
      <c r="J9747">
        <v>5474</v>
      </c>
      <c r="K9747">
        <v>0</v>
      </c>
      <c r="L9747">
        <v>3284.4</v>
      </c>
    </row>
    <row r="9748" spans="1:12" x14ac:dyDescent="0.25">
      <c r="A9748" t="str">
        <f t="shared" si="2118"/>
        <v>89301000</v>
      </c>
      <c r="B9748" t="str">
        <f t="shared" si="2119"/>
        <v>78915000</v>
      </c>
      <c r="C9748" t="str">
        <f t="shared" si="2120"/>
        <v>78915001</v>
      </c>
      <c r="D9748" t="str">
        <f t="shared" si="2121"/>
        <v>809</v>
      </c>
      <c r="E9748" t="str">
        <f>"89301045"</f>
        <v>89301045</v>
      </c>
      <c r="F9748" t="str">
        <f>"7856075381"</f>
        <v>7856075381</v>
      </c>
      <c r="G9748" s="1">
        <v>44846</v>
      </c>
      <c r="H9748" t="str">
        <f>"89725"</f>
        <v>89725</v>
      </c>
      <c r="I9748">
        <v>1</v>
      </c>
      <c r="J9748">
        <v>2839</v>
      </c>
      <c r="K9748">
        <v>0</v>
      </c>
      <c r="L9748">
        <v>1703.4</v>
      </c>
    </row>
    <row r="9749" spans="1:12" x14ac:dyDescent="0.25">
      <c r="A9749" t="str">
        <f t="shared" si="2118"/>
        <v>89301000</v>
      </c>
      <c r="B9749" t="str">
        <f t="shared" si="2119"/>
        <v>78915000</v>
      </c>
      <c r="C9749" t="str">
        <f t="shared" si="2120"/>
        <v>78915001</v>
      </c>
      <c r="D9749" t="str">
        <f t="shared" si="2121"/>
        <v>809</v>
      </c>
      <c r="E9749" t="str">
        <f>"89301045"</f>
        <v>89301045</v>
      </c>
      <c r="F9749" t="str">
        <f>"7856075381"</f>
        <v>7856075381</v>
      </c>
      <c r="G9749" s="1">
        <v>44846</v>
      </c>
      <c r="H9749" t="str">
        <f>"0207733"</f>
        <v>0207733</v>
      </c>
      <c r="I9749">
        <v>1</v>
      </c>
      <c r="K9749">
        <v>2590.5300000000002</v>
      </c>
      <c r="L9749">
        <v>2590.5300000000002</v>
      </c>
    </row>
    <row r="9750" spans="1:12" x14ac:dyDescent="0.25">
      <c r="A9750" t="str">
        <f t="shared" si="2118"/>
        <v>89301000</v>
      </c>
      <c r="B9750" t="str">
        <f t="shared" si="2119"/>
        <v>78915000</v>
      </c>
      <c r="C9750" t="str">
        <f t="shared" si="2120"/>
        <v>78915001</v>
      </c>
      <c r="D9750" t="str">
        <f t="shared" si="2121"/>
        <v>809</v>
      </c>
      <c r="E9750" t="str">
        <f>"89301212"</f>
        <v>89301212</v>
      </c>
      <c r="F9750" t="str">
        <f>"7952125346"</f>
        <v>7952125346</v>
      </c>
      <c r="G9750" s="1">
        <v>44860</v>
      </c>
      <c r="H9750" t="str">
        <f>"89715"</f>
        <v>89715</v>
      </c>
      <c r="I9750">
        <v>1</v>
      </c>
      <c r="J9750">
        <v>5474</v>
      </c>
      <c r="K9750">
        <v>0</v>
      </c>
      <c r="L9750">
        <v>3284.4</v>
      </c>
    </row>
    <row r="9751" spans="1:12" x14ac:dyDescent="0.25">
      <c r="A9751" t="str">
        <f t="shared" si="2118"/>
        <v>89301000</v>
      </c>
      <c r="B9751" t="str">
        <f t="shared" si="2119"/>
        <v>78915000</v>
      </c>
      <c r="C9751" t="str">
        <f t="shared" si="2120"/>
        <v>78915001</v>
      </c>
      <c r="D9751" t="str">
        <f t="shared" si="2121"/>
        <v>809</v>
      </c>
      <c r="E9751" t="str">
        <f>"89301212"</f>
        <v>89301212</v>
      </c>
      <c r="F9751" t="str">
        <f>"7952125346"</f>
        <v>7952125346</v>
      </c>
      <c r="G9751" s="1">
        <v>44860</v>
      </c>
      <c r="H9751" t="str">
        <f>"89725"</f>
        <v>89725</v>
      </c>
      <c r="I9751">
        <v>1</v>
      </c>
      <c r="J9751">
        <v>2839</v>
      </c>
      <c r="K9751">
        <v>0</v>
      </c>
      <c r="L9751">
        <v>1703.4</v>
      </c>
    </row>
    <row r="9752" spans="1:12" x14ac:dyDescent="0.25">
      <c r="A9752" t="str">
        <f t="shared" si="2118"/>
        <v>89301000</v>
      </c>
      <c r="B9752" t="str">
        <f t="shared" si="2119"/>
        <v>78915000</v>
      </c>
      <c r="C9752" t="str">
        <f t="shared" si="2120"/>
        <v>78915001</v>
      </c>
      <c r="D9752" t="str">
        <f t="shared" si="2121"/>
        <v>809</v>
      </c>
      <c r="E9752" t="str">
        <f>"89301212"</f>
        <v>89301212</v>
      </c>
      <c r="F9752" t="str">
        <f>"7952125346"</f>
        <v>7952125346</v>
      </c>
      <c r="G9752" s="1">
        <v>44860</v>
      </c>
      <c r="H9752" t="str">
        <f>"0207733"</f>
        <v>0207733</v>
      </c>
      <c r="I9752">
        <v>1</v>
      </c>
      <c r="K9752">
        <v>2590.5300000000002</v>
      </c>
      <c r="L9752">
        <v>2590.5300000000002</v>
      </c>
    </row>
    <row r="9753" spans="1:12" x14ac:dyDescent="0.25">
      <c r="A9753" t="str">
        <f t="shared" si="2118"/>
        <v>89301000</v>
      </c>
      <c r="B9753" t="str">
        <f t="shared" si="2119"/>
        <v>78915000</v>
      </c>
      <c r="C9753" t="str">
        <f t="shared" si="2120"/>
        <v>78915001</v>
      </c>
      <c r="D9753" t="str">
        <f t="shared" si="2121"/>
        <v>809</v>
      </c>
      <c r="E9753" t="str">
        <f>"89301062"</f>
        <v>89301062</v>
      </c>
      <c r="F9753" t="str">
        <f>"7959254457"</f>
        <v>7959254457</v>
      </c>
      <c r="G9753" s="1">
        <v>44837</v>
      </c>
      <c r="H9753" t="str">
        <f>"89713"</f>
        <v>89713</v>
      </c>
      <c r="I9753">
        <v>1</v>
      </c>
      <c r="J9753">
        <v>5362</v>
      </c>
      <c r="K9753">
        <v>0</v>
      </c>
      <c r="L9753">
        <v>3217.2</v>
      </c>
    </row>
    <row r="9754" spans="1:12" x14ac:dyDescent="0.25">
      <c r="A9754" t="str">
        <f t="shared" si="2118"/>
        <v>89301000</v>
      </c>
      <c r="B9754" t="str">
        <f t="shared" si="2119"/>
        <v>78915000</v>
      </c>
      <c r="C9754" t="str">
        <f t="shared" si="2120"/>
        <v>78915001</v>
      </c>
      <c r="D9754" t="str">
        <f t="shared" si="2121"/>
        <v>809</v>
      </c>
      <c r="E9754" t="str">
        <f>"89301062"</f>
        <v>89301062</v>
      </c>
      <c r="F9754" t="str">
        <f>"7959254457"</f>
        <v>7959254457</v>
      </c>
      <c r="G9754" s="1">
        <v>44837</v>
      </c>
      <c r="H9754" t="str">
        <f>"89725"</f>
        <v>89725</v>
      </c>
      <c r="I9754">
        <v>1</v>
      </c>
      <c r="J9754">
        <v>2839</v>
      </c>
      <c r="K9754">
        <v>0</v>
      </c>
      <c r="L9754">
        <v>1703.4</v>
      </c>
    </row>
    <row r="9755" spans="1:12" x14ac:dyDescent="0.25">
      <c r="A9755" t="str">
        <f t="shared" si="2118"/>
        <v>89301000</v>
      </c>
      <c r="B9755" t="str">
        <f t="shared" si="2119"/>
        <v>78915000</v>
      </c>
      <c r="C9755" t="str">
        <f t="shared" si="2120"/>
        <v>78915001</v>
      </c>
      <c r="D9755" t="str">
        <f t="shared" si="2121"/>
        <v>809</v>
      </c>
      <c r="E9755" t="str">
        <f t="shared" ref="E9755:E9763" si="2122">"89301212"</f>
        <v>89301212</v>
      </c>
      <c r="F9755" t="str">
        <f>"8253114474"</f>
        <v>8253114474</v>
      </c>
      <c r="G9755" s="1">
        <v>44853</v>
      </c>
      <c r="H9755" t="str">
        <f>"89715"</f>
        <v>89715</v>
      </c>
      <c r="I9755">
        <v>1</v>
      </c>
      <c r="J9755">
        <v>5474</v>
      </c>
      <c r="K9755">
        <v>0</v>
      </c>
      <c r="L9755">
        <v>3284.4</v>
      </c>
    </row>
    <row r="9756" spans="1:12" x14ac:dyDescent="0.25">
      <c r="A9756" t="str">
        <f t="shared" si="2118"/>
        <v>89301000</v>
      </c>
      <c r="B9756" t="str">
        <f t="shared" si="2119"/>
        <v>78915000</v>
      </c>
      <c r="C9756" t="str">
        <f t="shared" si="2120"/>
        <v>78915001</v>
      </c>
      <c r="D9756" t="str">
        <f t="shared" si="2121"/>
        <v>809</v>
      </c>
      <c r="E9756" t="str">
        <f t="shared" si="2122"/>
        <v>89301212</v>
      </c>
      <c r="F9756" t="str">
        <f>"8253114474"</f>
        <v>8253114474</v>
      </c>
      <c r="G9756" s="1">
        <v>44853</v>
      </c>
      <c r="H9756" t="str">
        <f>"89725"</f>
        <v>89725</v>
      </c>
      <c r="I9756">
        <v>1</v>
      </c>
      <c r="J9756">
        <v>2839</v>
      </c>
      <c r="K9756">
        <v>0</v>
      </c>
      <c r="L9756">
        <v>1703.4</v>
      </c>
    </row>
    <row r="9757" spans="1:12" x14ac:dyDescent="0.25">
      <c r="A9757" t="str">
        <f t="shared" si="2118"/>
        <v>89301000</v>
      </c>
      <c r="B9757" t="str">
        <f t="shared" si="2119"/>
        <v>78915000</v>
      </c>
      <c r="C9757" t="str">
        <f t="shared" si="2120"/>
        <v>78915001</v>
      </c>
      <c r="D9757" t="str">
        <f t="shared" si="2121"/>
        <v>809</v>
      </c>
      <c r="E9757" t="str">
        <f t="shared" si="2122"/>
        <v>89301212</v>
      </c>
      <c r="F9757" t="str">
        <f>"8253114474"</f>
        <v>8253114474</v>
      </c>
      <c r="G9757" s="1">
        <v>44853</v>
      </c>
      <c r="H9757" t="str">
        <f>"0207733"</f>
        <v>0207733</v>
      </c>
      <c r="I9757">
        <v>1</v>
      </c>
      <c r="K9757">
        <v>2590.5300000000002</v>
      </c>
      <c r="L9757">
        <v>2590.5300000000002</v>
      </c>
    </row>
    <row r="9758" spans="1:12" x14ac:dyDescent="0.25">
      <c r="A9758" t="str">
        <f t="shared" si="2118"/>
        <v>89301000</v>
      </c>
      <c r="B9758" t="str">
        <f t="shared" si="2119"/>
        <v>78915000</v>
      </c>
      <c r="C9758" t="str">
        <f t="shared" si="2120"/>
        <v>78915001</v>
      </c>
      <c r="D9758" t="str">
        <f t="shared" si="2121"/>
        <v>809</v>
      </c>
      <c r="E9758" t="str">
        <f t="shared" si="2122"/>
        <v>89301212</v>
      </c>
      <c r="F9758" t="str">
        <f>"8354235780"</f>
        <v>8354235780</v>
      </c>
      <c r="G9758" s="1">
        <v>44839</v>
      </c>
      <c r="H9758" t="str">
        <f>"89715"</f>
        <v>89715</v>
      </c>
      <c r="I9758">
        <v>1</v>
      </c>
      <c r="J9758">
        <v>5474</v>
      </c>
      <c r="K9758">
        <v>0</v>
      </c>
      <c r="L9758">
        <v>3284.4</v>
      </c>
    </row>
    <row r="9759" spans="1:12" x14ac:dyDescent="0.25">
      <c r="A9759" t="str">
        <f t="shared" si="2118"/>
        <v>89301000</v>
      </c>
      <c r="B9759" t="str">
        <f t="shared" si="2119"/>
        <v>78915000</v>
      </c>
      <c r="C9759" t="str">
        <f t="shared" si="2120"/>
        <v>78915001</v>
      </c>
      <c r="D9759" t="str">
        <f t="shared" si="2121"/>
        <v>809</v>
      </c>
      <c r="E9759" t="str">
        <f t="shared" si="2122"/>
        <v>89301212</v>
      </c>
      <c r="F9759" t="str">
        <f>"8354235780"</f>
        <v>8354235780</v>
      </c>
      <c r="G9759" s="1">
        <v>44839</v>
      </c>
      <c r="H9759" t="str">
        <f>"89725"</f>
        <v>89725</v>
      </c>
      <c r="I9759">
        <v>1</v>
      </c>
      <c r="J9759">
        <v>2839</v>
      </c>
      <c r="K9759">
        <v>0</v>
      </c>
      <c r="L9759">
        <v>1703.4</v>
      </c>
    </row>
    <row r="9760" spans="1:12" x14ac:dyDescent="0.25">
      <c r="A9760" t="str">
        <f t="shared" si="2118"/>
        <v>89301000</v>
      </c>
      <c r="B9760" t="str">
        <f t="shared" si="2119"/>
        <v>78915000</v>
      </c>
      <c r="C9760" t="str">
        <f t="shared" si="2120"/>
        <v>78915001</v>
      </c>
      <c r="D9760" t="str">
        <f t="shared" si="2121"/>
        <v>809</v>
      </c>
      <c r="E9760" t="str">
        <f t="shared" si="2122"/>
        <v>89301212</v>
      </c>
      <c r="F9760" t="str">
        <f>"8354235780"</f>
        <v>8354235780</v>
      </c>
      <c r="G9760" s="1">
        <v>44839</v>
      </c>
      <c r="H9760" t="str">
        <f>"0207733"</f>
        <v>0207733</v>
      </c>
      <c r="I9760">
        <v>1</v>
      </c>
      <c r="K9760">
        <v>2590.5300000000002</v>
      </c>
      <c r="L9760">
        <v>2590.5300000000002</v>
      </c>
    </row>
    <row r="9761" spans="1:12" x14ac:dyDescent="0.25">
      <c r="A9761" t="str">
        <f t="shared" si="2118"/>
        <v>89301000</v>
      </c>
      <c r="B9761" t="str">
        <f t="shared" si="2119"/>
        <v>78915000</v>
      </c>
      <c r="C9761" t="str">
        <f t="shared" si="2120"/>
        <v>78915001</v>
      </c>
      <c r="D9761" t="str">
        <f t="shared" si="2121"/>
        <v>809</v>
      </c>
      <c r="E9761" t="str">
        <f t="shared" si="2122"/>
        <v>89301212</v>
      </c>
      <c r="F9761" t="str">
        <f>"8359135697"</f>
        <v>8359135697</v>
      </c>
      <c r="G9761" s="1">
        <v>44856</v>
      </c>
      <c r="H9761" t="str">
        <f>"89715"</f>
        <v>89715</v>
      </c>
      <c r="I9761">
        <v>1</v>
      </c>
      <c r="J9761">
        <v>5474</v>
      </c>
      <c r="K9761">
        <v>0</v>
      </c>
      <c r="L9761">
        <v>3284.4</v>
      </c>
    </row>
    <row r="9762" spans="1:12" x14ac:dyDescent="0.25">
      <c r="A9762" t="str">
        <f t="shared" si="2118"/>
        <v>89301000</v>
      </c>
      <c r="B9762" t="str">
        <f t="shared" si="2119"/>
        <v>78915000</v>
      </c>
      <c r="C9762" t="str">
        <f t="shared" si="2120"/>
        <v>78915001</v>
      </c>
      <c r="D9762" t="str">
        <f t="shared" si="2121"/>
        <v>809</v>
      </c>
      <c r="E9762" t="str">
        <f t="shared" si="2122"/>
        <v>89301212</v>
      </c>
      <c r="F9762" t="str">
        <f>"8359135697"</f>
        <v>8359135697</v>
      </c>
      <c r="G9762" s="1">
        <v>44856</v>
      </c>
      <c r="H9762" t="str">
        <f>"89725"</f>
        <v>89725</v>
      </c>
      <c r="I9762">
        <v>1</v>
      </c>
      <c r="J9762">
        <v>2839</v>
      </c>
      <c r="K9762">
        <v>0</v>
      </c>
      <c r="L9762">
        <v>1703.4</v>
      </c>
    </row>
    <row r="9763" spans="1:12" x14ac:dyDescent="0.25">
      <c r="A9763" t="str">
        <f t="shared" si="2118"/>
        <v>89301000</v>
      </c>
      <c r="B9763" t="str">
        <f t="shared" si="2119"/>
        <v>78915000</v>
      </c>
      <c r="C9763" t="str">
        <f t="shared" si="2120"/>
        <v>78915001</v>
      </c>
      <c r="D9763" t="str">
        <f t="shared" si="2121"/>
        <v>809</v>
      </c>
      <c r="E9763" t="str">
        <f t="shared" si="2122"/>
        <v>89301212</v>
      </c>
      <c r="F9763" t="str">
        <f>"8359135697"</f>
        <v>8359135697</v>
      </c>
      <c r="G9763" s="1">
        <v>44856</v>
      </c>
      <c r="H9763" t="str">
        <f>"0207733"</f>
        <v>0207733</v>
      </c>
      <c r="I9763">
        <v>1</v>
      </c>
      <c r="K9763">
        <v>2590.5300000000002</v>
      </c>
      <c r="L9763">
        <v>2590.5300000000002</v>
      </c>
    </row>
    <row r="9764" spans="1:12" x14ac:dyDescent="0.25">
      <c r="A9764" t="str">
        <f t="shared" si="2118"/>
        <v>89301000</v>
      </c>
      <c r="B9764" t="str">
        <f t="shared" si="2119"/>
        <v>78915000</v>
      </c>
      <c r="C9764" t="str">
        <f t="shared" si="2120"/>
        <v>78915001</v>
      </c>
      <c r="D9764" t="str">
        <f t="shared" si="2121"/>
        <v>809</v>
      </c>
      <c r="E9764" t="str">
        <f>"89301062"</f>
        <v>89301062</v>
      </c>
      <c r="F9764" t="str">
        <f>"8453013844"</f>
        <v>8453013844</v>
      </c>
      <c r="G9764" s="1">
        <v>44859</v>
      </c>
      <c r="H9764" t="str">
        <f>"89713"</f>
        <v>89713</v>
      </c>
      <c r="I9764">
        <v>1</v>
      </c>
      <c r="J9764">
        <v>5362</v>
      </c>
      <c r="K9764">
        <v>0</v>
      </c>
      <c r="L9764">
        <v>3217.2</v>
      </c>
    </row>
    <row r="9765" spans="1:12" x14ac:dyDescent="0.25">
      <c r="A9765" t="str">
        <f t="shared" si="2118"/>
        <v>89301000</v>
      </c>
      <c r="B9765" t="str">
        <f t="shared" si="2119"/>
        <v>78915000</v>
      </c>
      <c r="C9765" t="str">
        <f t="shared" si="2120"/>
        <v>78915001</v>
      </c>
      <c r="D9765" t="str">
        <f t="shared" si="2121"/>
        <v>809</v>
      </c>
      <c r="E9765" t="str">
        <f>"89301062"</f>
        <v>89301062</v>
      </c>
      <c r="F9765" t="str">
        <f>"8453013844"</f>
        <v>8453013844</v>
      </c>
      <c r="G9765" s="1">
        <v>44859</v>
      </c>
      <c r="H9765" t="str">
        <f>"89725"</f>
        <v>89725</v>
      </c>
      <c r="I9765">
        <v>1</v>
      </c>
      <c r="J9765">
        <v>2839</v>
      </c>
      <c r="K9765">
        <v>0</v>
      </c>
      <c r="L9765">
        <v>1703.4</v>
      </c>
    </row>
    <row r="9766" spans="1:12" x14ac:dyDescent="0.25">
      <c r="A9766" t="str">
        <f t="shared" si="2118"/>
        <v>89301000</v>
      </c>
      <c r="B9766" t="str">
        <f t="shared" si="2119"/>
        <v>78915000</v>
      </c>
      <c r="C9766" t="str">
        <f t="shared" si="2120"/>
        <v>78915001</v>
      </c>
      <c r="D9766" t="str">
        <f t="shared" si="2121"/>
        <v>809</v>
      </c>
      <c r="E9766" t="str">
        <f>"89301312"</f>
        <v>89301312</v>
      </c>
      <c r="F9766" t="str">
        <f>"8705205817"</f>
        <v>8705205817</v>
      </c>
      <c r="G9766" s="1">
        <v>44860</v>
      </c>
      <c r="H9766" t="str">
        <f>"09567"</f>
        <v>09567</v>
      </c>
      <c r="I9766">
        <v>1</v>
      </c>
      <c r="J9766">
        <v>0</v>
      </c>
      <c r="K9766">
        <v>0</v>
      </c>
      <c r="L9766">
        <v>0</v>
      </c>
    </row>
    <row r="9767" spans="1:12" x14ac:dyDescent="0.25">
      <c r="A9767" t="str">
        <f t="shared" si="2118"/>
        <v>89301000</v>
      </c>
      <c r="B9767" t="str">
        <f t="shared" si="2119"/>
        <v>78915000</v>
      </c>
      <c r="C9767" t="str">
        <f t="shared" si="2120"/>
        <v>78915001</v>
      </c>
      <c r="D9767" t="str">
        <f t="shared" si="2121"/>
        <v>809</v>
      </c>
      <c r="E9767" t="str">
        <f>"89301312"</f>
        <v>89301312</v>
      </c>
      <c r="F9767" t="str">
        <f>"8705205817"</f>
        <v>8705205817</v>
      </c>
      <c r="G9767" s="1">
        <v>44860</v>
      </c>
      <c r="H9767" t="str">
        <f>"89713"</f>
        <v>89713</v>
      </c>
      <c r="I9767">
        <v>1</v>
      </c>
      <c r="J9767">
        <v>5362</v>
      </c>
      <c r="K9767">
        <v>0</v>
      </c>
      <c r="L9767">
        <v>3217.2</v>
      </c>
    </row>
    <row r="9768" spans="1:12" x14ac:dyDescent="0.25">
      <c r="A9768" t="str">
        <f t="shared" si="2118"/>
        <v>89301000</v>
      </c>
      <c r="B9768" t="str">
        <f t="shared" si="2119"/>
        <v>78915000</v>
      </c>
      <c r="C9768" t="str">
        <f t="shared" si="2120"/>
        <v>78915001</v>
      </c>
      <c r="D9768" t="str">
        <f t="shared" si="2121"/>
        <v>809</v>
      </c>
      <c r="E9768" t="str">
        <f>"89301172"</f>
        <v>89301172</v>
      </c>
      <c r="F9768" t="str">
        <f>"8958185104"</f>
        <v>8958185104</v>
      </c>
      <c r="G9768" s="1">
        <v>44856</v>
      </c>
      <c r="H9768" t="str">
        <f>"89713"</f>
        <v>89713</v>
      </c>
      <c r="I9768">
        <v>2</v>
      </c>
      <c r="J9768">
        <v>10724</v>
      </c>
      <c r="K9768">
        <v>0</v>
      </c>
      <c r="L9768">
        <v>6434.4</v>
      </c>
    </row>
    <row r="9769" spans="1:12" x14ac:dyDescent="0.25">
      <c r="A9769" t="str">
        <f t="shared" si="2118"/>
        <v>89301000</v>
      </c>
      <c r="B9769" t="str">
        <f t="shared" si="2119"/>
        <v>78915000</v>
      </c>
      <c r="C9769" t="str">
        <f t="shared" si="2120"/>
        <v>78915001</v>
      </c>
      <c r="D9769" t="str">
        <f t="shared" si="2121"/>
        <v>809</v>
      </c>
      <c r="E9769" t="str">
        <f>"89301172"</f>
        <v>89301172</v>
      </c>
      <c r="F9769" t="str">
        <f>"8958185104"</f>
        <v>8958185104</v>
      </c>
      <c r="G9769" s="1">
        <v>44856</v>
      </c>
      <c r="H9769" t="str">
        <f>"89725"</f>
        <v>89725</v>
      </c>
      <c r="I9769">
        <v>1</v>
      </c>
      <c r="J9769">
        <v>2839</v>
      </c>
      <c r="K9769">
        <v>0</v>
      </c>
      <c r="L9769">
        <v>1703.4</v>
      </c>
    </row>
    <row r="9770" spans="1:12" x14ac:dyDescent="0.25">
      <c r="A9770" t="str">
        <f t="shared" si="2118"/>
        <v>89301000</v>
      </c>
      <c r="B9770" t="str">
        <f t="shared" si="2119"/>
        <v>78915000</v>
      </c>
      <c r="C9770" t="str">
        <f t="shared" si="2120"/>
        <v>78915001</v>
      </c>
      <c r="D9770" t="str">
        <f t="shared" si="2121"/>
        <v>809</v>
      </c>
      <c r="E9770" t="str">
        <f>"89301172"</f>
        <v>89301172</v>
      </c>
      <c r="F9770" t="str">
        <f>"8958185104"</f>
        <v>8958185104</v>
      </c>
      <c r="G9770" s="1">
        <v>44856</v>
      </c>
      <c r="H9770" t="str">
        <f>"0207733"</f>
        <v>0207733</v>
      </c>
      <c r="I9770">
        <v>1</v>
      </c>
      <c r="K9770">
        <v>2590.5300000000002</v>
      </c>
      <c r="L9770">
        <v>2590.5300000000002</v>
      </c>
    </row>
    <row r="9771" spans="1:12" x14ac:dyDescent="0.25">
      <c r="A9771" t="str">
        <f t="shared" si="2118"/>
        <v>89301000</v>
      </c>
      <c r="B9771" t="str">
        <f t="shared" si="2119"/>
        <v>78915000</v>
      </c>
      <c r="C9771" t="str">
        <f t="shared" si="2120"/>
        <v>78915001</v>
      </c>
      <c r="D9771" t="str">
        <f t="shared" si="2121"/>
        <v>809</v>
      </c>
      <c r="E9771" t="str">
        <f>"89301312"</f>
        <v>89301312</v>
      </c>
      <c r="F9771" t="str">
        <f>"9259125711"</f>
        <v>9259125711</v>
      </c>
      <c r="G9771" s="1">
        <v>44855</v>
      </c>
      <c r="H9771" t="str">
        <f>"09569"</f>
        <v>09569</v>
      </c>
      <c r="I9771">
        <v>1</v>
      </c>
      <c r="J9771">
        <v>0</v>
      </c>
      <c r="K9771">
        <v>0</v>
      </c>
      <c r="L9771">
        <v>0</v>
      </c>
    </row>
    <row r="9772" spans="1:12" x14ac:dyDescent="0.25">
      <c r="A9772" t="str">
        <f t="shared" si="2118"/>
        <v>89301000</v>
      </c>
      <c r="B9772" t="str">
        <f t="shared" si="2119"/>
        <v>78915000</v>
      </c>
      <c r="C9772" t="str">
        <f t="shared" si="2120"/>
        <v>78915001</v>
      </c>
      <c r="D9772" t="str">
        <f t="shared" si="2121"/>
        <v>809</v>
      </c>
      <c r="E9772" t="str">
        <f>"89301312"</f>
        <v>89301312</v>
      </c>
      <c r="F9772" t="str">
        <f>"9259125711"</f>
        <v>9259125711</v>
      </c>
      <c r="G9772" s="1">
        <v>44855</v>
      </c>
      <c r="H9772" t="str">
        <f>"89713"</f>
        <v>89713</v>
      </c>
      <c r="I9772">
        <v>1</v>
      </c>
      <c r="J9772">
        <v>5362</v>
      </c>
      <c r="K9772">
        <v>0</v>
      </c>
      <c r="L9772">
        <v>3217.2</v>
      </c>
    </row>
    <row r="9773" spans="1:12" x14ac:dyDescent="0.25">
      <c r="A9773" t="str">
        <f t="shared" si="2118"/>
        <v>89301000</v>
      </c>
      <c r="B9773" t="str">
        <f t="shared" si="2119"/>
        <v>78915000</v>
      </c>
      <c r="C9773" t="str">
        <f t="shared" si="2120"/>
        <v>78915001</v>
      </c>
      <c r="D9773" t="str">
        <f t="shared" si="2121"/>
        <v>809</v>
      </c>
      <c r="E9773" t="str">
        <f>"89301312"</f>
        <v>89301312</v>
      </c>
      <c r="F9773" t="str">
        <f>"9261115732"</f>
        <v>9261115732</v>
      </c>
      <c r="G9773" s="1">
        <v>44845</v>
      </c>
      <c r="H9773" t="str">
        <f>"09567"</f>
        <v>09567</v>
      </c>
      <c r="I9773">
        <v>1</v>
      </c>
      <c r="J9773">
        <v>0</v>
      </c>
      <c r="K9773">
        <v>0</v>
      </c>
      <c r="L9773">
        <v>0</v>
      </c>
    </row>
    <row r="9774" spans="1:12" x14ac:dyDescent="0.25">
      <c r="A9774" t="str">
        <f t="shared" si="2118"/>
        <v>89301000</v>
      </c>
      <c r="B9774" t="str">
        <f t="shared" si="2119"/>
        <v>78915000</v>
      </c>
      <c r="C9774" t="str">
        <f t="shared" si="2120"/>
        <v>78915001</v>
      </c>
      <c r="D9774" t="str">
        <f t="shared" si="2121"/>
        <v>809</v>
      </c>
      <c r="E9774" t="str">
        <f>"89301312"</f>
        <v>89301312</v>
      </c>
      <c r="F9774" t="str">
        <f>"9261115732"</f>
        <v>9261115732</v>
      </c>
      <c r="G9774" s="1">
        <v>44845</v>
      </c>
      <c r="H9774" t="str">
        <f>"89713"</f>
        <v>89713</v>
      </c>
      <c r="I9774">
        <v>1</v>
      </c>
      <c r="J9774">
        <v>5362</v>
      </c>
      <c r="K9774">
        <v>0</v>
      </c>
      <c r="L9774">
        <v>3217.2</v>
      </c>
    </row>
    <row r="9775" spans="1:12" x14ac:dyDescent="0.25">
      <c r="A9775" t="str">
        <f t="shared" si="2118"/>
        <v>89301000</v>
      </c>
      <c r="B9775" t="str">
        <f t="shared" si="2119"/>
        <v>78915000</v>
      </c>
      <c r="C9775" t="str">
        <f t="shared" si="2120"/>
        <v>78915001</v>
      </c>
      <c r="D9775" t="str">
        <f t="shared" si="2121"/>
        <v>809</v>
      </c>
      <c r="E9775" t="str">
        <f>"89301112"</f>
        <v>89301112</v>
      </c>
      <c r="F9775" t="str">
        <f>"7707224503"</f>
        <v>7707224503</v>
      </c>
      <c r="G9775" s="1">
        <v>44774</v>
      </c>
      <c r="H9775" t="str">
        <f>"09567"</f>
        <v>09567</v>
      </c>
      <c r="I9775">
        <v>1</v>
      </c>
      <c r="J9775">
        <v>0</v>
      </c>
      <c r="K9775">
        <v>0</v>
      </c>
      <c r="L9775">
        <v>0</v>
      </c>
    </row>
    <row r="9776" spans="1:12" x14ac:dyDescent="0.25">
      <c r="A9776" t="str">
        <f t="shared" si="2118"/>
        <v>89301000</v>
      </c>
      <c r="B9776" t="str">
        <f t="shared" si="2119"/>
        <v>78915000</v>
      </c>
      <c r="C9776" t="str">
        <f t="shared" si="2120"/>
        <v>78915001</v>
      </c>
      <c r="D9776" t="str">
        <f t="shared" si="2121"/>
        <v>809</v>
      </c>
      <c r="E9776" t="str">
        <f>"89301112"</f>
        <v>89301112</v>
      </c>
      <c r="F9776" t="str">
        <f>"7707224503"</f>
        <v>7707224503</v>
      </c>
      <c r="G9776" s="1">
        <v>44774</v>
      </c>
      <c r="H9776" t="str">
        <f>"89713"</f>
        <v>89713</v>
      </c>
      <c r="I9776">
        <v>1</v>
      </c>
      <c r="J9776">
        <v>5362</v>
      </c>
      <c r="K9776">
        <v>0</v>
      </c>
      <c r="L9776">
        <v>3217.2</v>
      </c>
    </row>
    <row r="9777" spans="1:12" x14ac:dyDescent="0.25">
      <c r="A9777" t="str">
        <f t="shared" si="2118"/>
        <v>89301000</v>
      </c>
      <c r="B9777" t="str">
        <f t="shared" ref="B9777:B9807" si="2123">"78051000"</f>
        <v>78051000</v>
      </c>
      <c r="C9777" t="str">
        <f t="shared" ref="C9777:C9802" si="2124">"78051004"</f>
        <v>78051004</v>
      </c>
      <c r="D9777" t="str">
        <f t="shared" si="2121"/>
        <v>809</v>
      </c>
      <c r="E9777" t="str">
        <f t="shared" ref="E9777:E9801" si="2125">"89301062"</f>
        <v>89301062</v>
      </c>
      <c r="F9777" t="str">
        <f>"465726173"</f>
        <v>465726173</v>
      </c>
      <c r="G9777" s="1">
        <v>44846</v>
      </c>
      <c r="H9777" t="str">
        <f>"89311"</f>
        <v>89311</v>
      </c>
      <c r="I9777">
        <v>1</v>
      </c>
      <c r="J9777">
        <v>936</v>
      </c>
      <c r="K9777">
        <v>0</v>
      </c>
      <c r="L9777">
        <v>1310.4000000000001</v>
      </c>
    </row>
    <row r="9778" spans="1:12" x14ac:dyDescent="0.25">
      <c r="A9778" t="str">
        <f t="shared" si="2118"/>
        <v>89301000</v>
      </c>
      <c r="B9778" t="str">
        <f t="shared" si="2123"/>
        <v>78051000</v>
      </c>
      <c r="C9778" t="str">
        <f t="shared" si="2124"/>
        <v>78051004</v>
      </c>
      <c r="D9778" t="str">
        <f t="shared" ref="D9778:D9802" si="2126">"809"</f>
        <v>809</v>
      </c>
      <c r="E9778" t="str">
        <f t="shared" si="2125"/>
        <v>89301062</v>
      </c>
      <c r="F9778" t="str">
        <f>"465726173"</f>
        <v>465726173</v>
      </c>
      <c r="G9778" s="1">
        <v>44846</v>
      </c>
      <c r="H9778" t="str">
        <f>"0090044"</f>
        <v>0090044</v>
      </c>
      <c r="I9778">
        <v>1</v>
      </c>
      <c r="K9778">
        <v>16.8</v>
      </c>
      <c r="L9778">
        <v>16.8</v>
      </c>
    </row>
    <row r="9779" spans="1:12" x14ac:dyDescent="0.25">
      <c r="A9779" t="str">
        <f t="shared" si="2118"/>
        <v>89301000</v>
      </c>
      <c r="B9779" t="str">
        <f t="shared" si="2123"/>
        <v>78051000</v>
      </c>
      <c r="C9779" t="str">
        <f t="shared" si="2124"/>
        <v>78051004</v>
      </c>
      <c r="D9779" t="str">
        <f t="shared" si="2126"/>
        <v>809</v>
      </c>
      <c r="E9779" t="str">
        <f t="shared" si="2125"/>
        <v>89301062</v>
      </c>
      <c r="F9779" t="str">
        <f>"465726173"</f>
        <v>465726173</v>
      </c>
      <c r="G9779" s="1">
        <v>44846</v>
      </c>
      <c r="H9779" t="str">
        <f>"0225891"</f>
        <v>0225891</v>
      </c>
      <c r="I9779">
        <v>0.2</v>
      </c>
      <c r="K9779">
        <v>73.540000000000006</v>
      </c>
      <c r="L9779">
        <v>73.540000000000006</v>
      </c>
    </row>
    <row r="9780" spans="1:12" x14ac:dyDescent="0.25">
      <c r="A9780" t="str">
        <f t="shared" si="2118"/>
        <v>89301000</v>
      </c>
      <c r="B9780" t="str">
        <f t="shared" si="2123"/>
        <v>78051000</v>
      </c>
      <c r="C9780" t="str">
        <f t="shared" si="2124"/>
        <v>78051004</v>
      </c>
      <c r="D9780" t="str">
        <f t="shared" si="2126"/>
        <v>809</v>
      </c>
      <c r="E9780" t="str">
        <f t="shared" si="2125"/>
        <v>89301062</v>
      </c>
      <c r="F9780" t="str">
        <f>"465726173"</f>
        <v>465726173</v>
      </c>
      <c r="G9780" s="1">
        <v>44846</v>
      </c>
      <c r="H9780" t="str">
        <f>"0096251"</f>
        <v>0096251</v>
      </c>
      <c r="I9780">
        <v>0.17</v>
      </c>
      <c r="K9780">
        <v>198.83</v>
      </c>
      <c r="L9780">
        <v>198.83</v>
      </c>
    </row>
    <row r="9781" spans="1:12" x14ac:dyDescent="0.25">
      <c r="A9781" t="str">
        <f t="shared" si="2118"/>
        <v>89301000</v>
      </c>
      <c r="B9781" t="str">
        <f t="shared" si="2123"/>
        <v>78051000</v>
      </c>
      <c r="C9781" t="str">
        <f t="shared" si="2124"/>
        <v>78051004</v>
      </c>
      <c r="D9781" t="str">
        <f t="shared" si="2126"/>
        <v>809</v>
      </c>
      <c r="E9781" t="str">
        <f t="shared" si="2125"/>
        <v>89301062</v>
      </c>
      <c r="F9781" t="str">
        <f>"465726173"</f>
        <v>465726173</v>
      </c>
      <c r="G9781" s="1">
        <v>44846</v>
      </c>
      <c r="H9781" t="str">
        <f>"0098943"</f>
        <v>0098943</v>
      </c>
      <c r="I9781">
        <v>1</v>
      </c>
      <c r="K9781">
        <v>293.81</v>
      </c>
      <c r="L9781">
        <v>293.81</v>
      </c>
    </row>
    <row r="9782" spans="1:12" x14ac:dyDescent="0.25">
      <c r="A9782" t="str">
        <f t="shared" si="2118"/>
        <v>89301000</v>
      </c>
      <c r="B9782" t="str">
        <f t="shared" si="2123"/>
        <v>78051000</v>
      </c>
      <c r="C9782" t="str">
        <f t="shared" si="2124"/>
        <v>78051004</v>
      </c>
      <c r="D9782" t="str">
        <f t="shared" si="2126"/>
        <v>809</v>
      </c>
      <c r="E9782" t="str">
        <f t="shared" si="2125"/>
        <v>89301062</v>
      </c>
      <c r="F9782" t="str">
        <f>"515924046"</f>
        <v>515924046</v>
      </c>
      <c r="G9782" s="1">
        <v>44846</v>
      </c>
      <c r="H9782" t="str">
        <f>"89311"</f>
        <v>89311</v>
      </c>
      <c r="I9782">
        <v>1</v>
      </c>
      <c r="J9782">
        <v>936</v>
      </c>
      <c r="K9782">
        <v>0</v>
      </c>
      <c r="L9782">
        <v>1310.4000000000001</v>
      </c>
    </row>
    <row r="9783" spans="1:12" x14ac:dyDescent="0.25">
      <c r="A9783" t="str">
        <f t="shared" si="2118"/>
        <v>89301000</v>
      </c>
      <c r="B9783" t="str">
        <f t="shared" si="2123"/>
        <v>78051000</v>
      </c>
      <c r="C9783" t="str">
        <f t="shared" si="2124"/>
        <v>78051004</v>
      </c>
      <c r="D9783" t="str">
        <f t="shared" si="2126"/>
        <v>809</v>
      </c>
      <c r="E9783" t="str">
        <f t="shared" si="2125"/>
        <v>89301062</v>
      </c>
      <c r="F9783" t="str">
        <f>"515924046"</f>
        <v>515924046</v>
      </c>
      <c r="G9783" s="1">
        <v>44846</v>
      </c>
      <c r="H9783" t="str">
        <f>"0090044"</f>
        <v>0090044</v>
      </c>
      <c r="I9783">
        <v>1</v>
      </c>
      <c r="K9783">
        <v>16.8</v>
      </c>
      <c r="L9783">
        <v>16.8</v>
      </c>
    </row>
    <row r="9784" spans="1:12" x14ac:dyDescent="0.25">
      <c r="A9784" t="str">
        <f t="shared" si="2118"/>
        <v>89301000</v>
      </c>
      <c r="B9784" t="str">
        <f t="shared" si="2123"/>
        <v>78051000</v>
      </c>
      <c r="C9784" t="str">
        <f t="shared" si="2124"/>
        <v>78051004</v>
      </c>
      <c r="D9784" t="str">
        <f t="shared" si="2126"/>
        <v>809</v>
      </c>
      <c r="E9784" t="str">
        <f t="shared" si="2125"/>
        <v>89301062</v>
      </c>
      <c r="F9784" t="str">
        <f>"515924046"</f>
        <v>515924046</v>
      </c>
      <c r="G9784" s="1">
        <v>44846</v>
      </c>
      <c r="H9784" t="str">
        <f>"0225891"</f>
        <v>0225891</v>
      </c>
      <c r="I9784">
        <v>0.2</v>
      </c>
      <c r="K9784">
        <v>73.540000000000006</v>
      </c>
      <c r="L9784">
        <v>73.540000000000006</v>
      </c>
    </row>
    <row r="9785" spans="1:12" x14ac:dyDescent="0.25">
      <c r="A9785" t="str">
        <f t="shared" si="2118"/>
        <v>89301000</v>
      </c>
      <c r="B9785" t="str">
        <f t="shared" si="2123"/>
        <v>78051000</v>
      </c>
      <c r="C9785" t="str">
        <f t="shared" si="2124"/>
        <v>78051004</v>
      </c>
      <c r="D9785" t="str">
        <f t="shared" si="2126"/>
        <v>809</v>
      </c>
      <c r="E9785" t="str">
        <f t="shared" si="2125"/>
        <v>89301062</v>
      </c>
      <c r="F9785" t="str">
        <f>"515924046"</f>
        <v>515924046</v>
      </c>
      <c r="G9785" s="1">
        <v>44846</v>
      </c>
      <c r="H9785" t="str">
        <f>"0096251"</f>
        <v>0096251</v>
      </c>
      <c r="I9785">
        <v>0.17</v>
      </c>
      <c r="K9785">
        <v>198.83</v>
      </c>
      <c r="L9785">
        <v>198.83</v>
      </c>
    </row>
    <row r="9786" spans="1:12" x14ac:dyDescent="0.25">
      <c r="A9786" t="str">
        <f t="shared" si="2118"/>
        <v>89301000</v>
      </c>
      <c r="B9786" t="str">
        <f t="shared" si="2123"/>
        <v>78051000</v>
      </c>
      <c r="C9786" t="str">
        <f t="shared" si="2124"/>
        <v>78051004</v>
      </c>
      <c r="D9786" t="str">
        <f t="shared" si="2126"/>
        <v>809</v>
      </c>
      <c r="E9786" t="str">
        <f t="shared" si="2125"/>
        <v>89301062</v>
      </c>
      <c r="F9786" t="str">
        <f>"515924046"</f>
        <v>515924046</v>
      </c>
      <c r="G9786" s="1">
        <v>44846</v>
      </c>
      <c r="H9786" t="str">
        <f>"0098943"</f>
        <v>0098943</v>
      </c>
      <c r="I9786">
        <v>1</v>
      </c>
      <c r="K9786">
        <v>293.81</v>
      </c>
      <c r="L9786">
        <v>293.81</v>
      </c>
    </row>
    <row r="9787" spans="1:12" x14ac:dyDescent="0.25">
      <c r="A9787" t="str">
        <f t="shared" si="2118"/>
        <v>89301000</v>
      </c>
      <c r="B9787" t="str">
        <f t="shared" si="2123"/>
        <v>78051000</v>
      </c>
      <c r="C9787" t="str">
        <f t="shared" si="2124"/>
        <v>78051004</v>
      </c>
      <c r="D9787" t="str">
        <f t="shared" si="2126"/>
        <v>809</v>
      </c>
      <c r="E9787" t="str">
        <f t="shared" si="2125"/>
        <v>89301062</v>
      </c>
      <c r="F9787" t="str">
        <f>"7262254472"</f>
        <v>7262254472</v>
      </c>
      <c r="G9787" s="1">
        <v>44846</v>
      </c>
      <c r="H9787" t="str">
        <f>"89311"</f>
        <v>89311</v>
      </c>
      <c r="I9787">
        <v>1</v>
      </c>
      <c r="J9787">
        <v>936</v>
      </c>
      <c r="K9787">
        <v>0</v>
      </c>
      <c r="L9787">
        <v>1310.4000000000001</v>
      </c>
    </row>
    <row r="9788" spans="1:12" x14ac:dyDescent="0.25">
      <c r="A9788" t="str">
        <f t="shared" si="2118"/>
        <v>89301000</v>
      </c>
      <c r="B9788" t="str">
        <f t="shared" si="2123"/>
        <v>78051000</v>
      </c>
      <c r="C9788" t="str">
        <f t="shared" si="2124"/>
        <v>78051004</v>
      </c>
      <c r="D9788" t="str">
        <f t="shared" si="2126"/>
        <v>809</v>
      </c>
      <c r="E9788" t="str">
        <f t="shared" si="2125"/>
        <v>89301062</v>
      </c>
      <c r="F9788" t="str">
        <f>"7262254472"</f>
        <v>7262254472</v>
      </c>
      <c r="G9788" s="1">
        <v>44846</v>
      </c>
      <c r="H9788" t="str">
        <f>"0090044"</f>
        <v>0090044</v>
      </c>
      <c r="I9788">
        <v>1</v>
      </c>
      <c r="K9788">
        <v>16.8</v>
      </c>
      <c r="L9788">
        <v>16.8</v>
      </c>
    </row>
    <row r="9789" spans="1:12" x14ac:dyDescent="0.25">
      <c r="A9789" t="str">
        <f t="shared" si="2118"/>
        <v>89301000</v>
      </c>
      <c r="B9789" t="str">
        <f t="shared" si="2123"/>
        <v>78051000</v>
      </c>
      <c r="C9789" t="str">
        <f t="shared" si="2124"/>
        <v>78051004</v>
      </c>
      <c r="D9789" t="str">
        <f t="shared" si="2126"/>
        <v>809</v>
      </c>
      <c r="E9789" t="str">
        <f t="shared" si="2125"/>
        <v>89301062</v>
      </c>
      <c r="F9789" t="str">
        <f>"7262254472"</f>
        <v>7262254472</v>
      </c>
      <c r="G9789" s="1">
        <v>44846</v>
      </c>
      <c r="H9789" t="str">
        <f>"0225891"</f>
        <v>0225891</v>
      </c>
      <c r="I9789">
        <v>0.2</v>
      </c>
      <c r="K9789">
        <v>73.540000000000006</v>
      </c>
      <c r="L9789">
        <v>73.540000000000006</v>
      </c>
    </row>
    <row r="9790" spans="1:12" x14ac:dyDescent="0.25">
      <c r="A9790" t="str">
        <f t="shared" si="2118"/>
        <v>89301000</v>
      </c>
      <c r="B9790" t="str">
        <f t="shared" si="2123"/>
        <v>78051000</v>
      </c>
      <c r="C9790" t="str">
        <f t="shared" si="2124"/>
        <v>78051004</v>
      </c>
      <c r="D9790" t="str">
        <f t="shared" si="2126"/>
        <v>809</v>
      </c>
      <c r="E9790" t="str">
        <f t="shared" si="2125"/>
        <v>89301062</v>
      </c>
      <c r="F9790" t="str">
        <f>"7262254472"</f>
        <v>7262254472</v>
      </c>
      <c r="G9790" s="1">
        <v>44846</v>
      </c>
      <c r="H9790" t="str">
        <f>"0096251"</f>
        <v>0096251</v>
      </c>
      <c r="I9790">
        <v>0.17</v>
      </c>
      <c r="K9790">
        <v>198.83</v>
      </c>
      <c r="L9790">
        <v>198.83</v>
      </c>
    </row>
    <row r="9791" spans="1:12" x14ac:dyDescent="0.25">
      <c r="A9791" t="str">
        <f t="shared" si="2118"/>
        <v>89301000</v>
      </c>
      <c r="B9791" t="str">
        <f t="shared" si="2123"/>
        <v>78051000</v>
      </c>
      <c r="C9791" t="str">
        <f t="shared" si="2124"/>
        <v>78051004</v>
      </c>
      <c r="D9791" t="str">
        <f t="shared" si="2126"/>
        <v>809</v>
      </c>
      <c r="E9791" t="str">
        <f t="shared" si="2125"/>
        <v>89301062</v>
      </c>
      <c r="F9791" t="str">
        <f>"7262254472"</f>
        <v>7262254472</v>
      </c>
      <c r="G9791" s="1">
        <v>44846</v>
      </c>
      <c r="H9791" t="str">
        <f>"0098943"</f>
        <v>0098943</v>
      </c>
      <c r="I9791">
        <v>1</v>
      </c>
      <c r="K9791">
        <v>293.81</v>
      </c>
      <c r="L9791">
        <v>293.81</v>
      </c>
    </row>
    <row r="9792" spans="1:12" x14ac:dyDescent="0.25">
      <c r="A9792" t="str">
        <f t="shared" si="2118"/>
        <v>89301000</v>
      </c>
      <c r="B9792" t="str">
        <f t="shared" si="2123"/>
        <v>78051000</v>
      </c>
      <c r="C9792" t="str">
        <f t="shared" si="2124"/>
        <v>78051004</v>
      </c>
      <c r="D9792" t="str">
        <f t="shared" si="2126"/>
        <v>809</v>
      </c>
      <c r="E9792" t="str">
        <f t="shared" si="2125"/>
        <v>89301062</v>
      </c>
      <c r="F9792" t="str">
        <f>"7159245775"</f>
        <v>7159245775</v>
      </c>
      <c r="G9792" s="1">
        <v>44846</v>
      </c>
      <c r="H9792" t="str">
        <f>"89311"</f>
        <v>89311</v>
      </c>
      <c r="I9792">
        <v>1</v>
      </c>
      <c r="J9792">
        <v>936</v>
      </c>
      <c r="K9792">
        <v>0</v>
      </c>
      <c r="L9792">
        <v>1310.4000000000001</v>
      </c>
    </row>
    <row r="9793" spans="1:12" x14ac:dyDescent="0.25">
      <c r="A9793" t="str">
        <f t="shared" si="2118"/>
        <v>89301000</v>
      </c>
      <c r="B9793" t="str">
        <f t="shared" si="2123"/>
        <v>78051000</v>
      </c>
      <c r="C9793" t="str">
        <f t="shared" si="2124"/>
        <v>78051004</v>
      </c>
      <c r="D9793" t="str">
        <f t="shared" si="2126"/>
        <v>809</v>
      </c>
      <c r="E9793" t="str">
        <f t="shared" si="2125"/>
        <v>89301062</v>
      </c>
      <c r="F9793" t="str">
        <f>"7159245775"</f>
        <v>7159245775</v>
      </c>
      <c r="G9793" s="1">
        <v>44846</v>
      </c>
      <c r="H9793" t="str">
        <f>"0090044"</f>
        <v>0090044</v>
      </c>
      <c r="I9793">
        <v>1</v>
      </c>
      <c r="K9793">
        <v>16.8</v>
      </c>
      <c r="L9793">
        <v>16.8</v>
      </c>
    </row>
    <row r="9794" spans="1:12" x14ac:dyDescent="0.25">
      <c r="A9794" t="str">
        <f t="shared" ref="A9794:A9857" si="2127">"89301000"</f>
        <v>89301000</v>
      </c>
      <c r="B9794" t="str">
        <f t="shared" si="2123"/>
        <v>78051000</v>
      </c>
      <c r="C9794" t="str">
        <f t="shared" si="2124"/>
        <v>78051004</v>
      </c>
      <c r="D9794" t="str">
        <f t="shared" si="2126"/>
        <v>809</v>
      </c>
      <c r="E9794" t="str">
        <f t="shared" si="2125"/>
        <v>89301062</v>
      </c>
      <c r="F9794" t="str">
        <f>"7159245775"</f>
        <v>7159245775</v>
      </c>
      <c r="G9794" s="1">
        <v>44846</v>
      </c>
      <c r="H9794" t="str">
        <f>"0225891"</f>
        <v>0225891</v>
      </c>
      <c r="I9794">
        <v>0.2</v>
      </c>
      <c r="K9794">
        <v>73.540000000000006</v>
      </c>
      <c r="L9794">
        <v>73.540000000000006</v>
      </c>
    </row>
    <row r="9795" spans="1:12" x14ac:dyDescent="0.25">
      <c r="A9795" t="str">
        <f t="shared" si="2127"/>
        <v>89301000</v>
      </c>
      <c r="B9795" t="str">
        <f t="shared" si="2123"/>
        <v>78051000</v>
      </c>
      <c r="C9795" t="str">
        <f t="shared" si="2124"/>
        <v>78051004</v>
      </c>
      <c r="D9795" t="str">
        <f t="shared" si="2126"/>
        <v>809</v>
      </c>
      <c r="E9795" t="str">
        <f t="shared" si="2125"/>
        <v>89301062</v>
      </c>
      <c r="F9795" t="str">
        <f>"7159245775"</f>
        <v>7159245775</v>
      </c>
      <c r="G9795" s="1">
        <v>44846</v>
      </c>
      <c r="H9795" t="str">
        <f>"0096251"</f>
        <v>0096251</v>
      </c>
      <c r="I9795">
        <v>0.17</v>
      </c>
      <c r="K9795">
        <v>198.83</v>
      </c>
      <c r="L9795">
        <v>198.83</v>
      </c>
    </row>
    <row r="9796" spans="1:12" x14ac:dyDescent="0.25">
      <c r="A9796" t="str">
        <f t="shared" si="2127"/>
        <v>89301000</v>
      </c>
      <c r="B9796" t="str">
        <f t="shared" si="2123"/>
        <v>78051000</v>
      </c>
      <c r="C9796" t="str">
        <f t="shared" si="2124"/>
        <v>78051004</v>
      </c>
      <c r="D9796" t="str">
        <f t="shared" si="2126"/>
        <v>809</v>
      </c>
      <c r="E9796" t="str">
        <f t="shared" si="2125"/>
        <v>89301062</v>
      </c>
      <c r="F9796" t="str">
        <f>"7159245775"</f>
        <v>7159245775</v>
      </c>
      <c r="G9796" s="1">
        <v>44846</v>
      </c>
      <c r="H9796" t="str">
        <f>"0098943"</f>
        <v>0098943</v>
      </c>
      <c r="I9796">
        <v>1</v>
      </c>
      <c r="K9796">
        <v>293.81</v>
      </c>
      <c r="L9796">
        <v>293.81</v>
      </c>
    </row>
    <row r="9797" spans="1:12" x14ac:dyDescent="0.25">
      <c r="A9797" t="str">
        <f t="shared" si="2127"/>
        <v>89301000</v>
      </c>
      <c r="B9797" t="str">
        <f t="shared" si="2123"/>
        <v>78051000</v>
      </c>
      <c r="C9797" t="str">
        <f t="shared" si="2124"/>
        <v>78051004</v>
      </c>
      <c r="D9797" t="str">
        <f t="shared" si="2126"/>
        <v>809</v>
      </c>
      <c r="E9797" t="str">
        <f t="shared" si="2125"/>
        <v>89301062</v>
      </c>
      <c r="F9797" t="str">
        <f>"7153214464"</f>
        <v>7153214464</v>
      </c>
      <c r="G9797" s="1">
        <v>44853</v>
      </c>
      <c r="H9797" t="str">
        <f>"89311"</f>
        <v>89311</v>
      </c>
      <c r="I9797">
        <v>1</v>
      </c>
      <c r="J9797">
        <v>936</v>
      </c>
      <c r="K9797">
        <v>0</v>
      </c>
      <c r="L9797">
        <v>1310.4000000000001</v>
      </c>
    </row>
    <row r="9798" spans="1:12" x14ac:dyDescent="0.25">
      <c r="A9798" t="str">
        <f t="shared" si="2127"/>
        <v>89301000</v>
      </c>
      <c r="B9798" t="str">
        <f t="shared" si="2123"/>
        <v>78051000</v>
      </c>
      <c r="C9798" t="str">
        <f t="shared" si="2124"/>
        <v>78051004</v>
      </c>
      <c r="D9798" t="str">
        <f t="shared" si="2126"/>
        <v>809</v>
      </c>
      <c r="E9798" t="str">
        <f t="shared" si="2125"/>
        <v>89301062</v>
      </c>
      <c r="F9798" t="str">
        <f>"7153214464"</f>
        <v>7153214464</v>
      </c>
      <c r="G9798" s="1">
        <v>44853</v>
      </c>
      <c r="H9798" t="str">
        <f>"0090044"</f>
        <v>0090044</v>
      </c>
      <c r="I9798">
        <v>1</v>
      </c>
      <c r="K9798">
        <v>16.8</v>
      </c>
      <c r="L9798">
        <v>16.8</v>
      </c>
    </row>
    <row r="9799" spans="1:12" x14ac:dyDescent="0.25">
      <c r="A9799" t="str">
        <f t="shared" si="2127"/>
        <v>89301000</v>
      </c>
      <c r="B9799" t="str">
        <f t="shared" si="2123"/>
        <v>78051000</v>
      </c>
      <c r="C9799" t="str">
        <f t="shared" si="2124"/>
        <v>78051004</v>
      </c>
      <c r="D9799" t="str">
        <f t="shared" si="2126"/>
        <v>809</v>
      </c>
      <c r="E9799" t="str">
        <f t="shared" si="2125"/>
        <v>89301062</v>
      </c>
      <c r="F9799" t="str">
        <f>"7153214464"</f>
        <v>7153214464</v>
      </c>
      <c r="G9799" s="1">
        <v>44853</v>
      </c>
      <c r="H9799" t="str">
        <f>"0225891"</f>
        <v>0225891</v>
      </c>
      <c r="I9799">
        <v>0.2</v>
      </c>
      <c r="K9799">
        <v>73.540000000000006</v>
      </c>
      <c r="L9799">
        <v>73.540000000000006</v>
      </c>
    </row>
    <row r="9800" spans="1:12" x14ac:dyDescent="0.25">
      <c r="A9800" t="str">
        <f t="shared" si="2127"/>
        <v>89301000</v>
      </c>
      <c r="B9800" t="str">
        <f t="shared" si="2123"/>
        <v>78051000</v>
      </c>
      <c r="C9800" t="str">
        <f t="shared" si="2124"/>
        <v>78051004</v>
      </c>
      <c r="D9800" t="str">
        <f t="shared" si="2126"/>
        <v>809</v>
      </c>
      <c r="E9800" t="str">
        <f t="shared" si="2125"/>
        <v>89301062</v>
      </c>
      <c r="F9800" t="str">
        <f>"7153214464"</f>
        <v>7153214464</v>
      </c>
      <c r="G9800" s="1">
        <v>44853</v>
      </c>
      <c r="H9800" t="str">
        <f>"0096251"</f>
        <v>0096251</v>
      </c>
      <c r="I9800">
        <v>0.17</v>
      </c>
      <c r="K9800">
        <v>198.83</v>
      </c>
      <c r="L9800">
        <v>198.83</v>
      </c>
    </row>
    <row r="9801" spans="1:12" x14ac:dyDescent="0.25">
      <c r="A9801" t="str">
        <f t="shared" si="2127"/>
        <v>89301000</v>
      </c>
      <c r="B9801" t="str">
        <f t="shared" si="2123"/>
        <v>78051000</v>
      </c>
      <c r="C9801" t="str">
        <f t="shared" si="2124"/>
        <v>78051004</v>
      </c>
      <c r="D9801" t="str">
        <f t="shared" si="2126"/>
        <v>809</v>
      </c>
      <c r="E9801" t="str">
        <f t="shared" si="2125"/>
        <v>89301062</v>
      </c>
      <c r="F9801" t="str">
        <f>"7153214464"</f>
        <v>7153214464</v>
      </c>
      <c r="G9801" s="1">
        <v>44853</v>
      </c>
      <c r="H9801" t="str">
        <f>"0098943"</f>
        <v>0098943</v>
      </c>
      <c r="I9801">
        <v>1</v>
      </c>
      <c r="K9801">
        <v>293.81</v>
      </c>
      <c r="L9801">
        <v>293.81</v>
      </c>
    </row>
    <row r="9802" spans="1:12" x14ac:dyDescent="0.25">
      <c r="A9802" t="str">
        <f t="shared" si="2127"/>
        <v>89301000</v>
      </c>
      <c r="B9802" t="str">
        <f t="shared" si="2123"/>
        <v>78051000</v>
      </c>
      <c r="C9802" t="str">
        <f t="shared" si="2124"/>
        <v>78051004</v>
      </c>
      <c r="D9802" t="str">
        <f t="shared" si="2126"/>
        <v>809</v>
      </c>
      <c r="E9802" t="str">
        <f>"89301172"</f>
        <v>89301172</v>
      </c>
      <c r="F9802" t="str">
        <f>"5852150964"</f>
        <v>5852150964</v>
      </c>
      <c r="G9802" s="1">
        <v>44855</v>
      </c>
      <c r="H9802" t="str">
        <f>"89312"</f>
        <v>89312</v>
      </c>
      <c r="I9802">
        <v>3</v>
      </c>
      <c r="J9802">
        <v>906</v>
      </c>
      <c r="K9802">
        <v>0</v>
      </c>
      <c r="L9802">
        <v>951.3</v>
      </c>
    </row>
    <row r="9803" spans="1:12" x14ac:dyDescent="0.25">
      <c r="A9803" t="str">
        <f t="shared" si="2127"/>
        <v>89301000</v>
      </c>
      <c r="B9803" t="str">
        <f t="shared" si="2123"/>
        <v>78051000</v>
      </c>
      <c r="C9803" t="str">
        <f>"78051017"</f>
        <v>78051017</v>
      </c>
      <c r="D9803" t="str">
        <f>"810"</f>
        <v>810</v>
      </c>
      <c r="E9803" t="str">
        <f>"89301062"</f>
        <v>89301062</v>
      </c>
      <c r="F9803" t="str">
        <f>"465726173"</f>
        <v>465726173</v>
      </c>
      <c r="G9803" s="1">
        <v>44846</v>
      </c>
      <c r="H9803" t="str">
        <f>"89615"</f>
        <v>89615</v>
      </c>
      <c r="I9803">
        <v>1</v>
      </c>
      <c r="J9803">
        <v>2170</v>
      </c>
      <c r="K9803">
        <v>0</v>
      </c>
      <c r="L9803">
        <v>1302</v>
      </c>
    </row>
    <row r="9804" spans="1:12" x14ac:dyDescent="0.25">
      <c r="A9804" t="str">
        <f t="shared" si="2127"/>
        <v>89301000</v>
      </c>
      <c r="B9804" t="str">
        <f t="shared" si="2123"/>
        <v>78051000</v>
      </c>
      <c r="C9804" t="str">
        <f>"78051017"</f>
        <v>78051017</v>
      </c>
      <c r="D9804" t="str">
        <f>"810"</f>
        <v>810</v>
      </c>
      <c r="E9804" t="str">
        <f>"89301062"</f>
        <v>89301062</v>
      </c>
      <c r="F9804" t="str">
        <f>"515924046"</f>
        <v>515924046</v>
      </c>
      <c r="G9804" s="1">
        <v>44846</v>
      </c>
      <c r="H9804" t="str">
        <f>"89615"</f>
        <v>89615</v>
      </c>
      <c r="I9804">
        <v>1</v>
      </c>
      <c r="J9804">
        <v>2170</v>
      </c>
      <c r="K9804">
        <v>0</v>
      </c>
      <c r="L9804">
        <v>1302</v>
      </c>
    </row>
    <row r="9805" spans="1:12" x14ac:dyDescent="0.25">
      <c r="A9805" t="str">
        <f t="shared" si="2127"/>
        <v>89301000</v>
      </c>
      <c r="B9805" t="str">
        <f t="shared" si="2123"/>
        <v>78051000</v>
      </c>
      <c r="C9805" t="str">
        <f>"78051017"</f>
        <v>78051017</v>
      </c>
      <c r="D9805" t="str">
        <f>"810"</f>
        <v>810</v>
      </c>
      <c r="E9805" t="str">
        <f>"89301062"</f>
        <v>89301062</v>
      </c>
      <c r="F9805" t="str">
        <f>"7262254472"</f>
        <v>7262254472</v>
      </c>
      <c r="G9805" s="1">
        <v>44846</v>
      </c>
      <c r="H9805" t="str">
        <f>"89615"</f>
        <v>89615</v>
      </c>
      <c r="I9805">
        <v>1</v>
      </c>
      <c r="J9805">
        <v>2170</v>
      </c>
      <c r="K9805">
        <v>0</v>
      </c>
      <c r="L9805">
        <v>1302</v>
      </c>
    </row>
    <row r="9806" spans="1:12" x14ac:dyDescent="0.25">
      <c r="A9806" t="str">
        <f t="shared" si="2127"/>
        <v>89301000</v>
      </c>
      <c r="B9806" t="str">
        <f t="shared" si="2123"/>
        <v>78051000</v>
      </c>
      <c r="C9806" t="str">
        <f>"78051017"</f>
        <v>78051017</v>
      </c>
      <c r="D9806" t="str">
        <f>"810"</f>
        <v>810</v>
      </c>
      <c r="E9806" t="str">
        <f>"89301062"</f>
        <v>89301062</v>
      </c>
      <c r="F9806" t="str">
        <f>"7159245775"</f>
        <v>7159245775</v>
      </c>
      <c r="G9806" s="1">
        <v>44846</v>
      </c>
      <c r="H9806" t="str">
        <f>"89615"</f>
        <v>89615</v>
      </c>
      <c r="I9806">
        <v>1</v>
      </c>
      <c r="J9806">
        <v>2170</v>
      </c>
      <c r="K9806">
        <v>0</v>
      </c>
      <c r="L9806">
        <v>1302</v>
      </c>
    </row>
    <row r="9807" spans="1:12" x14ac:dyDescent="0.25">
      <c r="A9807" t="str">
        <f t="shared" si="2127"/>
        <v>89301000</v>
      </c>
      <c r="B9807" t="str">
        <f t="shared" si="2123"/>
        <v>78051000</v>
      </c>
      <c r="C9807" t="str">
        <f>"78051017"</f>
        <v>78051017</v>
      </c>
      <c r="D9807" t="str">
        <f>"810"</f>
        <v>810</v>
      </c>
      <c r="E9807" t="str">
        <f>"89301062"</f>
        <v>89301062</v>
      </c>
      <c r="F9807" t="str">
        <f>"7153214464"</f>
        <v>7153214464</v>
      </c>
      <c r="G9807" s="1">
        <v>44853</v>
      </c>
      <c r="H9807" t="str">
        <f>"89615"</f>
        <v>89615</v>
      </c>
      <c r="I9807">
        <v>1</v>
      </c>
      <c r="J9807">
        <v>2170</v>
      </c>
      <c r="K9807">
        <v>0</v>
      </c>
      <c r="L9807">
        <v>1302</v>
      </c>
    </row>
    <row r="9808" spans="1:12" x14ac:dyDescent="0.25">
      <c r="A9808" t="str">
        <f t="shared" si="2127"/>
        <v>89301000</v>
      </c>
      <c r="B9808" t="str">
        <f t="shared" ref="B9808:C9811" si="2128">"92503000"</f>
        <v>92503000</v>
      </c>
      <c r="C9808" t="str">
        <f t="shared" si="2128"/>
        <v>92503000</v>
      </c>
      <c r="D9808" t="str">
        <f>"807"</f>
        <v>807</v>
      </c>
      <c r="E9808" t="str">
        <f>"89301082"</f>
        <v>89301082</v>
      </c>
      <c r="F9808" t="str">
        <f>"0962066171"</f>
        <v>0962066171</v>
      </c>
      <c r="G9808" s="1">
        <v>44845</v>
      </c>
      <c r="H9808" t="str">
        <f>"87433"</f>
        <v>87433</v>
      </c>
      <c r="I9808">
        <v>1</v>
      </c>
      <c r="J9808">
        <v>41</v>
      </c>
      <c r="K9808">
        <v>0</v>
      </c>
      <c r="L9808">
        <v>31.98</v>
      </c>
    </row>
    <row r="9809" spans="1:12" x14ac:dyDescent="0.25">
      <c r="A9809" t="str">
        <f t="shared" si="2127"/>
        <v>89301000</v>
      </c>
      <c r="B9809" t="str">
        <f t="shared" si="2128"/>
        <v>92503000</v>
      </c>
      <c r="C9809" t="str">
        <f t="shared" si="2128"/>
        <v>92503000</v>
      </c>
      <c r="D9809" t="str">
        <f>"807"</f>
        <v>807</v>
      </c>
      <c r="E9809" t="str">
        <f>"89301082"</f>
        <v>89301082</v>
      </c>
      <c r="F9809" t="str">
        <f>"0962066171"</f>
        <v>0962066171</v>
      </c>
      <c r="G9809" s="1">
        <v>44845</v>
      </c>
      <c r="H9809" t="str">
        <f>"87519"</f>
        <v>87519</v>
      </c>
      <c r="I9809">
        <v>1</v>
      </c>
      <c r="J9809">
        <v>310</v>
      </c>
      <c r="K9809">
        <v>0</v>
      </c>
      <c r="L9809">
        <v>241.8</v>
      </c>
    </row>
    <row r="9810" spans="1:12" x14ac:dyDescent="0.25">
      <c r="A9810" t="str">
        <f t="shared" si="2127"/>
        <v>89301000</v>
      </c>
      <c r="B9810" t="str">
        <f t="shared" si="2128"/>
        <v>92503000</v>
      </c>
      <c r="C9810" t="str">
        <f t="shared" si="2128"/>
        <v>92503000</v>
      </c>
      <c r="D9810" t="str">
        <f>"807"</f>
        <v>807</v>
      </c>
      <c r="E9810" t="str">
        <f>"89301082"</f>
        <v>89301082</v>
      </c>
      <c r="F9810" t="str">
        <f>"0859165263"</f>
        <v>0859165263</v>
      </c>
      <c r="G9810" s="1">
        <v>44858</v>
      </c>
      <c r="H9810" t="str">
        <f>"87433"</f>
        <v>87433</v>
      </c>
      <c r="I9810">
        <v>1</v>
      </c>
      <c r="J9810">
        <v>41</v>
      </c>
      <c r="K9810">
        <v>0</v>
      </c>
      <c r="L9810">
        <v>31.98</v>
      </c>
    </row>
    <row r="9811" spans="1:12" x14ac:dyDescent="0.25">
      <c r="A9811" t="str">
        <f t="shared" si="2127"/>
        <v>89301000</v>
      </c>
      <c r="B9811" t="str">
        <f t="shared" si="2128"/>
        <v>92503000</v>
      </c>
      <c r="C9811" t="str">
        <f t="shared" si="2128"/>
        <v>92503000</v>
      </c>
      <c r="D9811" t="str">
        <f>"807"</f>
        <v>807</v>
      </c>
      <c r="E9811" t="str">
        <f>"89301082"</f>
        <v>89301082</v>
      </c>
      <c r="F9811" t="str">
        <f>"0859165263"</f>
        <v>0859165263</v>
      </c>
      <c r="G9811" s="1">
        <v>44858</v>
      </c>
      <c r="H9811" t="str">
        <f>"87519"</f>
        <v>87519</v>
      </c>
      <c r="I9811">
        <v>1</v>
      </c>
      <c r="J9811">
        <v>310</v>
      </c>
      <c r="K9811">
        <v>0</v>
      </c>
      <c r="L9811">
        <v>241.8</v>
      </c>
    </row>
    <row r="9812" spans="1:12" x14ac:dyDescent="0.25">
      <c r="A9812" t="str">
        <f t="shared" si="2127"/>
        <v>89301000</v>
      </c>
      <c r="B9812" t="str">
        <f>"21001231"</f>
        <v>21001231</v>
      </c>
      <c r="C9812" t="str">
        <f>"21001231"</f>
        <v>21001231</v>
      </c>
      <c r="D9812" t="str">
        <f t="shared" ref="D9812:D9818" si="2129">"809"</f>
        <v>809</v>
      </c>
      <c r="E9812" t="str">
        <f>"89301112"</f>
        <v>89301112</v>
      </c>
      <c r="F9812" t="str">
        <f>"9009044858"</f>
        <v>9009044858</v>
      </c>
      <c r="G9812" s="1">
        <v>44863</v>
      </c>
      <c r="H9812" t="str">
        <f>"89713"</f>
        <v>89713</v>
      </c>
      <c r="I9812">
        <v>1</v>
      </c>
      <c r="J9812">
        <v>5362</v>
      </c>
      <c r="K9812">
        <v>0</v>
      </c>
      <c r="L9812">
        <v>3217.2</v>
      </c>
    </row>
    <row r="9813" spans="1:12" x14ac:dyDescent="0.25">
      <c r="A9813" t="str">
        <f t="shared" si="2127"/>
        <v>89301000</v>
      </c>
      <c r="B9813" t="str">
        <f>"21001231"</f>
        <v>21001231</v>
      </c>
      <c r="C9813" t="str">
        <f>"21001231"</f>
        <v>21001231</v>
      </c>
      <c r="D9813" t="str">
        <f t="shared" si="2129"/>
        <v>809</v>
      </c>
      <c r="E9813" t="str">
        <f>"89301112"</f>
        <v>89301112</v>
      </c>
      <c r="F9813" t="str">
        <f>"9009044858"</f>
        <v>9009044858</v>
      </c>
      <c r="G9813" s="1">
        <v>44863</v>
      </c>
      <c r="H9813" t="str">
        <f>"89725"</f>
        <v>89725</v>
      </c>
      <c r="I9813">
        <v>1</v>
      </c>
      <c r="J9813">
        <v>2839</v>
      </c>
      <c r="K9813">
        <v>0</v>
      </c>
      <c r="L9813">
        <v>1703.4</v>
      </c>
    </row>
    <row r="9814" spans="1:12" x14ac:dyDescent="0.25">
      <c r="A9814" t="str">
        <f t="shared" si="2127"/>
        <v>89301000</v>
      </c>
      <c r="B9814" t="str">
        <f>"89511000"</f>
        <v>89511000</v>
      </c>
      <c r="C9814" t="str">
        <f>"89511001"</f>
        <v>89511001</v>
      </c>
      <c r="D9814" t="str">
        <f t="shared" si="2129"/>
        <v>809</v>
      </c>
      <c r="E9814" t="str">
        <f>"89301042"</f>
        <v>89301042</v>
      </c>
      <c r="F9814" t="str">
        <f>"475514432"</f>
        <v>475514432</v>
      </c>
      <c r="G9814" s="1">
        <v>44838</v>
      </c>
      <c r="H9814" t="str">
        <f>"89513"</f>
        <v>89513</v>
      </c>
      <c r="I9814">
        <v>1</v>
      </c>
      <c r="J9814">
        <v>371</v>
      </c>
      <c r="K9814">
        <v>0</v>
      </c>
      <c r="L9814">
        <v>519.4</v>
      </c>
    </row>
    <row r="9815" spans="1:12" x14ac:dyDescent="0.25">
      <c r="A9815" t="str">
        <f t="shared" si="2127"/>
        <v>89301000</v>
      </c>
      <c r="B9815" t="str">
        <f>"89511000"</f>
        <v>89511000</v>
      </c>
      <c r="C9815" t="str">
        <f>"89511001"</f>
        <v>89511001</v>
      </c>
      <c r="D9815" t="str">
        <f t="shared" si="2129"/>
        <v>809</v>
      </c>
      <c r="E9815" t="str">
        <f>"89301042"</f>
        <v>89301042</v>
      </c>
      <c r="F9815" t="str">
        <f>"475514432"</f>
        <v>475514432</v>
      </c>
      <c r="G9815" s="1">
        <v>44838</v>
      </c>
      <c r="H9815" t="str">
        <f>"89514"</f>
        <v>89514</v>
      </c>
      <c r="I9815">
        <v>1</v>
      </c>
      <c r="J9815">
        <v>371</v>
      </c>
      <c r="K9815">
        <v>0</v>
      </c>
      <c r="L9815">
        <v>519.4</v>
      </c>
    </row>
    <row r="9816" spans="1:12" x14ac:dyDescent="0.25">
      <c r="A9816" t="str">
        <f t="shared" si="2127"/>
        <v>89301000</v>
      </c>
      <c r="B9816" t="str">
        <f>"89511000"</f>
        <v>89511000</v>
      </c>
      <c r="C9816" t="str">
        <f>"89511001"</f>
        <v>89511001</v>
      </c>
      <c r="D9816" t="str">
        <f t="shared" si="2129"/>
        <v>809</v>
      </c>
      <c r="E9816" t="str">
        <f>"89301212"</f>
        <v>89301212</v>
      </c>
      <c r="F9816" t="str">
        <f>"5756301947"</f>
        <v>5756301947</v>
      </c>
      <c r="G9816" s="1">
        <v>44839</v>
      </c>
      <c r="H9816" t="str">
        <f>"89131"</f>
        <v>89131</v>
      </c>
      <c r="I9816">
        <v>2</v>
      </c>
      <c r="J9816">
        <v>374</v>
      </c>
      <c r="K9816">
        <v>0</v>
      </c>
      <c r="L9816">
        <v>523.6</v>
      </c>
    </row>
    <row r="9817" spans="1:12" x14ac:dyDescent="0.25">
      <c r="A9817" t="str">
        <f t="shared" si="2127"/>
        <v>89301000</v>
      </c>
      <c r="B9817" t="str">
        <f>"89511000"</f>
        <v>89511000</v>
      </c>
      <c r="C9817" t="str">
        <f>"89511001"</f>
        <v>89511001</v>
      </c>
      <c r="D9817" t="str">
        <f t="shared" si="2129"/>
        <v>809</v>
      </c>
      <c r="E9817" t="str">
        <f>"89301132"</f>
        <v>89301132</v>
      </c>
      <c r="F9817" t="str">
        <f>"7658124463"</f>
        <v>7658124463</v>
      </c>
      <c r="G9817" s="1">
        <v>44840</v>
      </c>
      <c r="H9817" t="str">
        <f>"09139"</f>
        <v>09139</v>
      </c>
      <c r="I9817">
        <v>1</v>
      </c>
      <c r="J9817">
        <v>346</v>
      </c>
      <c r="K9817">
        <v>0</v>
      </c>
      <c r="L9817">
        <v>484.4</v>
      </c>
    </row>
    <row r="9818" spans="1:12" x14ac:dyDescent="0.25">
      <c r="A9818" t="str">
        <f t="shared" si="2127"/>
        <v>89301000</v>
      </c>
      <c r="B9818" t="str">
        <f>"89511000"</f>
        <v>89511000</v>
      </c>
      <c r="C9818" t="str">
        <f>"89511001"</f>
        <v>89511001</v>
      </c>
      <c r="D9818" t="str">
        <f t="shared" si="2129"/>
        <v>809</v>
      </c>
      <c r="E9818" t="str">
        <f>"89301132"</f>
        <v>89301132</v>
      </c>
      <c r="F9818" t="str">
        <f>"7658124463"</f>
        <v>7658124463</v>
      </c>
      <c r="G9818" s="1">
        <v>44840</v>
      </c>
      <c r="H9818" t="str">
        <f>"09135"</f>
        <v>09135</v>
      </c>
      <c r="I9818">
        <v>1</v>
      </c>
      <c r="J9818">
        <v>174</v>
      </c>
      <c r="K9818">
        <v>0</v>
      </c>
      <c r="L9818">
        <v>243.6</v>
      </c>
    </row>
    <row r="9819" spans="1:12" x14ac:dyDescent="0.25">
      <c r="A9819" t="str">
        <f t="shared" si="2127"/>
        <v>89301000</v>
      </c>
      <c r="B9819" t="str">
        <f t="shared" ref="B9819:C9836" si="2130">"87669000"</f>
        <v>87669000</v>
      </c>
      <c r="C9819" t="str">
        <f t="shared" si="2130"/>
        <v>87669000</v>
      </c>
      <c r="D9819" t="str">
        <f t="shared" ref="D9819:D9839" si="2131">"801"</f>
        <v>801</v>
      </c>
      <c r="E9819" t="str">
        <f t="shared" ref="E9819:E9839" si="2132">"89301167"</f>
        <v>89301167</v>
      </c>
      <c r="F9819" t="str">
        <f t="shared" ref="F9819:F9839" si="2133">"480710460"</f>
        <v>480710460</v>
      </c>
      <c r="G9819" s="1">
        <v>44837</v>
      </c>
      <c r="H9819" t="str">
        <f>"81329"</f>
        <v>81329</v>
      </c>
      <c r="I9819">
        <v>1</v>
      </c>
      <c r="J9819">
        <v>16</v>
      </c>
      <c r="K9819">
        <v>0</v>
      </c>
      <c r="L9819">
        <v>12.48</v>
      </c>
    </row>
    <row r="9820" spans="1:12" x14ac:dyDescent="0.25">
      <c r="A9820" t="str">
        <f t="shared" si="2127"/>
        <v>89301000</v>
      </c>
      <c r="B9820" t="str">
        <f t="shared" si="2130"/>
        <v>87669000</v>
      </c>
      <c r="C9820" t="str">
        <f t="shared" si="2130"/>
        <v>87669000</v>
      </c>
      <c r="D9820" t="str">
        <f t="shared" si="2131"/>
        <v>801</v>
      </c>
      <c r="E9820" t="str">
        <f t="shared" si="2132"/>
        <v>89301167</v>
      </c>
      <c r="F9820" t="str">
        <f t="shared" si="2133"/>
        <v>480710460</v>
      </c>
      <c r="G9820" s="1">
        <v>44837</v>
      </c>
      <c r="H9820" t="str">
        <f>"81337"</f>
        <v>81337</v>
      </c>
      <c r="I9820">
        <v>1</v>
      </c>
      <c r="J9820">
        <v>19</v>
      </c>
      <c r="K9820">
        <v>0</v>
      </c>
      <c r="L9820">
        <v>14.82</v>
      </c>
    </row>
    <row r="9821" spans="1:12" x14ac:dyDescent="0.25">
      <c r="A9821" t="str">
        <f t="shared" si="2127"/>
        <v>89301000</v>
      </c>
      <c r="B9821" t="str">
        <f t="shared" si="2130"/>
        <v>87669000</v>
      </c>
      <c r="C9821" t="str">
        <f t="shared" si="2130"/>
        <v>87669000</v>
      </c>
      <c r="D9821" t="str">
        <f t="shared" si="2131"/>
        <v>801</v>
      </c>
      <c r="E9821" t="str">
        <f t="shared" si="2132"/>
        <v>89301167</v>
      </c>
      <c r="F9821" t="str">
        <f t="shared" si="2133"/>
        <v>480710460</v>
      </c>
      <c r="G9821" s="1">
        <v>44837</v>
      </c>
      <c r="H9821" t="str">
        <f>"81357"</f>
        <v>81357</v>
      </c>
      <c r="I9821">
        <v>1</v>
      </c>
      <c r="J9821">
        <v>19</v>
      </c>
      <c r="K9821">
        <v>0</v>
      </c>
      <c r="L9821">
        <v>14.82</v>
      </c>
    </row>
    <row r="9822" spans="1:12" x14ac:dyDescent="0.25">
      <c r="A9822" t="str">
        <f t="shared" si="2127"/>
        <v>89301000</v>
      </c>
      <c r="B9822" t="str">
        <f t="shared" si="2130"/>
        <v>87669000</v>
      </c>
      <c r="C9822" t="str">
        <f t="shared" si="2130"/>
        <v>87669000</v>
      </c>
      <c r="D9822" t="str">
        <f t="shared" si="2131"/>
        <v>801</v>
      </c>
      <c r="E9822" t="str">
        <f t="shared" si="2132"/>
        <v>89301167</v>
      </c>
      <c r="F9822" t="str">
        <f t="shared" si="2133"/>
        <v>480710460</v>
      </c>
      <c r="G9822" s="1">
        <v>44837</v>
      </c>
      <c r="H9822" t="str">
        <f>"81361"</f>
        <v>81361</v>
      </c>
      <c r="I9822">
        <v>1</v>
      </c>
      <c r="J9822">
        <v>17</v>
      </c>
      <c r="K9822">
        <v>0</v>
      </c>
      <c r="L9822">
        <v>13.26</v>
      </c>
    </row>
    <row r="9823" spans="1:12" x14ac:dyDescent="0.25">
      <c r="A9823" t="str">
        <f t="shared" si="2127"/>
        <v>89301000</v>
      </c>
      <c r="B9823" t="str">
        <f t="shared" si="2130"/>
        <v>87669000</v>
      </c>
      <c r="C9823" t="str">
        <f t="shared" si="2130"/>
        <v>87669000</v>
      </c>
      <c r="D9823" t="str">
        <f t="shared" si="2131"/>
        <v>801</v>
      </c>
      <c r="E9823" t="str">
        <f t="shared" si="2132"/>
        <v>89301167</v>
      </c>
      <c r="F9823" t="str">
        <f t="shared" si="2133"/>
        <v>480710460</v>
      </c>
      <c r="G9823" s="1">
        <v>44837</v>
      </c>
      <c r="H9823" t="str">
        <f>"81365"</f>
        <v>81365</v>
      </c>
      <c r="I9823">
        <v>1</v>
      </c>
      <c r="J9823">
        <v>16</v>
      </c>
      <c r="K9823">
        <v>0</v>
      </c>
      <c r="L9823">
        <v>12.48</v>
      </c>
    </row>
    <row r="9824" spans="1:12" x14ac:dyDescent="0.25">
      <c r="A9824" t="str">
        <f t="shared" si="2127"/>
        <v>89301000</v>
      </c>
      <c r="B9824" t="str">
        <f t="shared" si="2130"/>
        <v>87669000</v>
      </c>
      <c r="C9824" t="str">
        <f t="shared" si="2130"/>
        <v>87669000</v>
      </c>
      <c r="D9824" t="str">
        <f t="shared" si="2131"/>
        <v>801</v>
      </c>
      <c r="E9824" t="str">
        <f t="shared" si="2132"/>
        <v>89301167</v>
      </c>
      <c r="F9824" t="str">
        <f t="shared" si="2133"/>
        <v>480710460</v>
      </c>
      <c r="G9824" s="1">
        <v>44837</v>
      </c>
      <c r="H9824" t="str">
        <f>"81393"</f>
        <v>81393</v>
      </c>
      <c r="I9824">
        <v>1</v>
      </c>
      <c r="J9824">
        <v>24</v>
      </c>
      <c r="K9824">
        <v>0</v>
      </c>
      <c r="L9824">
        <v>18.72</v>
      </c>
    </row>
    <row r="9825" spans="1:12" x14ac:dyDescent="0.25">
      <c r="A9825" t="str">
        <f t="shared" si="2127"/>
        <v>89301000</v>
      </c>
      <c r="B9825" t="str">
        <f t="shared" si="2130"/>
        <v>87669000</v>
      </c>
      <c r="C9825" t="str">
        <f t="shared" si="2130"/>
        <v>87669000</v>
      </c>
      <c r="D9825" t="str">
        <f t="shared" si="2131"/>
        <v>801</v>
      </c>
      <c r="E9825" t="str">
        <f t="shared" si="2132"/>
        <v>89301167</v>
      </c>
      <c r="F9825" t="str">
        <f t="shared" si="2133"/>
        <v>480710460</v>
      </c>
      <c r="G9825" s="1">
        <v>44837</v>
      </c>
      <c r="H9825" t="str">
        <f>"81421"</f>
        <v>81421</v>
      </c>
      <c r="I9825">
        <v>1</v>
      </c>
      <c r="J9825">
        <v>19</v>
      </c>
      <c r="K9825">
        <v>0</v>
      </c>
      <c r="L9825">
        <v>14.82</v>
      </c>
    </row>
    <row r="9826" spans="1:12" x14ac:dyDescent="0.25">
      <c r="A9826" t="str">
        <f t="shared" si="2127"/>
        <v>89301000</v>
      </c>
      <c r="B9826" t="str">
        <f t="shared" si="2130"/>
        <v>87669000</v>
      </c>
      <c r="C9826" t="str">
        <f t="shared" si="2130"/>
        <v>87669000</v>
      </c>
      <c r="D9826" t="str">
        <f t="shared" si="2131"/>
        <v>801</v>
      </c>
      <c r="E9826" t="str">
        <f t="shared" si="2132"/>
        <v>89301167</v>
      </c>
      <c r="F9826" t="str">
        <f t="shared" si="2133"/>
        <v>480710460</v>
      </c>
      <c r="G9826" s="1">
        <v>44837</v>
      </c>
      <c r="H9826" t="str">
        <f>"81435"</f>
        <v>81435</v>
      </c>
      <c r="I9826">
        <v>1</v>
      </c>
      <c r="J9826">
        <v>22</v>
      </c>
      <c r="K9826">
        <v>0</v>
      </c>
      <c r="L9826">
        <v>17.16</v>
      </c>
    </row>
    <row r="9827" spans="1:12" x14ac:dyDescent="0.25">
      <c r="A9827" t="str">
        <f t="shared" si="2127"/>
        <v>89301000</v>
      </c>
      <c r="B9827" t="str">
        <f t="shared" si="2130"/>
        <v>87669000</v>
      </c>
      <c r="C9827" t="str">
        <f t="shared" si="2130"/>
        <v>87669000</v>
      </c>
      <c r="D9827" t="str">
        <f t="shared" si="2131"/>
        <v>801</v>
      </c>
      <c r="E9827" t="str">
        <f t="shared" si="2132"/>
        <v>89301167</v>
      </c>
      <c r="F9827" t="str">
        <f t="shared" si="2133"/>
        <v>480710460</v>
      </c>
      <c r="G9827" s="1">
        <v>44837</v>
      </c>
      <c r="H9827" t="str">
        <f>"81439"</f>
        <v>81439</v>
      </c>
      <c r="I9827">
        <v>1</v>
      </c>
      <c r="J9827">
        <v>16</v>
      </c>
      <c r="K9827">
        <v>0</v>
      </c>
      <c r="L9827">
        <v>12.48</v>
      </c>
    </row>
    <row r="9828" spans="1:12" x14ac:dyDescent="0.25">
      <c r="A9828" t="str">
        <f t="shared" si="2127"/>
        <v>89301000</v>
      </c>
      <c r="B9828" t="str">
        <f t="shared" si="2130"/>
        <v>87669000</v>
      </c>
      <c r="C9828" t="str">
        <f t="shared" si="2130"/>
        <v>87669000</v>
      </c>
      <c r="D9828" t="str">
        <f t="shared" si="2131"/>
        <v>801</v>
      </c>
      <c r="E9828" t="str">
        <f t="shared" si="2132"/>
        <v>89301167</v>
      </c>
      <c r="F9828" t="str">
        <f t="shared" si="2133"/>
        <v>480710460</v>
      </c>
      <c r="G9828" s="1">
        <v>44837</v>
      </c>
      <c r="H9828" t="str">
        <f>"81469"</f>
        <v>81469</v>
      </c>
      <c r="I9828">
        <v>1</v>
      </c>
      <c r="J9828">
        <v>16</v>
      </c>
      <c r="K9828">
        <v>0</v>
      </c>
      <c r="L9828">
        <v>12.48</v>
      </c>
    </row>
    <row r="9829" spans="1:12" x14ac:dyDescent="0.25">
      <c r="A9829" t="str">
        <f t="shared" si="2127"/>
        <v>89301000</v>
      </c>
      <c r="B9829" t="str">
        <f t="shared" si="2130"/>
        <v>87669000</v>
      </c>
      <c r="C9829" t="str">
        <f t="shared" si="2130"/>
        <v>87669000</v>
      </c>
      <c r="D9829" t="str">
        <f t="shared" si="2131"/>
        <v>801</v>
      </c>
      <c r="E9829" t="str">
        <f t="shared" si="2132"/>
        <v>89301167</v>
      </c>
      <c r="F9829" t="str">
        <f t="shared" si="2133"/>
        <v>480710460</v>
      </c>
      <c r="G9829" s="1">
        <v>44837</v>
      </c>
      <c r="H9829" t="str">
        <f>"81499"</f>
        <v>81499</v>
      </c>
      <c r="I9829">
        <v>1</v>
      </c>
      <c r="J9829">
        <v>18</v>
      </c>
      <c r="K9829">
        <v>0</v>
      </c>
      <c r="L9829">
        <v>14.04</v>
      </c>
    </row>
    <row r="9830" spans="1:12" x14ac:dyDescent="0.25">
      <c r="A9830" t="str">
        <f t="shared" si="2127"/>
        <v>89301000</v>
      </c>
      <c r="B9830" t="str">
        <f t="shared" si="2130"/>
        <v>87669000</v>
      </c>
      <c r="C9830" t="str">
        <f t="shared" si="2130"/>
        <v>87669000</v>
      </c>
      <c r="D9830" t="str">
        <f t="shared" si="2131"/>
        <v>801</v>
      </c>
      <c r="E9830" t="str">
        <f t="shared" si="2132"/>
        <v>89301167</v>
      </c>
      <c r="F9830" t="str">
        <f t="shared" si="2133"/>
        <v>480710460</v>
      </c>
      <c r="G9830" s="1">
        <v>44837</v>
      </c>
      <c r="H9830" t="str">
        <f>"81523"</f>
        <v>81523</v>
      </c>
      <c r="I9830">
        <v>1</v>
      </c>
      <c r="J9830">
        <v>23</v>
      </c>
      <c r="K9830">
        <v>0</v>
      </c>
      <c r="L9830">
        <v>17.940000000000001</v>
      </c>
    </row>
    <row r="9831" spans="1:12" x14ac:dyDescent="0.25">
      <c r="A9831" t="str">
        <f t="shared" si="2127"/>
        <v>89301000</v>
      </c>
      <c r="B9831" t="str">
        <f t="shared" si="2130"/>
        <v>87669000</v>
      </c>
      <c r="C9831" t="str">
        <f t="shared" si="2130"/>
        <v>87669000</v>
      </c>
      <c r="D9831" t="str">
        <f t="shared" si="2131"/>
        <v>801</v>
      </c>
      <c r="E9831" t="str">
        <f t="shared" si="2132"/>
        <v>89301167</v>
      </c>
      <c r="F9831" t="str">
        <f t="shared" si="2133"/>
        <v>480710460</v>
      </c>
      <c r="G9831" s="1">
        <v>44837</v>
      </c>
      <c r="H9831" t="str">
        <f>"81593"</f>
        <v>81593</v>
      </c>
      <c r="I9831">
        <v>1</v>
      </c>
      <c r="J9831">
        <v>22</v>
      </c>
      <c r="K9831">
        <v>0</v>
      </c>
      <c r="L9831">
        <v>17.16</v>
      </c>
    </row>
    <row r="9832" spans="1:12" x14ac:dyDescent="0.25">
      <c r="A9832" t="str">
        <f t="shared" si="2127"/>
        <v>89301000</v>
      </c>
      <c r="B9832" t="str">
        <f t="shared" si="2130"/>
        <v>87669000</v>
      </c>
      <c r="C9832" t="str">
        <f t="shared" si="2130"/>
        <v>87669000</v>
      </c>
      <c r="D9832" t="str">
        <f t="shared" si="2131"/>
        <v>801</v>
      </c>
      <c r="E9832" t="str">
        <f t="shared" si="2132"/>
        <v>89301167</v>
      </c>
      <c r="F9832" t="str">
        <f t="shared" si="2133"/>
        <v>480710460</v>
      </c>
      <c r="G9832" s="1">
        <v>44837</v>
      </c>
      <c r="H9832" t="str">
        <f>"81621"</f>
        <v>81621</v>
      </c>
      <c r="I9832">
        <v>1</v>
      </c>
      <c r="J9832">
        <v>19</v>
      </c>
      <c r="K9832">
        <v>0</v>
      </c>
      <c r="L9832">
        <v>14.82</v>
      </c>
    </row>
    <row r="9833" spans="1:12" x14ac:dyDescent="0.25">
      <c r="A9833" t="str">
        <f t="shared" si="2127"/>
        <v>89301000</v>
      </c>
      <c r="B9833" t="str">
        <f t="shared" si="2130"/>
        <v>87669000</v>
      </c>
      <c r="C9833" t="str">
        <f t="shared" si="2130"/>
        <v>87669000</v>
      </c>
      <c r="D9833" t="str">
        <f t="shared" si="2131"/>
        <v>801</v>
      </c>
      <c r="E9833" t="str">
        <f t="shared" si="2132"/>
        <v>89301167</v>
      </c>
      <c r="F9833" t="str">
        <f t="shared" si="2133"/>
        <v>480710460</v>
      </c>
      <c r="G9833" s="1">
        <v>44837</v>
      </c>
      <c r="H9833" t="str">
        <f>"81625"</f>
        <v>81625</v>
      </c>
      <c r="I9833">
        <v>1</v>
      </c>
      <c r="J9833">
        <v>20</v>
      </c>
      <c r="K9833">
        <v>0</v>
      </c>
      <c r="L9833">
        <v>15.6</v>
      </c>
    </row>
    <row r="9834" spans="1:12" x14ac:dyDescent="0.25">
      <c r="A9834" t="str">
        <f t="shared" si="2127"/>
        <v>89301000</v>
      </c>
      <c r="B9834" t="str">
        <f t="shared" si="2130"/>
        <v>87669000</v>
      </c>
      <c r="C9834" t="str">
        <f t="shared" si="2130"/>
        <v>87669000</v>
      </c>
      <c r="D9834" t="str">
        <f t="shared" si="2131"/>
        <v>801</v>
      </c>
      <c r="E9834" t="str">
        <f t="shared" si="2132"/>
        <v>89301167</v>
      </c>
      <c r="F9834" t="str">
        <f t="shared" si="2133"/>
        <v>480710460</v>
      </c>
      <c r="G9834" s="1">
        <v>44837</v>
      </c>
      <c r="H9834" t="str">
        <f>"91153"</f>
        <v>91153</v>
      </c>
      <c r="I9834">
        <v>1</v>
      </c>
      <c r="J9834">
        <v>152</v>
      </c>
      <c r="K9834">
        <v>0</v>
      </c>
      <c r="L9834">
        <v>118.56</v>
      </c>
    </row>
    <row r="9835" spans="1:12" x14ac:dyDescent="0.25">
      <c r="A9835" t="str">
        <f t="shared" si="2127"/>
        <v>89301000</v>
      </c>
      <c r="B9835" t="str">
        <f t="shared" si="2130"/>
        <v>87669000</v>
      </c>
      <c r="C9835" t="str">
        <f t="shared" si="2130"/>
        <v>87669000</v>
      </c>
      <c r="D9835" t="str">
        <f t="shared" si="2131"/>
        <v>801</v>
      </c>
      <c r="E9835" t="str">
        <f t="shared" si="2132"/>
        <v>89301167</v>
      </c>
      <c r="F9835" t="str">
        <f t="shared" si="2133"/>
        <v>480710460</v>
      </c>
      <c r="G9835" s="1">
        <v>44837</v>
      </c>
      <c r="H9835" t="str">
        <f>"96167"</f>
        <v>96167</v>
      </c>
      <c r="I9835">
        <v>1</v>
      </c>
      <c r="J9835">
        <v>67</v>
      </c>
      <c r="K9835">
        <v>0</v>
      </c>
      <c r="L9835">
        <v>52.26</v>
      </c>
    </row>
    <row r="9836" spans="1:12" x14ac:dyDescent="0.25">
      <c r="A9836" t="str">
        <f t="shared" si="2127"/>
        <v>89301000</v>
      </c>
      <c r="B9836" t="str">
        <f t="shared" si="2130"/>
        <v>87669000</v>
      </c>
      <c r="C9836" t="str">
        <f t="shared" si="2130"/>
        <v>87669000</v>
      </c>
      <c r="D9836" t="str">
        <f t="shared" si="2131"/>
        <v>801</v>
      </c>
      <c r="E9836" t="str">
        <f t="shared" si="2132"/>
        <v>89301167</v>
      </c>
      <c r="F9836" t="str">
        <f t="shared" si="2133"/>
        <v>480710460</v>
      </c>
      <c r="G9836" s="1">
        <v>44837</v>
      </c>
      <c r="H9836" t="str">
        <f>"97111"</f>
        <v>97111</v>
      </c>
      <c r="I9836">
        <v>1</v>
      </c>
      <c r="J9836">
        <v>18</v>
      </c>
      <c r="K9836">
        <v>0</v>
      </c>
      <c r="L9836">
        <v>14.04</v>
      </c>
    </row>
    <row r="9837" spans="1:12" x14ac:dyDescent="0.25">
      <c r="A9837" t="str">
        <f t="shared" si="2127"/>
        <v>89301000</v>
      </c>
      <c r="B9837" t="str">
        <f>"91997900"</f>
        <v>91997900</v>
      </c>
      <c r="C9837" t="str">
        <f>"91997901"</f>
        <v>91997901</v>
      </c>
      <c r="D9837" t="str">
        <f t="shared" si="2131"/>
        <v>801</v>
      </c>
      <c r="E9837" t="str">
        <f t="shared" si="2132"/>
        <v>89301167</v>
      </c>
      <c r="F9837" t="str">
        <f t="shared" si="2133"/>
        <v>480710460</v>
      </c>
      <c r="G9837" s="1">
        <v>44837</v>
      </c>
      <c r="H9837" t="str">
        <f>"81249"</f>
        <v>81249</v>
      </c>
      <c r="I9837">
        <v>1</v>
      </c>
      <c r="J9837">
        <v>333</v>
      </c>
      <c r="K9837">
        <v>0</v>
      </c>
      <c r="L9837">
        <v>259.74</v>
      </c>
    </row>
    <row r="9838" spans="1:12" x14ac:dyDescent="0.25">
      <c r="A9838" t="str">
        <f t="shared" si="2127"/>
        <v>89301000</v>
      </c>
      <c r="B9838" t="str">
        <f>"91997900"</f>
        <v>91997900</v>
      </c>
      <c r="C9838" t="str">
        <f>"91997901"</f>
        <v>91997901</v>
      </c>
      <c r="D9838" t="str">
        <f t="shared" si="2131"/>
        <v>801</v>
      </c>
      <c r="E9838" t="str">
        <f t="shared" si="2132"/>
        <v>89301167</v>
      </c>
      <c r="F9838" t="str">
        <f t="shared" si="2133"/>
        <v>480710460</v>
      </c>
      <c r="G9838" s="1">
        <v>44837</v>
      </c>
      <c r="H9838" t="str">
        <f>"81383"</f>
        <v>81383</v>
      </c>
      <c r="I9838">
        <v>1</v>
      </c>
      <c r="J9838">
        <v>23</v>
      </c>
      <c r="K9838">
        <v>0</v>
      </c>
      <c r="L9838">
        <v>17.940000000000001</v>
      </c>
    </row>
    <row r="9839" spans="1:12" x14ac:dyDescent="0.25">
      <c r="A9839" t="str">
        <f t="shared" si="2127"/>
        <v>89301000</v>
      </c>
      <c r="B9839" t="str">
        <f>"91997900"</f>
        <v>91997900</v>
      </c>
      <c r="C9839" t="str">
        <f>"91997901"</f>
        <v>91997901</v>
      </c>
      <c r="D9839" t="str">
        <f t="shared" si="2131"/>
        <v>801</v>
      </c>
      <c r="E9839" t="str">
        <f t="shared" si="2132"/>
        <v>89301167</v>
      </c>
      <c r="F9839" t="str">
        <f t="shared" si="2133"/>
        <v>480710460</v>
      </c>
      <c r="G9839" s="1">
        <v>44837</v>
      </c>
      <c r="H9839" t="str">
        <f>"93135"</f>
        <v>93135</v>
      </c>
      <c r="I9839">
        <v>1</v>
      </c>
      <c r="J9839">
        <v>300</v>
      </c>
      <c r="K9839">
        <v>0</v>
      </c>
      <c r="L9839">
        <v>234</v>
      </c>
    </row>
    <row r="9840" spans="1:12" x14ac:dyDescent="0.25">
      <c r="A9840" t="str">
        <f t="shared" si="2127"/>
        <v>89301000</v>
      </c>
      <c r="B9840" t="str">
        <f>"91997900"</f>
        <v>91997900</v>
      </c>
      <c r="C9840" t="str">
        <f>"91997902"</f>
        <v>91997902</v>
      </c>
      <c r="D9840" t="str">
        <f>"813"</f>
        <v>813</v>
      </c>
      <c r="E9840" t="str">
        <f>"89301322"</f>
        <v>89301322</v>
      </c>
      <c r="F9840" t="str">
        <f>"7461215322"</f>
        <v>7461215322</v>
      </c>
      <c r="G9840" s="1">
        <v>44858</v>
      </c>
      <c r="H9840" t="str">
        <f>"91439"</f>
        <v>91439</v>
      </c>
      <c r="I9840">
        <v>9</v>
      </c>
      <c r="J9840">
        <v>3204</v>
      </c>
      <c r="K9840">
        <v>0</v>
      </c>
      <c r="L9840">
        <v>2499.12</v>
      </c>
    </row>
    <row r="9841" spans="1:12" x14ac:dyDescent="0.25">
      <c r="A9841" t="str">
        <f t="shared" si="2127"/>
        <v>89301000</v>
      </c>
      <c r="B9841" t="str">
        <f>"91997900"</f>
        <v>91997900</v>
      </c>
      <c r="C9841" t="str">
        <f>"91997902"</f>
        <v>91997902</v>
      </c>
      <c r="D9841" t="str">
        <f>"813"</f>
        <v>813</v>
      </c>
      <c r="E9841" t="str">
        <f>"89301322"</f>
        <v>89301322</v>
      </c>
      <c r="F9841" t="str">
        <f>"7461215322"</f>
        <v>7461215322</v>
      </c>
      <c r="G9841" s="1">
        <v>44858</v>
      </c>
      <c r="H9841" t="str">
        <f>"91439"</f>
        <v>91439</v>
      </c>
      <c r="I9841">
        <v>6</v>
      </c>
      <c r="J9841">
        <v>2136</v>
      </c>
      <c r="K9841">
        <v>0</v>
      </c>
      <c r="L9841">
        <v>1666.08</v>
      </c>
    </row>
    <row r="9842" spans="1:12" x14ac:dyDescent="0.25">
      <c r="A9842" t="str">
        <f t="shared" si="2127"/>
        <v>89301000</v>
      </c>
      <c r="B9842" t="str">
        <f>"06515000"</f>
        <v>06515000</v>
      </c>
      <c r="C9842" t="str">
        <f>"06515024"</f>
        <v>06515024</v>
      </c>
      <c r="D9842" t="str">
        <f>"801"</f>
        <v>801</v>
      </c>
      <c r="E9842" t="str">
        <f>"89301082"</f>
        <v>89301082</v>
      </c>
      <c r="F9842" t="str">
        <f>"8653244116"</f>
        <v>8653244116</v>
      </c>
      <c r="G9842" s="1">
        <v>44858</v>
      </c>
      <c r="H9842" t="str">
        <f>"97111"</f>
        <v>97111</v>
      </c>
      <c r="I9842">
        <v>1</v>
      </c>
      <c r="J9842">
        <v>18</v>
      </c>
      <c r="K9842">
        <v>0</v>
      </c>
      <c r="L9842">
        <v>14.04</v>
      </c>
    </row>
    <row r="9843" spans="1:12" x14ac:dyDescent="0.25">
      <c r="A9843" t="str">
        <f t="shared" si="2127"/>
        <v>89301000</v>
      </c>
      <c r="B9843" t="str">
        <f>"06515000"</f>
        <v>06515000</v>
      </c>
      <c r="C9843" t="str">
        <f>"06515024"</f>
        <v>06515024</v>
      </c>
      <c r="D9843" t="str">
        <f>"801"</f>
        <v>801</v>
      </c>
      <c r="E9843" t="str">
        <f>"89301082"</f>
        <v>89301082</v>
      </c>
      <c r="F9843" t="str">
        <f>"8653244116"</f>
        <v>8653244116</v>
      </c>
      <c r="G9843" s="1">
        <v>44858</v>
      </c>
      <c r="H9843" t="str">
        <f>"93155"</f>
        <v>93155</v>
      </c>
      <c r="I9843">
        <v>1</v>
      </c>
      <c r="J9843">
        <v>202</v>
      </c>
      <c r="K9843">
        <v>0</v>
      </c>
      <c r="L9843">
        <v>157.56</v>
      </c>
    </row>
    <row r="9844" spans="1:12" x14ac:dyDescent="0.25">
      <c r="A9844" t="str">
        <f t="shared" si="2127"/>
        <v>89301000</v>
      </c>
      <c r="B9844" t="str">
        <f>"06515000"</f>
        <v>06515000</v>
      </c>
      <c r="C9844" t="str">
        <f>"06515030"</f>
        <v>06515030</v>
      </c>
      <c r="D9844" t="str">
        <f>"813"</f>
        <v>813</v>
      </c>
      <c r="E9844" t="str">
        <f>"89301082"</f>
        <v>89301082</v>
      </c>
      <c r="F9844" t="str">
        <f>"8751166215"</f>
        <v>8751166215</v>
      </c>
      <c r="G9844" s="1">
        <v>44855</v>
      </c>
      <c r="H9844" t="str">
        <f>"93137"</f>
        <v>93137</v>
      </c>
      <c r="I9844">
        <v>1</v>
      </c>
      <c r="J9844">
        <v>184</v>
      </c>
      <c r="K9844">
        <v>0</v>
      </c>
      <c r="L9844">
        <v>143.52000000000001</v>
      </c>
    </row>
    <row r="9845" spans="1:12" x14ac:dyDescent="0.25">
      <c r="A9845" t="str">
        <f t="shared" si="2127"/>
        <v>89301000</v>
      </c>
      <c r="B9845" t="str">
        <f>"06515000"</f>
        <v>06515000</v>
      </c>
      <c r="C9845" t="str">
        <f>"06515024"</f>
        <v>06515024</v>
      </c>
      <c r="D9845" t="str">
        <f>"801"</f>
        <v>801</v>
      </c>
      <c r="E9845" t="str">
        <f>"89301082"</f>
        <v>89301082</v>
      </c>
      <c r="F9845" t="str">
        <f>"8751166215"</f>
        <v>8751166215</v>
      </c>
      <c r="G9845" s="1">
        <v>44855</v>
      </c>
      <c r="H9845" t="str">
        <f>"97111"</f>
        <v>97111</v>
      </c>
      <c r="I9845">
        <v>1</v>
      </c>
      <c r="J9845">
        <v>18</v>
      </c>
      <c r="K9845">
        <v>0</v>
      </c>
      <c r="L9845">
        <v>14.04</v>
      </c>
    </row>
    <row r="9846" spans="1:12" x14ac:dyDescent="0.25">
      <c r="A9846" t="str">
        <f t="shared" si="2127"/>
        <v>89301000</v>
      </c>
      <c r="B9846" t="str">
        <f t="shared" ref="B9846:C9850" si="2134">"89345401"</f>
        <v>89345401</v>
      </c>
      <c r="C9846" t="str">
        <f t="shared" si="2134"/>
        <v>89345401</v>
      </c>
      <c r="D9846" t="str">
        <f>"809"</f>
        <v>809</v>
      </c>
      <c r="E9846" t="str">
        <f>"89301602"</f>
        <v>89301602</v>
      </c>
      <c r="F9846" t="str">
        <f>"6554211257"</f>
        <v>6554211257</v>
      </c>
      <c r="G9846" s="1">
        <v>44847</v>
      </c>
      <c r="H9846" t="str">
        <f>"89517"</f>
        <v>89517</v>
      </c>
      <c r="I9846">
        <v>1</v>
      </c>
      <c r="J9846">
        <v>970</v>
      </c>
      <c r="K9846">
        <v>0</v>
      </c>
      <c r="L9846">
        <v>1358</v>
      </c>
    </row>
    <row r="9847" spans="1:12" x14ac:dyDescent="0.25">
      <c r="A9847" t="str">
        <f t="shared" si="2127"/>
        <v>89301000</v>
      </c>
      <c r="B9847" t="str">
        <f t="shared" si="2134"/>
        <v>89345401</v>
      </c>
      <c r="C9847" t="str">
        <f t="shared" si="2134"/>
        <v>89345401</v>
      </c>
      <c r="D9847" t="str">
        <f>"809"</f>
        <v>809</v>
      </c>
      <c r="E9847" t="str">
        <f>"89301212"</f>
        <v>89301212</v>
      </c>
      <c r="F9847" t="str">
        <f>"7254084486"</f>
        <v>7254084486</v>
      </c>
      <c r="G9847" s="1">
        <v>44844</v>
      </c>
      <c r="H9847" t="str">
        <f>"89513"</f>
        <v>89513</v>
      </c>
      <c r="I9847">
        <v>1</v>
      </c>
      <c r="J9847">
        <v>371</v>
      </c>
      <c r="K9847">
        <v>0</v>
      </c>
      <c r="L9847">
        <v>519.4</v>
      </c>
    </row>
    <row r="9848" spans="1:12" x14ac:dyDescent="0.25">
      <c r="A9848" t="str">
        <f t="shared" si="2127"/>
        <v>89301000</v>
      </c>
      <c r="B9848" t="str">
        <f t="shared" si="2134"/>
        <v>89345401</v>
      </c>
      <c r="C9848" t="str">
        <f t="shared" si="2134"/>
        <v>89345401</v>
      </c>
      <c r="D9848" t="str">
        <f>"809"</f>
        <v>809</v>
      </c>
      <c r="E9848" t="str">
        <f>"89301212"</f>
        <v>89301212</v>
      </c>
      <c r="F9848" t="str">
        <f>"7254084486"</f>
        <v>7254084486</v>
      </c>
      <c r="G9848" s="1">
        <v>44844</v>
      </c>
      <c r="H9848" t="str">
        <f>"89514"</f>
        <v>89514</v>
      </c>
      <c r="I9848">
        <v>1</v>
      </c>
      <c r="J9848">
        <v>371</v>
      </c>
      <c r="K9848">
        <v>0</v>
      </c>
      <c r="L9848">
        <v>519.4</v>
      </c>
    </row>
    <row r="9849" spans="1:12" x14ac:dyDescent="0.25">
      <c r="A9849" t="str">
        <f t="shared" si="2127"/>
        <v>89301000</v>
      </c>
      <c r="B9849" t="str">
        <f t="shared" si="2134"/>
        <v>89345401</v>
      </c>
      <c r="C9849" t="str">
        <f t="shared" si="2134"/>
        <v>89345401</v>
      </c>
      <c r="D9849" t="str">
        <f>"809"</f>
        <v>809</v>
      </c>
      <c r="E9849" t="str">
        <f>"89301202"</f>
        <v>89301202</v>
      </c>
      <c r="F9849" t="str">
        <f>"7654305351"</f>
        <v>7654305351</v>
      </c>
      <c r="G9849" s="1">
        <v>44865</v>
      </c>
      <c r="H9849" t="str">
        <f>"89131"</f>
        <v>89131</v>
      </c>
      <c r="I9849">
        <v>1</v>
      </c>
      <c r="J9849">
        <v>187</v>
      </c>
      <c r="K9849">
        <v>0</v>
      </c>
      <c r="L9849">
        <v>261.8</v>
      </c>
    </row>
    <row r="9850" spans="1:12" x14ac:dyDescent="0.25">
      <c r="A9850" t="str">
        <f t="shared" si="2127"/>
        <v>89301000</v>
      </c>
      <c r="B9850" t="str">
        <f t="shared" si="2134"/>
        <v>89345401</v>
      </c>
      <c r="C9850" t="str">
        <f t="shared" si="2134"/>
        <v>89345401</v>
      </c>
      <c r="D9850" t="str">
        <f>"809"</f>
        <v>809</v>
      </c>
      <c r="E9850" t="str">
        <f>"89301202"</f>
        <v>89301202</v>
      </c>
      <c r="F9850" t="str">
        <f>"7654305351"</f>
        <v>7654305351</v>
      </c>
      <c r="G9850" s="1">
        <v>44865</v>
      </c>
      <c r="H9850" t="str">
        <f>"89131"</f>
        <v>89131</v>
      </c>
      <c r="I9850">
        <v>1</v>
      </c>
      <c r="J9850">
        <v>187</v>
      </c>
      <c r="K9850">
        <v>0</v>
      </c>
      <c r="L9850">
        <v>261.8</v>
      </c>
    </row>
    <row r="9851" spans="1:12" x14ac:dyDescent="0.25">
      <c r="A9851" t="str">
        <f t="shared" si="2127"/>
        <v>89301000</v>
      </c>
      <c r="B9851" t="str">
        <f t="shared" ref="B9851:B9883" si="2135">"91866000"</f>
        <v>91866000</v>
      </c>
      <c r="C9851" t="str">
        <f t="shared" ref="C9851:C9881" si="2136">"91866313"</f>
        <v>91866313</v>
      </c>
      <c r="D9851" t="str">
        <f t="shared" ref="D9851:D9881" si="2137">"802"</f>
        <v>802</v>
      </c>
      <c r="E9851" t="str">
        <f>"89301162"</f>
        <v>89301162</v>
      </c>
      <c r="F9851" t="str">
        <f>"5557071311"</f>
        <v>5557071311</v>
      </c>
      <c r="G9851" s="1">
        <v>44838</v>
      </c>
      <c r="H9851" t="str">
        <f>"82215"</f>
        <v>82215</v>
      </c>
      <c r="I9851">
        <v>2</v>
      </c>
      <c r="J9851">
        <v>916</v>
      </c>
      <c r="K9851">
        <v>0</v>
      </c>
      <c r="L9851">
        <v>833.56</v>
      </c>
    </row>
    <row r="9852" spans="1:12" x14ac:dyDescent="0.25">
      <c r="A9852" t="str">
        <f t="shared" si="2127"/>
        <v>89301000</v>
      </c>
      <c r="B9852" t="str">
        <f t="shared" si="2135"/>
        <v>91866000</v>
      </c>
      <c r="C9852" t="str">
        <f t="shared" si="2136"/>
        <v>91866313</v>
      </c>
      <c r="D9852" t="str">
        <f t="shared" si="2137"/>
        <v>802</v>
      </c>
      <c r="E9852" t="str">
        <f>"89301162"</f>
        <v>89301162</v>
      </c>
      <c r="F9852" t="str">
        <f>"5557071311"</f>
        <v>5557071311</v>
      </c>
      <c r="G9852" s="1">
        <v>44839</v>
      </c>
      <c r="H9852" t="str">
        <f>"82035"</f>
        <v>82035</v>
      </c>
      <c r="I9852">
        <v>1</v>
      </c>
      <c r="J9852">
        <v>534</v>
      </c>
      <c r="K9852">
        <v>0</v>
      </c>
      <c r="L9852">
        <v>485.94</v>
      </c>
    </row>
    <row r="9853" spans="1:12" x14ac:dyDescent="0.25">
      <c r="A9853" t="str">
        <f t="shared" si="2127"/>
        <v>89301000</v>
      </c>
      <c r="B9853" t="str">
        <f t="shared" si="2135"/>
        <v>91866000</v>
      </c>
      <c r="C9853" t="str">
        <f t="shared" si="2136"/>
        <v>91866313</v>
      </c>
      <c r="D9853" t="str">
        <f t="shared" si="2137"/>
        <v>802</v>
      </c>
      <c r="E9853" t="str">
        <f>"89301162"</f>
        <v>89301162</v>
      </c>
      <c r="F9853" t="str">
        <f>"5557071311"</f>
        <v>5557071311</v>
      </c>
      <c r="G9853" s="1">
        <v>44838</v>
      </c>
      <c r="H9853" t="str">
        <f>"82035"</f>
        <v>82035</v>
      </c>
      <c r="I9853">
        <v>1</v>
      </c>
      <c r="J9853">
        <v>534</v>
      </c>
      <c r="K9853">
        <v>0</v>
      </c>
      <c r="L9853">
        <v>485.94</v>
      </c>
    </row>
    <row r="9854" spans="1:12" x14ac:dyDescent="0.25">
      <c r="A9854" t="str">
        <f t="shared" si="2127"/>
        <v>89301000</v>
      </c>
      <c r="B9854" t="str">
        <f t="shared" si="2135"/>
        <v>91866000</v>
      </c>
      <c r="C9854" t="str">
        <f t="shared" si="2136"/>
        <v>91866313</v>
      </c>
      <c r="D9854" t="str">
        <f t="shared" si="2137"/>
        <v>802</v>
      </c>
      <c r="E9854" t="str">
        <f t="shared" ref="E9854:E9862" si="2138">"89301101"</f>
        <v>89301101</v>
      </c>
      <c r="F9854" t="str">
        <f t="shared" ref="F9854:F9862" si="2139">"1060030037"</f>
        <v>1060030037</v>
      </c>
      <c r="G9854" s="1">
        <v>44838</v>
      </c>
      <c r="H9854" t="str">
        <f>"82079"</f>
        <v>82079</v>
      </c>
      <c r="I9854">
        <v>1</v>
      </c>
      <c r="J9854">
        <v>332</v>
      </c>
      <c r="K9854">
        <v>0</v>
      </c>
      <c r="L9854">
        <v>302.12</v>
      </c>
    </row>
    <row r="9855" spans="1:12" x14ac:dyDescent="0.25">
      <c r="A9855" t="str">
        <f t="shared" si="2127"/>
        <v>89301000</v>
      </c>
      <c r="B9855" t="str">
        <f t="shared" si="2135"/>
        <v>91866000</v>
      </c>
      <c r="C9855" t="str">
        <f t="shared" si="2136"/>
        <v>91866313</v>
      </c>
      <c r="D9855" t="str">
        <f t="shared" si="2137"/>
        <v>802</v>
      </c>
      <c r="E9855" t="str">
        <f t="shared" si="2138"/>
        <v>89301101</v>
      </c>
      <c r="F9855" t="str">
        <f t="shared" si="2139"/>
        <v>1060030037</v>
      </c>
      <c r="G9855" s="1">
        <v>44838</v>
      </c>
      <c r="H9855" t="str">
        <f>"82121"</f>
        <v>82121</v>
      </c>
      <c r="I9855">
        <v>1</v>
      </c>
      <c r="J9855">
        <v>800</v>
      </c>
      <c r="K9855">
        <v>0</v>
      </c>
      <c r="L9855">
        <v>728</v>
      </c>
    </row>
    <row r="9856" spans="1:12" x14ac:dyDescent="0.25">
      <c r="A9856" t="str">
        <f t="shared" si="2127"/>
        <v>89301000</v>
      </c>
      <c r="B9856" t="str">
        <f t="shared" si="2135"/>
        <v>91866000</v>
      </c>
      <c r="C9856" t="str">
        <f t="shared" si="2136"/>
        <v>91866313</v>
      </c>
      <c r="D9856" t="str">
        <f t="shared" si="2137"/>
        <v>802</v>
      </c>
      <c r="E9856" t="str">
        <f t="shared" si="2138"/>
        <v>89301101</v>
      </c>
      <c r="F9856" t="str">
        <f t="shared" si="2139"/>
        <v>1060030037</v>
      </c>
      <c r="G9856" s="1">
        <v>44838</v>
      </c>
      <c r="H9856" t="str">
        <f>"82079"</f>
        <v>82079</v>
      </c>
      <c r="I9856">
        <v>1</v>
      </c>
      <c r="J9856">
        <v>332</v>
      </c>
      <c r="K9856">
        <v>0</v>
      </c>
      <c r="L9856">
        <v>302.12</v>
      </c>
    </row>
    <row r="9857" spans="1:12" x14ac:dyDescent="0.25">
      <c r="A9857" t="str">
        <f t="shared" si="2127"/>
        <v>89301000</v>
      </c>
      <c r="B9857" t="str">
        <f t="shared" si="2135"/>
        <v>91866000</v>
      </c>
      <c r="C9857" t="str">
        <f t="shared" si="2136"/>
        <v>91866313</v>
      </c>
      <c r="D9857" t="str">
        <f t="shared" si="2137"/>
        <v>802</v>
      </c>
      <c r="E9857" t="str">
        <f t="shared" si="2138"/>
        <v>89301101</v>
      </c>
      <c r="F9857" t="str">
        <f t="shared" si="2139"/>
        <v>1060030037</v>
      </c>
      <c r="G9857" s="1">
        <v>44838</v>
      </c>
      <c r="H9857" t="str">
        <f>"82121"</f>
        <v>82121</v>
      </c>
      <c r="I9857">
        <v>1</v>
      </c>
      <c r="J9857">
        <v>800</v>
      </c>
      <c r="K9857">
        <v>0</v>
      </c>
      <c r="L9857">
        <v>728</v>
      </c>
    </row>
    <row r="9858" spans="1:12" x14ac:dyDescent="0.25">
      <c r="A9858" t="str">
        <f t="shared" ref="A9858:A9921" si="2140">"89301000"</f>
        <v>89301000</v>
      </c>
      <c r="B9858" t="str">
        <f t="shared" si="2135"/>
        <v>91866000</v>
      </c>
      <c r="C9858" t="str">
        <f t="shared" si="2136"/>
        <v>91866313</v>
      </c>
      <c r="D9858" t="str">
        <f t="shared" si="2137"/>
        <v>802</v>
      </c>
      <c r="E9858" t="str">
        <f t="shared" si="2138"/>
        <v>89301101</v>
      </c>
      <c r="F9858" t="str">
        <f t="shared" si="2139"/>
        <v>1060030037</v>
      </c>
      <c r="G9858" s="1">
        <v>44838</v>
      </c>
      <c r="H9858" t="str">
        <f>"82121"</f>
        <v>82121</v>
      </c>
      <c r="I9858">
        <v>1</v>
      </c>
      <c r="J9858">
        <v>800</v>
      </c>
      <c r="K9858">
        <v>0</v>
      </c>
      <c r="L9858">
        <v>728</v>
      </c>
    </row>
    <row r="9859" spans="1:12" x14ac:dyDescent="0.25">
      <c r="A9859" t="str">
        <f t="shared" si="2140"/>
        <v>89301000</v>
      </c>
      <c r="B9859" t="str">
        <f t="shared" si="2135"/>
        <v>91866000</v>
      </c>
      <c r="C9859" t="str">
        <f t="shared" si="2136"/>
        <v>91866313</v>
      </c>
      <c r="D9859" t="str">
        <f t="shared" si="2137"/>
        <v>802</v>
      </c>
      <c r="E9859" t="str">
        <f t="shared" si="2138"/>
        <v>89301101</v>
      </c>
      <c r="F9859" t="str">
        <f t="shared" si="2139"/>
        <v>1060030037</v>
      </c>
      <c r="G9859" s="1">
        <v>44838</v>
      </c>
      <c r="H9859" t="str">
        <f>"82121"</f>
        <v>82121</v>
      </c>
      <c r="I9859">
        <v>1</v>
      </c>
      <c r="J9859">
        <v>800</v>
      </c>
      <c r="K9859">
        <v>0</v>
      </c>
      <c r="L9859">
        <v>728</v>
      </c>
    </row>
    <row r="9860" spans="1:12" x14ac:dyDescent="0.25">
      <c r="A9860" t="str">
        <f t="shared" si="2140"/>
        <v>89301000</v>
      </c>
      <c r="B9860" t="str">
        <f t="shared" si="2135"/>
        <v>91866000</v>
      </c>
      <c r="C9860" t="str">
        <f t="shared" si="2136"/>
        <v>91866313</v>
      </c>
      <c r="D9860" t="str">
        <f t="shared" si="2137"/>
        <v>802</v>
      </c>
      <c r="E9860" t="str">
        <f t="shared" si="2138"/>
        <v>89301101</v>
      </c>
      <c r="F9860" t="str">
        <f t="shared" si="2139"/>
        <v>1060030037</v>
      </c>
      <c r="G9860" s="1">
        <v>44838</v>
      </c>
      <c r="H9860" t="str">
        <f>"82121"</f>
        <v>82121</v>
      </c>
      <c r="I9860">
        <v>1</v>
      </c>
      <c r="J9860">
        <v>800</v>
      </c>
      <c r="K9860">
        <v>0</v>
      </c>
      <c r="L9860">
        <v>728</v>
      </c>
    </row>
    <row r="9861" spans="1:12" x14ac:dyDescent="0.25">
      <c r="A9861" t="str">
        <f t="shared" si="2140"/>
        <v>89301000</v>
      </c>
      <c r="B9861" t="str">
        <f t="shared" si="2135"/>
        <v>91866000</v>
      </c>
      <c r="C9861" t="str">
        <f t="shared" si="2136"/>
        <v>91866313</v>
      </c>
      <c r="D9861" t="str">
        <f t="shared" si="2137"/>
        <v>802</v>
      </c>
      <c r="E9861" t="str">
        <f t="shared" si="2138"/>
        <v>89301101</v>
      </c>
      <c r="F9861" t="str">
        <f t="shared" si="2139"/>
        <v>1060030037</v>
      </c>
      <c r="G9861" s="1">
        <v>44838</v>
      </c>
      <c r="H9861" t="str">
        <f>"82079"</f>
        <v>82079</v>
      </c>
      <c r="I9861">
        <v>1</v>
      </c>
      <c r="J9861">
        <v>332</v>
      </c>
      <c r="K9861">
        <v>0</v>
      </c>
      <c r="L9861">
        <v>302.12</v>
      </c>
    </row>
    <row r="9862" spans="1:12" x14ac:dyDescent="0.25">
      <c r="A9862" t="str">
        <f t="shared" si="2140"/>
        <v>89301000</v>
      </c>
      <c r="B9862" t="str">
        <f t="shared" si="2135"/>
        <v>91866000</v>
      </c>
      <c r="C9862" t="str">
        <f t="shared" si="2136"/>
        <v>91866313</v>
      </c>
      <c r="D9862" t="str">
        <f t="shared" si="2137"/>
        <v>802</v>
      </c>
      <c r="E9862" t="str">
        <f t="shared" si="2138"/>
        <v>89301101</v>
      </c>
      <c r="F9862" t="str">
        <f t="shared" si="2139"/>
        <v>1060030037</v>
      </c>
      <c r="G9862" s="1">
        <v>44838</v>
      </c>
      <c r="H9862" t="str">
        <f t="shared" ref="H9862:H9868" si="2141">"82121"</f>
        <v>82121</v>
      </c>
      <c r="I9862">
        <v>1</v>
      </c>
      <c r="J9862">
        <v>800</v>
      </c>
      <c r="K9862">
        <v>0</v>
      </c>
      <c r="L9862">
        <v>728</v>
      </c>
    </row>
    <row r="9863" spans="1:12" x14ac:dyDescent="0.25">
      <c r="A9863" t="str">
        <f t="shared" si="2140"/>
        <v>89301000</v>
      </c>
      <c r="B9863" t="str">
        <f t="shared" si="2135"/>
        <v>91866000</v>
      </c>
      <c r="C9863" t="str">
        <f t="shared" si="2136"/>
        <v>91866313</v>
      </c>
      <c r="D9863" t="str">
        <f t="shared" si="2137"/>
        <v>802</v>
      </c>
      <c r="E9863" t="str">
        <f t="shared" ref="E9863:E9868" si="2142">"89301103"</f>
        <v>89301103</v>
      </c>
      <c r="F9863" t="str">
        <f t="shared" ref="F9863:F9868" si="2143">"0603156081"</f>
        <v>0603156081</v>
      </c>
      <c r="G9863" s="1">
        <v>44838</v>
      </c>
      <c r="H9863" t="str">
        <f t="shared" si="2141"/>
        <v>82121</v>
      </c>
      <c r="I9863">
        <v>1</v>
      </c>
      <c r="J9863">
        <v>800</v>
      </c>
      <c r="K9863">
        <v>0</v>
      </c>
      <c r="L9863">
        <v>728</v>
      </c>
    </row>
    <row r="9864" spans="1:12" x14ac:dyDescent="0.25">
      <c r="A9864" t="str">
        <f t="shared" si="2140"/>
        <v>89301000</v>
      </c>
      <c r="B9864" t="str">
        <f t="shared" si="2135"/>
        <v>91866000</v>
      </c>
      <c r="C9864" t="str">
        <f t="shared" si="2136"/>
        <v>91866313</v>
      </c>
      <c r="D9864" t="str">
        <f t="shared" si="2137"/>
        <v>802</v>
      </c>
      <c r="E9864" t="str">
        <f t="shared" si="2142"/>
        <v>89301103</v>
      </c>
      <c r="F9864" t="str">
        <f t="shared" si="2143"/>
        <v>0603156081</v>
      </c>
      <c r="G9864" s="1">
        <v>44838</v>
      </c>
      <c r="H9864" t="str">
        <f t="shared" si="2141"/>
        <v>82121</v>
      </c>
      <c r="I9864">
        <v>1</v>
      </c>
      <c r="J9864">
        <v>800</v>
      </c>
      <c r="K9864">
        <v>0</v>
      </c>
      <c r="L9864">
        <v>728</v>
      </c>
    </row>
    <row r="9865" spans="1:12" x14ac:dyDescent="0.25">
      <c r="A9865" t="str">
        <f t="shared" si="2140"/>
        <v>89301000</v>
      </c>
      <c r="B9865" t="str">
        <f t="shared" si="2135"/>
        <v>91866000</v>
      </c>
      <c r="C9865" t="str">
        <f t="shared" si="2136"/>
        <v>91866313</v>
      </c>
      <c r="D9865" t="str">
        <f t="shared" si="2137"/>
        <v>802</v>
      </c>
      <c r="E9865" t="str">
        <f t="shared" si="2142"/>
        <v>89301103</v>
      </c>
      <c r="F9865" t="str">
        <f t="shared" si="2143"/>
        <v>0603156081</v>
      </c>
      <c r="G9865" s="1">
        <v>44838</v>
      </c>
      <c r="H9865" t="str">
        <f t="shared" si="2141"/>
        <v>82121</v>
      </c>
      <c r="I9865">
        <v>1</v>
      </c>
      <c r="J9865">
        <v>800</v>
      </c>
      <c r="K9865">
        <v>0</v>
      </c>
      <c r="L9865">
        <v>728</v>
      </c>
    </row>
    <row r="9866" spans="1:12" x14ac:dyDescent="0.25">
      <c r="A9866" t="str">
        <f t="shared" si="2140"/>
        <v>89301000</v>
      </c>
      <c r="B9866" t="str">
        <f t="shared" si="2135"/>
        <v>91866000</v>
      </c>
      <c r="C9866" t="str">
        <f t="shared" si="2136"/>
        <v>91866313</v>
      </c>
      <c r="D9866" t="str">
        <f t="shared" si="2137"/>
        <v>802</v>
      </c>
      <c r="E9866" t="str">
        <f t="shared" si="2142"/>
        <v>89301103</v>
      </c>
      <c r="F9866" t="str">
        <f t="shared" si="2143"/>
        <v>0603156081</v>
      </c>
      <c r="G9866" s="1">
        <v>44838</v>
      </c>
      <c r="H9866" t="str">
        <f t="shared" si="2141"/>
        <v>82121</v>
      </c>
      <c r="I9866">
        <v>1</v>
      </c>
      <c r="J9866">
        <v>800</v>
      </c>
      <c r="K9866">
        <v>0</v>
      </c>
      <c r="L9866">
        <v>728</v>
      </c>
    </row>
    <row r="9867" spans="1:12" x14ac:dyDescent="0.25">
      <c r="A9867" t="str">
        <f t="shared" si="2140"/>
        <v>89301000</v>
      </c>
      <c r="B9867" t="str">
        <f t="shared" si="2135"/>
        <v>91866000</v>
      </c>
      <c r="C9867" t="str">
        <f t="shared" si="2136"/>
        <v>91866313</v>
      </c>
      <c r="D9867" t="str">
        <f t="shared" si="2137"/>
        <v>802</v>
      </c>
      <c r="E9867" t="str">
        <f t="shared" si="2142"/>
        <v>89301103</v>
      </c>
      <c r="F9867" t="str">
        <f t="shared" si="2143"/>
        <v>0603156081</v>
      </c>
      <c r="G9867" s="1">
        <v>44838</v>
      </c>
      <c r="H9867" t="str">
        <f t="shared" si="2141"/>
        <v>82121</v>
      </c>
      <c r="I9867">
        <v>1</v>
      </c>
      <c r="J9867">
        <v>800</v>
      </c>
      <c r="K9867">
        <v>0</v>
      </c>
      <c r="L9867">
        <v>728</v>
      </c>
    </row>
    <row r="9868" spans="1:12" x14ac:dyDescent="0.25">
      <c r="A9868" t="str">
        <f t="shared" si="2140"/>
        <v>89301000</v>
      </c>
      <c r="B9868" t="str">
        <f t="shared" si="2135"/>
        <v>91866000</v>
      </c>
      <c r="C9868" t="str">
        <f t="shared" si="2136"/>
        <v>91866313</v>
      </c>
      <c r="D9868" t="str">
        <f t="shared" si="2137"/>
        <v>802</v>
      </c>
      <c r="E9868" t="str">
        <f t="shared" si="2142"/>
        <v>89301103</v>
      </c>
      <c r="F9868" t="str">
        <f t="shared" si="2143"/>
        <v>0603156081</v>
      </c>
      <c r="G9868" s="1">
        <v>44838</v>
      </c>
      <c r="H9868" t="str">
        <f t="shared" si="2141"/>
        <v>82121</v>
      </c>
      <c r="I9868">
        <v>1</v>
      </c>
      <c r="J9868">
        <v>800</v>
      </c>
      <c r="K9868">
        <v>0</v>
      </c>
      <c r="L9868">
        <v>728</v>
      </c>
    </row>
    <row r="9869" spans="1:12" x14ac:dyDescent="0.25">
      <c r="A9869" t="str">
        <f t="shared" si="2140"/>
        <v>89301000</v>
      </c>
      <c r="B9869" t="str">
        <f t="shared" si="2135"/>
        <v>91866000</v>
      </c>
      <c r="C9869" t="str">
        <f t="shared" si="2136"/>
        <v>91866313</v>
      </c>
      <c r="D9869" t="str">
        <f t="shared" si="2137"/>
        <v>802</v>
      </c>
      <c r="E9869" t="str">
        <f>"89301031"</f>
        <v>89301031</v>
      </c>
      <c r="F9869" t="str">
        <f>"8760265987"</f>
        <v>8760265987</v>
      </c>
      <c r="G9869" s="1">
        <v>44841</v>
      </c>
      <c r="H9869" t="str">
        <f>"82147"</f>
        <v>82147</v>
      </c>
      <c r="I9869">
        <v>3</v>
      </c>
      <c r="J9869">
        <v>714</v>
      </c>
      <c r="K9869">
        <v>0</v>
      </c>
      <c r="L9869">
        <v>649.74</v>
      </c>
    </row>
    <row r="9870" spans="1:12" x14ac:dyDescent="0.25">
      <c r="A9870" t="str">
        <f t="shared" si="2140"/>
        <v>89301000</v>
      </c>
      <c r="B9870" t="str">
        <f t="shared" si="2135"/>
        <v>91866000</v>
      </c>
      <c r="C9870" t="str">
        <f t="shared" si="2136"/>
        <v>91866313</v>
      </c>
      <c r="D9870" t="str">
        <f t="shared" si="2137"/>
        <v>802</v>
      </c>
      <c r="E9870" t="str">
        <f>"89301031"</f>
        <v>89301031</v>
      </c>
      <c r="F9870" t="str">
        <f>"8760265987"</f>
        <v>8760265987</v>
      </c>
      <c r="G9870" s="1">
        <v>44841</v>
      </c>
      <c r="H9870" t="str">
        <f>"82147"</f>
        <v>82147</v>
      </c>
      <c r="I9870">
        <v>9</v>
      </c>
      <c r="J9870">
        <v>2142</v>
      </c>
      <c r="K9870">
        <v>0</v>
      </c>
      <c r="L9870">
        <v>1949.22</v>
      </c>
    </row>
    <row r="9871" spans="1:12" x14ac:dyDescent="0.25">
      <c r="A9871" t="str">
        <f t="shared" si="2140"/>
        <v>89301000</v>
      </c>
      <c r="B9871" t="str">
        <f t="shared" si="2135"/>
        <v>91866000</v>
      </c>
      <c r="C9871" t="str">
        <f t="shared" si="2136"/>
        <v>91866313</v>
      </c>
      <c r="D9871" t="str">
        <f t="shared" si="2137"/>
        <v>802</v>
      </c>
      <c r="E9871" t="str">
        <f>"89301102"</f>
        <v>89301102</v>
      </c>
      <c r="F9871" t="str">
        <f>"1504300226"</f>
        <v>1504300226</v>
      </c>
      <c r="G9871" s="1">
        <v>44853</v>
      </c>
      <c r="H9871" t="str">
        <f>"97111"</f>
        <v>97111</v>
      </c>
      <c r="I9871">
        <v>1</v>
      </c>
      <c r="J9871">
        <v>18</v>
      </c>
      <c r="K9871">
        <v>0</v>
      </c>
      <c r="L9871">
        <v>16.38</v>
      </c>
    </row>
    <row r="9872" spans="1:12" x14ac:dyDescent="0.25">
      <c r="A9872" t="str">
        <f t="shared" si="2140"/>
        <v>89301000</v>
      </c>
      <c r="B9872" t="str">
        <f t="shared" si="2135"/>
        <v>91866000</v>
      </c>
      <c r="C9872" t="str">
        <f t="shared" si="2136"/>
        <v>91866313</v>
      </c>
      <c r="D9872" t="str">
        <f t="shared" si="2137"/>
        <v>802</v>
      </c>
      <c r="E9872" t="str">
        <f>"89301102"</f>
        <v>89301102</v>
      </c>
      <c r="F9872" t="str">
        <f>"1504300226"</f>
        <v>1504300226</v>
      </c>
      <c r="G9872" s="1">
        <v>44853</v>
      </c>
      <c r="H9872" t="str">
        <f>"82113"</f>
        <v>82113</v>
      </c>
      <c r="I9872">
        <v>2</v>
      </c>
      <c r="J9872">
        <v>724</v>
      </c>
      <c r="K9872">
        <v>0</v>
      </c>
      <c r="L9872">
        <v>658.84</v>
      </c>
    </row>
    <row r="9873" spans="1:12" x14ac:dyDescent="0.25">
      <c r="A9873" t="str">
        <f t="shared" si="2140"/>
        <v>89301000</v>
      </c>
      <c r="B9873" t="str">
        <f t="shared" si="2135"/>
        <v>91866000</v>
      </c>
      <c r="C9873" t="str">
        <f t="shared" si="2136"/>
        <v>91866313</v>
      </c>
      <c r="D9873" t="str">
        <f t="shared" si="2137"/>
        <v>802</v>
      </c>
      <c r="E9873" t="str">
        <f>"89301102"</f>
        <v>89301102</v>
      </c>
      <c r="F9873" t="str">
        <f>"1504300226"</f>
        <v>1504300226</v>
      </c>
      <c r="G9873" s="1">
        <v>44853</v>
      </c>
      <c r="H9873" t="str">
        <f>"82113"</f>
        <v>82113</v>
      </c>
      <c r="I9873">
        <v>2</v>
      </c>
      <c r="J9873">
        <v>724</v>
      </c>
      <c r="K9873">
        <v>0</v>
      </c>
      <c r="L9873">
        <v>658.84</v>
      </c>
    </row>
    <row r="9874" spans="1:12" x14ac:dyDescent="0.25">
      <c r="A9874" t="str">
        <f t="shared" si="2140"/>
        <v>89301000</v>
      </c>
      <c r="B9874" t="str">
        <f t="shared" si="2135"/>
        <v>91866000</v>
      </c>
      <c r="C9874" t="str">
        <f t="shared" si="2136"/>
        <v>91866313</v>
      </c>
      <c r="D9874" t="str">
        <f t="shared" si="2137"/>
        <v>802</v>
      </c>
      <c r="E9874" t="str">
        <f t="shared" ref="E9874:E9879" si="2144">"89301103"</f>
        <v>89301103</v>
      </c>
      <c r="F9874" t="str">
        <f t="shared" ref="F9874:F9879" si="2145">"1010240418"</f>
        <v>1010240418</v>
      </c>
      <c r="G9874" s="1">
        <v>44859</v>
      </c>
      <c r="H9874" t="str">
        <f t="shared" ref="H9874:H9879" si="2146">"82121"</f>
        <v>82121</v>
      </c>
      <c r="I9874">
        <v>1</v>
      </c>
      <c r="J9874">
        <v>800</v>
      </c>
      <c r="K9874">
        <v>0</v>
      </c>
      <c r="L9874">
        <v>728</v>
      </c>
    </row>
    <row r="9875" spans="1:12" x14ac:dyDescent="0.25">
      <c r="A9875" t="str">
        <f t="shared" si="2140"/>
        <v>89301000</v>
      </c>
      <c r="B9875" t="str">
        <f t="shared" si="2135"/>
        <v>91866000</v>
      </c>
      <c r="C9875" t="str">
        <f t="shared" si="2136"/>
        <v>91866313</v>
      </c>
      <c r="D9875" t="str">
        <f t="shared" si="2137"/>
        <v>802</v>
      </c>
      <c r="E9875" t="str">
        <f t="shared" si="2144"/>
        <v>89301103</v>
      </c>
      <c r="F9875" t="str">
        <f t="shared" si="2145"/>
        <v>1010240418</v>
      </c>
      <c r="G9875" s="1">
        <v>44859</v>
      </c>
      <c r="H9875" t="str">
        <f t="shared" si="2146"/>
        <v>82121</v>
      </c>
      <c r="I9875">
        <v>1</v>
      </c>
      <c r="J9875">
        <v>800</v>
      </c>
      <c r="K9875">
        <v>0</v>
      </c>
      <c r="L9875">
        <v>728</v>
      </c>
    </row>
    <row r="9876" spans="1:12" x14ac:dyDescent="0.25">
      <c r="A9876" t="str">
        <f t="shared" si="2140"/>
        <v>89301000</v>
      </c>
      <c r="B9876" t="str">
        <f t="shared" si="2135"/>
        <v>91866000</v>
      </c>
      <c r="C9876" t="str">
        <f t="shared" si="2136"/>
        <v>91866313</v>
      </c>
      <c r="D9876" t="str">
        <f t="shared" si="2137"/>
        <v>802</v>
      </c>
      <c r="E9876" t="str">
        <f t="shared" si="2144"/>
        <v>89301103</v>
      </c>
      <c r="F9876" t="str">
        <f t="shared" si="2145"/>
        <v>1010240418</v>
      </c>
      <c r="G9876" s="1">
        <v>44859</v>
      </c>
      <c r="H9876" t="str">
        <f t="shared" si="2146"/>
        <v>82121</v>
      </c>
      <c r="I9876">
        <v>1</v>
      </c>
      <c r="J9876">
        <v>800</v>
      </c>
      <c r="K9876">
        <v>0</v>
      </c>
      <c r="L9876">
        <v>728</v>
      </c>
    </row>
    <row r="9877" spans="1:12" x14ac:dyDescent="0.25">
      <c r="A9877" t="str">
        <f t="shared" si="2140"/>
        <v>89301000</v>
      </c>
      <c r="B9877" t="str">
        <f t="shared" si="2135"/>
        <v>91866000</v>
      </c>
      <c r="C9877" t="str">
        <f t="shared" si="2136"/>
        <v>91866313</v>
      </c>
      <c r="D9877" t="str">
        <f t="shared" si="2137"/>
        <v>802</v>
      </c>
      <c r="E9877" t="str">
        <f t="shared" si="2144"/>
        <v>89301103</v>
      </c>
      <c r="F9877" t="str">
        <f t="shared" si="2145"/>
        <v>1010240418</v>
      </c>
      <c r="G9877" s="1">
        <v>44859</v>
      </c>
      <c r="H9877" t="str">
        <f t="shared" si="2146"/>
        <v>82121</v>
      </c>
      <c r="I9877">
        <v>1</v>
      </c>
      <c r="J9877">
        <v>800</v>
      </c>
      <c r="K9877">
        <v>0</v>
      </c>
      <c r="L9877">
        <v>728</v>
      </c>
    </row>
    <row r="9878" spans="1:12" x14ac:dyDescent="0.25">
      <c r="A9878" t="str">
        <f t="shared" si="2140"/>
        <v>89301000</v>
      </c>
      <c r="B9878" t="str">
        <f t="shared" si="2135"/>
        <v>91866000</v>
      </c>
      <c r="C9878" t="str">
        <f t="shared" si="2136"/>
        <v>91866313</v>
      </c>
      <c r="D9878" t="str">
        <f t="shared" si="2137"/>
        <v>802</v>
      </c>
      <c r="E9878" t="str">
        <f t="shared" si="2144"/>
        <v>89301103</v>
      </c>
      <c r="F9878" t="str">
        <f t="shared" si="2145"/>
        <v>1010240418</v>
      </c>
      <c r="G9878" s="1">
        <v>44859</v>
      </c>
      <c r="H9878" t="str">
        <f t="shared" si="2146"/>
        <v>82121</v>
      </c>
      <c r="I9878">
        <v>1</v>
      </c>
      <c r="J9878">
        <v>800</v>
      </c>
      <c r="K9878">
        <v>0</v>
      </c>
      <c r="L9878">
        <v>728</v>
      </c>
    </row>
    <row r="9879" spans="1:12" x14ac:dyDescent="0.25">
      <c r="A9879" t="str">
        <f t="shared" si="2140"/>
        <v>89301000</v>
      </c>
      <c r="B9879" t="str">
        <f t="shared" si="2135"/>
        <v>91866000</v>
      </c>
      <c r="C9879" t="str">
        <f t="shared" si="2136"/>
        <v>91866313</v>
      </c>
      <c r="D9879" t="str">
        <f t="shared" si="2137"/>
        <v>802</v>
      </c>
      <c r="E9879" t="str">
        <f t="shared" si="2144"/>
        <v>89301103</v>
      </c>
      <c r="F9879" t="str">
        <f t="shared" si="2145"/>
        <v>1010240418</v>
      </c>
      <c r="G9879" s="1">
        <v>44859</v>
      </c>
      <c r="H9879" t="str">
        <f t="shared" si="2146"/>
        <v>82121</v>
      </c>
      <c r="I9879">
        <v>1</v>
      </c>
      <c r="J9879">
        <v>800</v>
      </c>
      <c r="K9879">
        <v>0</v>
      </c>
      <c r="L9879">
        <v>728</v>
      </c>
    </row>
    <row r="9880" spans="1:12" x14ac:dyDescent="0.25">
      <c r="A9880" t="str">
        <f t="shared" si="2140"/>
        <v>89301000</v>
      </c>
      <c r="B9880" t="str">
        <f t="shared" si="2135"/>
        <v>91866000</v>
      </c>
      <c r="C9880" t="str">
        <f t="shared" si="2136"/>
        <v>91866313</v>
      </c>
      <c r="D9880" t="str">
        <f t="shared" si="2137"/>
        <v>802</v>
      </c>
      <c r="E9880" t="str">
        <f>"89301031"</f>
        <v>89301031</v>
      </c>
      <c r="F9880" t="str">
        <f>"8760265987"</f>
        <v>8760265987</v>
      </c>
      <c r="G9880" s="1">
        <v>44841</v>
      </c>
      <c r="H9880" t="str">
        <f>"82079"</f>
        <v>82079</v>
      </c>
      <c r="I9880">
        <v>1</v>
      </c>
      <c r="J9880">
        <v>332</v>
      </c>
      <c r="K9880">
        <v>0</v>
      </c>
      <c r="L9880">
        <v>302.12</v>
      </c>
    </row>
    <row r="9881" spans="1:12" x14ac:dyDescent="0.25">
      <c r="A9881" t="str">
        <f t="shared" si="2140"/>
        <v>89301000</v>
      </c>
      <c r="B9881" t="str">
        <f t="shared" si="2135"/>
        <v>91866000</v>
      </c>
      <c r="C9881" t="str">
        <f t="shared" si="2136"/>
        <v>91866313</v>
      </c>
      <c r="D9881" t="str">
        <f t="shared" si="2137"/>
        <v>802</v>
      </c>
      <c r="E9881" t="str">
        <f>"89301031"</f>
        <v>89301031</v>
      </c>
      <c r="F9881" t="str">
        <f>"8760265987"</f>
        <v>8760265987</v>
      </c>
      <c r="G9881" s="1">
        <v>44841</v>
      </c>
      <c r="H9881" t="str">
        <f>"82079"</f>
        <v>82079</v>
      </c>
      <c r="I9881">
        <v>1</v>
      </c>
      <c r="J9881">
        <v>332</v>
      </c>
      <c r="K9881">
        <v>0</v>
      </c>
      <c r="L9881">
        <v>302.12</v>
      </c>
    </row>
    <row r="9882" spans="1:12" x14ac:dyDescent="0.25">
      <c r="A9882" t="str">
        <f t="shared" si="2140"/>
        <v>89301000</v>
      </c>
      <c r="B9882" t="str">
        <f t="shared" si="2135"/>
        <v>91866000</v>
      </c>
      <c r="C9882" t="str">
        <f>"91866321"</f>
        <v>91866321</v>
      </c>
      <c r="D9882" t="str">
        <f>"813"</f>
        <v>813</v>
      </c>
      <c r="E9882" t="str">
        <f>"89301031"</f>
        <v>89301031</v>
      </c>
      <c r="F9882" t="str">
        <f>"8760265987"</f>
        <v>8760265987</v>
      </c>
      <c r="G9882" s="1">
        <v>44841</v>
      </c>
      <c r="H9882" t="str">
        <f>"91411"</f>
        <v>91411</v>
      </c>
      <c r="I9882">
        <v>1</v>
      </c>
      <c r="J9882">
        <v>1600</v>
      </c>
      <c r="K9882">
        <v>0</v>
      </c>
      <c r="L9882">
        <v>1248</v>
      </c>
    </row>
    <row r="9883" spans="1:12" x14ac:dyDescent="0.25">
      <c r="A9883" t="str">
        <f t="shared" si="2140"/>
        <v>89301000</v>
      </c>
      <c r="B9883" t="str">
        <f t="shared" si="2135"/>
        <v>91866000</v>
      </c>
      <c r="C9883" t="str">
        <f>"91866321"</f>
        <v>91866321</v>
      </c>
      <c r="D9883" t="str">
        <f>"813"</f>
        <v>813</v>
      </c>
      <c r="E9883" t="str">
        <f>"89301031"</f>
        <v>89301031</v>
      </c>
      <c r="F9883" t="str">
        <f>"8760265987"</f>
        <v>8760265987</v>
      </c>
      <c r="G9883" s="1">
        <v>44841</v>
      </c>
      <c r="H9883" t="str">
        <f>"91411"</f>
        <v>91411</v>
      </c>
      <c r="I9883">
        <v>1</v>
      </c>
      <c r="J9883">
        <v>1600</v>
      </c>
      <c r="K9883">
        <v>0</v>
      </c>
      <c r="L9883">
        <v>1248</v>
      </c>
    </row>
    <row r="9884" spans="1:12" x14ac:dyDescent="0.25">
      <c r="A9884" t="str">
        <f t="shared" si="2140"/>
        <v>89301000</v>
      </c>
      <c r="B9884" t="str">
        <f t="shared" ref="B9884:B9892" si="2147">"88805000"</f>
        <v>88805000</v>
      </c>
      <c r="C9884" t="str">
        <f t="shared" ref="C9884:C9890" si="2148">"88805014"</f>
        <v>88805014</v>
      </c>
      <c r="D9884" t="str">
        <f t="shared" ref="D9884:D9890" si="2149">"816"</f>
        <v>816</v>
      </c>
      <c r="E9884" t="str">
        <f t="shared" ref="E9884:E9890" si="2150">"89301282"</f>
        <v>89301282</v>
      </c>
      <c r="F9884" t="str">
        <f>"1605180225"</f>
        <v>1605180225</v>
      </c>
      <c r="G9884" s="1">
        <v>44844</v>
      </c>
      <c r="H9884" t="str">
        <f>"94221"</f>
        <v>94221</v>
      </c>
      <c r="I9884">
        <v>1</v>
      </c>
      <c r="J9884">
        <v>2453</v>
      </c>
      <c r="K9884">
        <v>0</v>
      </c>
      <c r="L9884">
        <v>2085.0500000000002</v>
      </c>
    </row>
    <row r="9885" spans="1:12" x14ac:dyDescent="0.25">
      <c r="A9885" t="str">
        <f t="shared" si="2140"/>
        <v>89301000</v>
      </c>
      <c r="B9885" t="str">
        <f t="shared" si="2147"/>
        <v>88805000</v>
      </c>
      <c r="C9885" t="str">
        <f t="shared" si="2148"/>
        <v>88805014</v>
      </c>
      <c r="D9885" t="str">
        <f t="shared" si="2149"/>
        <v>816</v>
      </c>
      <c r="E9885" t="str">
        <f t="shared" si="2150"/>
        <v>89301282</v>
      </c>
      <c r="F9885" t="str">
        <f>"1605180225"</f>
        <v>1605180225</v>
      </c>
      <c r="G9885" s="1">
        <v>44844</v>
      </c>
      <c r="H9885" t="str">
        <f>"94948"</f>
        <v>94948</v>
      </c>
      <c r="I9885">
        <v>1</v>
      </c>
      <c r="J9885">
        <v>0</v>
      </c>
      <c r="K9885">
        <v>0</v>
      </c>
      <c r="L9885">
        <v>0</v>
      </c>
    </row>
    <row r="9886" spans="1:12" x14ac:dyDescent="0.25">
      <c r="A9886" t="str">
        <f t="shared" si="2140"/>
        <v>89301000</v>
      </c>
      <c r="B9886" t="str">
        <f t="shared" si="2147"/>
        <v>88805000</v>
      </c>
      <c r="C9886" t="str">
        <f t="shared" si="2148"/>
        <v>88805014</v>
      </c>
      <c r="D9886" t="str">
        <f t="shared" si="2149"/>
        <v>816</v>
      </c>
      <c r="E9886" t="str">
        <f t="shared" si="2150"/>
        <v>89301282</v>
      </c>
      <c r="F9886" t="str">
        <f>"1154011078"</f>
        <v>1154011078</v>
      </c>
      <c r="G9886" s="1">
        <v>44847</v>
      </c>
      <c r="H9886" t="str">
        <f>"94227"</f>
        <v>94227</v>
      </c>
      <c r="I9886">
        <v>8</v>
      </c>
      <c r="J9886">
        <v>4944</v>
      </c>
      <c r="K9886">
        <v>0</v>
      </c>
      <c r="L9886">
        <v>4202.3999999999996</v>
      </c>
    </row>
    <row r="9887" spans="1:12" x14ac:dyDescent="0.25">
      <c r="A9887" t="str">
        <f t="shared" si="2140"/>
        <v>89301000</v>
      </c>
      <c r="B9887" t="str">
        <f t="shared" si="2147"/>
        <v>88805000</v>
      </c>
      <c r="C9887" t="str">
        <f t="shared" si="2148"/>
        <v>88805014</v>
      </c>
      <c r="D9887" t="str">
        <f t="shared" si="2149"/>
        <v>816</v>
      </c>
      <c r="E9887" t="str">
        <f t="shared" si="2150"/>
        <v>89301282</v>
      </c>
      <c r="F9887" t="str">
        <f>"1154011078"</f>
        <v>1154011078</v>
      </c>
      <c r="G9887" s="1">
        <v>44847</v>
      </c>
      <c r="H9887" t="str">
        <f>"94331"</f>
        <v>94331</v>
      </c>
      <c r="I9887">
        <v>1</v>
      </c>
      <c r="J9887">
        <v>7778</v>
      </c>
      <c r="K9887">
        <v>0</v>
      </c>
      <c r="L9887">
        <v>6611.3</v>
      </c>
    </row>
    <row r="9888" spans="1:12" x14ac:dyDescent="0.25">
      <c r="A9888" t="str">
        <f t="shared" si="2140"/>
        <v>89301000</v>
      </c>
      <c r="B9888" t="str">
        <f t="shared" si="2147"/>
        <v>88805000</v>
      </c>
      <c r="C9888" t="str">
        <f t="shared" si="2148"/>
        <v>88805014</v>
      </c>
      <c r="D9888" t="str">
        <f t="shared" si="2149"/>
        <v>816</v>
      </c>
      <c r="E9888" t="str">
        <f t="shared" si="2150"/>
        <v>89301282</v>
      </c>
      <c r="F9888" t="str">
        <f>"1154011078"</f>
        <v>1154011078</v>
      </c>
      <c r="G9888" s="1">
        <v>44847</v>
      </c>
      <c r="H9888" t="str">
        <f>"94948"</f>
        <v>94948</v>
      </c>
      <c r="I9888">
        <v>1</v>
      </c>
      <c r="J9888">
        <v>0</v>
      </c>
      <c r="K9888">
        <v>0</v>
      </c>
      <c r="L9888">
        <v>0</v>
      </c>
    </row>
    <row r="9889" spans="1:12" x14ac:dyDescent="0.25">
      <c r="A9889" t="str">
        <f t="shared" si="2140"/>
        <v>89301000</v>
      </c>
      <c r="B9889" t="str">
        <f t="shared" si="2147"/>
        <v>88805000</v>
      </c>
      <c r="C9889" t="str">
        <f t="shared" si="2148"/>
        <v>88805014</v>
      </c>
      <c r="D9889" t="str">
        <f t="shared" si="2149"/>
        <v>816</v>
      </c>
      <c r="E9889" t="str">
        <f t="shared" si="2150"/>
        <v>89301282</v>
      </c>
      <c r="F9889" t="str">
        <f>"1154011078"</f>
        <v>1154011078</v>
      </c>
      <c r="G9889" s="1">
        <v>44847</v>
      </c>
      <c r="H9889" t="str">
        <f>"94982"</f>
        <v>94982</v>
      </c>
      <c r="I9889">
        <v>1</v>
      </c>
      <c r="J9889">
        <v>0</v>
      </c>
      <c r="K9889">
        <v>27500</v>
      </c>
      <c r="L9889">
        <v>27500</v>
      </c>
    </row>
    <row r="9890" spans="1:12" x14ac:dyDescent="0.25">
      <c r="A9890" t="str">
        <f t="shared" si="2140"/>
        <v>89301000</v>
      </c>
      <c r="B9890" t="str">
        <f t="shared" si="2147"/>
        <v>88805000</v>
      </c>
      <c r="C9890" t="str">
        <f t="shared" si="2148"/>
        <v>88805014</v>
      </c>
      <c r="D9890" t="str">
        <f t="shared" si="2149"/>
        <v>816</v>
      </c>
      <c r="E9890" t="str">
        <f t="shared" si="2150"/>
        <v>89301282</v>
      </c>
      <c r="F9890" t="str">
        <f>"1154011078"</f>
        <v>1154011078</v>
      </c>
      <c r="G9890" s="1">
        <v>44847</v>
      </c>
      <c r="H9890" t="str">
        <f>"94996"</f>
        <v>94996</v>
      </c>
      <c r="I9890">
        <v>1</v>
      </c>
      <c r="J9890">
        <v>0</v>
      </c>
      <c r="K9890">
        <v>0</v>
      </c>
      <c r="L9890">
        <v>0</v>
      </c>
    </row>
    <row r="9891" spans="1:12" x14ac:dyDescent="0.25">
      <c r="A9891" t="str">
        <f t="shared" si="2140"/>
        <v>89301000</v>
      </c>
      <c r="B9891" t="str">
        <f t="shared" si="2147"/>
        <v>88805000</v>
      </c>
      <c r="C9891" t="str">
        <f>"88805001"</f>
        <v>88805001</v>
      </c>
      <c r="D9891" t="str">
        <f>"801"</f>
        <v>801</v>
      </c>
      <c r="E9891" t="str">
        <f>"89301102"</f>
        <v>89301102</v>
      </c>
      <c r="F9891" t="str">
        <f>"0609186171"</f>
        <v>0609186171</v>
      </c>
      <c r="G9891" s="1">
        <v>44845</v>
      </c>
      <c r="H9891" t="str">
        <f>"97111"</f>
        <v>97111</v>
      </c>
      <c r="I9891">
        <v>1</v>
      </c>
      <c r="J9891">
        <v>18</v>
      </c>
      <c r="K9891">
        <v>0</v>
      </c>
      <c r="L9891">
        <v>14.04</v>
      </c>
    </row>
    <row r="9892" spans="1:12" x14ac:dyDescent="0.25">
      <c r="A9892" t="str">
        <f t="shared" si="2140"/>
        <v>89301000</v>
      </c>
      <c r="B9892" t="str">
        <f t="shared" si="2147"/>
        <v>88805000</v>
      </c>
      <c r="C9892" t="str">
        <f>"88805001"</f>
        <v>88805001</v>
      </c>
      <c r="D9892" t="str">
        <f>"801"</f>
        <v>801</v>
      </c>
      <c r="E9892" t="str">
        <f>"89301108"</f>
        <v>89301108</v>
      </c>
      <c r="F9892" t="str">
        <f>"1257250170"</f>
        <v>1257250170</v>
      </c>
      <c r="G9892" s="1">
        <v>44839</v>
      </c>
      <c r="H9892" t="str">
        <f>"97111"</f>
        <v>97111</v>
      </c>
      <c r="I9892">
        <v>1</v>
      </c>
      <c r="J9892">
        <v>18</v>
      </c>
      <c r="K9892">
        <v>0</v>
      </c>
      <c r="L9892">
        <v>14.04</v>
      </c>
    </row>
    <row r="9893" spans="1:12" x14ac:dyDescent="0.25">
      <c r="A9893" t="str">
        <f t="shared" si="2140"/>
        <v>89301000</v>
      </c>
      <c r="B9893" t="str">
        <f>"91950000"</f>
        <v>91950000</v>
      </c>
      <c r="C9893" t="str">
        <f>"91950028"</f>
        <v>91950028</v>
      </c>
      <c r="D9893" t="str">
        <f>"809"</f>
        <v>809</v>
      </c>
      <c r="E9893" t="str">
        <f>"89301112"</f>
        <v>89301112</v>
      </c>
      <c r="F9893" t="str">
        <f>"0602233764"</f>
        <v>0602233764</v>
      </c>
      <c r="G9893" s="1">
        <v>44840</v>
      </c>
      <c r="H9893" t="str">
        <f>"89713"</f>
        <v>89713</v>
      </c>
      <c r="I9893">
        <v>1</v>
      </c>
      <c r="J9893">
        <v>5362</v>
      </c>
      <c r="K9893">
        <v>0</v>
      </c>
      <c r="L9893">
        <v>3217.2</v>
      </c>
    </row>
    <row r="9894" spans="1:12" x14ac:dyDescent="0.25">
      <c r="A9894" t="str">
        <f t="shared" si="2140"/>
        <v>89301000</v>
      </c>
      <c r="B9894" t="str">
        <f t="shared" ref="B9894:B9900" si="2151">"88805000"</f>
        <v>88805000</v>
      </c>
      <c r="C9894" t="str">
        <f t="shared" ref="C9894:C9900" si="2152">"88805001"</f>
        <v>88805001</v>
      </c>
      <c r="D9894" t="str">
        <f t="shared" ref="D9894:D9900" si="2153">"801"</f>
        <v>801</v>
      </c>
      <c r="E9894" t="str">
        <f>"89301013"</f>
        <v>89301013</v>
      </c>
      <c r="F9894" t="str">
        <f>"8055121360"</f>
        <v>8055121360</v>
      </c>
      <c r="G9894" s="1">
        <v>44837</v>
      </c>
      <c r="H9894" t="str">
        <f>"97111"</f>
        <v>97111</v>
      </c>
      <c r="I9894">
        <v>1</v>
      </c>
      <c r="J9894">
        <v>18</v>
      </c>
      <c r="K9894">
        <v>0</v>
      </c>
      <c r="L9894">
        <v>14.04</v>
      </c>
    </row>
    <row r="9895" spans="1:12" x14ac:dyDescent="0.25">
      <c r="A9895" t="str">
        <f t="shared" si="2140"/>
        <v>89301000</v>
      </c>
      <c r="B9895" t="str">
        <f t="shared" si="2151"/>
        <v>88805000</v>
      </c>
      <c r="C9895" t="str">
        <f t="shared" si="2152"/>
        <v>88805001</v>
      </c>
      <c r="D9895" t="str">
        <f t="shared" si="2153"/>
        <v>801</v>
      </c>
      <c r="E9895" t="str">
        <f>"89301102"</f>
        <v>89301102</v>
      </c>
      <c r="F9895" t="str">
        <f>"0609186171"</f>
        <v>0609186171</v>
      </c>
      <c r="G9895" s="1">
        <v>44845</v>
      </c>
      <c r="H9895" t="str">
        <f>"81631"</f>
        <v>81631</v>
      </c>
      <c r="I9895">
        <v>1</v>
      </c>
      <c r="J9895">
        <v>294</v>
      </c>
      <c r="K9895">
        <v>0</v>
      </c>
      <c r="L9895">
        <v>229.32</v>
      </c>
    </row>
    <row r="9896" spans="1:12" x14ac:dyDescent="0.25">
      <c r="A9896" t="str">
        <f t="shared" si="2140"/>
        <v>89301000</v>
      </c>
      <c r="B9896" t="str">
        <f t="shared" si="2151"/>
        <v>88805000</v>
      </c>
      <c r="C9896" t="str">
        <f t="shared" si="2152"/>
        <v>88805001</v>
      </c>
      <c r="D9896" t="str">
        <f t="shared" si="2153"/>
        <v>801</v>
      </c>
      <c r="E9896" t="str">
        <f>"89301102"</f>
        <v>89301102</v>
      </c>
      <c r="F9896" t="str">
        <f>"0609186171"</f>
        <v>0609186171</v>
      </c>
      <c r="G9896" s="1">
        <v>44845</v>
      </c>
      <c r="H9896" t="str">
        <f>"92143"</f>
        <v>92143</v>
      </c>
      <c r="I9896">
        <v>1</v>
      </c>
      <c r="J9896">
        <v>1748</v>
      </c>
      <c r="K9896">
        <v>0</v>
      </c>
      <c r="L9896">
        <v>1363.44</v>
      </c>
    </row>
    <row r="9897" spans="1:12" x14ac:dyDescent="0.25">
      <c r="A9897" t="str">
        <f t="shared" si="2140"/>
        <v>89301000</v>
      </c>
      <c r="B9897" t="str">
        <f t="shared" si="2151"/>
        <v>88805000</v>
      </c>
      <c r="C9897" t="str">
        <f t="shared" si="2152"/>
        <v>88805001</v>
      </c>
      <c r="D9897" t="str">
        <f t="shared" si="2153"/>
        <v>801</v>
      </c>
      <c r="E9897" t="str">
        <f>"89301108"</f>
        <v>89301108</v>
      </c>
      <c r="F9897" t="str">
        <f>"1257250170"</f>
        <v>1257250170</v>
      </c>
      <c r="G9897" s="1">
        <v>44839</v>
      </c>
      <c r="H9897" t="str">
        <f>"81631"</f>
        <v>81631</v>
      </c>
      <c r="I9897">
        <v>1</v>
      </c>
      <c r="J9897">
        <v>294</v>
      </c>
      <c r="K9897">
        <v>0</v>
      </c>
      <c r="L9897">
        <v>229.32</v>
      </c>
    </row>
    <row r="9898" spans="1:12" x14ac:dyDescent="0.25">
      <c r="A9898" t="str">
        <f t="shared" si="2140"/>
        <v>89301000</v>
      </c>
      <c r="B9898" t="str">
        <f t="shared" si="2151"/>
        <v>88805000</v>
      </c>
      <c r="C9898" t="str">
        <f t="shared" si="2152"/>
        <v>88805001</v>
      </c>
      <c r="D9898" t="str">
        <f t="shared" si="2153"/>
        <v>801</v>
      </c>
      <c r="E9898" t="str">
        <f>"89301108"</f>
        <v>89301108</v>
      </c>
      <c r="F9898" t="str">
        <f>"1257250170"</f>
        <v>1257250170</v>
      </c>
      <c r="G9898" s="1">
        <v>44839</v>
      </c>
      <c r="H9898" t="str">
        <f>"92143"</f>
        <v>92143</v>
      </c>
      <c r="I9898">
        <v>1</v>
      </c>
      <c r="J9898">
        <v>1748</v>
      </c>
      <c r="K9898">
        <v>0</v>
      </c>
      <c r="L9898">
        <v>1363.44</v>
      </c>
    </row>
    <row r="9899" spans="1:12" x14ac:dyDescent="0.25">
      <c r="A9899" t="str">
        <f t="shared" si="2140"/>
        <v>89301000</v>
      </c>
      <c r="B9899" t="str">
        <f t="shared" si="2151"/>
        <v>88805000</v>
      </c>
      <c r="C9899" t="str">
        <f t="shared" si="2152"/>
        <v>88805001</v>
      </c>
      <c r="D9899" t="str">
        <f t="shared" si="2153"/>
        <v>801</v>
      </c>
      <c r="E9899" t="str">
        <f>"89301202"</f>
        <v>89301202</v>
      </c>
      <c r="F9899" t="str">
        <f>"8052134497"</f>
        <v>8052134497</v>
      </c>
      <c r="G9899" s="1">
        <v>44846</v>
      </c>
      <c r="H9899" t="str">
        <f>"81643"</f>
        <v>81643</v>
      </c>
      <c r="I9899">
        <v>1</v>
      </c>
      <c r="J9899">
        <v>104</v>
      </c>
      <c r="K9899">
        <v>0</v>
      </c>
      <c r="L9899">
        <v>81.12</v>
      </c>
    </row>
    <row r="9900" spans="1:12" x14ac:dyDescent="0.25">
      <c r="A9900" t="str">
        <f t="shared" si="2140"/>
        <v>89301000</v>
      </c>
      <c r="B9900" t="str">
        <f t="shared" si="2151"/>
        <v>88805000</v>
      </c>
      <c r="C9900" t="str">
        <f t="shared" si="2152"/>
        <v>88805001</v>
      </c>
      <c r="D9900" t="str">
        <f t="shared" si="2153"/>
        <v>801</v>
      </c>
      <c r="E9900" t="str">
        <f>"89301013"</f>
        <v>89301013</v>
      </c>
      <c r="F9900" t="str">
        <f>"8055121360"</f>
        <v>8055121360</v>
      </c>
      <c r="G9900" s="1">
        <v>44837</v>
      </c>
      <c r="H9900" t="str">
        <f>"81643"</f>
        <v>81643</v>
      </c>
      <c r="I9900">
        <v>1</v>
      </c>
      <c r="J9900">
        <v>104</v>
      </c>
      <c r="K9900">
        <v>0</v>
      </c>
      <c r="L9900">
        <v>81.12</v>
      </c>
    </row>
    <row r="9901" spans="1:12" x14ac:dyDescent="0.25">
      <c r="A9901" t="str">
        <f t="shared" si="2140"/>
        <v>89301000</v>
      </c>
      <c r="B9901" t="str">
        <f t="shared" ref="B9901:B9917" si="2154">"72077000"</f>
        <v>72077000</v>
      </c>
      <c r="C9901" t="str">
        <f t="shared" ref="C9901:C9917" si="2155">"72077001"</f>
        <v>72077001</v>
      </c>
      <c r="D9901" t="str">
        <f t="shared" ref="D9901:D9917" si="2156">"813"</f>
        <v>813</v>
      </c>
      <c r="E9901" t="str">
        <f t="shared" ref="E9901:E9917" si="2157">"89301152"</f>
        <v>89301152</v>
      </c>
      <c r="F9901" t="str">
        <f>"6754030063"</f>
        <v>6754030063</v>
      </c>
      <c r="G9901" s="1">
        <v>44841</v>
      </c>
      <c r="H9901" t="str">
        <f>"91171"</f>
        <v>91171</v>
      </c>
      <c r="I9901">
        <v>1</v>
      </c>
      <c r="J9901">
        <v>360</v>
      </c>
      <c r="K9901">
        <v>0</v>
      </c>
      <c r="L9901">
        <v>280.8</v>
      </c>
    </row>
    <row r="9902" spans="1:12" x14ac:dyDescent="0.25">
      <c r="A9902" t="str">
        <f t="shared" si="2140"/>
        <v>89301000</v>
      </c>
      <c r="B9902" t="str">
        <f t="shared" si="2154"/>
        <v>72077000</v>
      </c>
      <c r="C9902" t="str">
        <f t="shared" si="2155"/>
        <v>72077001</v>
      </c>
      <c r="D9902" t="str">
        <f t="shared" si="2156"/>
        <v>813</v>
      </c>
      <c r="E9902" t="str">
        <f t="shared" si="2157"/>
        <v>89301152</v>
      </c>
      <c r="F9902" t="str">
        <f>"8457125314"</f>
        <v>8457125314</v>
      </c>
      <c r="G9902" s="1">
        <v>44845</v>
      </c>
      <c r="H9902" t="str">
        <f>"91465"</f>
        <v>91465</v>
      </c>
      <c r="I9902">
        <v>1</v>
      </c>
      <c r="J9902">
        <v>1404</v>
      </c>
      <c r="K9902">
        <v>0</v>
      </c>
      <c r="L9902">
        <v>1095.1199999999999</v>
      </c>
    </row>
    <row r="9903" spans="1:12" x14ac:dyDescent="0.25">
      <c r="A9903" t="str">
        <f t="shared" si="2140"/>
        <v>89301000</v>
      </c>
      <c r="B9903" t="str">
        <f t="shared" si="2154"/>
        <v>72077000</v>
      </c>
      <c r="C9903" t="str">
        <f t="shared" si="2155"/>
        <v>72077001</v>
      </c>
      <c r="D9903" t="str">
        <f t="shared" si="2156"/>
        <v>813</v>
      </c>
      <c r="E9903" t="str">
        <f t="shared" si="2157"/>
        <v>89301152</v>
      </c>
      <c r="F9903" t="str">
        <f>"8457125314"</f>
        <v>8457125314</v>
      </c>
      <c r="G9903" s="1">
        <v>44845</v>
      </c>
      <c r="H9903" t="str">
        <f>"91197"</f>
        <v>91197</v>
      </c>
      <c r="I9903">
        <v>1</v>
      </c>
      <c r="J9903">
        <v>1046</v>
      </c>
      <c r="K9903">
        <v>0</v>
      </c>
      <c r="L9903">
        <v>815.88</v>
      </c>
    </row>
    <row r="9904" spans="1:12" x14ac:dyDescent="0.25">
      <c r="A9904" t="str">
        <f t="shared" si="2140"/>
        <v>89301000</v>
      </c>
      <c r="B9904" t="str">
        <f t="shared" si="2154"/>
        <v>72077000</v>
      </c>
      <c r="C9904" t="str">
        <f t="shared" si="2155"/>
        <v>72077001</v>
      </c>
      <c r="D9904" t="str">
        <f t="shared" si="2156"/>
        <v>813</v>
      </c>
      <c r="E9904" t="str">
        <f t="shared" si="2157"/>
        <v>89301152</v>
      </c>
      <c r="F9904" t="str">
        <f>"5656152337"</f>
        <v>5656152337</v>
      </c>
      <c r="G9904" s="1">
        <v>44852</v>
      </c>
      <c r="H9904" t="str">
        <f>"91197"</f>
        <v>91197</v>
      </c>
      <c r="I9904">
        <v>1</v>
      </c>
      <c r="J9904">
        <v>1046</v>
      </c>
      <c r="K9904">
        <v>0</v>
      </c>
      <c r="L9904">
        <v>815.88</v>
      </c>
    </row>
    <row r="9905" spans="1:12" x14ac:dyDescent="0.25">
      <c r="A9905" t="str">
        <f t="shared" si="2140"/>
        <v>89301000</v>
      </c>
      <c r="B9905" t="str">
        <f t="shared" si="2154"/>
        <v>72077000</v>
      </c>
      <c r="C9905" t="str">
        <f t="shared" si="2155"/>
        <v>72077001</v>
      </c>
      <c r="D9905" t="str">
        <f t="shared" si="2156"/>
        <v>813</v>
      </c>
      <c r="E9905" t="str">
        <f t="shared" si="2157"/>
        <v>89301152</v>
      </c>
      <c r="F9905" t="str">
        <f>"5656152337"</f>
        <v>5656152337</v>
      </c>
      <c r="G9905" s="1">
        <v>44852</v>
      </c>
      <c r="H9905" t="str">
        <f>"91465"</f>
        <v>91465</v>
      </c>
      <c r="I9905">
        <v>1</v>
      </c>
      <c r="J9905">
        <v>1404</v>
      </c>
      <c r="K9905">
        <v>0</v>
      </c>
      <c r="L9905">
        <v>1095.1199999999999</v>
      </c>
    </row>
    <row r="9906" spans="1:12" x14ac:dyDescent="0.25">
      <c r="A9906" t="str">
        <f t="shared" si="2140"/>
        <v>89301000</v>
      </c>
      <c r="B9906" t="str">
        <f t="shared" si="2154"/>
        <v>72077000</v>
      </c>
      <c r="C9906" t="str">
        <f t="shared" si="2155"/>
        <v>72077001</v>
      </c>
      <c r="D9906" t="str">
        <f t="shared" si="2156"/>
        <v>813</v>
      </c>
      <c r="E9906" t="str">
        <f t="shared" si="2157"/>
        <v>89301152</v>
      </c>
      <c r="F9906" t="str">
        <f>"9451225718"</f>
        <v>9451225718</v>
      </c>
      <c r="G9906" s="1">
        <v>44854</v>
      </c>
      <c r="H9906" t="str">
        <f>"91485"</f>
        <v>91485</v>
      </c>
      <c r="I9906">
        <v>1</v>
      </c>
      <c r="J9906">
        <v>268</v>
      </c>
      <c r="K9906">
        <v>0</v>
      </c>
      <c r="L9906">
        <v>209.04</v>
      </c>
    </row>
    <row r="9907" spans="1:12" x14ac:dyDescent="0.25">
      <c r="A9907" t="str">
        <f t="shared" si="2140"/>
        <v>89301000</v>
      </c>
      <c r="B9907" t="str">
        <f t="shared" si="2154"/>
        <v>72077000</v>
      </c>
      <c r="C9907" t="str">
        <f t="shared" si="2155"/>
        <v>72077001</v>
      </c>
      <c r="D9907" t="str">
        <f t="shared" si="2156"/>
        <v>813</v>
      </c>
      <c r="E9907" t="str">
        <f t="shared" si="2157"/>
        <v>89301152</v>
      </c>
      <c r="F9907" t="str">
        <f>"6460311308"</f>
        <v>6460311308</v>
      </c>
      <c r="G9907" s="1">
        <v>44858</v>
      </c>
      <c r="H9907" t="str">
        <f>"91219"</f>
        <v>91219</v>
      </c>
      <c r="I9907">
        <v>1</v>
      </c>
      <c r="J9907">
        <v>342</v>
      </c>
      <c r="K9907">
        <v>0</v>
      </c>
      <c r="L9907">
        <v>266.76</v>
      </c>
    </row>
    <row r="9908" spans="1:12" x14ac:dyDescent="0.25">
      <c r="A9908" t="str">
        <f t="shared" si="2140"/>
        <v>89301000</v>
      </c>
      <c r="B9908" t="str">
        <f t="shared" si="2154"/>
        <v>72077000</v>
      </c>
      <c r="C9908" t="str">
        <f t="shared" si="2155"/>
        <v>72077001</v>
      </c>
      <c r="D9908" t="str">
        <f t="shared" si="2156"/>
        <v>813</v>
      </c>
      <c r="E9908" t="str">
        <f t="shared" si="2157"/>
        <v>89301152</v>
      </c>
      <c r="F9908" t="str">
        <f>"5557091122"</f>
        <v>5557091122</v>
      </c>
      <c r="G9908" s="1">
        <v>44854</v>
      </c>
      <c r="H9908" t="str">
        <f>"91197"</f>
        <v>91197</v>
      </c>
      <c r="I9908">
        <v>1</v>
      </c>
      <c r="J9908">
        <v>1046</v>
      </c>
      <c r="K9908">
        <v>0</v>
      </c>
      <c r="L9908">
        <v>815.88</v>
      </c>
    </row>
    <row r="9909" spans="1:12" x14ac:dyDescent="0.25">
      <c r="A9909" t="str">
        <f t="shared" si="2140"/>
        <v>89301000</v>
      </c>
      <c r="B9909" t="str">
        <f t="shared" si="2154"/>
        <v>72077000</v>
      </c>
      <c r="C9909" t="str">
        <f t="shared" si="2155"/>
        <v>72077001</v>
      </c>
      <c r="D9909" t="str">
        <f t="shared" si="2156"/>
        <v>813</v>
      </c>
      <c r="E9909" t="str">
        <f t="shared" si="2157"/>
        <v>89301152</v>
      </c>
      <c r="F9909" t="str">
        <f>"5557091122"</f>
        <v>5557091122</v>
      </c>
      <c r="G9909" s="1">
        <v>44854</v>
      </c>
      <c r="H9909" t="str">
        <f>"91465"</f>
        <v>91465</v>
      </c>
      <c r="I9909">
        <v>1</v>
      </c>
      <c r="J9909">
        <v>1404</v>
      </c>
      <c r="K9909">
        <v>0</v>
      </c>
      <c r="L9909">
        <v>1095.1199999999999</v>
      </c>
    </row>
    <row r="9910" spans="1:12" x14ac:dyDescent="0.25">
      <c r="A9910" t="str">
        <f t="shared" si="2140"/>
        <v>89301000</v>
      </c>
      <c r="B9910" t="str">
        <f t="shared" si="2154"/>
        <v>72077000</v>
      </c>
      <c r="C9910" t="str">
        <f t="shared" si="2155"/>
        <v>72077001</v>
      </c>
      <c r="D9910" t="str">
        <f t="shared" si="2156"/>
        <v>813</v>
      </c>
      <c r="E9910" t="str">
        <f t="shared" si="2157"/>
        <v>89301152</v>
      </c>
      <c r="F9910" t="str">
        <f>"9061276169"</f>
        <v>9061276169</v>
      </c>
      <c r="G9910" s="1">
        <v>44859</v>
      </c>
      <c r="H9910" t="str">
        <f>"91465"</f>
        <v>91465</v>
      </c>
      <c r="I9910">
        <v>1</v>
      </c>
      <c r="J9910">
        <v>1404</v>
      </c>
      <c r="K9910">
        <v>0</v>
      </c>
      <c r="L9910">
        <v>1095.1199999999999</v>
      </c>
    </row>
    <row r="9911" spans="1:12" x14ac:dyDescent="0.25">
      <c r="A9911" t="str">
        <f t="shared" si="2140"/>
        <v>89301000</v>
      </c>
      <c r="B9911" t="str">
        <f t="shared" si="2154"/>
        <v>72077000</v>
      </c>
      <c r="C9911" t="str">
        <f t="shared" si="2155"/>
        <v>72077001</v>
      </c>
      <c r="D9911" t="str">
        <f t="shared" si="2156"/>
        <v>813</v>
      </c>
      <c r="E9911" t="str">
        <f t="shared" si="2157"/>
        <v>89301152</v>
      </c>
      <c r="F9911" t="str">
        <f>"9061276169"</f>
        <v>9061276169</v>
      </c>
      <c r="G9911" s="1">
        <v>44859</v>
      </c>
      <c r="H9911" t="str">
        <f>"91197"</f>
        <v>91197</v>
      </c>
      <c r="I9911">
        <v>1</v>
      </c>
      <c r="J9911">
        <v>1046</v>
      </c>
      <c r="K9911">
        <v>0</v>
      </c>
      <c r="L9911">
        <v>815.88</v>
      </c>
    </row>
    <row r="9912" spans="1:12" x14ac:dyDescent="0.25">
      <c r="A9912" t="str">
        <f t="shared" si="2140"/>
        <v>89301000</v>
      </c>
      <c r="B9912" t="str">
        <f t="shared" si="2154"/>
        <v>72077000</v>
      </c>
      <c r="C9912" t="str">
        <f t="shared" si="2155"/>
        <v>72077001</v>
      </c>
      <c r="D9912" t="str">
        <f t="shared" si="2156"/>
        <v>813</v>
      </c>
      <c r="E9912" t="str">
        <f t="shared" si="2157"/>
        <v>89301152</v>
      </c>
      <c r="F9912" t="str">
        <f>"8401205362"</f>
        <v>8401205362</v>
      </c>
      <c r="G9912" s="1">
        <v>44859</v>
      </c>
      <c r="H9912" t="str">
        <f>"91465"</f>
        <v>91465</v>
      </c>
      <c r="I9912">
        <v>1</v>
      </c>
      <c r="J9912">
        <v>1404</v>
      </c>
      <c r="K9912">
        <v>0</v>
      </c>
      <c r="L9912">
        <v>1095.1199999999999</v>
      </c>
    </row>
    <row r="9913" spans="1:12" x14ac:dyDescent="0.25">
      <c r="A9913" t="str">
        <f t="shared" si="2140"/>
        <v>89301000</v>
      </c>
      <c r="B9913" t="str">
        <f t="shared" si="2154"/>
        <v>72077000</v>
      </c>
      <c r="C9913" t="str">
        <f t="shared" si="2155"/>
        <v>72077001</v>
      </c>
      <c r="D9913" t="str">
        <f t="shared" si="2156"/>
        <v>813</v>
      </c>
      <c r="E9913" t="str">
        <f t="shared" si="2157"/>
        <v>89301152</v>
      </c>
      <c r="F9913" t="str">
        <f>"8401205362"</f>
        <v>8401205362</v>
      </c>
      <c r="G9913" s="1">
        <v>44859</v>
      </c>
      <c r="H9913" t="str">
        <f>"91197"</f>
        <v>91197</v>
      </c>
      <c r="I9913">
        <v>1</v>
      </c>
      <c r="J9913">
        <v>1046</v>
      </c>
      <c r="K9913">
        <v>0</v>
      </c>
      <c r="L9913">
        <v>815.88</v>
      </c>
    </row>
    <row r="9914" spans="1:12" x14ac:dyDescent="0.25">
      <c r="A9914" t="str">
        <f t="shared" si="2140"/>
        <v>89301000</v>
      </c>
      <c r="B9914" t="str">
        <f t="shared" si="2154"/>
        <v>72077000</v>
      </c>
      <c r="C9914" t="str">
        <f t="shared" si="2155"/>
        <v>72077001</v>
      </c>
      <c r="D9914" t="str">
        <f t="shared" si="2156"/>
        <v>813</v>
      </c>
      <c r="E9914" t="str">
        <f t="shared" si="2157"/>
        <v>89301152</v>
      </c>
      <c r="F9914" t="str">
        <f>"6209061639"</f>
        <v>6209061639</v>
      </c>
      <c r="G9914" s="1">
        <v>44861</v>
      </c>
      <c r="H9914" t="str">
        <f>"91197"</f>
        <v>91197</v>
      </c>
      <c r="I9914">
        <v>1</v>
      </c>
      <c r="J9914">
        <v>1046</v>
      </c>
      <c r="K9914">
        <v>0</v>
      </c>
      <c r="L9914">
        <v>815.88</v>
      </c>
    </row>
    <row r="9915" spans="1:12" x14ac:dyDescent="0.25">
      <c r="A9915" t="str">
        <f t="shared" si="2140"/>
        <v>89301000</v>
      </c>
      <c r="B9915" t="str">
        <f t="shared" si="2154"/>
        <v>72077000</v>
      </c>
      <c r="C9915" t="str">
        <f t="shared" si="2155"/>
        <v>72077001</v>
      </c>
      <c r="D9915" t="str">
        <f t="shared" si="2156"/>
        <v>813</v>
      </c>
      <c r="E9915" t="str">
        <f t="shared" si="2157"/>
        <v>89301152</v>
      </c>
      <c r="F9915" t="str">
        <f>"6209061639"</f>
        <v>6209061639</v>
      </c>
      <c r="G9915" s="1">
        <v>44861</v>
      </c>
      <c r="H9915" t="str">
        <f>"91465"</f>
        <v>91465</v>
      </c>
      <c r="I9915">
        <v>1</v>
      </c>
      <c r="J9915">
        <v>1404</v>
      </c>
      <c r="K9915">
        <v>0</v>
      </c>
      <c r="L9915">
        <v>1095.1199999999999</v>
      </c>
    </row>
    <row r="9916" spans="1:12" x14ac:dyDescent="0.25">
      <c r="A9916" t="str">
        <f t="shared" si="2140"/>
        <v>89301000</v>
      </c>
      <c r="B9916" t="str">
        <f t="shared" si="2154"/>
        <v>72077000</v>
      </c>
      <c r="C9916" t="str">
        <f t="shared" si="2155"/>
        <v>72077001</v>
      </c>
      <c r="D9916" t="str">
        <f t="shared" si="2156"/>
        <v>813</v>
      </c>
      <c r="E9916" t="str">
        <f t="shared" si="2157"/>
        <v>89301152</v>
      </c>
      <c r="F9916" t="str">
        <f>"495518158"</f>
        <v>495518158</v>
      </c>
      <c r="G9916" s="1">
        <v>44861</v>
      </c>
      <c r="H9916" t="str">
        <f>"91197"</f>
        <v>91197</v>
      </c>
      <c r="I9916">
        <v>1</v>
      </c>
      <c r="J9916">
        <v>1046</v>
      </c>
      <c r="K9916">
        <v>0</v>
      </c>
      <c r="L9916">
        <v>815.88</v>
      </c>
    </row>
    <row r="9917" spans="1:12" x14ac:dyDescent="0.25">
      <c r="A9917" t="str">
        <f t="shared" si="2140"/>
        <v>89301000</v>
      </c>
      <c r="B9917" t="str">
        <f t="shared" si="2154"/>
        <v>72077000</v>
      </c>
      <c r="C9917" t="str">
        <f t="shared" si="2155"/>
        <v>72077001</v>
      </c>
      <c r="D9917" t="str">
        <f t="shared" si="2156"/>
        <v>813</v>
      </c>
      <c r="E9917" t="str">
        <f t="shared" si="2157"/>
        <v>89301152</v>
      </c>
      <c r="F9917" t="str">
        <f>"495518158"</f>
        <v>495518158</v>
      </c>
      <c r="G9917" s="1">
        <v>44861</v>
      </c>
      <c r="H9917" t="str">
        <f>"91465"</f>
        <v>91465</v>
      </c>
      <c r="I9917">
        <v>1</v>
      </c>
      <c r="J9917">
        <v>1404</v>
      </c>
      <c r="K9917">
        <v>0</v>
      </c>
      <c r="L9917">
        <v>1095.1199999999999</v>
      </c>
    </row>
    <row r="9918" spans="1:12" x14ac:dyDescent="0.25">
      <c r="A9918" t="str">
        <f t="shared" si="2140"/>
        <v>89301000</v>
      </c>
      <c r="B9918" t="str">
        <f t="shared" ref="B9918:B9925" si="2158">"02384000"</f>
        <v>02384000</v>
      </c>
      <c r="C9918" t="str">
        <f t="shared" ref="C9918:C9925" si="2159">"02384007"</f>
        <v>02384007</v>
      </c>
      <c r="D9918" t="str">
        <f t="shared" ref="D9918:D9949" si="2160">"809"</f>
        <v>809</v>
      </c>
      <c r="E9918" t="str">
        <f>"89301037"</f>
        <v>89301037</v>
      </c>
      <c r="F9918" t="str">
        <f>"515425103"</f>
        <v>515425103</v>
      </c>
      <c r="G9918" s="1">
        <v>44844</v>
      </c>
      <c r="H9918" t="str">
        <f>"89312"</f>
        <v>89312</v>
      </c>
      <c r="I9918">
        <v>1</v>
      </c>
      <c r="J9918">
        <v>302</v>
      </c>
      <c r="K9918">
        <v>0</v>
      </c>
      <c r="L9918">
        <v>317.10000000000002</v>
      </c>
    </row>
    <row r="9919" spans="1:12" x14ac:dyDescent="0.25">
      <c r="A9919" t="str">
        <f t="shared" si="2140"/>
        <v>89301000</v>
      </c>
      <c r="B9919" t="str">
        <f t="shared" si="2158"/>
        <v>02384000</v>
      </c>
      <c r="C9919" t="str">
        <f t="shared" si="2159"/>
        <v>02384007</v>
      </c>
      <c r="D9919" t="str">
        <f t="shared" si="2160"/>
        <v>809</v>
      </c>
      <c r="E9919" t="str">
        <f>"89301037"</f>
        <v>89301037</v>
      </c>
      <c r="F9919" t="str">
        <f>"515425103"</f>
        <v>515425103</v>
      </c>
      <c r="G9919" s="1">
        <v>44844</v>
      </c>
      <c r="H9919" t="str">
        <f>"89312"</f>
        <v>89312</v>
      </c>
      <c r="I9919">
        <v>2</v>
      </c>
      <c r="J9919">
        <v>604</v>
      </c>
      <c r="K9919">
        <v>0</v>
      </c>
      <c r="L9919">
        <v>634.20000000000005</v>
      </c>
    </row>
    <row r="9920" spans="1:12" x14ac:dyDescent="0.25">
      <c r="A9920" t="str">
        <f t="shared" si="2140"/>
        <v>89301000</v>
      </c>
      <c r="B9920" t="str">
        <f t="shared" si="2158"/>
        <v>02384000</v>
      </c>
      <c r="C9920" t="str">
        <f t="shared" si="2159"/>
        <v>02384007</v>
      </c>
      <c r="D9920" t="str">
        <f t="shared" si="2160"/>
        <v>809</v>
      </c>
      <c r="E9920" t="str">
        <f>"89301212"</f>
        <v>89301212</v>
      </c>
      <c r="F9920" t="str">
        <f>"415422460"</f>
        <v>415422460</v>
      </c>
      <c r="G9920" s="1">
        <v>44841</v>
      </c>
      <c r="H9920" t="str">
        <f>"89513"</f>
        <v>89513</v>
      </c>
      <c r="I9920">
        <v>1</v>
      </c>
      <c r="J9920">
        <v>371</v>
      </c>
      <c r="K9920">
        <v>0</v>
      </c>
      <c r="L9920">
        <v>519.4</v>
      </c>
    </row>
    <row r="9921" spans="1:12" x14ac:dyDescent="0.25">
      <c r="A9921" t="str">
        <f t="shared" si="2140"/>
        <v>89301000</v>
      </c>
      <c r="B9921" t="str">
        <f t="shared" si="2158"/>
        <v>02384000</v>
      </c>
      <c r="C9921" t="str">
        <f t="shared" si="2159"/>
        <v>02384007</v>
      </c>
      <c r="D9921" t="str">
        <f t="shared" si="2160"/>
        <v>809</v>
      </c>
      <c r="E9921" t="str">
        <f>"89301212"</f>
        <v>89301212</v>
      </c>
      <c r="F9921" t="str">
        <f>"415422460"</f>
        <v>415422460</v>
      </c>
      <c r="G9921" s="1">
        <v>44841</v>
      </c>
      <c r="H9921" t="str">
        <f>"89514"</f>
        <v>89514</v>
      </c>
      <c r="I9921">
        <v>1</v>
      </c>
      <c r="J9921">
        <v>371</v>
      </c>
      <c r="K9921">
        <v>0</v>
      </c>
      <c r="L9921">
        <v>519.4</v>
      </c>
    </row>
    <row r="9922" spans="1:12" x14ac:dyDescent="0.25">
      <c r="A9922" t="str">
        <f t="shared" ref="A9922:A9985" si="2161">"89301000"</f>
        <v>89301000</v>
      </c>
      <c r="B9922" t="str">
        <f t="shared" si="2158"/>
        <v>02384000</v>
      </c>
      <c r="C9922" t="str">
        <f t="shared" si="2159"/>
        <v>02384007</v>
      </c>
      <c r="D9922" t="str">
        <f t="shared" si="2160"/>
        <v>809</v>
      </c>
      <c r="E9922" t="str">
        <f>"89301037"</f>
        <v>89301037</v>
      </c>
      <c r="F9922" t="str">
        <f>"486121108"</f>
        <v>486121108</v>
      </c>
      <c r="G9922" s="1">
        <v>44861</v>
      </c>
      <c r="H9922" t="str">
        <f>"89312"</f>
        <v>89312</v>
      </c>
      <c r="I9922">
        <v>1</v>
      </c>
      <c r="J9922">
        <v>302</v>
      </c>
      <c r="K9922">
        <v>0</v>
      </c>
      <c r="L9922">
        <v>317.10000000000002</v>
      </c>
    </row>
    <row r="9923" spans="1:12" x14ac:dyDescent="0.25">
      <c r="A9923" t="str">
        <f t="shared" si="2161"/>
        <v>89301000</v>
      </c>
      <c r="B9923" t="str">
        <f t="shared" si="2158"/>
        <v>02384000</v>
      </c>
      <c r="C9923" t="str">
        <f t="shared" si="2159"/>
        <v>02384007</v>
      </c>
      <c r="D9923" t="str">
        <f t="shared" si="2160"/>
        <v>809</v>
      </c>
      <c r="E9923" t="str">
        <f>"89301037"</f>
        <v>89301037</v>
      </c>
      <c r="F9923" t="str">
        <f>"486121108"</f>
        <v>486121108</v>
      </c>
      <c r="G9923" s="1">
        <v>44861</v>
      </c>
      <c r="H9923" t="str">
        <f>"89312"</f>
        <v>89312</v>
      </c>
      <c r="I9923">
        <v>2</v>
      </c>
      <c r="J9923">
        <v>604</v>
      </c>
      <c r="K9923">
        <v>0</v>
      </c>
      <c r="L9923">
        <v>634.20000000000005</v>
      </c>
    </row>
    <row r="9924" spans="1:12" x14ac:dyDescent="0.25">
      <c r="A9924" t="str">
        <f t="shared" si="2161"/>
        <v>89301000</v>
      </c>
      <c r="B9924" t="str">
        <f t="shared" si="2158"/>
        <v>02384000</v>
      </c>
      <c r="C9924" t="str">
        <f t="shared" si="2159"/>
        <v>02384007</v>
      </c>
      <c r="D9924" t="str">
        <f t="shared" si="2160"/>
        <v>809</v>
      </c>
      <c r="E9924" t="str">
        <f>"89301037"</f>
        <v>89301037</v>
      </c>
      <c r="F9924" t="str">
        <f>"6461011381"</f>
        <v>6461011381</v>
      </c>
      <c r="G9924" s="1">
        <v>44859</v>
      </c>
      <c r="H9924" t="str">
        <f>"89312"</f>
        <v>89312</v>
      </c>
      <c r="I9924">
        <v>1</v>
      </c>
      <c r="J9924">
        <v>302</v>
      </c>
      <c r="K9924">
        <v>0</v>
      </c>
      <c r="L9924">
        <v>317.10000000000002</v>
      </c>
    </row>
    <row r="9925" spans="1:12" x14ac:dyDescent="0.25">
      <c r="A9925" t="str">
        <f t="shared" si="2161"/>
        <v>89301000</v>
      </c>
      <c r="B9925" t="str">
        <f t="shared" si="2158"/>
        <v>02384000</v>
      </c>
      <c r="C9925" t="str">
        <f t="shared" si="2159"/>
        <v>02384007</v>
      </c>
      <c r="D9925" t="str">
        <f t="shared" si="2160"/>
        <v>809</v>
      </c>
      <c r="E9925" t="str">
        <f>"89301037"</f>
        <v>89301037</v>
      </c>
      <c r="F9925" t="str">
        <f>"6461011381"</f>
        <v>6461011381</v>
      </c>
      <c r="G9925" s="1">
        <v>44859</v>
      </c>
      <c r="H9925" t="str">
        <f>"89312"</f>
        <v>89312</v>
      </c>
      <c r="I9925">
        <v>2</v>
      </c>
      <c r="J9925">
        <v>604</v>
      </c>
      <c r="K9925">
        <v>0</v>
      </c>
      <c r="L9925">
        <v>634.20000000000005</v>
      </c>
    </row>
    <row r="9926" spans="1:12" x14ac:dyDescent="0.25">
      <c r="A9926" t="str">
        <f t="shared" si="2161"/>
        <v>89301000</v>
      </c>
      <c r="B9926" t="str">
        <f>"93507000"</f>
        <v>93507000</v>
      </c>
      <c r="C9926" t="str">
        <f>"93507001"</f>
        <v>93507001</v>
      </c>
      <c r="D9926" t="str">
        <f t="shared" si="2160"/>
        <v>809</v>
      </c>
      <c r="E9926" t="str">
        <f t="shared" ref="E9926:E9972" si="2162">"89301212"</f>
        <v>89301212</v>
      </c>
      <c r="F9926" t="str">
        <f>"475822490"</f>
        <v>475822490</v>
      </c>
      <c r="G9926" s="1">
        <v>44840</v>
      </c>
      <c r="H9926" t="str">
        <f>"89513"</f>
        <v>89513</v>
      </c>
      <c r="I9926">
        <v>1</v>
      </c>
      <c r="J9926">
        <v>371</v>
      </c>
      <c r="K9926">
        <v>0</v>
      </c>
      <c r="L9926">
        <v>519.4</v>
      </c>
    </row>
    <row r="9927" spans="1:12" x14ac:dyDescent="0.25">
      <c r="A9927" t="str">
        <f t="shared" si="2161"/>
        <v>89301000</v>
      </c>
      <c r="B9927" t="str">
        <f>"93507000"</f>
        <v>93507000</v>
      </c>
      <c r="C9927" t="str">
        <f>"93507001"</f>
        <v>93507001</v>
      </c>
      <c r="D9927" t="str">
        <f t="shared" si="2160"/>
        <v>809</v>
      </c>
      <c r="E9927" t="str">
        <f t="shared" si="2162"/>
        <v>89301212</v>
      </c>
      <c r="F9927" t="str">
        <f>"475822490"</f>
        <v>475822490</v>
      </c>
      <c r="G9927" s="1">
        <v>44840</v>
      </c>
      <c r="H9927" t="str">
        <f>"89514"</f>
        <v>89514</v>
      </c>
      <c r="I9927">
        <v>1</v>
      </c>
      <c r="J9927">
        <v>371</v>
      </c>
      <c r="K9927">
        <v>0</v>
      </c>
      <c r="L9927">
        <v>519.4</v>
      </c>
    </row>
    <row r="9928" spans="1:12" x14ac:dyDescent="0.25">
      <c r="A9928" t="str">
        <f t="shared" si="2161"/>
        <v>89301000</v>
      </c>
      <c r="B9928" t="str">
        <f>"93507000"</f>
        <v>93507000</v>
      </c>
      <c r="C9928" t="str">
        <f>"93507001"</f>
        <v>93507001</v>
      </c>
      <c r="D9928" t="str">
        <f t="shared" si="2160"/>
        <v>809</v>
      </c>
      <c r="E9928" t="str">
        <f t="shared" si="2162"/>
        <v>89301212</v>
      </c>
      <c r="F9928" t="str">
        <f>"6108161246"</f>
        <v>6108161246</v>
      </c>
      <c r="G9928" s="1">
        <v>44851</v>
      </c>
      <c r="H9928" t="str">
        <f>"09139"</f>
        <v>09139</v>
      </c>
      <c r="I9928">
        <v>1</v>
      </c>
      <c r="J9928">
        <v>346</v>
      </c>
      <c r="K9928">
        <v>0</v>
      </c>
      <c r="L9928">
        <v>484.4</v>
      </c>
    </row>
    <row r="9929" spans="1:12" x14ac:dyDescent="0.25">
      <c r="A9929" t="str">
        <f t="shared" si="2161"/>
        <v>89301000</v>
      </c>
      <c r="B9929" t="str">
        <f t="shared" ref="B9929:B9972" si="2163">"89895000"</f>
        <v>89895000</v>
      </c>
      <c r="C9929" t="str">
        <f t="shared" ref="C9929:C9972" si="2164">"89895002"</f>
        <v>89895002</v>
      </c>
      <c r="D9929" t="str">
        <f t="shared" si="2160"/>
        <v>809</v>
      </c>
      <c r="E9929" t="str">
        <f t="shared" si="2162"/>
        <v>89301212</v>
      </c>
      <c r="F9929" t="str">
        <f>"416025416"</f>
        <v>416025416</v>
      </c>
      <c r="G9929" s="1">
        <v>44851</v>
      </c>
      <c r="H9929" t="str">
        <f>"89512"</f>
        <v>89512</v>
      </c>
      <c r="I9929">
        <v>1</v>
      </c>
      <c r="J9929">
        <v>277</v>
      </c>
      <c r="K9929">
        <v>0</v>
      </c>
      <c r="L9929">
        <v>387.8</v>
      </c>
    </row>
    <row r="9930" spans="1:12" x14ac:dyDescent="0.25">
      <c r="A9930" t="str">
        <f t="shared" si="2161"/>
        <v>89301000</v>
      </c>
      <c r="B9930" t="str">
        <f t="shared" si="2163"/>
        <v>89895000</v>
      </c>
      <c r="C9930" t="str">
        <f t="shared" si="2164"/>
        <v>89895002</v>
      </c>
      <c r="D9930" t="str">
        <f t="shared" si="2160"/>
        <v>809</v>
      </c>
      <c r="E9930" t="str">
        <f t="shared" si="2162"/>
        <v>89301212</v>
      </c>
      <c r="F9930" t="str">
        <f>"416025416"</f>
        <v>416025416</v>
      </c>
      <c r="G9930" s="1">
        <v>44851</v>
      </c>
      <c r="H9930" t="str">
        <f>"89180"</f>
        <v>89180</v>
      </c>
      <c r="I9930">
        <v>2</v>
      </c>
      <c r="J9930">
        <v>752</v>
      </c>
      <c r="K9930">
        <v>0</v>
      </c>
      <c r="L9930">
        <v>1052.8</v>
      </c>
    </row>
    <row r="9931" spans="1:12" x14ac:dyDescent="0.25">
      <c r="A9931" t="str">
        <f t="shared" si="2161"/>
        <v>89301000</v>
      </c>
      <c r="B9931" t="str">
        <f t="shared" si="2163"/>
        <v>89895000</v>
      </c>
      <c r="C9931" t="str">
        <f t="shared" si="2164"/>
        <v>89895002</v>
      </c>
      <c r="D9931" t="str">
        <f t="shared" si="2160"/>
        <v>809</v>
      </c>
      <c r="E9931" t="str">
        <f t="shared" si="2162"/>
        <v>89301212</v>
      </c>
      <c r="F9931" t="str">
        <f>"416025416"</f>
        <v>416025416</v>
      </c>
      <c r="G9931" s="1">
        <v>44851</v>
      </c>
      <c r="H9931" t="str">
        <f>"09511"</f>
        <v>09511</v>
      </c>
      <c r="I9931">
        <v>1</v>
      </c>
      <c r="J9931">
        <v>43</v>
      </c>
      <c r="K9931">
        <v>0</v>
      </c>
      <c r="L9931">
        <v>60.2</v>
      </c>
    </row>
    <row r="9932" spans="1:12" x14ac:dyDescent="0.25">
      <c r="A9932" t="str">
        <f t="shared" si="2161"/>
        <v>89301000</v>
      </c>
      <c r="B9932" t="str">
        <f t="shared" si="2163"/>
        <v>89895000</v>
      </c>
      <c r="C9932" t="str">
        <f t="shared" si="2164"/>
        <v>89895002</v>
      </c>
      <c r="D9932" t="str">
        <f t="shared" si="2160"/>
        <v>809</v>
      </c>
      <c r="E9932" t="str">
        <f t="shared" si="2162"/>
        <v>89301212</v>
      </c>
      <c r="F9932" t="str">
        <f>"435702435"</f>
        <v>435702435</v>
      </c>
      <c r="G9932" s="1">
        <v>44858</v>
      </c>
      <c r="H9932" t="str">
        <f>"89513"</f>
        <v>89513</v>
      </c>
      <c r="I9932">
        <v>1</v>
      </c>
      <c r="J9932">
        <v>371</v>
      </c>
      <c r="K9932">
        <v>0</v>
      </c>
      <c r="L9932">
        <v>519.4</v>
      </c>
    </row>
    <row r="9933" spans="1:12" x14ac:dyDescent="0.25">
      <c r="A9933" t="str">
        <f t="shared" si="2161"/>
        <v>89301000</v>
      </c>
      <c r="B9933" t="str">
        <f t="shared" si="2163"/>
        <v>89895000</v>
      </c>
      <c r="C9933" t="str">
        <f t="shared" si="2164"/>
        <v>89895002</v>
      </c>
      <c r="D9933" t="str">
        <f t="shared" si="2160"/>
        <v>809</v>
      </c>
      <c r="E9933" t="str">
        <f t="shared" si="2162"/>
        <v>89301212</v>
      </c>
      <c r="F9933" t="str">
        <f>"435702435"</f>
        <v>435702435</v>
      </c>
      <c r="G9933" s="1">
        <v>44858</v>
      </c>
      <c r="H9933" t="str">
        <f>"89514"</f>
        <v>89514</v>
      </c>
      <c r="I9933">
        <v>1</v>
      </c>
      <c r="J9933">
        <v>371</v>
      </c>
      <c r="K9933">
        <v>0</v>
      </c>
      <c r="L9933">
        <v>519.4</v>
      </c>
    </row>
    <row r="9934" spans="1:12" x14ac:dyDescent="0.25">
      <c r="A9934" t="str">
        <f t="shared" si="2161"/>
        <v>89301000</v>
      </c>
      <c r="B9934" t="str">
        <f t="shared" si="2163"/>
        <v>89895000</v>
      </c>
      <c r="C9934" t="str">
        <f t="shared" si="2164"/>
        <v>89895002</v>
      </c>
      <c r="D9934" t="str">
        <f t="shared" si="2160"/>
        <v>809</v>
      </c>
      <c r="E9934" t="str">
        <f t="shared" si="2162"/>
        <v>89301212</v>
      </c>
      <c r="F9934" t="str">
        <f>"436229444"</f>
        <v>436229444</v>
      </c>
      <c r="G9934" s="1">
        <v>44851</v>
      </c>
      <c r="H9934" t="str">
        <f>"89513"</f>
        <v>89513</v>
      </c>
      <c r="I9934">
        <v>1</v>
      </c>
      <c r="J9934">
        <v>371</v>
      </c>
      <c r="K9934">
        <v>0</v>
      </c>
      <c r="L9934">
        <v>519.4</v>
      </c>
    </row>
    <row r="9935" spans="1:12" x14ac:dyDescent="0.25">
      <c r="A9935" t="str">
        <f t="shared" si="2161"/>
        <v>89301000</v>
      </c>
      <c r="B9935" t="str">
        <f t="shared" si="2163"/>
        <v>89895000</v>
      </c>
      <c r="C9935" t="str">
        <f t="shared" si="2164"/>
        <v>89895002</v>
      </c>
      <c r="D9935" t="str">
        <f t="shared" si="2160"/>
        <v>809</v>
      </c>
      <c r="E9935" t="str">
        <f t="shared" si="2162"/>
        <v>89301212</v>
      </c>
      <c r="F9935" t="str">
        <f>"436229444"</f>
        <v>436229444</v>
      </c>
      <c r="G9935" s="1">
        <v>44851</v>
      </c>
      <c r="H9935" t="str">
        <f>"89514"</f>
        <v>89514</v>
      </c>
      <c r="I9935">
        <v>1</v>
      </c>
      <c r="J9935">
        <v>371</v>
      </c>
      <c r="K9935">
        <v>0</v>
      </c>
      <c r="L9935">
        <v>519.4</v>
      </c>
    </row>
    <row r="9936" spans="1:12" x14ac:dyDescent="0.25">
      <c r="A9936" t="str">
        <f t="shared" si="2161"/>
        <v>89301000</v>
      </c>
      <c r="B9936" t="str">
        <f t="shared" si="2163"/>
        <v>89895000</v>
      </c>
      <c r="C9936" t="str">
        <f t="shared" si="2164"/>
        <v>89895002</v>
      </c>
      <c r="D9936" t="str">
        <f t="shared" si="2160"/>
        <v>809</v>
      </c>
      <c r="E9936" t="str">
        <f t="shared" si="2162"/>
        <v>89301212</v>
      </c>
      <c r="F9936" t="str">
        <f>"445506443"</f>
        <v>445506443</v>
      </c>
      <c r="G9936" s="1">
        <v>44851</v>
      </c>
      <c r="H9936" t="str">
        <f>"89512"</f>
        <v>89512</v>
      </c>
      <c r="I9936">
        <v>1</v>
      </c>
      <c r="J9936">
        <v>277</v>
      </c>
      <c r="K9936">
        <v>0</v>
      </c>
      <c r="L9936">
        <v>387.8</v>
      </c>
    </row>
    <row r="9937" spans="1:12" x14ac:dyDescent="0.25">
      <c r="A9937" t="str">
        <f t="shared" si="2161"/>
        <v>89301000</v>
      </c>
      <c r="B9937" t="str">
        <f t="shared" si="2163"/>
        <v>89895000</v>
      </c>
      <c r="C9937" t="str">
        <f t="shared" si="2164"/>
        <v>89895002</v>
      </c>
      <c r="D9937" t="str">
        <f t="shared" si="2160"/>
        <v>809</v>
      </c>
      <c r="E9937" t="str">
        <f t="shared" si="2162"/>
        <v>89301212</v>
      </c>
      <c r="F9937" t="str">
        <f>"485301403"</f>
        <v>485301403</v>
      </c>
      <c r="G9937" s="1">
        <v>44865</v>
      </c>
      <c r="H9937" t="str">
        <f>"89512"</f>
        <v>89512</v>
      </c>
      <c r="I9937">
        <v>1</v>
      </c>
      <c r="J9937">
        <v>277</v>
      </c>
      <c r="K9937">
        <v>0</v>
      </c>
      <c r="L9937">
        <v>387.8</v>
      </c>
    </row>
    <row r="9938" spans="1:12" x14ac:dyDescent="0.25">
      <c r="A9938" t="str">
        <f t="shared" si="2161"/>
        <v>89301000</v>
      </c>
      <c r="B9938" t="str">
        <f t="shared" si="2163"/>
        <v>89895000</v>
      </c>
      <c r="C9938" t="str">
        <f t="shared" si="2164"/>
        <v>89895002</v>
      </c>
      <c r="D9938" t="str">
        <f t="shared" si="2160"/>
        <v>809</v>
      </c>
      <c r="E9938" t="str">
        <f t="shared" si="2162"/>
        <v>89301212</v>
      </c>
      <c r="F9938" t="str">
        <f>"485301403"</f>
        <v>485301403</v>
      </c>
      <c r="G9938" s="1">
        <v>44865</v>
      </c>
      <c r="H9938" t="str">
        <f>"89180"</f>
        <v>89180</v>
      </c>
      <c r="I9938">
        <v>2</v>
      </c>
      <c r="J9938">
        <v>752</v>
      </c>
      <c r="K9938">
        <v>0</v>
      </c>
      <c r="L9938">
        <v>1052.8</v>
      </c>
    </row>
    <row r="9939" spans="1:12" x14ac:dyDescent="0.25">
      <c r="A9939" t="str">
        <f t="shared" si="2161"/>
        <v>89301000</v>
      </c>
      <c r="B9939" t="str">
        <f t="shared" si="2163"/>
        <v>89895000</v>
      </c>
      <c r="C9939" t="str">
        <f t="shared" si="2164"/>
        <v>89895002</v>
      </c>
      <c r="D9939" t="str">
        <f t="shared" si="2160"/>
        <v>809</v>
      </c>
      <c r="E9939" t="str">
        <f t="shared" si="2162"/>
        <v>89301212</v>
      </c>
      <c r="F9939" t="str">
        <f>"485301403"</f>
        <v>485301403</v>
      </c>
      <c r="G9939" s="1">
        <v>44865</v>
      </c>
      <c r="H9939" t="str">
        <f>"09511"</f>
        <v>09511</v>
      </c>
      <c r="I9939">
        <v>1</v>
      </c>
      <c r="J9939">
        <v>43</v>
      </c>
      <c r="K9939">
        <v>0</v>
      </c>
      <c r="L9939">
        <v>60.2</v>
      </c>
    </row>
    <row r="9940" spans="1:12" x14ac:dyDescent="0.25">
      <c r="A9940" t="str">
        <f t="shared" si="2161"/>
        <v>89301000</v>
      </c>
      <c r="B9940" t="str">
        <f t="shared" si="2163"/>
        <v>89895000</v>
      </c>
      <c r="C9940" t="str">
        <f t="shared" si="2164"/>
        <v>89895002</v>
      </c>
      <c r="D9940" t="str">
        <f t="shared" si="2160"/>
        <v>809</v>
      </c>
      <c r="E9940" t="str">
        <f t="shared" si="2162"/>
        <v>89301212</v>
      </c>
      <c r="F9940" t="str">
        <f>"486201170"</f>
        <v>486201170</v>
      </c>
      <c r="G9940" s="1">
        <v>44844</v>
      </c>
      <c r="H9940" t="str">
        <f>"89180"</f>
        <v>89180</v>
      </c>
      <c r="I9940">
        <v>2</v>
      </c>
      <c r="J9940">
        <v>752</v>
      </c>
      <c r="K9940">
        <v>0</v>
      </c>
      <c r="L9940">
        <v>1052.8</v>
      </c>
    </row>
    <row r="9941" spans="1:12" x14ac:dyDescent="0.25">
      <c r="A9941" t="str">
        <f t="shared" si="2161"/>
        <v>89301000</v>
      </c>
      <c r="B9941" t="str">
        <f t="shared" si="2163"/>
        <v>89895000</v>
      </c>
      <c r="C9941" t="str">
        <f t="shared" si="2164"/>
        <v>89895002</v>
      </c>
      <c r="D9941" t="str">
        <f t="shared" si="2160"/>
        <v>809</v>
      </c>
      <c r="E9941" t="str">
        <f t="shared" si="2162"/>
        <v>89301212</v>
      </c>
      <c r="F9941" t="str">
        <f>"486201170"</f>
        <v>486201170</v>
      </c>
      <c r="G9941" s="1">
        <v>44844</v>
      </c>
      <c r="H9941" t="str">
        <f>"89512"</f>
        <v>89512</v>
      </c>
      <c r="I9941">
        <v>1</v>
      </c>
      <c r="J9941">
        <v>277</v>
      </c>
      <c r="K9941">
        <v>0</v>
      </c>
      <c r="L9941">
        <v>387.8</v>
      </c>
    </row>
    <row r="9942" spans="1:12" x14ac:dyDescent="0.25">
      <c r="A9942" t="str">
        <f t="shared" si="2161"/>
        <v>89301000</v>
      </c>
      <c r="B9942" t="str">
        <f t="shared" si="2163"/>
        <v>89895000</v>
      </c>
      <c r="C9942" t="str">
        <f t="shared" si="2164"/>
        <v>89895002</v>
      </c>
      <c r="D9942" t="str">
        <f t="shared" si="2160"/>
        <v>809</v>
      </c>
      <c r="E9942" t="str">
        <f t="shared" si="2162"/>
        <v>89301212</v>
      </c>
      <c r="F9942" t="str">
        <f>"486201170"</f>
        <v>486201170</v>
      </c>
      <c r="G9942" s="1">
        <v>44844</v>
      </c>
      <c r="H9942" t="str">
        <f>"09511"</f>
        <v>09511</v>
      </c>
      <c r="I9942">
        <v>1</v>
      </c>
      <c r="J9942">
        <v>43</v>
      </c>
      <c r="K9942">
        <v>0</v>
      </c>
      <c r="L9942">
        <v>60.2</v>
      </c>
    </row>
    <row r="9943" spans="1:12" x14ac:dyDescent="0.25">
      <c r="A9943" t="str">
        <f t="shared" si="2161"/>
        <v>89301000</v>
      </c>
      <c r="B9943" t="str">
        <f t="shared" si="2163"/>
        <v>89895000</v>
      </c>
      <c r="C9943" t="str">
        <f t="shared" si="2164"/>
        <v>89895002</v>
      </c>
      <c r="D9943" t="str">
        <f t="shared" si="2160"/>
        <v>809</v>
      </c>
      <c r="E9943" t="str">
        <f t="shared" si="2162"/>
        <v>89301212</v>
      </c>
      <c r="F9943" t="str">
        <f>"486201170"</f>
        <v>486201170</v>
      </c>
      <c r="G9943" s="1">
        <v>44844</v>
      </c>
      <c r="H9943" t="str">
        <f>"89513"</f>
        <v>89513</v>
      </c>
      <c r="I9943">
        <v>1</v>
      </c>
      <c r="J9943">
        <v>371</v>
      </c>
      <c r="K9943">
        <v>0</v>
      </c>
      <c r="L9943">
        <v>519.4</v>
      </c>
    </row>
    <row r="9944" spans="1:12" x14ac:dyDescent="0.25">
      <c r="A9944" t="str">
        <f t="shared" si="2161"/>
        <v>89301000</v>
      </c>
      <c r="B9944" t="str">
        <f t="shared" si="2163"/>
        <v>89895000</v>
      </c>
      <c r="C9944" t="str">
        <f t="shared" si="2164"/>
        <v>89895002</v>
      </c>
      <c r="D9944" t="str">
        <f t="shared" si="2160"/>
        <v>809</v>
      </c>
      <c r="E9944" t="str">
        <f t="shared" si="2162"/>
        <v>89301212</v>
      </c>
      <c r="F9944" t="str">
        <f>"486201170"</f>
        <v>486201170</v>
      </c>
      <c r="G9944" s="1">
        <v>44844</v>
      </c>
      <c r="H9944" t="str">
        <f>"89514"</f>
        <v>89514</v>
      </c>
      <c r="I9944">
        <v>1</v>
      </c>
      <c r="J9944">
        <v>371</v>
      </c>
      <c r="K9944">
        <v>0</v>
      </c>
      <c r="L9944">
        <v>519.4</v>
      </c>
    </row>
    <row r="9945" spans="1:12" x14ac:dyDescent="0.25">
      <c r="A9945" t="str">
        <f t="shared" si="2161"/>
        <v>89301000</v>
      </c>
      <c r="B9945" t="str">
        <f t="shared" si="2163"/>
        <v>89895000</v>
      </c>
      <c r="C9945" t="str">
        <f t="shared" si="2164"/>
        <v>89895002</v>
      </c>
      <c r="D9945" t="str">
        <f t="shared" si="2160"/>
        <v>809</v>
      </c>
      <c r="E9945" t="str">
        <f t="shared" si="2162"/>
        <v>89301212</v>
      </c>
      <c r="F9945" t="str">
        <f>"495518284"</f>
        <v>495518284</v>
      </c>
      <c r="G9945" s="1">
        <v>44844</v>
      </c>
      <c r="H9945" t="str">
        <f>"89512"</f>
        <v>89512</v>
      </c>
      <c r="I9945">
        <v>1</v>
      </c>
      <c r="J9945">
        <v>277</v>
      </c>
      <c r="K9945">
        <v>0</v>
      </c>
      <c r="L9945">
        <v>387.8</v>
      </c>
    </row>
    <row r="9946" spans="1:12" x14ac:dyDescent="0.25">
      <c r="A9946" t="str">
        <f t="shared" si="2161"/>
        <v>89301000</v>
      </c>
      <c r="B9946" t="str">
        <f t="shared" si="2163"/>
        <v>89895000</v>
      </c>
      <c r="C9946" t="str">
        <f t="shared" si="2164"/>
        <v>89895002</v>
      </c>
      <c r="D9946" t="str">
        <f t="shared" si="2160"/>
        <v>809</v>
      </c>
      <c r="E9946" t="str">
        <f t="shared" si="2162"/>
        <v>89301212</v>
      </c>
      <c r="F9946" t="str">
        <f>"515610050"</f>
        <v>515610050</v>
      </c>
      <c r="G9946" s="1">
        <v>44845</v>
      </c>
      <c r="H9946" t="str">
        <f>"89180"</f>
        <v>89180</v>
      </c>
      <c r="I9946">
        <v>2</v>
      </c>
      <c r="J9946">
        <v>752</v>
      </c>
      <c r="K9946">
        <v>0</v>
      </c>
      <c r="L9946">
        <v>1052.8</v>
      </c>
    </row>
    <row r="9947" spans="1:12" x14ac:dyDescent="0.25">
      <c r="A9947" t="str">
        <f t="shared" si="2161"/>
        <v>89301000</v>
      </c>
      <c r="B9947" t="str">
        <f t="shared" si="2163"/>
        <v>89895000</v>
      </c>
      <c r="C9947" t="str">
        <f t="shared" si="2164"/>
        <v>89895002</v>
      </c>
      <c r="D9947" t="str">
        <f t="shared" si="2160"/>
        <v>809</v>
      </c>
      <c r="E9947" t="str">
        <f t="shared" si="2162"/>
        <v>89301212</v>
      </c>
      <c r="F9947" t="str">
        <f>"515610050"</f>
        <v>515610050</v>
      </c>
      <c r="G9947" s="1">
        <v>44845</v>
      </c>
      <c r="H9947" t="str">
        <f>"89513"</f>
        <v>89513</v>
      </c>
      <c r="I9947">
        <v>1</v>
      </c>
      <c r="J9947">
        <v>371</v>
      </c>
      <c r="K9947">
        <v>0</v>
      </c>
      <c r="L9947">
        <v>519.4</v>
      </c>
    </row>
    <row r="9948" spans="1:12" x14ac:dyDescent="0.25">
      <c r="A9948" t="str">
        <f t="shared" si="2161"/>
        <v>89301000</v>
      </c>
      <c r="B9948" t="str">
        <f t="shared" si="2163"/>
        <v>89895000</v>
      </c>
      <c r="C9948" t="str">
        <f t="shared" si="2164"/>
        <v>89895002</v>
      </c>
      <c r="D9948" t="str">
        <f t="shared" si="2160"/>
        <v>809</v>
      </c>
      <c r="E9948" t="str">
        <f t="shared" si="2162"/>
        <v>89301212</v>
      </c>
      <c r="F9948" t="str">
        <f>"515610050"</f>
        <v>515610050</v>
      </c>
      <c r="G9948" s="1">
        <v>44845</v>
      </c>
      <c r="H9948" t="str">
        <f>"89514"</f>
        <v>89514</v>
      </c>
      <c r="I9948">
        <v>1</v>
      </c>
      <c r="J9948">
        <v>371</v>
      </c>
      <c r="K9948">
        <v>0</v>
      </c>
      <c r="L9948">
        <v>519.4</v>
      </c>
    </row>
    <row r="9949" spans="1:12" x14ac:dyDescent="0.25">
      <c r="A9949" t="str">
        <f t="shared" si="2161"/>
        <v>89301000</v>
      </c>
      <c r="B9949" t="str">
        <f t="shared" si="2163"/>
        <v>89895000</v>
      </c>
      <c r="C9949" t="str">
        <f t="shared" si="2164"/>
        <v>89895002</v>
      </c>
      <c r="D9949" t="str">
        <f t="shared" si="2160"/>
        <v>809</v>
      </c>
      <c r="E9949" t="str">
        <f t="shared" si="2162"/>
        <v>89301212</v>
      </c>
      <c r="F9949" t="str">
        <f>"515610050"</f>
        <v>515610050</v>
      </c>
      <c r="G9949" s="1">
        <v>44845</v>
      </c>
      <c r="H9949" t="str">
        <f>"89512"</f>
        <v>89512</v>
      </c>
      <c r="I9949">
        <v>1</v>
      </c>
      <c r="J9949">
        <v>277</v>
      </c>
      <c r="K9949">
        <v>0</v>
      </c>
      <c r="L9949">
        <v>387.8</v>
      </c>
    </row>
    <row r="9950" spans="1:12" x14ac:dyDescent="0.25">
      <c r="A9950" t="str">
        <f t="shared" si="2161"/>
        <v>89301000</v>
      </c>
      <c r="B9950" t="str">
        <f t="shared" si="2163"/>
        <v>89895000</v>
      </c>
      <c r="C9950" t="str">
        <f t="shared" si="2164"/>
        <v>89895002</v>
      </c>
      <c r="D9950" t="str">
        <f t="shared" ref="D9950:D9986" si="2165">"809"</f>
        <v>809</v>
      </c>
      <c r="E9950" t="str">
        <f t="shared" si="2162"/>
        <v>89301212</v>
      </c>
      <c r="F9950" t="str">
        <f>"525122064"</f>
        <v>525122064</v>
      </c>
      <c r="G9950" s="1">
        <v>44844</v>
      </c>
      <c r="H9950" t="str">
        <f>"89180"</f>
        <v>89180</v>
      </c>
      <c r="I9950">
        <v>2</v>
      </c>
      <c r="J9950">
        <v>752</v>
      </c>
      <c r="K9950">
        <v>0</v>
      </c>
      <c r="L9950">
        <v>1052.8</v>
      </c>
    </row>
    <row r="9951" spans="1:12" x14ac:dyDescent="0.25">
      <c r="A9951" t="str">
        <f t="shared" si="2161"/>
        <v>89301000</v>
      </c>
      <c r="B9951" t="str">
        <f t="shared" si="2163"/>
        <v>89895000</v>
      </c>
      <c r="C9951" t="str">
        <f t="shared" si="2164"/>
        <v>89895002</v>
      </c>
      <c r="D9951" t="str">
        <f t="shared" si="2165"/>
        <v>809</v>
      </c>
      <c r="E9951" t="str">
        <f t="shared" si="2162"/>
        <v>89301212</v>
      </c>
      <c r="F9951" t="str">
        <f>"525122064"</f>
        <v>525122064</v>
      </c>
      <c r="G9951" s="1">
        <v>44844</v>
      </c>
      <c r="H9951" t="str">
        <f>"89513"</f>
        <v>89513</v>
      </c>
      <c r="I9951">
        <v>1</v>
      </c>
      <c r="J9951">
        <v>371</v>
      </c>
      <c r="K9951">
        <v>0</v>
      </c>
      <c r="L9951">
        <v>519.4</v>
      </c>
    </row>
    <row r="9952" spans="1:12" x14ac:dyDescent="0.25">
      <c r="A9952" t="str">
        <f t="shared" si="2161"/>
        <v>89301000</v>
      </c>
      <c r="B9952" t="str">
        <f t="shared" si="2163"/>
        <v>89895000</v>
      </c>
      <c r="C9952" t="str">
        <f t="shared" si="2164"/>
        <v>89895002</v>
      </c>
      <c r="D9952" t="str">
        <f t="shared" si="2165"/>
        <v>809</v>
      </c>
      <c r="E9952" t="str">
        <f t="shared" si="2162"/>
        <v>89301212</v>
      </c>
      <c r="F9952" t="str">
        <f>"525122064"</f>
        <v>525122064</v>
      </c>
      <c r="G9952" s="1">
        <v>44844</v>
      </c>
      <c r="H9952" t="str">
        <f>"89514"</f>
        <v>89514</v>
      </c>
      <c r="I9952">
        <v>1</v>
      </c>
      <c r="J9952">
        <v>371</v>
      </c>
      <c r="K9952">
        <v>0</v>
      </c>
      <c r="L9952">
        <v>519.4</v>
      </c>
    </row>
    <row r="9953" spans="1:12" x14ac:dyDescent="0.25">
      <c r="A9953" t="str">
        <f t="shared" si="2161"/>
        <v>89301000</v>
      </c>
      <c r="B9953" t="str">
        <f t="shared" si="2163"/>
        <v>89895000</v>
      </c>
      <c r="C9953" t="str">
        <f t="shared" si="2164"/>
        <v>89895002</v>
      </c>
      <c r="D9953" t="str">
        <f t="shared" si="2165"/>
        <v>809</v>
      </c>
      <c r="E9953" t="str">
        <f t="shared" si="2162"/>
        <v>89301212</v>
      </c>
      <c r="F9953" t="str">
        <f>"525122064"</f>
        <v>525122064</v>
      </c>
      <c r="G9953" s="1">
        <v>44844</v>
      </c>
      <c r="H9953" t="str">
        <f>"89512"</f>
        <v>89512</v>
      </c>
      <c r="I9953">
        <v>1</v>
      </c>
      <c r="J9953">
        <v>277</v>
      </c>
      <c r="K9953">
        <v>0</v>
      </c>
      <c r="L9953">
        <v>387.8</v>
      </c>
    </row>
    <row r="9954" spans="1:12" x14ac:dyDescent="0.25">
      <c r="A9954" t="str">
        <f t="shared" si="2161"/>
        <v>89301000</v>
      </c>
      <c r="B9954" t="str">
        <f t="shared" si="2163"/>
        <v>89895000</v>
      </c>
      <c r="C9954" t="str">
        <f t="shared" si="2164"/>
        <v>89895002</v>
      </c>
      <c r="D9954" t="str">
        <f t="shared" si="2165"/>
        <v>809</v>
      </c>
      <c r="E9954" t="str">
        <f t="shared" si="2162"/>
        <v>89301212</v>
      </c>
      <c r="F9954" t="str">
        <f>"525606072"</f>
        <v>525606072</v>
      </c>
      <c r="G9954" s="1">
        <v>44858</v>
      </c>
      <c r="H9954" t="str">
        <f>"89512"</f>
        <v>89512</v>
      </c>
      <c r="I9954">
        <v>1</v>
      </c>
      <c r="J9954">
        <v>277</v>
      </c>
      <c r="K9954">
        <v>0</v>
      </c>
      <c r="L9954">
        <v>387.8</v>
      </c>
    </row>
    <row r="9955" spans="1:12" x14ac:dyDescent="0.25">
      <c r="A9955" t="str">
        <f t="shared" si="2161"/>
        <v>89301000</v>
      </c>
      <c r="B9955" t="str">
        <f t="shared" si="2163"/>
        <v>89895000</v>
      </c>
      <c r="C9955" t="str">
        <f t="shared" si="2164"/>
        <v>89895002</v>
      </c>
      <c r="D9955" t="str">
        <f t="shared" si="2165"/>
        <v>809</v>
      </c>
      <c r="E9955" t="str">
        <f t="shared" si="2162"/>
        <v>89301212</v>
      </c>
      <c r="F9955" t="str">
        <f>"525606072"</f>
        <v>525606072</v>
      </c>
      <c r="G9955" s="1">
        <v>44858</v>
      </c>
      <c r="H9955" t="str">
        <f>"09511"</f>
        <v>09511</v>
      </c>
      <c r="I9955">
        <v>1</v>
      </c>
      <c r="J9955">
        <v>43</v>
      </c>
      <c r="K9955">
        <v>0</v>
      </c>
      <c r="L9955">
        <v>60.2</v>
      </c>
    </row>
    <row r="9956" spans="1:12" x14ac:dyDescent="0.25">
      <c r="A9956" t="str">
        <f t="shared" si="2161"/>
        <v>89301000</v>
      </c>
      <c r="B9956" t="str">
        <f t="shared" si="2163"/>
        <v>89895000</v>
      </c>
      <c r="C9956" t="str">
        <f t="shared" si="2164"/>
        <v>89895002</v>
      </c>
      <c r="D9956" t="str">
        <f t="shared" si="2165"/>
        <v>809</v>
      </c>
      <c r="E9956" t="str">
        <f t="shared" si="2162"/>
        <v>89301212</v>
      </c>
      <c r="F9956" t="str">
        <f>"536126081"</f>
        <v>536126081</v>
      </c>
      <c r="G9956" s="1">
        <v>44837</v>
      </c>
      <c r="H9956" t="str">
        <f>"89180"</f>
        <v>89180</v>
      </c>
      <c r="I9956">
        <v>2</v>
      </c>
      <c r="J9956">
        <v>752</v>
      </c>
      <c r="K9956">
        <v>0</v>
      </c>
      <c r="L9956">
        <v>1052.8</v>
      </c>
    </row>
    <row r="9957" spans="1:12" x14ac:dyDescent="0.25">
      <c r="A9957" t="str">
        <f t="shared" si="2161"/>
        <v>89301000</v>
      </c>
      <c r="B9957" t="str">
        <f t="shared" si="2163"/>
        <v>89895000</v>
      </c>
      <c r="C9957" t="str">
        <f t="shared" si="2164"/>
        <v>89895002</v>
      </c>
      <c r="D9957" t="str">
        <f t="shared" si="2165"/>
        <v>809</v>
      </c>
      <c r="E9957" t="str">
        <f t="shared" si="2162"/>
        <v>89301212</v>
      </c>
      <c r="F9957" t="str">
        <f>"536126081"</f>
        <v>536126081</v>
      </c>
      <c r="G9957" s="1">
        <v>44837</v>
      </c>
      <c r="H9957" t="str">
        <f>"89512"</f>
        <v>89512</v>
      </c>
      <c r="I9957">
        <v>1</v>
      </c>
      <c r="J9957">
        <v>277</v>
      </c>
      <c r="K9957">
        <v>0</v>
      </c>
      <c r="L9957">
        <v>387.8</v>
      </c>
    </row>
    <row r="9958" spans="1:12" x14ac:dyDescent="0.25">
      <c r="A9958" t="str">
        <f t="shared" si="2161"/>
        <v>89301000</v>
      </c>
      <c r="B9958" t="str">
        <f t="shared" si="2163"/>
        <v>89895000</v>
      </c>
      <c r="C9958" t="str">
        <f t="shared" si="2164"/>
        <v>89895002</v>
      </c>
      <c r="D9958" t="str">
        <f t="shared" si="2165"/>
        <v>809</v>
      </c>
      <c r="E9958" t="str">
        <f t="shared" si="2162"/>
        <v>89301212</v>
      </c>
      <c r="F9958" t="str">
        <f>"5558151687"</f>
        <v>5558151687</v>
      </c>
      <c r="G9958" s="1">
        <v>44858</v>
      </c>
      <c r="H9958" t="str">
        <f>"89180"</f>
        <v>89180</v>
      </c>
      <c r="I9958">
        <v>2</v>
      </c>
      <c r="J9958">
        <v>752</v>
      </c>
      <c r="K9958">
        <v>0</v>
      </c>
      <c r="L9958">
        <v>1052.8</v>
      </c>
    </row>
    <row r="9959" spans="1:12" x14ac:dyDescent="0.25">
      <c r="A9959" t="str">
        <f t="shared" si="2161"/>
        <v>89301000</v>
      </c>
      <c r="B9959" t="str">
        <f t="shared" si="2163"/>
        <v>89895000</v>
      </c>
      <c r="C9959" t="str">
        <f t="shared" si="2164"/>
        <v>89895002</v>
      </c>
      <c r="D9959" t="str">
        <f t="shared" si="2165"/>
        <v>809</v>
      </c>
      <c r="E9959" t="str">
        <f t="shared" si="2162"/>
        <v>89301212</v>
      </c>
      <c r="F9959" t="str">
        <f>"5653172118"</f>
        <v>5653172118</v>
      </c>
      <c r="G9959" s="1">
        <v>44853</v>
      </c>
      <c r="H9959" t="str">
        <f>"89180"</f>
        <v>89180</v>
      </c>
      <c r="I9959">
        <v>2</v>
      </c>
      <c r="J9959">
        <v>752</v>
      </c>
      <c r="K9959">
        <v>0</v>
      </c>
      <c r="L9959">
        <v>1052.8</v>
      </c>
    </row>
    <row r="9960" spans="1:12" x14ac:dyDescent="0.25">
      <c r="A9960" t="str">
        <f t="shared" si="2161"/>
        <v>89301000</v>
      </c>
      <c r="B9960" t="str">
        <f t="shared" si="2163"/>
        <v>89895000</v>
      </c>
      <c r="C9960" t="str">
        <f t="shared" si="2164"/>
        <v>89895002</v>
      </c>
      <c r="D9960" t="str">
        <f t="shared" si="2165"/>
        <v>809</v>
      </c>
      <c r="E9960" t="str">
        <f t="shared" si="2162"/>
        <v>89301212</v>
      </c>
      <c r="F9960" t="str">
        <f>"5653172118"</f>
        <v>5653172118</v>
      </c>
      <c r="G9960" s="1">
        <v>44853</v>
      </c>
      <c r="H9960" t="str">
        <f>"89512"</f>
        <v>89512</v>
      </c>
      <c r="I9960">
        <v>1</v>
      </c>
      <c r="J9960">
        <v>277</v>
      </c>
      <c r="K9960">
        <v>0</v>
      </c>
      <c r="L9960">
        <v>387.8</v>
      </c>
    </row>
    <row r="9961" spans="1:12" x14ac:dyDescent="0.25">
      <c r="A9961" t="str">
        <f t="shared" si="2161"/>
        <v>89301000</v>
      </c>
      <c r="B9961" t="str">
        <f t="shared" si="2163"/>
        <v>89895000</v>
      </c>
      <c r="C9961" t="str">
        <f t="shared" si="2164"/>
        <v>89895002</v>
      </c>
      <c r="D9961" t="str">
        <f t="shared" si="2165"/>
        <v>809</v>
      </c>
      <c r="E9961" t="str">
        <f t="shared" si="2162"/>
        <v>89301212</v>
      </c>
      <c r="F9961" t="str">
        <f>"5657240798"</f>
        <v>5657240798</v>
      </c>
      <c r="G9961" s="1">
        <v>44860</v>
      </c>
      <c r="H9961" t="str">
        <f>"89180"</f>
        <v>89180</v>
      </c>
      <c r="I9961">
        <v>2</v>
      </c>
      <c r="J9961">
        <v>752</v>
      </c>
      <c r="K9961">
        <v>0</v>
      </c>
      <c r="L9961">
        <v>1052.8</v>
      </c>
    </row>
    <row r="9962" spans="1:12" x14ac:dyDescent="0.25">
      <c r="A9962" t="str">
        <f t="shared" si="2161"/>
        <v>89301000</v>
      </c>
      <c r="B9962" t="str">
        <f t="shared" si="2163"/>
        <v>89895000</v>
      </c>
      <c r="C9962" t="str">
        <f t="shared" si="2164"/>
        <v>89895002</v>
      </c>
      <c r="D9962" t="str">
        <f t="shared" si="2165"/>
        <v>809</v>
      </c>
      <c r="E9962" t="str">
        <f t="shared" si="2162"/>
        <v>89301212</v>
      </c>
      <c r="F9962" t="str">
        <f>"5657240798"</f>
        <v>5657240798</v>
      </c>
      <c r="G9962" s="1">
        <v>44860</v>
      </c>
      <c r="H9962" t="str">
        <f>"89513"</f>
        <v>89513</v>
      </c>
      <c r="I9962">
        <v>1</v>
      </c>
      <c r="J9962">
        <v>371</v>
      </c>
      <c r="K9962">
        <v>0</v>
      </c>
      <c r="L9962">
        <v>519.4</v>
      </c>
    </row>
    <row r="9963" spans="1:12" x14ac:dyDescent="0.25">
      <c r="A9963" t="str">
        <f t="shared" si="2161"/>
        <v>89301000</v>
      </c>
      <c r="B9963" t="str">
        <f t="shared" si="2163"/>
        <v>89895000</v>
      </c>
      <c r="C9963" t="str">
        <f t="shared" si="2164"/>
        <v>89895002</v>
      </c>
      <c r="D9963" t="str">
        <f t="shared" si="2165"/>
        <v>809</v>
      </c>
      <c r="E9963" t="str">
        <f t="shared" si="2162"/>
        <v>89301212</v>
      </c>
      <c r="F9963" t="str">
        <f>"5657240798"</f>
        <v>5657240798</v>
      </c>
      <c r="G9963" s="1">
        <v>44860</v>
      </c>
      <c r="H9963" t="str">
        <f>"89514"</f>
        <v>89514</v>
      </c>
      <c r="I9963">
        <v>1</v>
      </c>
      <c r="J9963">
        <v>371</v>
      </c>
      <c r="K9963">
        <v>0</v>
      </c>
      <c r="L9963">
        <v>519.4</v>
      </c>
    </row>
    <row r="9964" spans="1:12" x14ac:dyDescent="0.25">
      <c r="A9964" t="str">
        <f t="shared" si="2161"/>
        <v>89301000</v>
      </c>
      <c r="B9964" t="str">
        <f t="shared" si="2163"/>
        <v>89895000</v>
      </c>
      <c r="C9964" t="str">
        <f t="shared" si="2164"/>
        <v>89895002</v>
      </c>
      <c r="D9964" t="str">
        <f t="shared" si="2165"/>
        <v>809</v>
      </c>
      <c r="E9964" t="str">
        <f t="shared" si="2162"/>
        <v>89301212</v>
      </c>
      <c r="F9964" t="str">
        <f>"5657240798"</f>
        <v>5657240798</v>
      </c>
      <c r="G9964" s="1">
        <v>44860</v>
      </c>
      <c r="H9964" t="str">
        <f>"89512"</f>
        <v>89512</v>
      </c>
      <c r="I9964">
        <v>1</v>
      </c>
      <c r="J9964">
        <v>277</v>
      </c>
      <c r="K9964">
        <v>0</v>
      </c>
      <c r="L9964">
        <v>387.8</v>
      </c>
    </row>
    <row r="9965" spans="1:12" x14ac:dyDescent="0.25">
      <c r="A9965" t="str">
        <f t="shared" si="2161"/>
        <v>89301000</v>
      </c>
      <c r="B9965" t="str">
        <f t="shared" si="2163"/>
        <v>89895000</v>
      </c>
      <c r="C9965" t="str">
        <f t="shared" si="2164"/>
        <v>89895002</v>
      </c>
      <c r="D9965" t="str">
        <f t="shared" si="2165"/>
        <v>809</v>
      </c>
      <c r="E9965" t="str">
        <f t="shared" si="2162"/>
        <v>89301212</v>
      </c>
      <c r="F9965" t="str">
        <f>"6558161368"</f>
        <v>6558161368</v>
      </c>
      <c r="G9965" s="1">
        <v>44858</v>
      </c>
      <c r="H9965" t="str">
        <f>"89180"</f>
        <v>89180</v>
      </c>
      <c r="I9965">
        <v>2</v>
      </c>
      <c r="J9965">
        <v>752</v>
      </c>
      <c r="K9965">
        <v>0</v>
      </c>
      <c r="L9965">
        <v>1052.8</v>
      </c>
    </row>
    <row r="9966" spans="1:12" x14ac:dyDescent="0.25">
      <c r="A9966" t="str">
        <f t="shared" si="2161"/>
        <v>89301000</v>
      </c>
      <c r="B9966" t="str">
        <f t="shared" si="2163"/>
        <v>89895000</v>
      </c>
      <c r="C9966" t="str">
        <f t="shared" si="2164"/>
        <v>89895002</v>
      </c>
      <c r="D9966" t="str">
        <f t="shared" si="2165"/>
        <v>809</v>
      </c>
      <c r="E9966" t="str">
        <f t="shared" si="2162"/>
        <v>89301212</v>
      </c>
      <c r="F9966" t="str">
        <f>"7061094458"</f>
        <v>7061094458</v>
      </c>
      <c r="G9966" s="1">
        <v>44852</v>
      </c>
      <c r="H9966" t="str">
        <f>"89180"</f>
        <v>89180</v>
      </c>
      <c r="I9966">
        <v>2</v>
      </c>
      <c r="J9966">
        <v>752</v>
      </c>
      <c r="K9966">
        <v>0</v>
      </c>
      <c r="L9966">
        <v>1052.8</v>
      </c>
    </row>
    <row r="9967" spans="1:12" x14ac:dyDescent="0.25">
      <c r="A9967" t="str">
        <f t="shared" si="2161"/>
        <v>89301000</v>
      </c>
      <c r="B9967" t="str">
        <f t="shared" si="2163"/>
        <v>89895000</v>
      </c>
      <c r="C9967" t="str">
        <f t="shared" si="2164"/>
        <v>89895002</v>
      </c>
      <c r="D9967" t="str">
        <f t="shared" si="2165"/>
        <v>809</v>
      </c>
      <c r="E9967" t="str">
        <f t="shared" si="2162"/>
        <v>89301212</v>
      </c>
      <c r="F9967" t="str">
        <f>"7061094458"</f>
        <v>7061094458</v>
      </c>
      <c r="G9967" s="1">
        <v>44852</v>
      </c>
      <c r="H9967" t="str">
        <f>"89513"</f>
        <v>89513</v>
      </c>
      <c r="I9967">
        <v>1</v>
      </c>
      <c r="J9967">
        <v>371</v>
      </c>
      <c r="K9967">
        <v>0</v>
      </c>
      <c r="L9967">
        <v>519.4</v>
      </c>
    </row>
    <row r="9968" spans="1:12" x14ac:dyDescent="0.25">
      <c r="A9968" t="str">
        <f t="shared" si="2161"/>
        <v>89301000</v>
      </c>
      <c r="B9968" t="str">
        <f t="shared" si="2163"/>
        <v>89895000</v>
      </c>
      <c r="C9968" t="str">
        <f t="shared" si="2164"/>
        <v>89895002</v>
      </c>
      <c r="D9968" t="str">
        <f t="shared" si="2165"/>
        <v>809</v>
      </c>
      <c r="E9968" t="str">
        <f t="shared" si="2162"/>
        <v>89301212</v>
      </c>
      <c r="F9968" t="str">
        <f>"7061094458"</f>
        <v>7061094458</v>
      </c>
      <c r="G9968" s="1">
        <v>44852</v>
      </c>
      <c r="H9968" t="str">
        <f>"89514"</f>
        <v>89514</v>
      </c>
      <c r="I9968">
        <v>1</v>
      </c>
      <c r="J9968">
        <v>371</v>
      </c>
      <c r="K9968">
        <v>0</v>
      </c>
      <c r="L9968">
        <v>519.4</v>
      </c>
    </row>
    <row r="9969" spans="1:12" x14ac:dyDescent="0.25">
      <c r="A9969" t="str">
        <f t="shared" si="2161"/>
        <v>89301000</v>
      </c>
      <c r="B9969" t="str">
        <f t="shared" si="2163"/>
        <v>89895000</v>
      </c>
      <c r="C9969" t="str">
        <f t="shared" si="2164"/>
        <v>89895002</v>
      </c>
      <c r="D9969" t="str">
        <f t="shared" si="2165"/>
        <v>809</v>
      </c>
      <c r="E9969" t="str">
        <f t="shared" si="2162"/>
        <v>89301212</v>
      </c>
      <c r="F9969" t="str">
        <f>"7061094458"</f>
        <v>7061094458</v>
      </c>
      <c r="G9969" s="1">
        <v>44852</v>
      </c>
      <c r="H9969" t="str">
        <f>"89512"</f>
        <v>89512</v>
      </c>
      <c r="I9969">
        <v>1</v>
      </c>
      <c r="J9969">
        <v>277</v>
      </c>
      <c r="K9969">
        <v>0</v>
      </c>
      <c r="L9969">
        <v>387.8</v>
      </c>
    </row>
    <row r="9970" spans="1:12" x14ac:dyDescent="0.25">
      <c r="A9970" t="str">
        <f t="shared" si="2161"/>
        <v>89301000</v>
      </c>
      <c r="B9970" t="str">
        <f t="shared" si="2163"/>
        <v>89895000</v>
      </c>
      <c r="C9970" t="str">
        <f t="shared" si="2164"/>
        <v>89895002</v>
      </c>
      <c r="D9970" t="str">
        <f t="shared" si="2165"/>
        <v>809</v>
      </c>
      <c r="E9970" t="str">
        <f t="shared" si="2162"/>
        <v>89301212</v>
      </c>
      <c r="F9970" t="str">
        <f>"7458155331"</f>
        <v>7458155331</v>
      </c>
      <c r="G9970" s="1">
        <v>44839</v>
      </c>
      <c r="H9970" t="str">
        <f>"89180"</f>
        <v>89180</v>
      </c>
      <c r="I9970">
        <v>2</v>
      </c>
      <c r="J9970">
        <v>752</v>
      </c>
      <c r="K9970">
        <v>0</v>
      </c>
      <c r="L9970">
        <v>1052.8</v>
      </c>
    </row>
    <row r="9971" spans="1:12" x14ac:dyDescent="0.25">
      <c r="A9971" t="str">
        <f t="shared" si="2161"/>
        <v>89301000</v>
      </c>
      <c r="B9971" t="str">
        <f t="shared" si="2163"/>
        <v>89895000</v>
      </c>
      <c r="C9971" t="str">
        <f t="shared" si="2164"/>
        <v>89895002</v>
      </c>
      <c r="D9971" t="str">
        <f t="shared" si="2165"/>
        <v>809</v>
      </c>
      <c r="E9971" t="str">
        <f t="shared" si="2162"/>
        <v>89301212</v>
      </c>
      <c r="F9971" t="str">
        <f>"7752175354"</f>
        <v>7752175354</v>
      </c>
      <c r="G9971" s="1">
        <v>44840</v>
      </c>
      <c r="H9971" t="str">
        <f>"89180"</f>
        <v>89180</v>
      </c>
      <c r="I9971">
        <v>2</v>
      </c>
      <c r="J9971">
        <v>752</v>
      </c>
      <c r="K9971">
        <v>0</v>
      </c>
      <c r="L9971">
        <v>1052.8</v>
      </c>
    </row>
    <row r="9972" spans="1:12" x14ac:dyDescent="0.25">
      <c r="A9972" t="str">
        <f t="shared" si="2161"/>
        <v>89301000</v>
      </c>
      <c r="B9972" t="str">
        <f t="shared" si="2163"/>
        <v>89895000</v>
      </c>
      <c r="C9972" t="str">
        <f t="shared" si="2164"/>
        <v>89895002</v>
      </c>
      <c r="D9972" t="str">
        <f t="shared" si="2165"/>
        <v>809</v>
      </c>
      <c r="E9972" t="str">
        <f t="shared" si="2162"/>
        <v>89301212</v>
      </c>
      <c r="F9972" t="str">
        <f>"7752175354"</f>
        <v>7752175354</v>
      </c>
      <c r="G9972" s="1">
        <v>44840</v>
      </c>
      <c r="H9972" t="str">
        <f>"89512"</f>
        <v>89512</v>
      </c>
      <c r="I9972">
        <v>1</v>
      </c>
      <c r="J9972">
        <v>277</v>
      </c>
      <c r="K9972">
        <v>0</v>
      </c>
      <c r="L9972">
        <v>387.8</v>
      </c>
    </row>
    <row r="9973" spans="1:12" x14ac:dyDescent="0.25">
      <c r="A9973" t="str">
        <f t="shared" si="2161"/>
        <v>89301000</v>
      </c>
      <c r="B9973" t="str">
        <f>"86988400"</f>
        <v>86988400</v>
      </c>
      <c r="C9973" t="str">
        <f>"86988401"</f>
        <v>86988401</v>
      </c>
      <c r="D9973" t="str">
        <f t="shared" si="2165"/>
        <v>809</v>
      </c>
      <c r="E9973" t="str">
        <f>"89301172"</f>
        <v>89301172</v>
      </c>
      <c r="F9973" t="str">
        <f>"7404015025"</f>
        <v>7404015025</v>
      </c>
      <c r="G9973" s="1">
        <v>44845</v>
      </c>
      <c r="H9973" t="str">
        <f>"89713"</f>
        <v>89713</v>
      </c>
      <c r="I9973">
        <v>1</v>
      </c>
      <c r="J9973">
        <v>5362</v>
      </c>
      <c r="K9973">
        <v>0</v>
      </c>
      <c r="L9973">
        <v>3217.2</v>
      </c>
    </row>
    <row r="9974" spans="1:12" x14ac:dyDescent="0.25">
      <c r="A9974" t="str">
        <f t="shared" si="2161"/>
        <v>89301000</v>
      </c>
      <c r="B9974" t="str">
        <f>"77140000"</f>
        <v>77140000</v>
      </c>
      <c r="C9974" t="str">
        <f>"77140000"</f>
        <v>77140000</v>
      </c>
      <c r="D9974" t="str">
        <f t="shared" si="2165"/>
        <v>809</v>
      </c>
      <c r="E9974" t="str">
        <f>"89301112"</f>
        <v>89301112</v>
      </c>
      <c r="F9974" t="str">
        <f>"525326272"</f>
        <v>525326272</v>
      </c>
      <c r="G9974" s="1">
        <v>44865</v>
      </c>
      <c r="H9974" t="str">
        <f>"89123"</f>
        <v>89123</v>
      </c>
      <c r="I9974">
        <v>1</v>
      </c>
      <c r="J9974">
        <v>139</v>
      </c>
      <c r="K9974">
        <v>0</v>
      </c>
      <c r="L9974">
        <v>194.6</v>
      </c>
    </row>
    <row r="9975" spans="1:12" x14ac:dyDescent="0.25">
      <c r="A9975" t="str">
        <f t="shared" si="2161"/>
        <v>89301000</v>
      </c>
      <c r="B9975" t="str">
        <f t="shared" ref="B9975:B9991" si="2166">"93201000"</f>
        <v>93201000</v>
      </c>
      <c r="C9975" t="str">
        <f t="shared" ref="C9975:C9986" si="2167">"93201350"</f>
        <v>93201350</v>
      </c>
      <c r="D9975" t="str">
        <f t="shared" si="2165"/>
        <v>809</v>
      </c>
      <c r="E9975" t="str">
        <f>"89301212"</f>
        <v>89301212</v>
      </c>
      <c r="F9975" t="str">
        <f>"426207440"</f>
        <v>426207440</v>
      </c>
      <c r="G9975" s="1">
        <v>44854</v>
      </c>
      <c r="H9975" t="str">
        <f>"89513"</f>
        <v>89513</v>
      </c>
      <c r="I9975">
        <v>1</v>
      </c>
      <c r="J9975">
        <v>371</v>
      </c>
      <c r="K9975">
        <v>0</v>
      </c>
      <c r="L9975">
        <v>519.4</v>
      </c>
    </row>
    <row r="9976" spans="1:12" x14ac:dyDescent="0.25">
      <c r="A9976" t="str">
        <f t="shared" si="2161"/>
        <v>89301000</v>
      </c>
      <c r="B9976" t="str">
        <f t="shared" si="2166"/>
        <v>93201000</v>
      </c>
      <c r="C9976" t="str">
        <f t="shared" si="2167"/>
        <v>93201350</v>
      </c>
      <c r="D9976" t="str">
        <f t="shared" si="2165"/>
        <v>809</v>
      </c>
      <c r="E9976" t="str">
        <f>"89301212"</f>
        <v>89301212</v>
      </c>
      <c r="F9976" t="str">
        <f>"426207440"</f>
        <v>426207440</v>
      </c>
      <c r="G9976" s="1">
        <v>44854</v>
      </c>
      <c r="H9976" t="str">
        <f>"89514"</f>
        <v>89514</v>
      </c>
      <c r="I9976">
        <v>1</v>
      </c>
      <c r="J9976">
        <v>371</v>
      </c>
      <c r="K9976">
        <v>0</v>
      </c>
      <c r="L9976">
        <v>519.4</v>
      </c>
    </row>
    <row r="9977" spans="1:12" x14ac:dyDescent="0.25">
      <c r="A9977" t="str">
        <f t="shared" si="2161"/>
        <v>89301000</v>
      </c>
      <c r="B9977" t="str">
        <f t="shared" si="2166"/>
        <v>93201000</v>
      </c>
      <c r="C9977" t="str">
        <f t="shared" si="2167"/>
        <v>93201350</v>
      </c>
      <c r="D9977" t="str">
        <f t="shared" si="2165"/>
        <v>809</v>
      </c>
      <c r="E9977" t="str">
        <f>"89301322"</f>
        <v>89301322</v>
      </c>
      <c r="F9977" t="str">
        <f>"405920952"</f>
        <v>405920952</v>
      </c>
      <c r="G9977" s="1">
        <v>44861</v>
      </c>
      <c r="H9977" t="str">
        <f>"89513"</f>
        <v>89513</v>
      </c>
      <c r="I9977">
        <v>1</v>
      </c>
      <c r="J9977">
        <v>371</v>
      </c>
      <c r="K9977">
        <v>0</v>
      </c>
      <c r="L9977">
        <v>519.4</v>
      </c>
    </row>
    <row r="9978" spans="1:12" x14ac:dyDescent="0.25">
      <c r="A9978" t="str">
        <f t="shared" si="2161"/>
        <v>89301000</v>
      </c>
      <c r="B9978" t="str">
        <f t="shared" si="2166"/>
        <v>93201000</v>
      </c>
      <c r="C9978" t="str">
        <f t="shared" si="2167"/>
        <v>93201350</v>
      </c>
      <c r="D9978" t="str">
        <f t="shared" si="2165"/>
        <v>809</v>
      </c>
      <c r="E9978" t="str">
        <f>"89301322"</f>
        <v>89301322</v>
      </c>
      <c r="F9978" t="str">
        <f>"405920952"</f>
        <v>405920952</v>
      </c>
      <c r="G9978" s="1">
        <v>44861</v>
      </c>
      <c r="H9978" t="str">
        <f>"89514"</f>
        <v>89514</v>
      </c>
      <c r="I9978">
        <v>1</v>
      </c>
      <c r="J9978">
        <v>371</v>
      </c>
      <c r="K9978">
        <v>0</v>
      </c>
      <c r="L9978">
        <v>519.4</v>
      </c>
    </row>
    <row r="9979" spans="1:12" x14ac:dyDescent="0.25">
      <c r="A9979" t="str">
        <f t="shared" si="2161"/>
        <v>89301000</v>
      </c>
      <c r="B9979" t="str">
        <f t="shared" si="2166"/>
        <v>93201000</v>
      </c>
      <c r="C9979" t="str">
        <f t="shared" si="2167"/>
        <v>93201350</v>
      </c>
      <c r="D9979" t="str">
        <f t="shared" si="2165"/>
        <v>809</v>
      </c>
      <c r="E9979" t="str">
        <f>"89301212"</f>
        <v>89301212</v>
      </c>
      <c r="F9979" t="str">
        <f>"7758181398"</f>
        <v>7758181398</v>
      </c>
      <c r="G9979" s="1">
        <v>44848</v>
      </c>
      <c r="H9979" t="str">
        <f>"89513"</f>
        <v>89513</v>
      </c>
      <c r="I9979">
        <v>1</v>
      </c>
      <c r="J9979">
        <v>371</v>
      </c>
      <c r="K9979">
        <v>0</v>
      </c>
      <c r="L9979">
        <v>519.4</v>
      </c>
    </row>
    <row r="9980" spans="1:12" x14ac:dyDescent="0.25">
      <c r="A9980" t="str">
        <f t="shared" si="2161"/>
        <v>89301000</v>
      </c>
      <c r="B9980" t="str">
        <f t="shared" si="2166"/>
        <v>93201000</v>
      </c>
      <c r="C9980" t="str">
        <f t="shared" si="2167"/>
        <v>93201350</v>
      </c>
      <c r="D9980" t="str">
        <f t="shared" si="2165"/>
        <v>809</v>
      </c>
      <c r="E9980" t="str">
        <f>"89301212"</f>
        <v>89301212</v>
      </c>
      <c r="F9980" t="str">
        <f>"7758181398"</f>
        <v>7758181398</v>
      </c>
      <c r="G9980" s="1">
        <v>44848</v>
      </c>
      <c r="H9980" t="str">
        <f>"89514"</f>
        <v>89514</v>
      </c>
      <c r="I9980">
        <v>1</v>
      </c>
      <c r="J9980">
        <v>371</v>
      </c>
      <c r="K9980">
        <v>0</v>
      </c>
      <c r="L9980">
        <v>519.4</v>
      </c>
    </row>
    <row r="9981" spans="1:12" x14ac:dyDescent="0.25">
      <c r="A9981" t="str">
        <f t="shared" si="2161"/>
        <v>89301000</v>
      </c>
      <c r="B9981" t="str">
        <f t="shared" si="2166"/>
        <v>93201000</v>
      </c>
      <c r="C9981" t="str">
        <f t="shared" si="2167"/>
        <v>93201350</v>
      </c>
      <c r="D9981" t="str">
        <f t="shared" si="2165"/>
        <v>809</v>
      </c>
      <c r="E9981" t="str">
        <f>"89301062"</f>
        <v>89301062</v>
      </c>
      <c r="F9981" t="str">
        <f>"6651170317"</f>
        <v>6651170317</v>
      </c>
      <c r="G9981" s="1">
        <v>44855</v>
      </c>
      <c r="H9981" t="str">
        <f>"89615"</f>
        <v>89615</v>
      </c>
      <c r="I9981">
        <v>1</v>
      </c>
      <c r="J9981">
        <v>2170</v>
      </c>
      <c r="K9981">
        <v>0</v>
      </c>
      <c r="L9981">
        <v>1302</v>
      </c>
    </row>
    <row r="9982" spans="1:12" x14ac:dyDescent="0.25">
      <c r="A9982" t="str">
        <f t="shared" si="2161"/>
        <v>89301000</v>
      </c>
      <c r="B9982" t="str">
        <f t="shared" si="2166"/>
        <v>93201000</v>
      </c>
      <c r="C9982" t="str">
        <f t="shared" si="2167"/>
        <v>93201350</v>
      </c>
      <c r="D9982" t="str">
        <f t="shared" si="2165"/>
        <v>809</v>
      </c>
      <c r="E9982" t="str">
        <f>"89301212"</f>
        <v>89301212</v>
      </c>
      <c r="F9982" t="str">
        <f>"8662296247"</f>
        <v>8662296247</v>
      </c>
      <c r="G9982" s="1">
        <v>44860</v>
      </c>
      <c r="H9982" t="str">
        <f>"89615"</f>
        <v>89615</v>
      </c>
      <c r="I9982">
        <v>1</v>
      </c>
      <c r="J9982">
        <v>2170</v>
      </c>
      <c r="K9982">
        <v>0</v>
      </c>
      <c r="L9982">
        <v>1302</v>
      </c>
    </row>
    <row r="9983" spans="1:12" x14ac:dyDescent="0.25">
      <c r="A9983" t="str">
        <f t="shared" si="2161"/>
        <v>89301000</v>
      </c>
      <c r="B9983" t="str">
        <f t="shared" si="2166"/>
        <v>93201000</v>
      </c>
      <c r="C9983" t="str">
        <f t="shared" si="2167"/>
        <v>93201350</v>
      </c>
      <c r="D9983" t="str">
        <f t="shared" si="2165"/>
        <v>809</v>
      </c>
      <c r="E9983" t="str">
        <f>"89301212"</f>
        <v>89301212</v>
      </c>
      <c r="F9983" t="str">
        <f>"426207440"</f>
        <v>426207440</v>
      </c>
      <c r="G9983" s="1">
        <v>44854</v>
      </c>
      <c r="H9983" t="str">
        <f>"89180"</f>
        <v>89180</v>
      </c>
      <c r="I9983">
        <v>2</v>
      </c>
      <c r="J9983">
        <v>752</v>
      </c>
      <c r="K9983">
        <v>0</v>
      </c>
      <c r="L9983">
        <v>1052.8</v>
      </c>
    </row>
    <row r="9984" spans="1:12" x14ac:dyDescent="0.25">
      <c r="A9984" t="str">
        <f t="shared" si="2161"/>
        <v>89301000</v>
      </c>
      <c r="B9984" t="str">
        <f t="shared" si="2166"/>
        <v>93201000</v>
      </c>
      <c r="C9984" t="str">
        <f t="shared" si="2167"/>
        <v>93201350</v>
      </c>
      <c r="D9984" t="str">
        <f t="shared" si="2165"/>
        <v>809</v>
      </c>
      <c r="E9984" t="str">
        <f>"89301212"</f>
        <v>89301212</v>
      </c>
      <c r="F9984" t="str">
        <f>"426207440"</f>
        <v>426207440</v>
      </c>
      <c r="G9984" s="1">
        <v>44861</v>
      </c>
      <c r="H9984" t="str">
        <f>"89512"</f>
        <v>89512</v>
      </c>
      <c r="I9984">
        <v>1</v>
      </c>
      <c r="J9984">
        <v>277</v>
      </c>
      <c r="K9984">
        <v>0</v>
      </c>
      <c r="L9984">
        <v>387.8</v>
      </c>
    </row>
    <row r="9985" spans="1:12" x14ac:dyDescent="0.25">
      <c r="A9985" t="str">
        <f t="shared" si="2161"/>
        <v>89301000</v>
      </c>
      <c r="B9985" t="str">
        <f t="shared" si="2166"/>
        <v>93201000</v>
      </c>
      <c r="C9985" t="str">
        <f t="shared" si="2167"/>
        <v>93201350</v>
      </c>
      <c r="D9985" t="str">
        <f t="shared" si="2165"/>
        <v>809</v>
      </c>
      <c r="E9985" t="str">
        <f>"89301212"</f>
        <v>89301212</v>
      </c>
      <c r="F9985" t="str">
        <f>"6456101168"</f>
        <v>6456101168</v>
      </c>
      <c r="G9985" s="1">
        <v>44839</v>
      </c>
      <c r="H9985" t="str">
        <f>"89180"</f>
        <v>89180</v>
      </c>
      <c r="I9985">
        <v>2</v>
      </c>
      <c r="J9985">
        <v>752</v>
      </c>
      <c r="K9985">
        <v>0</v>
      </c>
      <c r="L9985">
        <v>1052.8</v>
      </c>
    </row>
    <row r="9986" spans="1:12" x14ac:dyDescent="0.25">
      <c r="A9986" t="str">
        <f t="shared" ref="A9986:A10049" si="2168">"89301000"</f>
        <v>89301000</v>
      </c>
      <c r="B9986" t="str">
        <f t="shared" si="2166"/>
        <v>93201000</v>
      </c>
      <c r="C9986" t="str">
        <f t="shared" si="2167"/>
        <v>93201350</v>
      </c>
      <c r="D9986" t="str">
        <f t="shared" si="2165"/>
        <v>809</v>
      </c>
      <c r="E9986" t="str">
        <f>"89301212"</f>
        <v>89301212</v>
      </c>
      <c r="F9986" t="str">
        <f>"6456101168"</f>
        <v>6456101168</v>
      </c>
      <c r="G9986" s="1">
        <v>44839</v>
      </c>
      <c r="H9986" t="str">
        <f>"89512"</f>
        <v>89512</v>
      </c>
      <c r="I9986">
        <v>1</v>
      </c>
      <c r="J9986">
        <v>277</v>
      </c>
      <c r="K9986">
        <v>0</v>
      </c>
      <c r="L9986">
        <v>387.8</v>
      </c>
    </row>
    <row r="9987" spans="1:12" x14ac:dyDescent="0.25">
      <c r="A9987" t="str">
        <f t="shared" si="2168"/>
        <v>89301000</v>
      </c>
      <c r="B9987" t="str">
        <f t="shared" si="2166"/>
        <v>93201000</v>
      </c>
      <c r="C9987" t="str">
        <f>"93201355"</f>
        <v>93201355</v>
      </c>
      <c r="D9987" t="str">
        <f>"810"</f>
        <v>810</v>
      </c>
      <c r="E9987" t="str">
        <f>"89301062"</f>
        <v>89301062</v>
      </c>
      <c r="F9987" t="str">
        <f>"8556046246"</f>
        <v>8556046246</v>
      </c>
      <c r="G9987" s="1">
        <v>44865</v>
      </c>
      <c r="H9987" t="str">
        <f>"89713"</f>
        <v>89713</v>
      </c>
      <c r="I9987">
        <v>1</v>
      </c>
      <c r="J9987">
        <v>5362</v>
      </c>
      <c r="K9987">
        <v>0</v>
      </c>
      <c r="L9987">
        <v>3217.2</v>
      </c>
    </row>
    <row r="9988" spans="1:12" x14ac:dyDescent="0.25">
      <c r="A9988" t="str">
        <f t="shared" si="2168"/>
        <v>89301000</v>
      </c>
      <c r="B9988" t="str">
        <f t="shared" si="2166"/>
        <v>93201000</v>
      </c>
      <c r="C9988" t="str">
        <f>"93201355"</f>
        <v>93201355</v>
      </c>
      <c r="D9988" t="str">
        <f>"810"</f>
        <v>810</v>
      </c>
      <c r="E9988" t="str">
        <f>"89301062"</f>
        <v>89301062</v>
      </c>
      <c r="F9988" t="str">
        <f>"8556046246"</f>
        <v>8556046246</v>
      </c>
      <c r="G9988" s="1">
        <v>44865</v>
      </c>
      <c r="H9988" t="str">
        <f>"89713"</f>
        <v>89713</v>
      </c>
      <c r="I9988">
        <v>1</v>
      </c>
      <c r="J9988">
        <v>5362</v>
      </c>
      <c r="K9988">
        <v>0</v>
      </c>
      <c r="L9988">
        <v>3217.2</v>
      </c>
    </row>
    <row r="9989" spans="1:12" x14ac:dyDescent="0.25">
      <c r="A9989" t="str">
        <f t="shared" si="2168"/>
        <v>89301000</v>
      </c>
      <c r="B9989" t="str">
        <f t="shared" si="2166"/>
        <v>93201000</v>
      </c>
      <c r="C9989" t="str">
        <f>"93201355"</f>
        <v>93201355</v>
      </c>
      <c r="D9989" t="str">
        <f>"810"</f>
        <v>810</v>
      </c>
      <c r="E9989" t="str">
        <f>"89301045"</f>
        <v>89301045</v>
      </c>
      <c r="F9989" t="str">
        <f>"8512055783"</f>
        <v>8512055783</v>
      </c>
      <c r="G9989" s="1">
        <v>44859</v>
      </c>
      <c r="H9989" t="str">
        <f>"89713"</f>
        <v>89713</v>
      </c>
      <c r="I9989">
        <v>1</v>
      </c>
      <c r="J9989">
        <v>5362</v>
      </c>
      <c r="K9989">
        <v>0</v>
      </c>
      <c r="L9989">
        <v>3217.2</v>
      </c>
    </row>
    <row r="9990" spans="1:12" x14ac:dyDescent="0.25">
      <c r="A9990" t="str">
        <f t="shared" si="2168"/>
        <v>89301000</v>
      </c>
      <c r="B9990" t="str">
        <f t="shared" si="2166"/>
        <v>93201000</v>
      </c>
      <c r="C9990" t="str">
        <f>"93201355"</f>
        <v>93201355</v>
      </c>
      <c r="D9990" t="str">
        <f>"810"</f>
        <v>810</v>
      </c>
      <c r="E9990" t="str">
        <f>"89301172"</f>
        <v>89301172</v>
      </c>
      <c r="F9990" t="str">
        <f>"7253265789"</f>
        <v>7253265789</v>
      </c>
      <c r="G9990" s="1">
        <v>44846</v>
      </c>
      <c r="H9990" t="str">
        <f>"89713"</f>
        <v>89713</v>
      </c>
      <c r="I9990">
        <v>1</v>
      </c>
      <c r="J9990">
        <v>5362</v>
      </c>
      <c r="K9990">
        <v>0</v>
      </c>
      <c r="L9990">
        <v>3217.2</v>
      </c>
    </row>
    <row r="9991" spans="1:12" x14ac:dyDescent="0.25">
      <c r="A9991" t="str">
        <f t="shared" si="2168"/>
        <v>89301000</v>
      </c>
      <c r="B9991" t="str">
        <f t="shared" si="2166"/>
        <v>93201000</v>
      </c>
      <c r="C9991" t="str">
        <f>"93201355"</f>
        <v>93201355</v>
      </c>
      <c r="D9991" t="str">
        <f>"810"</f>
        <v>810</v>
      </c>
      <c r="E9991" t="str">
        <f>"89301172"</f>
        <v>89301172</v>
      </c>
      <c r="F9991" t="str">
        <f>"7253265789"</f>
        <v>7253265789</v>
      </c>
      <c r="G9991" s="1">
        <v>44846</v>
      </c>
      <c r="H9991" t="str">
        <f>"89725"</f>
        <v>89725</v>
      </c>
      <c r="I9991">
        <v>1</v>
      </c>
      <c r="J9991">
        <v>2839</v>
      </c>
      <c r="K9991">
        <v>0</v>
      </c>
      <c r="L9991">
        <v>1703.4</v>
      </c>
    </row>
    <row r="9992" spans="1:12" x14ac:dyDescent="0.25">
      <c r="A9992" t="str">
        <f t="shared" si="2168"/>
        <v>89301000</v>
      </c>
      <c r="B9992" t="str">
        <f t="shared" ref="B9992:B10023" si="2169">"89383000"</f>
        <v>89383000</v>
      </c>
      <c r="C9992" t="str">
        <f t="shared" ref="C9992:C10023" si="2170">"89383002"</f>
        <v>89383002</v>
      </c>
      <c r="D9992" t="str">
        <f t="shared" ref="D9992:D10023" si="2171">"809"</f>
        <v>809</v>
      </c>
      <c r="E9992" t="str">
        <f>"89301042"</f>
        <v>89301042</v>
      </c>
      <c r="F9992" t="str">
        <f>"6560291573"</f>
        <v>6560291573</v>
      </c>
      <c r="G9992" s="1">
        <v>44838</v>
      </c>
      <c r="H9992" t="str">
        <f>"89512"</f>
        <v>89512</v>
      </c>
      <c r="I9992">
        <v>1</v>
      </c>
      <c r="J9992">
        <v>277</v>
      </c>
      <c r="K9992">
        <v>0</v>
      </c>
      <c r="L9992">
        <v>387.8</v>
      </c>
    </row>
    <row r="9993" spans="1:12" x14ac:dyDescent="0.25">
      <c r="A9993" t="str">
        <f t="shared" si="2168"/>
        <v>89301000</v>
      </c>
      <c r="B9993" t="str">
        <f t="shared" si="2169"/>
        <v>89383000</v>
      </c>
      <c r="C9993" t="str">
        <f t="shared" si="2170"/>
        <v>89383002</v>
      </c>
      <c r="D9993" t="str">
        <f t="shared" si="2171"/>
        <v>809</v>
      </c>
      <c r="E9993" t="str">
        <f>"89301042"</f>
        <v>89301042</v>
      </c>
      <c r="F9993" t="str">
        <f>"6560291573"</f>
        <v>6560291573</v>
      </c>
      <c r="G9993" s="1">
        <v>44838</v>
      </c>
      <c r="H9993" t="str">
        <f>"89313"</f>
        <v>89313</v>
      </c>
      <c r="I9993">
        <v>1</v>
      </c>
      <c r="J9993">
        <v>406</v>
      </c>
      <c r="K9993">
        <v>0</v>
      </c>
      <c r="L9993">
        <v>568.4</v>
      </c>
    </row>
    <row r="9994" spans="1:12" x14ac:dyDescent="0.25">
      <c r="A9994" t="str">
        <f t="shared" si="2168"/>
        <v>89301000</v>
      </c>
      <c r="B9994" t="str">
        <f t="shared" si="2169"/>
        <v>89383000</v>
      </c>
      <c r="C9994" t="str">
        <f t="shared" si="2170"/>
        <v>89383002</v>
      </c>
      <c r="D9994" t="str">
        <f t="shared" si="2171"/>
        <v>809</v>
      </c>
      <c r="E9994" t="str">
        <f>"89301042"</f>
        <v>89301042</v>
      </c>
      <c r="F9994" t="str">
        <f>"6560291573"</f>
        <v>6560291573</v>
      </c>
      <c r="G9994" s="1">
        <v>44838</v>
      </c>
      <c r="H9994" t="str">
        <f>"89515"</f>
        <v>89515</v>
      </c>
      <c r="I9994">
        <v>1</v>
      </c>
      <c r="J9994">
        <v>339</v>
      </c>
      <c r="K9994">
        <v>0</v>
      </c>
      <c r="L9994">
        <v>474.6</v>
      </c>
    </row>
    <row r="9995" spans="1:12" x14ac:dyDescent="0.25">
      <c r="A9995" t="str">
        <f t="shared" si="2168"/>
        <v>89301000</v>
      </c>
      <c r="B9995" t="str">
        <f t="shared" si="2169"/>
        <v>89383000</v>
      </c>
      <c r="C9995" t="str">
        <f t="shared" si="2170"/>
        <v>89383002</v>
      </c>
      <c r="D9995" t="str">
        <f t="shared" si="2171"/>
        <v>809</v>
      </c>
      <c r="E9995" t="str">
        <f>"89301042"</f>
        <v>89301042</v>
      </c>
      <c r="F9995" t="str">
        <f>"6560291573"</f>
        <v>6560291573</v>
      </c>
      <c r="G9995" s="1">
        <v>44838</v>
      </c>
      <c r="H9995" t="str">
        <f>"0225891"</f>
        <v>0225891</v>
      </c>
      <c r="I9995">
        <v>0.05</v>
      </c>
      <c r="K9995">
        <v>18.39</v>
      </c>
      <c r="L9995">
        <v>18.39</v>
      </c>
    </row>
    <row r="9996" spans="1:12" x14ac:dyDescent="0.25">
      <c r="A9996" t="str">
        <f t="shared" si="2168"/>
        <v>89301000</v>
      </c>
      <c r="B9996" t="str">
        <f t="shared" si="2169"/>
        <v>89383000</v>
      </c>
      <c r="C9996" t="str">
        <f t="shared" si="2170"/>
        <v>89383002</v>
      </c>
      <c r="D9996" t="str">
        <f t="shared" si="2171"/>
        <v>809</v>
      </c>
      <c r="E9996" t="str">
        <f>"89301042"</f>
        <v>89301042</v>
      </c>
      <c r="F9996" t="str">
        <f>"6560291573"</f>
        <v>6560291573</v>
      </c>
      <c r="G9996" s="1">
        <v>44838</v>
      </c>
      <c r="H9996" t="str">
        <f>"0142908"</f>
        <v>0142908</v>
      </c>
      <c r="I9996">
        <v>1</v>
      </c>
      <c r="K9996">
        <v>910</v>
      </c>
      <c r="L9996">
        <v>910</v>
      </c>
    </row>
    <row r="9997" spans="1:12" x14ac:dyDescent="0.25">
      <c r="A9997" t="str">
        <f t="shared" si="2168"/>
        <v>89301000</v>
      </c>
      <c r="B9997" t="str">
        <f t="shared" si="2169"/>
        <v>89383000</v>
      </c>
      <c r="C9997" t="str">
        <f t="shared" si="2170"/>
        <v>89383002</v>
      </c>
      <c r="D9997" t="str">
        <f t="shared" si="2171"/>
        <v>809</v>
      </c>
      <c r="E9997" t="str">
        <f>"89301212"</f>
        <v>89301212</v>
      </c>
      <c r="F9997" t="str">
        <f>"7553205352"</f>
        <v>7553205352</v>
      </c>
      <c r="G9997" s="1">
        <v>44838</v>
      </c>
      <c r="H9997" t="str">
        <f>"89512"</f>
        <v>89512</v>
      </c>
      <c r="I9997">
        <v>1</v>
      </c>
      <c r="J9997">
        <v>277</v>
      </c>
      <c r="K9997">
        <v>0</v>
      </c>
      <c r="L9997">
        <v>387.8</v>
      </c>
    </row>
    <row r="9998" spans="1:12" x14ac:dyDescent="0.25">
      <c r="A9998" t="str">
        <f t="shared" si="2168"/>
        <v>89301000</v>
      </c>
      <c r="B9998" t="str">
        <f t="shared" si="2169"/>
        <v>89383000</v>
      </c>
      <c r="C9998" t="str">
        <f t="shared" si="2170"/>
        <v>89383002</v>
      </c>
      <c r="D9998" t="str">
        <f t="shared" si="2171"/>
        <v>809</v>
      </c>
      <c r="E9998" t="str">
        <f>"89301212"</f>
        <v>89301212</v>
      </c>
      <c r="F9998" t="str">
        <f>"7151195315"</f>
        <v>7151195315</v>
      </c>
      <c r="G9998" s="1">
        <v>44838</v>
      </c>
      <c r="H9998" t="str">
        <f>"89512"</f>
        <v>89512</v>
      </c>
      <c r="I9998">
        <v>1</v>
      </c>
      <c r="J9998">
        <v>277</v>
      </c>
      <c r="K9998">
        <v>0</v>
      </c>
      <c r="L9998">
        <v>387.8</v>
      </c>
    </row>
    <row r="9999" spans="1:12" x14ac:dyDescent="0.25">
      <c r="A9999" t="str">
        <f t="shared" si="2168"/>
        <v>89301000</v>
      </c>
      <c r="B9999" t="str">
        <f t="shared" si="2169"/>
        <v>89383000</v>
      </c>
      <c r="C9999" t="str">
        <f t="shared" si="2170"/>
        <v>89383002</v>
      </c>
      <c r="D9999" t="str">
        <f t="shared" si="2171"/>
        <v>809</v>
      </c>
      <c r="E9999" t="str">
        <f>"89301045"</f>
        <v>89301045</v>
      </c>
      <c r="F9999" t="str">
        <f>"6757081881"</f>
        <v>6757081881</v>
      </c>
      <c r="G9999" s="1">
        <v>44840</v>
      </c>
      <c r="H9999" t="str">
        <f>"89513"</f>
        <v>89513</v>
      </c>
      <c r="I9999">
        <v>1</v>
      </c>
      <c r="J9999">
        <v>371</v>
      </c>
      <c r="K9999">
        <v>0</v>
      </c>
      <c r="L9999">
        <v>519.4</v>
      </c>
    </row>
    <row r="10000" spans="1:12" x14ac:dyDescent="0.25">
      <c r="A10000" t="str">
        <f t="shared" si="2168"/>
        <v>89301000</v>
      </c>
      <c r="B10000" t="str">
        <f t="shared" si="2169"/>
        <v>89383000</v>
      </c>
      <c r="C10000" t="str">
        <f t="shared" si="2170"/>
        <v>89383002</v>
      </c>
      <c r="D10000" t="str">
        <f t="shared" si="2171"/>
        <v>809</v>
      </c>
      <c r="E10000" t="str">
        <f>"89301045"</f>
        <v>89301045</v>
      </c>
      <c r="F10000" t="str">
        <f>"6757081881"</f>
        <v>6757081881</v>
      </c>
      <c r="G10000" s="1">
        <v>44840</v>
      </c>
      <c r="H10000" t="str">
        <f>"89514"</f>
        <v>89514</v>
      </c>
      <c r="I10000">
        <v>1</v>
      </c>
      <c r="J10000">
        <v>371</v>
      </c>
      <c r="K10000">
        <v>0</v>
      </c>
      <c r="L10000">
        <v>519.4</v>
      </c>
    </row>
    <row r="10001" spans="1:12" x14ac:dyDescent="0.25">
      <c r="A10001" t="str">
        <f t="shared" si="2168"/>
        <v>89301000</v>
      </c>
      <c r="B10001" t="str">
        <f t="shared" si="2169"/>
        <v>89383000</v>
      </c>
      <c r="C10001" t="str">
        <f t="shared" si="2170"/>
        <v>89383002</v>
      </c>
      <c r="D10001" t="str">
        <f t="shared" si="2171"/>
        <v>809</v>
      </c>
      <c r="E10001" t="str">
        <f>"89301045"</f>
        <v>89301045</v>
      </c>
      <c r="F10001" t="str">
        <f>"465909470"</f>
        <v>465909470</v>
      </c>
      <c r="G10001" s="1">
        <v>44840</v>
      </c>
      <c r="H10001" t="str">
        <f>"89513"</f>
        <v>89513</v>
      </c>
      <c r="I10001">
        <v>1</v>
      </c>
      <c r="J10001">
        <v>371</v>
      </c>
      <c r="K10001">
        <v>0</v>
      </c>
      <c r="L10001">
        <v>519.4</v>
      </c>
    </row>
    <row r="10002" spans="1:12" x14ac:dyDescent="0.25">
      <c r="A10002" t="str">
        <f t="shared" si="2168"/>
        <v>89301000</v>
      </c>
      <c r="B10002" t="str">
        <f t="shared" si="2169"/>
        <v>89383000</v>
      </c>
      <c r="C10002" t="str">
        <f t="shared" si="2170"/>
        <v>89383002</v>
      </c>
      <c r="D10002" t="str">
        <f t="shared" si="2171"/>
        <v>809</v>
      </c>
      <c r="E10002" t="str">
        <f>"89301045"</f>
        <v>89301045</v>
      </c>
      <c r="F10002" t="str">
        <f>"465909470"</f>
        <v>465909470</v>
      </c>
      <c r="G10002" s="1">
        <v>44840</v>
      </c>
      <c r="H10002" t="str">
        <f>"89514"</f>
        <v>89514</v>
      </c>
      <c r="I10002">
        <v>1</v>
      </c>
      <c r="J10002">
        <v>371</v>
      </c>
      <c r="K10002">
        <v>0</v>
      </c>
      <c r="L10002">
        <v>519.4</v>
      </c>
    </row>
    <row r="10003" spans="1:12" x14ac:dyDescent="0.25">
      <c r="A10003" t="str">
        <f t="shared" si="2168"/>
        <v>89301000</v>
      </c>
      <c r="B10003" t="str">
        <f t="shared" si="2169"/>
        <v>89383000</v>
      </c>
      <c r="C10003" t="str">
        <f t="shared" si="2170"/>
        <v>89383002</v>
      </c>
      <c r="D10003" t="str">
        <f t="shared" si="2171"/>
        <v>809</v>
      </c>
      <c r="E10003" t="str">
        <f t="shared" ref="E10003:E10010" si="2172">"89301212"</f>
        <v>89301212</v>
      </c>
      <c r="F10003" t="str">
        <f t="shared" ref="F10003:F10010" si="2173">"8354235780"</f>
        <v>8354235780</v>
      </c>
      <c r="G10003" s="1">
        <v>44840</v>
      </c>
      <c r="H10003" t="str">
        <f>"89512"</f>
        <v>89512</v>
      </c>
      <c r="I10003">
        <v>1</v>
      </c>
      <c r="J10003">
        <v>277</v>
      </c>
      <c r="K10003">
        <v>0</v>
      </c>
      <c r="L10003">
        <v>387.8</v>
      </c>
    </row>
    <row r="10004" spans="1:12" x14ac:dyDescent="0.25">
      <c r="A10004" t="str">
        <f t="shared" si="2168"/>
        <v>89301000</v>
      </c>
      <c r="B10004" t="str">
        <f t="shared" si="2169"/>
        <v>89383000</v>
      </c>
      <c r="C10004" t="str">
        <f t="shared" si="2170"/>
        <v>89383002</v>
      </c>
      <c r="D10004" t="str">
        <f t="shared" si="2171"/>
        <v>809</v>
      </c>
      <c r="E10004" t="str">
        <f t="shared" si="2172"/>
        <v>89301212</v>
      </c>
      <c r="F10004" t="str">
        <f t="shared" si="2173"/>
        <v>8354235780</v>
      </c>
      <c r="G10004" s="1">
        <v>44840</v>
      </c>
      <c r="H10004" t="str">
        <f>"89313"</f>
        <v>89313</v>
      </c>
      <c r="I10004">
        <v>1</v>
      </c>
      <c r="J10004">
        <v>406</v>
      </c>
      <c r="K10004">
        <v>0</v>
      </c>
      <c r="L10004">
        <v>568.4</v>
      </c>
    </row>
    <row r="10005" spans="1:12" x14ac:dyDescent="0.25">
      <c r="A10005" t="str">
        <f t="shared" si="2168"/>
        <v>89301000</v>
      </c>
      <c r="B10005" t="str">
        <f t="shared" si="2169"/>
        <v>89383000</v>
      </c>
      <c r="C10005" t="str">
        <f t="shared" si="2170"/>
        <v>89383002</v>
      </c>
      <c r="D10005" t="str">
        <f t="shared" si="2171"/>
        <v>809</v>
      </c>
      <c r="E10005" t="str">
        <f t="shared" si="2172"/>
        <v>89301212</v>
      </c>
      <c r="F10005" t="str">
        <f t="shared" si="2173"/>
        <v>8354235780</v>
      </c>
      <c r="G10005" s="1">
        <v>44840</v>
      </c>
      <c r="H10005" t="str">
        <f>"89515"</f>
        <v>89515</v>
      </c>
      <c r="I10005">
        <v>1</v>
      </c>
      <c r="J10005">
        <v>339</v>
      </c>
      <c r="K10005">
        <v>0</v>
      </c>
      <c r="L10005">
        <v>474.6</v>
      </c>
    </row>
    <row r="10006" spans="1:12" x14ac:dyDescent="0.25">
      <c r="A10006" t="str">
        <f t="shared" si="2168"/>
        <v>89301000</v>
      </c>
      <c r="B10006" t="str">
        <f t="shared" si="2169"/>
        <v>89383000</v>
      </c>
      <c r="C10006" t="str">
        <f t="shared" si="2170"/>
        <v>89383002</v>
      </c>
      <c r="D10006" t="str">
        <f t="shared" si="2171"/>
        <v>809</v>
      </c>
      <c r="E10006" t="str">
        <f t="shared" si="2172"/>
        <v>89301212</v>
      </c>
      <c r="F10006" t="str">
        <f t="shared" si="2173"/>
        <v>8354235780</v>
      </c>
      <c r="G10006" s="1">
        <v>44840</v>
      </c>
      <c r="H10006" t="str">
        <f>"89180"</f>
        <v>89180</v>
      </c>
      <c r="I10006">
        <v>1</v>
      </c>
      <c r="J10006">
        <v>376</v>
      </c>
      <c r="K10006">
        <v>0</v>
      </c>
      <c r="L10006">
        <v>526.4</v>
      </c>
    </row>
    <row r="10007" spans="1:12" x14ac:dyDescent="0.25">
      <c r="A10007" t="str">
        <f t="shared" si="2168"/>
        <v>89301000</v>
      </c>
      <c r="B10007" t="str">
        <f t="shared" si="2169"/>
        <v>89383000</v>
      </c>
      <c r="C10007" t="str">
        <f t="shared" si="2170"/>
        <v>89383002</v>
      </c>
      <c r="D10007" t="str">
        <f t="shared" si="2171"/>
        <v>809</v>
      </c>
      <c r="E10007" t="str">
        <f t="shared" si="2172"/>
        <v>89301212</v>
      </c>
      <c r="F10007" t="str">
        <f t="shared" si="2173"/>
        <v>8354235780</v>
      </c>
      <c r="G10007" s="1">
        <v>44840</v>
      </c>
      <c r="H10007" t="str">
        <f>"09233"</f>
        <v>09233</v>
      </c>
      <c r="I10007">
        <v>1</v>
      </c>
      <c r="J10007">
        <v>99</v>
      </c>
      <c r="K10007">
        <v>0</v>
      </c>
      <c r="L10007">
        <v>138.6</v>
      </c>
    </row>
    <row r="10008" spans="1:12" x14ac:dyDescent="0.25">
      <c r="A10008" t="str">
        <f t="shared" si="2168"/>
        <v>89301000</v>
      </c>
      <c r="B10008" t="str">
        <f t="shared" si="2169"/>
        <v>89383000</v>
      </c>
      <c r="C10008" t="str">
        <f t="shared" si="2170"/>
        <v>89383002</v>
      </c>
      <c r="D10008" t="str">
        <f t="shared" si="2171"/>
        <v>809</v>
      </c>
      <c r="E10008" t="str">
        <f t="shared" si="2172"/>
        <v>89301212</v>
      </c>
      <c r="F10008" t="str">
        <f t="shared" si="2173"/>
        <v>8354235780</v>
      </c>
      <c r="G10008" s="1">
        <v>44840</v>
      </c>
      <c r="H10008" t="str">
        <f>"0225891"</f>
        <v>0225891</v>
      </c>
      <c r="I10008">
        <v>0.05</v>
      </c>
      <c r="K10008">
        <v>18.39</v>
      </c>
      <c r="L10008">
        <v>18.39</v>
      </c>
    </row>
    <row r="10009" spans="1:12" x14ac:dyDescent="0.25">
      <c r="A10009" t="str">
        <f t="shared" si="2168"/>
        <v>89301000</v>
      </c>
      <c r="B10009" t="str">
        <f t="shared" si="2169"/>
        <v>89383000</v>
      </c>
      <c r="C10009" t="str">
        <f t="shared" si="2170"/>
        <v>89383002</v>
      </c>
      <c r="D10009" t="str">
        <f t="shared" si="2171"/>
        <v>809</v>
      </c>
      <c r="E10009" t="str">
        <f t="shared" si="2172"/>
        <v>89301212</v>
      </c>
      <c r="F10009" t="str">
        <f t="shared" si="2173"/>
        <v>8354235780</v>
      </c>
      <c r="G10009" s="1">
        <v>44840</v>
      </c>
      <c r="H10009" t="str">
        <f>"0142908"</f>
        <v>0142908</v>
      </c>
      <c r="I10009">
        <v>1</v>
      </c>
      <c r="K10009">
        <v>910</v>
      </c>
      <c r="L10009">
        <v>910</v>
      </c>
    </row>
    <row r="10010" spans="1:12" x14ac:dyDescent="0.25">
      <c r="A10010" t="str">
        <f t="shared" si="2168"/>
        <v>89301000</v>
      </c>
      <c r="B10010" t="str">
        <f t="shared" si="2169"/>
        <v>89383000</v>
      </c>
      <c r="C10010" t="str">
        <f t="shared" si="2170"/>
        <v>89383002</v>
      </c>
      <c r="D10010" t="str">
        <f t="shared" si="2171"/>
        <v>809</v>
      </c>
      <c r="E10010" t="str">
        <f t="shared" si="2172"/>
        <v>89301212</v>
      </c>
      <c r="F10010" t="str">
        <f t="shared" si="2173"/>
        <v>8354235780</v>
      </c>
      <c r="G10010" s="1">
        <v>44840</v>
      </c>
      <c r="H10010" t="str">
        <f>"0082502"</f>
        <v>0082502</v>
      </c>
      <c r="I10010">
        <v>1</v>
      </c>
      <c r="K10010">
        <v>2093</v>
      </c>
      <c r="L10010">
        <v>2093</v>
      </c>
    </row>
    <row r="10011" spans="1:12" x14ac:dyDescent="0.25">
      <c r="A10011" t="str">
        <f t="shared" si="2168"/>
        <v>89301000</v>
      </c>
      <c r="B10011" t="str">
        <f t="shared" si="2169"/>
        <v>89383000</v>
      </c>
      <c r="C10011" t="str">
        <f t="shared" si="2170"/>
        <v>89383002</v>
      </c>
      <c r="D10011" t="str">
        <f t="shared" si="2171"/>
        <v>809</v>
      </c>
      <c r="E10011" t="str">
        <f>"89301215"</f>
        <v>89301215</v>
      </c>
      <c r="F10011" t="str">
        <f>"7158265334"</f>
        <v>7158265334</v>
      </c>
      <c r="G10011" s="1">
        <v>44840</v>
      </c>
      <c r="H10011" t="str">
        <f>"89512"</f>
        <v>89512</v>
      </c>
      <c r="I10011">
        <v>1</v>
      </c>
      <c r="J10011">
        <v>277</v>
      </c>
      <c r="K10011">
        <v>0</v>
      </c>
      <c r="L10011">
        <v>387.8</v>
      </c>
    </row>
    <row r="10012" spans="1:12" x14ac:dyDescent="0.25">
      <c r="A10012" t="str">
        <f t="shared" si="2168"/>
        <v>89301000</v>
      </c>
      <c r="B10012" t="str">
        <f t="shared" si="2169"/>
        <v>89383000</v>
      </c>
      <c r="C10012" t="str">
        <f t="shared" si="2170"/>
        <v>89383002</v>
      </c>
      <c r="D10012" t="str">
        <f t="shared" si="2171"/>
        <v>809</v>
      </c>
      <c r="E10012" t="str">
        <f t="shared" ref="E10012:E10017" si="2174">"89301212"</f>
        <v>89301212</v>
      </c>
      <c r="F10012" t="str">
        <f>"7456205339"</f>
        <v>7456205339</v>
      </c>
      <c r="G10012" s="1">
        <v>44840</v>
      </c>
      <c r="H10012" t="str">
        <f>"89180"</f>
        <v>89180</v>
      </c>
      <c r="I10012">
        <v>1</v>
      </c>
      <c r="J10012">
        <v>376</v>
      </c>
      <c r="K10012">
        <v>0</v>
      </c>
      <c r="L10012">
        <v>526.4</v>
      </c>
    </row>
    <row r="10013" spans="1:12" x14ac:dyDescent="0.25">
      <c r="A10013" t="str">
        <f t="shared" si="2168"/>
        <v>89301000</v>
      </c>
      <c r="B10013" t="str">
        <f t="shared" si="2169"/>
        <v>89383000</v>
      </c>
      <c r="C10013" t="str">
        <f t="shared" si="2170"/>
        <v>89383002</v>
      </c>
      <c r="D10013" t="str">
        <f t="shared" si="2171"/>
        <v>809</v>
      </c>
      <c r="E10013" t="str">
        <f t="shared" si="2174"/>
        <v>89301212</v>
      </c>
      <c r="F10013" t="str">
        <f>"7456205339"</f>
        <v>7456205339</v>
      </c>
      <c r="G10013" s="1">
        <v>44840</v>
      </c>
      <c r="H10013" t="str">
        <f>"89512"</f>
        <v>89512</v>
      </c>
      <c r="I10013">
        <v>1</v>
      </c>
      <c r="J10013">
        <v>277</v>
      </c>
      <c r="K10013">
        <v>0</v>
      </c>
      <c r="L10013">
        <v>387.8</v>
      </c>
    </row>
    <row r="10014" spans="1:12" x14ac:dyDescent="0.25">
      <c r="A10014" t="str">
        <f t="shared" si="2168"/>
        <v>89301000</v>
      </c>
      <c r="B10014" t="str">
        <f t="shared" si="2169"/>
        <v>89383000</v>
      </c>
      <c r="C10014" t="str">
        <f t="shared" si="2170"/>
        <v>89383002</v>
      </c>
      <c r="D10014" t="str">
        <f t="shared" si="2171"/>
        <v>809</v>
      </c>
      <c r="E10014" t="str">
        <f t="shared" si="2174"/>
        <v>89301212</v>
      </c>
      <c r="F10014" t="str">
        <f>"7456205339"</f>
        <v>7456205339</v>
      </c>
      <c r="G10014" s="1">
        <v>44865</v>
      </c>
      <c r="H10014" t="str">
        <f>"89813"</f>
        <v>89813</v>
      </c>
      <c r="I10014">
        <v>1</v>
      </c>
      <c r="J10014">
        <v>130</v>
      </c>
      <c r="K10014">
        <v>0</v>
      </c>
      <c r="L10014">
        <v>182</v>
      </c>
    </row>
    <row r="10015" spans="1:12" x14ac:dyDescent="0.25">
      <c r="A10015" t="str">
        <f t="shared" si="2168"/>
        <v>89301000</v>
      </c>
      <c r="B10015" t="str">
        <f t="shared" si="2169"/>
        <v>89383000</v>
      </c>
      <c r="C10015" t="str">
        <f t="shared" si="2170"/>
        <v>89383002</v>
      </c>
      <c r="D10015" t="str">
        <f t="shared" si="2171"/>
        <v>809</v>
      </c>
      <c r="E10015" t="str">
        <f t="shared" si="2174"/>
        <v>89301212</v>
      </c>
      <c r="F10015" t="str">
        <f>"6953295316"</f>
        <v>6953295316</v>
      </c>
      <c r="G10015" s="1">
        <v>44841</v>
      </c>
      <c r="H10015" t="str">
        <f>"89512"</f>
        <v>89512</v>
      </c>
      <c r="I10015">
        <v>1</v>
      </c>
      <c r="J10015">
        <v>277</v>
      </c>
      <c r="K10015">
        <v>0</v>
      </c>
      <c r="L10015">
        <v>387.8</v>
      </c>
    </row>
    <row r="10016" spans="1:12" x14ac:dyDescent="0.25">
      <c r="A10016" t="str">
        <f t="shared" si="2168"/>
        <v>89301000</v>
      </c>
      <c r="B10016" t="str">
        <f t="shared" si="2169"/>
        <v>89383000</v>
      </c>
      <c r="C10016" t="str">
        <f t="shared" si="2170"/>
        <v>89383002</v>
      </c>
      <c r="D10016" t="str">
        <f t="shared" si="2171"/>
        <v>809</v>
      </c>
      <c r="E10016" t="str">
        <f t="shared" si="2174"/>
        <v>89301212</v>
      </c>
      <c r="F10016" t="str">
        <f>"6953295316"</f>
        <v>6953295316</v>
      </c>
      <c r="G10016" s="1">
        <v>44841</v>
      </c>
      <c r="H10016" t="str">
        <f>"89513"</f>
        <v>89513</v>
      </c>
      <c r="I10016">
        <v>1</v>
      </c>
      <c r="J10016">
        <v>371</v>
      </c>
      <c r="K10016">
        <v>0</v>
      </c>
      <c r="L10016">
        <v>519.4</v>
      </c>
    </row>
    <row r="10017" spans="1:12" x14ac:dyDescent="0.25">
      <c r="A10017" t="str">
        <f t="shared" si="2168"/>
        <v>89301000</v>
      </c>
      <c r="B10017" t="str">
        <f t="shared" si="2169"/>
        <v>89383000</v>
      </c>
      <c r="C10017" t="str">
        <f t="shared" si="2170"/>
        <v>89383002</v>
      </c>
      <c r="D10017" t="str">
        <f t="shared" si="2171"/>
        <v>809</v>
      </c>
      <c r="E10017" t="str">
        <f t="shared" si="2174"/>
        <v>89301212</v>
      </c>
      <c r="F10017" t="str">
        <f>"6953295316"</f>
        <v>6953295316</v>
      </c>
      <c r="G10017" s="1">
        <v>44841</v>
      </c>
      <c r="H10017" t="str">
        <f>"89514"</f>
        <v>89514</v>
      </c>
      <c r="I10017">
        <v>1</v>
      </c>
      <c r="J10017">
        <v>371</v>
      </c>
      <c r="K10017">
        <v>0</v>
      </c>
      <c r="L10017">
        <v>519.4</v>
      </c>
    </row>
    <row r="10018" spans="1:12" x14ac:dyDescent="0.25">
      <c r="A10018" t="str">
        <f t="shared" si="2168"/>
        <v>89301000</v>
      </c>
      <c r="B10018" t="str">
        <f t="shared" si="2169"/>
        <v>89383000</v>
      </c>
      <c r="C10018" t="str">
        <f t="shared" si="2170"/>
        <v>89383002</v>
      </c>
      <c r="D10018" t="str">
        <f t="shared" si="2171"/>
        <v>809</v>
      </c>
      <c r="E10018" t="str">
        <f>"89301042"</f>
        <v>89301042</v>
      </c>
      <c r="F10018" t="str">
        <f>"7656205348"</f>
        <v>7656205348</v>
      </c>
      <c r="G10018" s="1">
        <v>44841</v>
      </c>
      <c r="H10018" t="str">
        <f>"89180"</f>
        <v>89180</v>
      </c>
      <c r="I10018">
        <v>2</v>
      </c>
      <c r="J10018">
        <v>752</v>
      </c>
      <c r="K10018">
        <v>0</v>
      </c>
      <c r="L10018">
        <v>1052.8</v>
      </c>
    </row>
    <row r="10019" spans="1:12" x14ac:dyDescent="0.25">
      <c r="A10019" t="str">
        <f t="shared" si="2168"/>
        <v>89301000</v>
      </c>
      <c r="B10019" t="str">
        <f t="shared" si="2169"/>
        <v>89383000</v>
      </c>
      <c r="C10019" t="str">
        <f t="shared" si="2170"/>
        <v>89383002</v>
      </c>
      <c r="D10019" t="str">
        <f t="shared" si="2171"/>
        <v>809</v>
      </c>
      <c r="E10019" t="str">
        <f>"89301042"</f>
        <v>89301042</v>
      </c>
      <c r="F10019" t="str">
        <f>"7656205348"</f>
        <v>7656205348</v>
      </c>
      <c r="G10019" s="1">
        <v>44841</v>
      </c>
      <c r="H10019" t="str">
        <f>"89512"</f>
        <v>89512</v>
      </c>
      <c r="I10019">
        <v>1</v>
      </c>
      <c r="J10019">
        <v>277</v>
      </c>
      <c r="K10019">
        <v>0</v>
      </c>
      <c r="L10019">
        <v>387.8</v>
      </c>
    </row>
    <row r="10020" spans="1:12" x14ac:dyDescent="0.25">
      <c r="A10020" t="str">
        <f t="shared" si="2168"/>
        <v>89301000</v>
      </c>
      <c r="B10020" t="str">
        <f t="shared" si="2169"/>
        <v>89383000</v>
      </c>
      <c r="C10020" t="str">
        <f t="shared" si="2170"/>
        <v>89383002</v>
      </c>
      <c r="D10020" t="str">
        <f t="shared" si="2171"/>
        <v>809</v>
      </c>
      <c r="E10020" t="str">
        <f>"89301042"</f>
        <v>89301042</v>
      </c>
      <c r="F10020" t="str">
        <f>"7656205348"</f>
        <v>7656205348</v>
      </c>
      <c r="G10020" s="1">
        <v>44841</v>
      </c>
      <c r="H10020" t="str">
        <f>"89513"</f>
        <v>89513</v>
      </c>
      <c r="I10020">
        <v>1</v>
      </c>
      <c r="J10020">
        <v>371</v>
      </c>
      <c r="K10020">
        <v>0</v>
      </c>
      <c r="L10020">
        <v>519.4</v>
      </c>
    </row>
    <row r="10021" spans="1:12" x14ac:dyDescent="0.25">
      <c r="A10021" t="str">
        <f t="shared" si="2168"/>
        <v>89301000</v>
      </c>
      <c r="B10021" t="str">
        <f t="shared" si="2169"/>
        <v>89383000</v>
      </c>
      <c r="C10021" t="str">
        <f t="shared" si="2170"/>
        <v>89383002</v>
      </c>
      <c r="D10021" t="str">
        <f t="shared" si="2171"/>
        <v>809</v>
      </c>
      <c r="E10021" t="str">
        <f>"89301042"</f>
        <v>89301042</v>
      </c>
      <c r="F10021" t="str">
        <f>"7656205348"</f>
        <v>7656205348</v>
      </c>
      <c r="G10021" s="1">
        <v>44841</v>
      </c>
      <c r="H10021" t="str">
        <f>"89514"</f>
        <v>89514</v>
      </c>
      <c r="I10021">
        <v>1</v>
      </c>
      <c r="J10021">
        <v>371</v>
      </c>
      <c r="K10021">
        <v>0</v>
      </c>
      <c r="L10021">
        <v>519.4</v>
      </c>
    </row>
    <row r="10022" spans="1:12" x14ac:dyDescent="0.25">
      <c r="A10022" t="str">
        <f t="shared" si="2168"/>
        <v>89301000</v>
      </c>
      <c r="B10022" t="str">
        <f t="shared" si="2169"/>
        <v>89383000</v>
      </c>
      <c r="C10022" t="str">
        <f t="shared" si="2170"/>
        <v>89383002</v>
      </c>
      <c r="D10022" t="str">
        <f t="shared" si="2171"/>
        <v>809</v>
      </c>
      <c r="E10022" t="str">
        <f t="shared" ref="E10022:E10054" si="2175">"89301212"</f>
        <v>89301212</v>
      </c>
      <c r="F10022" t="str">
        <f>"6560240984"</f>
        <v>6560240984</v>
      </c>
      <c r="G10022" s="1">
        <v>44846</v>
      </c>
      <c r="H10022" t="str">
        <f>"89180"</f>
        <v>89180</v>
      </c>
      <c r="I10022">
        <v>2</v>
      </c>
      <c r="J10022">
        <v>752</v>
      </c>
      <c r="K10022">
        <v>0</v>
      </c>
      <c r="L10022">
        <v>1052.8</v>
      </c>
    </row>
    <row r="10023" spans="1:12" x14ac:dyDescent="0.25">
      <c r="A10023" t="str">
        <f t="shared" si="2168"/>
        <v>89301000</v>
      </c>
      <c r="B10023" t="str">
        <f t="shared" si="2169"/>
        <v>89383000</v>
      </c>
      <c r="C10023" t="str">
        <f t="shared" si="2170"/>
        <v>89383002</v>
      </c>
      <c r="D10023" t="str">
        <f t="shared" si="2171"/>
        <v>809</v>
      </c>
      <c r="E10023" t="str">
        <f t="shared" si="2175"/>
        <v>89301212</v>
      </c>
      <c r="F10023" t="str">
        <f>"6560240984"</f>
        <v>6560240984</v>
      </c>
      <c r="G10023" s="1">
        <v>44846</v>
      </c>
      <c r="H10023" t="str">
        <f>"89512"</f>
        <v>89512</v>
      </c>
      <c r="I10023">
        <v>1</v>
      </c>
      <c r="J10023">
        <v>277</v>
      </c>
      <c r="K10023">
        <v>0</v>
      </c>
      <c r="L10023">
        <v>387.8</v>
      </c>
    </row>
    <row r="10024" spans="1:12" x14ac:dyDescent="0.25">
      <c r="A10024" t="str">
        <f t="shared" si="2168"/>
        <v>89301000</v>
      </c>
      <c r="B10024" t="str">
        <f t="shared" ref="B10024:B10055" si="2176">"89383000"</f>
        <v>89383000</v>
      </c>
      <c r="C10024" t="str">
        <f t="shared" ref="C10024:C10055" si="2177">"89383002"</f>
        <v>89383002</v>
      </c>
      <c r="D10024" t="str">
        <f t="shared" ref="D10024:D10055" si="2178">"809"</f>
        <v>809</v>
      </c>
      <c r="E10024" t="str">
        <f t="shared" si="2175"/>
        <v>89301212</v>
      </c>
      <c r="F10024" t="str">
        <f>"6560240984"</f>
        <v>6560240984</v>
      </c>
      <c r="G10024" s="1">
        <v>44846</v>
      </c>
      <c r="H10024" t="str">
        <f>"89513"</f>
        <v>89513</v>
      </c>
      <c r="I10024">
        <v>1</v>
      </c>
      <c r="J10024">
        <v>371</v>
      </c>
      <c r="K10024">
        <v>0</v>
      </c>
      <c r="L10024">
        <v>519.4</v>
      </c>
    </row>
    <row r="10025" spans="1:12" x14ac:dyDescent="0.25">
      <c r="A10025" t="str">
        <f t="shared" si="2168"/>
        <v>89301000</v>
      </c>
      <c r="B10025" t="str">
        <f t="shared" si="2176"/>
        <v>89383000</v>
      </c>
      <c r="C10025" t="str">
        <f t="shared" si="2177"/>
        <v>89383002</v>
      </c>
      <c r="D10025" t="str">
        <f t="shared" si="2178"/>
        <v>809</v>
      </c>
      <c r="E10025" t="str">
        <f t="shared" si="2175"/>
        <v>89301212</v>
      </c>
      <c r="F10025" t="str">
        <f>"6560240984"</f>
        <v>6560240984</v>
      </c>
      <c r="G10025" s="1">
        <v>44846</v>
      </c>
      <c r="H10025" t="str">
        <f>"89514"</f>
        <v>89514</v>
      </c>
      <c r="I10025">
        <v>1</v>
      </c>
      <c r="J10025">
        <v>371</v>
      </c>
      <c r="K10025">
        <v>0</v>
      </c>
      <c r="L10025">
        <v>519.4</v>
      </c>
    </row>
    <row r="10026" spans="1:12" x14ac:dyDescent="0.25">
      <c r="A10026" t="str">
        <f t="shared" si="2168"/>
        <v>89301000</v>
      </c>
      <c r="B10026" t="str">
        <f t="shared" si="2176"/>
        <v>89383000</v>
      </c>
      <c r="C10026" t="str">
        <f t="shared" si="2177"/>
        <v>89383002</v>
      </c>
      <c r="D10026" t="str">
        <f t="shared" si="2178"/>
        <v>809</v>
      </c>
      <c r="E10026" t="str">
        <f t="shared" si="2175"/>
        <v>89301212</v>
      </c>
      <c r="F10026" t="str">
        <f>"6962245345"</f>
        <v>6962245345</v>
      </c>
      <c r="G10026" s="1">
        <v>44846</v>
      </c>
      <c r="H10026" t="str">
        <f>"89513"</f>
        <v>89513</v>
      </c>
      <c r="I10026">
        <v>1</v>
      </c>
      <c r="J10026">
        <v>371</v>
      </c>
      <c r="K10026">
        <v>0</v>
      </c>
      <c r="L10026">
        <v>519.4</v>
      </c>
    </row>
    <row r="10027" spans="1:12" x14ac:dyDescent="0.25">
      <c r="A10027" t="str">
        <f t="shared" si="2168"/>
        <v>89301000</v>
      </c>
      <c r="B10027" t="str">
        <f t="shared" si="2176"/>
        <v>89383000</v>
      </c>
      <c r="C10027" t="str">
        <f t="shared" si="2177"/>
        <v>89383002</v>
      </c>
      <c r="D10027" t="str">
        <f t="shared" si="2178"/>
        <v>809</v>
      </c>
      <c r="E10027" t="str">
        <f t="shared" si="2175"/>
        <v>89301212</v>
      </c>
      <c r="F10027" t="str">
        <f>"6962245345"</f>
        <v>6962245345</v>
      </c>
      <c r="G10027" s="1">
        <v>44846</v>
      </c>
      <c r="H10027" t="str">
        <f>"89514"</f>
        <v>89514</v>
      </c>
      <c r="I10027">
        <v>1</v>
      </c>
      <c r="J10027">
        <v>371</v>
      </c>
      <c r="K10027">
        <v>0</v>
      </c>
      <c r="L10027">
        <v>519.4</v>
      </c>
    </row>
    <row r="10028" spans="1:12" x14ac:dyDescent="0.25">
      <c r="A10028" t="str">
        <f t="shared" si="2168"/>
        <v>89301000</v>
      </c>
      <c r="B10028" t="str">
        <f t="shared" si="2176"/>
        <v>89383000</v>
      </c>
      <c r="C10028" t="str">
        <f t="shared" si="2177"/>
        <v>89383002</v>
      </c>
      <c r="D10028" t="str">
        <f t="shared" si="2178"/>
        <v>809</v>
      </c>
      <c r="E10028" t="str">
        <f t="shared" si="2175"/>
        <v>89301212</v>
      </c>
      <c r="F10028" t="str">
        <f>"6453022213"</f>
        <v>6453022213</v>
      </c>
      <c r="G10028" s="1">
        <v>44846</v>
      </c>
      <c r="H10028" t="str">
        <f>"89512"</f>
        <v>89512</v>
      </c>
      <c r="I10028">
        <v>1</v>
      </c>
      <c r="J10028">
        <v>277</v>
      </c>
      <c r="K10028">
        <v>0</v>
      </c>
      <c r="L10028">
        <v>387.8</v>
      </c>
    </row>
    <row r="10029" spans="1:12" x14ac:dyDescent="0.25">
      <c r="A10029" t="str">
        <f t="shared" si="2168"/>
        <v>89301000</v>
      </c>
      <c r="B10029" t="str">
        <f t="shared" si="2176"/>
        <v>89383000</v>
      </c>
      <c r="C10029" t="str">
        <f t="shared" si="2177"/>
        <v>89383002</v>
      </c>
      <c r="D10029" t="str">
        <f t="shared" si="2178"/>
        <v>809</v>
      </c>
      <c r="E10029" t="str">
        <f t="shared" si="2175"/>
        <v>89301212</v>
      </c>
      <c r="F10029" t="str">
        <f>"6454241629"</f>
        <v>6454241629</v>
      </c>
      <c r="G10029" s="1">
        <v>44847</v>
      </c>
      <c r="H10029" t="str">
        <f>"89180"</f>
        <v>89180</v>
      </c>
      <c r="I10029">
        <v>2</v>
      </c>
      <c r="J10029">
        <v>752</v>
      </c>
      <c r="K10029">
        <v>0</v>
      </c>
      <c r="L10029">
        <v>1052.8</v>
      </c>
    </row>
    <row r="10030" spans="1:12" x14ac:dyDescent="0.25">
      <c r="A10030" t="str">
        <f t="shared" si="2168"/>
        <v>89301000</v>
      </c>
      <c r="B10030" t="str">
        <f t="shared" si="2176"/>
        <v>89383000</v>
      </c>
      <c r="C10030" t="str">
        <f t="shared" si="2177"/>
        <v>89383002</v>
      </c>
      <c r="D10030" t="str">
        <f t="shared" si="2178"/>
        <v>809</v>
      </c>
      <c r="E10030" t="str">
        <f t="shared" si="2175"/>
        <v>89301212</v>
      </c>
      <c r="F10030" t="str">
        <f>"6454241629"</f>
        <v>6454241629</v>
      </c>
      <c r="G10030" s="1">
        <v>44847</v>
      </c>
      <c r="H10030" t="str">
        <f>"89512"</f>
        <v>89512</v>
      </c>
      <c r="I10030">
        <v>1</v>
      </c>
      <c r="J10030">
        <v>277</v>
      </c>
      <c r="K10030">
        <v>0</v>
      </c>
      <c r="L10030">
        <v>387.8</v>
      </c>
    </row>
    <row r="10031" spans="1:12" x14ac:dyDescent="0.25">
      <c r="A10031" t="str">
        <f t="shared" si="2168"/>
        <v>89301000</v>
      </c>
      <c r="B10031" t="str">
        <f t="shared" si="2176"/>
        <v>89383000</v>
      </c>
      <c r="C10031" t="str">
        <f t="shared" si="2177"/>
        <v>89383002</v>
      </c>
      <c r="D10031" t="str">
        <f t="shared" si="2178"/>
        <v>809</v>
      </c>
      <c r="E10031" t="str">
        <f t="shared" si="2175"/>
        <v>89301212</v>
      </c>
      <c r="F10031" t="str">
        <f>"6454241629"</f>
        <v>6454241629</v>
      </c>
      <c r="G10031" s="1">
        <v>44847</v>
      </c>
      <c r="H10031" t="str">
        <f>"89513"</f>
        <v>89513</v>
      </c>
      <c r="I10031">
        <v>1</v>
      </c>
      <c r="J10031">
        <v>371</v>
      </c>
      <c r="K10031">
        <v>0</v>
      </c>
      <c r="L10031">
        <v>519.4</v>
      </c>
    </row>
    <row r="10032" spans="1:12" x14ac:dyDescent="0.25">
      <c r="A10032" t="str">
        <f t="shared" si="2168"/>
        <v>89301000</v>
      </c>
      <c r="B10032" t="str">
        <f t="shared" si="2176"/>
        <v>89383000</v>
      </c>
      <c r="C10032" t="str">
        <f t="shared" si="2177"/>
        <v>89383002</v>
      </c>
      <c r="D10032" t="str">
        <f t="shared" si="2178"/>
        <v>809</v>
      </c>
      <c r="E10032" t="str">
        <f t="shared" si="2175"/>
        <v>89301212</v>
      </c>
      <c r="F10032" t="str">
        <f>"6454241629"</f>
        <v>6454241629</v>
      </c>
      <c r="G10032" s="1">
        <v>44847</v>
      </c>
      <c r="H10032" t="str">
        <f>"89514"</f>
        <v>89514</v>
      </c>
      <c r="I10032">
        <v>1</v>
      </c>
      <c r="J10032">
        <v>371</v>
      </c>
      <c r="K10032">
        <v>0</v>
      </c>
      <c r="L10032">
        <v>519.4</v>
      </c>
    </row>
    <row r="10033" spans="1:12" x14ac:dyDescent="0.25">
      <c r="A10033" t="str">
        <f t="shared" si="2168"/>
        <v>89301000</v>
      </c>
      <c r="B10033" t="str">
        <f t="shared" si="2176"/>
        <v>89383000</v>
      </c>
      <c r="C10033" t="str">
        <f t="shared" si="2177"/>
        <v>89383002</v>
      </c>
      <c r="D10033" t="str">
        <f t="shared" si="2178"/>
        <v>809</v>
      </c>
      <c r="E10033" t="str">
        <f t="shared" si="2175"/>
        <v>89301212</v>
      </c>
      <c r="F10033" t="str">
        <f>"5955061222"</f>
        <v>5955061222</v>
      </c>
      <c r="G10033" s="1">
        <v>44847</v>
      </c>
      <c r="H10033" t="str">
        <f>"89512"</f>
        <v>89512</v>
      </c>
      <c r="I10033">
        <v>1</v>
      </c>
      <c r="J10033">
        <v>277</v>
      </c>
      <c r="K10033">
        <v>0</v>
      </c>
      <c r="L10033">
        <v>387.8</v>
      </c>
    </row>
    <row r="10034" spans="1:12" x14ac:dyDescent="0.25">
      <c r="A10034" t="str">
        <f t="shared" si="2168"/>
        <v>89301000</v>
      </c>
      <c r="B10034" t="str">
        <f t="shared" si="2176"/>
        <v>89383000</v>
      </c>
      <c r="C10034" t="str">
        <f t="shared" si="2177"/>
        <v>89383002</v>
      </c>
      <c r="D10034" t="str">
        <f t="shared" si="2178"/>
        <v>809</v>
      </c>
      <c r="E10034" t="str">
        <f t="shared" si="2175"/>
        <v>89301212</v>
      </c>
      <c r="F10034" t="str">
        <f>"5955061222"</f>
        <v>5955061222</v>
      </c>
      <c r="G10034" s="1">
        <v>44847</v>
      </c>
      <c r="H10034" t="str">
        <f>"89311"</f>
        <v>89311</v>
      </c>
      <c r="I10034">
        <v>1</v>
      </c>
      <c r="J10034">
        <v>936</v>
      </c>
      <c r="K10034">
        <v>0</v>
      </c>
      <c r="L10034">
        <v>1310.4000000000001</v>
      </c>
    </row>
    <row r="10035" spans="1:12" x14ac:dyDescent="0.25">
      <c r="A10035" t="str">
        <f t="shared" si="2168"/>
        <v>89301000</v>
      </c>
      <c r="B10035" t="str">
        <f t="shared" si="2176"/>
        <v>89383000</v>
      </c>
      <c r="C10035" t="str">
        <f t="shared" si="2177"/>
        <v>89383002</v>
      </c>
      <c r="D10035" t="str">
        <f t="shared" si="2178"/>
        <v>809</v>
      </c>
      <c r="E10035" t="str">
        <f t="shared" si="2175"/>
        <v>89301212</v>
      </c>
      <c r="F10035" t="str">
        <f>"8253114474"</f>
        <v>8253114474</v>
      </c>
      <c r="G10035" s="1">
        <v>44847</v>
      </c>
      <c r="H10035" t="str">
        <f>"89513"</f>
        <v>89513</v>
      </c>
      <c r="I10035">
        <v>1</v>
      </c>
      <c r="J10035">
        <v>371</v>
      </c>
      <c r="K10035">
        <v>0</v>
      </c>
      <c r="L10035">
        <v>519.4</v>
      </c>
    </row>
    <row r="10036" spans="1:12" x14ac:dyDescent="0.25">
      <c r="A10036" t="str">
        <f t="shared" si="2168"/>
        <v>89301000</v>
      </c>
      <c r="B10036" t="str">
        <f t="shared" si="2176"/>
        <v>89383000</v>
      </c>
      <c r="C10036" t="str">
        <f t="shared" si="2177"/>
        <v>89383002</v>
      </c>
      <c r="D10036" t="str">
        <f t="shared" si="2178"/>
        <v>809</v>
      </c>
      <c r="E10036" t="str">
        <f t="shared" si="2175"/>
        <v>89301212</v>
      </c>
      <c r="F10036" t="str">
        <f>"8253114474"</f>
        <v>8253114474</v>
      </c>
      <c r="G10036" s="1">
        <v>44847</v>
      </c>
      <c r="H10036" t="str">
        <f>"89514"</f>
        <v>89514</v>
      </c>
      <c r="I10036">
        <v>1</v>
      </c>
      <c r="J10036">
        <v>371</v>
      </c>
      <c r="K10036">
        <v>0</v>
      </c>
      <c r="L10036">
        <v>519.4</v>
      </c>
    </row>
    <row r="10037" spans="1:12" x14ac:dyDescent="0.25">
      <c r="A10037" t="str">
        <f t="shared" si="2168"/>
        <v>89301000</v>
      </c>
      <c r="B10037" t="str">
        <f t="shared" si="2176"/>
        <v>89383000</v>
      </c>
      <c r="C10037" t="str">
        <f t="shared" si="2177"/>
        <v>89383002</v>
      </c>
      <c r="D10037" t="str">
        <f t="shared" si="2178"/>
        <v>809</v>
      </c>
      <c r="E10037" t="str">
        <f t="shared" si="2175"/>
        <v>89301212</v>
      </c>
      <c r="F10037" t="str">
        <f>"7253254459"</f>
        <v>7253254459</v>
      </c>
      <c r="G10037" s="1">
        <v>44848</v>
      </c>
      <c r="H10037" t="str">
        <f>"89512"</f>
        <v>89512</v>
      </c>
      <c r="I10037">
        <v>1</v>
      </c>
      <c r="J10037">
        <v>277</v>
      </c>
      <c r="K10037">
        <v>0</v>
      </c>
      <c r="L10037">
        <v>387.8</v>
      </c>
    </row>
    <row r="10038" spans="1:12" x14ac:dyDescent="0.25">
      <c r="A10038" t="str">
        <f t="shared" si="2168"/>
        <v>89301000</v>
      </c>
      <c r="B10038" t="str">
        <f t="shared" si="2176"/>
        <v>89383000</v>
      </c>
      <c r="C10038" t="str">
        <f t="shared" si="2177"/>
        <v>89383002</v>
      </c>
      <c r="D10038" t="str">
        <f t="shared" si="2178"/>
        <v>809</v>
      </c>
      <c r="E10038" t="str">
        <f t="shared" si="2175"/>
        <v>89301212</v>
      </c>
      <c r="F10038" t="str">
        <f>"7253254459"</f>
        <v>7253254459</v>
      </c>
      <c r="G10038" s="1">
        <v>44848</v>
      </c>
      <c r="H10038" t="str">
        <f>"89180"</f>
        <v>89180</v>
      </c>
      <c r="I10038">
        <v>1</v>
      </c>
      <c r="J10038">
        <v>376</v>
      </c>
      <c r="K10038">
        <v>0</v>
      </c>
      <c r="L10038">
        <v>526.4</v>
      </c>
    </row>
    <row r="10039" spans="1:12" x14ac:dyDescent="0.25">
      <c r="A10039" t="str">
        <f t="shared" si="2168"/>
        <v>89301000</v>
      </c>
      <c r="B10039" t="str">
        <f t="shared" si="2176"/>
        <v>89383000</v>
      </c>
      <c r="C10039" t="str">
        <f t="shared" si="2177"/>
        <v>89383002</v>
      </c>
      <c r="D10039" t="str">
        <f t="shared" si="2178"/>
        <v>809</v>
      </c>
      <c r="E10039" t="str">
        <f t="shared" si="2175"/>
        <v>89301212</v>
      </c>
      <c r="F10039" t="str">
        <f>"7253254459"</f>
        <v>7253254459</v>
      </c>
      <c r="G10039" s="1">
        <v>44848</v>
      </c>
      <c r="H10039" t="str">
        <f>"89513"</f>
        <v>89513</v>
      </c>
      <c r="I10039">
        <v>1</v>
      </c>
      <c r="J10039">
        <v>371</v>
      </c>
      <c r="K10039">
        <v>0</v>
      </c>
      <c r="L10039">
        <v>519.4</v>
      </c>
    </row>
    <row r="10040" spans="1:12" x14ac:dyDescent="0.25">
      <c r="A10040" t="str">
        <f t="shared" si="2168"/>
        <v>89301000</v>
      </c>
      <c r="B10040" t="str">
        <f t="shared" si="2176"/>
        <v>89383000</v>
      </c>
      <c r="C10040" t="str">
        <f t="shared" si="2177"/>
        <v>89383002</v>
      </c>
      <c r="D10040" t="str">
        <f t="shared" si="2178"/>
        <v>809</v>
      </c>
      <c r="E10040" t="str">
        <f t="shared" si="2175"/>
        <v>89301212</v>
      </c>
      <c r="F10040" t="str">
        <f>"7253254459"</f>
        <v>7253254459</v>
      </c>
      <c r="G10040" s="1">
        <v>44848</v>
      </c>
      <c r="H10040" t="str">
        <f>"89514"</f>
        <v>89514</v>
      </c>
      <c r="I10040">
        <v>1</v>
      </c>
      <c r="J10040">
        <v>371</v>
      </c>
      <c r="K10040">
        <v>0</v>
      </c>
      <c r="L10040">
        <v>519.4</v>
      </c>
    </row>
    <row r="10041" spans="1:12" x14ac:dyDescent="0.25">
      <c r="A10041" t="str">
        <f t="shared" si="2168"/>
        <v>89301000</v>
      </c>
      <c r="B10041" t="str">
        <f t="shared" si="2176"/>
        <v>89383000</v>
      </c>
      <c r="C10041" t="str">
        <f t="shared" si="2177"/>
        <v>89383002</v>
      </c>
      <c r="D10041" t="str">
        <f t="shared" si="2178"/>
        <v>809</v>
      </c>
      <c r="E10041" t="str">
        <f t="shared" si="2175"/>
        <v>89301212</v>
      </c>
      <c r="F10041" t="str">
        <f>"5556062358"</f>
        <v>5556062358</v>
      </c>
      <c r="G10041" s="1">
        <v>44848</v>
      </c>
      <c r="H10041" t="str">
        <f>"89513"</f>
        <v>89513</v>
      </c>
      <c r="I10041">
        <v>1</v>
      </c>
      <c r="J10041">
        <v>371</v>
      </c>
      <c r="K10041">
        <v>0</v>
      </c>
      <c r="L10041">
        <v>519.4</v>
      </c>
    </row>
    <row r="10042" spans="1:12" x14ac:dyDescent="0.25">
      <c r="A10042" t="str">
        <f t="shared" si="2168"/>
        <v>89301000</v>
      </c>
      <c r="B10042" t="str">
        <f t="shared" si="2176"/>
        <v>89383000</v>
      </c>
      <c r="C10042" t="str">
        <f t="shared" si="2177"/>
        <v>89383002</v>
      </c>
      <c r="D10042" t="str">
        <f t="shared" si="2178"/>
        <v>809</v>
      </c>
      <c r="E10042" t="str">
        <f t="shared" si="2175"/>
        <v>89301212</v>
      </c>
      <c r="F10042" t="str">
        <f>"5556062358"</f>
        <v>5556062358</v>
      </c>
      <c r="G10042" s="1">
        <v>44848</v>
      </c>
      <c r="H10042" t="str">
        <f>"89514"</f>
        <v>89514</v>
      </c>
      <c r="I10042">
        <v>1</v>
      </c>
      <c r="J10042">
        <v>371</v>
      </c>
      <c r="K10042">
        <v>0</v>
      </c>
      <c r="L10042">
        <v>519.4</v>
      </c>
    </row>
    <row r="10043" spans="1:12" x14ac:dyDescent="0.25">
      <c r="A10043" t="str">
        <f t="shared" si="2168"/>
        <v>89301000</v>
      </c>
      <c r="B10043" t="str">
        <f t="shared" si="2176"/>
        <v>89383000</v>
      </c>
      <c r="C10043" t="str">
        <f t="shared" si="2177"/>
        <v>89383002</v>
      </c>
      <c r="D10043" t="str">
        <f t="shared" si="2178"/>
        <v>809</v>
      </c>
      <c r="E10043" t="str">
        <f t="shared" si="2175"/>
        <v>89301212</v>
      </c>
      <c r="F10043" t="str">
        <f>"7856295315"</f>
        <v>7856295315</v>
      </c>
      <c r="G10043" s="1">
        <v>44848</v>
      </c>
      <c r="H10043" t="str">
        <f>"89512"</f>
        <v>89512</v>
      </c>
      <c r="I10043">
        <v>1</v>
      </c>
      <c r="J10043">
        <v>277</v>
      </c>
      <c r="K10043">
        <v>0</v>
      </c>
      <c r="L10043">
        <v>387.8</v>
      </c>
    </row>
    <row r="10044" spans="1:12" x14ac:dyDescent="0.25">
      <c r="A10044" t="str">
        <f t="shared" si="2168"/>
        <v>89301000</v>
      </c>
      <c r="B10044" t="str">
        <f t="shared" si="2176"/>
        <v>89383000</v>
      </c>
      <c r="C10044" t="str">
        <f t="shared" si="2177"/>
        <v>89383002</v>
      </c>
      <c r="D10044" t="str">
        <f t="shared" si="2178"/>
        <v>809</v>
      </c>
      <c r="E10044" t="str">
        <f t="shared" si="2175"/>
        <v>89301212</v>
      </c>
      <c r="F10044" t="str">
        <f>"7856295315"</f>
        <v>7856295315</v>
      </c>
      <c r="G10044" s="1">
        <v>44848</v>
      </c>
      <c r="H10044" t="str">
        <f>"89513"</f>
        <v>89513</v>
      </c>
      <c r="I10044">
        <v>1</v>
      </c>
      <c r="J10044">
        <v>371</v>
      </c>
      <c r="K10044">
        <v>0</v>
      </c>
      <c r="L10044">
        <v>519.4</v>
      </c>
    </row>
    <row r="10045" spans="1:12" x14ac:dyDescent="0.25">
      <c r="A10045" t="str">
        <f t="shared" si="2168"/>
        <v>89301000</v>
      </c>
      <c r="B10045" t="str">
        <f t="shared" si="2176"/>
        <v>89383000</v>
      </c>
      <c r="C10045" t="str">
        <f t="shared" si="2177"/>
        <v>89383002</v>
      </c>
      <c r="D10045" t="str">
        <f t="shared" si="2178"/>
        <v>809</v>
      </c>
      <c r="E10045" t="str">
        <f t="shared" si="2175"/>
        <v>89301212</v>
      </c>
      <c r="F10045" t="str">
        <f>"7856295315"</f>
        <v>7856295315</v>
      </c>
      <c r="G10045" s="1">
        <v>44848</v>
      </c>
      <c r="H10045" t="str">
        <f>"89514"</f>
        <v>89514</v>
      </c>
      <c r="I10045">
        <v>1</v>
      </c>
      <c r="J10045">
        <v>371</v>
      </c>
      <c r="K10045">
        <v>0</v>
      </c>
      <c r="L10045">
        <v>519.4</v>
      </c>
    </row>
    <row r="10046" spans="1:12" x14ac:dyDescent="0.25">
      <c r="A10046" t="str">
        <f t="shared" si="2168"/>
        <v>89301000</v>
      </c>
      <c r="B10046" t="str">
        <f t="shared" si="2176"/>
        <v>89383000</v>
      </c>
      <c r="C10046" t="str">
        <f t="shared" si="2177"/>
        <v>89383002</v>
      </c>
      <c r="D10046" t="str">
        <f t="shared" si="2178"/>
        <v>809</v>
      </c>
      <c r="E10046" t="str">
        <f t="shared" si="2175"/>
        <v>89301212</v>
      </c>
      <c r="F10046" t="str">
        <f>"5756301947"</f>
        <v>5756301947</v>
      </c>
      <c r="G10046" s="1">
        <v>44848</v>
      </c>
      <c r="H10046" t="str">
        <f>"89180"</f>
        <v>89180</v>
      </c>
      <c r="I10046">
        <v>2</v>
      </c>
      <c r="J10046">
        <v>752</v>
      </c>
      <c r="K10046">
        <v>0</v>
      </c>
      <c r="L10046">
        <v>1052.8</v>
      </c>
    </row>
    <row r="10047" spans="1:12" x14ac:dyDescent="0.25">
      <c r="A10047" t="str">
        <f t="shared" si="2168"/>
        <v>89301000</v>
      </c>
      <c r="B10047" t="str">
        <f t="shared" si="2176"/>
        <v>89383000</v>
      </c>
      <c r="C10047" t="str">
        <f t="shared" si="2177"/>
        <v>89383002</v>
      </c>
      <c r="D10047" t="str">
        <f t="shared" si="2178"/>
        <v>809</v>
      </c>
      <c r="E10047" t="str">
        <f t="shared" si="2175"/>
        <v>89301212</v>
      </c>
      <c r="F10047" t="str">
        <f>"5756301947"</f>
        <v>5756301947</v>
      </c>
      <c r="G10047" s="1">
        <v>44848</v>
      </c>
      <c r="H10047" t="str">
        <f>"89512"</f>
        <v>89512</v>
      </c>
      <c r="I10047">
        <v>1</v>
      </c>
      <c r="J10047">
        <v>277</v>
      </c>
      <c r="K10047">
        <v>0</v>
      </c>
      <c r="L10047">
        <v>387.8</v>
      </c>
    </row>
    <row r="10048" spans="1:12" x14ac:dyDescent="0.25">
      <c r="A10048" t="str">
        <f t="shared" si="2168"/>
        <v>89301000</v>
      </c>
      <c r="B10048" t="str">
        <f t="shared" si="2176"/>
        <v>89383000</v>
      </c>
      <c r="C10048" t="str">
        <f t="shared" si="2177"/>
        <v>89383002</v>
      </c>
      <c r="D10048" t="str">
        <f t="shared" si="2178"/>
        <v>809</v>
      </c>
      <c r="E10048" t="str">
        <f t="shared" si="2175"/>
        <v>89301212</v>
      </c>
      <c r="F10048" t="str">
        <f>"5756301947"</f>
        <v>5756301947</v>
      </c>
      <c r="G10048" s="1">
        <v>44848</v>
      </c>
      <c r="H10048" t="str">
        <f>"89513"</f>
        <v>89513</v>
      </c>
      <c r="I10048">
        <v>1</v>
      </c>
      <c r="J10048">
        <v>371</v>
      </c>
      <c r="K10048">
        <v>0</v>
      </c>
      <c r="L10048">
        <v>519.4</v>
      </c>
    </row>
    <row r="10049" spans="1:12" x14ac:dyDescent="0.25">
      <c r="A10049" t="str">
        <f t="shared" si="2168"/>
        <v>89301000</v>
      </c>
      <c r="B10049" t="str">
        <f t="shared" si="2176"/>
        <v>89383000</v>
      </c>
      <c r="C10049" t="str">
        <f t="shared" si="2177"/>
        <v>89383002</v>
      </c>
      <c r="D10049" t="str">
        <f t="shared" si="2178"/>
        <v>809</v>
      </c>
      <c r="E10049" t="str">
        <f t="shared" si="2175"/>
        <v>89301212</v>
      </c>
      <c r="F10049" t="str">
        <f>"5756301947"</f>
        <v>5756301947</v>
      </c>
      <c r="G10049" s="1">
        <v>44848</v>
      </c>
      <c r="H10049" t="str">
        <f>"89514"</f>
        <v>89514</v>
      </c>
      <c r="I10049">
        <v>1</v>
      </c>
      <c r="J10049">
        <v>371</v>
      </c>
      <c r="K10049">
        <v>0</v>
      </c>
      <c r="L10049">
        <v>519.4</v>
      </c>
    </row>
    <row r="10050" spans="1:12" x14ac:dyDescent="0.25">
      <c r="A10050" t="str">
        <f t="shared" ref="A10050:A10113" si="2179">"89301000"</f>
        <v>89301000</v>
      </c>
      <c r="B10050" t="str">
        <f t="shared" si="2176"/>
        <v>89383000</v>
      </c>
      <c r="C10050" t="str">
        <f t="shared" si="2177"/>
        <v>89383002</v>
      </c>
      <c r="D10050" t="str">
        <f t="shared" si="2178"/>
        <v>809</v>
      </c>
      <c r="E10050" t="str">
        <f t="shared" si="2175"/>
        <v>89301212</v>
      </c>
      <c r="F10050" t="str">
        <f>"8251115378"</f>
        <v>8251115378</v>
      </c>
      <c r="G10050" s="1">
        <v>44848</v>
      </c>
      <c r="H10050" t="str">
        <f>"89180"</f>
        <v>89180</v>
      </c>
      <c r="I10050">
        <v>1</v>
      </c>
      <c r="J10050">
        <v>376</v>
      </c>
      <c r="K10050">
        <v>0</v>
      </c>
      <c r="L10050">
        <v>526.4</v>
      </c>
    </row>
    <row r="10051" spans="1:12" x14ac:dyDescent="0.25">
      <c r="A10051" t="str">
        <f t="shared" si="2179"/>
        <v>89301000</v>
      </c>
      <c r="B10051" t="str">
        <f t="shared" si="2176"/>
        <v>89383000</v>
      </c>
      <c r="C10051" t="str">
        <f t="shared" si="2177"/>
        <v>89383002</v>
      </c>
      <c r="D10051" t="str">
        <f t="shared" si="2178"/>
        <v>809</v>
      </c>
      <c r="E10051" t="str">
        <f t="shared" si="2175"/>
        <v>89301212</v>
      </c>
      <c r="F10051" t="str">
        <f>"8251115378"</f>
        <v>8251115378</v>
      </c>
      <c r="G10051" s="1">
        <v>44848</v>
      </c>
      <c r="H10051" t="str">
        <f>"89512"</f>
        <v>89512</v>
      </c>
      <c r="I10051">
        <v>1</v>
      </c>
      <c r="J10051">
        <v>277</v>
      </c>
      <c r="K10051">
        <v>0</v>
      </c>
      <c r="L10051">
        <v>387.8</v>
      </c>
    </row>
    <row r="10052" spans="1:12" x14ac:dyDescent="0.25">
      <c r="A10052" t="str">
        <f t="shared" si="2179"/>
        <v>89301000</v>
      </c>
      <c r="B10052" t="str">
        <f t="shared" si="2176"/>
        <v>89383000</v>
      </c>
      <c r="C10052" t="str">
        <f t="shared" si="2177"/>
        <v>89383002</v>
      </c>
      <c r="D10052" t="str">
        <f t="shared" si="2178"/>
        <v>809</v>
      </c>
      <c r="E10052" t="str">
        <f t="shared" si="2175"/>
        <v>89301212</v>
      </c>
      <c r="F10052" t="str">
        <f>"6761120696"</f>
        <v>6761120696</v>
      </c>
      <c r="G10052" s="1">
        <v>44851</v>
      </c>
      <c r="H10052" t="str">
        <f>"89513"</f>
        <v>89513</v>
      </c>
      <c r="I10052">
        <v>1</v>
      </c>
      <c r="J10052">
        <v>371</v>
      </c>
      <c r="K10052">
        <v>0</v>
      </c>
      <c r="L10052">
        <v>519.4</v>
      </c>
    </row>
    <row r="10053" spans="1:12" x14ac:dyDescent="0.25">
      <c r="A10053" t="str">
        <f t="shared" si="2179"/>
        <v>89301000</v>
      </c>
      <c r="B10053" t="str">
        <f t="shared" si="2176"/>
        <v>89383000</v>
      </c>
      <c r="C10053" t="str">
        <f t="shared" si="2177"/>
        <v>89383002</v>
      </c>
      <c r="D10053" t="str">
        <f t="shared" si="2178"/>
        <v>809</v>
      </c>
      <c r="E10053" t="str">
        <f t="shared" si="2175"/>
        <v>89301212</v>
      </c>
      <c r="F10053" t="str">
        <f>"6761120696"</f>
        <v>6761120696</v>
      </c>
      <c r="G10053" s="1">
        <v>44851</v>
      </c>
      <c r="H10053" t="str">
        <f>"89514"</f>
        <v>89514</v>
      </c>
      <c r="I10053">
        <v>1</v>
      </c>
      <c r="J10053">
        <v>371</v>
      </c>
      <c r="K10053">
        <v>0</v>
      </c>
      <c r="L10053">
        <v>519.4</v>
      </c>
    </row>
    <row r="10054" spans="1:12" x14ac:dyDescent="0.25">
      <c r="A10054" t="str">
        <f t="shared" si="2179"/>
        <v>89301000</v>
      </c>
      <c r="B10054" t="str">
        <f t="shared" si="2176"/>
        <v>89383000</v>
      </c>
      <c r="C10054" t="str">
        <f t="shared" si="2177"/>
        <v>89383002</v>
      </c>
      <c r="D10054" t="str">
        <f t="shared" si="2178"/>
        <v>809</v>
      </c>
      <c r="E10054" t="str">
        <f t="shared" si="2175"/>
        <v>89301212</v>
      </c>
      <c r="F10054" t="str">
        <f>"7658055328"</f>
        <v>7658055328</v>
      </c>
      <c r="G10054" s="1">
        <v>44851</v>
      </c>
      <c r="H10054" t="str">
        <f>"89512"</f>
        <v>89512</v>
      </c>
      <c r="I10054">
        <v>1</v>
      </c>
      <c r="J10054">
        <v>277</v>
      </c>
      <c r="K10054">
        <v>0</v>
      </c>
      <c r="L10054">
        <v>387.8</v>
      </c>
    </row>
    <row r="10055" spans="1:12" x14ac:dyDescent="0.25">
      <c r="A10055" t="str">
        <f t="shared" si="2179"/>
        <v>89301000</v>
      </c>
      <c r="B10055" t="str">
        <f t="shared" si="2176"/>
        <v>89383000</v>
      </c>
      <c r="C10055" t="str">
        <f t="shared" si="2177"/>
        <v>89383002</v>
      </c>
      <c r="D10055" t="str">
        <f t="shared" si="2178"/>
        <v>809</v>
      </c>
      <c r="E10055" t="str">
        <f>"89301045"</f>
        <v>89301045</v>
      </c>
      <c r="F10055" t="str">
        <f>"7556115754"</f>
        <v>7556115754</v>
      </c>
      <c r="G10055" s="1">
        <v>44852</v>
      </c>
      <c r="H10055" t="str">
        <f>"89512"</f>
        <v>89512</v>
      </c>
      <c r="I10055">
        <v>1</v>
      </c>
      <c r="J10055">
        <v>277</v>
      </c>
      <c r="K10055">
        <v>0</v>
      </c>
      <c r="L10055">
        <v>387.8</v>
      </c>
    </row>
    <row r="10056" spans="1:12" x14ac:dyDescent="0.25">
      <c r="A10056" t="str">
        <f t="shared" si="2179"/>
        <v>89301000</v>
      </c>
      <c r="B10056" t="str">
        <f t="shared" ref="B10056:B10087" si="2180">"89383000"</f>
        <v>89383000</v>
      </c>
      <c r="C10056" t="str">
        <f t="shared" ref="C10056:C10087" si="2181">"89383002"</f>
        <v>89383002</v>
      </c>
      <c r="D10056" t="str">
        <f t="shared" ref="D10056:D10087" si="2182">"809"</f>
        <v>809</v>
      </c>
      <c r="E10056" t="str">
        <f t="shared" ref="E10056:E10062" si="2183">"89301212"</f>
        <v>89301212</v>
      </c>
      <c r="F10056" t="str">
        <f>"6754060115"</f>
        <v>6754060115</v>
      </c>
      <c r="G10056" s="1">
        <v>44852</v>
      </c>
      <c r="H10056" t="str">
        <f>"89512"</f>
        <v>89512</v>
      </c>
      <c r="I10056">
        <v>1</v>
      </c>
      <c r="J10056">
        <v>277</v>
      </c>
      <c r="K10056">
        <v>0</v>
      </c>
      <c r="L10056">
        <v>387.8</v>
      </c>
    </row>
    <row r="10057" spans="1:12" x14ac:dyDescent="0.25">
      <c r="A10057" t="str">
        <f t="shared" si="2179"/>
        <v>89301000</v>
      </c>
      <c r="B10057" t="str">
        <f t="shared" si="2180"/>
        <v>89383000</v>
      </c>
      <c r="C10057" t="str">
        <f t="shared" si="2181"/>
        <v>89383002</v>
      </c>
      <c r="D10057" t="str">
        <f t="shared" si="2182"/>
        <v>809</v>
      </c>
      <c r="E10057" t="str">
        <f t="shared" si="2183"/>
        <v>89301212</v>
      </c>
      <c r="F10057" t="str">
        <f t="shared" ref="F10057:F10062" si="2184">"6753220760"</f>
        <v>6753220760</v>
      </c>
      <c r="G10057" s="1">
        <v>44853</v>
      </c>
      <c r="H10057" t="str">
        <f>"89313"</f>
        <v>89313</v>
      </c>
      <c r="I10057">
        <v>1</v>
      </c>
      <c r="J10057">
        <v>406</v>
      </c>
      <c r="K10057">
        <v>0</v>
      </c>
      <c r="L10057">
        <v>568.4</v>
      </c>
    </row>
    <row r="10058" spans="1:12" x14ac:dyDescent="0.25">
      <c r="A10058" t="str">
        <f t="shared" si="2179"/>
        <v>89301000</v>
      </c>
      <c r="B10058" t="str">
        <f t="shared" si="2180"/>
        <v>89383000</v>
      </c>
      <c r="C10058" t="str">
        <f t="shared" si="2181"/>
        <v>89383002</v>
      </c>
      <c r="D10058" t="str">
        <f t="shared" si="2182"/>
        <v>809</v>
      </c>
      <c r="E10058" t="str">
        <f t="shared" si="2183"/>
        <v>89301212</v>
      </c>
      <c r="F10058" t="str">
        <f t="shared" si="2184"/>
        <v>6753220760</v>
      </c>
      <c r="G10058" s="1">
        <v>44853</v>
      </c>
      <c r="H10058" t="str">
        <f>"09233"</f>
        <v>09233</v>
      </c>
      <c r="I10058">
        <v>1</v>
      </c>
      <c r="J10058">
        <v>99</v>
      </c>
      <c r="K10058">
        <v>0</v>
      </c>
      <c r="L10058">
        <v>138.6</v>
      </c>
    </row>
    <row r="10059" spans="1:12" x14ac:dyDescent="0.25">
      <c r="A10059" t="str">
        <f t="shared" si="2179"/>
        <v>89301000</v>
      </c>
      <c r="B10059" t="str">
        <f t="shared" si="2180"/>
        <v>89383000</v>
      </c>
      <c r="C10059" t="str">
        <f t="shared" si="2181"/>
        <v>89383002</v>
      </c>
      <c r="D10059" t="str">
        <f t="shared" si="2182"/>
        <v>809</v>
      </c>
      <c r="E10059" t="str">
        <f t="shared" si="2183"/>
        <v>89301212</v>
      </c>
      <c r="F10059" t="str">
        <f t="shared" si="2184"/>
        <v>6753220760</v>
      </c>
      <c r="G10059" s="1">
        <v>44853</v>
      </c>
      <c r="H10059" t="str">
        <f>"89515"</f>
        <v>89515</v>
      </c>
      <c r="I10059">
        <v>1</v>
      </c>
      <c r="J10059">
        <v>339</v>
      </c>
      <c r="K10059">
        <v>0</v>
      </c>
      <c r="L10059">
        <v>474.6</v>
      </c>
    </row>
    <row r="10060" spans="1:12" x14ac:dyDescent="0.25">
      <c r="A10060" t="str">
        <f t="shared" si="2179"/>
        <v>89301000</v>
      </c>
      <c r="B10060" t="str">
        <f t="shared" si="2180"/>
        <v>89383000</v>
      </c>
      <c r="C10060" t="str">
        <f t="shared" si="2181"/>
        <v>89383002</v>
      </c>
      <c r="D10060" t="str">
        <f t="shared" si="2182"/>
        <v>809</v>
      </c>
      <c r="E10060" t="str">
        <f t="shared" si="2183"/>
        <v>89301212</v>
      </c>
      <c r="F10060" t="str">
        <f t="shared" si="2184"/>
        <v>6753220760</v>
      </c>
      <c r="G10060" s="1">
        <v>44853</v>
      </c>
      <c r="H10060" t="str">
        <f>"89512"</f>
        <v>89512</v>
      </c>
      <c r="I10060">
        <v>1</v>
      </c>
      <c r="J10060">
        <v>277</v>
      </c>
      <c r="K10060">
        <v>0</v>
      </c>
      <c r="L10060">
        <v>387.8</v>
      </c>
    </row>
    <row r="10061" spans="1:12" x14ac:dyDescent="0.25">
      <c r="A10061" t="str">
        <f t="shared" si="2179"/>
        <v>89301000</v>
      </c>
      <c r="B10061" t="str">
        <f t="shared" si="2180"/>
        <v>89383000</v>
      </c>
      <c r="C10061" t="str">
        <f t="shared" si="2181"/>
        <v>89383002</v>
      </c>
      <c r="D10061" t="str">
        <f t="shared" si="2182"/>
        <v>809</v>
      </c>
      <c r="E10061" t="str">
        <f t="shared" si="2183"/>
        <v>89301212</v>
      </c>
      <c r="F10061" t="str">
        <f t="shared" si="2184"/>
        <v>6753220760</v>
      </c>
      <c r="G10061" s="1">
        <v>44853</v>
      </c>
      <c r="H10061" t="str">
        <f>"0225891"</f>
        <v>0225891</v>
      </c>
      <c r="I10061">
        <v>0.02</v>
      </c>
      <c r="K10061">
        <v>7.35</v>
      </c>
      <c r="L10061">
        <v>7.35</v>
      </c>
    </row>
    <row r="10062" spans="1:12" x14ac:dyDescent="0.25">
      <c r="A10062" t="str">
        <f t="shared" si="2179"/>
        <v>89301000</v>
      </c>
      <c r="B10062" t="str">
        <f t="shared" si="2180"/>
        <v>89383000</v>
      </c>
      <c r="C10062" t="str">
        <f t="shared" si="2181"/>
        <v>89383002</v>
      </c>
      <c r="D10062" t="str">
        <f t="shared" si="2182"/>
        <v>809</v>
      </c>
      <c r="E10062" t="str">
        <f t="shared" si="2183"/>
        <v>89301212</v>
      </c>
      <c r="F10062" t="str">
        <f t="shared" si="2184"/>
        <v>6753220760</v>
      </c>
      <c r="G10062" s="1">
        <v>44853</v>
      </c>
      <c r="H10062" t="str">
        <f>"0142908"</f>
        <v>0142908</v>
      </c>
      <c r="I10062">
        <v>1</v>
      </c>
      <c r="K10062">
        <v>910</v>
      </c>
      <c r="L10062">
        <v>910</v>
      </c>
    </row>
    <row r="10063" spans="1:12" x14ac:dyDescent="0.25">
      <c r="A10063" t="str">
        <f t="shared" si="2179"/>
        <v>89301000</v>
      </c>
      <c r="B10063" t="str">
        <f t="shared" si="2180"/>
        <v>89383000</v>
      </c>
      <c r="C10063" t="str">
        <f t="shared" si="2181"/>
        <v>89383002</v>
      </c>
      <c r="D10063" t="str">
        <f t="shared" si="2182"/>
        <v>809</v>
      </c>
      <c r="E10063" t="str">
        <f>"89301045"</f>
        <v>89301045</v>
      </c>
      <c r="F10063" t="str">
        <f>"6062271435"</f>
        <v>6062271435</v>
      </c>
      <c r="G10063" s="1">
        <v>44853</v>
      </c>
      <c r="H10063" t="str">
        <f>"89180"</f>
        <v>89180</v>
      </c>
      <c r="I10063">
        <v>1</v>
      </c>
      <c r="J10063">
        <v>376</v>
      </c>
      <c r="K10063">
        <v>0</v>
      </c>
      <c r="L10063">
        <v>526.4</v>
      </c>
    </row>
    <row r="10064" spans="1:12" x14ac:dyDescent="0.25">
      <c r="A10064" t="str">
        <f t="shared" si="2179"/>
        <v>89301000</v>
      </c>
      <c r="B10064" t="str">
        <f t="shared" si="2180"/>
        <v>89383000</v>
      </c>
      <c r="C10064" t="str">
        <f t="shared" si="2181"/>
        <v>89383002</v>
      </c>
      <c r="D10064" t="str">
        <f t="shared" si="2182"/>
        <v>809</v>
      </c>
      <c r="E10064" t="str">
        <f t="shared" ref="E10064:E10076" si="2185">"89301212"</f>
        <v>89301212</v>
      </c>
      <c r="F10064" t="str">
        <f>"6255120124"</f>
        <v>6255120124</v>
      </c>
      <c r="G10064" s="1">
        <v>44853</v>
      </c>
      <c r="H10064" t="str">
        <f>"89180"</f>
        <v>89180</v>
      </c>
      <c r="I10064">
        <v>1</v>
      </c>
      <c r="J10064">
        <v>376</v>
      </c>
      <c r="K10064">
        <v>0</v>
      </c>
      <c r="L10064">
        <v>526.4</v>
      </c>
    </row>
    <row r="10065" spans="1:12" x14ac:dyDescent="0.25">
      <c r="A10065" t="str">
        <f t="shared" si="2179"/>
        <v>89301000</v>
      </c>
      <c r="B10065" t="str">
        <f t="shared" si="2180"/>
        <v>89383000</v>
      </c>
      <c r="C10065" t="str">
        <f t="shared" si="2181"/>
        <v>89383002</v>
      </c>
      <c r="D10065" t="str">
        <f t="shared" si="2182"/>
        <v>809</v>
      </c>
      <c r="E10065" t="str">
        <f t="shared" si="2185"/>
        <v>89301212</v>
      </c>
      <c r="F10065" t="str">
        <f>"6255120124"</f>
        <v>6255120124</v>
      </c>
      <c r="G10065" s="1">
        <v>44853</v>
      </c>
      <c r="H10065" t="str">
        <f>"89512"</f>
        <v>89512</v>
      </c>
      <c r="I10065">
        <v>1</v>
      </c>
      <c r="J10065">
        <v>277</v>
      </c>
      <c r="K10065">
        <v>0</v>
      </c>
      <c r="L10065">
        <v>387.8</v>
      </c>
    </row>
    <row r="10066" spans="1:12" x14ac:dyDescent="0.25">
      <c r="A10066" t="str">
        <f t="shared" si="2179"/>
        <v>89301000</v>
      </c>
      <c r="B10066" t="str">
        <f t="shared" si="2180"/>
        <v>89383000</v>
      </c>
      <c r="C10066" t="str">
        <f t="shared" si="2181"/>
        <v>89383002</v>
      </c>
      <c r="D10066" t="str">
        <f t="shared" si="2182"/>
        <v>809</v>
      </c>
      <c r="E10066" t="str">
        <f t="shared" si="2185"/>
        <v>89301212</v>
      </c>
      <c r="F10066" t="str">
        <f>"6962025796"</f>
        <v>6962025796</v>
      </c>
      <c r="G10066" s="1">
        <v>44854</v>
      </c>
      <c r="H10066" t="str">
        <f>"89512"</f>
        <v>89512</v>
      </c>
      <c r="I10066">
        <v>1</v>
      </c>
      <c r="J10066">
        <v>277</v>
      </c>
      <c r="K10066">
        <v>0</v>
      </c>
      <c r="L10066">
        <v>387.8</v>
      </c>
    </row>
    <row r="10067" spans="1:12" x14ac:dyDescent="0.25">
      <c r="A10067" t="str">
        <f t="shared" si="2179"/>
        <v>89301000</v>
      </c>
      <c r="B10067" t="str">
        <f t="shared" si="2180"/>
        <v>89383000</v>
      </c>
      <c r="C10067" t="str">
        <f t="shared" si="2181"/>
        <v>89383002</v>
      </c>
      <c r="D10067" t="str">
        <f t="shared" si="2182"/>
        <v>809</v>
      </c>
      <c r="E10067" t="str">
        <f t="shared" si="2185"/>
        <v>89301212</v>
      </c>
      <c r="F10067" t="str">
        <f>"7652195320"</f>
        <v>7652195320</v>
      </c>
      <c r="G10067" s="1">
        <v>44855</v>
      </c>
      <c r="H10067" t="str">
        <f>"89180"</f>
        <v>89180</v>
      </c>
      <c r="I10067">
        <v>1</v>
      </c>
      <c r="J10067">
        <v>376</v>
      </c>
      <c r="K10067">
        <v>0</v>
      </c>
      <c r="L10067">
        <v>526.4</v>
      </c>
    </row>
    <row r="10068" spans="1:12" x14ac:dyDescent="0.25">
      <c r="A10068" t="str">
        <f t="shared" si="2179"/>
        <v>89301000</v>
      </c>
      <c r="B10068" t="str">
        <f t="shared" si="2180"/>
        <v>89383000</v>
      </c>
      <c r="C10068" t="str">
        <f t="shared" si="2181"/>
        <v>89383002</v>
      </c>
      <c r="D10068" t="str">
        <f t="shared" si="2182"/>
        <v>809</v>
      </c>
      <c r="E10068" t="str">
        <f t="shared" si="2185"/>
        <v>89301212</v>
      </c>
      <c r="F10068" t="str">
        <f>"7652195320"</f>
        <v>7652195320</v>
      </c>
      <c r="G10068" s="1">
        <v>44855</v>
      </c>
      <c r="H10068" t="str">
        <f>"89512"</f>
        <v>89512</v>
      </c>
      <c r="I10068">
        <v>1</v>
      </c>
      <c r="J10068">
        <v>277</v>
      </c>
      <c r="K10068">
        <v>0</v>
      </c>
      <c r="L10068">
        <v>387.8</v>
      </c>
    </row>
    <row r="10069" spans="1:12" x14ac:dyDescent="0.25">
      <c r="A10069" t="str">
        <f t="shared" si="2179"/>
        <v>89301000</v>
      </c>
      <c r="B10069" t="str">
        <f t="shared" si="2180"/>
        <v>89383000</v>
      </c>
      <c r="C10069" t="str">
        <f t="shared" si="2181"/>
        <v>89383002</v>
      </c>
      <c r="D10069" t="str">
        <f t="shared" si="2182"/>
        <v>809</v>
      </c>
      <c r="E10069" t="str">
        <f t="shared" si="2185"/>
        <v>89301212</v>
      </c>
      <c r="F10069" t="str">
        <f>"7652195320"</f>
        <v>7652195320</v>
      </c>
      <c r="G10069" s="1">
        <v>44855</v>
      </c>
      <c r="H10069" t="str">
        <f>"89513"</f>
        <v>89513</v>
      </c>
      <c r="I10069">
        <v>1</v>
      </c>
      <c r="J10069">
        <v>371</v>
      </c>
      <c r="K10069">
        <v>0</v>
      </c>
      <c r="L10069">
        <v>519.4</v>
      </c>
    </row>
    <row r="10070" spans="1:12" x14ac:dyDescent="0.25">
      <c r="A10070" t="str">
        <f t="shared" si="2179"/>
        <v>89301000</v>
      </c>
      <c r="B10070" t="str">
        <f t="shared" si="2180"/>
        <v>89383000</v>
      </c>
      <c r="C10070" t="str">
        <f t="shared" si="2181"/>
        <v>89383002</v>
      </c>
      <c r="D10070" t="str">
        <f t="shared" si="2182"/>
        <v>809</v>
      </c>
      <c r="E10070" t="str">
        <f t="shared" si="2185"/>
        <v>89301212</v>
      </c>
      <c r="F10070" t="str">
        <f>"7652195320"</f>
        <v>7652195320</v>
      </c>
      <c r="G10070" s="1">
        <v>44855</v>
      </c>
      <c r="H10070" t="str">
        <f>"89514"</f>
        <v>89514</v>
      </c>
      <c r="I10070">
        <v>1</v>
      </c>
      <c r="J10070">
        <v>371</v>
      </c>
      <c r="K10070">
        <v>0</v>
      </c>
      <c r="L10070">
        <v>519.4</v>
      </c>
    </row>
    <row r="10071" spans="1:12" x14ac:dyDescent="0.25">
      <c r="A10071" t="str">
        <f t="shared" si="2179"/>
        <v>89301000</v>
      </c>
      <c r="B10071" t="str">
        <f t="shared" si="2180"/>
        <v>89383000</v>
      </c>
      <c r="C10071" t="str">
        <f t="shared" si="2181"/>
        <v>89383002</v>
      </c>
      <c r="D10071" t="str">
        <f t="shared" si="2182"/>
        <v>809</v>
      </c>
      <c r="E10071" t="str">
        <f t="shared" si="2185"/>
        <v>89301212</v>
      </c>
      <c r="F10071" t="str">
        <f>"6652016701"</f>
        <v>6652016701</v>
      </c>
      <c r="G10071" s="1">
        <v>44855</v>
      </c>
      <c r="H10071" t="str">
        <f>"89513"</f>
        <v>89513</v>
      </c>
      <c r="I10071">
        <v>1</v>
      </c>
      <c r="J10071">
        <v>371</v>
      </c>
      <c r="K10071">
        <v>0</v>
      </c>
      <c r="L10071">
        <v>519.4</v>
      </c>
    </row>
    <row r="10072" spans="1:12" x14ac:dyDescent="0.25">
      <c r="A10072" t="str">
        <f t="shared" si="2179"/>
        <v>89301000</v>
      </c>
      <c r="B10072" t="str">
        <f t="shared" si="2180"/>
        <v>89383000</v>
      </c>
      <c r="C10072" t="str">
        <f t="shared" si="2181"/>
        <v>89383002</v>
      </c>
      <c r="D10072" t="str">
        <f t="shared" si="2182"/>
        <v>809</v>
      </c>
      <c r="E10072" t="str">
        <f t="shared" si="2185"/>
        <v>89301212</v>
      </c>
      <c r="F10072" t="str">
        <f>"6652016701"</f>
        <v>6652016701</v>
      </c>
      <c r="G10072" s="1">
        <v>44855</v>
      </c>
      <c r="H10072" t="str">
        <f>"89514"</f>
        <v>89514</v>
      </c>
      <c r="I10072">
        <v>1</v>
      </c>
      <c r="J10072">
        <v>371</v>
      </c>
      <c r="K10072">
        <v>0</v>
      </c>
      <c r="L10072">
        <v>519.4</v>
      </c>
    </row>
    <row r="10073" spans="1:12" x14ac:dyDescent="0.25">
      <c r="A10073" t="str">
        <f t="shared" si="2179"/>
        <v>89301000</v>
      </c>
      <c r="B10073" t="str">
        <f t="shared" si="2180"/>
        <v>89383000</v>
      </c>
      <c r="C10073" t="str">
        <f t="shared" si="2181"/>
        <v>89383002</v>
      </c>
      <c r="D10073" t="str">
        <f t="shared" si="2182"/>
        <v>809</v>
      </c>
      <c r="E10073" t="str">
        <f t="shared" si="2185"/>
        <v>89301212</v>
      </c>
      <c r="F10073" t="str">
        <f>"6857250807"</f>
        <v>6857250807</v>
      </c>
      <c r="G10073" s="1">
        <v>44854</v>
      </c>
      <c r="H10073" t="str">
        <f>"89513"</f>
        <v>89513</v>
      </c>
      <c r="I10073">
        <v>1</v>
      </c>
      <c r="J10073">
        <v>371</v>
      </c>
      <c r="K10073">
        <v>0</v>
      </c>
      <c r="L10073">
        <v>519.4</v>
      </c>
    </row>
    <row r="10074" spans="1:12" x14ac:dyDescent="0.25">
      <c r="A10074" t="str">
        <f t="shared" si="2179"/>
        <v>89301000</v>
      </c>
      <c r="B10074" t="str">
        <f t="shared" si="2180"/>
        <v>89383000</v>
      </c>
      <c r="C10074" t="str">
        <f t="shared" si="2181"/>
        <v>89383002</v>
      </c>
      <c r="D10074" t="str">
        <f t="shared" si="2182"/>
        <v>809</v>
      </c>
      <c r="E10074" t="str">
        <f t="shared" si="2185"/>
        <v>89301212</v>
      </c>
      <c r="F10074" t="str">
        <f>"6857250807"</f>
        <v>6857250807</v>
      </c>
      <c r="G10074" s="1">
        <v>44854</v>
      </c>
      <c r="H10074" t="str">
        <f>"89514"</f>
        <v>89514</v>
      </c>
      <c r="I10074">
        <v>1</v>
      </c>
      <c r="J10074">
        <v>371</v>
      </c>
      <c r="K10074">
        <v>0</v>
      </c>
      <c r="L10074">
        <v>519.4</v>
      </c>
    </row>
    <row r="10075" spans="1:12" x14ac:dyDescent="0.25">
      <c r="A10075" t="str">
        <f t="shared" si="2179"/>
        <v>89301000</v>
      </c>
      <c r="B10075" t="str">
        <f t="shared" si="2180"/>
        <v>89383000</v>
      </c>
      <c r="C10075" t="str">
        <f t="shared" si="2181"/>
        <v>89383002</v>
      </c>
      <c r="D10075" t="str">
        <f t="shared" si="2182"/>
        <v>809</v>
      </c>
      <c r="E10075" t="str">
        <f t="shared" si="2185"/>
        <v>89301212</v>
      </c>
      <c r="F10075" t="str">
        <f>"7952125346"</f>
        <v>7952125346</v>
      </c>
      <c r="G10075" s="1">
        <v>44855</v>
      </c>
      <c r="H10075" t="str">
        <f>"89513"</f>
        <v>89513</v>
      </c>
      <c r="I10075">
        <v>1</v>
      </c>
      <c r="J10075">
        <v>371</v>
      </c>
      <c r="K10075">
        <v>0</v>
      </c>
      <c r="L10075">
        <v>519.4</v>
      </c>
    </row>
    <row r="10076" spans="1:12" x14ac:dyDescent="0.25">
      <c r="A10076" t="str">
        <f t="shared" si="2179"/>
        <v>89301000</v>
      </c>
      <c r="B10076" t="str">
        <f t="shared" si="2180"/>
        <v>89383000</v>
      </c>
      <c r="C10076" t="str">
        <f t="shared" si="2181"/>
        <v>89383002</v>
      </c>
      <c r="D10076" t="str">
        <f t="shared" si="2182"/>
        <v>809</v>
      </c>
      <c r="E10076" t="str">
        <f t="shared" si="2185"/>
        <v>89301212</v>
      </c>
      <c r="F10076" t="str">
        <f>"7952125346"</f>
        <v>7952125346</v>
      </c>
      <c r="G10076" s="1">
        <v>44855</v>
      </c>
      <c r="H10076" t="str">
        <f>"89514"</f>
        <v>89514</v>
      </c>
      <c r="I10076">
        <v>1</v>
      </c>
      <c r="J10076">
        <v>371</v>
      </c>
      <c r="K10076">
        <v>0</v>
      </c>
      <c r="L10076">
        <v>519.4</v>
      </c>
    </row>
    <row r="10077" spans="1:12" x14ac:dyDescent="0.25">
      <c r="A10077" t="str">
        <f t="shared" si="2179"/>
        <v>89301000</v>
      </c>
      <c r="B10077" t="str">
        <f t="shared" si="2180"/>
        <v>89383000</v>
      </c>
      <c r="C10077" t="str">
        <f t="shared" si="2181"/>
        <v>89383002</v>
      </c>
      <c r="D10077" t="str">
        <f t="shared" si="2182"/>
        <v>809</v>
      </c>
      <c r="E10077" t="str">
        <f>"89301045"</f>
        <v>89301045</v>
      </c>
      <c r="F10077" t="str">
        <f>"5661041232"</f>
        <v>5661041232</v>
      </c>
      <c r="G10077" s="1">
        <v>44855</v>
      </c>
      <c r="H10077" t="str">
        <f>"89513"</f>
        <v>89513</v>
      </c>
      <c r="I10077">
        <v>1</v>
      </c>
      <c r="J10077">
        <v>371</v>
      </c>
      <c r="K10077">
        <v>0</v>
      </c>
      <c r="L10077">
        <v>519.4</v>
      </c>
    </row>
    <row r="10078" spans="1:12" x14ac:dyDescent="0.25">
      <c r="A10078" t="str">
        <f t="shared" si="2179"/>
        <v>89301000</v>
      </c>
      <c r="B10078" t="str">
        <f t="shared" si="2180"/>
        <v>89383000</v>
      </c>
      <c r="C10078" t="str">
        <f t="shared" si="2181"/>
        <v>89383002</v>
      </c>
      <c r="D10078" t="str">
        <f t="shared" si="2182"/>
        <v>809</v>
      </c>
      <c r="E10078" t="str">
        <f>"89301045"</f>
        <v>89301045</v>
      </c>
      <c r="F10078" t="str">
        <f>"5661041232"</f>
        <v>5661041232</v>
      </c>
      <c r="G10078" s="1">
        <v>44855</v>
      </c>
      <c r="H10078" t="str">
        <f>"89514"</f>
        <v>89514</v>
      </c>
      <c r="I10078">
        <v>1</v>
      </c>
      <c r="J10078">
        <v>371</v>
      </c>
      <c r="K10078">
        <v>0</v>
      </c>
      <c r="L10078">
        <v>519.4</v>
      </c>
    </row>
    <row r="10079" spans="1:12" x14ac:dyDescent="0.25">
      <c r="A10079" t="str">
        <f t="shared" si="2179"/>
        <v>89301000</v>
      </c>
      <c r="B10079" t="str">
        <f t="shared" si="2180"/>
        <v>89383000</v>
      </c>
      <c r="C10079" t="str">
        <f t="shared" si="2181"/>
        <v>89383002</v>
      </c>
      <c r="D10079" t="str">
        <f t="shared" si="2182"/>
        <v>809</v>
      </c>
      <c r="E10079" t="str">
        <f>"89301212"</f>
        <v>89301212</v>
      </c>
      <c r="F10079" t="str">
        <f>"466231448"</f>
        <v>466231448</v>
      </c>
      <c r="G10079" s="1">
        <v>44855</v>
      </c>
      <c r="H10079" t="str">
        <f>"89514"</f>
        <v>89514</v>
      </c>
      <c r="I10079">
        <v>1</v>
      </c>
      <c r="J10079">
        <v>371</v>
      </c>
      <c r="K10079">
        <v>0</v>
      </c>
      <c r="L10079">
        <v>519.4</v>
      </c>
    </row>
    <row r="10080" spans="1:12" x14ac:dyDescent="0.25">
      <c r="A10080" t="str">
        <f t="shared" si="2179"/>
        <v>89301000</v>
      </c>
      <c r="B10080" t="str">
        <f t="shared" si="2180"/>
        <v>89383000</v>
      </c>
      <c r="C10080" t="str">
        <f t="shared" si="2181"/>
        <v>89383002</v>
      </c>
      <c r="D10080" t="str">
        <f t="shared" si="2182"/>
        <v>809</v>
      </c>
      <c r="E10080" t="str">
        <f>"89301212"</f>
        <v>89301212</v>
      </c>
      <c r="F10080" t="str">
        <f>"466231448"</f>
        <v>466231448</v>
      </c>
      <c r="G10080" s="1">
        <v>44855</v>
      </c>
      <c r="H10080" t="str">
        <f>"89513"</f>
        <v>89513</v>
      </c>
      <c r="I10080">
        <v>1</v>
      </c>
      <c r="J10080">
        <v>371</v>
      </c>
      <c r="K10080">
        <v>0</v>
      </c>
      <c r="L10080">
        <v>519.4</v>
      </c>
    </row>
    <row r="10081" spans="1:12" x14ac:dyDescent="0.25">
      <c r="A10081" t="str">
        <f t="shared" si="2179"/>
        <v>89301000</v>
      </c>
      <c r="B10081" t="str">
        <f t="shared" si="2180"/>
        <v>89383000</v>
      </c>
      <c r="C10081" t="str">
        <f t="shared" si="2181"/>
        <v>89383002</v>
      </c>
      <c r="D10081" t="str">
        <f t="shared" si="2182"/>
        <v>809</v>
      </c>
      <c r="E10081" t="str">
        <f>"89301212"</f>
        <v>89301212</v>
      </c>
      <c r="F10081" t="str">
        <f>"6553290964"</f>
        <v>6553290964</v>
      </c>
      <c r="G10081" s="1">
        <v>44859</v>
      </c>
      <c r="H10081" t="str">
        <f>"89513"</f>
        <v>89513</v>
      </c>
      <c r="I10081">
        <v>1</v>
      </c>
      <c r="J10081">
        <v>371</v>
      </c>
      <c r="K10081">
        <v>0</v>
      </c>
      <c r="L10081">
        <v>519.4</v>
      </c>
    </row>
    <row r="10082" spans="1:12" x14ac:dyDescent="0.25">
      <c r="A10082" t="str">
        <f t="shared" si="2179"/>
        <v>89301000</v>
      </c>
      <c r="B10082" t="str">
        <f t="shared" si="2180"/>
        <v>89383000</v>
      </c>
      <c r="C10082" t="str">
        <f t="shared" si="2181"/>
        <v>89383002</v>
      </c>
      <c r="D10082" t="str">
        <f t="shared" si="2182"/>
        <v>809</v>
      </c>
      <c r="E10082" t="str">
        <f>"89301212"</f>
        <v>89301212</v>
      </c>
      <c r="F10082" t="str">
        <f>"6553290964"</f>
        <v>6553290964</v>
      </c>
      <c r="G10082" s="1">
        <v>44859</v>
      </c>
      <c r="H10082" t="str">
        <f>"89514"</f>
        <v>89514</v>
      </c>
      <c r="I10082">
        <v>1</v>
      </c>
      <c r="J10082">
        <v>371</v>
      </c>
      <c r="K10082">
        <v>0</v>
      </c>
      <c r="L10082">
        <v>519.4</v>
      </c>
    </row>
    <row r="10083" spans="1:12" x14ac:dyDescent="0.25">
      <c r="A10083" t="str">
        <f t="shared" si="2179"/>
        <v>89301000</v>
      </c>
      <c r="B10083" t="str">
        <f t="shared" si="2180"/>
        <v>89383000</v>
      </c>
      <c r="C10083" t="str">
        <f t="shared" si="2181"/>
        <v>89383002</v>
      </c>
      <c r="D10083" t="str">
        <f t="shared" si="2182"/>
        <v>809</v>
      </c>
      <c r="E10083" t="str">
        <f>"89301212"</f>
        <v>89301212</v>
      </c>
      <c r="F10083" t="str">
        <f>"6857250807"</f>
        <v>6857250807</v>
      </c>
      <c r="G10083" s="1">
        <v>44859</v>
      </c>
      <c r="H10083" t="str">
        <f>"89813"</f>
        <v>89813</v>
      </c>
      <c r="I10083">
        <v>1</v>
      </c>
      <c r="J10083">
        <v>130</v>
      </c>
      <c r="K10083">
        <v>0</v>
      </c>
      <c r="L10083">
        <v>182</v>
      </c>
    </row>
    <row r="10084" spans="1:12" x14ac:dyDescent="0.25">
      <c r="A10084" t="str">
        <f t="shared" si="2179"/>
        <v>89301000</v>
      </c>
      <c r="B10084" t="str">
        <f t="shared" si="2180"/>
        <v>89383000</v>
      </c>
      <c r="C10084" t="str">
        <f t="shared" si="2181"/>
        <v>89383002</v>
      </c>
      <c r="D10084" t="str">
        <f t="shared" si="2182"/>
        <v>809</v>
      </c>
      <c r="E10084" t="str">
        <f>"89301042"</f>
        <v>89301042</v>
      </c>
      <c r="F10084" t="str">
        <f>"406127437"</f>
        <v>406127437</v>
      </c>
      <c r="G10084" s="1">
        <v>44859</v>
      </c>
      <c r="H10084" t="str">
        <f>"89180"</f>
        <v>89180</v>
      </c>
      <c r="I10084">
        <v>1</v>
      </c>
      <c r="J10084">
        <v>376</v>
      </c>
      <c r="K10084">
        <v>0</v>
      </c>
      <c r="L10084">
        <v>526.4</v>
      </c>
    </row>
    <row r="10085" spans="1:12" x14ac:dyDescent="0.25">
      <c r="A10085" t="str">
        <f t="shared" si="2179"/>
        <v>89301000</v>
      </c>
      <c r="B10085" t="str">
        <f t="shared" si="2180"/>
        <v>89383000</v>
      </c>
      <c r="C10085" t="str">
        <f t="shared" si="2181"/>
        <v>89383002</v>
      </c>
      <c r="D10085" t="str">
        <f t="shared" si="2182"/>
        <v>809</v>
      </c>
      <c r="E10085" t="str">
        <f>"89301042"</f>
        <v>89301042</v>
      </c>
      <c r="F10085" t="str">
        <f>"406127437"</f>
        <v>406127437</v>
      </c>
      <c r="G10085" s="1">
        <v>44859</v>
      </c>
      <c r="H10085" t="str">
        <f>"89512"</f>
        <v>89512</v>
      </c>
      <c r="I10085">
        <v>1</v>
      </c>
      <c r="J10085">
        <v>277</v>
      </c>
      <c r="K10085">
        <v>0</v>
      </c>
      <c r="L10085">
        <v>387.8</v>
      </c>
    </row>
    <row r="10086" spans="1:12" x14ac:dyDescent="0.25">
      <c r="A10086" t="str">
        <f t="shared" si="2179"/>
        <v>89301000</v>
      </c>
      <c r="B10086" t="str">
        <f t="shared" si="2180"/>
        <v>89383000</v>
      </c>
      <c r="C10086" t="str">
        <f t="shared" si="2181"/>
        <v>89383002</v>
      </c>
      <c r="D10086" t="str">
        <f t="shared" si="2182"/>
        <v>809</v>
      </c>
      <c r="E10086" t="str">
        <f t="shared" ref="E10086:E10112" si="2186">"89301212"</f>
        <v>89301212</v>
      </c>
      <c r="F10086" t="str">
        <f>"7358145344"</f>
        <v>7358145344</v>
      </c>
      <c r="G10086" s="1">
        <v>44859</v>
      </c>
      <c r="H10086" t="str">
        <f>"89512"</f>
        <v>89512</v>
      </c>
      <c r="I10086">
        <v>1</v>
      </c>
      <c r="J10086">
        <v>277</v>
      </c>
      <c r="K10086">
        <v>0</v>
      </c>
      <c r="L10086">
        <v>387.8</v>
      </c>
    </row>
    <row r="10087" spans="1:12" x14ac:dyDescent="0.25">
      <c r="A10087" t="str">
        <f t="shared" si="2179"/>
        <v>89301000</v>
      </c>
      <c r="B10087" t="str">
        <f t="shared" si="2180"/>
        <v>89383000</v>
      </c>
      <c r="C10087" t="str">
        <f t="shared" si="2181"/>
        <v>89383002</v>
      </c>
      <c r="D10087" t="str">
        <f t="shared" si="2182"/>
        <v>809</v>
      </c>
      <c r="E10087" t="str">
        <f t="shared" si="2186"/>
        <v>89301212</v>
      </c>
      <c r="F10087" t="str">
        <f>"5755040610"</f>
        <v>5755040610</v>
      </c>
      <c r="G10087" s="1">
        <v>44861</v>
      </c>
      <c r="H10087" t="str">
        <f>"89513"</f>
        <v>89513</v>
      </c>
      <c r="I10087">
        <v>1</v>
      </c>
      <c r="J10087">
        <v>371</v>
      </c>
      <c r="K10087">
        <v>0</v>
      </c>
      <c r="L10087">
        <v>519.4</v>
      </c>
    </row>
    <row r="10088" spans="1:12" x14ac:dyDescent="0.25">
      <c r="A10088" t="str">
        <f t="shared" si="2179"/>
        <v>89301000</v>
      </c>
      <c r="B10088" t="str">
        <f t="shared" ref="B10088:B10119" si="2187">"89383000"</f>
        <v>89383000</v>
      </c>
      <c r="C10088" t="str">
        <f t="shared" ref="C10088:C10119" si="2188">"89383002"</f>
        <v>89383002</v>
      </c>
      <c r="D10088" t="str">
        <f t="shared" ref="D10088:D10119" si="2189">"809"</f>
        <v>809</v>
      </c>
      <c r="E10088" t="str">
        <f t="shared" si="2186"/>
        <v>89301212</v>
      </c>
      <c r="F10088" t="str">
        <f>"5755040610"</f>
        <v>5755040610</v>
      </c>
      <c r="G10088" s="1">
        <v>44861</v>
      </c>
      <c r="H10088" t="str">
        <f>"89514"</f>
        <v>89514</v>
      </c>
      <c r="I10088">
        <v>1</v>
      </c>
      <c r="J10088">
        <v>371</v>
      </c>
      <c r="K10088">
        <v>0</v>
      </c>
      <c r="L10088">
        <v>519.4</v>
      </c>
    </row>
    <row r="10089" spans="1:12" x14ac:dyDescent="0.25">
      <c r="A10089" t="str">
        <f t="shared" si="2179"/>
        <v>89301000</v>
      </c>
      <c r="B10089" t="str">
        <f t="shared" si="2187"/>
        <v>89383000</v>
      </c>
      <c r="C10089" t="str">
        <f t="shared" si="2188"/>
        <v>89383002</v>
      </c>
      <c r="D10089" t="str">
        <f t="shared" si="2189"/>
        <v>809</v>
      </c>
      <c r="E10089" t="str">
        <f t="shared" si="2186"/>
        <v>89301212</v>
      </c>
      <c r="F10089" t="str">
        <f>"446213405"</f>
        <v>446213405</v>
      </c>
      <c r="G10089" s="1">
        <v>44861</v>
      </c>
      <c r="H10089" t="str">
        <f>"89513"</f>
        <v>89513</v>
      </c>
      <c r="I10089">
        <v>1</v>
      </c>
      <c r="J10089">
        <v>371</v>
      </c>
      <c r="K10089">
        <v>0</v>
      </c>
      <c r="L10089">
        <v>519.4</v>
      </c>
    </row>
    <row r="10090" spans="1:12" x14ac:dyDescent="0.25">
      <c r="A10090" t="str">
        <f t="shared" si="2179"/>
        <v>89301000</v>
      </c>
      <c r="B10090" t="str">
        <f t="shared" si="2187"/>
        <v>89383000</v>
      </c>
      <c r="C10090" t="str">
        <f t="shared" si="2188"/>
        <v>89383002</v>
      </c>
      <c r="D10090" t="str">
        <f t="shared" si="2189"/>
        <v>809</v>
      </c>
      <c r="E10090" t="str">
        <f t="shared" si="2186"/>
        <v>89301212</v>
      </c>
      <c r="F10090" t="str">
        <f>"446213405"</f>
        <v>446213405</v>
      </c>
      <c r="G10090" s="1">
        <v>44861</v>
      </c>
      <c r="H10090" t="str">
        <f>"89514"</f>
        <v>89514</v>
      </c>
      <c r="I10090">
        <v>1</v>
      </c>
      <c r="J10090">
        <v>371</v>
      </c>
      <c r="K10090">
        <v>0</v>
      </c>
      <c r="L10090">
        <v>519.4</v>
      </c>
    </row>
    <row r="10091" spans="1:12" x14ac:dyDescent="0.25">
      <c r="A10091" t="str">
        <f t="shared" si="2179"/>
        <v>89301000</v>
      </c>
      <c r="B10091" t="str">
        <f t="shared" si="2187"/>
        <v>89383000</v>
      </c>
      <c r="C10091" t="str">
        <f t="shared" si="2188"/>
        <v>89383002</v>
      </c>
      <c r="D10091" t="str">
        <f t="shared" si="2189"/>
        <v>809</v>
      </c>
      <c r="E10091" t="str">
        <f t="shared" si="2186"/>
        <v>89301212</v>
      </c>
      <c r="F10091" t="str">
        <f>"446213405"</f>
        <v>446213405</v>
      </c>
      <c r="G10091" s="1">
        <v>44865</v>
      </c>
      <c r="H10091" t="str">
        <f>"89813"</f>
        <v>89813</v>
      </c>
      <c r="I10091">
        <v>1</v>
      </c>
      <c r="J10091">
        <v>130</v>
      </c>
      <c r="K10091">
        <v>0</v>
      </c>
      <c r="L10091">
        <v>182</v>
      </c>
    </row>
    <row r="10092" spans="1:12" x14ac:dyDescent="0.25">
      <c r="A10092" t="str">
        <f t="shared" si="2179"/>
        <v>89301000</v>
      </c>
      <c r="B10092" t="str">
        <f t="shared" si="2187"/>
        <v>89383000</v>
      </c>
      <c r="C10092" t="str">
        <f t="shared" si="2188"/>
        <v>89383002</v>
      </c>
      <c r="D10092" t="str">
        <f t="shared" si="2189"/>
        <v>809</v>
      </c>
      <c r="E10092" t="str">
        <f t="shared" si="2186"/>
        <v>89301212</v>
      </c>
      <c r="F10092" t="str">
        <f>"485118401"</f>
        <v>485118401</v>
      </c>
      <c r="G10092" s="1">
        <v>44861</v>
      </c>
      <c r="H10092" t="str">
        <f>"89513"</f>
        <v>89513</v>
      </c>
      <c r="I10092">
        <v>1</v>
      </c>
      <c r="J10092">
        <v>371</v>
      </c>
      <c r="K10092">
        <v>0</v>
      </c>
      <c r="L10092">
        <v>519.4</v>
      </c>
    </row>
    <row r="10093" spans="1:12" x14ac:dyDescent="0.25">
      <c r="A10093" t="str">
        <f t="shared" si="2179"/>
        <v>89301000</v>
      </c>
      <c r="B10093" t="str">
        <f t="shared" si="2187"/>
        <v>89383000</v>
      </c>
      <c r="C10093" t="str">
        <f t="shared" si="2188"/>
        <v>89383002</v>
      </c>
      <c r="D10093" t="str">
        <f t="shared" si="2189"/>
        <v>809</v>
      </c>
      <c r="E10093" t="str">
        <f t="shared" si="2186"/>
        <v>89301212</v>
      </c>
      <c r="F10093" t="str">
        <f>"485118401"</f>
        <v>485118401</v>
      </c>
      <c r="G10093" s="1">
        <v>44861</v>
      </c>
      <c r="H10093" t="str">
        <f>"89514"</f>
        <v>89514</v>
      </c>
      <c r="I10093">
        <v>1</v>
      </c>
      <c r="J10093">
        <v>371</v>
      </c>
      <c r="K10093">
        <v>0</v>
      </c>
      <c r="L10093">
        <v>519.4</v>
      </c>
    </row>
    <row r="10094" spans="1:12" x14ac:dyDescent="0.25">
      <c r="A10094" t="str">
        <f t="shared" si="2179"/>
        <v>89301000</v>
      </c>
      <c r="B10094" t="str">
        <f t="shared" si="2187"/>
        <v>89383000</v>
      </c>
      <c r="C10094" t="str">
        <f t="shared" si="2188"/>
        <v>89383002</v>
      </c>
      <c r="D10094" t="str">
        <f t="shared" si="2189"/>
        <v>809</v>
      </c>
      <c r="E10094" t="str">
        <f t="shared" si="2186"/>
        <v>89301212</v>
      </c>
      <c r="F10094" t="str">
        <f>"485118401"</f>
        <v>485118401</v>
      </c>
      <c r="G10094" s="1">
        <v>44865</v>
      </c>
      <c r="H10094" t="str">
        <f>"89813"</f>
        <v>89813</v>
      </c>
      <c r="I10094">
        <v>1</v>
      </c>
      <c r="J10094">
        <v>130</v>
      </c>
      <c r="K10094">
        <v>0</v>
      </c>
      <c r="L10094">
        <v>182</v>
      </c>
    </row>
    <row r="10095" spans="1:12" x14ac:dyDescent="0.25">
      <c r="A10095" t="str">
        <f t="shared" si="2179"/>
        <v>89301000</v>
      </c>
      <c r="B10095" t="str">
        <f t="shared" si="2187"/>
        <v>89383000</v>
      </c>
      <c r="C10095" t="str">
        <f t="shared" si="2188"/>
        <v>89383002</v>
      </c>
      <c r="D10095" t="str">
        <f t="shared" si="2189"/>
        <v>809</v>
      </c>
      <c r="E10095" t="str">
        <f t="shared" si="2186"/>
        <v>89301212</v>
      </c>
      <c r="F10095" t="str">
        <f>"6860140672"</f>
        <v>6860140672</v>
      </c>
      <c r="G10095" s="1">
        <v>44861</v>
      </c>
      <c r="H10095" t="str">
        <f>"89513"</f>
        <v>89513</v>
      </c>
      <c r="I10095">
        <v>1</v>
      </c>
      <c r="J10095">
        <v>371</v>
      </c>
      <c r="K10095">
        <v>0</v>
      </c>
      <c r="L10095">
        <v>519.4</v>
      </c>
    </row>
    <row r="10096" spans="1:12" x14ac:dyDescent="0.25">
      <c r="A10096" t="str">
        <f t="shared" si="2179"/>
        <v>89301000</v>
      </c>
      <c r="B10096" t="str">
        <f t="shared" si="2187"/>
        <v>89383000</v>
      </c>
      <c r="C10096" t="str">
        <f t="shared" si="2188"/>
        <v>89383002</v>
      </c>
      <c r="D10096" t="str">
        <f t="shared" si="2189"/>
        <v>809</v>
      </c>
      <c r="E10096" t="str">
        <f t="shared" si="2186"/>
        <v>89301212</v>
      </c>
      <c r="F10096" t="str">
        <f>"6860140672"</f>
        <v>6860140672</v>
      </c>
      <c r="G10096" s="1">
        <v>44861</v>
      </c>
      <c r="H10096" t="str">
        <f>"89514"</f>
        <v>89514</v>
      </c>
      <c r="I10096">
        <v>1</v>
      </c>
      <c r="J10096">
        <v>371</v>
      </c>
      <c r="K10096">
        <v>0</v>
      </c>
      <c r="L10096">
        <v>519.4</v>
      </c>
    </row>
    <row r="10097" spans="1:12" x14ac:dyDescent="0.25">
      <c r="A10097" t="str">
        <f t="shared" si="2179"/>
        <v>89301000</v>
      </c>
      <c r="B10097" t="str">
        <f t="shared" si="2187"/>
        <v>89383000</v>
      </c>
      <c r="C10097" t="str">
        <f t="shared" si="2188"/>
        <v>89383002</v>
      </c>
      <c r="D10097" t="str">
        <f t="shared" si="2189"/>
        <v>809</v>
      </c>
      <c r="E10097" t="str">
        <f t="shared" si="2186"/>
        <v>89301212</v>
      </c>
      <c r="F10097" t="str">
        <f>"395609437"</f>
        <v>395609437</v>
      </c>
      <c r="G10097" s="1">
        <v>44861</v>
      </c>
      <c r="H10097" t="str">
        <f>"89180"</f>
        <v>89180</v>
      </c>
      <c r="I10097">
        <v>2</v>
      </c>
      <c r="J10097">
        <v>752</v>
      </c>
      <c r="K10097">
        <v>0</v>
      </c>
      <c r="L10097">
        <v>1052.8</v>
      </c>
    </row>
    <row r="10098" spans="1:12" x14ac:dyDescent="0.25">
      <c r="A10098" t="str">
        <f t="shared" si="2179"/>
        <v>89301000</v>
      </c>
      <c r="B10098" t="str">
        <f t="shared" si="2187"/>
        <v>89383000</v>
      </c>
      <c r="C10098" t="str">
        <f t="shared" si="2188"/>
        <v>89383002</v>
      </c>
      <c r="D10098" t="str">
        <f t="shared" si="2189"/>
        <v>809</v>
      </c>
      <c r="E10098" t="str">
        <f t="shared" si="2186"/>
        <v>89301212</v>
      </c>
      <c r="F10098" t="str">
        <f>"395609437"</f>
        <v>395609437</v>
      </c>
      <c r="G10098" s="1">
        <v>44861</v>
      </c>
      <c r="H10098" t="str">
        <f>"89512"</f>
        <v>89512</v>
      </c>
      <c r="I10098">
        <v>1</v>
      </c>
      <c r="J10098">
        <v>277</v>
      </c>
      <c r="K10098">
        <v>0</v>
      </c>
      <c r="L10098">
        <v>387.8</v>
      </c>
    </row>
    <row r="10099" spans="1:12" x14ac:dyDescent="0.25">
      <c r="A10099" t="str">
        <f t="shared" si="2179"/>
        <v>89301000</v>
      </c>
      <c r="B10099" t="str">
        <f t="shared" si="2187"/>
        <v>89383000</v>
      </c>
      <c r="C10099" t="str">
        <f t="shared" si="2188"/>
        <v>89383002</v>
      </c>
      <c r="D10099" t="str">
        <f t="shared" si="2189"/>
        <v>809</v>
      </c>
      <c r="E10099" t="str">
        <f t="shared" si="2186"/>
        <v>89301212</v>
      </c>
      <c r="F10099" t="str">
        <f>"395609437"</f>
        <v>395609437</v>
      </c>
      <c r="G10099" s="1">
        <v>44861</v>
      </c>
      <c r="H10099" t="str">
        <f>"89513"</f>
        <v>89513</v>
      </c>
      <c r="I10099">
        <v>1</v>
      </c>
      <c r="J10099">
        <v>371</v>
      </c>
      <c r="K10099">
        <v>0</v>
      </c>
      <c r="L10099">
        <v>519.4</v>
      </c>
    </row>
    <row r="10100" spans="1:12" x14ac:dyDescent="0.25">
      <c r="A10100" t="str">
        <f t="shared" si="2179"/>
        <v>89301000</v>
      </c>
      <c r="B10100" t="str">
        <f t="shared" si="2187"/>
        <v>89383000</v>
      </c>
      <c r="C10100" t="str">
        <f t="shared" si="2188"/>
        <v>89383002</v>
      </c>
      <c r="D10100" t="str">
        <f t="shared" si="2189"/>
        <v>809</v>
      </c>
      <c r="E10100" t="str">
        <f t="shared" si="2186"/>
        <v>89301212</v>
      </c>
      <c r="F10100" t="str">
        <f>"395609437"</f>
        <v>395609437</v>
      </c>
      <c r="G10100" s="1">
        <v>44861</v>
      </c>
      <c r="H10100" t="str">
        <f>"89514"</f>
        <v>89514</v>
      </c>
      <c r="I10100">
        <v>1</v>
      </c>
      <c r="J10100">
        <v>371</v>
      </c>
      <c r="K10100">
        <v>0</v>
      </c>
      <c r="L10100">
        <v>519.4</v>
      </c>
    </row>
    <row r="10101" spans="1:12" x14ac:dyDescent="0.25">
      <c r="A10101" t="str">
        <f t="shared" si="2179"/>
        <v>89301000</v>
      </c>
      <c r="B10101" t="str">
        <f t="shared" si="2187"/>
        <v>89383000</v>
      </c>
      <c r="C10101" t="str">
        <f t="shared" si="2188"/>
        <v>89383002</v>
      </c>
      <c r="D10101" t="str">
        <f t="shared" si="2189"/>
        <v>809</v>
      </c>
      <c r="E10101" t="str">
        <f t="shared" si="2186"/>
        <v>89301212</v>
      </c>
      <c r="F10101" t="str">
        <f t="shared" ref="F10101:F10106" si="2190">"7856075381"</f>
        <v>7856075381</v>
      </c>
      <c r="G10101" s="1">
        <v>44860</v>
      </c>
      <c r="H10101" t="str">
        <f>"89313"</f>
        <v>89313</v>
      </c>
      <c r="I10101">
        <v>1</v>
      </c>
      <c r="J10101">
        <v>406</v>
      </c>
      <c r="K10101">
        <v>0</v>
      </c>
      <c r="L10101">
        <v>568.4</v>
      </c>
    </row>
    <row r="10102" spans="1:12" x14ac:dyDescent="0.25">
      <c r="A10102" t="str">
        <f t="shared" si="2179"/>
        <v>89301000</v>
      </c>
      <c r="B10102" t="str">
        <f t="shared" si="2187"/>
        <v>89383000</v>
      </c>
      <c r="C10102" t="str">
        <f t="shared" si="2188"/>
        <v>89383002</v>
      </c>
      <c r="D10102" t="str">
        <f t="shared" si="2189"/>
        <v>809</v>
      </c>
      <c r="E10102" t="str">
        <f t="shared" si="2186"/>
        <v>89301212</v>
      </c>
      <c r="F10102" t="str">
        <f t="shared" si="2190"/>
        <v>7856075381</v>
      </c>
      <c r="G10102" s="1">
        <v>44860</v>
      </c>
      <c r="H10102" t="str">
        <f>"09233"</f>
        <v>09233</v>
      </c>
      <c r="I10102">
        <v>1</v>
      </c>
      <c r="J10102">
        <v>99</v>
      </c>
      <c r="K10102">
        <v>0</v>
      </c>
      <c r="L10102">
        <v>138.6</v>
      </c>
    </row>
    <row r="10103" spans="1:12" x14ac:dyDescent="0.25">
      <c r="A10103" t="str">
        <f t="shared" si="2179"/>
        <v>89301000</v>
      </c>
      <c r="B10103" t="str">
        <f t="shared" si="2187"/>
        <v>89383000</v>
      </c>
      <c r="C10103" t="str">
        <f t="shared" si="2188"/>
        <v>89383002</v>
      </c>
      <c r="D10103" t="str">
        <f t="shared" si="2189"/>
        <v>809</v>
      </c>
      <c r="E10103" t="str">
        <f t="shared" si="2186"/>
        <v>89301212</v>
      </c>
      <c r="F10103" t="str">
        <f t="shared" si="2190"/>
        <v>7856075381</v>
      </c>
      <c r="G10103" s="1">
        <v>44860</v>
      </c>
      <c r="H10103" t="str">
        <f>"89512"</f>
        <v>89512</v>
      </c>
      <c r="I10103">
        <v>1</v>
      </c>
      <c r="J10103">
        <v>277</v>
      </c>
      <c r="K10103">
        <v>0</v>
      </c>
      <c r="L10103">
        <v>387.8</v>
      </c>
    </row>
    <row r="10104" spans="1:12" x14ac:dyDescent="0.25">
      <c r="A10104" t="str">
        <f t="shared" si="2179"/>
        <v>89301000</v>
      </c>
      <c r="B10104" t="str">
        <f t="shared" si="2187"/>
        <v>89383000</v>
      </c>
      <c r="C10104" t="str">
        <f t="shared" si="2188"/>
        <v>89383002</v>
      </c>
      <c r="D10104" t="str">
        <f t="shared" si="2189"/>
        <v>809</v>
      </c>
      <c r="E10104" t="str">
        <f t="shared" si="2186"/>
        <v>89301212</v>
      </c>
      <c r="F10104" t="str">
        <f t="shared" si="2190"/>
        <v>7856075381</v>
      </c>
      <c r="G10104" s="1">
        <v>44860</v>
      </c>
      <c r="H10104" t="str">
        <f>"89180"</f>
        <v>89180</v>
      </c>
      <c r="I10104">
        <v>1</v>
      </c>
      <c r="J10104">
        <v>376</v>
      </c>
      <c r="K10104">
        <v>0</v>
      </c>
      <c r="L10104">
        <v>526.4</v>
      </c>
    </row>
    <row r="10105" spans="1:12" x14ac:dyDescent="0.25">
      <c r="A10105" t="str">
        <f t="shared" si="2179"/>
        <v>89301000</v>
      </c>
      <c r="B10105" t="str">
        <f t="shared" si="2187"/>
        <v>89383000</v>
      </c>
      <c r="C10105" t="str">
        <f t="shared" si="2188"/>
        <v>89383002</v>
      </c>
      <c r="D10105" t="str">
        <f t="shared" si="2189"/>
        <v>809</v>
      </c>
      <c r="E10105" t="str">
        <f t="shared" si="2186"/>
        <v>89301212</v>
      </c>
      <c r="F10105" t="str">
        <f t="shared" si="2190"/>
        <v>7856075381</v>
      </c>
      <c r="G10105" s="1">
        <v>44860</v>
      </c>
      <c r="H10105" t="str">
        <f>"0225891"</f>
        <v>0225891</v>
      </c>
      <c r="I10105">
        <v>4.0000000000000001E-3</v>
      </c>
      <c r="K10105">
        <v>1.47</v>
      </c>
      <c r="L10105">
        <v>1.47</v>
      </c>
    </row>
    <row r="10106" spans="1:12" x14ac:dyDescent="0.25">
      <c r="A10106" t="str">
        <f t="shared" si="2179"/>
        <v>89301000</v>
      </c>
      <c r="B10106" t="str">
        <f t="shared" si="2187"/>
        <v>89383000</v>
      </c>
      <c r="C10106" t="str">
        <f t="shared" si="2188"/>
        <v>89383002</v>
      </c>
      <c r="D10106" t="str">
        <f t="shared" si="2189"/>
        <v>809</v>
      </c>
      <c r="E10106" t="str">
        <f t="shared" si="2186"/>
        <v>89301212</v>
      </c>
      <c r="F10106" t="str">
        <f t="shared" si="2190"/>
        <v>7856075381</v>
      </c>
      <c r="G10106" s="1">
        <v>44860</v>
      </c>
      <c r="H10106" t="str">
        <f>"0082502"</f>
        <v>0082502</v>
      </c>
      <c r="I10106">
        <v>2</v>
      </c>
      <c r="K10106">
        <v>4186</v>
      </c>
      <c r="L10106">
        <v>4186</v>
      </c>
    </row>
    <row r="10107" spans="1:12" x14ac:dyDescent="0.25">
      <c r="A10107" t="str">
        <f t="shared" si="2179"/>
        <v>89301000</v>
      </c>
      <c r="B10107" t="str">
        <f t="shared" si="2187"/>
        <v>89383000</v>
      </c>
      <c r="C10107" t="str">
        <f t="shared" si="2188"/>
        <v>89383002</v>
      </c>
      <c r="D10107" t="str">
        <f t="shared" si="2189"/>
        <v>809</v>
      </c>
      <c r="E10107" t="str">
        <f t="shared" si="2186"/>
        <v>89301212</v>
      </c>
      <c r="F10107" t="str">
        <f t="shared" ref="F10107:F10112" si="2191">"7454275312"</f>
        <v>7454275312</v>
      </c>
      <c r="G10107" s="1">
        <v>44858</v>
      </c>
      <c r="H10107" t="str">
        <f>"89313"</f>
        <v>89313</v>
      </c>
      <c r="I10107">
        <v>1</v>
      </c>
      <c r="J10107">
        <v>406</v>
      </c>
      <c r="K10107">
        <v>0</v>
      </c>
      <c r="L10107">
        <v>568.4</v>
      </c>
    </row>
    <row r="10108" spans="1:12" x14ac:dyDescent="0.25">
      <c r="A10108" t="str">
        <f t="shared" si="2179"/>
        <v>89301000</v>
      </c>
      <c r="B10108" t="str">
        <f t="shared" si="2187"/>
        <v>89383000</v>
      </c>
      <c r="C10108" t="str">
        <f t="shared" si="2188"/>
        <v>89383002</v>
      </c>
      <c r="D10108" t="str">
        <f t="shared" si="2189"/>
        <v>809</v>
      </c>
      <c r="E10108" t="str">
        <f t="shared" si="2186"/>
        <v>89301212</v>
      </c>
      <c r="F10108" t="str">
        <f t="shared" si="2191"/>
        <v>7454275312</v>
      </c>
      <c r="G10108" s="1">
        <v>44858</v>
      </c>
      <c r="H10108" t="str">
        <f>"09233"</f>
        <v>09233</v>
      </c>
      <c r="I10108">
        <v>1</v>
      </c>
      <c r="J10108">
        <v>99</v>
      </c>
      <c r="K10108">
        <v>0</v>
      </c>
      <c r="L10108">
        <v>138.6</v>
      </c>
    </row>
    <row r="10109" spans="1:12" x14ac:dyDescent="0.25">
      <c r="A10109" t="str">
        <f t="shared" si="2179"/>
        <v>89301000</v>
      </c>
      <c r="B10109" t="str">
        <f t="shared" si="2187"/>
        <v>89383000</v>
      </c>
      <c r="C10109" t="str">
        <f t="shared" si="2188"/>
        <v>89383002</v>
      </c>
      <c r="D10109" t="str">
        <f t="shared" si="2189"/>
        <v>809</v>
      </c>
      <c r="E10109" t="str">
        <f t="shared" si="2186"/>
        <v>89301212</v>
      </c>
      <c r="F10109" t="str">
        <f t="shared" si="2191"/>
        <v>7454275312</v>
      </c>
      <c r="G10109" s="1">
        <v>44858</v>
      </c>
      <c r="H10109" t="str">
        <f>"89512"</f>
        <v>89512</v>
      </c>
      <c r="I10109">
        <v>1</v>
      </c>
      <c r="J10109">
        <v>277</v>
      </c>
      <c r="K10109">
        <v>0</v>
      </c>
      <c r="L10109">
        <v>387.8</v>
      </c>
    </row>
    <row r="10110" spans="1:12" x14ac:dyDescent="0.25">
      <c r="A10110" t="str">
        <f t="shared" si="2179"/>
        <v>89301000</v>
      </c>
      <c r="B10110" t="str">
        <f t="shared" si="2187"/>
        <v>89383000</v>
      </c>
      <c r="C10110" t="str">
        <f t="shared" si="2188"/>
        <v>89383002</v>
      </c>
      <c r="D10110" t="str">
        <f t="shared" si="2189"/>
        <v>809</v>
      </c>
      <c r="E10110" t="str">
        <f t="shared" si="2186"/>
        <v>89301212</v>
      </c>
      <c r="F10110" t="str">
        <f t="shared" si="2191"/>
        <v>7454275312</v>
      </c>
      <c r="G10110" s="1">
        <v>44858</v>
      </c>
      <c r="H10110" t="str">
        <f>"89180"</f>
        <v>89180</v>
      </c>
      <c r="I10110">
        <v>1</v>
      </c>
      <c r="J10110">
        <v>376</v>
      </c>
      <c r="K10110">
        <v>0</v>
      </c>
      <c r="L10110">
        <v>526.4</v>
      </c>
    </row>
    <row r="10111" spans="1:12" x14ac:dyDescent="0.25">
      <c r="A10111" t="str">
        <f t="shared" si="2179"/>
        <v>89301000</v>
      </c>
      <c r="B10111" t="str">
        <f t="shared" si="2187"/>
        <v>89383000</v>
      </c>
      <c r="C10111" t="str">
        <f t="shared" si="2188"/>
        <v>89383002</v>
      </c>
      <c r="D10111" t="str">
        <f t="shared" si="2189"/>
        <v>809</v>
      </c>
      <c r="E10111" t="str">
        <f t="shared" si="2186"/>
        <v>89301212</v>
      </c>
      <c r="F10111" t="str">
        <f t="shared" si="2191"/>
        <v>7454275312</v>
      </c>
      <c r="G10111" s="1">
        <v>44858</v>
      </c>
      <c r="H10111" t="str">
        <f>"0225891"</f>
        <v>0225891</v>
      </c>
      <c r="I10111">
        <v>0.02</v>
      </c>
      <c r="K10111">
        <v>7.35</v>
      </c>
      <c r="L10111">
        <v>7.35</v>
      </c>
    </row>
    <row r="10112" spans="1:12" x14ac:dyDescent="0.25">
      <c r="A10112" t="str">
        <f t="shared" si="2179"/>
        <v>89301000</v>
      </c>
      <c r="B10112" t="str">
        <f t="shared" si="2187"/>
        <v>89383000</v>
      </c>
      <c r="C10112" t="str">
        <f t="shared" si="2188"/>
        <v>89383002</v>
      </c>
      <c r="D10112" t="str">
        <f t="shared" si="2189"/>
        <v>809</v>
      </c>
      <c r="E10112" t="str">
        <f t="shared" si="2186"/>
        <v>89301212</v>
      </c>
      <c r="F10112" t="str">
        <f t="shared" si="2191"/>
        <v>7454275312</v>
      </c>
      <c r="G10112" s="1">
        <v>44858</v>
      </c>
      <c r="H10112" t="str">
        <f>"0082502"</f>
        <v>0082502</v>
      </c>
      <c r="I10112">
        <v>1</v>
      </c>
      <c r="K10112">
        <v>2093</v>
      </c>
      <c r="L10112">
        <v>2093</v>
      </c>
    </row>
    <row r="10113" spans="1:12" x14ac:dyDescent="0.25">
      <c r="A10113" t="str">
        <f t="shared" si="2179"/>
        <v>89301000</v>
      </c>
      <c r="B10113" t="str">
        <f t="shared" si="2187"/>
        <v>89383000</v>
      </c>
      <c r="C10113" t="str">
        <f t="shared" si="2188"/>
        <v>89383002</v>
      </c>
      <c r="D10113" t="str">
        <f t="shared" si="2189"/>
        <v>809</v>
      </c>
      <c r="E10113" t="str">
        <f t="shared" ref="E10113:E10118" si="2192">"89301045"</f>
        <v>89301045</v>
      </c>
      <c r="F10113" t="str">
        <f t="shared" ref="F10113:F10118" si="2193">"5751090103"</f>
        <v>5751090103</v>
      </c>
      <c r="G10113" s="1">
        <v>44860</v>
      </c>
      <c r="H10113" t="str">
        <f>"89512"</f>
        <v>89512</v>
      </c>
      <c r="I10113">
        <v>1</v>
      </c>
      <c r="J10113">
        <v>277</v>
      </c>
      <c r="K10113">
        <v>0</v>
      </c>
      <c r="L10113">
        <v>387.8</v>
      </c>
    </row>
    <row r="10114" spans="1:12" x14ac:dyDescent="0.25">
      <c r="A10114" t="str">
        <f t="shared" ref="A10114:A10177" si="2194">"89301000"</f>
        <v>89301000</v>
      </c>
      <c r="B10114" t="str">
        <f t="shared" si="2187"/>
        <v>89383000</v>
      </c>
      <c r="C10114" t="str">
        <f t="shared" si="2188"/>
        <v>89383002</v>
      </c>
      <c r="D10114" t="str">
        <f t="shared" si="2189"/>
        <v>809</v>
      </c>
      <c r="E10114" t="str">
        <f t="shared" si="2192"/>
        <v>89301045</v>
      </c>
      <c r="F10114" t="str">
        <f t="shared" si="2193"/>
        <v>5751090103</v>
      </c>
      <c r="G10114" s="1">
        <v>44860</v>
      </c>
      <c r="H10114" t="str">
        <f>"89313"</f>
        <v>89313</v>
      </c>
      <c r="I10114">
        <v>1</v>
      </c>
      <c r="J10114">
        <v>406</v>
      </c>
      <c r="K10114">
        <v>0</v>
      </c>
      <c r="L10114">
        <v>568.4</v>
      </c>
    </row>
    <row r="10115" spans="1:12" x14ac:dyDescent="0.25">
      <c r="A10115" t="str">
        <f t="shared" si="2194"/>
        <v>89301000</v>
      </c>
      <c r="B10115" t="str">
        <f t="shared" si="2187"/>
        <v>89383000</v>
      </c>
      <c r="C10115" t="str">
        <f t="shared" si="2188"/>
        <v>89383002</v>
      </c>
      <c r="D10115" t="str">
        <f t="shared" si="2189"/>
        <v>809</v>
      </c>
      <c r="E10115" t="str">
        <f t="shared" si="2192"/>
        <v>89301045</v>
      </c>
      <c r="F10115" t="str">
        <f t="shared" si="2193"/>
        <v>5751090103</v>
      </c>
      <c r="G10115" s="1">
        <v>44860</v>
      </c>
      <c r="H10115" t="str">
        <f>"09233"</f>
        <v>09233</v>
      </c>
      <c r="I10115">
        <v>1</v>
      </c>
      <c r="J10115">
        <v>99</v>
      </c>
      <c r="K10115">
        <v>0</v>
      </c>
      <c r="L10115">
        <v>138.6</v>
      </c>
    </row>
    <row r="10116" spans="1:12" x14ac:dyDescent="0.25">
      <c r="A10116" t="str">
        <f t="shared" si="2194"/>
        <v>89301000</v>
      </c>
      <c r="B10116" t="str">
        <f t="shared" si="2187"/>
        <v>89383000</v>
      </c>
      <c r="C10116" t="str">
        <f t="shared" si="2188"/>
        <v>89383002</v>
      </c>
      <c r="D10116" t="str">
        <f t="shared" si="2189"/>
        <v>809</v>
      </c>
      <c r="E10116" t="str">
        <f t="shared" si="2192"/>
        <v>89301045</v>
      </c>
      <c r="F10116" t="str">
        <f t="shared" si="2193"/>
        <v>5751090103</v>
      </c>
      <c r="G10116" s="1">
        <v>44860</v>
      </c>
      <c r="H10116" t="str">
        <f>"89180"</f>
        <v>89180</v>
      </c>
      <c r="I10116">
        <v>1</v>
      </c>
      <c r="J10116">
        <v>376</v>
      </c>
      <c r="K10116">
        <v>0</v>
      </c>
      <c r="L10116">
        <v>526.4</v>
      </c>
    </row>
    <row r="10117" spans="1:12" x14ac:dyDescent="0.25">
      <c r="A10117" t="str">
        <f t="shared" si="2194"/>
        <v>89301000</v>
      </c>
      <c r="B10117" t="str">
        <f t="shared" si="2187"/>
        <v>89383000</v>
      </c>
      <c r="C10117" t="str">
        <f t="shared" si="2188"/>
        <v>89383002</v>
      </c>
      <c r="D10117" t="str">
        <f t="shared" si="2189"/>
        <v>809</v>
      </c>
      <c r="E10117" t="str">
        <f t="shared" si="2192"/>
        <v>89301045</v>
      </c>
      <c r="F10117" t="str">
        <f t="shared" si="2193"/>
        <v>5751090103</v>
      </c>
      <c r="G10117" s="1">
        <v>44860</v>
      </c>
      <c r="H10117" t="str">
        <f>"0225891"</f>
        <v>0225891</v>
      </c>
      <c r="I10117">
        <v>2E-3</v>
      </c>
      <c r="K10117">
        <v>0.74</v>
      </c>
      <c r="L10117">
        <v>0.74</v>
      </c>
    </row>
    <row r="10118" spans="1:12" x14ac:dyDescent="0.25">
      <c r="A10118" t="str">
        <f t="shared" si="2194"/>
        <v>89301000</v>
      </c>
      <c r="B10118" t="str">
        <f t="shared" si="2187"/>
        <v>89383000</v>
      </c>
      <c r="C10118" t="str">
        <f t="shared" si="2188"/>
        <v>89383002</v>
      </c>
      <c r="D10118" t="str">
        <f t="shared" si="2189"/>
        <v>809</v>
      </c>
      <c r="E10118" t="str">
        <f t="shared" si="2192"/>
        <v>89301045</v>
      </c>
      <c r="F10118" t="str">
        <f t="shared" si="2193"/>
        <v>5751090103</v>
      </c>
      <c r="G10118" s="1">
        <v>44860</v>
      </c>
      <c r="H10118" t="str">
        <f>"0142906"</f>
        <v>0142906</v>
      </c>
      <c r="I10118">
        <v>1</v>
      </c>
      <c r="K10118">
        <v>6990</v>
      </c>
      <c r="L10118">
        <v>6990</v>
      </c>
    </row>
    <row r="10119" spans="1:12" x14ac:dyDescent="0.25">
      <c r="A10119" t="str">
        <f t="shared" si="2194"/>
        <v>89301000</v>
      </c>
      <c r="B10119" t="str">
        <f t="shared" si="2187"/>
        <v>89383000</v>
      </c>
      <c r="C10119" t="str">
        <f t="shared" si="2188"/>
        <v>89383002</v>
      </c>
      <c r="D10119" t="str">
        <f t="shared" si="2189"/>
        <v>809</v>
      </c>
      <c r="E10119" t="str">
        <f>"89301215"</f>
        <v>89301215</v>
      </c>
      <c r="F10119" t="str">
        <f>"7260055308"</f>
        <v>7260055308</v>
      </c>
      <c r="G10119" s="1">
        <v>44865</v>
      </c>
      <c r="H10119" t="str">
        <f>"89513"</f>
        <v>89513</v>
      </c>
      <c r="I10119">
        <v>1</v>
      </c>
      <c r="J10119">
        <v>371</v>
      </c>
      <c r="K10119">
        <v>0</v>
      </c>
      <c r="L10119">
        <v>519.4</v>
      </c>
    </row>
    <row r="10120" spans="1:12" x14ac:dyDescent="0.25">
      <c r="A10120" t="str">
        <f t="shared" si="2194"/>
        <v>89301000</v>
      </c>
      <c r="B10120" t="str">
        <f t="shared" ref="B10120:B10132" si="2195">"89383000"</f>
        <v>89383000</v>
      </c>
      <c r="C10120" t="str">
        <f t="shared" ref="C10120:C10132" si="2196">"89383002"</f>
        <v>89383002</v>
      </c>
      <c r="D10120" t="str">
        <f t="shared" ref="D10120:D10130" si="2197">"809"</f>
        <v>809</v>
      </c>
      <c r="E10120" t="str">
        <f>"89301215"</f>
        <v>89301215</v>
      </c>
      <c r="F10120" t="str">
        <f>"7260055308"</f>
        <v>7260055308</v>
      </c>
      <c r="G10120" s="1">
        <v>44865</v>
      </c>
      <c r="H10120" t="str">
        <f>"89514"</f>
        <v>89514</v>
      </c>
      <c r="I10120">
        <v>1</v>
      </c>
      <c r="J10120">
        <v>371</v>
      </c>
      <c r="K10120">
        <v>0</v>
      </c>
      <c r="L10120">
        <v>519.4</v>
      </c>
    </row>
    <row r="10121" spans="1:12" x14ac:dyDescent="0.25">
      <c r="A10121" t="str">
        <f t="shared" si="2194"/>
        <v>89301000</v>
      </c>
      <c r="B10121" t="str">
        <f t="shared" si="2195"/>
        <v>89383000</v>
      </c>
      <c r="C10121" t="str">
        <f t="shared" si="2196"/>
        <v>89383002</v>
      </c>
      <c r="D10121" t="str">
        <f t="shared" si="2197"/>
        <v>809</v>
      </c>
      <c r="E10121" t="str">
        <f t="shared" ref="E10121:E10134" si="2198">"89301212"</f>
        <v>89301212</v>
      </c>
      <c r="F10121" t="str">
        <f>"7551035305"</f>
        <v>7551035305</v>
      </c>
      <c r="G10121" s="1">
        <v>44865</v>
      </c>
      <c r="H10121" t="str">
        <f>"89512"</f>
        <v>89512</v>
      </c>
      <c r="I10121">
        <v>1</v>
      </c>
      <c r="J10121">
        <v>277</v>
      </c>
      <c r="K10121">
        <v>0</v>
      </c>
      <c r="L10121">
        <v>387.8</v>
      </c>
    </row>
    <row r="10122" spans="1:12" x14ac:dyDescent="0.25">
      <c r="A10122" t="str">
        <f t="shared" si="2194"/>
        <v>89301000</v>
      </c>
      <c r="B10122" t="str">
        <f t="shared" si="2195"/>
        <v>89383000</v>
      </c>
      <c r="C10122" t="str">
        <f t="shared" si="2196"/>
        <v>89383002</v>
      </c>
      <c r="D10122" t="str">
        <f t="shared" si="2197"/>
        <v>809</v>
      </c>
      <c r="E10122" t="str">
        <f t="shared" si="2198"/>
        <v>89301212</v>
      </c>
      <c r="F10122" t="str">
        <f>"7551035305"</f>
        <v>7551035305</v>
      </c>
      <c r="G10122" s="1">
        <v>44865</v>
      </c>
      <c r="H10122" t="str">
        <f>"89180"</f>
        <v>89180</v>
      </c>
      <c r="I10122">
        <v>1</v>
      </c>
      <c r="J10122">
        <v>376</v>
      </c>
      <c r="K10122">
        <v>0</v>
      </c>
      <c r="L10122">
        <v>526.4</v>
      </c>
    </row>
    <row r="10123" spans="1:12" x14ac:dyDescent="0.25">
      <c r="A10123" t="str">
        <f t="shared" si="2194"/>
        <v>89301000</v>
      </c>
      <c r="B10123" t="str">
        <f t="shared" si="2195"/>
        <v>89383000</v>
      </c>
      <c r="C10123" t="str">
        <f t="shared" si="2196"/>
        <v>89383002</v>
      </c>
      <c r="D10123" t="str">
        <f t="shared" si="2197"/>
        <v>809</v>
      </c>
      <c r="E10123" t="str">
        <f t="shared" si="2198"/>
        <v>89301212</v>
      </c>
      <c r="F10123" t="str">
        <f>"7551035305"</f>
        <v>7551035305</v>
      </c>
      <c r="G10123" s="1">
        <v>44865</v>
      </c>
      <c r="H10123" t="str">
        <f>"89513"</f>
        <v>89513</v>
      </c>
      <c r="I10123">
        <v>1</v>
      </c>
      <c r="J10123">
        <v>371</v>
      </c>
      <c r="K10123">
        <v>0</v>
      </c>
      <c r="L10123">
        <v>519.4</v>
      </c>
    </row>
    <row r="10124" spans="1:12" x14ac:dyDescent="0.25">
      <c r="A10124" t="str">
        <f t="shared" si="2194"/>
        <v>89301000</v>
      </c>
      <c r="B10124" t="str">
        <f t="shared" si="2195"/>
        <v>89383000</v>
      </c>
      <c r="C10124" t="str">
        <f t="shared" si="2196"/>
        <v>89383002</v>
      </c>
      <c r="D10124" t="str">
        <f t="shared" si="2197"/>
        <v>809</v>
      </c>
      <c r="E10124" t="str">
        <f t="shared" si="2198"/>
        <v>89301212</v>
      </c>
      <c r="F10124" t="str">
        <f>"7551035305"</f>
        <v>7551035305</v>
      </c>
      <c r="G10124" s="1">
        <v>44865</v>
      </c>
      <c r="H10124" t="str">
        <f>"89514"</f>
        <v>89514</v>
      </c>
      <c r="I10124">
        <v>1</v>
      </c>
      <c r="J10124">
        <v>371</v>
      </c>
      <c r="K10124">
        <v>0</v>
      </c>
      <c r="L10124">
        <v>519.4</v>
      </c>
    </row>
    <row r="10125" spans="1:12" x14ac:dyDescent="0.25">
      <c r="A10125" t="str">
        <f t="shared" si="2194"/>
        <v>89301000</v>
      </c>
      <c r="B10125" t="str">
        <f t="shared" si="2195"/>
        <v>89383000</v>
      </c>
      <c r="C10125" t="str">
        <f t="shared" si="2196"/>
        <v>89383002</v>
      </c>
      <c r="D10125" t="str">
        <f t="shared" si="2197"/>
        <v>809</v>
      </c>
      <c r="E10125" t="str">
        <f t="shared" si="2198"/>
        <v>89301212</v>
      </c>
      <c r="F10125" t="str">
        <f t="shared" ref="F10125:F10130" si="2199">"7952125346"</f>
        <v>7952125346</v>
      </c>
      <c r="G10125" s="1">
        <v>44854</v>
      </c>
      <c r="H10125" t="str">
        <f>"89313"</f>
        <v>89313</v>
      </c>
      <c r="I10125">
        <v>1</v>
      </c>
      <c r="J10125">
        <v>406</v>
      </c>
      <c r="K10125">
        <v>0</v>
      </c>
      <c r="L10125">
        <v>568.4</v>
      </c>
    </row>
    <row r="10126" spans="1:12" x14ac:dyDescent="0.25">
      <c r="A10126" t="str">
        <f t="shared" si="2194"/>
        <v>89301000</v>
      </c>
      <c r="B10126" t="str">
        <f t="shared" si="2195"/>
        <v>89383000</v>
      </c>
      <c r="C10126" t="str">
        <f t="shared" si="2196"/>
        <v>89383002</v>
      </c>
      <c r="D10126" t="str">
        <f t="shared" si="2197"/>
        <v>809</v>
      </c>
      <c r="E10126" t="str">
        <f t="shared" si="2198"/>
        <v>89301212</v>
      </c>
      <c r="F10126" t="str">
        <f t="shared" si="2199"/>
        <v>7952125346</v>
      </c>
      <c r="G10126" s="1">
        <v>44854</v>
      </c>
      <c r="H10126" t="str">
        <f>"09233"</f>
        <v>09233</v>
      </c>
      <c r="I10126">
        <v>1</v>
      </c>
      <c r="J10126">
        <v>99</v>
      </c>
      <c r="K10126">
        <v>0</v>
      </c>
      <c r="L10126">
        <v>138.6</v>
      </c>
    </row>
    <row r="10127" spans="1:12" x14ac:dyDescent="0.25">
      <c r="A10127" t="str">
        <f t="shared" si="2194"/>
        <v>89301000</v>
      </c>
      <c r="B10127" t="str">
        <f t="shared" si="2195"/>
        <v>89383000</v>
      </c>
      <c r="C10127" t="str">
        <f t="shared" si="2196"/>
        <v>89383002</v>
      </c>
      <c r="D10127" t="str">
        <f t="shared" si="2197"/>
        <v>809</v>
      </c>
      <c r="E10127" t="str">
        <f t="shared" si="2198"/>
        <v>89301212</v>
      </c>
      <c r="F10127" t="str">
        <f t="shared" si="2199"/>
        <v>7952125346</v>
      </c>
      <c r="G10127" s="1">
        <v>44854</v>
      </c>
      <c r="H10127" t="str">
        <f>"89515"</f>
        <v>89515</v>
      </c>
      <c r="I10127">
        <v>1</v>
      </c>
      <c r="J10127">
        <v>339</v>
      </c>
      <c r="K10127">
        <v>0</v>
      </c>
      <c r="L10127">
        <v>474.6</v>
      </c>
    </row>
    <row r="10128" spans="1:12" x14ac:dyDescent="0.25">
      <c r="A10128" t="str">
        <f t="shared" si="2194"/>
        <v>89301000</v>
      </c>
      <c r="B10128" t="str">
        <f t="shared" si="2195"/>
        <v>89383000</v>
      </c>
      <c r="C10128" t="str">
        <f t="shared" si="2196"/>
        <v>89383002</v>
      </c>
      <c r="D10128" t="str">
        <f t="shared" si="2197"/>
        <v>809</v>
      </c>
      <c r="E10128" t="str">
        <f t="shared" si="2198"/>
        <v>89301212</v>
      </c>
      <c r="F10128" t="str">
        <f t="shared" si="2199"/>
        <v>7952125346</v>
      </c>
      <c r="G10128" s="1">
        <v>44854</v>
      </c>
      <c r="H10128" t="str">
        <f>"89512"</f>
        <v>89512</v>
      </c>
      <c r="I10128">
        <v>1</v>
      </c>
      <c r="J10128">
        <v>277</v>
      </c>
      <c r="K10128">
        <v>0</v>
      </c>
      <c r="L10128">
        <v>387.8</v>
      </c>
    </row>
    <row r="10129" spans="1:12" x14ac:dyDescent="0.25">
      <c r="A10129" t="str">
        <f t="shared" si="2194"/>
        <v>89301000</v>
      </c>
      <c r="B10129" t="str">
        <f t="shared" si="2195"/>
        <v>89383000</v>
      </c>
      <c r="C10129" t="str">
        <f t="shared" si="2196"/>
        <v>89383002</v>
      </c>
      <c r="D10129" t="str">
        <f t="shared" si="2197"/>
        <v>809</v>
      </c>
      <c r="E10129" t="str">
        <f t="shared" si="2198"/>
        <v>89301212</v>
      </c>
      <c r="F10129" t="str">
        <f t="shared" si="2199"/>
        <v>7952125346</v>
      </c>
      <c r="G10129" s="1">
        <v>44854</v>
      </c>
      <c r="H10129" t="str">
        <f>"0225891"</f>
        <v>0225891</v>
      </c>
      <c r="I10129">
        <v>0.02</v>
      </c>
      <c r="K10129">
        <v>7.35</v>
      </c>
      <c r="L10129">
        <v>7.35</v>
      </c>
    </row>
    <row r="10130" spans="1:12" x14ac:dyDescent="0.25">
      <c r="A10130" t="str">
        <f t="shared" si="2194"/>
        <v>89301000</v>
      </c>
      <c r="B10130" t="str">
        <f t="shared" si="2195"/>
        <v>89383000</v>
      </c>
      <c r="C10130" t="str">
        <f t="shared" si="2196"/>
        <v>89383002</v>
      </c>
      <c r="D10130" t="str">
        <f t="shared" si="2197"/>
        <v>809</v>
      </c>
      <c r="E10130" t="str">
        <f t="shared" si="2198"/>
        <v>89301212</v>
      </c>
      <c r="F10130" t="str">
        <f t="shared" si="2199"/>
        <v>7952125346</v>
      </c>
      <c r="G10130" s="1">
        <v>44854</v>
      </c>
      <c r="H10130" t="str">
        <f>"0142908"</f>
        <v>0142908</v>
      </c>
      <c r="I10130">
        <v>1</v>
      </c>
      <c r="K10130">
        <v>910</v>
      </c>
      <c r="L10130">
        <v>910</v>
      </c>
    </row>
    <row r="10131" spans="1:12" x14ac:dyDescent="0.25">
      <c r="A10131" t="str">
        <f t="shared" si="2194"/>
        <v>89301000</v>
      </c>
      <c r="B10131" t="str">
        <f t="shared" si="2195"/>
        <v>89383000</v>
      </c>
      <c r="C10131" t="str">
        <f t="shared" si="2196"/>
        <v>89383002</v>
      </c>
      <c r="D10131" t="str">
        <f>"806"</f>
        <v>806</v>
      </c>
      <c r="E10131" t="str">
        <f t="shared" si="2198"/>
        <v>89301212</v>
      </c>
      <c r="F10131" t="str">
        <f>"7658055328"</f>
        <v>7658055328</v>
      </c>
      <c r="G10131" s="1">
        <v>44851</v>
      </c>
      <c r="H10131" t="str">
        <f>"89513"</f>
        <v>89513</v>
      </c>
      <c r="I10131">
        <v>1</v>
      </c>
      <c r="J10131">
        <v>371</v>
      </c>
      <c r="K10131">
        <v>0</v>
      </c>
      <c r="L10131">
        <v>441.49</v>
      </c>
    </row>
    <row r="10132" spans="1:12" x14ac:dyDescent="0.25">
      <c r="A10132" t="str">
        <f t="shared" si="2194"/>
        <v>89301000</v>
      </c>
      <c r="B10132" t="str">
        <f t="shared" si="2195"/>
        <v>89383000</v>
      </c>
      <c r="C10132" t="str">
        <f t="shared" si="2196"/>
        <v>89383002</v>
      </c>
      <c r="D10132" t="str">
        <f>"806"</f>
        <v>806</v>
      </c>
      <c r="E10132" t="str">
        <f t="shared" si="2198"/>
        <v>89301212</v>
      </c>
      <c r="F10132" t="str">
        <f>"7658055328"</f>
        <v>7658055328</v>
      </c>
      <c r="G10132" s="1">
        <v>44851</v>
      </c>
      <c r="H10132" t="str">
        <f>"89514"</f>
        <v>89514</v>
      </c>
      <c r="I10132">
        <v>1</v>
      </c>
      <c r="J10132">
        <v>371</v>
      </c>
      <c r="K10132">
        <v>0</v>
      </c>
      <c r="L10132">
        <v>441.49</v>
      </c>
    </row>
    <row r="10133" spans="1:12" x14ac:dyDescent="0.25">
      <c r="A10133" t="str">
        <f t="shared" si="2194"/>
        <v>89301000</v>
      </c>
      <c r="B10133" t="str">
        <f>"80001000"</f>
        <v>80001000</v>
      </c>
      <c r="C10133" t="str">
        <f>"80001985"</f>
        <v>80001985</v>
      </c>
      <c r="D10133" t="str">
        <f t="shared" ref="D10133:D10155" si="2200">"809"</f>
        <v>809</v>
      </c>
      <c r="E10133" t="str">
        <f t="shared" si="2198"/>
        <v>89301212</v>
      </c>
      <c r="F10133" t="str">
        <f>"7052014607"</f>
        <v>7052014607</v>
      </c>
      <c r="G10133" s="1">
        <v>44839</v>
      </c>
      <c r="H10133" t="str">
        <f>"89180"</f>
        <v>89180</v>
      </c>
      <c r="I10133">
        <v>2</v>
      </c>
      <c r="J10133">
        <v>752</v>
      </c>
      <c r="K10133">
        <v>0</v>
      </c>
      <c r="L10133">
        <v>1052.8</v>
      </c>
    </row>
    <row r="10134" spans="1:12" x14ac:dyDescent="0.25">
      <c r="A10134" t="str">
        <f t="shared" si="2194"/>
        <v>89301000</v>
      </c>
      <c r="B10134" t="str">
        <f>"80001000"</f>
        <v>80001000</v>
      </c>
      <c r="C10134" t="str">
        <f>"80001985"</f>
        <v>80001985</v>
      </c>
      <c r="D10134" t="str">
        <f t="shared" si="2200"/>
        <v>809</v>
      </c>
      <c r="E10134" t="str">
        <f t="shared" si="2198"/>
        <v>89301212</v>
      </c>
      <c r="F10134" t="str">
        <f>"7052014607"</f>
        <v>7052014607</v>
      </c>
      <c r="G10134" s="1">
        <v>44839</v>
      </c>
      <c r="H10134" t="str">
        <f>"89512"</f>
        <v>89512</v>
      </c>
      <c r="I10134">
        <v>1</v>
      </c>
      <c r="J10134">
        <v>277</v>
      </c>
      <c r="K10134">
        <v>0</v>
      </c>
      <c r="L10134">
        <v>387.8</v>
      </c>
    </row>
    <row r="10135" spans="1:12" x14ac:dyDescent="0.25">
      <c r="A10135" t="str">
        <f t="shared" si="2194"/>
        <v>89301000</v>
      </c>
      <c r="B10135" t="str">
        <f>"80001000"</f>
        <v>80001000</v>
      </c>
      <c r="C10135" t="str">
        <f>"80001985"</f>
        <v>80001985</v>
      </c>
      <c r="D10135" t="str">
        <f t="shared" si="2200"/>
        <v>809</v>
      </c>
      <c r="E10135" t="str">
        <f>"89301172"</f>
        <v>89301172</v>
      </c>
      <c r="F10135" t="str">
        <f>"530826023"</f>
        <v>530826023</v>
      </c>
      <c r="G10135" s="1">
        <v>44844</v>
      </c>
      <c r="H10135" t="str">
        <f>"89713"</f>
        <v>89713</v>
      </c>
      <c r="I10135">
        <v>1</v>
      </c>
      <c r="J10135">
        <v>5362</v>
      </c>
      <c r="K10135">
        <v>0</v>
      </c>
      <c r="L10135">
        <v>3217.2</v>
      </c>
    </row>
    <row r="10136" spans="1:12" x14ac:dyDescent="0.25">
      <c r="A10136" t="str">
        <f t="shared" si="2194"/>
        <v>89301000</v>
      </c>
      <c r="B10136" t="str">
        <f>"80001000"</f>
        <v>80001000</v>
      </c>
      <c r="C10136" t="str">
        <f>"80001985"</f>
        <v>80001985</v>
      </c>
      <c r="D10136" t="str">
        <f t="shared" si="2200"/>
        <v>809</v>
      </c>
      <c r="E10136" t="str">
        <f>"89301172"</f>
        <v>89301172</v>
      </c>
      <c r="F10136" t="str">
        <f>"530826023"</f>
        <v>530826023</v>
      </c>
      <c r="G10136" s="1">
        <v>44844</v>
      </c>
      <c r="H10136" t="str">
        <f>"89725"</f>
        <v>89725</v>
      </c>
      <c r="I10136">
        <v>1</v>
      </c>
      <c r="J10136">
        <v>2839</v>
      </c>
      <c r="K10136">
        <v>0</v>
      </c>
      <c r="L10136">
        <v>1703.4</v>
      </c>
    </row>
    <row r="10137" spans="1:12" x14ac:dyDescent="0.25">
      <c r="A10137" t="str">
        <f t="shared" si="2194"/>
        <v>89301000</v>
      </c>
      <c r="B10137" t="str">
        <f>"80001000"</f>
        <v>80001000</v>
      </c>
      <c r="C10137" t="str">
        <f>"80001985"</f>
        <v>80001985</v>
      </c>
      <c r="D10137" t="str">
        <f t="shared" si="2200"/>
        <v>809</v>
      </c>
      <c r="E10137" t="str">
        <f>"89301172"</f>
        <v>89301172</v>
      </c>
      <c r="F10137" t="str">
        <f>"530826023"</f>
        <v>530826023</v>
      </c>
      <c r="G10137" s="1">
        <v>44844</v>
      </c>
      <c r="H10137" t="str">
        <f>"0207733"</f>
        <v>0207733</v>
      </c>
      <c r="I10137">
        <v>0.5</v>
      </c>
      <c r="K10137">
        <v>1295.27</v>
      </c>
      <c r="L10137">
        <v>1295.27</v>
      </c>
    </row>
    <row r="10138" spans="1:12" x14ac:dyDescent="0.25">
      <c r="A10138" t="str">
        <f t="shared" si="2194"/>
        <v>89301000</v>
      </c>
      <c r="B10138" t="str">
        <f t="shared" ref="B10138:B10146" si="2201">"78934000"</f>
        <v>78934000</v>
      </c>
      <c r="C10138" t="str">
        <f t="shared" ref="C10138:C10146" si="2202">"78934001"</f>
        <v>78934001</v>
      </c>
      <c r="D10138" t="str">
        <f t="shared" si="2200"/>
        <v>809</v>
      </c>
      <c r="E10138" t="str">
        <f>"89301322"</f>
        <v>89301322</v>
      </c>
      <c r="F10138" t="str">
        <f>"6501140844"</f>
        <v>6501140844</v>
      </c>
      <c r="G10138" s="1">
        <v>44840</v>
      </c>
      <c r="H10138" t="str">
        <f>"89513"</f>
        <v>89513</v>
      </c>
      <c r="I10138">
        <v>1</v>
      </c>
      <c r="J10138">
        <v>371</v>
      </c>
      <c r="K10138">
        <v>0</v>
      </c>
      <c r="L10138">
        <v>519.4</v>
      </c>
    </row>
    <row r="10139" spans="1:12" x14ac:dyDescent="0.25">
      <c r="A10139" t="str">
        <f t="shared" si="2194"/>
        <v>89301000</v>
      </c>
      <c r="B10139" t="str">
        <f t="shared" si="2201"/>
        <v>78934000</v>
      </c>
      <c r="C10139" t="str">
        <f t="shared" si="2202"/>
        <v>78934001</v>
      </c>
      <c r="D10139" t="str">
        <f t="shared" si="2200"/>
        <v>809</v>
      </c>
      <c r="E10139" t="str">
        <f>"89301322"</f>
        <v>89301322</v>
      </c>
      <c r="F10139" t="str">
        <f>"6501140844"</f>
        <v>6501140844</v>
      </c>
      <c r="G10139" s="1">
        <v>44840</v>
      </c>
      <c r="H10139" t="str">
        <f>"89514"</f>
        <v>89514</v>
      </c>
      <c r="I10139">
        <v>1</v>
      </c>
      <c r="J10139">
        <v>371</v>
      </c>
      <c r="K10139">
        <v>0</v>
      </c>
      <c r="L10139">
        <v>519.4</v>
      </c>
    </row>
    <row r="10140" spans="1:12" x14ac:dyDescent="0.25">
      <c r="A10140" t="str">
        <f t="shared" si="2194"/>
        <v>89301000</v>
      </c>
      <c r="B10140" t="str">
        <f t="shared" si="2201"/>
        <v>78934000</v>
      </c>
      <c r="C10140" t="str">
        <f t="shared" si="2202"/>
        <v>78934001</v>
      </c>
      <c r="D10140" t="str">
        <f t="shared" si="2200"/>
        <v>809</v>
      </c>
      <c r="E10140" t="str">
        <f>"89301026"</f>
        <v>89301026</v>
      </c>
      <c r="F10140" t="str">
        <f>"430117402"</f>
        <v>430117402</v>
      </c>
      <c r="G10140" s="1">
        <v>44845</v>
      </c>
      <c r="H10140" t="str">
        <f>"89131"</f>
        <v>89131</v>
      </c>
      <c r="I10140">
        <v>1</v>
      </c>
      <c r="J10140">
        <v>187</v>
      </c>
      <c r="K10140">
        <v>0</v>
      </c>
      <c r="L10140">
        <v>261.8</v>
      </c>
    </row>
    <row r="10141" spans="1:12" x14ac:dyDescent="0.25">
      <c r="A10141" t="str">
        <f t="shared" si="2194"/>
        <v>89301000</v>
      </c>
      <c r="B10141" t="str">
        <f t="shared" si="2201"/>
        <v>78934000</v>
      </c>
      <c r="C10141" t="str">
        <f t="shared" si="2202"/>
        <v>78934001</v>
      </c>
      <c r="D10141" t="str">
        <f t="shared" si="2200"/>
        <v>809</v>
      </c>
      <c r="E10141" t="str">
        <f>"89301212"</f>
        <v>89301212</v>
      </c>
      <c r="F10141" t="str">
        <f>"5960191116"</f>
        <v>5960191116</v>
      </c>
      <c r="G10141" s="1">
        <v>44851</v>
      </c>
      <c r="H10141" t="str">
        <f>"89513"</f>
        <v>89513</v>
      </c>
      <c r="I10141">
        <v>1</v>
      </c>
      <c r="J10141">
        <v>371</v>
      </c>
      <c r="K10141">
        <v>0</v>
      </c>
      <c r="L10141">
        <v>519.4</v>
      </c>
    </row>
    <row r="10142" spans="1:12" x14ac:dyDescent="0.25">
      <c r="A10142" t="str">
        <f t="shared" si="2194"/>
        <v>89301000</v>
      </c>
      <c r="B10142" t="str">
        <f t="shared" si="2201"/>
        <v>78934000</v>
      </c>
      <c r="C10142" t="str">
        <f t="shared" si="2202"/>
        <v>78934001</v>
      </c>
      <c r="D10142" t="str">
        <f t="shared" si="2200"/>
        <v>809</v>
      </c>
      <c r="E10142" t="str">
        <f>"89301212"</f>
        <v>89301212</v>
      </c>
      <c r="F10142" t="str">
        <f>"5960191116"</f>
        <v>5960191116</v>
      </c>
      <c r="G10142" s="1">
        <v>44851</v>
      </c>
      <c r="H10142" t="str">
        <f>"89514"</f>
        <v>89514</v>
      </c>
      <c r="I10142">
        <v>1</v>
      </c>
      <c r="J10142">
        <v>371</v>
      </c>
      <c r="K10142">
        <v>0</v>
      </c>
      <c r="L10142">
        <v>519.4</v>
      </c>
    </row>
    <row r="10143" spans="1:12" x14ac:dyDescent="0.25">
      <c r="A10143" t="str">
        <f t="shared" si="2194"/>
        <v>89301000</v>
      </c>
      <c r="B10143" t="str">
        <f t="shared" si="2201"/>
        <v>78934000</v>
      </c>
      <c r="C10143" t="str">
        <f t="shared" si="2202"/>
        <v>78934001</v>
      </c>
      <c r="D10143" t="str">
        <f t="shared" si="2200"/>
        <v>809</v>
      </c>
      <c r="E10143" t="str">
        <f>"89301212"</f>
        <v>89301212</v>
      </c>
      <c r="F10143" t="str">
        <f>"8759254911"</f>
        <v>8759254911</v>
      </c>
      <c r="G10143" s="1">
        <v>44852</v>
      </c>
      <c r="H10143" t="str">
        <f>"89513"</f>
        <v>89513</v>
      </c>
      <c r="I10143">
        <v>1</v>
      </c>
      <c r="J10143">
        <v>371</v>
      </c>
      <c r="K10143">
        <v>0</v>
      </c>
      <c r="L10143">
        <v>519.4</v>
      </c>
    </row>
    <row r="10144" spans="1:12" x14ac:dyDescent="0.25">
      <c r="A10144" t="str">
        <f t="shared" si="2194"/>
        <v>89301000</v>
      </c>
      <c r="B10144" t="str">
        <f t="shared" si="2201"/>
        <v>78934000</v>
      </c>
      <c r="C10144" t="str">
        <f t="shared" si="2202"/>
        <v>78934001</v>
      </c>
      <c r="D10144" t="str">
        <f t="shared" si="2200"/>
        <v>809</v>
      </c>
      <c r="E10144" t="str">
        <f>"89301212"</f>
        <v>89301212</v>
      </c>
      <c r="F10144" t="str">
        <f>"8759254911"</f>
        <v>8759254911</v>
      </c>
      <c r="G10144" s="1">
        <v>44852</v>
      </c>
      <c r="H10144" t="str">
        <f>"89514"</f>
        <v>89514</v>
      </c>
      <c r="I10144">
        <v>1</v>
      </c>
      <c r="J10144">
        <v>371</v>
      </c>
      <c r="K10144">
        <v>0</v>
      </c>
      <c r="L10144">
        <v>519.4</v>
      </c>
    </row>
    <row r="10145" spans="1:12" x14ac:dyDescent="0.25">
      <c r="A10145" t="str">
        <f t="shared" si="2194"/>
        <v>89301000</v>
      </c>
      <c r="B10145" t="str">
        <f t="shared" si="2201"/>
        <v>78934000</v>
      </c>
      <c r="C10145" t="str">
        <f t="shared" si="2202"/>
        <v>78934001</v>
      </c>
      <c r="D10145" t="str">
        <f t="shared" si="2200"/>
        <v>809</v>
      </c>
      <c r="E10145" t="str">
        <f>"89301322"</f>
        <v>89301322</v>
      </c>
      <c r="F10145" t="str">
        <f>"531121122"</f>
        <v>531121122</v>
      </c>
      <c r="G10145" s="1">
        <v>44855</v>
      </c>
      <c r="H10145" t="str">
        <f>"89513"</f>
        <v>89513</v>
      </c>
      <c r="I10145">
        <v>1</v>
      </c>
      <c r="J10145">
        <v>371</v>
      </c>
      <c r="K10145">
        <v>0</v>
      </c>
      <c r="L10145">
        <v>519.4</v>
      </c>
    </row>
    <row r="10146" spans="1:12" x14ac:dyDescent="0.25">
      <c r="A10146" t="str">
        <f t="shared" si="2194"/>
        <v>89301000</v>
      </c>
      <c r="B10146" t="str">
        <f t="shared" si="2201"/>
        <v>78934000</v>
      </c>
      <c r="C10146" t="str">
        <f t="shared" si="2202"/>
        <v>78934001</v>
      </c>
      <c r="D10146" t="str">
        <f t="shared" si="2200"/>
        <v>809</v>
      </c>
      <c r="E10146" t="str">
        <f>"89301322"</f>
        <v>89301322</v>
      </c>
      <c r="F10146" t="str">
        <f>"531121122"</f>
        <v>531121122</v>
      </c>
      <c r="G10146" s="1">
        <v>44855</v>
      </c>
      <c r="H10146" t="str">
        <f>"89514"</f>
        <v>89514</v>
      </c>
      <c r="I10146">
        <v>1</v>
      </c>
      <c r="J10146">
        <v>371</v>
      </c>
      <c r="K10146">
        <v>0</v>
      </c>
      <c r="L10146">
        <v>519.4</v>
      </c>
    </row>
    <row r="10147" spans="1:12" x14ac:dyDescent="0.25">
      <c r="A10147" t="str">
        <f t="shared" si="2194"/>
        <v>89301000</v>
      </c>
      <c r="B10147" t="str">
        <f t="shared" ref="B10147:B10155" si="2203">"85600000"</f>
        <v>85600000</v>
      </c>
      <c r="C10147" t="str">
        <f t="shared" ref="C10147:C10155" si="2204">"85600421"</f>
        <v>85600421</v>
      </c>
      <c r="D10147" t="str">
        <f t="shared" si="2200"/>
        <v>809</v>
      </c>
      <c r="E10147" t="str">
        <f>"89301212"</f>
        <v>89301212</v>
      </c>
      <c r="F10147" t="str">
        <f>"7755215446"</f>
        <v>7755215446</v>
      </c>
      <c r="G10147" s="1">
        <v>44845</v>
      </c>
      <c r="H10147" t="str">
        <f>"89611"</f>
        <v>89611</v>
      </c>
      <c r="I10147">
        <v>1</v>
      </c>
      <c r="J10147">
        <v>2241</v>
      </c>
      <c r="K10147">
        <v>0</v>
      </c>
      <c r="L10147">
        <v>1344.6</v>
      </c>
    </row>
    <row r="10148" spans="1:12" x14ac:dyDescent="0.25">
      <c r="A10148" t="str">
        <f t="shared" si="2194"/>
        <v>89301000</v>
      </c>
      <c r="B10148" t="str">
        <f t="shared" si="2203"/>
        <v>85600000</v>
      </c>
      <c r="C10148" t="str">
        <f t="shared" si="2204"/>
        <v>85600421</v>
      </c>
      <c r="D10148" t="str">
        <f t="shared" si="2200"/>
        <v>809</v>
      </c>
      <c r="E10148" t="str">
        <f>"89301212"</f>
        <v>89301212</v>
      </c>
      <c r="F10148" t="str">
        <f>"7755215446"</f>
        <v>7755215446</v>
      </c>
      <c r="G10148" s="1">
        <v>44845</v>
      </c>
      <c r="H10148" t="str">
        <f>"89611"</f>
        <v>89611</v>
      </c>
      <c r="I10148">
        <v>1</v>
      </c>
      <c r="J10148">
        <v>2241</v>
      </c>
      <c r="K10148">
        <v>0</v>
      </c>
      <c r="L10148">
        <v>1344.6</v>
      </c>
    </row>
    <row r="10149" spans="1:12" x14ac:dyDescent="0.25">
      <c r="A10149" t="str">
        <f t="shared" si="2194"/>
        <v>89301000</v>
      </c>
      <c r="B10149" t="str">
        <f t="shared" si="2203"/>
        <v>85600000</v>
      </c>
      <c r="C10149" t="str">
        <f t="shared" si="2204"/>
        <v>85600421</v>
      </c>
      <c r="D10149" t="str">
        <f t="shared" si="2200"/>
        <v>809</v>
      </c>
      <c r="E10149" t="str">
        <f>"89301212"</f>
        <v>89301212</v>
      </c>
      <c r="F10149" t="str">
        <f>"7755215446"</f>
        <v>7755215446</v>
      </c>
      <c r="G10149" s="1">
        <v>44845</v>
      </c>
      <c r="H10149" t="str">
        <f>"0137481"</f>
        <v>0137481</v>
      </c>
      <c r="I10149">
        <v>0.2</v>
      </c>
      <c r="K10149">
        <v>879.39</v>
      </c>
      <c r="L10149">
        <v>879.39</v>
      </c>
    </row>
    <row r="10150" spans="1:12" x14ac:dyDescent="0.25">
      <c r="A10150" t="str">
        <f t="shared" si="2194"/>
        <v>89301000</v>
      </c>
      <c r="B10150" t="str">
        <f t="shared" si="2203"/>
        <v>85600000</v>
      </c>
      <c r="C10150" t="str">
        <f t="shared" si="2204"/>
        <v>85600421</v>
      </c>
      <c r="D10150" t="str">
        <f t="shared" si="2200"/>
        <v>809</v>
      </c>
      <c r="E10150" t="str">
        <f>"89301322"</f>
        <v>89301322</v>
      </c>
      <c r="F10150" t="str">
        <f>"7304074844"</f>
        <v>7304074844</v>
      </c>
      <c r="G10150" s="1">
        <v>44865</v>
      </c>
      <c r="H10150" t="str">
        <f>"89514"</f>
        <v>89514</v>
      </c>
      <c r="I10150">
        <v>1</v>
      </c>
      <c r="J10150">
        <v>371</v>
      </c>
      <c r="K10150">
        <v>0</v>
      </c>
      <c r="L10150">
        <v>519.4</v>
      </c>
    </row>
    <row r="10151" spans="1:12" x14ac:dyDescent="0.25">
      <c r="A10151" t="str">
        <f t="shared" si="2194"/>
        <v>89301000</v>
      </c>
      <c r="B10151" t="str">
        <f t="shared" si="2203"/>
        <v>85600000</v>
      </c>
      <c r="C10151" t="str">
        <f t="shared" si="2204"/>
        <v>85600421</v>
      </c>
      <c r="D10151" t="str">
        <f t="shared" si="2200"/>
        <v>809</v>
      </c>
      <c r="E10151" t="str">
        <f>"89301322"</f>
        <v>89301322</v>
      </c>
      <c r="F10151" t="str">
        <f>"7304074844"</f>
        <v>7304074844</v>
      </c>
      <c r="G10151" s="1">
        <v>44865</v>
      </c>
      <c r="H10151" t="str">
        <f>"89513"</f>
        <v>89513</v>
      </c>
      <c r="I10151">
        <v>1</v>
      </c>
      <c r="J10151">
        <v>371</v>
      </c>
      <c r="K10151">
        <v>0</v>
      </c>
      <c r="L10151">
        <v>519.4</v>
      </c>
    </row>
    <row r="10152" spans="1:12" x14ac:dyDescent="0.25">
      <c r="A10152" t="str">
        <f t="shared" si="2194"/>
        <v>89301000</v>
      </c>
      <c r="B10152" t="str">
        <f t="shared" si="2203"/>
        <v>85600000</v>
      </c>
      <c r="C10152" t="str">
        <f t="shared" si="2204"/>
        <v>85600421</v>
      </c>
      <c r="D10152" t="str">
        <f t="shared" si="2200"/>
        <v>809</v>
      </c>
      <c r="E10152" t="str">
        <f>"89301322"</f>
        <v>89301322</v>
      </c>
      <c r="F10152" t="str">
        <f>"7304074844"</f>
        <v>7304074844</v>
      </c>
      <c r="G10152" s="1">
        <v>44865</v>
      </c>
      <c r="H10152" t="str">
        <f>"89517"</f>
        <v>89517</v>
      </c>
      <c r="I10152">
        <v>1</v>
      </c>
      <c r="J10152">
        <v>970</v>
      </c>
      <c r="K10152">
        <v>0</v>
      </c>
      <c r="L10152">
        <v>1358</v>
      </c>
    </row>
    <row r="10153" spans="1:12" x14ac:dyDescent="0.25">
      <c r="A10153" t="str">
        <f t="shared" si="2194"/>
        <v>89301000</v>
      </c>
      <c r="B10153" t="str">
        <f t="shared" si="2203"/>
        <v>85600000</v>
      </c>
      <c r="C10153" t="str">
        <f t="shared" si="2204"/>
        <v>85600421</v>
      </c>
      <c r="D10153" t="str">
        <f t="shared" si="2200"/>
        <v>809</v>
      </c>
      <c r="E10153" t="str">
        <f>"89301212"</f>
        <v>89301212</v>
      </c>
      <c r="F10153" t="str">
        <f>"7455264850"</f>
        <v>7455264850</v>
      </c>
      <c r="G10153" s="1">
        <v>44865</v>
      </c>
      <c r="H10153" t="str">
        <f>"89517"</f>
        <v>89517</v>
      </c>
      <c r="I10153">
        <v>1</v>
      </c>
      <c r="J10153">
        <v>970</v>
      </c>
      <c r="K10153">
        <v>0</v>
      </c>
      <c r="L10153">
        <v>1358</v>
      </c>
    </row>
    <row r="10154" spans="1:12" x14ac:dyDescent="0.25">
      <c r="A10154" t="str">
        <f t="shared" si="2194"/>
        <v>89301000</v>
      </c>
      <c r="B10154" t="str">
        <f t="shared" si="2203"/>
        <v>85600000</v>
      </c>
      <c r="C10154" t="str">
        <f t="shared" si="2204"/>
        <v>85600421</v>
      </c>
      <c r="D10154" t="str">
        <f t="shared" si="2200"/>
        <v>809</v>
      </c>
      <c r="E10154" t="str">
        <f>"89301212"</f>
        <v>89301212</v>
      </c>
      <c r="F10154" t="str">
        <f>"7455264850"</f>
        <v>7455264850</v>
      </c>
      <c r="G10154" s="1">
        <v>44865</v>
      </c>
      <c r="H10154" t="str">
        <f>"89514"</f>
        <v>89514</v>
      </c>
      <c r="I10154">
        <v>1</v>
      </c>
      <c r="J10154">
        <v>371</v>
      </c>
      <c r="K10154">
        <v>0</v>
      </c>
      <c r="L10154">
        <v>519.4</v>
      </c>
    </row>
    <row r="10155" spans="1:12" x14ac:dyDescent="0.25">
      <c r="A10155" t="str">
        <f t="shared" si="2194"/>
        <v>89301000</v>
      </c>
      <c r="B10155" t="str">
        <f t="shared" si="2203"/>
        <v>85600000</v>
      </c>
      <c r="C10155" t="str">
        <f t="shared" si="2204"/>
        <v>85600421</v>
      </c>
      <c r="D10155" t="str">
        <f t="shared" si="2200"/>
        <v>809</v>
      </c>
      <c r="E10155" t="str">
        <f>"89301212"</f>
        <v>89301212</v>
      </c>
      <c r="F10155" t="str">
        <f>"7455264850"</f>
        <v>7455264850</v>
      </c>
      <c r="G10155" s="1">
        <v>44865</v>
      </c>
      <c r="H10155" t="str">
        <f>"89513"</f>
        <v>89513</v>
      </c>
      <c r="I10155">
        <v>1</v>
      </c>
      <c r="J10155">
        <v>371</v>
      </c>
      <c r="K10155">
        <v>0</v>
      </c>
      <c r="L10155">
        <v>519.4</v>
      </c>
    </row>
    <row r="10156" spans="1:12" x14ac:dyDescent="0.25">
      <c r="A10156" t="str">
        <f t="shared" si="2194"/>
        <v>89301000</v>
      </c>
      <c r="B10156" t="str">
        <f t="shared" ref="B10156:B10187" si="2205">"72100000"</f>
        <v>72100000</v>
      </c>
      <c r="C10156" t="str">
        <f t="shared" ref="C10156:C10187" si="2206">"72100632"</f>
        <v>72100632</v>
      </c>
      <c r="D10156" t="str">
        <f t="shared" ref="D10156:D10187" si="2207">"816"</f>
        <v>816</v>
      </c>
      <c r="E10156" t="str">
        <f t="shared" ref="E10156:E10187" si="2208">"89301091"</f>
        <v>89301091</v>
      </c>
      <c r="F10156" t="str">
        <f>"9259084846"</f>
        <v>9259084846</v>
      </c>
      <c r="G10156" s="1">
        <v>44805</v>
      </c>
      <c r="H10156" t="str">
        <f t="shared" ref="H10156:H10187" si="2209">"94297"</f>
        <v>94297</v>
      </c>
      <c r="I10156">
        <v>1</v>
      </c>
      <c r="J10156">
        <v>298</v>
      </c>
      <c r="K10156">
        <v>0</v>
      </c>
      <c r="L10156">
        <v>366.54</v>
      </c>
    </row>
    <row r="10157" spans="1:12" x14ac:dyDescent="0.25">
      <c r="A10157" t="str">
        <f t="shared" si="2194"/>
        <v>89301000</v>
      </c>
      <c r="B10157" t="str">
        <f t="shared" si="2205"/>
        <v>72100000</v>
      </c>
      <c r="C10157" t="str">
        <f t="shared" si="2206"/>
        <v>72100632</v>
      </c>
      <c r="D10157" t="str">
        <f t="shared" si="2207"/>
        <v>816</v>
      </c>
      <c r="E10157" t="str">
        <f t="shared" si="2208"/>
        <v>89301091</v>
      </c>
      <c r="F10157" t="str">
        <f>"8257015360"</f>
        <v>8257015360</v>
      </c>
      <c r="G10157" s="1">
        <v>44805</v>
      </c>
      <c r="H10157" t="str">
        <f t="shared" si="2209"/>
        <v>94297</v>
      </c>
      <c r="I10157">
        <v>1</v>
      </c>
      <c r="J10157">
        <v>298</v>
      </c>
      <c r="K10157">
        <v>0</v>
      </c>
      <c r="L10157">
        <v>366.54</v>
      </c>
    </row>
    <row r="10158" spans="1:12" x14ac:dyDescent="0.25">
      <c r="A10158" t="str">
        <f t="shared" si="2194"/>
        <v>89301000</v>
      </c>
      <c r="B10158" t="str">
        <f t="shared" si="2205"/>
        <v>72100000</v>
      </c>
      <c r="C10158" t="str">
        <f t="shared" si="2206"/>
        <v>72100632</v>
      </c>
      <c r="D10158" t="str">
        <f t="shared" si="2207"/>
        <v>816</v>
      </c>
      <c r="E10158" t="str">
        <f t="shared" si="2208"/>
        <v>89301091</v>
      </c>
      <c r="F10158" t="str">
        <f>"2208270526"</f>
        <v>2208270526</v>
      </c>
      <c r="G10158" s="1">
        <v>44806</v>
      </c>
      <c r="H10158" t="str">
        <f t="shared" si="2209"/>
        <v>94297</v>
      </c>
      <c r="I10158">
        <v>1</v>
      </c>
      <c r="J10158">
        <v>298</v>
      </c>
      <c r="K10158">
        <v>0</v>
      </c>
      <c r="L10158">
        <v>366.54</v>
      </c>
    </row>
    <row r="10159" spans="1:12" x14ac:dyDescent="0.25">
      <c r="A10159" t="str">
        <f t="shared" si="2194"/>
        <v>89301000</v>
      </c>
      <c r="B10159" t="str">
        <f t="shared" si="2205"/>
        <v>72100000</v>
      </c>
      <c r="C10159" t="str">
        <f t="shared" si="2206"/>
        <v>72100632</v>
      </c>
      <c r="D10159" t="str">
        <f t="shared" si="2207"/>
        <v>816</v>
      </c>
      <c r="E10159" t="str">
        <f t="shared" si="2208"/>
        <v>89301091</v>
      </c>
      <c r="F10159" t="str">
        <f>"2258280530"</f>
        <v>2258280530</v>
      </c>
      <c r="G10159" s="1">
        <v>44806</v>
      </c>
      <c r="H10159" t="str">
        <f t="shared" si="2209"/>
        <v>94297</v>
      </c>
      <c r="I10159">
        <v>1</v>
      </c>
      <c r="J10159">
        <v>298</v>
      </c>
      <c r="K10159">
        <v>0</v>
      </c>
      <c r="L10159">
        <v>366.54</v>
      </c>
    </row>
    <row r="10160" spans="1:12" x14ac:dyDescent="0.25">
      <c r="A10160" t="str">
        <f t="shared" si="2194"/>
        <v>89301000</v>
      </c>
      <c r="B10160" t="str">
        <f t="shared" si="2205"/>
        <v>72100000</v>
      </c>
      <c r="C10160" t="str">
        <f t="shared" si="2206"/>
        <v>72100632</v>
      </c>
      <c r="D10160" t="str">
        <f t="shared" si="2207"/>
        <v>816</v>
      </c>
      <c r="E10160" t="str">
        <f t="shared" si="2208"/>
        <v>89301091</v>
      </c>
      <c r="F10160" t="str">
        <f>"2258280563"</f>
        <v>2258280563</v>
      </c>
      <c r="G10160" s="1">
        <v>44806</v>
      </c>
      <c r="H10160" t="str">
        <f t="shared" si="2209"/>
        <v>94297</v>
      </c>
      <c r="I10160">
        <v>1</v>
      </c>
      <c r="J10160">
        <v>298</v>
      </c>
      <c r="K10160">
        <v>0</v>
      </c>
      <c r="L10160">
        <v>366.54</v>
      </c>
    </row>
    <row r="10161" spans="1:12" x14ac:dyDescent="0.25">
      <c r="A10161" t="str">
        <f t="shared" si="2194"/>
        <v>89301000</v>
      </c>
      <c r="B10161" t="str">
        <f t="shared" si="2205"/>
        <v>72100000</v>
      </c>
      <c r="C10161" t="str">
        <f t="shared" si="2206"/>
        <v>72100632</v>
      </c>
      <c r="D10161" t="str">
        <f t="shared" si="2207"/>
        <v>816</v>
      </c>
      <c r="E10161" t="str">
        <f t="shared" si="2208"/>
        <v>89301091</v>
      </c>
      <c r="F10161" t="str">
        <f>"2208280305"</f>
        <v>2208280305</v>
      </c>
      <c r="G10161" s="1">
        <v>44809</v>
      </c>
      <c r="H10161" t="str">
        <f t="shared" si="2209"/>
        <v>94297</v>
      </c>
      <c r="I10161">
        <v>1</v>
      </c>
      <c r="J10161">
        <v>298</v>
      </c>
      <c r="K10161">
        <v>0</v>
      </c>
      <c r="L10161">
        <v>366.54</v>
      </c>
    </row>
    <row r="10162" spans="1:12" x14ac:dyDescent="0.25">
      <c r="A10162" t="str">
        <f t="shared" si="2194"/>
        <v>89301000</v>
      </c>
      <c r="B10162" t="str">
        <f t="shared" si="2205"/>
        <v>72100000</v>
      </c>
      <c r="C10162" t="str">
        <f t="shared" si="2206"/>
        <v>72100632</v>
      </c>
      <c r="D10162" t="str">
        <f t="shared" si="2207"/>
        <v>816</v>
      </c>
      <c r="E10162" t="str">
        <f t="shared" si="2208"/>
        <v>89301091</v>
      </c>
      <c r="F10162" t="str">
        <f>"2208290084"</f>
        <v>2208290084</v>
      </c>
      <c r="G10162" s="1">
        <v>44809</v>
      </c>
      <c r="H10162" t="str">
        <f t="shared" si="2209"/>
        <v>94297</v>
      </c>
      <c r="I10162">
        <v>1</v>
      </c>
      <c r="J10162">
        <v>298</v>
      </c>
      <c r="K10162">
        <v>0</v>
      </c>
      <c r="L10162">
        <v>366.54</v>
      </c>
    </row>
    <row r="10163" spans="1:12" x14ac:dyDescent="0.25">
      <c r="A10163" t="str">
        <f t="shared" si="2194"/>
        <v>89301000</v>
      </c>
      <c r="B10163" t="str">
        <f t="shared" si="2205"/>
        <v>72100000</v>
      </c>
      <c r="C10163" t="str">
        <f t="shared" si="2206"/>
        <v>72100632</v>
      </c>
      <c r="D10163" t="str">
        <f t="shared" si="2207"/>
        <v>816</v>
      </c>
      <c r="E10163" t="str">
        <f t="shared" si="2208"/>
        <v>89301091</v>
      </c>
      <c r="F10163" t="str">
        <f>"2258300407"</f>
        <v>2258300407</v>
      </c>
      <c r="G10163" s="1">
        <v>44810</v>
      </c>
      <c r="H10163" t="str">
        <f t="shared" si="2209"/>
        <v>94297</v>
      </c>
      <c r="I10163">
        <v>1</v>
      </c>
      <c r="J10163">
        <v>298</v>
      </c>
      <c r="K10163">
        <v>0</v>
      </c>
      <c r="L10163">
        <v>366.54</v>
      </c>
    </row>
    <row r="10164" spans="1:12" x14ac:dyDescent="0.25">
      <c r="A10164" t="str">
        <f t="shared" si="2194"/>
        <v>89301000</v>
      </c>
      <c r="B10164" t="str">
        <f t="shared" si="2205"/>
        <v>72100000</v>
      </c>
      <c r="C10164" t="str">
        <f t="shared" si="2206"/>
        <v>72100632</v>
      </c>
      <c r="D10164" t="str">
        <f t="shared" si="2207"/>
        <v>816</v>
      </c>
      <c r="E10164" t="str">
        <f t="shared" si="2208"/>
        <v>89301091</v>
      </c>
      <c r="F10164" t="str">
        <f>"2258310043"</f>
        <v>2258310043</v>
      </c>
      <c r="G10164" s="1">
        <v>44811</v>
      </c>
      <c r="H10164" t="str">
        <f t="shared" si="2209"/>
        <v>94297</v>
      </c>
      <c r="I10164">
        <v>1</v>
      </c>
      <c r="J10164">
        <v>298</v>
      </c>
      <c r="K10164">
        <v>0</v>
      </c>
      <c r="L10164">
        <v>366.54</v>
      </c>
    </row>
    <row r="10165" spans="1:12" x14ac:dyDescent="0.25">
      <c r="A10165" t="str">
        <f t="shared" si="2194"/>
        <v>89301000</v>
      </c>
      <c r="B10165" t="str">
        <f t="shared" si="2205"/>
        <v>72100000</v>
      </c>
      <c r="C10165" t="str">
        <f t="shared" si="2206"/>
        <v>72100632</v>
      </c>
      <c r="D10165" t="str">
        <f t="shared" si="2207"/>
        <v>816</v>
      </c>
      <c r="E10165" t="str">
        <f t="shared" si="2208"/>
        <v>89301091</v>
      </c>
      <c r="F10165" t="str">
        <f>"2208310665"</f>
        <v>2208310665</v>
      </c>
      <c r="G10165" s="1">
        <v>44811</v>
      </c>
      <c r="H10165" t="str">
        <f t="shared" si="2209"/>
        <v>94297</v>
      </c>
      <c r="I10165">
        <v>1</v>
      </c>
      <c r="J10165">
        <v>298</v>
      </c>
      <c r="K10165">
        <v>0</v>
      </c>
      <c r="L10165">
        <v>366.54</v>
      </c>
    </row>
    <row r="10166" spans="1:12" x14ac:dyDescent="0.25">
      <c r="A10166" t="str">
        <f t="shared" si="2194"/>
        <v>89301000</v>
      </c>
      <c r="B10166" t="str">
        <f t="shared" si="2205"/>
        <v>72100000</v>
      </c>
      <c r="C10166" t="str">
        <f t="shared" si="2206"/>
        <v>72100632</v>
      </c>
      <c r="D10166" t="str">
        <f t="shared" si="2207"/>
        <v>816</v>
      </c>
      <c r="E10166" t="str">
        <f t="shared" si="2208"/>
        <v>89301091</v>
      </c>
      <c r="F10166" t="str">
        <f>"2208310687"</f>
        <v>2208310687</v>
      </c>
      <c r="G10166" s="1">
        <v>44811</v>
      </c>
      <c r="H10166" t="str">
        <f t="shared" si="2209"/>
        <v>94297</v>
      </c>
      <c r="I10166">
        <v>1</v>
      </c>
      <c r="J10166">
        <v>298</v>
      </c>
      <c r="K10166">
        <v>0</v>
      </c>
      <c r="L10166">
        <v>366.54</v>
      </c>
    </row>
    <row r="10167" spans="1:12" x14ac:dyDescent="0.25">
      <c r="A10167" t="str">
        <f t="shared" si="2194"/>
        <v>89301000</v>
      </c>
      <c r="B10167" t="str">
        <f t="shared" si="2205"/>
        <v>72100000</v>
      </c>
      <c r="C10167" t="str">
        <f t="shared" si="2206"/>
        <v>72100632</v>
      </c>
      <c r="D10167" t="str">
        <f t="shared" si="2207"/>
        <v>816</v>
      </c>
      <c r="E10167" t="str">
        <f t="shared" si="2208"/>
        <v>89301091</v>
      </c>
      <c r="F10167" t="str">
        <f>"2259010501"</f>
        <v>2259010501</v>
      </c>
      <c r="G10167" s="1">
        <v>44811</v>
      </c>
      <c r="H10167" t="str">
        <f t="shared" si="2209"/>
        <v>94297</v>
      </c>
      <c r="I10167">
        <v>1</v>
      </c>
      <c r="J10167">
        <v>298</v>
      </c>
      <c r="K10167">
        <v>0</v>
      </c>
      <c r="L10167">
        <v>366.54</v>
      </c>
    </row>
    <row r="10168" spans="1:12" x14ac:dyDescent="0.25">
      <c r="A10168" t="str">
        <f t="shared" si="2194"/>
        <v>89301000</v>
      </c>
      <c r="B10168" t="str">
        <f t="shared" si="2205"/>
        <v>72100000</v>
      </c>
      <c r="C10168" t="str">
        <f t="shared" si="2206"/>
        <v>72100632</v>
      </c>
      <c r="D10168" t="str">
        <f t="shared" si="2207"/>
        <v>816</v>
      </c>
      <c r="E10168" t="str">
        <f t="shared" si="2208"/>
        <v>89301091</v>
      </c>
      <c r="F10168" t="str">
        <f>"9254105707"</f>
        <v>9254105707</v>
      </c>
      <c r="G10168" s="1">
        <v>44811</v>
      </c>
      <c r="H10168" t="str">
        <f t="shared" si="2209"/>
        <v>94297</v>
      </c>
      <c r="I10168">
        <v>1</v>
      </c>
      <c r="J10168">
        <v>298</v>
      </c>
      <c r="K10168">
        <v>0</v>
      </c>
      <c r="L10168">
        <v>366.54</v>
      </c>
    </row>
    <row r="10169" spans="1:12" x14ac:dyDescent="0.25">
      <c r="A10169" t="str">
        <f t="shared" si="2194"/>
        <v>89301000</v>
      </c>
      <c r="B10169" t="str">
        <f t="shared" si="2205"/>
        <v>72100000</v>
      </c>
      <c r="C10169" t="str">
        <f t="shared" si="2206"/>
        <v>72100632</v>
      </c>
      <c r="D10169" t="str">
        <f t="shared" si="2207"/>
        <v>816</v>
      </c>
      <c r="E10169" t="str">
        <f t="shared" si="2208"/>
        <v>89301091</v>
      </c>
      <c r="F10169" t="str">
        <f>"9262234872"</f>
        <v>9262234872</v>
      </c>
      <c r="G10169" s="1">
        <v>44811</v>
      </c>
      <c r="H10169" t="str">
        <f t="shared" si="2209"/>
        <v>94297</v>
      </c>
      <c r="I10169">
        <v>1</v>
      </c>
      <c r="J10169">
        <v>298</v>
      </c>
      <c r="K10169">
        <v>0</v>
      </c>
      <c r="L10169">
        <v>366.54</v>
      </c>
    </row>
    <row r="10170" spans="1:12" x14ac:dyDescent="0.25">
      <c r="A10170" t="str">
        <f t="shared" si="2194"/>
        <v>89301000</v>
      </c>
      <c r="B10170" t="str">
        <f t="shared" si="2205"/>
        <v>72100000</v>
      </c>
      <c r="C10170" t="str">
        <f t="shared" si="2206"/>
        <v>72100632</v>
      </c>
      <c r="D10170" t="str">
        <f t="shared" si="2207"/>
        <v>816</v>
      </c>
      <c r="E10170" t="str">
        <f t="shared" si="2208"/>
        <v>89301091</v>
      </c>
      <c r="F10170" t="str">
        <f>"2209030230"</f>
        <v>2209030230</v>
      </c>
      <c r="G10170" s="1">
        <v>44812</v>
      </c>
      <c r="H10170" t="str">
        <f t="shared" si="2209"/>
        <v>94297</v>
      </c>
      <c r="I10170">
        <v>1</v>
      </c>
      <c r="J10170">
        <v>298</v>
      </c>
      <c r="K10170">
        <v>0</v>
      </c>
      <c r="L10170">
        <v>366.54</v>
      </c>
    </row>
    <row r="10171" spans="1:12" x14ac:dyDescent="0.25">
      <c r="A10171" t="str">
        <f t="shared" si="2194"/>
        <v>89301000</v>
      </c>
      <c r="B10171" t="str">
        <f t="shared" si="2205"/>
        <v>72100000</v>
      </c>
      <c r="C10171" t="str">
        <f t="shared" si="2206"/>
        <v>72100632</v>
      </c>
      <c r="D10171" t="str">
        <f t="shared" si="2207"/>
        <v>816</v>
      </c>
      <c r="E10171" t="str">
        <f t="shared" si="2208"/>
        <v>89301091</v>
      </c>
      <c r="F10171" t="str">
        <f>"2209040152"</f>
        <v>2209040152</v>
      </c>
      <c r="G10171" s="1">
        <v>44813</v>
      </c>
      <c r="H10171" t="str">
        <f t="shared" si="2209"/>
        <v>94297</v>
      </c>
      <c r="I10171">
        <v>1</v>
      </c>
      <c r="J10171">
        <v>298</v>
      </c>
      <c r="K10171">
        <v>0</v>
      </c>
      <c r="L10171">
        <v>366.54</v>
      </c>
    </row>
    <row r="10172" spans="1:12" x14ac:dyDescent="0.25">
      <c r="A10172" t="str">
        <f t="shared" si="2194"/>
        <v>89301000</v>
      </c>
      <c r="B10172" t="str">
        <f t="shared" si="2205"/>
        <v>72100000</v>
      </c>
      <c r="C10172" t="str">
        <f t="shared" si="2206"/>
        <v>72100632</v>
      </c>
      <c r="D10172" t="str">
        <f t="shared" si="2207"/>
        <v>816</v>
      </c>
      <c r="E10172" t="str">
        <f t="shared" si="2208"/>
        <v>89301091</v>
      </c>
      <c r="F10172" t="str">
        <f>"2259040124"</f>
        <v>2259040124</v>
      </c>
      <c r="G10172" s="1">
        <v>44813</v>
      </c>
      <c r="H10172" t="str">
        <f t="shared" si="2209"/>
        <v>94297</v>
      </c>
      <c r="I10172">
        <v>1</v>
      </c>
      <c r="J10172">
        <v>298</v>
      </c>
      <c r="K10172">
        <v>0</v>
      </c>
      <c r="L10172">
        <v>366.54</v>
      </c>
    </row>
    <row r="10173" spans="1:12" x14ac:dyDescent="0.25">
      <c r="A10173" t="str">
        <f t="shared" si="2194"/>
        <v>89301000</v>
      </c>
      <c r="B10173" t="str">
        <f t="shared" si="2205"/>
        <v>72100000</v>
      </c>
      <c r="C10173" t="str">
        <f t="shared" si="2206"/>
        <v>72100632</v>
      </c>
      <c r="D10173" t="str">
        <f t="shared" si="2207"/>
        <v>816</v>
      </c>
      <c r="E10173" t="str">
        <f t="shared" si="2208"/>
        <v>89301091</v>
      </c>
      <c r="F10173" t="str">
        <f>"2209050514"</f>
        <v>2209050514</v>
      </c>
      <c r="G10173" s="1">
        <v>44816</v>
      </c>
      <c r="H10173" t="str">
        <f t="shared" si="2209"/>
        <v>94297</v>
      </c>
      <c r="I10173">
        <v>1</v>
      </c>
      <c r="J10173">
        <v>298</v>
      </c>
      <c r="K10173">
        <v>0</v>
      </c>
      <c r="L10173">
        <v>366.54</v>
      </c>
    </row>
    <row r="10174" spans="1:12" x14ac:dyDescent="0.25">
      <c r="A10174" t="str">
        <f t="shared" si="2194"/>
        <v>89301000</v>
      </c>
      <c r="B10174" t="str">
        <f t="shared" si="2205"/>
        <v>72100000</v>
      </c>
      <c r="C10174" t="str">
        <f t="shared" si="2206"/>
        <v>72100632</v>
      </c>
      <c r="D10174" t="str">
        <f t="shared" si="2207"/>
        <v>816</v>
      </c>
      <c r="E10174" t="str">
        <f t="shared" si="2208"/>
        <v>89301091</v>
      </c>
      <c r="F10174" t="str">
        <f>"2259050541"</f>
        <v>2259050541</v>
      </c>
      <c r="G10174" s="1">
        <v>44816</v>
      </c>
      <c r="H10174" t="str">
        <f t="shared" si="2209"/>
        <v>94297</v>
      </c>
      <c r="I10174">
        <v>1</v>
      </c>
      <c r="J10174">
        <v>298</v>
      </c>
      <c r="K10174">
        <v>0</v>
      </c>
      <c r="L10174">
        <v>366.54</v>
      </c>
    </row>
    <row r="10175" spans="1:12" x14ac:dyDescent="0.25">
      <c r="A10175" t="str">
        <f t="shared" si="2194"/>
        <v>89301000</v>
      </c>
      <c r="B10175" t="str">
        <f t="shared" si="2205"/>
        <v>72100000</v>
      </c>
      <c r="C10175" t="str">
        <f t="shared" si="2206"/>
        <v>72100632</v>
      </c>
      <c r="D10175" t="str">
        <f t="shared" si="2207"/>
        <v>816</v>
      </c>
      <c r="E10175" t="str">
        <f t="shared" si="2208"/>
        <v>89301091</v>
      </c>
      <c r="F10175" t="str">
        <f>"2259060078"</f>
        <v>2259060078</v>
      </c>
      <c r="G10175" s="1">
        <v>44817</v>
      </c>
      <c r="H10175" t="str">
        <f t="shared" si="2209"/>
        <v>94297</v>
      </c>
      <c r="I10175">
        <v>1</v>
      </c>
      <c r="J10175">
        <v>298</v>
      </c>
      <c r="K10175">
        <v>0</v>
      </c>
      <c r="L10175">
        <v>366.54</v>
      </c>
    </row>
    <row r="10176" spans="1:12" x14ac:dyDescent="0.25">
      <c r="A10176" t="str">
        <f t="shared" si="2194"/>
        <v>89301000</v>
      </c>
      <c r="B10176" t="str">
        <f t="shared" si="2205"/>
        <v>72100000</v>
      </c>
      <c r="C10176" t="str">
        <f t="shared" si="2206"/>
        <v>72100632</v>
      </c>
      <c r="D10176" t="str">
        <f t="shared" si="2207"/>
        <v>816</v>
      </c>
      <c r="E10176" t="str">
        <f t="shared" si="2208"/>
        <v>89301091</v>
      </c>
      <c r="F10176" t="str">
        <f>"2209060502"</f>
        <v>2209060502</v>
      </c>
      <c r="G10176" s="1">
        <v>44817</v>
      </c>
      <c r="H10176" t="str">
        <f t="shared" si="2209"/>
        <v>94297</v>
      </c>
      <c r="I10176">
        <v>1</v>
      </c>
      <c r="J10176">
        <v>298</v>
      </c>
      <c r="K10176">
        <v>0</v>
      </c>
      <c r="L10176">
        <v>366.54</v>
      </c>
    </row>
    <row r="10177" spans="1:12" x14ac:dyDescent="0.25">
      <c r="A10177" t="str">
        <f t="shared" si="2194"/>
        <v>89301000</v>
      </c>
      <c r="B10177" t="str">
        <f t="shared" si="2205"/>
        <v>72100000</v>
      </c>
      <c r="C10177" t="str">
        <f t="shared" si="2206"/>
        <v>72100632</v>
      </c>
      <c r="D10177" t="str">
        <f t="shared" si="2207"/>
        <v>816</v>
      </c>
      <c r="E10177" t="str">
        <f t="shared" si="2208"/>
        <v>89301091</v>
      </c>
      <c r="F10177" t="str">
        <f>"9352255704"</f>
        <v>9352255704</v>
      </c>
      <c r="G10177" s="1">
        <v>44818</v>
      </c>
      <c r="H10177" t="str">
        <f t="shared" si="2209"/>
        <v>94297</v>
      </c>
      <c r="I10177">
        <v>1</v>
      </c>
      <c r="J10177">
        <v>298</v>
      </c>
      <c r="K10177">
        <v>0</v>
      </c>
      <c r="L10177">
        <v>366.54</v>
      </c>
    </row>
    <row r="10178" spans="1:12" x14ac:dyDescent="0.25">
      <c r="A10178" t="str">
        <f t="shared" ref="A10178:A10241" si="2210">"89301000"</f>
        <v>89301000</v>
      </c>
      <c r="B10178" t="str">
        <f t="shared" si="2205"/>
        <v>72100000</v>
      </c>
      <c r="C10178" t="str">
        <f t="shared" si="2206"/>
        <v>72100632</v>
      </c>
      <c r="D10178" t="str">
        <f t="shared" si="2207"/>
        <v>816</v>
      </c>
      <c r="E10178" t="str">
        <f t="shared" si="2208"/>
        <v>89301091</v>
      </c>
      <c r="F10178" t="str">
        <f>"2259070638"</f>
        <v>2259070638</v>
      </c>
      <c r="G10178" s="1">
        <v>44818</v>
      </c>
      <c r="H10178" t="str">
        <f t="shared" si="2209"/>
        <v>94297</v>
      </c>
      <c r="I10178">
        <v>1</v>
      </c>
      <c r="J10178">
        <v>298</v>
      </c>
      <c r="K10178">
        <v>0</v>
      </c>
      <c r="L10178">
        <v>366.54</v>
      </c>
    </row>
    <row r="10179" spans="1:12" x14ac:dyDescent="0.25">
      <c r="A10179" t="str">
        <f t="shared" si="2210"/>
        <v>89301000</v>
      </c>
      <c r="B10179" t="str">
        <f t="shared" si="2205"/>
        <v>72100000</v>
      </c>
      <c r="C10179" t="str">
        <f t="shared" si="2206"/>
        <v>72100632</v>
      </c>
      <c r="D10179" t="str">
        <f t="shared" si="2207"/>
        <v>816</v>
      </c>
      <c r="E10179" t="str">
        <f t="shared" si="2208"/>
        <v>89301091</v>
      </c>
      <c r="F10179" t="str">
        <f>"2209070545"</f>
        <v>2209070545</v>
      </c>
      <c r="G10179" s="1">
        <v>44818</v>
      </c>
      <c r="H10179" t="str">
        <f t="shared" si="2209"/>
        <v>94297</v>
      </c>
      <c r="I10179">
        <v>1</v>
      </c>
      <c r="J10179">
        <v>298</v>
      </c>
      <c r="K10179">
        <v>0</v>
      </c>
      <c r="L10179">
        <v>366.54</v>
      </c>
    </row>
    <row r="10180" spans="1:12" x14ac:dyDescent="0.25">
      <c r="A10180" t="str">
        <f t="shared" si="2210"/>
        <v>89301000</v>
      </c>
      <c r="B10180" t="str">
        <f t="shared" si="2205"/>
        <v>72100000</v>
      </c>
      <c r="C10180" t="str">
        <f t="shared" si="2206"/>
        <v>72100632</v>
      </c>
      <c r="D10180" t="str">
        <f t="shared" si="2207"/>
        <v>816</v>
      </c>
      <c r="E10180" t="str">
        <f t="shared" si="2208"/>
        <v>89301091</v>
      </c>
      <c r="F10180" t="str">
        <f>"2259080615"</f>
        <v>2259080615</v>
      </c>
      <c r="G10180" s="1">
        <v>44818</v>
      </c>
      <c r="H10180" t="str">
        <f t="shared" si="2209"/>
        <v>94297</v>
      </c>
      <c r="I10180">
        <v>1</v>
      </c>
      <c r="J10180">
        <v>298</v>
      </c>
      <c r="K10180">
        <v>0</v>
      </c>
      <c r="L10180">
        <v>366.54</v>
      </c>
    </row>
    <row r="10181" spans="1:12" x14ac:dyDescent="0.25">
      <c r="A10181" t="str">
        <f t="shared" si="2210"/>
        <v>89301000</v>
      </c>
      <c r="B10181" t="str">
        <f t="shared" si="2205"/>
        <v>72100000</v>
      </c>
      <c r="C10181" t="str">
        <f t="shared" si="2206"/>
        <v>72100632</v>
      </c>
      <c r="D10181" t="str">
        <f t="shared" si="2207"/>
        <v>816</v>
      </c>
      <c r="E10181" t="str">
        <f t="shared" si="2208"/>
        <v>89301091</v>
      </c>
      <c r="F10181" t="str">
        <f>"2259080637"</f>
        <v>2259080637</v>
      </c>
      <c r="G10181" s="1">
        <v>44818</v>
      </c>
      <c r="H10181" t="str">
        <f t="shared" si="2209"/>
        <v>94297</v>
      </c>
      <c r="I10181">
        <v>1</v>
      </c>
      <c r="J10181">
        <v>298</v>
      </c>
      <c r="K10181">
        <v>0</v>
      </c>
      <c r="L10181">
        <v>366.54</v>
      </c>
    </row>
    <row r="10182" spans="1:12" x14ac:dyDescent="0.25">
      <c r="A10182" t="str">
        <f t="shared" si="2210"/>
        <v>89301000</v>
      </c>
      <c r="B10182" t="str">
        <f t="shared" si="2205"/>
        <v>72100000</v>
      </c>
      <c r="C10182" t="str">
        <f t="shared" si="2206"/>
        <v>72100632</v>
      </c>
      <c r="D10182" t="str">
        <f t="shared" si="2207"/>
        <v>816</v>
      </c>
      <c r="E10182" t="str">
        <f t="shared" si="2208"/>
        <v>89301091</v>
      </c>
      <c r="F10182" t="str">
        <f>"9554216188"</f>
        <v>9554216188</v>
      </c>
      <c r="G10182" s="1">
        <v>44818</v>
      </c>
      <c r="H10182" t="str">
        <f t="shared" si="2209"/>
        <v>94297</v>
      </c>
      <c r="I10182">
        <v>1</v>
      </c>
      <c r="J10182">
        <v>298</v>
      </c>
      <c r="K10182">
        <v>0</v>
      </c>
      <c r="L10182">
        <v>366.54</v>
      </c>
    </row>
    <row r="10183" spans="1:12" x14ac:dyDescent="0.25">
      <c r="A10183" t="str">
        <f t="shared" si="2210"/>
        <v>89301000</v>
      </c>
      <c r="B10183" t="str">
        <f t="shared" si="2205"/>
        <v>72100000</v>
      </c>
      <c r="C10183" t="str">
        <f t="shared" si="2206"/>
        <v>72100632</v>
      </c>
      <c r="D10183" t="str">
        <f t="shared" si="2207"/>
        <v>816</v>
      </c>
      <c r="E10183" t="str">
        <f t="shared" si="2208"/>
        <v>89301091</v>
      </c>
      <c r="F10183" t="str">
        <f>"8557295791"</f>
        <v>8557295791</v>
      </c>
      <c r="G10183" s="1">
        <v>44818</v>
      </c>
      <c r="H10183" t="str">
        <f t="shared" si="2209"/>
        <v>94297</v>
      </c>
      <c r="I10183">
        <v>1</v>
      </c>
      <c r="J10183">
        <v>298</v>
      </c>
      <c r="K10183">
        <v>0</v>
      </c>
      <c r="L10183">
        <v>366.54</v>
      </c>
    </row>
    <row r="10184" spans="1:12" x14ac:dyDescent="0.25">
      <c r="A10184" t="str">
        <f t="shared" si="2210"/>
        <v>89301000</v>
      </c>
      <c r="B10184" t="str">
        <f t="shared" si="2205"/>
        <v>72100000</v>
      </c>
      <c r="C10184" t="str">
        <f t="shared" si="2206"/>
        <v>72100632</v>
      </c>
      <c r="D10184" t="str">
        <f t="shared" si="2207"/>
        <v>816</v>
      </c>
      <c r="E10184" t="str">
        <f t="shared" si="2208"/>
        <v>89301091</v>
      </c>
      <c r="F10184" t="str">
        <f>"2209100619"</f>
        <v>2209100619</v>
      </c>
      <c r="G10184" s="1">
        <v>44819</v>
      </c>
      <c r="H10184" t="str">
        <f t="shared" si="2209"/>
        <v>94297</v>
      </c>
      <c r="I10184">
        <v>1</v>
      </c>
      <c r="J10184">
        <v>298</v>
      </c>
      <c r="K10184">
        <v>0</v>
      </c>
      <c r="L10184">
        <v>366.54</v>
      </c>
    </row>
    <row r="10185" spans="1:12" x14ac:dyDescent="0.25">
      <c r="A10185" t="str">
        <f t="shared" si="2210"/>
        <v>89301000</v>
      </c>
      <c r="B10185" t="str">
        <f t="shared" si="2205"/>
        <v>72100000</v>
      </c>
      <c r="C10185" t="str">
        <f t="shared" si="2206"/>
        <v>72100632</v>
      </c>
      <c r="D10185" t="str">
        <f t="shared" si="2207"/>
        <v>816</v>
      </c>
      <c r="E10185" t="str">
        <f t="shared" si="2208"/>
        <v>89301091</v>
      </c>
      <c r="F10185" t="str">
        <f>"2209100630"</f>
        <v>2209100630</v>
      </c>
      <c r="G10185" s="1">
        <v>44819</v>
      </c>
      <c r="H10185" t="str">
        <f t="shared" si="2209"/>
        <v>94297</v>
      </c>
      <c r="I10185">
        <v>1</v>
      </c>
      <c r="J10185">
        <v>298</v>
      </c>
      <c r="K10185">
        <v>0</v>
      </c>
      <c r="L10185">
        <v>366.54</v>
      </c>
    </row>
    <row r="10186" spans="1:12" x14ac:dyDescent="0.25">
      <c r="A10186" t="str">
        <f t="shared" si="2210"/>
        <v>89301000</v>
      </c>
      <c r="B10186" t="str">
        <f t="shared" si="2205"/>
        <v>72100000</v>
      </c>
      <c r="C10186" t="str">
        <f t="shared" si="2206"/>
        <v>72100632</v>
      </c>
      <c r="D10186" t="str">
        <f t="shared" si="2207"/>
        <v>816</v>
      </c>
      <c r="E10186" t="str">
        <f t="shared" si="2208"/>
        <v>89301091</v>
      </c>
      <c r="F10186" t="str">
        <f>"2209100641"</f>
        <v>2209100641</v>
      </c>
      <c r="G10186" s="1">
        <v>44819</v>
      </c>
      <c r="H10186" t="str">
        <f t="shared" si="2209"/>
        <v>94297</v>
      </c>
      <c r="I10186">
        <v>1</v>
      </c>
      <c r="J10186">
        <v>298</v>
      </c>
      <c r="K10186">
        <v>0</v>
      </c>
      <c r="L10186">
        <v>366.54</v>
      </c>
    </row>
    <row r="10187" spans="1:12" x14ac:dyDescent="0.25">
      <c r="A10187" t="str">
        <f t="shared" si="2210"/>
        <v>89301000</v>
      </c>
      <c r="B10187" t="str">
        <f t="shared" si="2205"/>
        <v>72100000</v>
      </c>
      <c r="C10187" t="str">
        <f t="shared" si="2206"/>
        <v>72100632</v>
      </c>
      <c r="D10187" t="str">
        <f t="shared" si="2207"/>
        <v>816</v>
      </c>
      <c r="E10187" t="str">
        <f t="shared" si="2208"/>
        <v>89301091</v>
      </c>
      <c r="F10187" t="str">
        <f>"2209100663"</f>
        <v>2209100663</v>
      </c>
      <c r="G10187" s="1">
        <v>44819</v>
      </c>
      <c r="H10187" t="str">
        <f t="shared" si="2209"/>
        <v>94297</v>
      </c>
      <c r="I10187">
        <v>1</v>
      </c>
      <c r="J10187">
        <v>298</v>
      </c>
      <c r="K10187">
        <v>0</v>
      </c>
      <c r="L10187">
        <v>366.54</v>
      </c>
    </row>
    <row r="10188" spans="1:12" x14ac:dyDescent="0.25">
      <c r="A10188" t="str">
        <f t="shared" si="2210"/>
        <v>89301000</v>
      </c>
      <c r="B10188" t="str">
        <f t="shared" ref="B10188:B10219" si="2211">"72100000"</f>
        <v>72100000</v>
      </c>
      <c r="C10188" t="str">
        <f t="shared" ref="C10188:C10219" si="2212">"72100632"</f>
        <v>72100632</v>
      </c>
      <c r="D10188" t="str">
        <f t="shared" ref="D10188:D10219" si="2213">"816"</f>
        <v>816</v>
      </c>
      <c r="E10188" t="str">
        <f t="shared" ref="E10188:E10219" si="2214">"89301091"</f>
        <v>89301091</v>
      </c>
      <c r="F10188" t="str">
        <f>"2209110530"</f>
        <v>2209110530</v>
      </c>
      <c r="G10188" s="1">
        <v>44823</v>
      </c>
      <c r="H10188" t="str">
        <f t="shared" ref="H10188:H10219" si="2215">"94297"</f>
        <v>94297</v>
      </c>
      <c r="I10188">
        <v>1</v>
      </c>
      <c r="J10188">
        <v>298</v>
      </c>
      <c r="K10188">
        <v>0</v>
      </c>
      <c r="L10188">
        <v>366.54</v>
      </c>
    </row>
    <row r="10189" spans="1:12" x14ac:dyDescent="0.25">
      <c r="A10189" t="str">
        <f t="shared" si="2210"/>
        <v>89301000</v>
      </c>
      <c r="B10189" t="str">
        <f t="shared" si="2211"/>
        <v>72100000</v>
      </c>
      <c r="C10189" t="str">
        <f t="shared" si="2212"/>
        <v>72100632</v>
      </c>
      <c r="D10189" t="str">
        <f t="shared" si="2213"/>
        <v>816</v>
      </c>
      <c r="E10189" t="str">
        <f t="shared" si="2214"/>
        <v>89301091</v>
      </c>
      <c r="F10189" t="str">
        <f>"2209110541"</f>
        <v>2209110541</v>
      </c>
      <c r="G10189" s="1">
        <v>44823</v>
      </c>
      <c r="H10189" t="str">
        <f t="shared" si="2215"/>
        <v>94297</v>
      </c>
      <c r="I10189">
        <v>1</v>
      </c>
      <c r="J10189">
        <v>298</v>
      </c>
      <c r="K10189">
        <v>0</v>
      </c>
      <c r="L10189">
        <v>366.54</v>
      </c>
    </row>
    <row r="10190" spans="1:12" x14ac:dyDescent="0.25">
      <c r="A10190" t="str">
        <f t="shared" si="2210"/>
        <v>89301000</v>
      </c>
      <c r="B10190" t="str">
        <f t="shared" si="2211"/>
        <v>72100000</v>
      </c>
      <c r="C10190" t="str">
        <f t="shared" si="2212"/>
        <v>72100632</v>
      </c>
      <c r="D10190" t="str">
        <f t="shared" si="2213"/>
        <v>816</v>
      </c>
      <c r="E10190" t="str">
        <f t="shared" si="2214"/>
        <v>89301091</v>
      </c>
      <c r="F10190" t="str">
        <f>"9555086167"</f>
        <v>9555086167</v>
      </c>
      <c r="G10190" s="1">
        <v>44823</v>
      </c>
      <c r="H10190" t="str">
        <f t="shared" si="2215"/>
        <v>94297</v>
      </c>
      <c r="I10190">
        <v>1</v>
      </c>
      <c r="J10190">
        <v>298</v>
      </c>
      <c r="K10190">
        <v>0</v>
      </c>
      <c r="L10190">
        <v>366.54</v>
      </c>
    </row>
    <row r="10191" spans="1:12" x14ac:dyDescent="0.25">
      <c r="A10191" t="str">
        <f t="shared" si="2210"/>
        <v>89301000</v>
      </c>
      <c r="B10191" t="str">
        <f t="shared" si="2211"/>
        <v>72100000</v>
      </c>
      <c r="C10191" t="str">
        <f t="shared" si="2212"/>
        <v>72100632</v>
      </c>
      <c r="D10191" t="str">
        <f t="shared" si="2213"/>
        <v>816</v>
      </c>
      <c r="E10191" t="str">
        <f t="shared" si="2214"/>
        <v>89301091</v>
      </c>
      <c r="F10191" t="str">
        <f>"2209120111"</f>
        <v>2209120111</v>
      </c>
      <c r="G10191" s="1">
        <v>44823</v>
      </c>
      <c r="H10191" t="str">
        <f t="shared" si="2215"/>
        <v>94297</v>
      </c>
      <c r="I10191">
        <v>1</v>
      </c>
      <c r="J10191">
        <v>298</v>
      </c>
      <c r="K10191">
        <v>0</v>
      </c>
      <c r="L10191">
        <v>366.54</v>
      </c>
    </row>
    <row r="10192" spans="1:12" x14ac:dyDescent="0.25">
      <c r="A10192" t="str">
        <f t="shared" si="2210"/>
        <v>89301000</v>
      </c>
      <c r="B10192" t="str">
        <f t="shared" si="2211"/>
        <v>72100000</v>
      </c>
      <c r="C10192" t="str">
        <f t="shared" si="2212"/>
        <v>72100632</v>
      </c>
      <c r="D10192" t="str">
        <f t="shared" si="2213"/>
        <v>816</v>
      </c>
      <c r="E10192" t="str">
        <f t="shared" si="2214"/>
        <v>89301091</v>
      </c>
      <c r="F10192" t="str">
        <f>"2209120573"</f>
        <v>2209120573</v>
      </c>
      <c r="G10192" s="1">
        <v>44823</v>
      </c>
      <c r="H10192" t="str">
        <f t="shared" si="2215"/>
        <v>94297</v>
      </c>
      <c r="I10192">
        <v>1</v>
      </c>
      <c r="J10192">
        <v>298</v>
      </c>
      <c r="K10192">
        <v>0</v>
      </c>
      <c r="L10192">
        <v>366.54</v>
      </c>
    </row>
    <row r="10193" spans="1:12" x14ac:dyDescent="0.25">
      <c r="A10193" t="str">
        <f t="shared" si="2210"/>
        <v>89301000</v>
      </c>
      <c r="B10193" t="str">
        <f t="shared" si="2211"/>
        <v>72100000</v>
      </c>
      <c r="C10193" t="str">
        <f t="shared" si="2212"/>
        <v>72100632</v>
      </c>
      <c r="D10193" t="str">
        <f t="shared" si="2213"/>
        <v>816</v>
      </c>
      <c r="E10193" t="str">
        <f t="shared" si="2214"/>
        <v>89301091</v>
      </c>
      <c r="F10193" t="str">
        <f>"2209120628"</f>
        <v>2209120628</v>
      </c>
      <c r="G10193" s="1">
        <v>44824</v>
      </c>
      <c r="H10193" t="str">
        <f t="shared" si="2215"/>
        <v>94297</v>
      </c>
      <c r="I10193">
        <v>1</v>
      </c>
      <c r="J10193">
        <v>298</v>
      </c>
      <c r="K10193">
        <v>0</v>
      </c>
      <c r="L10193">
        <v>366.54</v>
      </c>
    </row>
    <row r="10194" spans="1:12" x14ac:dyDescent="0.25">
      <c r="A10194" t="str">
        <f t="shared" si="2210"/>
        <v>89301000</v>
      </c>
      <c r="B10194" t="str">
        <f t="shared" si="2211"/>
        <v>72100000</v>
      </c>
      <c r="C10194" t="str">
        <f t="shared" si="2212"/>
        <v>72100632</v>
      </c>
      <c r="D10194" t="str">
        <f t="shared" si="2213"/>
        <v>816</v>
      </c>
      <c r="E10194" t="str">
        <f t="shared" si="2214"/>
        <v>89301091</v>
      </c>
      <c r="F10194" t="str">
        <f>"8654085770"</f>
        <v>8654085770</v>
      </c>
      <c r="G10194" s="1">
        <v>44824</v>
      </c>
      <c r="H10194" t="str">
        <f t="shared" si="2215"/>
        <v>94297</v>
      </c>
      <c r="I10194">
        <v>1</v>
      </c>
      <c r="J10194">
        <v>298</v>
      </c>
      <c r="K10194">
        <v>0</v>
      </c>
      <c r="L10194">
        <v>366.54</v>
      </c>
    </row>
    <row r="10195" spans="1:12" x14ac:dyDescent="0.25">
      <c r="A10195" t="str">
        <f t="shared" si="2210"/>
        <v>89301000</v>
      </c>
      <c r="B10195" t="str">
        <f t="shared" si="2211"/>
        <v>72100000</v>
      </c>
      <c r="C10195" t="str">
        <f t="shared" si="2212"/>
        <v>72100632</v>
      </c>
      <c r="D10195" t="str">
        <f t="shared" si="2213"/>
        <v>816</v>
      </c>
      <c r="E10195" t="str">
        <f t="shared" si="2214"/>
        <v>89301091</v>
      </c>
      <c r="F10195" t="str">
        <f>"2259130115"</f>
        <v>2259130115</v>
      </c>
      <c r="G10195" s="1">
        <v>44824</v>
      </c>
      <c r="H10195" t="str">
        <f t="shared" si="2215"/>
        <v>94297</v>
      </c>
      <c r="I10195">
        <v>1</v>
      </c>
      <c r="J10195">
        <v>298</v>
      </c>
      <c r="K10195">
        <v>0</v>
      </c>
      <c r="L10195">
        <v>366.54</v>
      </c>
    </row>
    <row r="10196" spans="1:12" x14ac:dyDescent="0.25">
      <c r="A10196" t="str">
        <f t="shared" si="2210"/>
        <v>89301000</v>
      </c>
      <c r="B10196" t="str">
        <f t="shared" si="2211"/>
        <v>72100000</v>
      </c>
      <c r="C10196" t="str">
        <f t="shared" si="2212"/>
        <v>72100632</v>
      </c>
      <c r="D10196" t="str">
        <f t="shared" si="2213"/>
        <v>816</v>
      </c>
      <c r="E10196" t="str">
        <f t="shared" si="2214"/>
        <v>89301091</v>
      </c>
      <c r="F10196" t="str">
        <f>"2259130643"</f>
        <v>2259130643</v>
      </c>
      <c r="G10196" s="1">
        <v>44824</v>
      </c>
      <c r="H10196" t="str">
        <f t="shared" si="2215"/>
        <v>94297</v>
      </c>
      <c r="I10196">
        <v>1</v>
      </c>
      <c r="J10196">
        <v>298</v>
      </c>
      <c r="K10196">
        <v>0</v>
      </c>
      <c r="L10196">
        <v>366.54</v>
      </c>
    </row>
    <row r="10197" spans="1:12" x14ac:dyDescent="0.25">
      <c r="A10197" t="str">
        <f t="shared" si="2210"/>
        <v>89301000</v>
      </c>
      <c r="B10197" t="str">
        <f t="shared" si="2211"/>
        <v>72100000</v>
      </c>
      <c r="C10197" t="str">
        <f t="shared" si="2212"/>
        <v>72100632</v>
      </c>
      <c r="D10197" t="str">
        <f t="shared" si="2213"/>
        <v>816</v>
      </c>
      <c r="E10197" t="str">
        <f t="shared" si="2214"/>
        <v>89301091</v>
      </c>
      <c r="F10197" t="str">
        <f>"2209130627"</f>
        <v>2209130627</v>
      </c>
      <c r="G10197" s="1">
        <v>44824</v>
      </c>
      <c r="H10197" t="str">
        <f t="shared" si="2215"/>
        <v>94297</v>
      </c>
      <c r="I10197">
        <v>1</v>
      </c>
      <c r="J10197">
        <v>298</v>
      </c>
      <c r="K10197">
        <v>0</v>
      </c>
      <c r="L10197">
        <v>366.54</v>
      </c>
    </row>
    <row r="10198" spans="1:12" x14ac:dyDescent="0.25">
      <c r="A10198" t="str">
        <f t="shared" si="2210"/>
        <v>89301000</v>
      </c>
      <c r="B10198" t="str">
        <f t="shared" si="2211"/>
        <v>72100000</v>
      </c>
      <c r="C10198" t="str">
        <f t="shared" si="2212"/>
        <v>72100632</v>
      </c>
      <c r="D10198" t="str">
        <f t="shared" si="2213"/>
        <v>816</v>
      </c>
      <c r="E10198" t="str">
        <f t="shared" si="2214"/>
        <v>89301091</v>
      </c>
      <c r="F10198" t="str">
        <f>"2259130654"</f>
        <v>2259130654</v>
      </c>
      <c r="G10198" s="1">
        <v>44825</v>
      </c>
      <c r="H10198" t="str">
        <f t="shared" si="2215"/>
        <v>94297</v>
      </c>
      <c r="I10198">
        <v>1</v>
      </c>
      <c r="J10198">
        <v>298</v>
      </c>
      <c r="K10198">
        <v>0</v>
      </c>
      <c r="L10198">
        <v>366.54</v>
      </c>
    </row>
    <row r="10199" spans="1:12" x14ac:dyDescent="0.25">
      <c r="A10199" t="str">
        <f t="shared" si="2210"/>
        <v>89301000</v>
      </c>
      <c r="B10199" t="str">
        <f t="shared" si="2211"/>
        <v>72100000</v>
      </c>
      <c r="C10199" t="str">
        <f t="shared" si="2212"/>
        <v>72100632</v>
      </c>
      <c r="D10199" t="str">
        <f t="shared" si="2213"/>
        <v>816</v>
      </c>
      <c r="E10199" t="str">
        <f t="shared" si="2214"/>
        <v>89301091</v>
      </c>
      <c r="F10199" t="str">
        <f>"2209130594"</f>
        <v>2209130594</v>
      </c>
      <c r="G10199" s="1">
        <v>44825</v>
      </c>
      <c r="H10199" t="str">
        <f t="shared" si="2215"/>
        <v>94297</v>
      </c>
      <c r="I10199">
        <v>1</v>
      </c>
      <c r="J10199">
        <v>298</v>
      </c>
      <c r="K10199">
        <v>0</v>
      </c>
      <c r="L10199">
        <v>366.54</v>
      </c>
    </row>
    <row r="10200" spans="1:12" x14ac:dyDescent="0.25">
      <c r="A10200" t="str">
        <f t="shared" si="2210"/>
        <v>89301000</v>
      </c>
      <c r="B10200" t="str">
        <f t="shared" si="2211"/>
        <v>72100000</v>
      </c>
      <c r="C10200" t="str">
        <f t="shared" si="2212"/>
        <v>72100632</v>
      </c>
      <c r="D10200" t="str">
        <f t="shared" si="2213"/>
        <v>816</v>
      </c>
      <c r="E10200" t="str">
        <f t="shared" si="2214"/>
        <v>89301091</v>
      </c>
      <c r="F10200" t="str">
        <f>"2259140147"</f>
        <v>2259140147</v>
      </c>
      <c r="G10200" s="1">
        <v>44825</v>
      </c>
      <c r="H10200" t="str">
        <f t="shared" si="2215"/>
        <v>94297</v>
      </c>
      <c r="I10200">
        <v>1</v>
      </c>
      <c r="J10200">
        <v>298</v>
      </c>
      <c r="K10200">
        <v>0</v>
      </c>
      <c r="L10200">
        <v>366.54</v>
      </c>
    </row>
    <row r="10201" spans="1:12" x14ac:dyDescent="0.25">
      <c r="A10201" t="str">
        <f t="shared" si="2210"/>
        <v>89301000</v>
      </c>
      <c r="B10201" t="str">
        <f t="shared" si="2211"/>
        <v>72100000</v>
      </c>
      <c r="C10201" t="str">
        <f t="shared" si="2212"/>
        <v>72100632</v>
      </c>
      <c r="D10201" t="str">
        <f t="shared" si="2213"/>
        <v>816</v>
      </c>
      <c r="E10201" t="str">
        <f t="shared" si="2214"/>
        <v>89301091</v>
      </c>
      <c r="F10201" t="str">
        <f>"2209150042"</f>
        <v>2209150042</v>
      </c>
      <c r="G10201" s="1">
        <v>44825</v>
      </c>
      <c r="H10201" t="str">
        <f t="shared" si="2215"/>
        <v>94297</v>
      </c>
      <c r="I10201">
        <v>1</v>
      </c>
      <c r="J10201">
        <v>298</v>
      </c>
      <c r="K10201">
        <v>0</v>
      </c>
      <c r="L10201">
        <v>366.54</v>
      </c>
    </row>
    <row r="10202" spans="1:12" x14ac:dyDescent="0.25">
      <c r="A10202" t="str">
        <f t="shared" si="2210"/>
        <v>89301000</v>
      </c>
      <c r="B10202" t="str">
        <f t="shared" si="2211"/>
        <v>72100000</v>
      </c>
      <c r="C10202" t="str">
        <f t="shared" si="2212"/>
        <v>72100632</v>
      </c>
      <c r="D10202" t="str">
        <f t="shared" si="2213"/>
        <v>816</v>
      </c>
      <c r="E10202" t="str">
        <f t="shared" si="2214"/>
        <v>89301091</v>
      </c>
      <c r="F10202" t="str">
        <f>"2259150740"</f>
        <v>2259150740</v>
      </c>
      <c r="G10202" s="1">
        <v>44825</v>
      </c>
      <c r="H10202" t="str">
        <f t="shared" si="2215"/>
        <v>94297</v>
      </c>
      <c r="I10202">
        <v>1</v>
      </c>
      <c r="J10202">
        <v>298</v>
      </c>
      <c r="K10202">
        <v>0</v>
      </c>
      <c r="L10202">
        <v>366.54</v>
      </c>
    </row>
    <row r="10203" spans="1:12" x14ac:dyDescent="0.25">
      <c r="A10203" t="str">
        <f t="shared" si="2210"/>
        <v>89301000</v>
      </c>
      <c r="B10203" t="str">
        <f t="shared" si="2211"/>
        <v>72100000</v>
      </c>
      <c r="C10203" t="str">
        <f t="shared" si="2212"/>
        <v>72100632</v>
      </c>
      <c r="D10203" t="str">
        <f t="shared" si="2213"/>
        <v>816</v>
      </c>
      <c r="E10203" t="str">
        <f t="shared" si="2214"/>
        <v>89301091</v>
      </c>
      <c r="F10203" t="str">
        <f>"2209150746"</f>
        <v>2209150746</v>
      </c>
      <c r="G10203" s="1">
        <v>44825</v>
      </c>
      <c r="H10203" t="str">
        <f t="shared" si="2215"/>
        <v>94297</v>
      </c>
      <c r="I10203">
        <v>1</v>
      </c>
      <c r="J10203">
        <v>298</v>
      </c>
      <c r="K10203">
        <v>0</v>
      </c>
      <c r="L10203">
        <v>366.54</v>
      </c>
    </row>
    <row r="10204" spans="1:12" x14ac:dyDescent="0.25">
      <c r="A10204" t="str">
        <f t="shared" si="2210"/>
        <v>89301000</v>
      </c>
      <c r="B10204" t="str">
        <f t="shared" si="2211"/>
        <v>72100000</v>
      </c>
      <c r="C10204" t="str">
        <f t="shared" si="2212"/>
        <v>72100632</v>
      </c>
      <c r="D10204" t="str">
        <f t="shared" si="2213"/>
        <v>816</v>
      </c>
      <c r="E10204" t="str">
        <f t="shared" si="2214"/>
        <v>89301091</v>
      </c>
      <c r="F10204" t="str">
        <f>"2259150762"</f>
        <v>2259150762</v>
      </c>
      <c r="G10204" s="1">
        <v>44825</v>
      </c>
      <c r="H10204" t="str">
        <f t="shared" si="2215"/>
        <v>94297</v>
      </c>
      <c r="I10204">
        <v>1</v>
      </c>
      <c r="J10204">
        <v>298</v>
      </c>
      <c r="K10204">
        <v>0</v>
      </c>
      <c r="L10204">
        <v>366.54</v>
      </c>
    </row>
    <row r="10205" spans="1:12" x14ac:dyDescent="0.25">
      <c r="A10205" t="str">
        <f t="shared" si="2210"/>
        <v>89301000</v>
      </c>
      <c r="B10205" t="str">
        <f t="shared" si="2211"/>
        <v>72100000</v>
      </c>
      <c r="C10205" t="str">
        <f t="shared" si="2212"/>
        <v>72100632</v>
      </c>
      <c r="D10205" t="str">
        <f t="shared" si="2213"/>
        <v>816</v>
      </c>
      <c r="E10205" t="str">
        <f t="shared" si="2214"/>
        <v>89301091</v>
      </c>
      <c r="F10205" t="str">
        <f>"2209150757"</f>
        <v>2209150757</v>
      </c>
      <c r="G10205" s="1">
        <v>44825</v>
      </c>
      <c r="H10205" t="str">
        <f t="shared" si="2215"/>
        <v>94297</v>
      </c>
      <c r="I10205">
        <v>1</v>
      </c>
      <c r="J10205">
        <v>298</v>
      </c>
      <c r="K10205">
        <v>0</v>
      </c>
      <c r="L10205">
        <v>366.54</v>
      </c>
    </row>
    <row r="10206" spans="1:12" x14ac:dyDescent="0.25">
      <c r="A10206" t="str">
        <f t="shared" si="2210"/>
        <v>89301000</v>
      </c>
      <c r="B10206" t="str">
        <f t="shared" si="2211"/>
        <v>72100000</v>
      </c>
      <c r="C10206" t="str">
        <f t="shared" si="2212"/>
        <v>72100632</v>
      </c>
      <c r="D10206" t="str">
        <f t="shared" si="2213"/>
        <v>816</v>
      </c>
      <c r="E10206" t="str">
        <f t="shared" si="2214"/>
        <v>89301091</v>
      </c>
      <c r="F10206" t="str">
        <f>"2209150768"</f>
        <v>2209150768</v>
      </c>
      <c r="G10206" s="1">
        <v>44825</v>
      </c>
      <c r="H10206" t="str">
        <f t="shared" si="2215"/>
        <v>94297</v>
      </c>
      <c r="I10206">
        <v>1</v>
      </c>
      <c r="J10206">
        <v>298</v>
      </c>
      <c r="K10206">
        <v>0</v>
      </c>
      <c r="L10206">
        <v>366.54</v>
      </c>
    </row>
    <row r="10207" spans="1:12" x14ac:dyDescent="0.25">
      <c r="A10207" t="str">
        <f t="shared" si="2210"/>
        <v>89301000</v>
      </c>
      <c r="B10207" t="str">
        <f t="shared" si="2211"/>
        <v>72100000</v>
      </c>
      <c r="C10207" t="str">
        <f t="shared" si="2212"/>
        <v>72100632</v>
      </c>
      <c r="D10207" t="str">
        <f t="shared" si="2213"/>
        <v>816</v>
      </c>
      <c r="E10207" t="str">
        <f t="shared" si="2214"/>
        <v>89301091</v>
      </c>
      <c r="F10207" t="str">
        <f>"2259160112"</f>
        <v>2259160112</v>
      </c>
      <c r="G10207" s="1">
        <v>44825</v>
      </c>
      <c r="H10207" t="str">
        <f t="shared" si="2215"/>
        <v>94297</v>
      </c>
      <c r="I10207">
        <v>1</v>
      </c>
      <c r="J10207">
        <v>298</v>
      </c>
      <c r="K10207">
        <v>0</v>
      </c>
      <c r="L10207">
        <v>366.54</v>
      </c>
    </row>
    <row r="10208" spans="1:12" x14ac:dyDescent="0.25">
      <c r="A10208" t="str">
        <f t="shared" si="2210"/>
        <v>89301000</v>
      </c>
      <c r="B10208" t="str">
        <f t="shared" si="2211"/>
        <v>72100000</v>
      </c>
      <c r="C10208" t="str">
        <f t="shared" si="2212"/>
        <v>72100632</v>
      </c>
      <c r="D10208" t="str">
        <f t="shared" si="2213"/>
        <v>816</v>
      </c>
      <c r="E10208" t="str">
        <f t="shared" si="2214"/>
        <v>89301091</v>
      </c>
      <c r="F10208" t="str">
        <f>"2209160173"</f>
        <v>2209160173</v>
      </c>
      <c r="G10208" s="1">
        <v>44825</v>
      </c>
      <c r="H10208" t="str">
        <f t="shared" si="2215"/>
        <v>94297</v>
      </c>
      <c r="I10208">
        <v>1</v>
      </c>
      <c r="J10208">
        <v>298</v>
      </c>
      <c r="K10208">
        <v>0</v>
      </c>
      <c r="L10208">
        <v>366.54</v>
      </c>
    </row>
    <row r="10209" spans="1:12" x14ac:dyDescent="0.25">
      <c r="A10209" t="str">
        <f t="shared" si="2210"/>
        <v>89301000</v>
      </c>
      <c r="B10209" t="str">
        <f t="shared" si="2211"/>
        <v>72100000</v>
      </c>
      <c r="C10209" t="str">
        <f t="shared" si="2212"/>
        <v>72100632</v>
      </c>
      <c r="D10209" t="str">
        <f t="shared" si="2213"/>
        <v>816</v>
      </c>
      <c r="E10209" t="str">
        <f t="shared" si="2214"/>
        <v>89301091</v>
      </c>
      <c r="F10209" t="str">
        <f>"2209160184"</f>
        <v>2209160184</v>
      </c>
      <c r="G10209" s="1">
        <v>44825</v>
      </c>
      <c r="H10209" t="str">
        <f t="shared" si="2215"/>
        <v>94297</v>
      </c>
      <c r="I10209">
        <v>1</v>
      </c>
      <c r="J10209">
        <v>298</v>
      </c>
      <c r="K10209">
        <v>0</v>
      </c>
      <c r="L10209">
        <v>366.54</v>
      </c>
    </row>
    <row r="10210" spans="1:12" x14ac:dyDescent="0.25">
      <c r="A10210" t="str">
        <f t="shared" si="2210"/>
        <v>89301000</v>
      </c>
      <c r="B10210" t="str">
        <f t="shared" si="2211"/>
        <v>72100000</v>
      </c>
      <c r="C10210" t="str">
        <f t="shared" si="2212"/>
        <v>72100632</v>
      </c>
      <c r="D10210" t="str">
        <f t="shared" si="2213"/>
        <v>816</v>
      </c>
      <c r="E10210" t="str">
        <f t="shared" si="2214"/>
        <v>89301091</v>
      </c>
      <c r="F10210" t="str">
        <f>"2259160662"</f>
        <v>2259160662</v>
      </c>
      <c r="G10210" s="1">
        <v>44827</v>
      </c>
      <c r="H10210" t="str">
        <f t="shared" si="2215"/>
        <v>94297</v>
      </c>
      <c r="I10210">
        <v>1</v>
      </c>
      <c r="J10210">
        <v>298</v>
      </c>
      <c r="K10210">
        <v>0</v>
      </c>
      <c r="L10210">
        <v>366.54</v>
      </c>
    </row>
    <row r="10211" spans="1:12" x14ac:dyDescent="0.25">
      <c r="A10211" t="str">
        <f t="shared" si="2210"/>
        <v>89301000</v>
      </c>
      <c r="B10211" t="str">
        <f t="shared" si="2211"/>
        <v>72100000</v>
      </c>
      <c r="C10211" t="str">
        <f t="shared" si="2212"/>
        <v>72100632</v>
      </c>
      <c r="D10211" t="str">
        <f t="shared" si="2213"/>
        <v>816</v>
      </c>
      <c r="E10211" t="str">
        <f t="shared" si="2214"/>
        <v>89301091</v>
      </c>
      <c r="F10211" t="str">
        <f>"8554104911"</f>
        <v>8554104911</v>
      </c>
      <c r="G10211" s="1">
        <v>44827</v>
      </c>
      <c r="H10211" t="str">
        <f t="shared" si="2215"/>
        <v>94297</v>
      </c>
      <c r="I10211">
        <v>1</v>
      </c>
      <c r="J10211">
        <v>298</v>
      </c>
      <c r="K10211">
        <v>0</v>
      </c>
      <c r="L10211">
        <v>366.54</v>
      </c>
    </row>
    <row r="10212" spans="1:12" x14ac:dyDescent="0.25">
      <c r="A10212" t="str">
        <f t="shared" si="2210"/>
        <v>89301000</v>
      </c>
      <c r="B10212" t="str">
        <f t="shared" si="2211"/>
        <v>72100000</v>
      </c>
      <c r="C10212" t="str">
        <f t="shared" si="2212"/>
        <v>72100632</v>
      </c>
      <c r="D10212" t="str">
        <f t="shared" si="2213"/>
        <v>816</v>
      </c>
      <c r="E10212" t="str">
        <f t="shared" si="2214"/>
        <v>89301091</v>
      </c>
      <c r="F10212" t="str">
        <f>"2209180281"</f>
        <v>2209180281</v>
      </c>
      <c r="G10212" s="1">
        <v>44827</v>
      </c>
      <c r="H10212" t="str">
        <f t="shared" si="2215"/>
        <v>94297</v>
      </c>
      <c r="I10212">
        <v>1</v>
      </c>
      <c r="J10212">
        <v>298</v>
      </c>
      <c r="K10212">
        <v>0</v>
      </c>
      <c r="L10212">
        <v>366.54</v>
      </c>
    </row>
    <row r="10213" spans="1:12" x14ac:dyDescent="0.25">
      <c r="A10213" t="str">
        <f t="shared" si="2210"/>
        <v>89301000</v>
      </c>
      <c r="B10213" t="str">
        <f t="shared" si="2211"/>
        <v>72100000</v>
      </c>
      <c r="C10213" t="str">
        <f t="shared" si="2212"/>
        <v>72100632</v>
      </c>
      <c r="D10213" t="str">
        <f t="shared" si="2213"/>
        <v>816</v>
      </c>
      <c r="E10213" t="str">
        <f t="shared" si="2214"/>
        <v>89301091</v>
      </c>
      <c r="F10213" t="str">
        <f>"9259256182"</f>
        <v>9259256182</v>
      </c>
      <c r="G10213" s="1">
        <v>44827</v>
      </c>
      <c r="H10213" t="str">
        <f t="shared" si="2215"/>
        <v>94297</v>
      </c>
      <c r="I10213">
        <v>1</v>
      </c>
      <c r="J10213">
        <v>298</v>
      </c>
      <c r="K10213">
        <v>0</v>
      </c>
      <c r="L10213">
        <v>366.54</v>
      </c>
    </row>
    <row r="10214" spans="1:12" x14ac:dyDescent="0.25">
      <c r="A10214" t="str">
        <f t="shared" si="2210"/>
        <v>89301000</v>
      </c>
      <c r="B10214" t="str">
        <f t="shared" si="2211"/>
        <v>72100000</v>
      </c>
      <c r="C10214" t="str">
        <f t="shared" si="2212"/>
        <v>72100632</v>
      </c>
      <c r="D10214" t="str">
        <f t="shared" si="2213"/>
        <v>816</v>
      </c>
      <c r="E10214" t="str">
        <f t="shared" si="2214"/>
        <v>89301091</v>
      </c>
      <c r="F10214" t="str">
        <f>"2209190742"</f>
        <v>2209190742</v>
      </c>
      <c r="G10214" s="1">
        <v>44830</v>
      </c>
      <c r="H10214" t="str">
        <f t="shared" si="2215"/>
        <v>94297</v>
      </c>
      <c r="I10214">
        <v>1</v>
      </c>
      <c r="J10214">
        <v>298</v>
      </c>
      <c r="K10214">
        <v>0</v>
      </c>
      <c r="L10214">
        <v>366.54</v>
      </c>
    </row>
    <row r="10215" spans="1:12" x14ac:dyDescent="0.25">
      <c r="A10215" t="str">
        <f t="shared" si="2210"/>
        <v>89301000</v>
      </c>
      <c r="B10215" t="str">
        <f t="shared" si="2211"/>
        <v>72100000</v>
      </c>
      <c r="C10215" t="str">
        <f t="shared" si="2212"/>
        <v>72100632</v>
      </c>
      <c r="D10215" t="str">
        <f t="shared" si="2213"/>
        <v>816</v>
      </c>
      <c r="E10215" t="str">
        <f t="shared" si="2214"/>
        <v>89301091</v>
      </c>
      <c r="F10215" t="str">
        <f>"9662065732"</f>
        <v>9662065732</v>
      </c>
      <c r="G10215" s="1">
        <v>44830</v>
      </c>
      <c r="H10215" t="str">
        <f t="shared" si="2215"/>
        <v>94297</v>
      </c>
      <c r="I10215">
        <v>1</v>
      </c>
      <c r="J10215">
        <v>298</v>
      </c>
      <c r="K10215">
        <v>0</v>
      </c>
      <c r="L10215">
        <v>366.54</v>
      </c>
    </row>
    <row r="10216" spans="1:12" x14ac:dyDescent="0.25">
      <c r="A10216" t="str">
        <f t="shared" si="2210"/>
        <v>89301000</v>
      </c>
      <c r="B10216" t="str">
        <f t="shared" si="2211"/>
        <v>72100000</v>
      </c>
      <c r="C10216" t="str">
        <f t="shared" si="2212"/>
        <v>72100632</v>
      </c>
      <c r="D10216" t="str">
        <f t="shared" si="2213"/>
        <v>816</v>
      </c>
      <c r="E10216" t="str">
        <f t="shared" si="2214"/>
        <v>89301091</v>
      </c>
      <c r="F10216" t="str">
        <f>"2259190703"</f>
        <v>2259190703</v>
      </c>
      <c r="G10216" s="1">
        <v>44830</v>
      </c>
      <c r="H10216" t="str">
        <f t="shared" si="2215"/>
        <v>94297</v>
      </c>
      <c r="I10216">
        <v>1</v>
      </c>
      <c r="J10216">
        <v>298</v>
      </c>
      <c r="K10216">
        <v>0</v>
      </c>
      <c r="L10216">
        <v>366.54</v>
      </c>
    </row>
    <row r="10217" spans="1:12" x14ac:dyDescent="0.25">
      <c r="A10217" t="str">
        <f t="shared" si="2210"/>
        <v>89301000</v>
      </c>
      <c r="B10217" t="str">
        <f t="shared" si="2211"/>
        <v>72100000</v>
      </c>
      <c r="C10217" t="str">
        <f t="shared" si="2212"/>
        <v>72100632</v>
      </c>
      <c r="D10217" t="str">
        <f t="shared" si="2213"/>
        <v>816</v>
      </c>
      <c r="E10217" t="str">
        <f t="shared" si="2214"/>
        <v>89301091</v>
      </c>
      <c r="F10217" t="str">
        <f>"2209190775"</f>
        <v>2209190775</v>
      </c>
      <c r="G10217" s="1">
        <v>44831</v>
      </c>
      <c r="H10217" t="str">
        <f t="shared" si="2215"/>
        <v>94297</v>
      </c>
      <c r="I10217">
        <v>1</v>
      </c>
      <c r="J10217">
        <v>298</v>
      </c>
      <c r="K10217">
        <v>0</v>
      </c>
      <c r="L10217">
        <v>366.54</v>
      </c>
    </row>
    <row r="10218" spans="1:12" x14ac:dyDescent="0.25">
      <c r="A10218" t="str">
        <f t="shared" si="2210"/>
        <v>89301000</v>
      </c>
      <c r="B10218" t="str">
        <f t="shared" si="2211"/>
        <v>72100000</v>
      </c>
      <c r="C10218" t="str">
        <f t="shared" si="2212"/>
        <v>72100632</v>
      </c>
      <c r="D10218" t="str">
        <f t="shared" si="2213"/>
        <v>816</v>
      </c>
      <c r="E10218" t="str">
        <f t="shared" si="2214"/>
        <v>89301091</v>
      </c>
      <c r="F10218" t="str">
        <f>"2259200141"</f>
        <v>2259200141</v>
      </c>
      <c r="G10218" s="1">
        <v>44831</v>
      </c>
      <c r="H10218" t="str">
        <f t="shared" si="2215"/>
        <v>94297</v>
      </c>
      <c r="I10218">
        <v>1</v>
      </c>
      <c r="J10218">
        <v>298</v>
      </c>
      <c r="K10218">
        <v>0</v>
      </c>
      <c r="L10218">
        <v>366.54</v>
      </c>
    </row>
    <row r="10219" spans="1:12" x14ac:dyDescent="0.25">
      <c r="A10219" t="str">
        <f t="shared" si="2210"/>
        <v>89301000</v>
      </c>
      <c r="B10219" t="str">
        <f t="shared" si="2211"/>
        <v>72100000</v>
      </c>
      <c r="C10219" t="str">
        <f t="shared" si="2212"/>
        <v>72100632</v>
      </c>
      <c r="D10219" t="str">
        <f t="shared" si="2213"/>
        <v>816</v>
      </c>
      <c r="E10219" t="str">
        <f t="shared" si="2214"/>
        <v>89301091</v>
      </c>
      <c r="F10219" t="str">
        <f>"2209200444"</f>
        <v>2209200444</v>
      </c>
      <c r="G10219" s="1">
        <v>44831</v>
      </c>
      <c r="H10219" t="str">
        <f t="shared" si="2215"/>
        <v>94297</v>
      </c>
      <c r="I10219">
        <v>1</v>
      </c>
      <c r="J10219">
        <v>298</v>
      </c>
      <c r="K10219">
        <v>0</v>
      </c>
      <c r="L10219">
        <v>366.54</v>
      </c>
    </row>
    <row r="10220" spans="1:12" x14ac:dyDescent="0.25">
      <c r="A10220" t="str">
        <f t="shared" si="2210"/>
        <v>89301000</v>
      </c>
      <c r="B10220" t="str">
        <f t="shared" ref="B10220:B10251" si="2216">"72100000"</f>
        <v>72100000</v>
      </c>
      <c r="C10220" t="str">
        <f t="shared" ref="C10220:C10251" si="2217">"72100632"</f>
        <v>72100632</v>
      </c>
      <c r="D10220" t="str">
        <f t="shared" ref="D10220:D10251" si="2218">"816"</f>
        <v>816</v>
      </c>
      <c r="E10220" t="str">
        <f t="shared" ref="E10220:E10251" si="2219">"89301091"</f>
        <v>89301091</v>
      </c>
      <c r="F10220" t="str">
        <f>"2209200510"</f>
        <v>2209200510</v>
      </c>
      <c r="G10220" s="1">
        <v>44831</v>
      </c>
      <c r="H10220" t="str">
        <f t="shared" ref="H10220:H10251" si="2220">"94297"</f>
        <v>94297</v>
      </c>
      <c r="I10220">
        <v>1</v>
      </c>
      <c r="J10220">
        <v>298</v>
      </c>
      <c r="K10220">
        <v>0</v>
      </c>
      <c r="L10220">
        <v>366.54</v>
      </c>
    </row>
    <row r="10221" spans="1:12" x14ac:dyDescent="0.25">
      <c r="A10221" t="str">
        <f t="shared" si="2210"/>
        <v>89301000</v>
      </c>
      <c r="B10221" t="str">
        <f t="shared" si="2216"/>
        <v>72100000</v>
      </c>
      <c r="C10221" t="str">
        <f t="shared" si="2217"/>
        <v>72100632</v>
      </c>
      <c r="D10221" t="str">
        <f t="shared" si="2218"/>
        <v>816</v>
      </c>
      <c r="E10221" t="str">
        <f t="shared" si="2219"/>
        <v>89301091</v>
      </c>
      <c r="F10221" t="str">
        <f>"2259200746"</f>
        <v>2259200746</v>
      </c>
      <c r="G10221" s="1">
        <v>44831</v>
      </c>
      <c r="H10221" t="str">
        <f t="shared" si="2220"/>
        <v>94297</v>
      </c>
      <c r="I10221">
        <v>1</v>
      </c>
      <c r="J10221">
        <v>298</v>
      </c>
      <c r="K10221">
        <v>0</v>
      </c>
      <c r="L10221">
        <v>366.54</v>
      </c>
    </row>
    <row r="10222" spans="1:12" x14ac:dyDescent="0.25">
      <c r="A10222" t="str">
        <f t="shared" si="2210"/>
        <v>89301000</v>
      </c>
      <c r="B10222" t="str">
        <f t="shared" si="2216"/>
        <v>72100000</v>
      </c>
      <c r="C10222" t="str">
        <f t="shared" si="2217"/>
        <v>72100632</v>
      </c>
      <c r="D10222" t="str">
        <f t="shared" si="2218"/>
        <v>816</v>
      </c>
      <c r="E10222" t="str">
        <f t="shared" si="2219"/>
        <v>89301091</v>
      </c>
      <c r="F10222" t="str">
        <f>"2209200587"</f>
        <v>2209200587</v>
      </c>
      <c r="G10222" s="1">
        <v>44831</v>
      </c>
      <c r="H10222" t="str">
        <f t="shared" si="2220"/>
        <v>94297</v>
      </c>
      <c r="I10222">
        <v>1</v>
      </c>
      <c r="J10222">
        <v>298</v>
      </c>
      <c r="K10222">
        <v>0</v>
      </c>
      <c r="L10222">
        <v>366.54</v>
      </c>
    </row>
    <row r="10223" spans="1:12" x14ac:dyDescent="0.25">
      <c r="A10223" t="str">
        <f t="shared" si="2210"/>
        <v>89301000</v>
      </c>
      <c r="B10223" t="str">
        <f t="shared" si="2216"/>
        <v>72100000</v>
      </c>
      <c r="C10223" t="str">
        <f t="shared" si="2217"/>
        <v>72100632</v>
      </c>
      <c r="D10223" t="str">
        <f t="shared" si="2218"/>
        <v>816</v>
      </c>
      <c r="E10223" t="str">
        <f t="shared" si="2219"/>
        <v>89301091</v>
      </c>
      <c r="F10223" t="str">
        <f>"2259200757"</f>
        <v>2259200757</v>
      </c>
      <c r="G10223" s="1">
        <v>44831</v>
      </c>
      <c r="H10223" t="str">
        <f t="shared" si="2220"/>
        <v>94297</v>
      </c>
      <c r="I10223">
        <v>1</v>
      </c>
      <c r="J10223">
        <v>298</v>
      </c>
      <c r="K10223">
        <v>0</v>
      </c>
      <c r="L10223">
        <v>366.54</v>
      </c>
    </row>
    <row r="10224" spans="1:12" x14ac:dyDescent="0.25">
      <c r="A10224" t="str">
        <f t="shared" si="2210"/>
        <v>89301000</v>
      </c>
      <c r="B10224" t="str">
        <f t="shared" si="2216"/>
        <v>72100000</v>
      </c>
      <c r="C10224" t="str">
        <f t="shared" si="2217"/>
        <v>72100632</v>
      </c>
      <c r="D10224" t="str">
        <f t="shared" si="2218"/>
        <v>816</v>
      </c>
      <c r="E10224" t="str">
        <f t="shared" si="2219"/>
        <v>89301091</v>
      </c>
      <c r="F10224" t="str">
        <f>"2259210140"</f>
        <v>2259210140</v>
      </c>
      <c r="G10224" s="1">
        <v>44833</v>
      </c>
      <c r="H10224" t="str">
        <f t="shared" si="2220"/>
        <v>94297</v>
      </c>
      <c r="I10224">
        <v>1</v>
      </c>
      <c r="J10224">
        <v>298</v>
      </c>
      <c r="K10224">
        <v>0</v>
      </c>
      <c r="L10224">
        <v>366.54</v>
      </c>
    </row>
    <row r="10225" spans="1:12" x14ac:dyDescent="0.25">
      <c r="A10225" t="str">
        <f t="shared" si="2210"/>
        <v>89301000</v>
      </c>
      <c r="B10225" t="str">
        <f t="shared" si="2216"/>
        <v>72100000</v>
      </c>
      <c r="C10225" t="str">
        <f t="shared" si="2217"/>
        <v>72100632</v>
      </c>
      <c r="D10225" t="str">
        <f t="shared" si="2218"/>
        <v>816</v>
      </c>
      <c r="E10225" t="str">
        <f t="shared" si="2219"/>
        <v>89301091</v>
      </c>
      <c r="F10225" t="str">
        <f>"2209210135"</f>
        <v>2209210135</v>
      </c>
      <c r="G10225" s="1">
        <v>44833</v>
      </c>
      <c r="H10225" t="str">
        <f t="shared" si="2220"/>
        <v>94297</v>
      </c>
      <c r="I10225">
        <v>1</v>
      </c>
      <c r="J10225">
        <v>298</v>
      </c>
      <c r="K10225">
        <v>0</v>
      </c>
      <c r="L10225">
        <v>366.54</v>
      </c>
    </row>
    <row r="10226" spans="1:12" x14ac:dyDescent="0.25">
      <c r="A10226" t="str">
        <f t="shared" si="2210"/>
        <v>89301000</v>
      </c>
      <c r="B10226" t="str">
        <f t="shared" si="2216"/>
        <v>72100000</v>
      </c>
      <c r="C10226" t="str">
        <f t="shared" si="2217"/>
        <v>72100632</v>
      </c>
      <c r="D10226" t="str">
        <f t="shared" si="2218"/>
        <v>816</v>
      </c>
      <c r="E10226" t="str">
        <f t="shared" si="2219"/>
        <v>89301091</v>
      </c>
      <c r="F10226" t="str">
        <f>"2259210151"</f>
        <v>2259210151</v>
      </c>
      <c r="G10226" s="1">
        <v>44833</v>
      </c>
      <c r="H10226" t="str">
        <f t="shared" si="2220"/>
        <v>94297</v>
      </c>
      <c r="I10226">
        <v>1</v>
      </c>
      <c r="J10226">
        <v>298</v>
      </c>
      <c r="K10226">
        <v>0</v>
      </c>
      <c r="L10226">
        <v>366.54</v>
      </c>
    </row>
    <row r="10227" spans="1:12" x14ac:dyDescent="0.25">
      <c r="A10227" t="str">
        <f t="shared" si="2210"/>
        <v>89301000</v>
      </c>
      <c r="B10227" t="str">
        <f t="shared" si="2216"/>
        <v>72100000</v>
      </c>
      <c r="C10227" t="str">
        <f t="shared" si="2217"/>
        <v>72100632</v>
      </c>
      <c r="D10227" t="str">
        <f t="shared" si="2218"/>
        <v>816</v>
      </c>
      <c r="E10227" t="str">
        <f t="shared" si="2219"/>
        <v>89301091</v>
      </c>
      <c r="F10227" t="str">
        <f>"2209210828"</f>
        <v>2209210828</v>
      </c>
      <c r="G10227" s="1">
        <v>44833</v>
      </c>
      <c r="H10227" t="str">
        <f t="shared" si="2220"/>
        <v>94297</v>
      </c>
      <c r="I10227">
        <v>1</v>
      </c>
      <c r="J10227">
        <v>298</v>
      </c>
      <c r="K10227">
        <v>0</v>
      </c>
      <c r="L10227">
        <v>366.54</v>
      </c>
    </row>
    <row r="10228" spans="1:12" x14ac:dyDescent="0.25">
      <c r="A10228" t="str">
        <f t="shared" si="2210"/>
        <v>89301000</v>
      </c>
      <c r="B10228" t="str">
        <f t="shared" si="2216"/>
        <v>72100000</v>
      </c>
      <c r="C10228" t="str">
        <f t="shared" si="2217"/>
        <v>72100632</v>
      </c>
      <c r="D10228" t="str">
        <f t="shared" si="2218"/>
        <v>816</v>
      </c>
      <c r="E10228" t="str">
        <f t="shared" si="2219"/>
        <v>89301091</v>
      </c>
      <c r="F10228" t="str">
        <f>"2259220106"</f>
        <v>2259220106</v>
      </c>
      <c r="G10228" s="1">
        <v>44833</v>
      </c>
      <c r="H10228" t="str">
        <f t="shared" si="2220"/>
        <v>94297</v>
      </c>
      <c r="I10228">
        <v>1</v>
      </c>
      <c r="J10228">
        <v>298</v>
      </c>
      <c r="K10228">
        <v>0</v>
      </c>
      <c r="L10228">
        <v>366.54</v>
      </c>
    </row>
    <row r="10229" spans="1:12" x14ac:dyDescent="0.25">
      <c r="A10229" t="str">
        <f t="shared" si="2210"/>
        <v>89301000</v>
      </c>
      <c r="B10229" t="str">
        <f t="shared" si="2216"/>
        <v>72100000</v>
      </c>
      <c r="C10229" t="str">
        <f t="shared" si="2217"/>
        <v>72100632</v>
      </c>
      <c r="D10229" t="str">
        <f t="shared" si="2218"/>
        <v>816</v>
      </c>
      <c r="E10229" t="str">
        <f t="shared" si="2219"/>
        <v>89301091</v>
      </c>
      <c r="F10229" t="str">
        <f>"2209220750"</f>
        <v>2209220750</v>
      </c>
      <c r="G10229" s="1">
        <v>44833</v>
      </c>
      <c r="H10229" t="str">
        <f t="shared" si="2220"/>
        <v>94297</v>
      </c>
      <c r="I10229">
        <v>1</v>
      </c>
      <c r="J10229">
        <v>298</v>
      </c>
      <c r="K10229">
        <v>0</v>
      </c>
      <c r="L10229">
        <v>366.54</v>
      </c>
    </row>
    <row r="10230" spans="1:12" x14ac:dyDescent="0.25">
      <c r="A10230" t="str">
        <f t="shared" si="2210"/>
        <v>89301000</v>
      </c>
      <c r="B10230" t="str">
        <f t="shared" si="2216"/>
        <v>72100000</v>
      </c>
      <c r="C10230" t="str">
        <f t="shared" si="2217"/>
        <v>72100632</v>
      </c>
      <c r="D10230" t="str">
        <f t="shared" si="2218"/>
        <v>816</v>
      </c>
      <c r="E10230" t="str">
        <f t="shared" si="2219"/>
        <v>89301091</v>
      </c>
      <c r="F10230" t="str">
        <f>"2209220772"</f>
        <v>2209220772</v>
      </c>
      <c r="G10230" s="1">
        <v>44833</v>
      </c>
      <c r="H10230" t="str">
        <f t="shared" si="2220"/>
        <v>94297</v>
      </c>
      <c r="I10230">
        <v>1</v>
      </c>
      <c r="J10230">
        <v>298</v>
      </c>
      <c r="K10230">
        <v>0</v>
      </c>
      <c r="L10230">
        <v>366.54</v>
      </c>
    </row>
    <row r="10231" spans="1:12" x14ac:dyDescent="0.25">
      <c r="A10231" t="str">
        <f t="shared" si="2210"/>
        <v>89301000</v>
      </c>
      <c r="B10231" t="str">
        <f t="shared" si="2216"/>
        <v>72100000</v>
      </c>
      <c r="C10231" t="str">
        <f t="shared" si="2217"/>
        <v>72100632</v>
      </c>
      <c r="D10231" t="str">
        <f t="shared" si="2218"/>
        <v>816</v>
      </c>
      <c r="E10231" t="str">
        <f t="shared" si="2219"/>
        <v>89301091</v>
      </c>
      <c r="F10231" t="str">
        <f>"8255264699"</f>
        <v>8255264699</v>
      </c>
      <c r="G10231" s="1">
        <v>44833</v>
      </c>
      <c r="H10231" t="str">
        <f t="shared" si="2220"/>
        <v>94297</v>
      </c>
      <c r="I10231">
        <v>1</v>
      </c>
      <c r="J10231">
        <v>298</v>
      </c>
      <c r="K10231">
        <v>0</v>
      </c>
      <c r="L10231">
        <v>366.54</v>
      </c>
    </row>
    <row r="10232" spans="1:12" x14ac:dyDescent="0.25">
      <c r="A10232" t="str">
        <f t="shared" si="2210"/>
        <v>89301000</v>
      </c>
      <c r="B10232" t="str">
        <f t="shared" si="2216"/>
        <v>72100000</v>
      </c>
      <c r="C10232" t="str">
        <f t="shared" si="2217"/>
        <v>72100632</v>
      </c>
      <c r="D10232" t="str">
        <f t="shared" si="2218"/>
        <v>816</v>
      </c>
      <c r="E10232" t="str">
        <f t="shared" si="2219"/>
        <v>89301091</v>
      </c>
      <c r="F10232" t="str">
        <f>"8453015329"</f>
        <v>8453015329</v>
      </c>
      <c r="G10232" s="1">
        <v>44833</v>
      </c>
      <c r="H10232" t="str">
        <f t="shared" si="2220"/>
        <v>94297</v>
      </c>
      <c r="I10232">
        <v>1</v>
      </c>
      <c r="J10232">
        <v>298</v>
      </c>
      <c r="K10232">
        <v>0</v>
      </c>
      <c r="L10232">
        <v>366.54</v>
      </c>
    </row>
    <row r="10233" spans="1:12" x14ac:dyDescent="0.25">
      <c r="A10233" t="str">
        <f t="shared" si="2210"/>
        <v>89301000</v>
      </c>
      <c r="B10233" t="str">
        <f t="shared" si="2216"/>
        <v>72100000</v>
      </c>
      <c r="C10233" t="str">
        <f t="shared" si="2217"/>
        <v>72100632</v>
      </c>
      <c r="D10233" t="str">
        <f t="shared" si="2218"/>
        <v>816</v>
      </c>
      <c r="E10233" t="str">
        <f t="shared" si="2219"/>
        <v>89301091</v>
      </c>
      <c r="F10233" t="str">
        <f>"8251045363"</f>
        <v>8251045363</v>
      </c>
      <c r="G10233" s="1">
        <v>44833</v>
      </c>
      <c r="H10233" t="str">
        <f t="shared" si="2220"/>
        <v>94297</v>
      </c>
      <c r="I10233">
        <v>1</v>
      </c>
      <c r="J10233">
        <v>298</v>
      </c>
      <c r="K10233">
        <v>0</v>
      </c>
      <c r="L10233">
        <v>366.54</v>
      </c>
    </row>
    <row r="10234" spans="1:12" x14ac:dyDescent="0.25">
      <c r="A10234" t="str">
        <f t="shared" si="2210"/>
        <v>89301000</v>
      </c>
      <c r="B10234" t="str">
        <f t="shared" si="2216"/>
        <v>72100000</v>
      </c>
      <c r="C10234" t="str">
        <f t="shared" si="2217"/>
        <v>72100632</v>
      </c>
      <c r="D10234" t="str">
        <f t="shared" si="2218"/>
        <v>816</v>
      </c>
      <c r="E10234" t="str">
        <f t="shared" si="2219"/>
        <v>89301091</v>
      </c>
      <c r="F10234" t="str">
        <f>"8358185759"</f>
        <v>8358185759</v>
      </c>
      <c r="G10234" s="1">
        <v>44834</v>
      </c>
      <c r="H10234" t="str">
        <f t="shared" si="2220"/>
        <v>94297</v>
      </c>
      <c r="I10234">
        <v>1</v>
      </c>
      <c r="J10234">
        <v>298</v>
      </c>
      <c r="K10234">
        <v>0</v>
      </c>
      <c r="L10234">
        <v>366.54</v>
      </c>
    </row>
    <row r="10235" spans="1:12" x14ac:dyDescent="0.25">
      <c r="A10235" t="str">
        <f t="shared" si="2210"/>
        <v>89301000</v>
      </c>
      <c r="B10235" t="str">
        <f t="shared" si="2216"/>
        <v>72100000</v>
      </c>
      <c r="C10235" t="str">
        <f t="shared" si="2217"/>
        <v>72100632</v>
      </c>
      <c r="D10235" t="str">
        <f t="shared" si="2218"/>
        <v>816</v>
      </c>
      <c r="E10235" t="str">
        <f t="shared" si="2219"/>
        <v>89301091</v>
      </c>
      <c r="F10235" t="str">
        <f>"9158034842"</f>
        <v>9158034842</v>
      </c>
      <c r="G10235" s="1">
        <v>44834</v>
      </c>
      <c r="H10235" t="str">
        <f t="shared" si="2220"/>
        <v>94297</v>
      </c>
      <c r="I10235">
        <v>1</v>
      </c>
      <c r="J10235">
        <v>298</v>
      </c>
      <c r="K10235">
        <v>0</v>
      </c>
      <c r="L10235">
        <v>366.54</v>
      </c>
    </row>
    <row r="10236" spans="1:12" x14ac:dyDescent="0.25">
      <c r="A10236" t="str">
        <f t="shared" si="2210"/>
        <v>89301000</v>
      </c>
      <c r="B10236" t="str">
        <f t="shared" si="2216"/>
        <v>72100000</v>
      </c>
      <c r="C10236" t="str">
        <f t="shared" si="2217"/>
        <v>72100632</v>
      </c>
      <c r="D10236" t="str">
        <f t="shared" si="2218"/>
        <v>816</v>
      </c>
      <c r="E10236" t="str">
        <f t="shared" si="2219"/>
        <v>89301091</v>
      </c>
      <c r="F10236" t="str">
        <f>"9056214849"</f>
        <v>9056214849</v>
      </c>
      <c r="G10236" s="1">
        <v>44834</v>
      </c>
      <c r="H10236" t="str">
        <f t="shared" si="2220"/>
        <v>94297</v>
      </c>
      <c r="I10236">
        <v>1</v>
      </c>
      <c r="J10236">
        <v>298</v>
      </c>
      <c r="K10236">
        <v>0</v>
      </c>
      <c r="L10236">
        <v>366.54</v>
      </c>
    </row>
    <row r="10237" spans="1:12" x14ac:dyDescent="0.25">
      <c r="A10237" t="str">
        <f t="shared" si="2210"/>
        <v>89301000</v>
      </c>
      <c r="B10237" t="str">
        <f t="shared" si="2216"/>
        <v>72100000</v>
      </c>
      <c r="C10237" t="str">
        <f t="shared" si="2217"/>
        <v>72100632</v>
      </c>
      <c r="D10237" t="str">
        <f t="shared" si="2218"/>
        <v>816</v>
      </c>
      <c r="E10237" t="str">
        <f t="shared" si="2219"/>
        <v>89301091</v>
      </c>
      <c r="F10237" t="str">
        <f>"2258070144"</f>
        <v>2258070144</v>
      </c>
      <c r="G10237" s="1">
        <v>44785</v>
      </c>
      <c r="H10237" t="str">
        <f t="shared" si="2220"/>
        <v>94297</v>
      </c>
      <c r="I10237">
        <v>1</v>
      </c>
      <c r="J10237">
        <v>298</v>
      </c>
      <c r="K10237">
        <v>0</v>
      </c>
      <c r="L10237">
        <v>366.54</v>
      </c>
    </row>
    <row r="10238" spans="1:12" x14ac:dyDescent="0.25">
      <c r="A10238" t="str">
        <f t="shared" si="2210"/>
        <v>89301000</v>
      </c>
      <c r="B10238" t="str">
        <f t="shared" si="2216"/>
        <v>72100000</v>
      </c>
      <c r="C10238" t="str">
        <f t="shared" si="2217"/>
        <v>72100632</v>
      </c>
      <c r="D10238" t="str">
        <f t="shared" si="2218"/>
        <v>816</v>
      </c>
      <c r="E10238" t="str">
        <f t="shared" si="2219"/>
        <v>89301091</v>
      </c>
      <c r="F10238" t="str">
        <f>"2258220525"</f>
        <v>2258220525</v>
      </c>
      <c r="G10238" s="1">
        <v>44802</v>
      </c>
      <c r="H10238" t="str">
        <f t="shared" si="2220"/>
        <v>94297</v>
      </c>
      <c r="I10238">
        <v>1</v>
      </c>
      <c r="J10238">
        <v>298</v>
      </c>
      <c r="K10238">
        <v>0</v>
      </c>
      <c r="L10238">
        <v>366.54</v>
      </c>
    </row>
    <row r="10239" spans="1:12" x14ac:dyDescent="0.25">
      <c r="A10239" t="str">
        <f t="shared" si="2210"/>
        <v>89301000</v>
      </c>
      <c r="B10239" t="str">
        <f t="shared" si="2216"/>
        <v>72100000</v>
      </c>
      <c r="C10239" t="str">
        <f t="shared" si="2217"/>
        <v>72100632</v>
      </c>
      <c r="D10239" t="str">
        <f t="shared" si="2218"/>
        <v>816</v>
      </c>
      <c r="E10239" t="str">
        <f t="shared" si="2219"/>
        <v>89301091</v>
      </c>
      <c r="F10239" t="str">
        <f>"2258220536"</f>
        <v>2258220536</v>
      </c>
      <c r="G10239" s="1">
        <v>44802</v>
      </c>
      <c r="H10239" t="str">
        <f t="shared" si="2220"/>
        <v>94297</v>
      </c>
      <c r="I10239">
        <v>1</v>
      </c>
      <c r="J10239">
        <v>298</v>
      </c>
      <c r="K10239">
        <v>0</v>
      </c>
      <c r="L10239">
        <v>366.54</v>
      </c>
    </row>
    <row r="10240" spans="1:12" x14ac:dyDescent="0.25">
      <c r="A10240" t="str">
        <f t="shared" si="2210"/>
        <v>89301000</v>
      </c>
      <c r="B10240" t="str">
        <f t="shared" si="2216"/>
        <v>72100000</v>
      </c>
      <c r="C10240" t="str">
        <f t="shared" si="2217"/>
        <v>72100632</v>
      </c>
      <c r="D10240" t="str">
        <f t="shared" si="2218"/>
        <v>816</v>
      </c>
      <c r="E10240" t="str">
        <f t="shared" si="2219"/>
        <v>89301091</v>
      </c>
      <c r="F10240" t="str">
        <f>"2258220558"</f>
        <v>2258220558</v>
      </c>
      <c r="G10240" s="1">
        <v>44802</v>
      </c>
      <c r="H10240" t="str">
        <f t="shared" si="2220"/>
        <v>94297</v>
      </c>
      <c r="I10240">
        <v>1</v>
      </c>
      <c r="J10240">
        <v>298</v>
      </c>
      <c r="K10240">
        <v>0</v>
      </c>
      <c r="L10240">
        <v>366.54</v>
      </c>
    </row>
    <row r="10241" spans="1:12" x14ac:dyDescent="0.25">
      <c r="A10241" t="str">
        <f t="shared" si="2210"/>
        <v>89301000</v>
      </c>
      <c r="B10241" t="str">
        <f t="shared" si="2216"/>
        <v>72100000</v>
      </c>
      <c r="C10241" t="str">
        <f t="shared" si="2217"/>
        <v>72100632</v>
      </c>
      <c r="D10241" t="str">
        <f t="shared" si="2218"/>
        <v>816</v>
      </c>
      <c r="E10241" t="str">
        <f t="shared" si="2219"/>
        <v>89301091</v>
      </c>
      <c r="F10241" t="str">
        <f>"2258230623"</f>
        <v>2258230623</v>
      </c>
      <c r="G10241" s="1">
        <v>44804</v>
      </c>
      <c r="H10241" t="str">
        <f t="shared" si="2220"/>
        <v>94297</v>
      </c>
      <c r="I10241">
        <v>1</v>
      </c>
      <c r="J10241">
        <v>298</v>
      </c>
      <c r="K10241">
        <v>0</v>
      </c>
      <c r="L10241">
        <v>366.54</v>
      </c>
    </row>
    <row r="10242" spans="1:12" x14ac:dyDescent="0.25">
      <c r="A10242" t="str">
        <f t="shared" ref="A10242:A10305" si="2221">"89301000"</f>
        <v>89301000</v>
      </c>
      <c r="B10242" t="str">
        <f t="shared" si="2216"/>
        <v>72100000</v>
      </c>
      <c r="C10242" t="str">
        <f t="shared" si="2217"/>
        <v>72100632</v>
      </c>
      <c r="D10242" t="str">
        <f t="shared" si="2218"/>
        <v>816</v>
      </c>
      <c r="E10242" t="str">
        <f t="shared" si="2219"/>
        <v>89301091</v>
      </c>
      <c r="F10242" t="str">
        <f>"2258230634"</f>
        <v>2258230634</v>
      </c>
      <c r="G10242" s="1">
        <v>44804</v>
      </c>
      <c r="H10242" t="str">
        <f t="shared" si="2220"/>
        <v>94297</v>
      </c>
      <c r="I10242">
        <v>1</v>
      </c>
      <c r="J10242">
        <v>298</v>
      </c>
      <c r="K10242">
        <v>0</v>
      </c>
      <c r="L10242">
        <v>366.54</v>
      </c>
    </row>
    <row r="10243" spans="1:12" x14ac:dyDescent="0.25">
      <c r="A10243" t="str">
        <f t="shared" si="2221"/>
        <v>89301000</v>
      </c>
      <c r="B10243" t="str">
        <f t="shared" si="2216"/>
        <v>72100000</v>
      </c>
      <c r="C10243" t="str">
        <f t="shared" si="2217"/>
        <v>72100632</v>
      </c>
      <c r="D10243" t="str">
        <f t="shared" si="2218"/>
        <v>816</v>
      </c>
      <c r="E10243" t="str">
        <f t="shared" si="2219"/>
        <v>89301091</v>
      </c>
      <c r="F10243" t="str">
        <f>"2258240094"</f>
        <v>2258240094</v>
      </c>
      <c r="G10243" s="1">
        <v>44804</v>
      </c>
      <c r="H10243" t="str">
        <f t="shared" si="2220"/>
        <v>94297</v>
      </c>
      <c r="I10243">
        <v>1</v>
      </c>
      <c r="J10243">
        <v>298</v>
      </c>
      <c r="K10243">
        <v>0</v>
      </c>
      <c r="L10243">
        <v>366.54</v>
      </c>
    </row>
    <row r="10244" spans="1:12" x14ac:dyDescent="0.25">
      <c r="A10244" t="str">
        <f t="shared" si="2221"/>
        <v>89301000</v>
      </c>
      <c r="B10244" t="str">
        <f t="shared" si="2216"/>
        <v>72100000</v>
      </c>
      <c r="C10244" t="str">
        <f t="shared" si="2217"/>
        <v>72100632</v>
      </c>
      <c r="D10244" t="str">
        <f t="shared" si="2218"/>
        <v>816</v>
      </c>
      <c r="E10244" t="str">
        <f t="shared" si="2219"/>
        <v>89301091</v>
      </c>
      <c r="F10244" t="str">
        <f>"2258240699"</f>
        <v>2258240699</v>
      </c>
      <c r="G10244" s="1">
        <v>44804</v>
      </c>
      <c r="H10244" t="str">
        <f t="shared" si="2220"/>
        <v>94297</v>
      </c>
      <c r="I10244">
        <v>1</v>
      </c>
      <c r="J10244">
        <v>298</v>
      </c>
      <c r="K10244">
        <v>0</v>
      </c>
      <c r="L10244">
        <v>366.54</v>
      </c>
    </row>
    <row r="10245" spans="1:12" x14ac:dyDescent="0.25">
      <c r="A10245" t="str">
        <f t="shared" si="2221"/>
        <v>89301000</v>
      </c>
      <c r="B10245" t="str">
        <f t="shared" si="2216"/>
        <v>72100000</v>
      </c>
      <c r="C10245" t="str">
        <f t="shared" si="2217"/>
        <v>72100632</v>
      </c>
      <c r="D10245" t="str">
        <f t="shared" si="2218"/>
        <v>816</v>
      </c>
      <c r="E10245" t="str">
        <f t="shared" si="2219"/>
        <v>89301091</v>
      </c>
      <c r="F10245" t="str">
        <f>"2208240749"</f>
        <v>2208240749</v>
      </c>
      <c r="G10245" s="1">
        <v>44804</v>
      </c>
      <c r="H10245" t="str">
        <f t="shared" si="2220"/>
        <v>94297</v>
      </c>
      <c r="I10245">
        <v>1</v>
      </c>
      <c r="J10245">
        <v>298</v>
      </c>
      <c r="K10245">
        <v>0</v>
      </c>
      <c r="L10245">
        <v>366.54</v>
      </c>
    </row>
    <row r="10246" spans="1:12" x14ac:dyDescent="0.25">
      <c r="A10246" t="str">
        <f t="shared" si="2221"/>
        <v>89301000</v>
      </c>
      <c r="B10246" t="str">
        <f t="shared" si="2216"/>
        <v>72100000</v>
      </c>
      <c r="C10246" t="str">
        <f t="shared" si="2217"/>
        <v>72100632</v>
      </c>
      <c r="D10246" t="str">
        <f t="shared" si="2218"/>
        <v>816</v>
      </c>
      <c r="E10246" t="str">
        <f t="shared" si="2219"/>
        <v>89301091</v>
      </c>
      <c r="F10246" t="str">
        <f>"2258240710"</f>
        <v>2258240710</v>
      </c>
      <c r="G10246" s="1">
        <v>44804</v>
      </c>
      <c r="H10246" t="str">
        <f t="shared" si="2220"/>
        <v>94297</v>
      </c>
      <c r="I10246">
        <v>1</v>
      </c>
      <c r="J10246">
        <v>298</v>
      </c>
      <c r="K10246">
        <v>0</v>
      </c>
      <c r="L10246">
        <v>366.54</v>
      </c>
    </row>
    <row r="10247" spans="1:12" x14ac:dyDescent="0.25">
      <c r="A10247" t="str">
        <f t="shared" si="2221"/>
        <v>89301000</v>
      </c>
      <c r="B10247" t="str">
        <f t="shared" si="2216"/>
        <v>72100000</v>
      </c>
      <c r="C10247" t="str">
        <f t="shared" si="2217"/>
        <v>72100632</v>
      </c>
      <c r="D10247" t="str">
        <f t="shared" si="2218"/>
        <v>816</v>
      </c>
      <c r="E10247" t="str">
        <f t="shared" si="2219"/>
        <v>89301091</v>
      </c>
      <c r="F10247" t="str">
        <f>"2208250572"</f>
        <v>2208250572</v>
      </c>
      <c r="G10247" s="1">
        <v>44804</v>
      </c>
      <c r="H10247" t="str">
        <f t="shared" si="2220"/>
        <v>94297</v>
      </c>
      <c r="I10247">
        <v>1</v>
      </c>
      <c r="J10247">
        <v>298</v>
      </c>
      <c r="K10247">
        <v>0</v>
      </c>
      <c r="L10247">
        <v>366.54</v>
      </c>
    </row>
    <row r="10248" spans="1:12" x14ac:dyDescent="0.25">
      <c r="A10248" t="str">
        <f t="shared" si="2221"/>
        <v>89301000</v>
      </c>
      <c r="B10248" t="str">
        <f t="shared" si="2216"/>
        <v>72100000</v>
      </c>
      <c r="C10248" t="str">
        <f t="shared" si="2217"/>
        <v>72100632</v>
      </c>
      <c r="D10248" t="str">
        <f t="shared" si="2218"/>
        <v>816</v>
      </c>
      <c r="E10248" t="str">
        <f t="shared" si="2219"/>
        <v>89301091</v>
      </c>
      <c r="F10248" t="str">
        <f>"2208250583"</f>
        <v>2208250583</v>
      </c>
      <c r="G10248" s="1">
        <v>44804</v>
      </c>
      <c r="H10248" t="str">
        <f t="shared" si="2220"/>
        <v>94297</v>
      </c>
      <c r="I10248">
        <v>1</v>
      </c>
      <c r="J10248">
        <v>298</v>
      </c>
      <c r="K10248">
        <v>0</v>
      </c>
      <c r="L10248">
        <v>366.54</v>
      </c>
    </row>
    <row r="10249" spans="1:12" x14ac:dyDescent="0.25">
      <c r="A10249" t="str">
        <f t="shared" si="2221"/>
        <v>89301000</v>
      </c>
      <c r="B10249" t="str">
        <f t="shared" si="2216"/>
        <v>72100000</v>
      </c>
      <c r="C10249" t="str">
        <f t="shared" si="2217"/>
        <v>72100632</v>
      </c>
      <c r="D10249" t="str">
        <f t="shared" si="2218"/>
        <v>816</v>
      </c>
      <c r="E10249" t="str">
        <f t="shared" si="2219"/>
        <v>89301091</v>
      </c>
      <c r="F10249" t="str">
        <f>"2258250632"</f>
        <v>2258250632</v>
      </c>
      <c r="G10249" s="1">
        <v>44804</v>
      </c>
      <c r="H10249" t="str">
        <f t="shared" si="2220"/>
        <v>94297</v>
      </c>
      <c r="I10249">
        <v>1</v>
      </c>
      <c r="J10249">
        <v>298</v>
      </c>
      <c r="K10249">
        <v>0</v>
      </c>
      <c r="L10249">
        <v>366.54</v>
      </c>
    </row>
    <row r="10250" spans="1:12" x14ac:dyDescent="0.25">
      <c r="A10250" t="str">
        <f t="shared" si="2221"/>
        <v>89301000</v>
      </c>
      <c r="B10250" t="str">
        <f t="shared" si="2216"/>
        <v>72100000</v>
      </c>
      <c r="C10250" t="str">
        <f t="shared" si="2217"/>
        <v>72100632</v>
      </c>
      <c r="D10250" t="str">
        <f t="shared" si="2218"/>
        <v>816</v>
      </c>
      <c r="E10250" t="str">
        <f t="shared" si="2219"/>
        <v>89301091</v>
      </c>
      <c r="F10250" t="str">
        <f>"7861215340"</f>
        <v>7861215340</v>
      </c>
      <c r="G10250" s="1">
        <v>44804</v>
      </c>
      <c r="H10250" t="str">
        <f t="shared" si="2220"/>
        <v>94297</v>
      </c>
      <c r="I10250">
        <v>1</v>
      </c>
      <c r="J10250">
        <v>298</v>
      </c>
      <c r="K10250">
        <v>0</v>
      </c>
      <c r="L10250">
        <v>366.54</v>
      </c>
    </row>
    <row r="10251" spans="1:12" x14ac:dyDescent="0.25">
      <c r="A10251" t="str">
        <f t="shared" si="2221"/>
        <v>89301000</v>
      </c>
      <c r="B10251" t="str">
        <f t="shared" si="2216"/>
        <v>72100000</v>
      </c>
      <c r="C10251" t="str">
        <f t="shared" si="2217"/>
        <v>72100632</v>
      </c>
      <c r="D10251" t="str">
        <f t="shared" si="2218"/>
        <v>816</v>
      </c>
      <c r="E10251" t="str">
        <f t="shared" si="2219"/>
        <v>89301091</v>
      </c>
      <c r="F10251" t="str">
        <f>"9062035653"</f>
        <v>9062035653</v>
      </c>
      <c r="G10251" s="1">
        <v>44804</v>
      </c>
      <c r="H10251" t="str">
        <f t="shared" si="2220"/>
        <v>94297</v>
      </c>
      <c r="I10251">
        <v>1</v>
      </c>
      <c r="J10251">
        <v>298</v>
      </c>
      <c r="K10251">
        <v>0</v>
      </c>
      <c r="L10251">
        <v>366.54</v>
      </c>
    </row>
    <row r="10252" spans="1:12" x14ac:dyDescent="0.25">
      <c r="A10252" t="str">
        <f t="shared" si="2221"/>
        <v>89301000</v>
      </c>
      <c r="B10252" t="str">
        <f t="shared" ref="B10252:B10294" si="2222">"10510000"</f>
        <v>10510000</v>
      </c>
      <c r="C10252" t="str">
        <f t="shared" ref="C10252:C10294" si="2223">"10510001"</f>
        <v>10510001</v>
      </c>
      <c r="D10252" t="str">
        <f t="shared" ref="D10252:D10294" si="2224">"802"</f>
        <v>802</v>
      </c>
      <c r="E10252" t="str">
        <f t="shared" ref="E10252:E10263" si="2225">"89301202"</f>
        <v>89301202</v>
      </c>
      <c r="F10252" t="str">
        <f t="shared" ref="F10252:F10257" si="2226">"9802235707"</f>
        <v>9802235707</v>
      </c>
      <c r="G10252" s="1">
        <v>44845</v>
      </c>
      <c r="H10252" t="str">
        <f>"82145"</f>
        <v>82145</v>
      </c>
      <c r="I10252">
        <v>9</v>
      </c>
      <c r="J10252">
        <v>513</v>
      </c>
      <c r="K10252">
        <v>0</v>
      </c>
      <c r="L10252">
        <v>466.83</v>
      </c>
    </row>
    <row r="10253" spans="1:12" x14ac:dyDescent="0.25">
      <c r="A10253" t="str">
        <f t="shared" si="2221"/>
        <v>89301000</v>
      </c>
      <c r="B10253" t="str">
        <f t="shared" si="2222"/>
        <v>10510000</v>
      </c>
      <c r="C10253" t="str">
        <f t="shared" si="2223"/>
        <v>10510001</v>
      </c>
      <c r="D10253" t="str">
        <f t="shared" si="2224"/>
        <v>802</v>
      </c>
      <c r="E10253" t="str">
        <f t="shared" si="2225"/>
        <v>89301202</v>
      </c>
      <c r="F10253" t="str">
        <f t="shared" si="2226"/>
        <v>9802235707</v>
      </c>
      <c r="G10253" s="1">
        <v>44845</v>
      </c>
      <c r="H10253" t="str">
        <f>"82079"</f>
        <v>82079</v>
      </c>
      <c r="I10253">
        <v>1</v>
      </c>
      <c r="J10253">
        <v>332</v>
      </c>
      <c r="K10253">
        <v>0</v>
      </c>
      <c r="L10253">
        <v>302.12</v>
      </c>
    </row>
    <row r="10254" spans="1:12" x14ac:dyDescent="0.25">
      <c r="A10254" t="str">
        <f t="shared" si="2221"/>
        <v>89301000</v>
      </c>
      <c r="B10254" t="str">
        <f t="shared" si="2222"/>
        <v>10510000</v>
      </c>
      <c r="C10254" t="str">
        <f t="shared" si="2223"/>
        <v>10510001</v>
      </c>
      <c r="D10254" t="str">
        <f t="shared" si="2224"/>
        <v>802</v>
      </c>
      <c r="E10254" t="str">
        <f t="shared" si="2225"/>
        <v>89301202</v>
      </c>
      <c r="F10254" t="str">
        <f t="shared" si="2226"/>
        <v>9802235707</v>
      </c>
      <c r="G10254" s="1">
        <v>44845</v>
      </c>
      <c r="H10254" t="str">
        <f>"82111"</f>
        <v>82111</v>
      </c>
      <c r="I10254">
        <v>1</v>
      </c>
      <c r="J10254">
        <v>36</v>
      </c>
      <c r="K10254">
        <v>0</v>
      </c>
      <c r="L10254">
        <v>32.76</v>
      </c>
    </row>
    <row r="10255" spans="1:12" x14ac:dyDescent="0.25">
      <c r="A10255" t="str">
        <f t="shared" si="2221"/>
        <v>89301000</v>
      </c>
      <c r="B10255" t="str">
        <f t="shared" si="2222"/>
        <v>10510000</v>
      </c>
      <c r="C10255" t="str">
        <f t="shared" si="2223"/>
        <v>10510001</v>
      </c>
      <c r="D10255" t="str">
        <f t="shared" si="2224"/>
        <v>802</v>
      </c>
      <c r="E10255" t="str">
        <f t="shared" si="2225"/>
        <v>89301202</v>
      </c>
      <c r="F10255" t="str">
        <f t="shared" si="2226"/>
        <v>9802235707</v>
      </c>
      <c r="G10255" s="1">
        <v>44845</v>
      </c>
      <c r="H10255" t="str">
        <f>"82113"</f>
        <v>82113</v>
      </c>
      <c r="I10255">
        <v>1</v>
      </c>
      <c r="J10255">
        <v>362</v>
      </c>
      <c r="K10255">
        <v>0</v>
      </c>
      <c r="L10255">
        <v>329.42</v>
      </c>
    </row>
    <row r="10256" spans="1:12" x14ac:dyDescent="0.25">
      <c r="A10256" t="str">
        <f t="shared" si="2221"/>
        <v>89301000</v>
      </c>
      <c r="B10256" t="str">
        <f t="shared" si="2222"/>
        <v>10510000</v>
      </c>
      <c r="C10256" t="str">
        <f t="shared" si="2223"/>
        <v>10510001</v>
      </c>
      <c r="D10256" t="str">
        <f t="shared" si="2224"/>
        <v>802</v>
      </c>
      <c r="E10256" t="str">
        <f t="shared" si="2225"/>
        <v>89301202</v>
      </c>
      <c r="F10256" t="str">
        <f t="shared" si="2226"/>
        <v>9802235707</v>
      </c>
      <c r="G10256" s="1">
        <v>44845</v>
      </c>
      <c r="H10256" t="str">
        <f>"82113"</f>
        <v>82113</v>
      </c>
      <c r="I10256">
        <v>1</v>
      </c>
      <c r="J10256">
        <v>362</v>
      </c>
      <c r="K10256">
        <v>0</v>
      </c>
      <c r="L10256">
        <v>329.42</v>
      </c>
    </row>
    <row r="10257" spans="1:12" x14ac:dyDescent="0.25">
      <c r="A10257" t="str">
        <f t="shared" si="2221"/>
        <v>89301000</v>
      </c>
      <c r="B10257" t="str">
        <f t="shared" si="2222"/>
        <v>10510000</v>
      </c>
      <c r="C10257" t="str">
        <f t="shared" si="2223"/>
        <v>10510001</v>
      </c>
      <c r="D10257" t="str">
        <f t="shared" si="2224"/>
        <v>802</v>
      </c>
      <c r="E10257" t="str">
        <f t="shared" si="2225"/>
        <v>89301202</v>
      </c>
      <c r="F10257" t="str">
        <f t="shared" si="2226"/>
        <v>9802235707</v>
      </c>
      <c r="G10257" s="1">
        <v>44844</v>
      </c>
      <c r="H10257" t="str">
        <f>"97111"</f>
        <v>97111</v>
      </c>
      <c r="I10257">
        <v>1</v>
      </c>
      <c r="J10257">
        <v>18</v>
      </c>
      <c r="K10257">
        <v>0</v>
      </c>
      <c r="L10257">
        <v>16.38</v>
      </c>
    </row>
    <row r="10258" spans="1:12" x14ac:dyDescent="0.25">
      <c r="A10258" t="str">
        <f t="shared" si="2221"/>
        <v>89301000</v>
      </c>
      <c r="B10258" t="str">
        <f t="shared" si="2222"/>
        <v>10510000</v>
      </c>
      <c r="C10258" t="str">
        <f t="shared" si="2223"/>
        <v>10510001</v>
      </c>
      <c r="D10258" t="str">
        <f t="shared" si="2224"/>
        <v>802</v>
      </c>
      <c r="E10258" t="str">
        <f t="shared" si="2225"/>
        <v>89301202</v>
      </c>
      <c r="F10258" t="str">
        <f t="shared" ref="F10258:F10263" si="2227">"8003244458"</f>
        <v>8003244458</v>
      </c>
      <c r="G10258" s="1">
        <v>44858</v>
      </c>
      <c r="H10258" t="str">
        <f>"82079"</f>
        <v>82079</v>
      </c>
      <c r="I10258">
        <v>1</v>
      </c>
      <c r="J10258">
        <v>332</v>
      </c>
      <c r="K10258">
        <v>0</v>
      </c>
      <c r="L10258">
        <v>302.12</v>
      </c>
    </row>
    <row r="10259" spans="1:12" x14ac:dyDescent="0.25">
      <c r="A10259" t="str">
        <f t="shared" si="2221"/>
        <v>89301000</v>
      </c>
      <c r="B10259" t="str">
        <f t="shared" si="2222"/>
        <v>10510000</v>
      </c>
      <c r="C10259" t="str">
        <f t="shared" si="2223"/>
        <v>10510001</v>
      </c>
      <c r="D10259" t="str">
        <f t="shared" si="2224"/>
        <v>802</v>
      </c>
      <c r="E10259" t="str">
        <f t="shared" si="2225"/>
        <v>89301202</v>
      </c>
      <c r="F10259" t="str">
        <f t="shared" si="2227"/>
        <v>8003244458</v>
      </c>
      <c r="G10259" s="1">
        <v>44859</v>
      </c>
      <c r="H10259" t="str">
        <f>"82111"</f>
        <v>82111</v>
      </c>
      <c r="I10259">
        <v>1</v>
      </c>
      <c r="J10259">
        <v>36</v>
      </c>
      <c r="K10259">
        <v>0</v>
      </c>
      <c r="L10259">
        <v>32.76</v>
      </c>
    </row>
    <row r="10260" spans="1:12" x14ac:dyDescent="0.25">
      <c r="A10260" t="str">
        <f t="shared" si="2221"/>
        <v>89301000</v>
      </c>
      <c r="B10260" t="str">
        <f t="shared" si="2222"/>
        <v>10510000</v>
      </c>
      <c r="C10260" t="str">
        <f t="shared" si="2223"/>
        <v>10510001</v>
      </c>
      <c r="D10260" t="str">
        <f t="shared" si="2224"/>
        <v>802</v>
      </c>
      <c r="E10260" t="str">
        <f t="shared" si="2225"/>
        <v>89301202</v>
      </c>
      <c r="F10260" t="str">
        <f t="shared" si="2227"/>
        <v>8003244458</v>
      </c>
      <c r="G10260" s="1">
        <v>44858</v>
      </c>
      <c r="H10260" t="str">
        <f>"82111"</f>
        <v>82111</v>
      </c>
      <c r="I10260">
        <v>1</v>
      </c>
      <c r="J10260">
        <v>36</v>
      </c>
      <c r="K10260">
        <v>0</v>
      </c>
      <c r="L10260">
        <v>32.76</v>
      </c>
    </row>
    <row r="10261" spans="1:12" x14ac:dyDescent="0.25">
      <c r="A10261" t="str">
        <f t="shared" si="2221"/>
        <v>89301000</v>
      </c>
      <c r="B10261" t="str">
        <f t="shared" si="2222"/>
        <v>10510000</v>
      </c>
      <c r="C10261" t="str">
        <f t="shared" si="2223"/>
        <v>10510001</v>
      </c>
      <c r="D10261" t="str">
        <f t="shared" si="2224"/>
        <v>802</v>
      </c>
      <c r="E10261" t="str">
        <f t="shared" si="2225"/>
        <v>89301202</v>
      </c>
      <c r="F10261" t="str">
        <f t="shared" si="2227"/>
        <v>8003244458</v>
      </c>
      <c r="G10261" s="1">
        <v>44858</v>
      </c>
      <c r="H10261" t="str">
        <f>"82145"</f>
        <v>82145</v>
      </c>
      <c r="I10261">
        <v>9</v>
      </c>
      <c r="J10261">
        <v>513</v>
      </c>
      <c r="K10261">
        <v>0</v>
      </c>
      <c r="L10261">
        <v>466.83</v>
      </c>
    </row>
    <row r="10262" spans="1:12" x14ac:dyDescent="0.25">
      <c r="A10262" t="str">
        <f t="shared" si="2221"/>
        <v>89301000</v>
      </c>
      <c r="B10262" t="str">
        <f t="shared" si="2222"/>
        <v>10510000</v>
      </c>
      <c r="C10262" t="str">
        <f t="shared" si="2223"/>
        <v>10510001</v>
      </c>
      <c r="D10262" t="str">
        <f t="shared" si="2224"/>
        <v>802</v>
      </c>
      <c r="E10262" t="str">
        <f t="shared" si="2225"/>
        <v>89301202</v>
      </c>
      <c r="F10262" t="str">
        <f t="shared" si="2227"/>
        <v>8003244458</v>
      </c>
      <c r="G10262" s="1">
        <v>44858</v>
      </c>
      <c r="H10262" t="str">
        <f>"82113"</f>
        <v>82113</v>
      </c>
      <c r="I10262">
        <v>1</v>
      </c>
      <c r="J10262">
        <v>362</v>
      </c>
      <c r="K10262">
        <v>0</v>
      </c>
      <c r="L10262">
        <v>329.42</v>
      </c>
    </row>
    <row r="10263" spans="1:12" x14ac:dyDescent="0.25">
      <c r="A10263" t="str">
        <f t="shared" si="2221"/>
        <v>89301000</v>
      </c>
      <c r="B10263" t="str">
        <f t="shared" si="2222"/>
        <v>10510000</v>
      </c>
      <c r="C10263" t="str">
        <f t="shared" si="2223"/>
        <v>10510001</v>
      </c>
      <c r="D10263" t="str">
        <f t="shared" si="2224"/>
        <v>802</v>
      </c>
      <c r="E10263" t="str">
        <f t="shared" si="2225"/>
        <v>89301202</v>
      </c>
      <c r="F10263" t="str">
        <f t="shared" si="2227"/>
        <v>8003244458</v>
      </c>
      <c r="G10263" s="1">
        <v>44855</v>
      </c>
      <c r="H10263" t="str">
        <f>"97111"</f>
        <v>97111</v>
      </c>
      <c r="I10263">
        <v>1</v>
      </c>
      <c r="J10263">
        <v>18</v>
      </c>
      <c r="K10263">
        <v>0</v>
      </c>
      <c r="L10263">
        <v>16.38</v>
      </c>
    </row>
    <row r="10264" spans="1:12" x14ac:dyDescent="0.25">
      <c r="A10264" t="str">
        <f t="shared" si="2221"/>
        <v>89301000</v>
      </c>
      <c r="B10264" t="str">
        <f t="shared" si="2222"/>
        <v>10510000</v>
      </c>
      <c r="C10264" t="str">
        <f t="shared" si="2223"/>
        <v>10510001</v>
      </c>
      <c r="D10264" t="str">
        <f t="shared" si="2224"/>
        <v>802</v>
      </c>
      <c r="E10264" t="str">
        <f t="shared" ref="E10264:E10278" si="2228">"89301172"</f>
        <v>89301172</v>
      </c>
      <c r="F10264" t="str">
        <f t="shared" ref="F10264:F10278" si="2229">"6608261495"</f>
        <v>6608261495</v>
      </c>
      <c r="G10264" s="1">
        <v>44847</v>
      </c>
      <c r="H10264" t="str">
        <f>"82075"</f>
        <v>82075</v>
      </c>
      <c r="I10264">
        <v>1</v>
      </c>
      <c r="J10264">
        <v>486</v>
      </c>
      <c r="K10264">
        <v>0</v>
      </c>
      <c r="L10264">
        <v>442.26</v>
      </c>
    </row>
    <row r="10265" spans="1:12" x14ac:dyDescent="0.25">
      <c r="A10265" t="str">
        <f t="shared" si="2221"/>
        <v>89301000</v>
      </c>
      <c r="B10265" t="str">
        <f t="shared" si="2222"/>
        <v>10510000</v>
      </c>
      <c r="C10265" t="str">
        <f t="shared" si="2223"/>
        <v>10510001</v>
      </c>
      <c r="D10265" t="str">
        <f t="shared" si="2224"/>
        <v>802</v>
      </c>
      <c r="E10265" t="str">
        <f t="shared" si="2228"/>
        <v>89301172</v>
      </c>
      <c r="F10265" t="str">
        <f t="shared" si="2229"/>
        <v>6608261495</v>
      </c>
      <c r="G10265" s="1">
        <v>44847</v>
      </c>
      <c r="H10265" t="str">
        <f>"82075"</f>
        <v>82075</v>
      </c>
      <c r="I10265">
        <v>1</v>
      </c>
      <c r="J10265">
        <v>486</v>
      </c>
      <c r="K10265">
        <v>0</v>
      </c>
      <c r="L10265">
        <v>442.26</v>
      </c>
    </row>
    <row r="10266" spans="1:12" x14ac:dyDescent="0.25">
      <c r="A10266" t="str">
        <f t="shared" si="2221"/>
        <v>89301000</v>
      </c>
      <c r="B10266" t="str">
        <f t="shared" si="2222"/>
        <v>10510000</v>
      </c>
      <c r="C10266" t="str">
        <f t="shared" si="2223"/>
        <v>10510001</v>
      </c>
      <c r="D10266" t="str">
        <f t="shared" si="2224"/>
        <v>802</v>
      </c>
      <c r="E10266" t="str">
        <f t="shared" si="2228"/>
        <v>89301172</v>
      </c>
      <c r="F10266" t="str">
        <f t="shared" si="2229"/>
        <v>6608261495</v>
      </c>
      <c r="G10266" s="1">
        <v>44845</v>
      </c>
      <c r="H10266" t="str">
        <f>"82075"</f>
        <v>82075</v>
      </c>
      <c r="I10266">
        <v>1</v>
      </c>
      <c r="J10266">
        <v>486</v>
      </c>
      <c r="K10266">
        <v>0</v>
      </c>
      <c r="L10266">
        <v>442.26</v>
      </c>
    </row>
    <row r="10267" spans="1:12" x14ac:dyDescent="0.25">
      <c r="A10267" t="str">
        <f t="shared" si="2221"/>
        <v>89301000</v>
      </c>
      <c r="B10267" t="str">
        <f t="shared" si="2222"/>
        <v>10510000</v>
      </c>
      <c r="C10267" t="str">
        <f t="shared" si="2223"/>
        <v>10510001</v>
      </c>
      <c r="D10267" t="str">
        <f t="shared" si="2224"/>
        <v>802</v>
      </c>
      <c r="E10267" t="str">
        <f t="shared" si="2228"/>
        <v>89301172</v>
      </c>
      <c r="F10267" t="str">
        <f t="shared" si="2229"/>
        <v>6608261495</v>
      </c>
      <c r="G10267" s="1">
        <v>44845</v>
      </c>
      <c r="H10267" t="str">
        <f>"82075"</f>
        <v>82075</v>
      </c>
      <c r="I10267">
        <v>1</v>
      </c>
      <c r="J10267">
        <v>486</v>
      </c>
      <c r="K10267">
        <v>0</v>
      </c>
      <c r="L10267">
        <v>442.26</v>
      </c>
    </row>
    <row r="10268" spans="1:12" x14ac:dyDescent="0.25">
      <c r="A10268" t="str">
        <f t="shared" si="2221"/>
        <v>89301000</v>
      </c>
      <c r="B10268" t="str">
        <f t="shared" si="2222"/>
        <v>10510000</v>
      </c>
      <c r="C10268" t="str">
        <f t="shared" si="2223"/>
        <v>10510001</v>
      </c>
      <c r="D10268" t="str">
        <f t="shared" si="2224"/>
        <v>802</v>
      </c>
      <c r="E10268" t="str">
        <f t="shared" si="2228"/>
        <v>89301172</v>
      </c>
      <c r="F10268" t="str">
        <f t="shared" si="2229"/>
        <v>6608261495</v>
      </c>
      <c r="G10268" s="1">
        <v>44852</v>
      </c>
      <c r="H10268" t="str">
        <f>"82079"</f>
        <v>82079</v>
      </c>
      <c r="I10268">
        <v>1</v>
      </c>
      <c r="J10268">
        <v>332</v>
      </c>
      <c r="K10268">
        <v>0</v>
      </c>
      <c r="L10268">
        <v>302.12</v>
      </c>
    </row>
    <row r="10269" spans="1:12" x14ac:dyDescent="0.25">
      <c r="A10269" t="str">
        <f t="shared" si="2221"/>
        <v>89301000</v>
      </c>
      <c r="B10269" t="str">
        <f t="shared" si="2222"/>
        <v>10510000</v>
      </c>
      <c r="C10269" t="str">
        <f t="shared" si="2223"/>
        <v>10510001</v>
      </c>
      <c r="D10269" t="str">
        <f t="shared" si="2224"/>
        <v>802</v>
      </c>
      <c r="E10269" t="str">
        <f t="shared" si="2228"/>
        <v>89301172</v>
      </c>
      <c r="F10269" t="str">
        <f t="shared" si="2229"/>
        <v>6608261495</v>
      </c>
      <c r="G10269" s="1">
        <v>44852</v>
      </c>
      <c r="H10269" t="str">
        <f>"82079"</f>
        <v>82079</v>
      </c>
      <c r="I10269">
        <v>1</v>
      </c>
      <c r="J10269">
        <v>332</v>
      </c>
      <c r="K10269">
        <v>0</v>
      </c>
      <c r="L10269">
        <v>302.12</v>
      </c>
    </row>
    <row r="10270" spans="1:12" x14ac:dyDescent="0.25">
      <c r="A10270" t="str">
        <f t="shared" si="2221"/>
        <v>89301000</v>
      </c>
      <c r="B10270" t="str">
        <f t="shared" si="2222"/>
        <v>10510000</v>
      </c>
      <c r="C10270" t="str">
        <f t="shared" si="2223"/>
        <v>10510001</v>
      </c>
      <c r="D10270" t="str">
        <f t="shared" si="2224"/>
        <v>802</v>
      </c>
      <c r="E10270" t="str">
        <f t="shared" si="2228"/>
        <v>89301172</v>
      </c>
      <c r="F10270" t="str">
        <f t="shared" si="2229"/>
        <v>6608261495</v>
      </c>
      <c r="G10270" s="1">
        <v>44847</v>
      </c>
      <c r="H10270" t="str">
        <f>"82113"</f>
        <v>82113</v>
      </c>
      <c r="I10270">
        <v>1</v>
      </c>
      <c r="J10270">
        <v>362</v>
      </c>
      <c r="K10270">
        <v>0</v>
      </c>
      <c r="L10270">
        <v>329.42</v>
      </c>
    </row>
    <row r="10271" spans="1:12" x14ac:dyDescent="0.25">
      <c r="A10271" t="str">
        <f t="shared" si="2221"/>
        <v>89301000</v>
      </c>
      <c r="B10271" t="str">
        <f t="shared" si="2222"/>
        <v>10510000</v>
      </c>
      <c r="C10271" t="str">
        <f t="shared" si="2223"/>
        <v>10510001</v>
      </c>
      <c r="D10271" t="str">
        <f t="shared" si="2224"/>
        <v>802</v>
      </c>
      <c r="E10271" t="str">
        <f t="shared" si="2228"/>
        <v>89301172</v>
      </c>
      <c r="F10271" t="str">
        <f t="shared" si="2229"/>
        <v>6608261495</v>
      </c>
      <c r="G10271" s="1">
        <v>44847</v>
      </c>
      <c r="H10271" t="str">
        <f>"82113"</f>
        <v>82113</v>
      </c>
      <c r="I10271">
        <v>1</v>
      </c>
      <c r="J10271">
        <v>362</v>
      </c>
      <c r="K10271">
        <v>0</v>
      </c>
      <c r="L10271">
        <v>329.42</v>
      </c>
    </row>
    <row r="10272" spans="1:12" x14ac:dyDescent="0.25">
      <c r="A10272" t="str">
        <f t="shared" si="2221"/>
        <v>89301000</v>
      </c>
      <c r="B10272" t="str">
        <f t="shared" si="2222"/>
        <v>10510000</v>
      </c>
      <c r="C10272" t="str">
        <f t="shared" si="2223"/>
        <v>10510001</v>
      </c>
      <c r="D10272" t="str">
        <f t="shared" si="2224"/>
        <v>802</v>
      </c>
      <c r="E10272" t="str">
        <f t="shared" si="2228"/>
        <v>89301172</v>
      </c>
      <c r="F10272" t="str">
        <f t="shared" si="2229"/>
        <v>6608261495</v>
      </c>
      <c r="G10272" s="1">
        <v>44846</v>
      </c>
      <c r="H10272" t="str">
        <f>"82113"</f>
        <v>82113</v>
      </c>
      <c r="I10272">
        <v>1</v>
      </c>
      <c r="J10272">
        <v>362</v>
      </c>
      <c r="K10272">
        <v>0</v>
      </c>
      <c r="L10272">
        <v>329.42</v>
      </c>
    </row>
    <row r="10273" spans="1:12" x14ac:dyDescent="0.25">
      <c r="A10273" t="str">
        <f t="shared" si="2221"/>
        <v>89301000</v>
      </c>
      <c r="B10273" t="str">
        <f t="shared" si="2222"/>
        <v>10510000</v>
      </c>
      <c r="C10273" t="str">
        <f t="shared" si="2223"/>
        <v>10510001</v>
      </c>
      <c r="D10273" t="str">
        <f t="shared" si="2224"/>
        <v>802</v>
      </c>
      <c r="E10273" t="str">
        <f t="shared" si="2228"/>
        <v>89301172</v>
      </c>
      <c r="F10273" t="str">
        <f t="shared" si="2229"/>
        <v>6608261495</v>
      </c>
      <c r="G10273" s="1">
        <v>44846</v>
      </c>
      <c r="H10273" t="str">
        <f>"82113"</f>
        <v>82113</v>
      </c>
      <c r="I10273">
        <v>1</v>
      </c>
      <c r="J10273">
        <v>362</v>
      </c>
      <c r="K10273">
        <v>0</v>
      </c>
      <c r="L10273">
        <v>329.42</v>
      </c>
    </row>
    <row r="10274" spans="1:12" x14ac:dyDescent="0.25">
      <c r="A10274" t="str">
        <f t="shared" si="2221"/>
        <v>89301000</v>
      </c>
      <c r="B10274" t="str">
        <f t="shared" si="2222"/>
        <v>10510000</v>
      </c>
      <c r="C10274" t="str">
        <f t="shared" si="2223"/>
        <v>10510001</v>
      </c>
      <c r="D10274" t="str">
        <f t="shared" si="2224"/>
        <v>802</v>
      </c>
      <c r="E10274" t="str">
        <f t="shared" si="2228"/>
        <v>89301172</v>
      </c>
      <c r="F10274" t="str">
        <f t="shared" si="2229"/>
        <v>6608261495</v>
      </c>
      <c r="G10274" s="1">
        <v>44845</v>
      </c>
      <c r="H10274" t="str">
        <f>"82034"</f>
        <v>82034</v>
      </c>
      <c r="I10274">
        <v>1</v>
      </c>
      <c r="J10274">
        <v>348</v>
      </c>
      <c r="K10274">
        <v>0</v>
      </c>
      <c r="L10274">
        <v>316.68</v>
      </c>
    </row>
    <row r="10275" spans="1:12" x14ac:dyDescent="0.25">
      <c r="A10275" t="str">
        <f t="shared" si="2221"/>
        <v>89301000</v>
      </c>
      <c r="B10275" t="str">
        <f t="shared" si="2222"/>
        <v>10510000</v>
      </c>
      <c r="C10275" t="str">
        <f t="shared" si="2223"/>
        <v>10510001</v>
      </c>
      <c r="D10275" t="str">
        <f t="shared" si="2224"/>
        <v>802</v>
      </c>
      <c r="E10275" t="str">
        <f t="shared" si="2228"/>
        <v>89301172</v>
      </c>
      <c r="F10275" t="str">
        <f t="shared" si="2229"/>
        <v>6608261495</v>
      </c>
      <c r="G10275" s="1">
        <v>44845</v>
      </c>
      <c r="H10275" t="str">
        <f>"82041"</f>
        <v>82041</v>
      </c>
      <c r="I10275">
        <v>1</v>
      </c>
      <c r="J10275">
        <v>1090</v>
      </c>
      <c r="K10275">
        <v>0</v>
      </c>
      <c r="L10275">
        <v>991.9</v>
      </c>
    </row>
    <row r="10276" spans="1:12" x14ac:dyDescent="0.25">
      <c r="A10276" t="str">
        <f t="shared" si="2221"/>
        <v>89301000</v>
      </c>
      <c r="B10276" t="str">
        <f t="shared" si="2222"/>
        <v>10510000</v>
      </c>
      <c r="C10276" t="str">
        <f t="shared" si="2223"/>
        <v>10510001</v>
      </c>
      <c r="D10276" t="str">
        <f t="shared" si="2224"/>
        <v>802</v>
      </c>
      <c r="E10276" t="str">
        <f t="shared" si="2228"/>
        <v>89301172</v>
      </c>
      <c r="F10276" t="str">
        <f t="shared" si="2229"/>
        <v>6608261495</v>
      </c>
      <c r="G10276" s="1">
        <v>44845</v>
      </c>
      <c r="H10276" t="str">
        <f>"82041"</f>
        <v>82041</v>
      </c>
      <c r="I10276">
        <v>1</v>
      </c>
      <c r="J10276">
        <v>1090</v>
      </c>
      <c r="K10276">
        <v>0</v>
      </c>
      <c r="L10276">
        <v>991.9</v>
      </c>
    </row>
    <row r="10277" spans="1:12" x14ac:dyDescent="0.25">
      <c r="A10277" t="str">
        <f t="shared" si="2221"/>
        <v>89301000</v>
      </c>
      <c r="B10277" t="str">
        <f t="shared" si="2222"/>
        <v>10510000</v>
      </c>
      <c r="C10277" t="str">
        <f t="shared" si="2223"/>
        <v>10510001</v>
      </c>
      <c r="D10277" t="str">
        <f t="shared" si="2224"/>
        <v>802</v>
      </c>
      <c r="E10277" t="str">
        <f t="shared" si="2228"/>
        <v>89301172</v>
      </c>
      <c r="F10277" t="str">
        <f t="shared" si="2229"/>
        <v>6608261495</v>
      </c>
      <c r="G10277" s="1">
        <v>44845</v>
      </c>
      <c r="H10277" t="str">
        <f>"82041"</f>
        <v>82041</v>
      </c>
      <c r="I10277">
        <v>1</v>
      </c>
      <c r="J10277">
        <v>1090</v>
      </c>
      <c r="K10277">
        <v>0</v>
      </c>
      <c r="L10277">
        <v>991.9</v>
      </c>
    </row>
    <row r="10278" spans="1:12" x14ac:dyDescent="0.25">
      <c r="A10278" t="str">
        <f t="shared" si="2221"/>
        <v>89301000</v>
      </c>
      <c r="B10278" t="str">
        <f t="shared" si="2222"/>
        <v>10510000</v>
      </c>
      <c r="C10278" t="str">
        <f t="shared" si="2223"/>
        <v>10510001</v>
      </c>
      <c r="D10278" t="str">
        <f t="shared" si="2224"/>
        <v>802</v>
      </c>
      <c r="E10278" t="str">
        <f t="shared" si="2228"/>
        <v>89301172</v>
      </c>
      <c r="F10278" t="str">
        <f t="shared" si="2229"/>
        <v>6608261495</v>
      </c>
      <c r="G10278" s="1">
        <v>44846</v>
      </c>
      <c r="H10278" t="str">
        <f>"82041"</f>
        <v>82041</v>
      </c>
      <c r="I10278">
        <v>1</v>
      </c>
      <c r="J10278">
        <v>1090</v>
      </c>
      <c r="K10278">
        <v>0</v>
      </c>
      <c r="L10278">
        <v>991.9</v>
      </c>
    </row>
    <row r="10279" spans="1:12" x14ac:dyDescent="0.25">
      <c r="A10279" t="str">
        <f t="shared" si="2221"/>
        <v>89301000</v>
      </c>
      <c r="B10279" t="str">
        <f t="shared" si="2222"/>
        <v>10510000</v>
      </c>
      <c r="C10279" t="str">
        <f t="shared" si="2223"/>
        <v>10510001</v>
      </c>
      <c r="D10279" t="str">
        <f t="shared" si="2224"/>
        <v>802</v>
      </c>
      <c r="E10279" t="str">
        <f t="shared" ref="E10279:E10290" si="2230">"89301171"</f>
        <v>89301171</v>
      </c>
      <c r="F10279" t="str">
        <f>"9852196167"</f>
        <v>9852196167</v>
      </c>
      <c r="G10279" s="1">
        <v>44852</v>
      </c>
      <c r="H10279" t="str">
        <f>"82034"</f>
        <v>82034</v>
      </c>
      <c r="I10279">
        <v>1</v>
      </c>
      <c r="J10279">
        <v>348</v>
      </c>
      <c r="K10279">
        <v>0</v>
      </c>
      <c r="L10279">
        <v>316.68</v>
      </c>
    </row>
    <row r="10280" spans="1:12" x14ac:dyDescent="0.25">
      <c r="A10280" t="str">
        <f t="shared" si="2221"/>
        <v>89301000</v>
      </c>
      <c r="B10280" t="str">
        <f t="shared" si="2222"/>
        <v>10510000</v>
      </c>
      <c r="C10280" t="str">
        <f t="shared" si="2223"/>
        <v>10510001</v>
      </c>
      <c r="D10280" t="str">
        <f t="shared" si="2224"/>
        <v>802</v>
      </c>
      <c r="E10280" t="str">
        <f t="shared" si="2230"/>
        <v>89301171</v>
      </c>
      <c r="F10280" t="str">
        <f>"9852196167"</f>
        <v>9852196167</v>
      </c>
      <c r="G10280" s="1">
        <v>44852</v>
      </c>
      <c r="H10280" t="str">
        <f>"82041"</f>
        <v>82041</v>
      </c>
      <c r="I10280">
        <v>1</v>
      </c>
      <c r="J10280">
        <v>1090</v>
      </c>
      <c r="K10280">
        <v>0</v>
      </c>
      <c r="L10280">
        <v>991.9</v>
      </c>
    </row>
    <row r="10281" spans="1:12" x14ac:dyDescent="0.25">
      <c r="A10281" t="str">
        <f t="shared" si="2221"/>
        <v>89301000</v>
      </c>
      <c r="B10281" t="str">
        <f t="shared" si="2222"/>
        <v>10510000</v>
      </c>
      <c r="C10281" t="str">
        <f t="shared" si="2223"/>
        <v>10510001</v>
      </c>
      <c r="D10281" t="str">
        <f t="shared" si="2224"/>
        <v>802</v>
      </c>
      <c r="E10281" t="str">
        <f t="shared" si="2230"/>
        <v>89301171</v>
      </c>
      <c r="F10281" t="str">
        <f>"9852196167"</f>
        <v>9852196167</v>
      </c>
      <c r="G10281" s="1">
        <v>44852</v>
      </c>
      <c r="H10281" t="str">
        <f>"82041"</f>
        <v>82041</v>
      </c>
      <c r="I10281">
        <v>1</v>
      </c>
      <c r="J10281">
        <v>1090</v>
      </c>
      <c r="K10281">
        <v>0</v>
      </c>
      <c r="L10281">
        <v>991.9</v>
      </c>
    </row>
    <row r="10282" spans="1:12" x14ac:dyDescent="0.25">
      <c r="A10282" t="str">
        <f t="shared" si="2221"/>
        <v>89301000</v>
      </c>
      <c r="B10282" t="str">
        <f t="shared" si="2222"/>
        <v>10510000</v>
      </c>
      <c r="C10282" t="str">
        <f t="shared" si="2223"/>
        <v>10510001</v>
      </c>
      <c r="D10282" t="str">
        <f t="shared" si="2224"/>
        <v>802</v>
      </c>
      <c r="E10282" t="str">
        <f t="shared" si="2230"/>
        <v>89301171</v>
      </c>
      <c r="F10282" t="str">
        <f>"8455315341"</f>
        <v>8455315341</v>
      </c>
      <c r="G10282" s="1">
        <v>44860</v>
      </c>
      <c r="H10282" t="str">
        <f>"82041"</f>
        <v>82041</v>
      </c>
      <c r="I10282">
        <v>1</v>
      </c>
      <c r="J10282">
        <v>1090</v>
      </c>
      <c r="K10282">
        <v>0</v>
      </c>
      <c r="L10282">
        <v>991.9</v>
      </c>
    </row>
    <row r="10283" spans="1:12" x14ac:dyDescent="0.25">
      <c r="A10283" t="str">
        <f t="shared" si="2221"/>
        <v>89301000</v>
      </c>
      <c r="B10283" t="str">
        <f t="shared" si="2222"/>
        <v>10510000</v>
      </c>
      <c r="C10283" t="str">
        <f t="shared" si="2223"/>
        <v>10510001</v>
      </c>
      <c r="D10283" t="str">
        <f t="shared" si="2224"/>
        <v>802</v>
      </c>
      <c r="E10283" t="str">
        <f t="shared" si="2230"/>
        <v>89301171</v>
      </c>
      <c r="F10283" t="str">
        <f>"8455315341"</f>
        <v>8455315341</v>
      </c>
      <c r="G10283" s="1">
        <v>44860</v>
      </c>
      <c r="H10283" t="str">
        <f>"82041"</f>
        <v>82041</v>
      </c>
      <c r="I10283">
        <v>1</v>
      </c>
      <c r="J10283">
        <v>1090</v>
      </c>
      <c r="K10283">
        <v>0</v>
      </c>
      <c r="L10283">
        <v>991.9</v>
      </c>
    </row>
    <row r="10284" spans="1:12" x14ac:dyDescent="0.25">
      <c r="A10284" t="str">
        <f t="shared" si="2221"/>
        <v>89301000</v>
      </c>
      <c r="B10284" t="str">
        <f t="shared" si="2222"/>
        <v>10510000</v>
      </c>
      <c r="C10284" t="str">
        <f t="shared" si="2223"/>
        <v>10510001</v>
      </c>
      <c r="D10284" t="str">
        <f t="shared" si="2224"/>
        <v>802</v>
      </c>
      <c r="E10284" t="str">
        <f t="shared" si="2230"/>
        <v>89301171</v>
      </c>
      <c r="F10284" t="str">
        <f>"8455315341"</f>
        <v>8455315341</v>
      </c>
      <c r="G10284" s="1">
        <v>44860</v>
      </c>
      <c r="H10284" t="str">
        <f>"82034"</f>
        <v>82034</v>
      </c>
      <c r="I10284">
        <v>1</v>
      </c>
      <c r="J10284">
        <v>348</v>
      </c>
      <c r="K10284">
        <v>0</v>
      </c>
      <c r="L10284">
        <v>316.68</v>
      </c>
    </row>
    <row r="10285" spans="1:12" x14ac:dyDescent="0.25">
      <c r="A10285" t="str">
        <f t="shared" si="2221"/>
        <v>89301000</v>
      </c>
      <c r="B10285" t="str">
        <f t="shared" si="2222"/>
        <v>10510000</v>
      </c>
      <c r="C10285" t="str">
        <f t="shared" si="2223"/>
        <v>10510001</v>
      </c>
      <c r="D10285" t="str">
        <f t="shared" si="2224"/>
        <v>802</v>
      </c>
      <c r="E10285" t="str">
        <f t="shared" si="2230"/>
        <v>89301171</v>
      </c>
      <c r="F10285" t="str">
        <f>"6262270487"</f>
        <v>6262270487</v>
      </c>
      <c r="G10285" s="1">
        <v>44860</v>
      </c>
      <c r="H10285" t="str">
        <f>"82034"</f>
        <v>82034</v>
      </c>
      <c r="I10285">
        <v>1</v>
      </c>
      <c r="J10285">
        <v>348</v>
      </c>
      <c r="K10285">
        <v>0</v>
      </c>
      <c r="L10285">
        <v>316.68</v>
      </c>
    </row>
    <row r="10286" spans="1:12" x14ac:dyDescent="0.25">
      <c r="A10286" t="str">
        <f t="shared" si="2221"/>
        <v>89301000</v>
      </c>
      <c r="B10286" t="str">
        <f t="shared" si="2222"/>
        <v>10510000</v>
      </c>
      <c r="C10286" t="str">
        <f t="shared" si="2223"/>
        <v>10510001</v>
      </c>
      <c r="D10286" t="str">
        <f t="shared" si="2224"/>
        <v>802</v>
      </c>
      <c r="E10286" t="str">
        <f t="shared" si="2230"/>
        <v>89301171</v>
      </c>
      <c r="F10286" t="str">
        <f>"6262270487"</f>
        <v>6262270487</v>
      </c>
      <c r="G10286" s="1">
        <v>44860</v>
      </c>
      <c r="H10286" t="str">
        <f>"82041"</f>
        <v>82041</v>
      </c>
      <c r="I10286">
        <v>1</v>
      </c>
      <c r="J10286">
        <v>1090</v>
      </c>
      <c r="K10286">
        <v>0</v>
      </c>
      <c r="L10286">
        <v>991.9</v>
      </c>
    </row>
    <row r="10287" spans="1:12" x14ac:dyDescent="0.25">
      <c r="A10287" t="str">
        <f t="shared" si="2221"/>
        <v>89301000</v>
      </c>
      <c r="B10287" t="str">
        <f t="shared" si="2222"/>
        <v>10510000</v>
      </c>
      <c r="C10287" t="str">
        <f t="shared" si="2223"/>
        <v>10510001</v>
      </c>
      <c r="D10287" t="str">
        <f t="shared" si="2224"/>
        <v>802</v>
      </c>
      <c r="E10287" t="str">
        <f t="shared" si="2230"/>
        <v>89301171</v>
      </c>
      <c r="F10287" t="str">
        <f>"6262270487"</f>
        <v>6262270487</v>
      </c>
      <c r="G10287" s="1">
        <v>44860</v>
      </c>
      <c r="H10287" t="str">
        <f>"82041"</f>
        <v>82041</v>
      </c>
      <c r="I10287">
        <v>1</v>
      </c>
      <c r="J10287">
        <v>1090</v>
      </c>
      <c r="K10287">
        <v>0</v>
      </c>
      <c r="L10287">
        <v>991.9</v>
      </c>
    </row>
    <row r="10288" spans="1:12" x14ac:dyDescent="0.25">
      <c r="A10288" t="str">
        <f t="shared" si="2221"/>
        <v>89301000</v>
      </c>
      <c r="B10288" t="str">
        <f t="shared" si="2222"/>
        <v>10510000</v>
      </c>
      <c r="C10288" t="str">
        <f t="shared" si="2223"/>
        <v>10510001</v>
      </c>
      <c r="D10288" t="str">
        <f t="shared" si="2224"/>
        <v>802</v>
      </c>
      <c r="E10288" t="str">
        <f t="shared" si="2230"/>
        <v>89301171</v>
      </c>
      <c r="F10288" t="str">
        <f>"505910328"</f>
        <v>505910328</v>
      </c>
      <c r="G10288" s="1">
        <v>44860</v>
      </c>
      <c r="H10288" t="str">
        <f>"82034"</f>
        <v>82034</v>
      </c>
      <c r="I10288">
        <v>1</v>
      </c>
      <c r="J10288">
        <v>348</v>
      </c>
      <c r="K10288">
        <v>0</v>
      </c>
      <c r="L10288">
        <v>316.68</v>
      </c>
    </row>
    <row r="10289" spans="1:12" x14ac:dyDescent="0.25">
      <c r="A10289" t="str">
        <f t="shared" si="2221"/>
        <v>89301000</v>
      </c>
      <c r="B10289" t="str">
        <f t="shared" si="2222"/>
        <v>10510000</v>
      </c>
      <c r="C10289" t="str">
        <f t="shared" si="2223"/>
        <v>10510001</v>
      </c>
      <c r="D10289" t="str">
        <f t="shared" si="2224"/>
        <v>802</v>
      </c>
      <c r="E10289" t="str">
        <f t="shared" si="2230"/>
        <v>89301171</v>
      </c>
      <c r="F10289" t="str">
        <f>"505910328"</f>
        <v>505910328</v>
      </c>
      <c r="G10289" s="1">
        <v>44860</v>
      </c>
      <c r="H10289" t="str">
        <f>"82041"</f>
        <v>82041</v>
      </c>
      <c r="I10289">
        <v>1</v>
      </c>
      <c r="J10289">
        <v>1090</v>
      </c>
      <c r="K10289">
        <v>0</v>
      </c>
      <c r="L10289">
        <v>991.9</v>
      </c>
    </row>
    <row r="10290" spans="1:12" x14ac:dyDescent="0.25">
      <c r="A10290" t="str">
        <f t="shared" si="2221"/>
        <v>89301000</v>
      </c>
      <c r="B10290" t="str">
        <f t="shared" si="2222"/>
        <v>10510000</v>
      </c>
      <c r="C10290" t="str">
        <f t="shared" si="2223"/>
        <v>10510001</v>
      </c>
      <c r="D10290" t="str">
        <f t="shared" si="2224"/>
        <v>802</v>
      </c>
      <c r="E10290" t="str">
        <f t="shared" si="2230"/>
        <v>89301171</v>
      </c>
      <c r="F10290" t="str">
        <f>"505910328"</f>
        <v>505910328</v>
      </c>
      <c r="G10290" s="1">
        <v>44860</v>
      </c>
      <c r="H10290" t="str">
        <f>"82041"</f>
        <v>82041</v>
      </c>
      <c r="I10290">
        <v>1</v>
      </c>
      <c r="J10290">
        <v>1090</v>
      </c>
      <c r="K10290">
        <v>0</v>
      </c>
      <c r="L10290">
        <v>991.9</v>
      </c>
    </row>
    <row r="10291" spans="1:12" x14ac:dyDescent="0.25">
      <c r="A10291" t="str">
        <f t="shared" si="2221"/>
        <v>89301000</v>
      </c>
      <c r="B10291" t="str">
        <f t="shared" si="2222"/>
        <v>10510000</v>
      </c>
      <c r="C10291" t="str">
        <f t="shared" si="2223"/>
        <v>10510001</v>
      </c>
      <c r="D10291" t="str">
        <f t="shared" si="2224"/>
        <v>802</v>
      </c>
      <c r="E10291" t="str">
        <f>"89301026"</f>
        <v>89301026</v>
      </c>
      <c r="F10291" t="str">
        <f>"436008429"</f>
        <v>436008429</v>
      </c>
      <c r="G10291" s="1">
        <v>44803</v>
      </c>
      <c r="H10291" t="str">
        <f>"82077"</f>
        <v>82077</v>
      </c>
      <c r="I10291">
        <v>1</v>
      </c>
      <c r="J10291">
        <v>350</v>
      </c>
      <c r="K10291">
        <v>0</v>
      </c>
      <c r="L10291">
        <v>318.5</v>
      </c>
    </row>
    <row r="10292" spans="1:12" x14ac:dyDescent="0.25">
      <c r="A10292" t="str">
        <f t="shared" si="2221"/>
        <v>89301000</v>
      </c>
      <c r="B10292" t="str">
        <f t="shared" si="2222"/>
        <v>10510000</v>
      </c>
      <c r="C10292" t="str">
        <f t="shared" si="2223"/>
        <v>10510001</v>
      </c>
      <c r="D10292" t="str">
        <f t="shared" si="2224"/>
        <v>802</v>
      </c>
      <c r="E10292" t="str">
        <f>"89301026"</f>
        <v>89301026</v>
      </c>
      <c r="F10292" t="str">
        <f>"436008429"</f>
        <v>436008429</v>
      </c>
      <c r="G10292" s="1">
        <v>44803</v>
      </c>
      <c r="H10292" t="str">
        <f>"82077"</f>
        <v>82077</v>
      </c>
      <c r="I10292">
        <v>1</v>
      </c>
      <c r="J10292">
        <v>350</v>
      </c>
      <c r="K10292">
        <v>0</v>
      </c>
      <c r="L10292">
        <v>318.5</v>
      </c>
    </row>
    <row r="10293" spans="1:12" x14ac:dyDescent="0.25">
      <c r="A10293" t="str">
        <f t="shared" si="2221"/>
        <v>89301000</v>
      </c>
      <c r="B10293" t="str">
        <f t="shared" si="2222"/>
        <v>10510000</v>
      </c>
      <c r="C10293" t="str">
        <f t="shared" si="2223"/>
        <v>10510001</v>
      </c>
      <c r="D10293" t="str">
        <f t="shared" si="2224"/>
        <v>802</v>
      </c>
      <c r="E10293" t="str">
        <f>"89301026"</f>
        <v>89301026</v>
      </c>
      <c r="F10293" t="str">
        <f>"436008429"</f>
        <v>436008429</v>
      </c>
      <c r="G10293" s="1">
        <v>44811</v>
      </c>
      <c r="H10293" t="str">
        <f>"82040"</f>
        <v>82040</v>
      </c>
      <c r="I10293">
        <v>1</v>
      </c>
      <c r="J10293">
        <v>927</v>
      </c>
      <c r="K10293">
        <v>0</v>
      </c>
      <c r="L10293">
        <v>843.57</v>
      </c>
    </row>
    <row r="10294" spans="1:12" x14ac:dyDescent="0.25">
      <c r="A10294" t="str">
        <f t="shared" si="2221"/>
        <v>89301000</v>
      </c>
      <c r="B10294" t="str">
        <f t="shared" si="2222"/>
        <v>10510000</v>
      </c>
      <c r="C10294" t="str">
        <f t="shared" si="2223"/>
        <v>10510001</v>
      </c>
      <c r="D10294" t="str">
        <f t="shared" si="2224"/>
        <v>802</v>
      </c>
      <c r="E10294" t="str">
        <f>"89301026"</f>
        <v>89301026</v>
      </c>
      <c r="F10294" t="str">
        <f>"436008429"</f>
        <v>436008429</v>
      </c>
      <c r="G10294" s="1">
        <v>44811</v>
      </c>
      <c r="H10294" t="str">
        <f>"82041"</f>
        <v>82041</v>
      </c>
      <c r="I10294">
        <v>1</v>
      </c>
      <c r="J10294">
        <v>1090</v>
      </c>
      <c r="K10294">
        <v>0</v>
      </c>
      <c r="L10294">
        <v>991.9</v>
      </c>
    </row>
    <row r="10295" spans="1:12" x14ac:dyDescent="0.25">
      <c r="A10295" t="str">
        <f t="shared" si="2221"/>
        <v>89301000</v>
      </c>
      <c r="B10295" t="str">
        <f>"89434000"</f>
        <v>89434000</v>
      </c>
      <c r="C10295" t="str">
        <f>"89434000"</f>
        <v>89434000</v>
      </c>
      <c r="D10295" t="str">
        <f t="shared" ref="D10295:D10301" si="2231">"809"</f>
        <v>809</v>
      </c>
      <c r="E10295" t="str">
        <f>"89301047"</f>
        <v>89301047</v>
      </c>
      <c r="F10295" t="str">
        <f>"1853110259"</f>
        <v>1853110259</v>
      </c>
      <c r="G10295" s="1">
        <v>44845</v>
      </c>
      <c r="H10295" t="str">
        <f>"09139"</f>
        <v>09139</v>
      </c>
      <c r="I10295">
        <v>1</v>
      </c>
      <c r="J10295">
        <v>346</v>
      </c>
      <c r="K10295">
        <v>0</v>
      </c>
      <c r="L10295">
        <v>484.4</v>
      </c>
    </row>
    <row r="10296" spans="1:12" x14ac:dyDescent="0.25">
      <c r="A10296" t="str">
        <f t="shared" si="2221"/>
        <v>89301000</v>
      </c>
      <c r="B10296" t="str">
        <f>"89434000"</f>
        <v>89434000</v>
      </c>
      <c r="C10296" t="str">
        <f>"89434000"</f>
        <v>89434000</v>
      </c>
      <c r="D10296" t="str">
        <f t="shared" si="2231"/>
        <v>809</v>
      </c>
      <c r="E10296" t="str">
        <f>"89301172"</f>
        <v>89301172</v>
      </c>
      <c r="F10296" t="str">
        <f>"7961270900"</f>
        <v>7961270900</v>
      </c>
      <c r="G10296" s="1">
        <v>44844</v>
      </c>
      <c r="H10296" t="str">
        <f>"89117"</f>
        <v>89117</v>
      </c>
      <c r="I10296">
        <v>1</v>
      </c>
      <c r="J10296">
        <v>168</v>
      </c>
      <c r="K10296">
        <v>0</v>
      </c>
      <c r="L10296">
        <v>235.2</v>
      </c>
    </row>
    <row r="10297" spans="1:12" x14ac:dyDescent="0.25">
      <c r="A10297" t="str">
        <f t="shared" si="2221"/>
        <v>89301000</v>
      </c>
      <c r="B10297" t="str">
        <f t="shared" ref="B10297:C10301" si="2232">"89632000"</f>
        <v>89632000</v>
      </c>
      <c r="C10297" t="str">
        <f t="shared" si="2232"/>
        <v>89632000</v>
      </c>
      <c r="D10297" t="str">
        <f t="shared" si="2231"/>
        <v>809</v>
      </c>
      <c r="E10297" t="str">
        <f>"89301212"</f>
        <v>89301212</v>
      </c>
      <c r="F10297" t="str">
        <f>"415404411"</f>
        <v>415404411</v>
      </c>
      <c r="G10297" s="1">
        <v>44854</v>
      </c>
      <c r="H10297" t="str">
        <f>"89513"</f>
        <v>89513</v>
      </c>
      <c r="I10297">
        <v>1</v>
      </c>
      <c r="J10297">
        <v>371</v>
      </c>
      <c r="K10297">
        <v>0</v>
      </c>
      <c r="L10297">
        <v>519.4</v>
      </c>
    </row>
    <row r="10298" spans="1:12" x14ac:dyDescent="0.25">
      <c r="A10298" t="str">
        <f t="shared" si="2221"/>
        <v>89301000</v>
      </c>
      <c r="B10298" t="str">
        <f t="shared" si="2232"/>
        <v>89632000</v>
      </c>
      <c r="C10298" t="str">
        <f t="shared" si="2232"/>
        <v>89632000</v>
      </c>
      <c r="D10298" t="str">
        <f t="shared" si="2231"/>
        <v>809</v>
      </c>
      <c r="E10298" t="str">
        <f>"89301212"</f>
        <v>89301212</v>
      </c>
      <c r="F10298" t="str">
        <f>"415404411"</f>
        <v>415404411</v>
      </c>
      <c r="G10298" s="1">
        <v>44854</v>
      </c>
      <c r="H10298" t="str">
        <f>"89514"</f>
        <v>89514</v>
      </c>
      <c r="I10298">
        <v>1</v>
      </c>
      <c r="J10298">
        <v>371</v>
      </c>
      <c r="K10298">
        <v>0</v>
      </c>
      <c r="L10298">
        <v>519.4</v>
      </c>
    </row>
    <row r="10299" spans="1:12" x14ac:dyDescent="0.25">
      <c r="A10299" t="str">
        <f t="shared" si="2221"/>
        <v>89301000</v>
      </c>
      <c r="B10299" t="str">
        <f t="shared" si="2232"/>
        <v>89632000</v>
      </c>
      <c r="C10299" t="str">
        <f t="shared" si="2232"/>
        <v>89632000</v>
      </c>
      <c r="D10299" t="str">
        <f t="shared" si="2231"/>
        <v>809</v>
      </c>
      <c r="E10299" t="str">
        <f>"89301212"</f>
        <v>89301212</v>
      </c>
      <c r="F10299" t="str">
        <f>"495826020"</f>
        <v>495826020</v>
      </c>
      <c r="G10299" s="1">
        <v>44845</v>
      </c>
      <c r="H10299" t="str">
        <f>"89513"</f>
        <v>89513</v>
      </c>
      <c r="I10299">
        <v>1</v>
      </c>
      <c r="J10299">
        <v>371</v>
      </c>
      <c r="K10299">
        <v>0</v>
      </c>
      <c r="L10299">
        <v>519.4</v>
      </c>
    </row>
    <row r="10300" spans="1:12" x14ac:dyDescent="0.25">
      <c r="A10300" t="str">
        <f t="shared" si="2221"/>
        <v>89301000</v>
      </c>
      <c r="B10300" t="str">
        <f t="shared" si="2232"/>
        <v>89632000</v>
      </c>
      <c r="C10300" t="str">
        <f t="shared" si="2232"/>
        <v>89632000</v>
      </c>
      <c r="D10300" t="str">
        <f t="shared" si="2231"/>
        <v>809</v>
      </c>
      <c r="E10300" t="str">
        <f>"89301212"</f>
        <v>89301212</v>
      </c>
      <c r="F10300" t="str">
        <f>"495826020"</f>
        <v>495826020</v>
      </c>
      <c r="G10300" s="1">
        <v>44845</v>
      </c>
      <c r="H10300" t="str">
        <f>"89514"</f>
        <v>89514</v>
      </c>
      <c r="I10300">
        <v>1</v>
      </c>
      <c r="J10300">
        <v>371</v>
      </c>
      <c r="K10300">
        <v>0</v>
      </c>
      <c r="L10300">
        <v>519.4</v>
      </c>
    </row>
    <row r="10301" spans="1:12" x14ac:dyDescent="0.25">
      <c r="A10301" t="str">
        <f t="shared" si="2221"/>
        <v>89301000</v>
      </c>
      <c r="B10301" t="str">
        <f t="shared" si="2232"/>
        <v>89632000</v>
      </c>
      <c r="C10301" t="str">
        <f t="shared" si="2232"/>
        <v>89632000</v>
      </c>
      <c r="D10301" t="str">
        <f t="shared" si="2231"/>
        <v>809</v>
      </c>
      <c r="E10301" t="str">
        <f>"89301212"</f>
        <v>89301212</v>
      </c>
      <c r="F10301" t="str">
        <f>"505906186"</f>
        <v>505906186</v>
      </c>
      <c r="G10301" s="1">
        <v>44851</v>
      </c>
      <c r="H10301" t="str">
        <f>"09139"</f>
        <v>09139</v>
      </c>
      <c r="I10301">
        <v>1</v>
      </c>
      <c r="J10301">
        <v>346</v>
      </c>
      <c r="K10301">
        <v>0</v>
      </c>
      <c r="L10301">
        <v>484.4</v>
      </c>
    </row>
    <row r="10302" spans="1:12" x14ac:dyDescent="0.25">
      <c r="A10302" t="str">
        <f t="shared" si="2221"/>
        <v>89301000</v>
      </c>
      <c r="B10302" t="str">
        <f t="shared" ref="B10302:B10309" si="2233">"72100000"</f>
        <v>72100000</v>
      </c>
      <c r="C10302" t="str">
        <f>"72100632"</f>
        <v>72100632</v>
      </c>
      <c r="D10302" t="str">
        <f>"816"</f>
        <v>816</v>
      </c>
      <c r="E10302" t="str">
        <f>"89301091"</f>
        <v>89301091</v>
      </c>
      <c r="F10302" t="str">
        <f>"9353055701"</f>
        <v>9353055701</v>
      </c>
      <c r="G10302" s="1">
        <v>44839</v>
      </c>
      <c r="H10302" t="str">
        <f>"94297"</f>
        <v>94297</v>
      </c>
      <c r="I10302">
        <v>1</v>
      </c>
      <c r="J10302">
        <v>298</v>
      </c>
      <c r="K10302">
        <v>0</v>
      </c>
      <c r="L10302">
        <v>366.54</v>
      </c>
    </row>
    <row r="10303" spans="1:12" x14ac:dyDescent="0.25">
      <c r="A10303" t="str">
        <f t="shared" si="2221"/>
        <v>89301000</v>
      </c>
      <c r="B10303" t="str">
        <f t="shared" si="2233"/>
        <v>72100000</v>
      </c>
      <c r="C10303" t="str">
        <f>"72100632"</f>
        <v>72100632</v>
      </c>
      <c r="D10303" t="str">
        <f>"816"</f>
        <v>816</v>
      </c>
      <c r="E10303" t="str">
        <f>"89301091"</f>
        <v>89301091</v>
      </c>
      <c r="F10303" t="str">
        <f>"8361015344"</f>
        <v>8361015344</v>
      </c>
      <c r="G10303" s="1">
        <v>44846</v>
      </c>
      <c r="H10303" t="str">
        <f>"94297"</f>
        <v>94297</v>
      </c>
      <c r="I10303">
        <v>1</v>
      </c>
      <c r="J10303">
        <v>298</v>
      </c>
      <c r="K10303">
        <v>0</v>
      </c>
      <c r="L10303">
        <v>366.54</v>
      </c>
    </row>
    <row r="10304" spans="1:12" x14ac:dyDescent="0.25">
      <c r="A10304" t="str">
        <f t="shared" si="2221"/>
        <v>89301000</v>
      </c>
      <c r="B10304" t="str">
        <f t="shared" si="2233"/>
        <v>72100000</v>
      </c>
      <c r="C10304" t="str">
        <f>"72100632"</f>
        <v>72100632</v>
      </c>
      <c r="D10304" t="str">
        <f>"816"</f>
        <v>816</v>
      </c>
      <c r="E10304" t="str">
        <f>"89301091"</f>
        <v>89301091</v>
      </c>
      <c r="F10304" t="str">
        <f>"8958305917"</f>
        <v>8958305917</v>
      </c>
      <c r="G10304" s="1">
        <v>44846</v>
      </c>
      <c r="H10304" t="str">
        <f>"94297"</f>
        <v>94297</v>
      </c>
      <c r="I10304">
        <v>1</v>
      </c>
      <c r="J10304">
        <v>298</v>
      </c>
      <c r="K10304">
        <v>0</v>
      </c>
      <c r="L10304">
        <v>366.54</v>
      </c>
    </row>
    <row r="10305" spans="1:12" x14ac:dyDescent="0.25">
      <c r="A10305" t="str">
        <f t="shared" si="2221"/>
        <v>89301000</v>
      </c>
      <c r="B10305" t="str">
        <f t="shared" si="2233"/>
        <v>72100000</v>
      </c>
      <c r="C10305" t="str">
        <f>"72100632"</f>
        <v>72100632</v>
      </c>
      <c r="D10305" t="str">
        <f>"816"</f>
        <v>816</v>
      </c>
      <c r="E10305" t="str">
        <f>"89301091"</f>
        <v>89301091</v>
      </c>
      <c r="F10305" t="str">
        <f>"2210050018"</f>
        <v>2210050018</v>
      </c>
      <c r="G10305" s="1">
        <v>44846</v>
      </c>
      <c r="H10305" t="str">
        <f>"94297"</f>
        <v>94297</v>
      </c>
      <c r="I10305">
        <v>1</v>
      </c>
      <c r="J10305">
        <v>298</v>
      </c>
      <c r="K10305">
        <v>0</v>
      </c>
      <c r="L10305">
        <v>366.54</v>
      </c>
    </row>
    <row r="10306" spans="1:12" x14ac:dyDescent="0.25">
      <c r="A10306" t="str">
        <f t="shared" ref="A10306:A10369" si="2234">"89301000"</f>
        <v>89301000</v>
      </c>
      <c r="B10306" t="str">
        <f t="shared" si="2233"/>
        <v>72100000</v>
      </c>
      <c r="C10306" t="str">
        <f>"72100632"</f>
        <v>72100632</v>
      </c>
      <c r="D10306" t="str">
        <f>"816"</f>
        <v>816</v>
      </c>
      <c r="E10306" t="str">
        <f>"89301091"</f>
        <v>89301091</v>
      </c>
      <c r="F10306" t="str">
        <f>"8762215781"</f>
        <v>8762215781</v>
      </c>
      <c r="G10306" s="1">
        <v>44847</v>
      </c>
      <c r="H10306" t="str">
        <f>"94297"</f>
        <v>94297</v>
      </c>
      <c r="I10306">
        <v>1</v>
      </c>
      <c r="J10306">
        <v>298</v>
      </c>
      <c r="K10306">
        <v>0</v>
      </c>
      <c r="L10306">
        <v>366.54</v>
      </c>
    </row>
    <row r="10307" spans="1:12" x14ac:dyDescent="0.25">
      <c r="A10307" t="str">
        <f t="shared" si="2234"/>
        <v>89301000</v>
      </c>
      <c r="B10307" t="str">
        <f t="shared" si="2233"/>
        <v>72100000</v>
      </c>
      <c r="C10307" t="str">
        <f>"72100750"</f>
        <v>72100750</v>
      </c>
      <c r="D10307" t="str">
        <f>"809"</f>
        <v>809</v>
      </c>
      <c r="E10307" t="str">
        <f>"89301172"</f>
        <v>89301172</v>
      </c>
      <c r="F10307" t="str">
        <f>"7662225241"</f>
        <v>7662225241</v>
      </c>
      <c r="G10307" s="1">
        <v>44853</v>
      </c>
      <c r="H10307" t="str">
        <f>"89713"</f>
        <v>89713</v>
      </c>
      <c r="I10307">
        <v>3</v>
      </c>
      <c r="J10307">
        <v>16086</v>
      </c>
      <c r="K10307">
        <v>0</v>
      </c>
      <c r="L10307">
        <v>9651.6</v>
      </c>
    </row>
    <row r="10308" spans="1:12" x14ac:dyDescent="0.25">
      <c r="A10308" t="str">
        <f t="shared" si="2234"/>
        <v>89301000</v>
      </c>
      <c r="B10308" t="str">
        <f t="shared" si="2233"/>
        <v>72100000</v>
      </c>
      <c r="C10308" t="str">
        <f>"72100632"</f>
        <v>72100632</v>
      </c>
      <c r="D10308" t="str">
        <f>"816"</f>
        <v>816</v>
      </c>
      <c r="E10308" t="str">
        <f>"89301091"</f>
        <v>89301091</v>
      </c>
      <c r="F10308" t="str">
        <f>"8254295698"</f>
        <v>8254295698</v>
      </c>
      <c r="G10308" s="1">
        <v>44854</v>
      </c>
      <c r="H10308" t="str">
        <f>"94297"</f>
        <v>94297</v>
      </c>
      <c r="I10308">
        <v>1</v>
      </c>
      <c r="J10308">
        <v>298</v>
      </c>
      <c r="K10308">
        <v>0</v>
      </c>
      <c r="L10308">
        <v>366.54</v>
      </c>
    </row>
    <row r="10309" spans="1:12" x14ac:dyDescent="0.25">
      <c r="A10309" t="str">
        <f t="shared" si="2234"/>
        <v>89301000</v>
      </c>
      <c r="B10309" t="str">
        <f t="shared" si="2233"/>
        <v>72100000</v>
      </c>
      <c r="C10309" t="str">
        <f>"72100632"</f>
        <v>72100632</v>
      </c>
      <c r="D10309" t="str">
        <f>"816"</f>
        <v>816</v>
      </c>
      <c r="E10309" t="str">
        <f>"89301091"</f>
        <v>89301091</v>
      </c>
      <c r="F10309" t="str">
        <f>"8759165437"</f>
        <v>8759165437</v>
      </c>
      <c r="G10309" s="1">
        <v>44854</v>
      </c>
      <c r="H10309" t="str">
        <f>"94297"</f>
        <v>94297</v>
      </c>
      <c r="I10309">
        <v>1</v>
      </c>
      <c r="J10309">
        <v>298</v>
      </c>
      <c r="K10309">
        <v>0</v>
      </c>
      <c r="L10309">
        <v>366.54</v>
      </c>
    </row>
    <row r="10310" spans="1:12" x14ac:dyDescent="0.25">
      <c r="A10310" t="str">
        <f t="shared" si="2234"/>
        <v>89301000</v>
      </c>
      <c r="B10310" t="str">
        <f t="shared" ref="B10310:B10319" si="2235">"89903000"</f>
        <v>89903000</v>
      </c>
      <c r="C10310" t="str">
        <f t="shared" ref="C10310:C10319" si="2236">"89903503"</f>
        <v>89903503</v>
      </c>
      <c r="D10310" t="str">
        <f t="shared" ref="D10310:D10321" si="2237">"809"</f>
        <v>809</v>
      </c>
      <c r="E10310" t="str">
        <f>"89301011"</f>
        <v>89301011</v>
      </c>
      <c r="F10310" t="str">
        <f>"521227010"</f>
        <v>521227010</v>
      </c>
      <c r="G10310" s="1">
        <v>44845</v>
      </c>
      <c r="H10310" t="str">
        <f>"09233"</f>
        <v>09233</v>
      </c>
      <c r="I10310">
        <v>1</v>
      </c>
      <c r="J10310">
        <v>99</v>
      </c>
      <c r="K10310">
        <v>0</v>
      </c>
      <c r="L10310">
        <v>138.6</v>
      </c>
    </row>
    <row r="10311" spans="1:12" x14ac:dyDescent="0.25">
      <c r="A10311" t="str">
        <f t="shared" si="2234"/>
        <v>89301000</v>
      </c>
      <c r="B10311" t="str">
        <f t="shared" si="2235"/>
        <v>89903000</v>
      </c>
      <c r="C10311" t="str">
        <f t="shared" si="2236"/>
        <v>89903503</v>
      </c>
      <c r="D10311" t="str">
        <f t="shared" si="2237"/>
        <v>809</v>
      </c>
      <c r="E10311" t="str">
        <f>"89301011"</f>
        <v>89301011</v>
      </c>
      <c r="F10311" t="str">
        <f>"521227010"</f>
        <v>521227010</v>
      </c>
      <c r="G10311" s="1">
        <v>44845</v>
      </c>
      <c r="H10311" t="str">
        <f>"89311"</f>
        <v>89311</v>
      </c>
      <c r="I10311">
        <v>1</v>
      </c>
      <c r="J10311">
        <v>936</v>
      </c>
      <c r="K10311">
        <v>0</v>
      </c>
      <c r="L10311">
        <v>1310.4000000000001</v>
      </c>
    </row>
    <row r="10312" spans="1:12" x14ac:dyDescent="0.25">
      <c r="A10312" t="str">
        <f t="shared" si="2234"/>
        <v>89301000</v>
      </c>
      <c r="B10312" t="str">
        <f t="shared" si="2235"/>
        <v>89903000</v>
      </c>
      <c r="C10312" t="str">
        <f t="shared" si="2236"/>
        <v>89903503</v>
      </c>
      <c r="D10312" t="str">
        <f t="shared" si="2237"/>
        <v>809</v>
      </c>
      <c r="E10312" t="str">
        <f>"89301011"</f>
        <v>89301011</v>
      </c>
      <c r="F10312" t="str">
        <f>"521227010"</f>
        <v>521227010</v>
      </c>
      <c r="G10312" s="1">
        <v>44845</v>
      </c>
      <c r="H10312" t="str">
        <f>"89615"</f>
        <v>89615</v>
      </c>
      <c r="I10312">
        <v>1</v>
      </c>
      <c r="J10312">
        <v>2170</v>
      </c>
      <c r="K10312">
        <v>0</v>
      </c>
      <c r="L10312">
        <v>1302</v>
      </c>
    </row>
    <row r="10313" spans="1:12" x14ac:dyDescent="0.25">
      <c r="A10313" t="str">
        <f t="shared" si="2234"/>
        <v>89301000</v>
      </c>
      <c r="B10313" t="str">
        <f t="shared" si="2235"/>
        <v>89903000</v>
      </c>
      <c r="C10313" t="str">
        <f t="shared" si="2236"/>
        <v>89903503</v>
      </c>
      <c r="D10313" t="str">
        <f t="shared" si="2237"/>
        <v>809</v>
      </c>
      <c r="E10313" t="str">
        <f>"89301011"</f>
        <v>89301011</v>
      </c>
      <c r="F10313" t="str">
        <f>"521227010"</f>
        <v>521227010</v>
      </c>
      <c r="G10313" s="1">
        <v>44845</v>
      </c>
      <c r="H10313" t="str">
        <f>"0084090"</f>
        <v>0084090</v>
      </c>
      <c r="I10313">
        <v>0.2</v>
      </c>
      <c r="K10313">
        <v>17.03</v>
      </c>
      <c r="L10313">
        <v>17.03</v>
      </c>
    </row>
    <row r="10314" spans="1:12" x14ac:dyDescent="0.25">
      <c r="A10314" t="str">
        <f t="shared" si="2234"/>
        <v>89301000</v>
      </c>
      <c r="B10314" t="str">
        <f t="shared" si="2235"/>
        <v>89903000</v>
      </c>
      <c r="C10314" t="str">
        <f t="shared" si="2236"/>
        <v>89903503</v>
      </c>
      <c r="D10314" t="str">
        <f t="shared" si="2237"/>
        <v>809</v>
      </c>
      <c r="E10314" t="str">
        <f t="shared" ref="E10314:E10319" si="2238">"89301062"</f>
        <v>89301062</v>
      </c>
      <c r="F10314" t="str">
        <f t="shared" ref="F10314:F10319" si="2239">"6156091183"</f>
        <v>6156091183</v>
      </c>
      <c r="G10314" s="1">
        <v>44852</v>
      </c>
      <c r="H10314" t="str">
        <f>"09233"</f>
        <v>09233</v>
      </c>
      <c r="I10314">
        <v>1</v>
      </c>
      <c r="J10314">
        <v>99</v>
      </c>
      <c r="K10314">
        <v>0</v>
      </c>
      <c r="L10314">
        <v>138.6</v>
      </c>
    </row>
    <row r="10315" spans="1:12" x14ac:dyDescent="0.25">
      <c r="A10315" t="str">
        <f t="shared" si="2234"/>
        <v>89301000</v>
      </c>
      <c r="B10315" t="str">
        <f t="shared" si="2235"/>
        <v>89903000</v>
      </c>
      <c r="C10315" t="str">
        <f t="shared" si="2236"/>
        <v>89903503</v>
      </c>
      <c r="D10315" t="str">
        <f t="shared" si="2237"/>
        <v>809</v>
      </c>
      <c r="E10315" t="str">
        <f t="shared" si="2238"/>
        <v>89301062</v>
      </c>
      <c r="F10315" t="str">
        <f t="shared" si="2239"/>
        <v>6156091183</v>
      </c>
      <c r="G10315" s="1">
        <v>44852</v>
      </c>
      <c r="H10315" t="str">
        <f>"89311"</f>
        <v>89311</v>
      </c>
      <c r="I10315">
        <v>1</v>
      </c>
      <c r="J10315">
        <v>936</v>
      </c>
      <c r="K10315">
        <v>0</v>
      </c>
      <c r="L10315">
        <v>1310.4000000000001</v>
      </c>
    </row>
    <row r="10316" spans="1:12" x14ac:dyDescent="0.25">
      <c r="A10316" t="str">
        <f t="shared" si="2234"/>
        <v>89301000</v>
      </c>
      <c r="B10316" t="str">
        <f t="shared" si="2235"/>
        <v>89903000</v>
      </c>
      <c r="C10316" t="str">
        <f t="shared" si="2236"/>
        <v>89903503</v>
      </c>
      <c r="D10316" t="str">
        <f t="shared" si="2237"/>
        <v>809</v>
      </c>
      <c r="E10316" t="str">
        <f t="shared" si="2238"/>
        <v>89301062</v>
      </c>
      <c r="F10316" t="str">
        <f t="shared" si="2239"/>
        <v>6156091183</v>
      </c>
      <c r="G10316" s="1">
        <v>44852</v>
      </c>
      <c r="H10316" t="str">
        <f>"89615"</f>
        <v>89615</v>
      </c>
      <c r="I10316">
        <v>1</v>
      </c>
      <c r="J10316">
        <v>2170</v>
      </c>
      <c r="K10316">
        <v>0</v>
      </c>
      <c r="L10316">
        <v>1302</v>
      </c>
    </row>
    <row r="10317" spans="1:12" x14ac:dyDescent="0.25">
      <c r="A10317" t="str">
        <f t="shared" si="2234"/>
        <v>89301000</v>
      </c>
      <c r="B10317" t="str">
        <f t="shared" si="2235"/>
        <v>89903000</v>
      </c>
      <c r="C10317" t="str">
        <f t="shared" si="2236"/>
        <v>89903503</v>
      </c>
      <c r="D10317" t="str">
        <f t="shared" si="2237"/>
        <v>809</v>
      </c>
      <c r="E10317" t="str">
        <f t="shared" si="2238"/>
        <v>89301062</v>
      </c>
      <c r="F10317" t="str">
        <f t="shared" si="2239"/>
        <v>6156091183</v>
      </c>
      <c r="G10317" s="1">
        <v>44852</v>
      </c>
      <c r="H10317" t="str">
        <f>"0000502"</f>
        <v>0000502</v>
      </c>
      <c r="I10317">
        <v>0.1</v>
      </c>
      <c r="K10317">
        <v>6.97</v>
      </c>
      <c r="L10317">
        <v>6.97</v>
      </c>
    </row>
    <row r="10318" spans="1:12" x14ac:dyDescent="0.25">
      <c r="A10318" t="str">
        <f t="shared" si="2234"/>
        <v>89301000</v>
      </c>
      <c r="B10318" t="str">
        <f t="shared" si="2235"/>
        <v>89903000</v>
      </c>
      <c r="C10318" t="str">
        <f t="shared" si="2236"/>
        <v>89903503</v>
      </c>
      <c r="D10318" t="str">
        <f t="shared" si="2237"/>
        <v>809</v>
      </c>
      <c r="E10318" t="str">
        <f t="shared" si="2238"/>
        <v>89301062</v>
      </c>
      <c r="F10318" t="str">
        <f t="shared" si="2239"/>
        <v>6156091183</v>
      </c>
      <c r="G10318" s="1">
        <v>44852</v>
      </c>
      <c r="H10318" t="str">
        <f>"0096251"</f>
        <v>0096251</v>
      </c>
      <c r="I10318">
        <v>8.0000000000000002E-3</v>
      </c>
      <c r="K10318">
        <v>9.36</v>
      </c>
      <c r="L10318">
        <v>9.36</v>
      </c>
    </row>
    <row r="10319" spans="1:12" x14ac:dyDescent="0.25">
      <c r="A10319" t="str">
        <f t="shared" si="2234"/>
        <v>89301000</v>
      </c>
      <c r="B10319" t="str">
        <f t="shared" si="2235"/>
        <v>89903000</v>
      </c>
      <c r="C10319" t="str">
        <f t="shared" si="2236"/>
        <v>89903503</v>
      </c>
      <c r="D10319" t="str">
        <f t="shared" si="2237"/>
        <v>809</v>
      </c>
      <c r="E10319" t="str">
        <f t="shared" si="2238"/>
        <v>89301062</v>
      </c>
      <c r="F10319" t="str">
        <f t="shared" si="2239"/>
        <v>6156091183</v>
      </c>
      <c r="G10319" s="1">
        <v>44852</v>
      </c>
      <c r="H10319" t="str">
        <f>"0225891"</f>
        <v>0225891</v>
      </c>
      <c r="I10319">
        <v>0.05</v>
      </c>
      <c r="K10319">
        <v>18.39</v>
      </c>
      <c r="L10319">
        <v>18.39</v>
      </c>
    </row>
    <row r="10320" spans="1:12" x14ac:dyDescent="0.25">
      <c r="A10320" t="str">
        <f t="shared" si="2234"/>
        <v>89301000</v>
      </c>
      <c r="B10320" t="str">
        <f t="shared" ref="B10320:B10351" si="2240">"78006000"</f>
        <v>78006000</v>
      </c>
      <c r="C10320" t="str">
        <f>"78006531"</f>
        <v>78006531</v>
      </c>
      <c r="D10320" t="str">
        <f t="shared" si="2237"/>
        <v>809</v>
      </c>
      <c r="E10320" t="str">
        <f>"89301212"</f>
        <v>89301212</v>
      </c>
      <c r="F10320" t="str">
        <f>"7060045850"</f>
        <v>7060045850</v>
      </c>
      <c r="G10320" s="1">
        <v>44851</v>
      </c>
      <c r="H10320" t="str">
        <f>"89513"</f>
        <v>89513</v>
      </c>
      <c r="I10320">
        <v>1</v>
      </c>
      <c r="J10320">
        <v>371</v>
      </c>
      <c r="K10320">
        <v>0</v>
      </c>
      <c r="L10320">
        <v>519.4</v>
      </c>
    </row>
    <row r="10321" spans="1:12" x14ac:dyDescent="0.25">
      <c r="A10321" t="str">
        <f t="shared" si="2234"/>
        <v>89301000</v>
      </c>
      <c r="B10321" t="str">
        <f t="shared" si="2240"/>
        <v>78006000</v>
      </c>
      <c r="C10321" t="str">
        <f>"78006531"</f>
        <v>78006531</v>
      </c>
      <c r="D10321" t="str">
        <f t="shared" si="2237"/>
        <v>809</v>
      </c>
      <c r="E10321" t="str">
        <f>"89301212"</f>
        <v>89301212</v>
      </c>
      <c r="F10321" t="str">
        <f>"7060045850"</f>
        <v>7060045850</v>
      </c>
      <c r="G10321" s="1">
        <v>44851</v>
      </c>
      <c r="H10321" t="str">
        <f>"89514"</f>
        <v>89514</v>
      </c>
      <c r="I10321">
        <v>1</v>
      </c>
      <c r="J10321">
        <v>371</v>
      </c>
      <c r="K10321">
        <v>0</v>
      </c>
      <c r="L10321">
        <v>519.4</v>
      </c>
    </row>
    <row r="10322" spans="1:12" x14ac:dyDescent="0.25">
      <c r="A10322" t="str">
        <f t="shared" si="2234"/>
        <v>89301000</v>
      </c>
      <c r="B10322" t="str">
        <f t="shared" si="2240"/>
        <v>78006000</v>
      </c>
      <c r="C10322" t="str">
        <f t="shared" ref="C10322:C10333" si="2241">"78006201"</f>
        <v>78006201</v>
      </c>
      <c r="D10322" t="str">
        <f t="shared" ref="D10322:D10333" si="2242">"801"</f>
        <v>801</v>
      </c>
      <c r="E10322" t="str">
        <f>"89301171"</f>
        <v>89301171</v>
      </c>
      <c r="F10322" t="str">
        <f>"9852196167"</f>
        <v>9852196167</v>
      </c>
      <c r="G10322" s="1">
        <v>44844</v>
      </c>
      <c r="H10322" t="str">
        <f>"81703"</f>
        <v>81703</v>
      </c>
      <c r="I10322">
        <v>2</v>
      </c>
      <c r="J10322">
        <v>556</v>
      </c>
      <c r="K10322">
        <v>0</v>
      </c>
      <c r="L10322">
        <v>433.68</v>
      </c>
    </row>
    <row r="10323" spans="1:12" x14ac:dyDescent="0.25">
      <c r="A10323" t="str">
        <f t="shared" si="2234"/>
        <v>89301000</v>
      </c>
      <c r="B10323" t="str">
        <f t="shared" si="2240"/>
        <v>78006000</v>
      </c>
      <c r="C10323" t="str">
        <f t="shared" si="2241"/>
        <v>78006201</v>
      </c>
      <c r="D10323" t="str">
        <f t="shared" si="2242"/>
        <v>801</v>
      </c>
      <c r="E10323" t="str">
        <f>"89301171"</f>
        <v>89301171</v>
      </c>
      <c r="F10323" t="str">
        <f>"7207205324"</f>
        <v>7207205324</v>
      </c>
      <c r="G10323" s="1">
        <v>44858</v>
      </c>
      <c r="H10323" t="str">
        <f>"81703"</f>
        <v>81703</v>
      </c>
      <c r="I10323">
        <v>2</v>
      </c>
      <c r="J10323">
        <v>556</v>
      </c>
      <c r="K10323">
        <v>0</v>
      </c>
      <c r="L10323">
        <v>433.68</v>
      </c>
    </row>
    <row r="10324" spans="1:12" x14ac:dyDescent="0.25">
      <c r="A10324" t="str">
        <f t="shared" si="2234"/>
        <v>89301000</v>
      </c>
      <c r="B10324" t="str">
        <f t="shared" si="2240"/>
        <v>78006000</v>
      </c>
      <c r="C10324" t="str">
        <f t="shared" si="2241"/>
        <v>78006201</v>
      </c>
      <c r="D10324" t="str">
        <f t="shared" si="2242"/>
        <v>801</v>
      </c>
      <c r="E10324" t="str">
        <f>"89301171"</f>
        <v>89301171</v>
      </c>
      <c r="F10324" t="str">
        <f>"8455315341"</f>
        <v>8455315341</v>
      </c>
      <c r="G10324" s="1">
        <v>44858</v>
      </c>
      <c r="H10324" t="str">
        <f>"81703"</f>
        <v>81703</v>
      </c>
      <c r="I10324">
        <v>2</v>
      </c>
      <c r="J10324">
        <v>556</v>
      </c>
      <c r="K10324">
        <v>0</v>
      </c>
      <c r="L10324">
        <v>433.68</v>
      </c>
    </row>
    <row r="10325" spans="1:12" x14ac:dyDescent="0.25">
      <c r="A10325" t="str">
        <f t="shared" si="2234"/>
        <v>89301000</v>
      </c>
      <c r="B10325" t="str">
        <f t="shared" si="2240"/>
        <v>78006000</v>
      </c>
      <c r="C10325" t="str">
        <f t="shared" si="2241"/>
        <v>78006201</v>
      </c>
      <c r="D10325" t="str">
        <f t="shared" si="2242"/>
        <v>801</v>
      </c>
      <c r="E10325" t="str">
        <f>"89301171"</f>
        <v>89301171</v>
      </c>
      <c r="F10325" t="str">
        <f>"7356195352"</f>
        <v>7356195352</v>
      </c>
      <c r="G10325" s="1">
        <v>44858</v>
      </c>
      <c r="H10325" t="str">
        <f>"81703"</f>
        <v>81703</v>
      </c>
      <c r="I10325">
        <v>2</v>
      </c>
      <c r="J10325">
        <v>556</v>
      </c>
      <c r="K10325">
        <v>0</v>
      </c>
      <c r="L10325">
        <v>433.68</v>
      </c>
    </row>
    <row r="10326" spans="1:12" x14ac:dyDescent="0.25">
      <c r="A10326" t="str">
        <f t="shared" si="2234"/>
        <v>89301000</v>
      </c>
      <c r="B10326" t="str">
        <f t="shared" si="2240"/>
        <v>78006000</v>
      </c>
      <c r="C10326" t="str">
        <f t="shared" si="2241"/>
        <v>78006201</v>
      </c>
      <c r="D10326" t="str">
        <f t="shared" si="2242"/>
        <v>801</v>
      </c>
      <c r="E10326" t="str">
        <f>"89301171"</f>
        <v>89301171</v>
      </c>
      <c r="F10326" t="str">
        <f>"5407302153"</f>
        <v>5407302153</v>
      </c>
      <c r="G10326" s="1">
        <v>44847</v>
      </c>
      <c r="H10326" t="str">
        <f>"81703"</f>
        <v>81703</v>
      </c>
      <c r="I10326">
        <v>2</v>
      </c>
      <c r="J10326">
        <v>556</v>
      </c>
      <c r="K10326">
        <v>0</v>
      </c>
      <c r="L10326">
        <v>433.68</v>
      </c>
    </row>
    <row r="10327" spans="1:12" x14ac:dyDescent="0.25">
      <c r="A10327" t="str">
        <f t="shared" si="2234"/>
        <v>89301000</v>
      </c>
      <c r="B10327" t="str">
        <f t="shared" si="2240"/>
        <v>78006000</v>
      </c>
      <c r="C10327" t="str">
        <f t="shared" si="2241"/>
        <v>78006201</v>
      </c>
      <c r="D10327" t="str">
        <f t="shared" si="2242"/>
        <v>801</v>
      </c>
      <c r="E10327" t="str">
        <f>"89301082"</f>
        <v>89301082</v>
      </c>
      <c r="F10327" t="str">
        <f>"8661204937"</f>
        <v>8661204937</v>
      </c>
      <c r="G10327" s="1">
        <v>44861</v>
      </c>
      <c r="H10327" t="str">
        <f>"93137"</f>
        <v>93137</v>
      </c>
      <c r="I10327">
        <v>1</v>
      </c>
      <c r="J10327">
        <v>184</v>
      </c>
      <c r="K10327">
        <v>0</v>
      </c>
      <c r="L10327">
        <v>143.52000000000001</v>
      </c>
    </row>
    <row r="10328" spans="1:12" x14ac:dyDescent="0.25">
      <c r="A10328" t="str">
        <f t="shared" si="2234"/>
        <v>89301000</v>
      </c>
      <c r="B10328" t="str">
        <f t="shared" si="2240"/>
        <v>78006000</v>
      </c>
      <c r="C10328" t="str">
        <f t="shared" si="2241"/>
        <v>78006201</v>
      </c>
      <c r="D10328" t="str">
        <f t="shared" si="2242"/>
        <v>801</v>
      </c>
      <c r="E10328" t="str">
        <f>"89301082"</f>
        <v>89301082</v>
      </c>
      <c r="F10328" t="str">
        <f>"8661204937"</f>
        <v>8661204937</v>
      </c>
      <c r="G10328" s="1">
        <v>44861</v>
      </c>
      <c r="H10328" t="str">
        <f>"93177"</f>
        <v>93177</v>
      </c>
      <c r="I10328">
        <v>1</v>
      </c>
      <c r="J10328">
        <v>178</v>
      </c>
      <c r="K10328">
        <v>0</v>
      </c>
      <c r="L10328">
        <v>138.84</v>
      </c>
    </row>
    <row r="10329" spans="1:12" x14ac:dyDescent="0.25">
      <c r="A10329" t="str">
        <f t="shared" si="2234"/>
        <v>89301000</v>
      </c>
      <c r="B10329" t="str">
        <f t="shared" si="2240"/>
        <v>78006000</v>
      </c>
      <c r="C10329" t="str">
        <f t="shared" si="2241"/>
        <v>78006201</v>
      </c>
      <c r="D10329" t="str">
        <f t="shared" si="2242"/>
        <v>801</v>
      </c>
      <c r="E10329" t="str">
        <f>"89301082"</f>
        <v>89301082</v>
      </c>
      <c r="F10329" t="str">
        <f>"8661204937"</f>
        <v>8661204937</v>
      </c>
      <c r="G10329" s="1">
        <v>44861</v>
      </c>
      <c r="H10329" t="str">
        <f>"97111"</f>
        <v>97111</v>
      </c>
      <c r="I10329">
        <v>1</v>
      </c>
      <c r="J10329">
        <v>18</v>
      </c>
      <c r="K10329">
        <v>0</v>
      </c>
      <c r="L10329">
        <v>14.04</v>
      </c>
    </row>
    <row r="10330" spans="1:12" x14ac:dyDescent="0.25">
      <c r="A10330" t="str">
        <f t="shared" si="2234"/>
        <v>89301000</v>
      </c>
      <c r="B10330" t="str">
        <f t="shared" si="2240"/>
        <v>78006000</v>
      </c>
      <c r="C10330" t="str">
        <f t="shared" si="2241"/>
        <v>78006201</v>
      </c>
      <c r="D10330" t="str">
        <f t="shared" si="2242"/>
        <v>801</v>
      </c>
      <c r="E10330" t="str">
        <f>"89301167"</f>
        <v>89301167</v>
      </c>
      <c r="F10330" t="str">
        <f>"5861081743"</f>
        <v>5861081743</v>
      </c>
      <c r="G10330" s="1">
        <v>44854</v>
      </c>
      <c r="H10330" t="str">
        <f>"93167"</f>
        <v>93167</v>
      </c>
      <c r="I10330">
        <v>1</v>
      </c>
      <c r="J10330">
        <v>468</v>
      </c>
      <c r="K10330">
        <v>0</v>
      </c>
      <c r="L10330">
        <v>365.04</v>
      </c>
    </row>
    <row r="10331" spans="1:12" x14ac:dyDescent="0.25">
      <c r="A10331" t="str">
        <f t="shared" si="2234"/>
        <v>89301000</v>
      </c>
      <c r="B10331" t="str">
        <f t="shared" si="2240"/>
        <v>78006000</v>
      </c>
      <c r="C10331" t="str">
        <f t="shared" si="2241"/>
        <v>78006201</v>
      </c>
      <c r="D10331" t="str">
        <f t="shared" si="2242"/>
        <v>801</v>
      </c>
      <c r="E10331" t="str">
        <f>"89301171"</f>
        <v>89301171</v>
      </c>
      <c r="F10331" t="str">
        <f>"9852196167"</f>
        <v>9852196167</v>
      </c>
      <c r="G10331" s="1">
        <v>44852</v>
      </c>
      <c r="H10331" t="str">
        <f>"97111"</f>
        <v>97111</v>
      </c>
      <c r="I10331">
        <v>1</v>
      </c>
      <c r="J10331">
        <v>18</v>
      </c>
      <c r="K10331">
        <v>0</v>
      </c>
      <c r="L10331">
        <v>14.04</v>
      </c>
    </row>
    <row r="10332" spans="1:12" x14ac:dyDescent="0.25">
      <c r="A10332" t="str">
        <f t="shared" si="2234"/>
        <v>89301000</v>
      </c>
      <c r="B10332" t="str">
        <f t="shared" si="2240"/>
        <v>78006000</v>
      </c>
      <c r="C10332" t="str">
        <f t="shared" si="2241"/>
        <v>78006201</v>
      </c>
      <c r="D10332" t="str">
        <f t="shared" si="2242"/>
        <v>801</v>
      </c>
      <c r="E10332" t="str">
        <f>"89301167"</f>
        <v>89301167</v>
      </c>
      <c r="F10332" t="str">
        <f>"5854210813"</f>
        <v>5854210813</v>
      </c>
      <c r="G10332" s="1">
        <v>44845</v>
      </c>
      <c r="H10332" t="str">
        <f>"09119"</f>
        <v>09119</v>
      </c>
      <c r="I10332">
        <v>1</v>
      </c>
      <c r="J10332">
        <v>42</v>
      </c>
      <c r="K10332">
        <v>0</v>
      </c>
      <c r="L10332">
        <v>32.76</v>
      </c>
    </row>
    <row r="10333" spans="1:12" x14ac:dyDescent="0.25">
      <c r="A10333" t="str">
        <f t="shared" si="2234"/>
        <v>89301000</v>
      </c>
      <c r="B10333" t="str">
        <f t="shared" si="2240"/>
        <v>78006000</v>
      </c>
      <c r="C10333" t="str">
        <f t="shared" si="2241"/>
        <v>78006201</v>
      </c>
      <c r="D10333" t="str">
        <f t="shared" si="2242"/>
        <v>801</v>
      </c>
      <c r="E10333" t="str">
        <f>"89301082"</f>
        <v>89301082</v>
      </c>
      <c r="F10333" t="str">
        <f>"8661204937"</f>
        <v>8661204937</v>
      </c>
      <c r="G10333" s="1">
        <v>44861</v>
      </c>
      <c r="H10333" t="str">
        <f>"09119"</f>
        <v>09119</v>
      </c>
      <c r="I10333">
        <v>1</v>
      </c>
      <c r="J10333">
        <v>42</v>
      </c>
      <c r="K10333">
        <v>0</v>
      </c>
      <c r="L10333">
        <v>32.76</v>
      </c>
    </row>
    <row r="10334" spans="1:12" x14ac:dyDescent="0.25">
      <c r="A10334" t="str">
        <f t="shared" si="2234"/>
        <v>89301000</v>
      </c>
      <c r="B10334" t="str">
        <f t="shared" si="2240"/>
        <v>78006000</v>
      </c>
      <c r="C10334" t="str">
        <f>"78006207"</f>
        <v>78006207</v>
      </c>
      <c r="D10334" t="str">
        <f>"813"</f>
        <v>813</v>
      </c>
      <c r="E10334" t="str">
        <f>"89301171"</f>
        <v>89301171</v>
      </c>
      <c r="F10334" t="str">
        <f>"8656206207"</f>
        <v>8656206207</v>
      </c>
      <c r="G10334" s="1">
        <v>44852</v>
      </c>
      <c r="H10334" t="str">
        <f>"91197"</f>
        <v>91197</v>
      </c>
      <c r="I10334">
        <v>6</v>
      </c>
      <c r="J10334">
        <v>6276</v>
      </c>
      <c r="K10334">
        <v>0</v>
      </c>
      <c r="L10334">
        <v>4895.28</v>
      </c>
    </row>
    <row r="10335" spans="1:12" x14ac:dyDescent="0.25">
      <c r="A10335" t="str">
        <f t="shared" si="2234"/>
        <v>89301000</v>
      </c>
      <c r="B10335" t="str">
        <f t="shared" si="2240"/>
        <v>78006000</v>
      </c>
      <c r="C10335" t="str">
        <f>"78006207"</f>
        <v>78006207</v>
      </c>
      <c r="D10335" t="str">
        <f>"813"</f>
        <v>813</v>
      </c>
      <c r="E10335" t="str">
        <f>"89301171"</f>
        <v>89301171</v>
      </c>
      <c r="F10335" t="str">
        <f>"9852196167"</f>
        <v>9852196167</v>
      </c>
      <c r="G10335" s="1">
        <v>44852</v>
      </c>
      <c r="H10335" t="str">
        <f>"91197"</f>
        <v>91197</v>
      </c>
      <c r="I10335">
        <v>6</v>
      </c>
      <c r="J10335">
        <v>6276</v>
      </c>
      <c r="K10335">
        <v>0</v>
      </c>
      <c r="L10335">
        <v>4895.28</v>
      </c>
    </row>
    <row r="10336" spans="1:12" x14ac:dyDescent="0.25">
      <c r="A10336" t="str">
        <f t="shared" si="2234"/>
        <v>89301000</v>
      </c>
      <c r="B10336" t="str">
        <f t="shared" si="2240"/>
        <v>78006000</v>
      </c>
      <c r="C10336" t="str">
        <f>"78006207"</f>
        <v>78006207</v>
      </c>
      <c r="D10336" t="str">
        <f>"813"</f>
        <v>813</v>
      </c>
      <c r="E10336" t="str">
        <f>"89301171"</f>
        <v>89301171</v>
      </c>
      <c r="F10336" t="str">
        <f>"8607265788"</f>
        <v>8607265788</v>
      </c>
      <c r="G10336" s="1">
        <v>44852</v>
      </c>
      <c r="H10336" t="str">
        <f>"91197"</f>
        <v>91197</v>
      </c>
      <c r="I10336">
        <v>6</v>
      </c>
      <c r="J10336">
        <v>6276</v>
      </c>
      <c r="K10336">
        <v>0</v>
      </c>
      <c r="L10336">
        <v>4895.28</v>
      </c>
    </row>
    <row r="10337" spans="1:12" x14ac:dyDescent="0.25">
      <c r="A10337" t="str">
        <f t="shared" si="2234"/>
        <v>89301000</v>
      </c>
      <c r="B10337" t="str">
        <f t="shared" si="2240"/>
        <v>78006000</v>
      </c>
      <c r="C10337" t="str">
        <f>"78006207"</f>
        <v>78006207</v>
      </c>
      <c r="D10337" t="str">
        <f>"813"</f>
        <v>813</v>
      </c>
      <c r="E10337" t="str">
        <f>"89301171"</f>
        <v>89301171</v>
      </c>
      <c r="F10337" t="str">
        <f>"8111105772"</f>
        <v>8111105772</v>
      </c>
      <c r="G10337" s="1">
        <v>44852</v>
      </c>
      <c r="H10337" t="str">
        <f>"91197"</f>
        <v>91197</v>
      </c>
      <c r="I10337">
        <v>6</v>
      </c>
      <c r="J10337">
        <v>6276</v>
      </c>
      <c r="K10337">
        <v>0</v>
      </c>
      <c r="L10337">
        <v>4895.28</v>
      </c>
    </row>
    <row r="10338" spans="1:12" x14ac:dyDescent="0.25">
      <c r="A10338" t="str">
        <f t="shared" si="2234"/>
        <v>89301000</v>
      </c>
      <c r="B10338" t="str">
        <f t="shared" si="2240"/>
        <v>78006000</v>
      </c>
      <c r="C10338" t="str">
        <f>"78006207"</f>
        <v>78006207</v>
      </c>
      <c r="D10338" t="str">
        <f>"813"</f>
        <v>813</v>
      </c>
      <c r="E10338" t="str">
        <f>"89301171"</f>
        <v>89301171</v>
      </c>
      <c r="F10338" t="str">
        <f>"5407302153"</f>
        <v>5407302153</v>
      </c>
      <c r="G10338" s="1">
        <v>44858</v>
      </c>
      <c r="H10338" t="str">
        <f>"91197"</f>
        <v>91197</v>
      </c>
      <c r="I10338">
        <v>6</v>
      </c>
      <c r="J10338">
        <v>6276</v>
      </c>
      <c r="K10338">
        <v>0</v>
      </c>
      <c r="L10338">
        <v>4895.28</v>
      </c>
    </row>
    <row r="10339" spans="1:12" x14ac:dyDescent="0.25">
      <c r="A10339" t="str">
        <f t="shared" si="2234"/>
        <v>89301000</v>
      </c>
      <c r="B10339" t="str">
        <f t="shared" si="2240"/>
        <v>78006000</v>
      </c>
      <c r="C10339" t="str">
        <f>"78006205"</f>
        <v>78006205</v>
      </c>
      <c r="D10339" t="str">
        <f>"818"</f>
        <v>818</v>
      </c>
      <c r="E10339" t="str">
        <f>"89301167"</f>
        <v>89301167</v>
      </c>
      <c r="F10339" t="str">
        <f>"5861081743"</f>
        <v>5861081743</v>
      </c>
      <c r="G10339" s="1">
        <v>44853</v>
      </c>
      <c r="H10339" t="str">
        <f>"96167"</f>
        <v>96167</v>
      </c>
      <c r="I10339">
        <v>1</v>
      </c>
      <c r="J10339">
        <v>67</v>
      </c>
      <c r="K10339">
        <v>0</v>
      </c>
      <c r="L10339">
        <v>60.97</v>
      </c>
    </row>
    <row r="10340" spans="1:12" x14ac:dyDescent="0.25">
      <c r="A10340" t="str">
        <f t="shared" si="2234"/>
        <v>89301000</v>
      </c>
      <c r="B10340" t="str">
        <f t="shared" si="2240"/>
        <v>78006000</v>
      </c>
      <c r="C10340" t="str">
        <f>"78006205"</f>
        <v>78006205</v>
      </c>
      <c r="D10340" t="str">
        <f>"818"</f>
        <v>818</v>
      </c>
      <c r="E10340" t="str">
        <f>"89301167"</f>
        <v>89301167</v>
      </c>
      <c r="F10340" t="str">
        <f>"5861081743"</f>
        <v>5861081743</v>
      </c>
      <c r="G10340" s="1">
        <v>44853</v>
      </c>
      <c r="H10340" t="str">
        <f>"96315"</f>
        <v>96315</v>
      </c>
      <c r="I10340">
        <v>1</v>
      </c>
      <c r="J10340">
        <v>29</v>
      </c>
      <c r="K10340">
        <v>0</v>
      </c>
      <c r="L10340">
        <v>26.39</v>
      </c>
    </row>
    <row r="10341" spans="1:12" x14ac:dyDescent="0.25">
      <c r="A10341" t="str">
        <f t="shared" si="2234"/>
        <v>89301000</v>
      </c>
      <c r="B10341" t="str">
        <f t="shared" si="2240"/>
        <v>78006000</v>
      </c>
      <c r="C10341" t="str">
        <f>"78006205"</f>
        <v>78006205</v>
      </c>
      <c r="D10341" t="str">
        <f>"818"</f>
        <v>818</v>
      </c>
      <c r="E10341" t="str">
        <f>"89301167"</f>
        <v>89301167</v>
      </c>
      <c r="F10341" t="str">
        <f>"5861081743"</f>
        <v>5861081743</v>
      </c>
      <c r="G10341" s="1">
        <v>44853</v>
      </c>
      <c r="H10341" t="str">
        <f>"96711"</f>
        <v>96711</v>
      </c>
      <c r="I10341">
        <v>1</v>
      </c>
      <c r="J10341">
        <v>27</v>
      </c>
      <c r="K10341">
        <v>0</v>
      </c>
      <c r="L10341">
        <v>24.57</v>
      </c>
    </row>
    <row r="10342" spans="1:12" x14ac:dyDescent="0.25">
      <c r="A10342" t="str">
        <f t="shared" si="2234"/>
        <v>89301000</v>
      </c>
      <c r="B10342" t="str">
        <f t="shared" si="2240"/>
        <v>78006000</v>
      </c>
      <c r="C10342" t="str">
        <f>"78006207"</f>
        <v>78006207</v>
      </c>
      <c r="D10342" t="str">
        <f>"813"</f>
        <v>813</v>
      </c>
      <c r="E10342" t="str">
        <f>"89301167"</f>
        <v>89301167</v>
      </c>
      <c r="F10342" t="str">
        <f>"5861081743"</f>
        <v>5861081743</v>
      </c>
      <c r="G10342" s="1">
        <v>44853</v>
      </c>
      <c r="H10342" t="str">
        <f>"91153"</f>
        <v>91153</v>
      </c>
      <c r="I10342">
        <v>1</v>
      </c>
      <c r="J10342">
        <v>152</v>
      </c>
      <c r="K10342">
        <v>0</v>
      </c>
      <c r="L10342">
        <v>118.56</v>
      </c>
    </row>
    <row r="10343" spans="1:12" x14ac:dyDescent="0.25">
      <c r="A10343" t="str">
        <f t="shared" si="2234"/>
        <v>89301000</v>
      </c>
      <c r="B10343" t="str">
        <f t="shared" si="2240"/>
        <v>78006000</v>
      </c>
      <c r="C10343" t="str">
        <f>"78006532"</f>
        <v>78006532</v>
      </c>
      <c r="D10343" t="str">
        <f>"810"</f>
        <v>810</v>
      </c>
      <c r="E10343" t="str">
        <f>"89301172"</f>
        <v>89301172</v>
      </c>
      <c r="F10343" t="str">
        <f>"7659015683"</f>
        <v>7659015683</v>
      </c>
      <c r="G10343" s="1">
        <v>44845</v>
      </c>
      <c r="H10343" t="str">
        <f>"89713"</f>
        <v>89713</v>
      </c>
      <c r="I10343">
        <v>2</v>
      </c>
      <c r="J10343">
        <v>10724</v>
      </c>
      <c r="K10343">
        <v>0</v>
      </c>
      <c r="L10343">
        <v>6434.4</v>
      </c>
    </row>
    <row r="10344" spans="1:12" x14ac:dyDescent="0.25">
      <c r="A10344" t="str">
        <f t="shared" si="2234"/>
        <v>89301000</v>
      </c>
      <c r="B10344" t="str">
        <f t="shared" si="2240"/>
        <v>78006000</v>
      </c>
      <c r="C10344" t="str">
        <f>"78006532"</f>
        <v>78006532</v>
      </c>
      <c r="D10344" t="str">
        <f>"810"</f>
        <v>810</v>
      </c>
      <c r="E10344" t="str">
        <f>"89301172"</f>
        <v>89301172</v>
      </c>
      <c r="F10344" t="str">
        <f>"7659015683"</f>
        <v>7659015683</v>
      </c>
      <c r="G10344" s="1">
        <v>44845</v>
      </c>
      <c r="H10344" t="str">
        <f>"89725"</f>
        <v>89725</v>
      </c>
      <c r="I10344">
        <v>1</v>
      </c>
      <c r="J10344">
        <v>2839</v>
      </c>
      <c r="K10344">
        <v>0</v>
      </c>
      <c r="L10344">
        <v>1703.4</v>
      </c>
    </row>
    <row r="10345" spans="1:12" x14ac:dyDescent="0.25">
      <c r="A10345" t="str">
        <f t="shared" si="2234"/>
        <v>89301000</v>
      </c>
      <c r="B10345" t="str">
        <f t="shared" si="2240"/>
        <v>78006000</v>
      </c>
      <c r="C10345" t="str">
        <f>"78006532"</f>
        <v>78006532</v>
      </c>
      <c r="D10345" t="str">
        <f>"810"</f>
        <v>810</v>
      </c>
      <c r="E10345" t="str">
        <f>"89301172"</f>
        <v>89301172</v>
      </c>
      <c r="F10345" t="str">
        <f>"7659015683"</f>
        <v>7659015683</v>
      </c>
      <c r="G10345" s="1">
        <v>44845</v>
      </c>
      <c r="H10345" t="str">
        <f>"0207745"</f>
        <v>0207745</v>
      </c>
      <c r="I10345">
        <v>0.2</v>
      </c>
      <c r="K10345">
        <v>1295.26</v>
      </c>
      <c r="L10345">
        <v>1295.26</v>
      </c>
    </row>
    <row r="10346" spans="1:12" x14ac:dyDescent="0.25">
      <c r="A10346" t="str">
        <f t="shared" si="2234"/>
        <v>89301000</v>
      </c>
      <c r="B10346" t="str">
        <f t="shared" si="2240"/>
        <v>78006000</v>
      </c>
      <c r="C10346" t="str">
        <f>"78006532"</f>
        <v>78006532</v>
      </c>
      <c r="D10346" t="str">
        <f>"810"</f>
        <v>810</v>
      </c>
      <c r="E10346" t="str">
        <f>"89301172"</f>
        <v>89301172</v>
      </c>
      <c r="F10346" t="str">
        <f>"8654176135"</f>
        <v>8654176135</v>
      </c>
      <c r="G10346" s="1">
        <v>44851</v>
      </c>
      <c r="H10346" t="str">
        <f>"89713"</f>
        <v>89713</v>
      </c>
      <c r="I10346">
        <v>2</v>
      </c>
      <c r="J10346">
        <v>10724</v>
      </c>
      <c r="K10346">
        <v>0</v>
      </c>
      <c r="L10346">
        <v>6434.4</v>
      </c>
    </row>
    <row r="10347" spans="1:12" x14ac:dyDescent="0.25">
      <c r="A10347" t="str">
        <f t="shared" si="2234"/>
        <v>89301000</v>
      </c>
      <c r="B10347" t="str">
        <f t="shared" si="2240"/>
        <v>78006000</v>
      </c>
      <c r="C10347" t="str">
        <f>"78006532"</f>
        <v>78006532</v>
      </c>
      <c r="D10347" t="str">
        <f>"810"</f>
        <v>810</v>
      </c>
      <c r="E10347" t="str">
        <f>"89301172"</f>
        <v>89301172</v>
      </c>
      <c r="F10347" t="str">
        <f>"8654176135"</f>
        <v>8654176135</v>
      </c>
      <c r="G10347" s="1">
        <v>44851</v>
      </c>
      <c r="H10347" t="str">
        <f>"89725"</f>
        <v>89725</v>
      </c>
      <c r="I10347">
        <v>1</v>
      </c>
      <c r="J10347">
        <v>2839</v>
      </c>
      <c r="K10347">
        <v>0</v>
      </c>
      <c r="L10347">
        <v>1703.4</v>
      </c>
    </row>
    <row r="10348" spans="1:12" x14ac:dyDescent="0.25">
      <c r="A10348" t="str">
        <f t="shared" si="2234"/>
        <v>89301000</v>
      </c>
      <c r="B10348" t="str">
        <f t="shared" si="2240"/>
        <v>78006000</v>
      </c>
      <c r="C10348" t="str">
        <f t="shared" ref="C10348:C10353" si="2243">"78006201"</f>
        <v>78006201</v>
      </c>
      <c r="D10348" t="str">
        <f t="shared" ref="D10348:D10353" si="2244">"801"</f>
        <v>801</v>
      </c>
      <c r="E10348" t="str">
        <f t="shared" ref="E10348:E10353" si="2245">"89301167"</f>
        <v>89301167</v>
      </c>
      <c r="F10348" t="str">
        <f t="shared" ref="F10348:F10353" si="2246">"5861081743"</f>
        <v>5861081743</v>
      </c>
      <c r="G10348" s="1">
        <v>44853</v>
      </c>
      <c r="H10348" t="str">
        <f>"81329"</f>
        <v>81329</v>
      </c>
      <c r="I10348">
        <v>1</v>
      </c>
      <c r="J10348">
        <v>16</v>
      </c>
      <c r="K10348">
        <v>0</v>
      </c>
      <c r="L10348">
        <v>12.48</v>
      </c>
    </row>
    <row r="10349" spans="1:12" x14ac:dyDescent="0.25">
      <c r="A10349" t="str">
        <f t="shared" si="2234"/>
        <v>89301000</v>
      </c>
      <c r="B10349" t="str">
        <f t="shared" si="2240"/>
        <v>78006000</v>
      </c>
      <c r="C10349" t="str">
        <f t="shared" si="2243"/>
        <v>78006201</v>
      </c>
      <c r="D10349" t="str">
        <f t="shared" si="2244"/>
        <v>801</v>
      </c>
      <c r="E10349" t="str">
        <f t="shared" si="2245"/>
        <v>89301167</v>
      </c>
      <c r="F10349" t="str">
        <f t="shared" si="2246"/>
        <v>5861081743</v>
      </c>
      <c r="G10349" s="1">
        <v>44853</v>
      </c>
      <c r="H10349" t="str">
        <f>"81495"</f>
        <v>81495</v>
      </c>
      <c r="I10349">
        <v>1</v>
      </c>
      <c r="J10349">
        <v>31</v>
      </c>
      <c r="K10349">
        <v>0</v>
      </c>
      <c r="L10349">
        <v>24.18</v>
      </c>
    </row>
    <row r="10350" spans="1:12" x14ac:dyDescent="0.25">
      <c r="A10350" t="str">
        <f t="shared" si="2234"/>
        <v>89301000</v>
      </c>
      <c r="B10350" t="str">
        <f t="shared" si="2240"/>
        <v>78006000</v>
      </c>
      <c r="C10350" t="str">
        <f t="shared" si="2243"/>
        <v>78006201</v>
      </c>
      <c r="D10350" t="str">
        <f t="shared" si="2244"/>
        <v>801</v>
      </c>
      <c r="E10350" t="str">
        <f t="shared" si="2245"/>
        <v>89301167</v>
      </c>
      <c r="F10350" t="str">
        <f t="shared" si="2246"/>
        <v>5861081743</v>
      </c>
      <c r="G10350" s="1">
        <v>44853</v>
      </c>
      <c r="H10350" t="str">
        <f>"81563"</f>
        <v>81563</v>
      </c>
      <c r="I10350">
        <v>1</v>
      </c>
      <c r="J10350">
        <v>14</v>
      </c>
      <c r="K10350">
        <v>0</v>
      </c>
      <c r="L10350">
        <v>10.92</v>
      </c>
    </row>
    <row r="10351" spans="1:12" x14ac:dyDescent="0.25">
      <c r="A10351" t="str">
        <f t="shared" si="2234"/>
        <v>89301000</v>
      </c>
      <c r="B10351" t="str">
        <f t="shared" si="2240"/>
        <v>78006000</v>
      </c>
      <c r="C10351" t="str">
        <f t="shared" si="2243"/>
        <v>78006201</v>
      </c>
      <c r="D10351" t="str">
        <f t="shared" si="2244"/>
        <v>801</v>
      </c>
      <c r="E10351" t="str">
        <f t="shared" si="2245"/>
        <v>89301167</v>
      </c>
      <c r="F10351" t="str">
        <f t="shared" si="2246"/>
        <v>5861081743</v>
      </c>
      <c r="G10351" s="1">
        <v>44853</v>
      </c>
      <c r="H10351" t="str">
        <f>"81625"</f>
        <v>81625</v>
      </c>
      <c r="I10351">
        <v>1</v>
      </c>
      <c r="J10351">
        <v>20</v>
      </c>
      <c r="K10351">
        <v>0</v>
      </c>
      <c r="L10351">
        <v>15.6</v>
      </c>
    </row>
    <row r="10352" spans="1:12" x14ac:dyDescent="0.25">
      <c r="A10352" t="str">
        <f t="shared" si="2234"/>
        <v>89301000</v>
      </c>
      <c r="B10352" t="str">
        <f t="shared" ref="B10352:B10371" si="2247">"78006000"</f>
        <v>78006000</v>
      </c>
      <c r="C10352" t="str">
        <f t="shared" si="2243"/>
        <v>78006201</v>
      </c>
      <c r="D10352" t="str">
        <f t="shared" si="2244"/>
        <v>801</v>
      </c>
      <c r="E10352" t="str">
        <f t="shared" si="2245"/>
        <v>89301167</v>
      </c>
      <c r="F10352" t="str">
        <f t="shared" si="2246"/>
        <v>5861081743</v>
      </c>
      <c r="G10352" s="1">
        <v>44853</v>
      </c>
      <c r="H10352" t="str">
        <f>"93135"</f>
        <v>93135</v>
      </c>
      <c r="I10352">
        <v>1</v>
      </c>
      <c r="J10352">
        <v>300</v>
      </c>
      <c r="K10352">
        <v>0</v>
      </c>
      <c r="L10352">
        <v>234</v>
      </c>
    </row>
    <row r="10353" spans="1:12" x14ac:dyDescent="0.25">
      <c r="A10353" t="str">
        <f t="shared" si="2234"/>
        <v>89301000</v>
      </c>
      <c r="B10353" t="str">
        <f t="shared" si="2247"/>
        <v>78006000</v>
      </c>
      <c r="C10353" t="str">
        <f t="shared" si="2243"/>
        <v>78006201</v>
      </c>
      <c r="D10353" t="str">
        <f t="shared" si="2244"/>
        <v>801</v>
      </c>
      <c r="E10353" t="str">
        <f t="shared" si="2245"/>
        <v>89301167</v>
      </c>
      <c r="F10353" t="str">
        <f t="shared" si="2246"/>
        <v>5861081743</v>
      </c>
      <c r="G10353" s="1">
        <v>44854</v>
      </c>
      <c r="H10353" t="str">
        <f>"97111"</f>
        <v>97111</v>
      </c>
      <c r="I10353">
        <v>1</v>
      </c>
      <c r="J10353">
        <v>18</v>
      </c>
      <c r="K10353">
        <v>0</v>
      </c>
      <c r="L10353">
        <v>14.04</v>
      </c>
    </row>
    <row r="10354" spans="1:12" x14ac:dyDescent="0.25">
      <c r="A10354" t="str">
        <f t="shared" si="2234"/>
        <v>89301000</v>
      </c>
      <c r="B10354" t="str">
        <f t="shared" si="2247"/>
        <v>78006000</v>
      </c>
      <c r="C10354" t="str">
        <f>"78006233"</f>
        <v>78006233</v>
      </c>
      <c r="D10354" t="str">
        <f>"810"</f>
        <v>810</v>
      </c>
      <c r="E10354" t="str">
        <f>"89301062"</f>
        <v>89301062</v>
      </c>
      <c r="F10354" t="str">
        <f>"7156225703"</f>
        <v>7156225703</v>
      </c>
      <c r="G10354" s="1">
        <v>44844</v>
      </c>
      <c r="H10354" t="str">
        <f>"89713"</f>
        <v>89713</v>
      </c>
      <c r="I10354">
        <v>1</v>
      </c>
      <c r="J10354">
        <v>5362</v>
      </c>
      <c r="K10354">
        <v>0</v>
      </c>
      <c r="L10354">
        <v>3217.2</v>
      </c>
    </row>
    <row r="10355" spans="1:12" x14ac:dyDescent="0.25">
      <c r="A10355" t="str">
        <f t="shared" si="2234"/>
        <v>89301000</v>
      </c>
      <c r="B10355" t="str">
        <f t="shared" si="2247"/>
        <v>78006000</v>
      </c>
      <c r="C10355" t="str">
        <f>"78006233"</f>
        <v>78006233</v>
      </c>
      <c r="D10355" t="str">
        <f>"810"</f>
        <v>810</v>
      </c>
      <c r="E10355" t="str">
        <f>"89301062"</f>
        <v>89301062</v>
      </c>
      <c r="F10355" t="str">
        <f>"7156225703"</f>
        <v>7156225703</v>
      </c>
      <c r="G10355" s="1">
        <v>44844</v>
      </c>
      <c r="H10355" t="str">
        <f>"89725"</f>
        <v>89725</v>
      </c>
      <c r="I10355">
        <v>1</v>
      </c>
      <c r="J10355">
        <v>2839</v>
      </c>
      <c r="K10355">
        <v>0</v>
      </c>
      <c r="L10355">
        <v>1703.4</v>
      </c>
    </row>
    <row r="10356" spans="1:12" x14ac:dyDescent="0.25">
      <c r="A10356" t="str">
        <f t="shared" si="2234"/>
        <v>89301000</v>
      </c>
      <c r="B10356" t="str">
        <f t="shared" si="2247"/>
        <v>78006000</v>
      </c>
      <c r="C10356" t="str">
        <f t="shared" ref="C10356:C10361" si="2248">"78006831"</f>
        <v>78006831</v>
      </c>
      <c r="D10356" t="str">
        <f t="shared" ref="D10356:D10361" si="2249">"809"</f>
        <v>809</v>
      </c>
      <c r="E10356" t="str">
        <f>"89301212"</f>
        <v>89301212</v>
      </c>
      <c r="F10356" t="str">
        <f>"380925429"</f>
        <v>380925429</v>
      </c>
      <c r="G10356" s="1">
        <v>44848</v>
      </c>
      <c r="H10356" t="str">
        <f>"89513"</f>
        <v>89513</v>
      </c>
      <c r="I10356">
        <v>1</v>
      </c>
      <c r="J10356">
        <v>371</v>
      </c>
      <c r="K10356">
        <v>0</v>
      </c>
      <c r="L10356">
        <v>519.4</v>
      </c>
    </row>
    <row r="10357" spans="1:12" x14ac:dyDescent="0.25">
      <c r="A10357" t="str">
        <f t="shared" si="2234"/>
        <v>89301000</v>
      </c>
      <c r="B10357" t="str">
        <f t="shared" si="2247"/>
        <v>78006000</v>
      </c>
      <c r="C10357" t="str">
        <f t="shared" si="2248"/>
        <v>78006831</v>
      </c>
      <c r="D10357" t="str">
        <f t="shared" si="2249"/>
        <v>809</v>
      </c>
      <c r="E10357" t="str">
        <f>"89301212"</f>
        <v>89301212</v>
      </c>
      <c r="F10357" t="str">
        <f>"380925429"</f>
        <v>380925429</v>
      </c>
      <c r="G10357" s="1">
        <v>44848</v>
      </c>
      <c r="H10357" t="str">
        <f>"89514"</f>
        <v>89514</v>
      </c>
      <c r="I10357">
        <v>1</v>
      </c>
      <c r="J10357">
        <v>371</v>
      </c>
      <c r="K10357">
        <v>0</v>
      </c>
      <c r="L10357">
        <v>519.4</v>
      </c>
    </row>
    <row r="10358" spans="1:12" x14ac:dyDescent="0.25">
      <c r="A10358" t="str">
        <f t="shared" si="2234"/>
        <v>89301000</v>
      </c>
      <c r="B10358" t="str">
        <f t="shared" si="2247"/>
        <v>78006000</v>
      </c>
      <c r="C10358" t="str">
        <f t="shared" si="2248"/>
        <v>78006831</v>
      </c>
      <c r="D10358" t="str">
        <f t="shared" si="2249"/>
        <v>809</v>
      </c>
      <c r="E10358" t="str">
        <f>"89301212"</f>
        <v>89301212</v>
      </c>
      <c r="F10358" t="str">
        <f>"6160121671"</f>
        <v>6160121671</v>
      </c>
      <c r="G10358" s="1">
        <v>44840</v>
      </c>
      <c r="H10358" t="str">
        <f>"89131"</f>
        <v>89131</v>
      </c>
      <c r="I10358">
        <v>1</v>
      </c>
      <c r="J10358">
        <v>187</v>
      </c>
      <c r="K10358">
        <v>0</v>
      </c>
      <c r="L10358">
        <v>261.8</v>
      </c>
    </row>
    <row r="10359" spans="1:12" x14ac:dyDescent="0.25">
      <c r="A10359" t="str">
        <f t="shared" si="2234"/>
        <v>89301000</v>
      </c>
      <c r="B10359" t="str">
        <f t="shared" si="2247"/>
        <v>78006000</v>
      </c>
      <c r="C10359" t="str">
        <f t="shared" si="2248"/>
        <v>78006831</v>
      </c>
      <c r="D10359" t="str">
        <f t="shared" si="2249"/>
        <v>809</v>
      </c>
      <c r="E10359" t="str">
        <f>"89301212"</f>
        <v>89301212</v>
      </c>
      <c r="F10359" t="str">
        <f>"380925429"</f>
        <v>380925429</v>
      </c>
      <c r="G10359" s="1">
        <v>44848</v>
      </c>
      <c r="H10359" t="str">
        <f>"89131"</f>
        <v>89131</v>
      </c>
      <c r="I10359">
        <v>1</v>
      </c>
      <c r="J10359">
        <v>187</v>
      </c>
      <c r="K10359">
        <v>0</v>
      </c>
      <c r="L10359">
        <v>261.8</v>
      </c>
    </row>
    <row r="10360" spans="1:12" x14ac:dyDescent="0.25">
      <c r="A10360" t="str">
        <f t="shared" si="2234"/>
        <v>89301000</v>
      </c>
      <c r="B10360" t="str">
        <f t="shared" si="2247"/>
        <v>78006000</v>
      </c>
      <c r="C10360" t="str">
        <f t="shared" si="2248"/>
        <v>78006831</v>
      </c>
      <c r="D10360" t="str">
        <f t="shared" si="2249"/>
        <v>809</v>
      </c>
      <c r="E10360" t="str">
        <f>"89301212"</f>
        <v>89301212</v>
      </c>
      <c r="F10360" t="str">
        <f>"490405001"</f>
        <v>490405001</v>
      </c>
      <c r="G10360" s="1">
        <v>44841</v>
      </c>
      <c r="H10360" t="str">
        <f>"09135"</f>
        <v>09135</v>
      </c>
      <c r="I10360">
        <v>1</v>
      </c>
      <c r="J10360">
        <v>174</v>
      </c>
      <c r="K10360">
        <v>0</v>
      </c>
      <c r="L10360">
        <v>243.6</v>
      </c>
    </row>
    <row r="10361" spans="1:12" x14ac:dyDescent="0.25">
      <c r="A10361" t="str">
        <f t="shared" si="2234"/>
        <v>89301000</v>
      </c>
      <c r="B10361" t="str">
        <f t="shared" si="2247"/>
        <v>78006000</v>
      </c>
      <c r="C10361" t="str">
        <f t="shared" si="2248"/>
        <v>78006831</v>
      </c>
      <c r="D10361" t="str">
        <f t="shared" si="2249"/>
        <v>809</v>
      </c>
      <c r="E10361" t="str">
        <f>"89301172"</f>
        <v>89301172</v>
      </c>
      <c r="F10361" t="str">
        <f>"5951011418"</f>
        <v>5951011418</v>
      </c>
      <c r="G10361" s="1">
        <v>44854</v>
      </c>
      <c r="H10361" t="str">
        <f>"89517"</f>
        <v>89517</v>
      </c>
      <c r="I10361">
        <v>1</v>
      </c>
      <c r="J10361">
        <v>970</v>
      </c>
      <c r="K10361">
        <v>0</v>
      </c>
      <c r="L10361">
        <v>1358</v>
      </c>
    </row>
    <row r="10362" spans="1:12" x14ac:dyDescent="0.25">
      <c r="A10362" t="str">
        <f t="shared" si="2234"/>
        <v>89301000</v>
      </c>
      <c r="B10362" t="str">
        <f t="shared" si="2247"/>
        <v>78006000</v>
      </c>
      <c r="C10362" t="str">
        <f>"78006205"</f>
        <v>78006205</v>
      </c>
      <c r="D10362" t="str">
        <f>"818"</f>
        <v>818</v>
      </c>
      <c r="E10362" t="str">
        <f>"89301167"</f>
        <v>89301167</v>
      </c>
      <c r="F10362" t="str">
        <f>"5854210813"</f>
        <v>5854210813</v>
      </c>
      <c r="G10362" s="1">
        <v>44845</v>
      </c>
      <c r="H10362" t="str">
        <f>"96167"</f>
        <v>96167</v>
      </c>
      <c r="I10362">
        <v>1</v>
      </c>
      <c r="J10362">
        <v>67</v>
      </c>
      <c r="K10362">
        <v>0</v>
      </c>
      <c r="L10362">
        <v>60.97</v>
      </c>
    </row>
    <row r="10363" spans="1:12" x14ac:dyDescent="0.25">
      <c r="A10363" t="str">
        <f t="shared" si="2234"/>
        <v>89301000</v>
      </c>
      <c r="B10363" t="str">
        <f t="shared" si="2247"/>
        <v>78006000</v>
      </c>
      <c r="C10363" t="str">
        <f t="shared" ref="C10363:C10371" si="2250">"78006231"</f>
        <v>78006231</v>
      </c>
      <c r="D10363" t="str">
        <f t="shared" ref="D10363:D10371" si="2251">"809"</f>
        <v>809</v>
      </c>
      <c r="E10363" t="str">
        <f>"89301606"</f>
        <v>89301606</v>
      </c>
      <c r="F10363" t="str">
        <f>"5753182127"</f>
        <v>5753182127</v>
      </c>
      <c r="G10363" s="1">
        <v>44853</v>
      </c>
      <c r="H10363" t="str">
        <f>"89615"</f>
        <v>89615</v>
      </c>
      <c r="I10363">
        <v>1</v>
      </c>
      <c r="J10363">
        <v>2170</v>
      </c>
      <c r="K10363">
        <v>0</v>
      </c>
      <c r="L10363">
        <v>1302</v>
      </c>
    </row>
    <row r="10364" spans="1:12" x14ac:dyDescent="0.25">
      <c r="A10364" t="str">
        <f t="shared" si="2234"/>
        <v>89301000</v>
      </c>
      <c r="B10364" t="str">
        <f t="shared" si="2247"/>
        <v>78006000</v>
      </c>
      <c r="C10364" t="str">
        <f t="shared" si="2250"/>
        <v>78006231</v>
      </c>
      <c r="D10364" t="str">
        <f t="shared" si="2251"/>
        <v>809</v>
      </c>
      <c r="E10364" t="str">
        <f>"89301142"</f>
        <v>89301142</v>
      </c>
      <c r="F10364" t="str">
        <f>"515116032"</f>
        <v>515116032</v>
      </c>
      <c r="G10364" s="1">
        <v>44840</v>
      </c>
      <c r="H10364" t="str">
        <f>"89131"</f>
        <v>89131</v>
      </c>
      <c r="I10364">
        <v>1</v>
      </c>
      <c r="J10364">
        <v>187</v>
      </c>
      <c r="K10364">
        <v>0</v>
      </c>
      <c r="L10364">
        <v>261.8</v>
      </c>
    </row>
    <row r="10365" spans="1:12" x14ac:dyDescent="0.25">
      <c r="A10365" t="str">
        <f t="shared" si="2234"/>
        <v>89301000</v>
      </c>
      <c r="B10365" t="str">
        <f t="shared" si="2247"/>
        <v>78006000</v>
      </c>
      <c r="C10365" t="str">
        <f t="shared" si="2250"/>
        <v>78006231</v>
      </c>
      <c r="D10365" t="str">
        <f t="shared" si="2251"/>
        <v>809</v>
      </c>
      <c r="E10365" t="str">
        <f>"89301212"</f>
        <v>89301212</v>
      </c>
      <c r="F10365" t="str">
        <f>"5561121863"</f>
        <v>5561121863</v>
      </c>
      <c r="G10365" s="1">
        <v>44852</v>
      </c>
      <c r="H10365" t="str">
        <f>"89131"</f>
        <v>89131</v>
      </c>
      <c r="I10365">
        <v>1</v>
      </c>
      <c r="J10365">
        <v>187</v>
      </c>
      <c r="K10365">
        <v>0</v>
      </c>
      <c r="L10365">
        <v>261.8</v>
      </c>
    </row>
    <row r="10366" spans="1:12" x14ac:dyDescent="0.25">
      <c r="A10366" t="str">
        <f t="shared" si="2234"/>
        <v>89301000</v>
      </c>
      <c r="B10366" t="str">
        <f t="shared" si="2247"/>
        <v>78006000</v>
      </c>
      <c r="C10366" t="str">
        <f t="shared" si="2250"/>
        <v>78006231</v>
      </c>
      <c r="D10366" t="str">
        <f t="shared" si="2251"/>
        <v>809</v>
      </c>
      <c r="E10366" t="str">
        <f>"89301292"</f>
        <v>89301292</v>
      </c>
      <c r="F10366" t="str">
        <f>"465904713"</f>
        <v>465904713</v>
      </c>
      <c r="G10366" s="1">
        <v>44852</v>
      </c>
      <c r="H10366" t="str">
        <f>"89127"</f>
        <v>89127</v>
      </c>
      <c r="I10366">
        <v>1</v>
      </c>
      <c r="J10366">
        <v>238</v>
      </c>
      <c r="K10366">
        <v>0</v>
      </c>
      <c r="L10366">
        <v>333.2</v>
      </c>
    </row>
    <row r="10367" spans="1:12" x14ac:dyDescent="0.25">
      <c r="A10367" t="str">
        <f t="shared" si="2234"/>
        <v>89301000</v>
      </c>
      <c r="B10367" t="str">
        <f t="shared" si="2247"/>
        <v>78006000</v>
      </c>
      <c r="C10367" t="str">
        <f t="shared" si="2250"/>
        <v>78006231</v>
      </c>
      <c r="D10367" t="str">
        <f t="shared" si="2251"/>
        <v>809</v>
      </c>
      <c r="E10367" t="str">
        <f>"89301292"</f>
        <v>89301292</v>
      </c>
      <c r="F10367" t="str">
        <f>"465904713"</f>
        <v>465904713</v>
      </c>
      <c r="G10367" s="1">
        <v>44852</v>
      </c>
      <c r="H10367" t="str">
        <f>"89127"</f>
        <v>89127</v>
      </c>
      <c r="I10367">
        <v>1</v>
      </c>
      <c r="J10367">
        <v>238</v>
      </c>
      <c r="K10367">
        <v>0</v>
      </c>
      <c r="L10367">
        <v>333.2</v>
      </c>
    </row>
    <row r="10368" spans="1:12" x14ac:dyDescent="0.25">
      <c r="A10368" t="str">
        <f t="shared" si="2234"/>
        <v>89301000</v>
      </c>
      <c r="B10368" t="str">
        <f t="shared" si="2247"/>
        <v>78006000</v>
      </c>
      <c r="C10368" t="str">
        <f t="shared" si="2250"/>
        <v>78006231</v>
      </c>
      <c r="D10368" t="str">
        <f t="shared" si="2251"/>
        <v>809</v>
      </c>
      <c r="E10368" t="str">
        <f>"89301212"</f>
        <v>89301212</v>
      </c>
      <c r="F10368" t="str">
        <f>"5853150347"</f>
        <v>5853150347</v>
      </c>
      <c r="G10368" s="1">
        <v>44841</v>
      </c>
      <c r="H10368" t="str">
        <f>"89513"</f>
        <v>89513</v>
      </c>
      <c r="I10368">
        <v>1</v>
      </c>
      <c r="J10368">
        <v>371</v>
      </c>
      <c r="K10368">
        <v>0</v>
      </c>
      <c r="L10368">
        <v>519.4</v>
      </c>
    </row>
    <row r="10369" spans="1:12" x14ac:dyDescent="0.25">
      <c r="A10369" t="str">
        <f t="shared" si="2234"/>
        <v>89301000</v>
      </c>
      <c r="B10369" t="str">
        <f t="shared" si="2247"/>
        <v>78006000</v>
      </c>
      <c r="C10369" t="str">
        <f t="shared" si="2250"/>
        <v>78006231</v>
      </c>
      <c r="D10369" t="str">
        <f t="shared" si="2251"/>
        <v>809</v>
      </c>
      <c r="E10369" t="str">
        <f>"89301212"</f>
        <v>89301212</v>
      </c>
      <c r="F10369" t="str">
        <f>"5853150347"</f>
        <v>5853150347</v>
      </c>
      <c r="G10369" s="1">
        <v>44841</v>
      </c>
      <c r="H10369" t="str">
        <f>"89514"</f>
        <v>89514</v>
      </c>
      <c r="I10369">
        <v>1</v>
      </c>
      <c r="J10369">
        <v>371</v>
      </c>
      <c r="K10369">
        <v>0</v>
      </c>
      <c r="L10369">
        <v>519.4</v>
      </c>
    </row>
    <row r="10370" spans="1:12" x14ac:dyDescent="0.25">
      <c r="A10370" t="str">
        <f t="shared" ref="A10370:A10433" si="2252">"89301000"</f>
        <v>89301000</v>
      </c>
      <c r="B10370" t="str">
        <f t="shared" si="2247"/>
        <v>78006000</v>
      </c>
      <c r="C10370" t="str">
        <f t="shared" si="2250"/>
        <v>78006231</v>
      </c>
      <c r="D10370" t="str">
        <f t="shared" si="2251"/>
        <v>809</v>
      </c>
      <c r="E10370" t="str">
        <f>"89301212"</f>
        <v>89301212</v>
      </c>
      <c r="F10370" t="str">
        <f>"6451301417"</f>
        <v>6451301417</v>
      </c>
      <c r="G10370" s="1">
        <v>44853</v>
      </c>
      <c r="H10370" t="str">
        <f>"89513"</f>
        <v>89513</v>
      </c>
      <c r="I10370">
        <v>1</v>
      </c>
      <c r="J10370">
        <v>371</v>
      </c>
      <c r="K10370">
        <v>0</v>
      </c>
      <c r="L10370">
        <v>519.4</v>
      </c>
    </row>
    <row r="10371" spans="1:12" x14ac:dyDescent="0.25">
      <c r="A10371" t="str">
        <f t="shared" si="2252"/>
        <v>89301000</v>
      </c>
      <c r="B10371" t="str">
        <f t="shared" si="2247"/>
        <v>78006000</v>
      </c>
      <c r="C10371" t="str">
        <f t="shared" si="2250"/>
        <v>78006231</v>
      </c>
      <c r="D10371" t="str">
        <f t="shared" si="2251"/>
        <v>809</v>
      </c>
      <c r="E10371" t="str">
        <f>"89301212"</f>
        <v>89301212</v>
      </c>
      <c r="F10371" t="str">
        <f>"6451301417"</f>
        <v>6451301417</v>
      </c>
      <c r="G10371" s="1">
        <v>44853</v>
      </c>
      <c r="H10371" t="str">
        <f>"89514"</f>
        <v>89514</v>
      </c>
      <c r="I10371">
        <v>1</v>
      </c>
      <c r="J10371">
        <v>371</v>
      </c>
      <c r="K10371">
        <v>0</v>
      </c>
      <c r="L10371">
        <v>519.4</v>
      </c>
    </row>
    <row r="10372" spans="1:12" x14ac:dyDescent="0.25">
      <c r="A10372" t="str">
        <f t="shared" si="2252"/>
        <v>89301000</v>
      </c>
      <c r="B10372" t="str">
        <f t="shared" ref="B10372:B10393" si="2253">"04005000"</f>
        <v>04005000</v>
      </c>
      <c r="C10372" t="str">
        <f>"04005072"</f>
        <v>04005072</v>
      </c>
      <c r="D10372" t="str">
        <f>"813"</f>
        <v>813</v>
      </c>
      <c r="E10372" t="str">
        <f t="shared" ref="E10372:E10393" si="2254">"89301172"</f>
        <v>89301172</v>
      </c>
      <c r="F10372" t="str">
        <f t="shared" ref="F10372:F10393" si="2255">"5510282019"</f>
        <v>5510282019</v>
      </c>
      <c r="G10372" s="1">
        <v>44804</v>
      </c>
      <c r="H10372" t="str">
        <f>"91411"</f>
        <v>91411</v>
      </c>
      <c r="I10372">
        <v>1</v>
      </c>
      <c r="J10372">
        <v>1600</v>
      </c>
      <c r="K10372">
        <v>0</v>
      </c>
      <c r="L10372">
        <v>1248</v>
      </c>
    </row>
    <row r="10373" spans="1:12" x14ac:dyDescent="0.25">
      <c r="A10373" t="str">
        <f t="shared" si="2252"/>
        <v>89301000</v>
      </c>
      <c r="B10373" t="str">
        <f t="shared" si="2253"/>
        <v>04005000</v>
      </c>
      <c r="C10373" t="str">
        <f t="shared" ref="C10373:C10393" si="2256">"04005364"</f>
        <v>04005364</v>
      </c>
      <c r="D10373" t="str">
        <f t="shared" ref="D10373:D10393" si="2257">"807"</f>
        <v>807</v>
      </c>
      <c r="E10373" t="str">
        <f t="shared" si="2254"/>
        <v>89301172</v>
      </c>
      <c r="F10373" t="str">
        <f t="shared" si="2255"/>
        <v>5510282019</v>
      </c>
      <c r="G10373" s="1">
        <v>44847</v>
      </c>
      <c r="H10373" t="str">
        <f>"87115"</f>
        <v>87115</v>
      </c>
      <c r="I10373">
        <v>1</v>
      </c>
      <c r="J10373">
        <v>2787</v>
      </c>
      <c r="K10373">
        <v>0</v>
      </c>
      <c r="L10373">
        <v>2173.86</v>
      </c>
    </row>
    <row r="10374" spans="1:12" x14ac:dyDescent="0.25">
      <c r="A10374" t="str">
        <f t="shared" si="2252"/>
        <v>89301000</v>
      </c>
      <c r="B10374" t="str">
        <f t="shared" si="2253"/>
        <v>04005000</v>
      </c>
      <c r="C10374" t="str">
        <f t="shared" si="2256"/>
        <v>04005364</v>
      </c>
      <c r="D10374" t="str">
        <f t="shared" si="2257"/>
        <v>807</v>
      </c>
      <c r="E10374" t="str">
        <f t="shared" si="2254"/>
        <v>89301172</v>
      </c>
      <c r="F10374" t="str">
        <f t="shared" si="2255"/>
        <v>5510282019</v>
      </c>
      <c r="G10374" s="1">
        <v>44847</v>
      </c>
      <c r="H10374" t="str">
        <f>"87119"</f>
        <v>87119</v>
      </c>
      <c r="I10374">
        <v>1</v>
      </c>
      <c r="J10374">
        <v>600</v>
      </c>
      <c r="K10374">
        <v>0</v>
      </c>
      <c r="L10374">
        <v>468</v>
      </c>
    </row>
    <row r="10375" spans="1:12" x14ac:dyDescent="0.25">
      <c r="A10375" t="str">
        <f t="shared" si="2252"/>
        <v>89301000</v>
      </c>
      <c r="B10375" t="str">
        <f t="shared" si="2253"/>
        <v>04005000</v>
      </c>
      <c r="C10375" t="str">
        <f t="shared" si="2256"/>
        <v>04005364</v>
      </c>
      <c r="D10375" t="str">
        <f t="shared" si="2257"/>
        <v>807</v>
      </c>
      <c r="E10375" t="str">
        <f t="shared" si="2254"/>
        <v>89301172</v>
      </c>
      <c r="F10375" t="str">
        <f t="shared" si="2255"/>
        <v>5510282019</v>
      </c>
      <c r="G10375" s="1">
        <v>44847</v>
      </c>
      <c r="H10375" t="str">
        <f>"87121"</f>
        <v>87121</v>
      </c>
      <c r="I10375">
        <v>1</v>
      </c>
      <c r="J10375">
        <v>515</v>
      </c>
      <c r="K10375">
        <v>0</v>
      </c>
      <c r="L10375">
        <v>401.7</v>
      </c>
    </row>
    <row r="10376" spans="1:12" x14ac:dyDescent="0.25">
      <c r="A10376" t="str">
        <f t="shared" si="2252"/>
        <v>89301000</v>
      </c>
      <c r="B10376" t="str">
        <f t="shared" si="2253"/>
        <v>04005000</v>
      </c>
      <c r="C10376" t="str">
        <f t="shared" si="2256"/>
        <v>04005364</v>
      </c>
      <c r="D10376" t="str">
        <f t="shared" si="2257"/>
        <v>807</v>
      </c>
      <c r="E10376" t="str">
        <f t="shared" si="2254"/>
        <v>89301172</v>
      </c>
      <c r="F10376" t="str">
        <f t="shared" si="2255"/>
        <v>5510282019</v>
      </c>
      <c r="G10376" s="1">
        <v>44847</v>
      </c>
      <c r="H10376" t="str">
        <f>"87215"</f>
        <v>87215</v>
      </c>
      <c r="I10376">
        <v>9</v>
      </c>
      <c r="J10376">
        <v>1800</v>
      </c>
      <c r="K10376">
        <v>0</v>
      </c>
      <c r="L10376">
        <v>1404</v>
      </c>
    </row>
    <row r="10377" spans="1:12" x14ac:dyDescent="0.25">
      <c r="A10377" t="str">
        <f t="shared" si="2252"/>
        <v>89301000</v>
      </c>
      <c r="B10377" t="str">
        <f t="shared" si="2253"/>
        <v>04005000</v>
      </c>
      <c r="C10377" t="str">
        <f t="shared" si="2256"/>
        <v>04005364</v>
      </c>
      <c r="D10377" t="str">
        <f t="shared" si="2257"/>
        <v>807</v>
      </c>
      <c r="E10377" t="str">
        <f t="shared" si="2254"/>
        <v>89301172</v>
      </c>
      <c r="F10377" t="str">
        <f t="shared" si="2255"/>
        <v>5510282019</v>
      </c>
      <c r="G10377" s="1">
        <v>44847</v>
      </c>
      <c r="H10377" t="str">
        <f>"87215"</f>
        <v>87215</v>
      </c>
      <c r="I10377">
        <v>9</v>
      </c>
      <c r="J10377">
        <v>1800</v>
      </c>
      <c r="K10377">
        <v>0</v>
      </c>
      <c r="L10377">
        <v>1404</v>
      </c>
    </row>
    <row r="10378" spans="1:12" x14ac:dyDescent="0.25">
      <c r="A10378" t="str">
        <f t="shared" si="2252"/>
        <v>89301000</v>
      </c>
      <c r="B10378" t="str">
        <f t="shared" si="2253"/>
        <v>04005000</v>
      </c>
      <c r="C10378" t="str">
        <f t="shared" si="2256"/>
        <v>04005364</v>
      </c>
      <c r="D10378" t="str">
        <f t="shared" si="2257"/>
        <v>807</v>
      </c>
      <c r="E10378" t="str">
        <f t="shared" si="2254"/>
        <v>89301172</v>
      </c>
      <c r="F10378" t="str">
        <f t="shared" si="2255"/>
        <v>5510282019</v>
      </c>
      <c r="G10378" s="1">
        <v>44847</v>
      </c>
      <c r="H10378" t="str">
        <f>"87215"</f>
        <v>87215</v>
      </c>
      <c r="I10378">
        <v>9</v>
      </c>
      <c r="J10378">
        <v>1800</v>
      </c>
      <c r="K10378">
        <v>0</v>
      </c>
      <c r="L10378">
        <v>1404</v>
      </c>
    </row>
    <row r="10379" spans="1:12" x14ac:dyDescent="0.25">
      <c r="A10379" t="str">
        <f t="shared" si="2252"/>
        <v>89301000</v>
      </c>
      <c r="B10379" t="str">
        <f t="shared" si="2253"/>
        <v>04005000</v>
      </c>
      <c r="C10379" t="str">
        <f t="shared" si="2256"/>
        <v>04005364</v>
      </c>
      <c r="D10379" t="str">
        <f t="shared" si="2257"/>
        <v>807</v>
      </c>
      <c r="E10379" t="str">
        <f t="shared" si="2254"/>
        <v>89301172</v>
      </c>
      <c r="F10379" t="str">
        <f t="shared" si="2255"/>
        <v>5510282019</v>
      </c>
      <c r="G10379" s="1">
        <v>44847</v>
      </c>
      <c r="H10379" t="str">
        <f>"87215"</f>
        <v>87215</v>
      </c>
      <c r="I10379">
        <v>1</v>
      </c>
      <c r="J10379">
        <v>200</v>
      </c>
      <c r="K10379">
        <v>0</v>
      </c>
      <c r="L10379">
        <v>156</v>
      </c>
    </row>
    <row r="10380" spans="1:12" x14ac:dyDescent="0.25">
      <c r="A10380" t="str">
        <f t="shared" si="2252"/>
        <v>89301000</v>
      </c>
      <c r="B10380" t="str">
        <f t="shared" si="2253"/>
        <v>04005000</v>
      </c>
      <c r="C10380" t="str">
        <f t="shared" si="2256"/>
        <v>04005364</v>
      </c>
      <c r="D10380" t="str">
        <f t="shared" si="2257"/>
        <v>807</v>
      </c>
      <c r="E10380" t="str">
        <f t="shared" si="2254"/>
        <v>89301172</v>
      </c>
      <c r="F10380" t="str">
        <f t="shared" si="2255"/>
        <v>5510282019</v>
      </c>
      <c r="G10380" s="1">
        <v>44847</v>
      </c>
      <c r="H10380" t="str">
        <f>"87215"</f>
        <v>87215</v>
      </c>
      <c r="I10380">
        <v>9</v>
      </c>
      <c r="J10380">
        <v>1800</v>
      </c>
      <c r="K10380">
        <v>0</v>
      </c>
      <c r="L10380">
        <v>1404</v>
      </c>
    </row>
    <row r="10381" spans="1:12" x14ac:dyDescent="0.25">
      <c r="A10381" t="str">
        <f t="shared" si="2252"/>
        <v>89301000</v>
      </c>
      <c r="B10381" t="str">
        <f t="shared" si="2253"/>
        <v>04005000</v>
      </c>
      <c r="C10381" t="str">
        <f t="shared" si="2256"/>
        <v>04005364</v>
      </c>
      <c r="D10381" t="str">
        <f t="shared" si="2257"/>
        <v>807</v>
      </c>
      <c r="E10381" t="str">
        <f t="shared" si="2254"/>
        <v>89301172</v>
      </c>
      <c r="F10381" t="str">
        <f t="shared" si="2255"/>
        <v>5510282019</v>
      </c>
      <c r="G10381" s="1">
        <v>44847</v>
      </c>
      <c r="H10381" t="str">
        <f>"87219"</f>
        <v>87219</v>
      </c>
      <c r="I10381">
        <v>9</v>
      </c>
      <c r="J10381">
        <v>1728</v>
      </c>
      <c r="K10381">
        <v>0</v>
      </c>
      <c r="L10381">
        <v>1347.84</v>
      </c>
    </row>
    <row r="10382" spans="1:12" x14ac:dyDescent="0.25">
      <c r="A10382" t="str">
        <f t="shared" si="2252"/>
        <v>89301000</v>
      </c>
      <c r="B10382" t="str">
        <f t="shared" si="2253"/>
        <v>04005000</v>
      </c>
      <c r="C10382" t="str">
        <f t="shared" si="2256"/>
        <v>04005364</v>
      </c>
      <c r="D10382" t="str">
        <f t="shared" si="2257"/>
        <v>807</v>
      </c>
      <c r="E10382" t="str">
        <f t="shared" si="2254"/>
        <v>89301172</v>
      </c>
      <c r="F10382" t="str">
        <f t="shared" si="2255"/>
        <v>5510282019</v>
      </c>
      <c r="G10382" s="1">
        <v>44847</v>
      </c>
      <c r="H10382" t="str">
        <f>"87219"</f>
        <v>87219</v>
      </c>
      <c r="I10382">
        <v>2</v>
      </c>
      <c r="J10382">
        <v>384</v>
      </c>
      <c r="K10382">
        <v>0</v>
      </c>
      <c r="L10382">
        <v>299.52</v>
      </c>
    </row>
    <row r="10383" spans="1:12" x14ac:dyDescent="0.25">
      <c r="A10383" t="str">
        <f t="shared" si="2252"/>
        <v>89301000</v>
      </c>
      <c r="B10383" t="str">
        <f t="shared" si="2253"/>
        <v>04005000</v>
      </c>
      <c r="C10383" t="str">
        <f t="shared" si="2256"/>
        <v>04005364</v>
      </c>
      <c r="D10383" t="str">
        <f t="shared" si="2257"/>
        <v>807</v>
      </c>
      <c r="E10383" t="str">
        <f t="shared" si="2254"/>
        <v>89301172</v>
      </c>
      <c r="F10383" t="str">
        <f t="shared" si="2255"/>
        <v>5510282019</v>
      </c>
      <c r="G10383" s="1">
        <v>44847</v>
      </c>
      <c r="H10383" t="str">
        <f>"87219"</f>
        <v>87219</v>
      </c>
      <c r="I10383">
        <v>9</v>
      </c>
      <c r="J10383">
        <v>1728</v>
      </c>
      <c r="K10383">
        <v>0</v>
      </c>
      <c r="L10383">
        <v>1347.84</v>
      </c>
    </row>
    <row r="10384" spans="1:12" x14ac:dyDescent="0.25">
      <c r="A10384" t="str">
        <f t="shared" si="2252"/>
        <v>89301000</v>
      </c>
      <c r="B10384" t="str">
        <f t="shared" si="2253"/>
        <v>04005000</v>
      </c>
      <c r="C10384" t="str">
        <f t="shared" si="2256"/>
        <v>04005364</v>
      </c>
      <c r="D10384" t="str">
        <f t="shared" si="2257"/>
        <v>807</v>
      </c>
      <c r="E10384" t="str">
        <f t="shared" si="2254"/>
        <v>89301172</v>
      </c>
      <c r="F10384" t="str">
        <f t="shared" si="2255"/>
        <v>5510282019</v>
      </c>
      <c r="G10384" s="1">
        <v>44847</v>
      </c>
      <c r="H10384" t="str">
        <f>"87223"</f>
        <v>87223</v>
      </c>
      <c r="I10384">
        <v>3</v>
      </c>
      <c r="J10384">
        <v>1152</v>
      </c>
      <c r="K10384">
        <v>0</v>
      </c>
      <c r="L10384">
        <v>898.56</v>
      </c>
    </row>
    <row r="10385" spans="1:12" x14ac:dyDescent="0.25">
      <c r="A10385" t="str">
        <f t="shared" si="2252"/>
        <v>89301000</v>
      </c>
      <c r="B10385" t="str">
        <f t="shared" si="2253"/>
        <v>04005000</v>
      </c>
      <c r="C10385" t="str">
        <f t="shared" si="2256"/>
        <v>04005364</v>
      </c>
      <c r="D10385" t="str">
        <f t="shared" si="2257"/>
        <v>807</v>
      </c>
      <c r="E10385" t="str">
        <f t="shared" si="2254"/>
        <v>89301172</v>
      </c>
      <c r="F10385" t="str">
        <f t="shared" si="2255"/>
        <v>5510282019</v>
      </c>
      <c r="G10385" s="1">
        <v>44847</v>
      </c>
      <c r="H10385" t="str">
        <f>"87223"</f>
        <v>87223</v>
      </c>
      <c r="I10385">
        <v>9</v>
      </c>
      <c r="J10385">
        <v>3456</v>
      </c>
      <c r="K10385">
        <v>0</v>
      </c>
      <c r="L10385">
        <v>2695.68</v>
      </c>
    </row>
    <row r="10386" spans="1:12" x14ac:dyDescent="0.25">
      <c r="A10386" t="str">
        <f t="shared" si="2252"/>
        <v>89301000</v>
      </c>
      <c r="B10386" t="str">
        <f t="shared" si="2253"/>
        <v>04005000</v>
      </c>
      <c r="C10386" t="str">
        <f t="shared" si="2256"/>
        <v>04005364</v>
      </c>
      <c r="D10386" t="str">
        <f t="shared" si="2257"/>
        <v>807</v>
      </c>
      <c r="E10386" t="str">
        <f t="shared" si="2254"/>
        <v>89301172</v>
      </c>
      <c r="F10386" t="str">
        <f t="shared" si="2255"/>
        <v>5510282019</v>
      </c>
      <c r="G10386" s="1">
        <v>44847</v>
      </c>
      <c r="H10386" t="str">
        <f>"87225"</f>
        <v>87225</v>
      </c>
      <c r="I10386">
        <v>4</v>
      </c>
      <c r="J10386">
        <v>2080</v>
      </c>
      <c r="K10386">
        <v>0</v>
      </c>
      <c r="L10386">
        <v>1622.4</v>
      </c>
    </row>
    <row r="10387" spans="1:12" x14ac:dyDescent="0.25">
      <c r="A10387" t="str">
        <f t="shared" si="2252"/>
        <v>89301000</v>
      </c>
      <c r="B10387" t="str">
        <f t="shared" si="2253"/>
        <v>04005000</v>
      </c>
      <c r="C10387" t="str">
        <f t="shared" si="2256"/>
        <v>04005364</v>
      </c>
      <c r="D10387" t="str">
        <f t="shared" si="2257"/>
        <v>807</v>
      </c>
      <c r="E10387" t="str">
        <f t="shared" si="2254"/>
        <v>89301172</v>
      </c>
      <c r="F10387" t="str">
        <f t="shared" si="2255"/>
        <v>5510282019</v>
      </c>
      <c r="G10387" s="1">
        <v>44847</v>
      </c>
      <c r="H10387" t="str">
        <f>"87231"</f>
        <v>87231</v>
      </c>
      <c r="I10387">
        <v>9</v>
      </c>
      <c r="J10387">
        <v>3366</v>
      </c>
      <c r="K10387">
        <v>0</v>
      </c>
      <c r="L10387">
        <v>2625.48</v>
      </c>
    </row>
    <row r="10388" spans="1:12" x14ac:dyDescent="0.25">
      <c r="A10388" t="str">
        <f t="shared" si="2252"/>
        <v>89301000</v>
      </c>
      <c r="B10388" t="str">
        <f t="shared" si="2253"/>
        <v>04005000</v>
      </c>
      <c r="C10388" t="str">
        <f t="shared" si="2256"/>
        <v>04005364</v>
      </c>
      <c r="D10388" t="str">
        <f t="shared" si="2257"/>
        <v>807</v>
      </c>
      <c r="E10388" t="str">
        <f t="shared" si="2254"/>
        <v>89301172</v>
      </c>
      <c r="F10388" t="str">
        <f t="shared" si="2255"/>
        <v>5510282019</v>
      </c>
      <c r="G10388" s="1">
        <v>44847</v>
      </c>
      <c r="H10388" t="str">
        <f>"87231"</f>
        <v>87231</v>
      </c>
      <c r="I10388">
        <v>9</v>
      </c>
      <c r="J10388">
        <v>3366</v>
      </c>
      <c r="K10388">
        <v>0</v>
      </c>
      <c r="L10388">
        <v>2625.48</v>
      </c>
    </row>
    <row r="10389" spans="1:12" x14ac:dyDescent="0.25">
      <c r="A10389" t="str">
        <f t="shared" si="2252"/>
        <v>89301000</v>
      </c>
      <c r="B10389" t="str">
        <f t="shared" si="2253"/>
        <v>04005000</v>
      </c>
      <c r="C10389" t="str">
        <f t="shared" si="2256"/>
        <v>04005364</v>
      </c>
      <c r="D10389" t="str">
        <f t="shared" si="2257"/>
        <v>807</v>
      </c>
      <c r="E10389" t="str">
        <f t="shared" si="2254"/>
        <v>89301172</v>
      </c>
      <c r="F10389" t="str">
        <f t="shared" si="2255"/>
        <v>5510282019</v>
      </c>
      <c r="G10389" s="1">
        <v>44847</v>
      </c>
      <c r="H10389" t="str">
        <f>"87231"</f>
        <v>87231</v>
      </c>
      <c r="I10389">
        <v>9</v>
      </c>
      <c r="J10389">
        <v>3366</v>
      </c>
      <c r="K10389">
        <v>0</v>
      </c>
      <c r="L10389">
        <v>2625.48</v>
      </c>
    </row>
    <row r="10390" spans="1:12" x14ac:dyDescent="0.25">
      <c r="A10390" t="str">
        <f t="shared" si="2252"/>
        <v>89301000</v>
      </c>
      <c r="B10390" t="str">
        <f t="shared" si="2253"/>
        <v>04005000</v>
      </c>
      <c r="C10390" t="str">
        <f t="shared" si="2256"/>
        <v>04005364</v>
      </c>
      <c r="D10390" t="str">
        <f t="shared" si="2257"/>
        <v>807</v>
      </c>
      <c r="E10390" t="str">
        <f t="shared" si="2254"/>
        <v>89301172</v>
      </c>
      <c r="F10390" t="str">
        <f t="shared" si="2255"/>
        <v>5510282019</v>
      </c>
      <c r="G10390" s="1">
        <v>44847</v>
      </c>
      <c r="H10390" t="str">
        <f>"87231"</f>
        <v>87231</v>
      </c>
      <c r="I10390">
        <v>9</v>
      </c>
      <c r="J10390">
        <v>3366</v>
      </c>
      <c r="K10390">
        <v>0</v>
      </c>
      <c r="L10390">
        <v>2625.48</v>
      </c>
    </row>
    <row r="10391" spans="1:12" x14ac:dyDescent="0.25">
      <c r="A10391" t="str">
        <f t="shared" si="2252"/>
        <v>89301000</v>
      </c>
      <c r="B10391" t="str">
        <f t="shared" si="2253"/>
        <v>04005000</v>
      </c>
      <c r="C10391" t="str">
        <f t="shared" si="2256"/>
        <v>04005364</v>
      </c>
      <c r="D10391" t="str">
        <f t="shared" si="2257"/>
        <v>807</v>
      </c>
      <c r="E10391" t="str">
        <f t="shared" si="2254"/>
        <v>89301172</v>
      </c>
      <c r="F10391" t="str">
        <f t="shared" si="2255"/>
        <v>5510282019</v>
      </c>
      <c r="G10391" s="1">
        <v>44847</v>
      </c>
      <c r="H10391" t="str">
        <f>"87527"</f>
        <v>87527</v>
      </c>
      <c r="I10391">
        <v>1</v>
      </c>
      <c r="J10391">
        <v>7714</v>
      </c>
      <c r="K10391">
        <v>0</v>
      </c>
      <c r="L10391">
        <v>6016.92</v>
      </c>
    </row>
    <row r="10392" spans="1:12" x14ac:dyDescent="0.25">
      <c r="A10392" t="str">
        <f t="shared" si="2252"/>
        <v>89301000</v>
      </c>
      <c r="B10392" t="str">
        <f t="shared" si="2253"/>
        <v>04005000</v>
      </c>
      <c r="C10392" t="str">
        <f t="shared" si="2256"/>
        <v>04005364</v>
      </c>
      <c r="D10392" t="str">
        <f t="shared" si="2257"/>
        <v>807</v>
      </c>
      <c r="E10392" t="str">
        <f t="shared" si="2254"/>
        <v>89301172</v>
      </c>
      <c r="F10392" t="str">
        <f t="shared" si="2255"/>
        <v>5510282019</v>
      </c>
      <c r="G10392" s="1">
        <v>44847</v>
      </c>
      <c r="H10392" t="str">
        <f>"87611"</f>
        <v>87611</v>
      </c>
      <c r="I10392">
        <v>1</v>
      </c>
      <c r="J10392">
        <v>472</v>
      </c>
      <c r="K10392">
        <v>0</v>
      </c>
      <c r="L10392">
        <v>368.16</v>
      </c>
    </row>
    <row r="10393" spans="1:12" x14ac:dyDescent="0.25">
      <c r="A10393" t="str">
        <f t="shared" si="2252"/>
        <v>89301000</v>
      </c>
      <c r="B10393" t="str">
        <f t="shared" si="2253"/>
        <v>04005000</v>
      </c>
      <c r="C10393" t="str">
        <f t="shared" si="2256"/>
        <v>04005364</v>
      </c>
      <c r="D10393" t="str">
        <f t="shared" si="2257"/>
        <v>807</v>
      </c>
      <c r="E10393" t="str">
        <f t="shared" si="2254"/>
        <v>89301172</v>
      </c>
      <c r="F10393" t="str">
        <f t="shared" si="2255"/>
        <v>5510282019</v>
      </c>
      <c r="G10393" s="1">
        <v>44847</v>
      </c>
      <c r="H10393" t="str">
        <f>"87622"</f>
        <v>87622</v>
      </c>
      <c r="I10393">
        <v>1</v>
      </c>
      <c r="J10393">
        <v>1176</v>
      </c>
      <c r="K10393">
        <v>0</v>
      </c>
      <c r="L10393">
        <v>917.28</v>
      </c>
    </row>
    <row r="10394" spans="1:12" x14ac:dyDescent="0.25">
      <c r="A10394" t="str">
        <f t="shared" si="2252"/>
        <v>89301000</v>
      </c>
      <c r="B10394" t="str">
        <f t="shared" ref="B10394:B10401" si="2258">"72001000"</f>
        <v>72001000</v>
      </c>
      <c r="C10394" t="str">
        <f t="shared" ref="C10394:C10401" si="2259">"72001847"</f>
        <v>72001847</v>
      </c>
      <c r="D10394" t="str">
        <f t="shared" ref="D10394:D10401" si="2260">"802"</f>
        <v>802</v>
      </c>
      <c r="E10394" t="str">
        <f t="shared" ref="E10394:E10401" si="2261">"89301202"</f>
        <v>89301202</v>
      </c>
      <c r="F10394" t="str">
        <f t="shared" ref="F10394:F10401" si="2262">"7860275302"</f>
        <v>7860275302</v>
      </c>
      <c r="G10394" s="1">
        <v>44824</v>
      </c>
      <c r="H10394" t="str">
        <f>"82075"</f>
        <v>82075</v>
      </c>
      <c r="I10394">
        <v>1</v>
      </c>
      <c r="J10394">
        <v>486</v>
      </c>
      <c r="K10394">
        <v>0</v>
      </c>
      <c r="L10394">
        <v>442.26</v>
      </c>
    </row>
    <row r="10395" spans="1:12" x14ac:dyDescent="0.25">
      <c r="A10395" t="str">
        <f t="shared" si="2252"/>
        <v>89301000</v>
      </c>
      <c r="B10395" t="str">
        <f t="shared" si="2258"/>
        <v>72001000</v>
      </c>
      <c r="C10395" t="str">
        <f t="shared" si="2259"/>
        <v>72001847</v>
      </c>
      <c r="D10395" t="str">
        <f t="shared" si="2260"/>
        <v>802</v>
      </c>
      <c r="E10395" t="str">
        <f t="shared" si="2261"/>
        <v>89301202</v>
      </c>
      <c r="F10395" t="str">
        <f t="shared" si="2262"/>
        <v>7860275302</v>
      </c>
      <c r="G10395" s="1">
        <v>44824</v>
      </c>
      <c r="H10395" t="str">
        <f>"82075"</f>
        <v>82075</v>
      </c>
      <c r="I10395">
        <v>1</v>
      </c>
      <c r="J10395">
        <v>486</v>
      </c>
      <c r="K10395">
        <v>0</v>
      </c>
      <c r="L10395">
        <v>442.26</v>
      </c>
    </row>
    <row r="10396" spans="1:12" x14ac:dyDescent="0.25">
      <c r="A10396" t="str">
        <f t="shared" si="2252"/>
        <v>89301000</v>
      </c>
      <c r="B10396" t="str">
        <f t="shared" si="2258"/>
        <v>72001000</v>
      </c>
      <c r="C10396" t="str">
        <f t="shared" si="2259"/>
        <v>72001847</v>
      </c>
      <c r="D10396" t="str">
        <f t="shared" si="2260"/>
        <v>802</v>
      </c>
      <c r="E10396" t="str">
        <f t="shared" si="2261"/>
        <v>89301202</v>
      </c>
      <c r="F10396" t="str">
        <f t="shared" si="2262"/>
        <v>7860275302</v>
      </c>
      <c r="G10396" s="1">
        <v>44824</v>
      </c>
      <c r="H10396" t="str">
        <f>"82079"</f>
        <v>82079</v>
      </c>
      <c r="I10396">
        <v>1</v>
      </c>
      <c r="J10396">
        <v>332</v>
      </c>
      <c r="K10396">
        <v>0</v>
      </c>
      <c r="L10396">
        <v>302.12</v>
      </c>
    </row>
    <row r="10397" spans="1:12" x14ac:dyDescent="0.25">
      <c r="A10397" t="str">
        <f t="shared" si="2252"/>
        <v>89301000</v>
      </c>
      <c r="B10397" t="str">
        <f t="shared" si="2258"/>
        <v>72001000</v>
      </c>
      <c r="C10397" t="str">
        <f t="shared" si="2259"/>
        <v>72001847</v>
      </c>
      <c r="D10397" t="str">
        <f t="shared" si="2260"/>
        <v>802</v>
      </c>
      <c r="E10397" t="str">
        <f t="shared" si="2261"/>
        <v>89301202</v>
      </c>
      <c r="F10397" t="str">
        <f t="shared" si="2262"/>
        <v>7860275302</v>
      </c>
      <c r="G10397" s="1">
        <v>44824</v>
      </c>
      <c r="H10397" t="str">
        <f>"82079"</f>
        <v>82079</v>
      </c>
      <c r="I10397">
        <v>1</v>
      </c>
      <c r="J10397">
        <v>332</v>
      </c>
      <c r="K10397">
        <v>0</v>
      </c>
      <c r="L10397">
        <v>302.12</v>
      </c>
    </row>
    <row r="10398" spans="1:12" x14ac:dyDescent="0.25">
      <c r="A10398" t="str">
        <f t="shared" si="2252"/>
        <v>89301000</v>
      </c>
      <c r="B10398" t="str">
        <f t="shared" si="2258"/>
        <v>72001000</v>
      </c>
      <c r="C10398" t="str">
        <f t="shared" si="2259"/>
        <v>72001847</v>
      </c>
      <c r="D10398" t="str">
        <f t="shared" si="2260"/>
        <v>802</v>
      </c>
      <c r="E10398" t="str">
        <f t="shared" si="2261"/>
        <v>89301202</v>
      </c>
      <c r="F10398" t="str">
        <f t="shared" si="2262"/>
        <v>7860275302</v>
      </c>
      <c r="G10398" s="1">
        <v>44824</v>
      </c>
      <c r="H10398" t="str">
        <f>"82097"</f>
        <v>82097</v>
      </c>
      <c r="I10398">
        <v>1</v>
      </c>
      <c r="J10398">
        <v>380</v>
      </c>
      <c r="K10398">
        <v>0</v>
      </c>
      <c r="L10398">
        <v>345.8</v>
      </c>
    </row>
    <row r="10399" spans="1:12" x14ac:dyDescent="0.25">
      <c r="A10399" t="str">
        <f t="shared" si="2252"/>
        <v>89301000</v>
      </c>
      <c r="B10399" t="str">
        <f t="shared" si="2258"/>
        <v>72001000</v>
      </c>
      <c r="C10399" t="str">
        <f t="shared" si="2259"/>
        <v>72001847</v>
      </c>
      <c r="D10399" t="str">
        <f t="shared" si="2260"/>
        <v>802</v>
      </c>
      <c r="E10399" t="str">
        <f t="shared" si="2261"/>
        <v>89301202</v>
      </c>
      <c r="F10399" t="str">
        <f t="shared" si="2262"/>
        <v>7860275302</v>
      </c>
      <c r="G10399" s="1">
        <v>44824</v>
      </c>
      <c r="H10399" t="str">
        <f>"82113"</f>
        <v>82113</v>
      </c>
      <c r="I10399">
        <v>1</v>
      </c>
      <c r="J10399">
        <v>362</v>
      </c>
      <c r="K10399">
        <v>0</v>
      </c>
      <c r="L10399">
        <v>329.42</v>
      </c>
    </row>
    <row r="10400" spans="1:12" x14ac:dyDescent="0.25">
      <c r="A10400" t="str">
        <f t="shared" si="2252"/>
        <v>89301000</v>
      </c>
      <c r="B10400" t="str">
        <f t="shared" si="2258"/>
        <v>72001000</v>
      </c>
      <c r="C10400" t="str">
        <f t="shared" si="2259"/>
        <v>72001847</v>
      </c>
      <c r="D10400" t="str">
        <f t="shared" si="2260"/>
        <v>802</v>
      </c>
      <c r="E10400" t="str">
        <f t="shared" si="2261"/>
        <v>89301202</v>
      </c>
      <c r="F10400" t="str">
        <f t="shared" si="2262"/>
        <v>7860275302</v>
      </c>
      <c r="G10400" s="1">
        <v>44824</v>
      </c>
      <c r="H10400" t="str">
        <f>"82145"</f>
        <v>82145</v>
      </c>
      <c r="I10400">
        <v>1</v>
      </c>
      <c r="J10400">
        <v>57</v>
      </c>
      <c r="K10400">
        <v>0</v>
      </c>
      <c r="L10400">
        <v>51.87</v>
      </c>
    </row>
    <row r="10401" spans="1:12" x14ac:dyDescent="0.25">
      <c r="A10401" t="str">
        <f t="shared" si="2252"/>
        <v>89301000</v>
      </c>
      <c r="B10401" t="str">
        <f t="shared" si="2258"/>
        <v>72001000</v>
      </c>
      <c r="C10401" t="str">
        <f t="shared" si="2259"/>
        <v>72001847</v>
      </c>
      <c r="D10401" t="str">
        <f t="shared" si="2260"/>
        <v>802</v>
      </c>
      <c r="E10401" t="str">
        <f t="shared" si="2261"/>
        <v>89301202</v>
      </c>
      <c r="F10401" t="str">
        <f t="shared" si="2262"/>
        <v>7860275302</v>
      </c>
      <c r="G10401" s="1">
        <v>44824</v>
      </c>
      <c r="H10401" t="str">
        <f>"97111"</f>
        <v>97111</v>
      </c>
      <c r="I10401">
        <v>1</v>
      </c>
      <c r="J10401">
        <v>18</v>
      </c>
      <c r="K10401">
        <v>0</v>
      </c>
      <c r="L10401">
        <v>16.38</v>
      </c>
    </row>
    <row r="10402" spans="1:12" x14ac:dyDescent="0.25">
      <c r="A10402" t="str">
        <f t="shared" si="2252"/>
        <v>89301000</v>
      </c>
      <c r="B10402" t="str">
        <f t="shared" ref="B10402:B10433" si="2263">"06539000"</f>
        <v>06539000</v>
      </c>
      <c r="C10402" t="str">
        <f t="shared" ref="C10402:C10415" si="2264">"06539003"</f>
        <v>06539003</v>
      </c>
      <c r="D10402" t="str">
        <f t="shared" ref="D10402:D10415" si="2265">"813"</f>
        <v>813</v>
      </c>
      <c r="E10402" t="str">
        <f t="shared" ref="E10402:E10433" si="2266">"89301171"</f>
        <v>89301171</v>
      </c>
      <c r="F10402" t="str">
        <f t="shared" ref="F10402:F10415" si="2267">"8656206207"</f>
        <v>8656206207</v>
      </c>
      <c r="G10402" s="1">
        <v>44833</v>
      </c>
      <c r="H10402" t="str">
        <f t="shared" ref="H10402:H10411" si="2268">"91413"</f>
        <v>91413</v>
      </c>
      <c r="I10402">
        <v>1</v>
      </c>
      <c r="J10402">
        <v>853</v>
      </c>
      <c r="K10402">
        <v>0</v>
      </c>
      <c r="L10402">
        <v>665.34</v>
      </c>
    </row>
    <row r="10403" spans="1:12" x14ac:dyDescent="0.25">
      <c r="A10403" t="str">
        <f t="shared" si="2252"/>
        <v>89301000</v>
      </c>
      <c r="B10403" t="str">
        <f t="shared" si="2263"/>
        <v>06539000</v>
      </c>
      <c r="C10403" t="str">
        <f t="shared" si="2264"/>
        <v>06539003</v>
      </c>
      <c r="D10403" t="str">
        <f t="shared" si="2265"/>
        <v>813</v>
      </c>
      <c r="E10403" t="str">
        <f t="shared" si="2266"/>
        <v>89301171</v>
      </c>
      <c r="F10403" t="str">
        <f t="shared" si="2267"/>
        <v>8656206207</v>
      </c>
      <c r="G10403" s="1">
        <v>44833</v>
      </c>
      <c r="H10403" t="str">
        <f t="shared" si="2268"/>
        <v>91413</v>
      </c>
      <c r="I10403">
        <v>1</v>
      </c>
      <c r="J10403">
        <v>853</v>
      </c>
      <c r="K10403">
        <v>0</v>
      </c>
      <c r="L10403">
        <v>665.34</v>
      </c>
    </row>
    <row r="10404" spans="1:12" x14ac:dyDescent="0.25">
      <c r="A10404" t="str">
        <f t="shared" si="2252"/>
        <v>89301000</v>
      </c>
      <c r="B10404" t="str">
        <f t="shared" si="2263"/>
        <v>06539000</v>
      </c>
      <c r="C10404" t="str">
        <f t="shared" si="2264"/>
        <v>06539003</v>
      </c>
      <c r="D10404" t="str">
        <f t="shared" si="2265"/>
        <v>813</v>
      </c>
      <c r="E10404" t="str">
        <f t="shared" si="2266"/>
        <v>89301171</v>
      </c>
      <c r="F10404" t="str">
        <f t="shared" si="2267"/>
        <v>8656206207</v>
      </c>
      <c r="G10404" s="1">
        <v>44840</v>
      </c>
      <c r="H10404" t="str">
        <f t="shared" si="2268"/>
        <v>91413</v>
      </c>
      <c r="I10404">
        <v>1</v>
      </c>
      <c r="J10404">
        <v>853</v>
      </c>
      <c r="K10404">
        <v>0</v>
      </c>
      <c r="L10404">
        <v>665.34</v>
      </c>
    </row>
    <row r="10405" spans="1:12" x14ac:dyDescent="0.25">
      <c r="A10405" t="str">
        <f t="shared" si="2252"/>
        <v>89301000</v>
      </c>
      <c r="B10405" t="str">
        <f t="shared" si="2263"/>
        <v>06539000</v>
      </c>
      <c r="C10405" t="str">
        <f t="shared" si="2264"/>
        <v>06539003</v>
      </c>
      <c r="D10405" t="str">
        <f t="shared" si="2265"/>
        <v>813</v>
      </c>
      <c r="E10405" t="str">
        <f t="shared" si="2266"/>
        <v>89301171</v>
      </c>
      <c r="F10405" t="str">
        <f t="shared" si="2267"/>
        <v>8656206207</v>
      </c>
      <c r="G10405" s="1">
        <v>44840</v>
      </c>
      <c r="H10405" t="str">
        <f t="shared" si="2268"/>
        <v>91413</v>
      </c>
      <c r="I10405">
        <v>1</v>
      </c>
      <c r="J10405">
        <v>853</v>
      </c>
      <c r="K10405">
        <v>0</v>
      </c>
      <c r="L10405">
        <v>665.34</v>
      </c>
    </row>
    <row r="10406" spans="1:12" x14ac:dyDescent="0.25">
      <c r="A10406" t="str">
        <f t="shared" si="2252"/>
        <v>89301000</v>
      </c>
      <c r="B10406" t="str">
        <f t="shared" si="2263"/>
        <v>06539000</v>
      </c>
      <c r="C10406" t="str">
        <f t="shared" si="2264"/>
        <v>06539003</v>
      </c>
      <c r="D10406" t="str">
        <f t="shared" si="2265"/>
        <v>813</v>
      </c>
      <c r="E10406" t="str">
        <f t="shared" si="2266"/>
        <v>89301171</v>
      </c>
      <c r="F10406" t="str">
        <f t="shared" si="2267"/>
        <v>8656206207</v>
      </c>
      <c r="G10406" s="1">
        <v>44840</v>
      </c>
      <c r="H10406" t="str">
        <f t="shared" si="2268"/>
        <v>91413</v>
      </c>
      <c r="I10406">
        <v>1</v>
      </c>
      <c r="J10406">
        <v>853</v>
      </c>
      <c r="K10406">
        <v>0</v>
      </c>
      <c r="L10406">
        <v>665.34</v>
      </c>
    </row>
    <row r="10407" spans="1:12" x14ac:dyDescent="0.25">
      <c r="A10407" t="str">
        <f t="shared" si="2252"/>
        <v>89301000</v>
      </c>
      <c r="B10407" t="str">
        <f t="shared" si="2263"/>
        <v>06539000</v>
      </c>
      <c r="C10407" t="str">
        <f t="shared" si="2264"/>
        <v>06539003</v>
      </c>
      <c r="D10407" t="str">
        <f t="shared" si="2265"/>
        <v>813</v>
      </c>
      <c r="E10407" t="str">
        <f t="shared" si="2266"/>
        <v>89301171</v>
      </c>
      <c r="F10407" t="str">
        <f t="shared" si="2267"/>
        <v>8656206207</v>
      </c>
      <c r="G10407" s="1">
        <v>44840</v>
      </c>
      <c r="H10407" t="str">
        <f t="shared" si="2268"/>
        <v>91413</v>
      </c>
      <c r="I10407">
        <v>1</v>
      </c>
      <c r="J10407">
        <v>853</v>
      </c>
      <c r="K10407">
        <v>0</v>
      </c>
      <c r="L10407">
        <v>665.34</v>
      </c>
    </row>
    <row r="10408" spans="1:12" x14ac:dyDescent="0.25">
      <c r="A10408" t="str">
        <f t="shared" si="2252"/>
        <v>89301000</v>
      </c>
      <c r="B10408" t="str">
        <f t="shared" si="2263"/>
        <v>06539000</v>
      </c>
      <c r="C10408" t="str">
        <f t="shared" si="2264"/>
        <v>06539003</v>
      </c>
      <c r="D10408" t="str">
        <f t="shared" si="2265"/>
        <v>813</v>
      </c>
      <c r="E10408" t="str">
        <f t="shared" si="2266"/>
        <v>89301171</v>
      </c>
      <c r="F10408" t="str">
        <f t="shared" si="2267"/>
        <v>8656206207</v>
      </c>
      <c r="G10408" s="1">
        <v>44840</v>
      </c>
      <c r="H10408" t="str">
        <f t="shared" si="2268"/>
        <v>91413</v>
      </c>
      <c r="I10408">
        <v>1</v>
      </c>
      <c r="J10408">
        <v>853</v>
      </c>
      <c r="K10408">
        <v>0</v>
      </c>
      <c r="L10408">
        <v>665.34</v>
      </c>
    </row>
    <row r="10409" spans="1:12" x14ac:dyDescent="0.25">
      <c r="A10409" t="str">
        <f t="shared" si="2252"/>
        <v>89301000</v>
      </c>
      <c r="B10409" t="str">
        <f t="shared" si="2263"/>
        <v>06539000</v>
      </c>
      <c r="C10409" t="str">
        <f t="shared" si="2264"/>
        <v>06539003</v>
      </c>
      <c r="D10409" t="str">
        <f t="shared" si="2265"/>
        <v>813</v>
      </c>
      <c r="E10409" t="str">
        <f t="shared" si="2266"/>
        <v>89301171</v>
      </c>
      <c r="F10409" t="str">
        <f t="shared" si="2267"/>
        <v>8656206207</v>
      </c>
      <c r="G10409" s="1">
        <v>44840</v>
      </c>
      <c r="H10409" t="str">
        <f t="shared" si="2268"/>
        <v>91413</v>
      </c>
      <c r="I10409">
        <v>1</v>
      </c>
      <c r="J10409">
        <v>853</v>
      </c>
      <c r="K10409">
        <v>0</v>
      </c>
      <c r="L10409">
        <v>665.34</v>
      </c>
    </row>
    <row r="10410" spans="1:12" x14ac:dyDescent="0.25">
      <c r="A10410" t="str">
        <f t="shared" si="2252"/>
        <v>89301000</v>
      </c>
      <c r="B10410" t="str">
        <f t="shared" si="2263"/>
        <v>06539000</v>
      </c>
      <c r="C10410" t="str">
        <f t="shared" si="2264"/>
        <v>06539003</v>
      </c>
      <c r="D10410" t="str">
        <f t="shared" si="2265"/>
        <v>813</v>
      </c>
      <c r="E10410" t="str">
        <f t="shared" si="2266"/>
        <v>89301171</v>
      </c>
      <c r="F10410" t="str">
        <f t="shared" si="2267"/>
        <v>8656206207</v>
      </c>
      <c r="G10410" s="1">
        <v>44840</v>
      </c>
      <c r="H10410" t="str">
        <f t="shared" si="2268"/>
        <v>91413</v>
      </c>
      <c r="I10410">
        <v>1</v>
      </c>
      <c r="J10410">
        <v>853</v>
      </c>
      <c r="K10410">
        <v>0</v>
      </c>
      <c r="L10410">
        <v>665.34</v>
      </c>
    </row>
    <row r="10411" spans="1:12" x14ac:dyDescent="0.25">
      <c r="A10411" t="str">
        <f t="shared" si="2252"/>
        <v>89301000</v>
      </c>
      <c r="B10411" t="str">
        <f t="shared" si="2263"/>
        <v>06539000</v>
      </c>
      <c r="C10411" t="str">
        <f t="shared" si="2264"/>
        <v>06539003</v>
      </c>
      <c r="D10411" t="str">
        <f t="shared" si="2265"/>
        <v>813</v>
      </c>
      <c r="E10411" t="str">
        <f t="shared" si="2266"/>
        <v>89301171</v>
      </c>
      <c r="F10411" t="str">
        <f t="shared" si="2267"/>
        <v>8656206207</v>
      </c>
      <c r="G10411" s="1">
        <v>44840</v>
      </c>
      <c r="H10411" t="str">
        <f t="shared" si="2268"/>
        <v>91413</v>
      </c>
      <c r="I10411">
        <v>1</v>
      </c>
      <c r="J10411">
        <v>853</v>
      </c>
      <c r="K10411">
        <v>0</v>
      </c>
      <c r="L10411">
        <v>665.34</v>
      </c>
    </row>
    <row r="10412" spans="1:12" x14ac:dyDescent="0.25">
      <c r="A10412" t="str">
        <f t="shared" si="2252"/>
        <v>89301000</v>
      </c>
      <c r="B10412" t="str">
        <f t="shared" si="2263"/>
        <v>06539000</v>
      </c>
      <c r="C10412" t="str">
        <f t="shared" si="2264"/>
        <v>06539003</v>
      </c>
      <c r="D10412" t="str">
        <f t="shared" si="2265"/>
        <v>813</v>
      </c>
      <c r="E10412" t="str">
        <f t="shared" si="2266"/>
        <v>89301171</v>
      </c>
      <c r="F10412" t="str">
        <f t="shared" si="2267"/>
        <v>8656206207</v>
      </c>
      <c r="G10412" s="1">
        <v>44832</v>
      </c>
      <c r="H10412" t="str">
        <f>"91329"</f>
        <v>91329</v>
      </c>
      <c r="I10412">
        <v>2</v>
      </c>
      <c r="J10412">
        <v>428</v>
      </c>
      <c r="K10412">
        <v>0</v>
      </c>
      <c r="L10412">
        <v>333.84</v>
      </c>
    </row>
    <row r="10413" spans="1:12" x14ac:dyDescent="0.25">
      <c r="A10413" t="str">
        <f t="shared" si="2252"/>
        <v>89301000</v>
      </c>
      <c r="B10413" t="str">
        <f t="shared" si="2263"/>
        <v>06539000</v>
      </c>
      <c r="C10413" t="str">
        <f t="shared" si="2264"/>
        <v>06539003</v>
      </c>
      <c r="D10413" t="str">
        <f t="shared" si="2265"/>
        <v>813</v>
      </c>
      <c r="E10413" t="str">
        <f t="shared" si="2266"/>
        <v>89301171</v>
      </c>
      <c r="F10413" t="str">
        <f t="shared" si="2267"/>
        <v>8656206207</v>
      </c>
      <c r="G10413" s="1">
        <v>44832</v>
      </c>
      <c r="H10413" t="str">
        <f>"91329"</f>
        <v>91329</v>
      </c>
      <c r="I10413">
        <v>2</v>
      </c>
      <c r="J10413">
        <v>428</v>
      </c>
      <c r="K10413">
        <v>0</v>
      </c>
      <c r="L10413">
        <v>333.84</v>
      </c>
    </row>
    <row r="10414" spans="1:12" x14ac:dyDescent="0.25">
      <c r="A10414" t="str">
        <f t="shared" si="2252"/>
        <v>89301000</v>
      </c>
      <c r="B10414" t="str">
        <f t="shared" si="2263"/>
        <v>06539000</v>
      </c>
      <c r="C10414" t="str">
        <f t="shared" si="2264"/>
        <v>06539003</v>
      </c>
      <c r="D10414" t="str">
        <f t="shared" si="2265"/>
        <v>813</v>
      </c>
      <c r="E10414" t="str">
        <f t="shared" si="2266"/>
        <v>89301171</v>
      </c>
      <c r="F10414" t="str">
        <f t="shared" si="2267"/>
        <v>8656206207</v>
      </c>
      <c r="G10414" s="1">
        <v>44832</v>
      </c>
      <c r="H10414" t="str">
        <f>"91329"</f>
        <v>91329</v>
      </c>
      <c r="I10414">
        <v>2</v>
      </c>
      <c r="J10414">
        <v>428</v>
      </c>
      <c r="K10414">
        <v>0</v>
      </c>
      <c r="L10414">
        <v>333.84</v>
      </c>
    </row>
    <row r="10415" spans="1:12" x14ac:dyDescent="0.25">
      <c r="A10415" t="str">
        <f t="shared" si="2252"/>
        <v>89301000</v>
      </c>
      <c r="B10415" t="str">
        <f t="shared" si="2263"/>
        <v>06539000</v>
      </c>
      <c r="C10415" t="str">
        <f t="shared" si="2264"/>
        <v>06539003</v>
      </c>
      <c r="D10415" t="str">
        <f t="shared" si="2265"/>
        <v>813</v>
      </c>
      <c r="E10415" t="str">
        <f t="shared" si="2266"/>
        <v>89301171</v>
      </c>
      <c r="F10415" t="str">
        <f t="shared" si="2267"/>
        <v>8656206207</v>
      </c>
      <c r="G10415" s="1">
        <v>44832</v>
      </c>
      <c r="H10415" t="str">
        <f>"91329"</f>
        <v>91329</v>
      </c>
      <c r="I10415">
        <v>2</v>
      </c>
      <c r="J10415">
        <v>428</v>
      </c>
      <c r="K10415">
        <v>0</v>
      </c>
      <c r="L10415">
        <v>333.84</v>
      </c>
    </row>
    <row r="10416" spans="1:12" x14ac:dyDescent="0.25">
      <c r="A10416" t="str">
        <f t="shared" si="2252"/>
        <v>89301000</v>
      </c>
      <c r="B10416" t="str">
        <f t="shared" si="2263"/>
        <v>06539000</v>
      </c>
      <c r="C10416" t="str">
        <f>"06539001"</f>
        <v>06539001</v>
      </c>
      <c r="D10416" t="str">
        <f>"801"</f>
        <v>801</v>
      </c>
      <c r="E10416" t="str">
        <f t="shared" si="2266"/>
        <v>89301171</v>
      </c>
      <c r="F10416" t="str">
        <f t="shared" ref="F10416:F10457" si="2269">"9255135791"</f>
        <v>9255135791</v>
      </c>
      <c r="G10416" s="1">
        <v>44827</v>
      </c>
      <c r="H10416" t="str">
        <f>"81329"</f>
        <v>81329</v>
      </c>
      <c r="I10416">
        <v>1</v>
      </c>
      <c r="J10416">
        <v>16</v>
      </c>
      <c r="K10416">
        <v>0</v>
      </c>
      <c r="L10416">
        <v>12.48</v>
      </c>
    </row>
    <row r="10417" spans="1:12" x14ac:dyDescent="0.25">
      <c r="A10417" t="str">
        <f t="shared" si="2252"/>
        <v>89301000</v>
      </c>
      <c r="B10417" t="str">
        <f t="shared" si="2263"/>
        <v>06539000</v>
      </c>
      <c r="C10417" t="str">
        <f>"06539001"</f>
        <v>06539001</v>
      </c>
      <c r="D10417" t="str">
        <f>"801"</f>
        <v>801</v>
      </c>
      <c r="E10417" t="str">
        <f t="shared" si="2266"/>
        <v>89301171</v>
      </c>
      <c r="F10417" t="str">
        <f t="shared" si="2269"/>
        <v>9255135791</v>
      </c>
      <c r="G10417" s="1">
        <v>44827</v>
      </c>
      <c r="H10417" t="str">
        <f>"81331"</f>
        <v>81331</v>
      </c>
      <c r="I10417">
        <v>1</v>
      </c>
      <c r="J10417">
        <v>193</v>
      </c>
      <c r="K10417">
        <v>0</v>
      </c>
      <c r="L10417">
        <v>150.54</v>
      </c>
    </row>
    <row r="10418" spans="1:12" x14ac:dyDescent="0.25">
      <c r="A10418" t="str">
        <f t="shared" si="2252"/>
        <v>89301000</v>
      </c>
      <c r="B10418" t="str">
        <f t="shared" si="2263"/>
        <v>06539000</v>
      </c>
      <c r="C10418" t="str">
        <f t="shared" ref="C10418:C10425" si="2270">"06539002"</f>
        <v>06539002</v>
      </c>
      <c r="D10418" t="str">
        <f t="shared" ref="D10418:D10425" si="2271">"802"</f>
        <v>802</v>
      </c>
      <c r="E10418" t="str">
        <f t="shared" si="2266"/>
        <v>89301171</v>
      </c>
      <c r="F10418" t="str">
        <f t="shared" si="2269"/>
        <v>9255135791</v>
      </c>
      <c r="G10418" s="1">
        <v>44827</v>
      </c>
      <c r="H10418" t="str">
        <f t="shared" ref="H10418:H10425" si="2272">"82097"</f>
        <v>82097</v>
      </c>
      <c r="I10418">
        <v>1</v>
      </c>
      <c r="J10418">
        <v>380</v>
      </c>
      <c r="K10418">
        <v>0</v>
      </c>
      <c r="L10418">
        <v>345.8</v>
      </c>
    </row>
    <row r="10419" spans="1:12" x14ac:dyDescent="0.25">
      <c r="A10419" t="str">
        <f t="shared" si="2252"/>
        <v>89301000</v>
      </c>
      <c r="B10419" t="str">
        <f t="shared" si="2263"/>
        <v>06539000</v>
      </c>
      <c r="C10419" t="str">
        <f t="shared" si="2270"/>
        <v>06539002</v>
      </c>
      <c r="D10419" t="str">
        <f t="shared" si="2271"/>
        <v>802</v>
      </c>
      <c r="E10419" t="str">
        <f t="shared" si="2266"/>
        <v>89301171</v>
      </c>
      <c r="F10419" t="str">
        <f t="shared" si="2269"/>
        <v>9255135791</v>
      </c>
      <c r="G10419" s="1">
        <v>44827</v>
      </c>
      <c r="H10419" t="str">
        <f t="shared" si="2272"/>
        <v>82097</v>
      </c>
      <c r="I10419">
        <v>1</v>
      </c>
      <c r="J10419">
        <v>380</v>
      </c>
      <c r="K10419">
        <v>0</v>
      </c>
      <c r="L10419">
        <v>345.8</v>
      </c>
    </row>
    <row r="10420" spans="1:12" x14ac:dyDescent="0.25">
      <c r="A10420" t="str">
        <f t="shared" si="2252"/>
        <v>89301000</v>
      </c>
      <c r="B10420" t="str">
        <f t="shared" si="2263"/>
        <v>06539000</v>
      </c>
      <c r="C10420" t="str">
        <f t="shared" si="2270"/>
        <v>06539002</v>
      </c>
      <c r="D10420" t="str">
        <f t="shared" si="2271"/>
        <v>802</v>
      </c>
      <c r="E10420" t="str">
        <f t="shared" si="2266"/>
        <v>89301171</v>
      </c>
      <c r="F10420" t="str">
        <f t="shared" si="2269"/>
        <v>9255135791</v>
      </c>
      <c r="G10420" s="1">
        <v>44827</v>
      </c>
      <c r="H10420" t="str">
        <f t="shared" si="2272"/>
        <v>82097</v>
      </c>
      <c r="I10420">
        <v>1</v>
      </c>
      <c r="J10420">
        <v>380</v>
      </c>
      <c r="K10420">
        <v>0</v>
      </c>
      <c r="L10420">
        <v>345.8</v>
      </c>
    </row>
    <row r="10421" spans="1:12" x14ac:dyDescent="0.25">
      <c r="A10421" t="str">
        <f t="shared" si="2252"/>
        <v>89301000</v>
      </c>
      <c r="B10421" t="str">
        <f t="shared" si="2263"/>
        <v>06539000</v>
      </c>
      <c r="C10421" t="str">
        <f t="shared" si="2270"/>
        <v>06539002</v>
      </c>
      <c r="D10421" t="str">
        <f t="shared" si="2271"/>
        <v>802</v>
      </c>
      <c r="E10421" t="str">
        <f t="shared" si="2266"/>
        <v>89301171</v>
      </c>
      <c r="F10421" t="str">
        <f t="shared" si="2269"/>
        <v>9255135791</v>
      </c>
      <c r="G10421" s="1">
        <v>44827</v>
      </c>
      <c r="H10421" t="str">
        <f t="shared" si="2272"/>
        <v>82097</v>
      </c>
      <c r="I10421">
        <v>1</v>
      </c>
      <c r="J10421">
        <v>380</v>
      </c>
      <c r="K10421">
        <v>0</v>
      </c>
      <c r="L10421">
        <v>345.8</v>
      </c>
    </row>
    <row r="10422" spans="1:12" x14ac:dyDescent="0.25">
      <c r="A10422" t="str">
        <f t="shared" si="2252"/>
        <v>89301000</v>
      </c>
      <c r="B10422" t="str">
        <f t="shared" si="2263"/>
        <v>06539000</v>
      </c>
      <c r="C10422" t="str">
        <f t="shared" si="2270"/>
        <v>06539002</v>
      </c>
      <c r="D10422" t="str">
        <f t="shared" si="2271"/>
        <v>802</v>
      </c>
      <c r="E10422" t="str">
        <f t="shared" si="2266"/>
        <v>89301171</v>
      </c>
      <c r="F10422" t="str">
        <f t="shared" si="2269"/>
        <v>9255135791</v>
      </c>
      <c r="G10422" s="1">
        <v>44827</v>
      </c>
      <c r="H10422" t="str">
        <f t="shared" si="2272"/>
        <v>82097</v>
      </c>
      <c r="I10422">
        <v>1</v>
      </c>
      <c r="J10422">
        <v>380</v>
      </c>
      <c r="K10422">
        <v>0</v>
      </c>
      <c r="L10422">
        <v>345.8</v>
      </c>
    </row>
    <row r="10423" spans="1:12" x14ac:dyDescent="0.25">
      <c r="A10423" t="str">
        <f t="shared" si="2252"/>
        <v>89301000</v>
      </c>
      <c r="B10423" t="str">
        <f t="shared" si="2263"/>
        <v>06539000</v>
      </c>
      <c r="C10423" t="str">
        <f t="shared" si="2270"/>
        <v>06539002</v>
      </c>
      <c r="D10423" t="str">
        <f t="shared" si="2271"/>
        <v>802</v>
      </c>
      <c r="E10423" t="str">
        <f t="shared" si="2266"/>
        <v>89301171</v>
      </c>
      <c r="F10423" t="str">
        <f t="shared" si="2269"/>
        <v>9255135791</v>
      </c>
      <c r="G10423" s="1">
        <v>44827</v>
      </c>
      <c r="H10423" t="str">
        <f t="shared" si="2272"/>
        <v>82097</v>
      </c>
      <c r="I10423">
        <v>1</v>
      </c>
      <c r="J10423">
        <v>380</v>
      </c>
      <c r="K10423">
        <v>0</v>
      </c>
      <c r="L10423">
        <v>345.8</v>
      </c>
    </row>
    <row r="10424" spans="1:12" x14ac:dyDescent="0.25">
      <c r="A10424" t="str">
        <f t="shared" si="2252"/>
        <v>89301000</v>
      </c>
      <c r="B10424" t="str">
        <f t="shared" si="2263"/>
        <v>06539000</v>
      </c>
      <c r="C10424" t="str">
        <f t="shared" si="2270"/>
        <v>06539002</v>
      </c>
      <c r="D10424" t="str">
        <f t="shared" si="2271"/>
        <v>802</v>
      </c>
      <c r="E10424" t="str">
        <f t="shared" si="2266"/>
        <v>89301171</v>
      </c>
      <c r="F10424" t="str">
        <f t="shared" si="2269"/>
        <v>9255135791</v>
      </c>
      <c r="G10424" s="1">
        <v>44827</v>
      </c>
      <c r="H10424" t="str">
        <f t="shared" si="2272"/>
        <v>82097</v>
      </c>
      <c r="I10424">
        <v>1</v>
      </c>
      <c r="J10424">
        <v>380</v>
      </c>
      <c r="K10424">
        <v>0</v>
      </c>
      <c r="L10424">
        <v>345.8</v>
      </c>
    </row>
    <row r="10425" spans="1:12" x14ac:dyDescent="0.25">
      <c r="A10425" t="str">
        <f t="shared" si="2252"/>
        <v>89301000</v>
      </c>
      <c r="B10425" t="str">
        <f t="shared" si="2263"/>
        <v>06539000</v>
      </c>
      <c r="C10425" t="str">
        <f t="shared" si="2270"/>
        <v>06539002</v>
      </c>
      <c r="D10425" t="str">
        <f t="shared" si="2271"/>
        <v>802</v>
      </c>
      <c r="E10425" t="str">
        <f t="shared" si="2266"/>
        <v>89301171</v>
      </c>
      <c r="F10425" t="str">
        <f t="shared" si="2269"/>
        <v>9255135791</v>
      </c>
      <c r="G10425" s="1">
        <v>44827</v>
      </c>
      <c r="H10425" t="str">
        <f t="shared" si="2272"/>
        <v>82097</v>
      </c>
      <c r="I10425">
        <v>1</v>
      </c>
      <c r="J10425">
        <v>380</v>
      </c>
      <c r="K10425">
        <v>0</v>
      </c>
      <c r="L10425">
        <v>345.8</v>
      </c>
    </row>
    <row r="10426" spans="1:12" x14ac:dyDescent="0.25">
      <c r="A10426" t="str">
        <f t="shared" si="2252"/>
        <v>89301000</v>
      </c>
      <c r="B10426" t="str">
        <f t="shared" si="2263"/>
        <v>06539000</v>
      </c>
      <c r="C10426" t="str">
        <f t="shared" ref="C10426:C10457" si="2273">"06539003"</f>
        <v>06539003</v>
      </c>
      <c r="D10426" t="str">
        <f t="shared" ref="D10426:D10457" si="2274">"813"</f>
        <v>813</v>
      </c>
      <c r="E10426" t="str">
        <f t="shared" si="2266"/>
        <v>89301171</v>
      </c>
      <c r="F10426" t="str">
        <f t="shared" si="2269"/>
        <v>9255135791</v>
      </c>
      <c r="G10426" s="1">
        <v>44833</v>
      </c>
      <c r="H10426" t="str">
        <f t="shared" ref="H10426:H10435" si="2275">"91413"</f>
        <v>91413</v>
      </c>
      <c r="I10426">
        <v>1</v>
      </c>
      <c r="J10426">
        <v>853</v>
      </c>
      <c r="K10426">
        <v>0</v>
      </c>
      <c r="L10426">
        <v>665.34</v>
      </c>
    </row>
    <row r="10427" spans="1:12" x14ac:dyDescent="0.25">
      <c r="A10427" t="str">
        <f t="shared" si="2252"/>
        <v>89301000</v>
      </c>
      <c r="B10427" t="str">
        <f t="shared" si="2263"/>
        <v>06539000</v>
      </c>
      <c r="C10427" t="str">
        <f t="shared" si="2273"/>
        <v>06539003</v>
      </c>
      <c r="D10427" t="str">
        <f t="shared" si="2274"/>
        <v>813</v>
      </c>
      <c r="E10427" t="str">
        <f t="shared" si="2266"/>
        <v>89301171</v>
      </c>
      <c r="F10427" t="str">
        <f t="shared" si="2269"/>
        <v>9255135791</v>
      </c>
      <c r="G10427" s="1">
        <v>44833</v>
      </c>
      <c r="H10427" t="str">
        <f t="shared" si="2275"/>
        <v>91413</v>
      </c>
      <c r="I10427">
        <v>1</v>
      </c>
      <c r="J10427">
        <v>853</v>
      </c>
      <c r="K10427">
        <v>0</v>
      </c>
      <c r="L10427">
        <v>665.34</v>
      </c>
    </row>
    <row r="10428" spans="1:12" x14ac:dyDescent="0.25">
      <c r="A10428" t="str">
        <f t="shared" si="2252"/>
        <v>89301000</v>
      </c>
      <c r="B10428" t="str">
        <f t="shared" si="2263"/>
        <v>06539000</v>
      </c>
      <c r="C10428" t="str">
        <f t="shared" si="2273"/>
        <v>06539003</v>
      </c>
      <c r="D10428" t="str">
        <f t="shared" si="2274"/>
        <v>813</v>
      </c>
      <c r="E10428" t="str">
        <f t="shared" si="2266"/>
        <v>89301171</v>
      </c>
      <c r="F10428" t="str">
        <f t="shared" si="2269"/>
        <v>9255135791</v>
      </c>
      <c r="G10428" s="1">
        <v>44840</v>
      </c>
      <c r="H10428" t="str">
        <f t="shared" si="2275"/>
        <v>91413</v>
      </c>
      <c r="I10428">
        <v>1</v>
      </c>
      <c r="J10428">
        <v>853</v>
      </c>
      <c r="K10428">
        <v>0</v>
      </c>
      <c r="L10428">
        <v>665.34</v>
      </c>
    </row>
    <row r="10429" spans="1:12" x14ac:dyDescent="0.25">
      <c r="A10429" t="str">
        <f t="shared" si="2252"/>
        <v>89301000</v>
      </c>
      <c r="B10429" t="str">
        <f t="shared" si="2263"/>
        <v>06539000</v>
      </c>
      <c r="C10429" t="str">
        <f t="shared" si="2273"/>
        <v>06539003</v>
      </c>
      <c r="D10429" t="str">
        <f t="shared" si="2274"/>
        <v>813</v>
      </c>
      <c r="E10429" t="str">
        <f t="shared" si="2266"/>
        <v>89301171</v>
      </c>
      <c r="F10429" t="str">
        <f t="shared" si="2269"/>
        <v>9255135791</v>
      </c>
      <c r="G10429" s="1">
        <v>44840</v>
      </c>
      <c r="H10429" t="str">
        <f t="shared" si="2275"/>
        <v>91413</v>
      </c>
      <c r="I10429">
        <v>1</v>
      </c>
      <c r="J10429">
        <v>853</v>
      </c>
      <c r="K10429">
        <v>0</v>
      </c>
      <c r="L10429">
        <v>665.34</v>
      </c>
    </row>
    <row r="10430" spans="1:12" x14ac:dyDescent="0.25">
      <c r="A10430" t="str">
        <f t="shared" si="2252"/>
        <v>89301000</v>
      </c>
      <c r="B10430" t="str">
        <f t="shared" si="2263"/>
        <v>06539000</v>
      </c>
      <c r="C10430" t="str">
        <f t="shared" si="2273"/>
        <v>06539003</v>
      </c>
      <c r="D10430" t="str">
        <f t="shared" si="2274"/>
        <v>813</v>
      </c>
      <c r="E10430" t="str">
        <f t="shared" si="2266"/>
        <v>89301171</v>
      </c>
      <c r="F10430" t="str">
        <f t="shared" si="2269"/>
        <v>9255135791</v>
      </c>
      <c r="G10430" s="1">
        <v>44840</v>
      </c>
      <c r="H10430" t="str">
        <f t="shared" si="2275"/>
        <v>91413</v>
      </c>
      <c r="I10430">
        <v>1</v>
      </c>
      <c r="J10430">
        <v>853</v>
      </c>
      <c r="K10430">
        <v>0</v>
      </c>
      <c r="L10430">
        <v>665.34</v>
      </c>
    </row>
    <row r="10431" spans="1:12" x14ac:dyDescent="0.25">
      <c r="A10431" t="str">
        <f t="shared" si="2252"/>
        <v>89301000</v>
      </c>
      <c r="B10431" t="str">
        <f t="shared" si="2263"/>
        <v>06539000</v>
      </c>
      <c r="C10431" t="str">
        <f t="shared" si="2273"/>
        <v>06539003</v>
      </c>
      <c r="D10431" t="str">
        <f t="shared" si="2274"/>
        <v>813</v>
      </c>
      <c r="E10431" t="str">
        <f t="shared" si="2266"/>
        <v>89301171</v>
      </c>
      <c r="F10431" t="str">
        <f t="shared" si="2269"/>
        <v>9255135791</v>
      </c>
      <c r="G10431" s="1">
        <v>44840</v>
      </c>
      <c r="H10431" t="str">
        <f t="shared" si="2275"/>
        <v>91413</v>
      </c>
      <c r="I10431">
        <v>1</v>
      </c>
      <c r="J10431">
        <v>853</v>
      </c>
      <c r="K10431">
        <v>0</v>
      </c>
      <c r="L10431">
        <v>665.34</v>
      </c>
    </row>
    <row r="10432" spans="1:12" x14ac:dyDescent="0.25">
      <c r="A10432" t="str">
        <f t="shared" si="2252"/>
        <v>89301000</v>
      </c>
      <c r="B10432" t="str">
        <f t="shared" si="2263"/>
        <v>06539000</v>
      </c>
      <c r="C10432" t="str">
        <f t="shared" si="2273"/>
        <v>06539003</v>
      </c>
      <c r="D10432" t="str">
        <f t="shared" si="2274"/>
        <v>813</v>
      </c>
      <c r="E10432" t="str">
        <f t="shared" si="2266"/>
        <v>89301171</v>
      </c>
      <c r="F10432" t="str">
        <f t="shared" si="2269"/>
        <v>9255135791</v>
      </c>
      <c r="G10432" s="1">
        <v>44840</v>
      </c>
      <c r="H10432" t="str">
        <f t="shared" si="2275"/>
        <v>91413</v>
      </c>
      <c r="I10432">
        <v>1</v>
      </c>
      <c r="J10432">
        <v>853</v>
      </c>
      <c r="K10432">
        <v>0</v>
      </c>
      <c r="L10432">
        <v>665.34</v>
      </c>
    </row>
    <row r="10433" spans="1:12" x14ac:dyDescent="0.25">
      <c r="A10433" t="str">
        <f t="shared" si="2252"/>
        <v>89301000</v>
      </c>
      <c r="B10433" t="str">
        <f t="shared" si="2263"/>
        <v>06539000</v>
      </c>
      <c r="C10433" t="str">
        <f t="shared" si="2273"/>
        <v>06539003</v>
      </c>
      <c r="D10433" t="str">
        <f t="shared" si="2274"/>
        <v>813</v>
      </c>
      <c r="E10433" t="str">
        <f t="shared" si="2266"/>
        <v>89301171</v>
      </c>
      <c r="F10433" t="str">
        <f t="shared" si="2269"/>
        <v>9255135791</v>
      </c>
      <c r="G10433" s="1">
        <v>44840</v>
      </c>
      <c r="H10433" t="str">
        <f t="shared" si="2275"/>
        <v>91413</v>
      </c>
      <c r="I10433">
        <v>1</v>
      </c>
      <c r="J10433">
        <v>853</v>
      </c>
      <c r="K10433">
        <v>0</v>
      </c>
      <c r="L10433">
        <v>665.34</v>
      </c>
    </row>
    <row r="10434" spans="1:12" x14ac:dyDescent="0.25">
      <c r="A10434" t="str">
        <f t="shared" ref="A10434:A10497" si="2276">"89301000"</f>
        <v>89301000</v>
      </c>
      <c r="B10434" t="str">
        <f t="shared" ref="B10434:B10465" si="2277">"06539000"</f>
        <v>06539000</v>
      </c>
      <c r="C10434" t="str">
        <f t="shared" si="2273"/>
        <v>06539003</v>
      </c>
      <c r="D10434" t="str">
        <f t="shared" si="2274"/>
        <v>813</v>
      </c>
      <c r="E10434" t="str">
        <f t="shared" ref="E10434:E10465" si="2278">"89301171"</f>
        <v>89301171</v>
      </c>
      <c r="F10434" t="str">
        <f t="shared" si="2269"/>
        <v>9255135791</v>
      </c>
      <c r="G10434" s="1">
        <v>44840</v>
      </c>
      <c r="H10434" t="str">
        <f t="shared" si="2275"/>
        <v>91413</v>
      </c>
      <c r="I10434">
        <v>1</v>
      </c>
      <c r="J10434">
        <v>853</v>
      </c>
      <c r="K10434">
        <v>0</v>
      </c>
      <c r="L10434">
        <v>665.34</v>
      </c>
    </row>
    <row r="10435" spans="1:12" x14ac:dyDescent="0.25">
      <c r="A10435" t="str">
        <f t="shared" si="2276"/>
        <v>89301000</v>
      </c>
      <c r="B10435" t="str">
        <f t="shared" si="2277"/>
        <v>06539000</v>
      </c>
      <c r="C10435" t="str">
        <f t="shared" si="2273"/>
        <v>06539003</v>
      </c>
      <c r="D10435" t="str">
        <f t="shared" si="2274"/>
        <v>813</v>
      </c>
      <c r="E10435" t="str">
        <f t="shared" si="2278"/>
        <v>89301171</v>
      </c>
      <c r="F10435" t="str">
        <f t="shared" si="2269"/>
        <v>9255135791</v>
      </c>
      <c r="G10435" s="1">
        <v>44840</v>
      </c>
      <c r="H10435" t="str">
        <f t="shared" si="2275"/>
        <v>91413</v>
      </c>
      <c r="I10435">
        <v>1</v>
      </c>
      <c r="J10435">
        <v>853</v>
      </c>
      <c r="K10435">
        <v>0</v>
      </c>
      <c r="L10435">
        <v>665.34</v>
      </c>
    </row>
    <row r="10436" spans="1:12" x14ac:dyDescent="0.25">
      <c r="A10436" t="str">
        <f t="shared" si="2276"/>
        <v>89301000</v>
      </c>
      <c r="B10436" t="str">
        <f t="shared" si="2277"/>
        <v>06539000</v>
      </c>
      <c r="C10436" t="str">
        <f t="shared" si="2273"/>
        <v>06539003</v>
      </c>
      <c r="D10436" t="str">
        <f t="shared" si="2274"/>
        <v>813</v>
      </c>
      <c r="E10436" t="str">
        <f t="shared" si="2278"/>
        <v>89301171</v>
      </c>
      <c r="F10436" t="str">
        <f t="shared" si="2269"/>
        <v>9255135791</v>
      </c>
      <c r="G10436" s="1">
        <v>44827</v>
      </c>
      <c r="H10436" t="str">
        <f t="shared" ref="H10436:H10442" si="2279">"91197"</f>
        <v>91197</v>
      </c>
      <c r="I10436">
        <v>1</v>
      </c>
      <c r="J10436">
        <v>1046</v>
      </c>
      <c r="K10436">
        <v>0</v>
      </c>
      <c r="L10436">
        <v>815.88</v>
      </c>
    </row>
    <row r="10437" spans="1:12" x14ac:dyDescent="0.25">
      <c r="A10437" t="str">
        <f t="shared" si="2276"/>
        <v>89301000</v>
      </c>
      <c r="B10437" t="str">
        <f t="shared" si="2277"/>
        <v>06539000</v>
      </c>
      <c r="C10437" t="str">
        <f t="shared" si="2273"/>
        <v>06539003</v>
      </c>
      <c r="D10437" t="str">
        <f t="shared" si="2274"/>
        <v>813</v>
      </c>
      <c r="E10437" t="str">
        <f t="shared" si="2278"/>
        <v>89301171</v>
      </c>
      <c r="F10437" t="str">
        <f t="shared" si="2269"/>
        <v>9255135791</v>
      </c>
      <c r="G10437" s="1">
        <v>44830</v>
      </c>
      <c r="H10437" t="str">
        <f t="shared" si="2279"/>
        <v>91197</v>
      </c>
      <c r="I10437">
        <v>1</v>
      </c>
      <c r="J10437">
        <v>1046</v>
      </c>
      <c r="K10437">
        <v>0</v>
      </c>
      <c r="L10437">
        <v>815.88</v>
      </c>
    </row>
    <row r="10438" spans="1:12" x14ac:dyDescent="0.25">
      <c r="A10438" t="str">
        <f t="shared" si="2276"/>
        <v>89301000</v>
      </c>
      <c r="B10438" t="str">
        <f t="shared" si="2277"/>
        <v>06539000</v>
      </c>
      <c r="C10438" t="str">
        <f t="shared" si="2273"/>
        <v>06539003</v>
      </c>
      <c r="D10438" t="str">
        <f t="shared" si="2274"/>
        <v>813</v>
      </c>
      <c r="E10438" t="str">
        <f t="shared" si="2278"/>
        <v>89301171</v>
      </c>
      <c r="F10438" t="str">
        <f t="shared" si="2269"/>
        <v>9255135791</v>
      </c>
      <c r="G10438" s="1">
        <v>44830</v>
      </c>
      <c r="H10438" t="str">
        <f t="shared" si="2279"/>
        <v>91197</v>
      </c>
      <c r="I10438">
        <v>1</v>
      </c>
      <c r="J10438">
        <v>1046</v>
      </c>
      <c r="K10438">
        <v>0</v>
      </c>
      <c r="L10438">
        <v>815.88</v>
      </c>
    </row>
    <row r="10439" spans="1:12" x14ac:dyDescent="0.25">
      <c r="A10439" t="str">
        <f t="shared" si="2276"/>
        <v>89301000</v>
      </c>
      <c r="B10439" t="str">
        <f t="shared" si="2277"/>
        <v>06539000</v>
      </c>
      <c r="C10439" t="str">
        <f t="shared" si="2273"/>
        <v>06539003</v>
      </c>
      <c r="D10439" t="str">
        <f t="shared" si="2274"/>
        <v>813</v>
      </c>
      <c r="E10439" t="str">
        <f t="shared" si="2278"/>
        <v>89301171</v>
      </c>
      <c r="F10439" t="str">
        <f t="shared" si="2269"/>
        <v>9255135791</v>
      </c>
      <c r="G10439" s="1">
        <v>44829</v>
      </c>
      <c r="H10439" t="str">
        <f t="shared" si="2279"/>
        <v>91197</v>
      </c>
      <c r="I10439">
        <v>1</v>
      </c>
      <c r="J10439">
        <v>1046</v>
      </c>
      <c r="K10439">
        <v>0</v>
      </c>
      <c r="L10439">
        <v>815.88</v>
      </c>
    </row>
    <row r="10440" spans="1:12" x14ac:dyDescent="0.25">
      <c r="A10440" t="str">
        <f t="shared" si="2276"/>
        <v>89301000</v>
      </c>
      <c r="B10440" t="str">
        <f t="shared" si="2277"/>
        <v>06539000</v>
      </c>
      <c r="C10440" t="str">
        <f t="shared" si="2273"/>
        <v>06539003</v>
      </c>
      <c r="D10440" t="str">
        <f t="shared" si="2274"/>
        <v>813</v>
      </c>
      <c r="E10440" t="str">
        <f t="shared" si="2278"/>
        <v>89301171</v>
      </c>
      <c r="F10440" t="str">
        <f t="shared" si="2269"/>
        <v>9255135791</v>
      </c>
      <c r="G10440" s="1">
        <v>44829</v>
      </c>
      <c r="H10440" t="str">
        <f t="shared" si="2279"/>
        <v>91197</v>
      </c>
      <c r="I10440">
        <v>1</v>
      </c>
      <c r="J10440">
        <v>1046</v>
      </c>
      <c r="K10440">
        <v>0</v>
      </c>
      <c r="L10440">
        <v>815.88</v>
      </c>
    </row>
    <row r="10441" spans="1:12" x14ac:dyDescent="0.25">
      <c r="A10441" t="str">
        <f t="shared" si="2276"/>
        <v>89301000</v>
      </c>
      <c r="B10441" t="str">
        <f t="shared" si="2277"/>
        <v>06539000</v>
      </c>
      <c r="C10441" t="str">
        <f t="shared" si="2273"/>
        <v>06539003</v>
      </c>
      <c r="D10441" t="str">
        <f t="shared" si="2274"/>
        <v>813</v>
      </c>
      <c r="E10441" t="str">
        <f t="shared" si="2278"/>
        <v>89301171</v>
      </c>
      <c r="F10441" t="str">
        <f t="shared" si="2269"/>
        <v>9255135791</v>
      </c>
      <c r="G10441" s="1">
        <v>44828</v>
      </c>
      <c r="H10441" t="str">
        <f t="shared" si="2279"/>
        <v>91197</v>
      </c>
      <c r="I10441">
        <v>1</v>
      </c>
      <c r="J10441">
        <v>1046</v>
      </c>
      <c r="K10441">
        <v>0</v>
      </c>
      <c r="L10441">
        <v>815.88</v>
      </c>
    </row>
    <row r="10442" spans="1:12" x14ac:dyDescent="0.25">
      <c r="A10442" t="str">
        <f t="shared" si="2276"/>
        <v>89301000</v>
      </c>
      <c r="B10442" t="str">
        <f t="shared" si="2277"/>
        <v>06539000</v>
      </c>
      <c r="C10442" t="str">
        <f t="shared" si="2273"/>
        <v>06539003</v>
      </c>
      <c r="D10442" t="str">
        <f t="shared" si="2274"/>
        <v>813</v>
      </c>
      <c r="E10442" t="str">
        <f t="shared" si="2278"/>
        <v>89301171</v>
      </c>
      <c r="F10442" t="str">
        <f t="shared" si="2269"/>
        <v>9255135791</v>
      </c>
      <c r="G10442" s="1">
        <v>44828</v>
      </c>
      <c r="H10442" t="str">
        <f t="shared" si="2279"/>
        <v>91197</v>
      </c>
      <c r="I10442">
        <v>1</v>
      </c>
      <c r="J10442">
        <v>1046</v>
      </c>
      <c r="K10442">
        <v>0</v>
      </c>
      <c r="L10442">
        <v>815.88</v>
      </c>
    </row>
    <row r="10443" spans="1:12" x14ac:dyDescent="0.25">
      <c r="A10443" t="str">
        <f t="shared" si="2276"/>
        <v>89301000</v>
      </c>
      <c r="B10443" t="str">
        <f t="shared" si="2277"/>
        <v>06539000</v>
      </c>
      <c r="C10443" t="str">
        <f t="shared" si="2273"/>
        <v>06539003</v>
      </c>
      <c r="D10443" t="str">
        <f t="shared" si="2274"/>
        <v>813</v>
      </c>
      <c r="E10443" t="str">
        <f t="shared" si="2278"/>
        <v>89301171</v>
      </c>
      <c r="F10443" t="str">
        <f t="shared" si="2269"/>
        <v>9255135791</v>
      </c>
      <c r="G10443" s="1">
        <v>44840</v>
      </c>
      <c r="H10443" t="str">
        <f>"91329"</f>
        <v>91329</v>
      </c>
      <c r="I10443">
        <v>2</v>
      </c>
      <c r="J10443">
        <v>428</v>
      </c>
      <c r="K10443">
        <v>0</v>
      </c>
      <c r="L10443">
        <v>333.84</v>
      </c>
    </row>
    <row r="10444" spans="1:12" x14ac:dyDescent="0.25">
      <c r="A10444" t="str">
        <f t="shared" si="2276"/>
        <v>89301000</v>
      </c>
      <c r="B10444" t="str">
        <f t="shared" si="2277"/>
        <v>06539000</v>
      </c>
      <c r="C10444" t="str">
        <f t="shared" si="2273"/>
        <v>06539003</v>
      </c>
      <c r="D10444" t="str">
        <f t="shared" si="2274"/>
        <v>813</v>
      </c>
      <c r="E10444" t="str">
        <f t="shared" si="2278"/>
        <v>89301171</v>
      </c>
      <c r="F10444" t="str">
        <f t="shared" si="2269"/>
        <v>9255135791</v>
      </c>
      <c r="G10444" s="1">
        <v>44840</v>
      </c>
      <c r="H10444" t="str">
        <f>"91329"</f>
        <v>91329</v>
      </c>
      <c r="I10444">
        <v>2</v>
      </c>
      <c r="J10444">
        <v>428</v>
      </c>
      <c r="K10444">
        <v>0</v>
      </c>
      <c r="L10444">
        <v>333.84</v>
      </c>
    </row>
    <row r="10445" spans="1:12" x14ac:dyDescent="0.25">
      <c r="A10445" t="str">
        <f t="shared" si="2276"/>
        <v>89301000</v>
      </c>
      <c r="B10445" t="str">
        <f t="shared" si="2277"/>
        <v>06539000</v>
      </c>
      <c r="C10445" t="str">
        <f t="shared" si="2273"/>
        <v>06539003</v>
      </c>
      <c r="D10445" t="str">
        <f t="shared" si="2274"/>
        <v>813</v>
      </c>
      <c r="E10445" t="str">
        <f t="shared" si="2278"/>
        <v>89301171</v>
      </c>
      <c r="F10445" t="str">
        <f t="shared" si="2269"/>
        <v>9255135791</v>
      </c>
      <c r="G10445" s="1">
        <v>44840</v>
      </c>
      <c r="H10445" t="str">
        <f>"91329"</f>
        <v>91329</v>
      </c>
      <c r="I10445">
        <v>2</v>
      </c>
      <c r="J10445">
        <v>428</v>
      </c>
      <c r="K10445">
        <v>0</v>
      </c>
      <c r="L10445">
        <v>333.84</v>
      </c>
    </row>
    <row r="10446" spans="1:12" x14ac:dyDescent="0.25">
      <c r="A10446" t="str">
        <f t="shared" si="2276"/>
        <v>89301000</v>
      </c>
      <c r="B10446" t="str">
        <f t="shared" si="2277"/>
        <v>06539000</v>
      </c>
      <c r="C10446" t="str">
        <f t="shared" si="2273"/>
        <v>06539003</v>
      </c>
      <c r="D10446" t="str">
        <f t="shared" si="2274"/>
        <v>813</v>
      </c>
      <c r="E10446" t="str">
        <f t="shared" si="2278"/>
        <v>89301171</v>
      </c>
      <c r="F10446" t="str">
        <f t="shared" si="2269"/>
        <v>9255135791</v>
      </c>
      <c r="G10446" s="1">
        <v>44840</v>
      </c>
      <c r="H10446" t="str">
        <f>"91329"</f>
        <v>91329</v>
      </c>
      <c r="I10446">
        <v>2</v>
      </c>
      <c r="J10446">
        <v>428</v>
      </c>
      <c r="K10446">
        <v>0</v>
      </c>
      <c r="L10446">
        <v>333.84</v>
      </c>
    </row>
    <row r="10447" spans="1:12" x14ac:dyDescent="0.25">
      <c r="A10447" t="str">
        <f t="shared" si="2276"/>
        <v>89301000</v>
      </c>
      <c r="B10447" t="str">
        <f t="shared" si="2277"/>
        <v>06539000</v>
      </c>
      <c r="C10447" t="str">
        <f t="shared" si="2273"/>
        <v>06539003</v>
      </c>
      <c r="D10447" t="str">
        <f t="shared" si="2274"/>
        <v>813</v>
      </c>
      <c r="E10447" t="str">
        <f t="shared" si="2278"/>
        <v>89301171</v>
      </c>
      <c r="F10447" t="str">
        <f t="shared" si="2269"/>
        <v>9255135791</v>
      </c>
      <c r="G10447" s="1">
        <v>44827</v>
      </c>
      <c r="H10447" t="str">
        <f>"91129"</f>
        <v>91129</v>
      </c>
      <c r="I10447">
        <v>1</v>
      </c>
      <c r="J10447">
        <v>174</v>
      </c>
      <c r="K10447">
        <v>0</v>
      </c>
      <c r="L10447">
        <v>135.72</v>
      </c>
    </row>
    <row r="10448" spans="1:12" x14ac:dyDescent="0.25">
      <c r="A10448" t="str">
        <f t="shared" si="2276"/>
        <v>89301000</v>
      </c>
      <c r="B10448" t="str">
        <f t="shared" si="2277"/>
        <v>06539000</v>
      </c>
      <c r="C10448" t="str">
        <f t="shared" si="2273"/>
        <v>06539003</v>
      </c>
      <c r="D10448" t="str">
        <f t="shared" si="2274"/>
        <v>813</v>
      </c>
      <c r="E10448" t="str">
        <f t="shared" si="2278"/>
        <v>89301171</v>
      </c>
      <c r="F10448" t="str">
        <f t="shared" si="2269"/>
        <v>9255135791</v>
      </c>
      <c r="G10448" s="1">
        <v>44827</v>
      </c>
      <c r="H10448" t="str">
        <f>"91131"</f>
        <v>91131</v>
      </c>
      <c r="I10448">
        <v>1</v>
      </c>
      <c r="J10448">
        <v>171</v>
      </c>
      <c r="K10448">
        <v>0</v>
      </c>
      <c r="L10448">
        <v>133.38</v>
      </c>
    </row>
    <row r="10449" spans="1:12" x14ac:dyDescent="0.25">
      <c r="A10449" t="str">
        <f t="shared" si="2276"/>
        <v>89301000</v>
      </c>
      <c r="B10449" t="str">
        <f t="shared" si="2277"/>
        <v>06539000</v>
      </c>
      <c r="C10449" t="str">
        <f t="shared" si="2273"/>
        <v>06539003</v>
      </c>
      <c r="D10449" t="str">
        <f t="shared" si="2274"/>
        <v>813</v>
      </c>
      <c r="E10449" t="str">
        <f t="shared" si="2278"/>
        <v>89301171</v>
      </c>
      <c r="F10449" t="str">
        <f t="shared" si="2269"/>
        <v>9255135791</v>
      </c>
      <c r="G10449" s="1">
        <v>44827</v>
      </c>
      <c r="H10449" t="str">
        <f>"91133"</f>
        <v>91133</v>
      </c>
      <c r="I10449">
        <v>1</v>
      </c>
      <c r="J10449">
        <v>176</v>
      </c>
      <c r="K10449">
        <v>0</v>
      </c>
      <c r="L10449">
        <v>137.28</v>
      </c>
    </row>
    <row r="10450" spans="1:12" x14ac:dyDescent="0.25">
      <c r="A10450" t="str">
        <f t="shared" si="2276"/>
        <v>89301000</v>
      </c>
      <c r="B10450" t="str">
        <f t="shared" si="2277"/>
        <v>06539000</v>
      </c>
      <c r="C10450" t="str">
        <f t="shared" si="2273"/>
        <v>06539003</v>
      </c>
      <c r="D10450" t="str">
        <f t="shared" si="2274"/>
        <v>813</v>
      </c>
      <c r="E10450" t="str">
        <f t="shared" si="2278"/>
        <v>89301171</v>
      </c>
      <c r="F10450" t="str">
        <f t="shared" si="2269"/>
        <v>9255135791</v>
      </c>
      <c r="G10450" s="1">
        <v>44827</v>
      </c>
      <c r="H10450" t="str">
        <f>"91171"</f>
        <v>91171</v>
      </c>
      <c r="I10450">
        <v>1</v>
      </c>
      <c r="J10450">
        <v>360</v>
      </c>
      <c r="K10450">
        <v>0</v>
      </c>
      <c r="L10450">
        <v>280.8</v>
      </c>
    </row>
    <row r="10451" spans="1:12" x14ac:dyDescent="0.25">
      <c r="A10451" t="str">
        <f t="shared" si="2276"/>
        <v>89301000</v>
      </c>
      <c r="B10451" t="str">
        <f t="shared" si="2277"/>
        <v>06539000</v>
      </c>
      <c r="C10451" t="str">
        <f t="shared" si="2273"/>
        <v>06539003</v>
      </c>
      <c r="D10451" t="str">
        <f t="shared" si="2274"/>
        <v>813</v>
      </c>
      <c r="E10451" t="str">
        <f t="shared" si="2278"/>
        <v>89301171</v>
      </c>
      <c r="F10451" t="str">
        <f t="shared" si="2269"/>
        <v>9255135791</v>
      </c>
      <c r="G10451" s="1">
        <v>44827</v>
      </c>
      <c r="H10451" t="str">
        <f>"91173"</f>
        <v>91173</v>
      </c>
      <c r="I10451">
        <v>1</v>
      </c>
      <c r="J10451">
        <v>335</v>
      </c>
      <c r="K10451">
        <v>0</v>
      </c>
      <c r="L10451">
        <v>261.3</v>
      </c>
    </row>
    <row r="10452" spans="1:12" x14ac:dyDescent="0.25">
      <c r="A10452" t="str">
        <f t="shared" si="2276"/>
        <v>89301000</v>
      </c>
      <c r="B10452" t="str">
        <f t="shared" si="2277"/>
        <v>06539000</v>
      </c>
      <c r="C10452" t="str">
        <f t="shared" si="2273"/>
        <v>06539003</v>
      </c>
      <c r="D10452" t="str">
        <f t="shared" si="2274"/>
        <v>813</v>
      </c>
      <c r="E10452" t="str">
        <f t="shared" si="2278"/>
        <v>89301171</v>
      </c>
      <c r="F10452" t="str">
        <f t="shared" si="2269"/>
        <v>9255135791</v>
      </c>
      <c r="G10452" s="1">
        <v>44827</v>
      </c>
      <c r="H10452" t="str">
        <f>"91175"</f>
        <v>91175</v>
      </c>
      <c r="I10452">
        <v>1</v>
      </c>
      <c r="J10452">
        <v>360</v>
      </c>
      <c r="K10452">
        <v>0</v>
      </c>
      <c r="L10452">
        <v>280.8</v>
      </c>
    </row>
    <row r="10453" spans="1:12" x14ac:dyDescent="0.25">
      <c r="A10453" t="str">
        <f t="shared" si="2276"/>
        <v>89301000</v>
      </c>
      <c r="B10453" t="str">
        <f t="shared" si="2277"/>
        <v>06539000</v>
      </c>
      <c r="C10453" t="str">
        <f t="shared" si="2273"/>
        <v>06539003</v>
      </c>
      <c r="D10453" t="str">
        <f t="shared" si="2274"/>
        <v>813</v>
      </c>
      <c r="E10453" t="str">
        <f t="shared" si="2278"/>
        <v>89301171</v>
      </c>
      <c r="F10453" t="str">
        <f t="shared" si="2269"/>
        <v>9255135791</v>
      </c>
      <c r="G10453" s="1">
        <v>44828</v>
      </c>
      <c r="H10453" t="str">
        <f>"91167"</f>
        <v>91167</v>
      </c>
      <c r="I10453">
        <v>1</v>
      </c>
      <c r="J10453">
        <v>425</v>
      </c>
      <c r="K10453">
        <v>0</v>
      </c>
      <c r="L10453">
        <v>331.5</v>
      </c>
    </row>
    <row r="10454" spans="1:12" x14ac:dyDescent="0.25">
      <c r="A10454" t="str">
        <f t="shared" si="2276"/>
        <v>89301000</v>
      </c>
      <c r="B10454" t="str">
        <f t="shared" si="2277"/>
        <v>06539000</v>
      </c>
      <c r="C10454" t="str">
        <f t="shared" si="2273"/>
        <v>06539003</v>
      </c>
      <c r="D10454" t="str">
        <f t="shared" si="2274"/>
        <v>813</v>
      </c>
      <c r="E10454" t="str">
        <f t="shared" si="2278"/>
        <v>89301171</v>
      </c>
      <c r="F10454" t="str">
        <f t="shared" si="2269"/>
        <v>9255135791</v>
      </c>
      <c r="G10454" s="1">
        <v>44828</v>
      </c>
      <c r="H10454" t="str">
        <f>"91169"</f>
        <v>91169</v>
      </c>
      <c r="I10454">
        <v>1</v>
      </c>
      <c r="J10454">
        <v>425</v>
      </c>
      <c r="K10454">
        <v>0</v>
      </c>
      <c r="L10454">
        <v>331.5</v>
      </c>
    </row>
    <row r="10455" spans="1:12" x14ac:dyDescent="0.25">
      <c r="A10455" t="str">
        <f t="shared" si="2276"/>
        <v>89301000</v>
      </c>
      <c r="B10455" t="str">
        <f t="shared" si="2277"/>
        <v>06539000</v>
      </c>
      <c r="C10455" t="str">
        <f t="shared" si="2273"/>
        <v>06539003</v>
      </c>
      <c r="D10455" t="str">
        <f t="shared" si="2274"/>
        <v>813</v>
      </c>
      <c r="E10455" t="str">
        <f t="shared" si="2278"/>
        <v>89301171</v>
      </c>
      <c r="F10455" t="str">
        <f t="shared" si="2269"/>
        <v>9255135791</v>
      </c>
      <c r="G10455" s="1">
        <v>44827</v>
      </c>
      <c r="H10455" t="str">
        <f>"91167"</f>
        <v>91167</v>
      </c>
      <c r="I10455">
        <v>1</v>
      </c>
      <c r="J10455">
        <v>425</v>
      </c>
      <c r="K10455">
        <v>0</v>
      </c>
      <c r="L10455">
        <v>331.5</v>
      </c>
    </row>
    <row r="10456" spans="1:12" x14ac:dyDescent="0.25">
      <c r="A10456" t="str">
        <f t="shared" si="2276"/>
        <v>89301000</v>
      </c>
      <c r="B10456" t="str">
        <f t="shared" si="2277"/>
        <v>06539000</v>
      </c>
      <c r="C10456" t="str">
        <f t="shared" si="2273"/>
        <v>06539003</v>
      </c>
      <c r="D10456" t="str">
        <f t="shared" si="2274"/>
        <v>813</v>
      </c>
      <c r="E10456" t="str">
        <f t="shared" si="2278"/>
        <v>89301171</v>
      </c>
      <c r="F10456" t="str">
        <f t="shared" si="2269"/>
        <v>9255135791</v>
      </c>
      <c r="G10456" s="1">
        <v>44827</v>
      </c>
      <c r="H10456" t="str">
        <f>"91169"</f>
        <v>91169</v>
      </c>
      <c r="I10456">
        <v>1</v>
      </c>
      <c r="J10456">
        <v>425</v>
      </c>
      <c r="K10456">
        <v>0</v>
      </c>
      <c r="L10456">
        <v>331.5</v>
      </c>
    </row>
    <row r="10457" spans="1:12" x14ac:dyDescent="0.25">
      <c r="A10457" t="str">
        <f t="shared" si="2276"/>
        <v>89301000</v>
      </c>
      <c r="B10457" t="str">
        <f t="shared" si="2277"/>
        <v>06539000</v>
      </c>
      <c r="C10457" t="str">
        <f t="shared" si="2273"/>
        <v>06539003</v>
      </c>
      <c r="D10457" t="str">
        <f t="shared" si="2274"/>
        <v>813</v>
      </c>
      <c r="E10457" t="str">
        <f t="shared" si="2278"/>
        <v>89301171</v>
      </c>
      <c r="F10457" t="str">
        <f t="shared" si="2269"/>
        <v>9255135791</v>
      </c>
      <c r="G10457" s="1">
        <v>44827</v>
      </c>
      <c r="H10457" t="str">
        <f>"91475"</f>
        <v>91475</v>
      </c>
      <c r="I10457">
        <v>1</v>
      </c>
      <c r="J10457">
        <v>206</v>
      </c>
      <c r="K10457">
        <v>0</v>
      </c>
      <c r="L10457">
        <v>160.68</v>
      </c>
    </row>
    <row r="10458" spans="1:12" x14ac:dyDescent="0.25">
      <c r="A10458" t="str">
        <f t="shared" si="2276"/>
        <v>89301000</v>
      </c>
      <c r="B10458" t="str">
        <f t="shared" si="2277"/>
        <v>06539000</v>
      </c>
      <c r="C10458" t="str">
        <f t="shared" ref="C10458:C10475" si="2280">"06539003"</f>
        <v>06539003</v>
      </c>
      <c r="D10458" t="str">
        <f t="shared" ref="D10458:D10475" si="2281">"813"</f>
        <v>813</v>
      </c>
      <c r="E10458" t="str">
        <f t="shared" si="2278"/>
        <v>89301171</v>
      </c>
      <c r="F10458" t="str">
        <f t="shared" ref="F10458:F10475" si="2282">"8111105772"</f>
        <v>8111105772</v>
      </c>
      <c r="G10458" s="1">
        <v>44833</v>
      </c>
      <c r="H10458" t="str">
        <f t="shared" ref="H10458:H10467" si="2283">"91413"</f>
        <v>91413</v>
      </c>
      <c r="I10458">
        <v>1</v>
      </c>
      <c r="J10458">
        <v>853</v>
      </c>
      <c r="K10458">
        <v>0</v>
      </c>
      <c r="L10458">
        <v>665.34</v>
      </c>
    </row>
    <row r="10459" spans="1:12" x14ac:dyDescent="0.25">
      <c r="A10459" t="str">
        <f t="shared" si="2276"/>
        <v>89301000</v>
      </c>
      <c r="B10459" t="str">
        <f t="shared" si="2277"/>
        <v>06539000</v>
      </c>
      <c r="C10459" t="str">
        <f t="shared" si="2280"/>
        <v>06539003</v>
      </c>
      <c r="D10459" t="str">
        <f t="shared" si="2281"/>
        <v>813</v>
      </c>
      <c r="E10459" t="str">
        <f t="shared" si="2278"/>
        <v>89301171</v>
      </c>
      <c r="F10459" t="str">
        <f t="shared" si="2282"/>
        <v>8111105772</v>
      </c>
      <c r="G10459" s="1">
        <v>44833</v>
      </c>
      <c r="H10459" t="str">
        <f t="shared" si="2283"/>
        <v>91413</v>
      </c>
      <c r="I10459">
        <v>1</v>
      </c>
      <c r="J10459">
        <v>853</v>
      </c>
      <c r="K10459">
        <v>0</v>
      </c>
      <c r="L10459">
        <v>665.34</v>
      </c>
    </row>
    <row r="10460" spans="1:12" x14ac:dyDescent="0.25">
      <c r="A10460" t="str">
        <f t="shared" si="2276"/>
        <v>89301000</v>
      </c>
      <c r="B10460" t="str">
        <f t="shared" si="2277"/>
        <v>06539000</v>
      </c>
      <c r="C10460" t="str">
        <f t="shared" si="2280"/>
        <v>06539003</v>
      </c>
      <c r="D10460" t="str">
        <f t="shared" si="2281"/>
        <v>813</v>
      </c>
      <c r="E10460" t="str">
        <f t="shared" si="2278"/>
        <v>89301171</v>
      </c>
      <c r="F10460" t="str">
        <f t="shared" si="2282"/>
        <v>8111105772</v>
      </c>
      <c r="G10460" s="1">
        <v>44840</v>
      </c>
      <c r="H10460" t="str">
        <f t="shared" si="2283"/>
        <v>91413</v>
      </c>
      <c r="I10460">
        <v>1</v>
      </c>
      <c r="J10460">
        <v>853</v>
      </c>
      <c r="K10460">
        <v>0</v>
      </c>
      <c r="L10460">
        <v>665.34</v>
      </c>
    </row>
    <row r="10461" spans="1:12" x14ac:dyDescent="0.25">
      <c r="A10461" t="str">
        <f t="shared" si="2276"/>
        <v>89301000</v>
      </c>
      <c r="B10461" t="str">
        <f t="shared" si="2277"/>
        <v>06539000</v>
      </c>
      <c r="C10461" t="str">
        <f t="shared" si="2280"/>
        <v>06539003</v>
      </c>
      <c r="D10461" t="str">
        <f t="shared" si="2281"/>
        <v>813</v>
      </c>
      <c r="E10461" t="str">
        <f t="shared" si="2278"/>
        <v>89301171</v>
      </c>
      <c r="F10461" t="str">
        <f t="shared" si="2282"/>
        <v>8111105772</v>
      </c>
      <c r="G10461" s="1">
        <v>44840</v>
      </c>
      <c r="H10461" t="str">
        <f t="shared" si="2283"/>
        <v>91413</v>
      </c>
      <c r="I10461">
        <v>1</v>
      </c>
      <c r="J10461">
        <v>853</v>
      </c>
      <c r="K10461">
        <v>0</v>
      </c>
      <c r="L10461">
        <v>665.34</v>
      </c>
    </row>
    <row r="10462" spans="1:12" x14ac:dyDescent="0.25">
      <c r="A10462" t="str">
        <f t="shared" si="2276"/>
        <v>89301000</v>
      </c>
      <c r="B10462" t="str">
        <f t="shared" si="2277"/>
        <v>06539000</v>
      </c>
      <c r="C10462" t="str">
        <f t="shared" si="2280"/>
        <v>06539003</v>
      </c>
      <c r="D10462" t="str">
        <f t="shared" si="2281"/>
        <v>813</v>
      </c>
      <c r="E10462" t="str">
        <f t="shared" si="2278"/>
        <v>89301171</v>
      </c>
      <c r="F10462" t="str">
        <f t="shared" si="2282"/>
        <v>8111105772</v>
      </c>
      <c r="G10462" s="1">
        <v>44840</v>
      </c>
      <c r="H10462" t="str">
        <f t="shared" si="2283"/>
        <v>91413</v>
      </c>
      <c r="I10462">
        <v>1</v>
      </c>
      <c r="J10462">
        <v>853</v>
      </c>
      <c r="K10462">
        <v>0</v>
      </c>
      <c r="L10462">
        <v>665.34</v>
      </c>
    </row>
    <row r="10463" spans="1:12" x14ac:dyDescent="0.25">
      <c r="A10463" t="str">
        <f t="shared" si="2276"/>
        <v>89301000</v>
      </c>
      <c r="B10463" t="str">
        <f t="shared" si="2277"/>
        <v>06539000</v>
      </c>
      <c r="C10463" t="str">
        <f t="shared" si="2280"/>
        <v>06539003</v>
      </c>
      <c r="D10463" t="str">
        <f t="shared" si="2281"/>
        <v>813</v>
      </c>
      <c r="E10463" t="str">
        <f t="shared" si="2278"/>
        <v>89301171</v>
      </c>
      <c r="F10463" t="str">
        <f t="shared" si="2282"/>
        <v>8111105772</v>
      </c>
      <c r="G10463" s="1">
        <v>44840</v>
      </c>
      <c r="H10463" t="str">
        <f t="shared" si="2283"/>
        <v>91413</v>
      </c>
      <c r="I10463">
        <v>1</v>
      </c>
      <c r="J10463">
        <v>853</v>
      </c>
      <c r="K10463">
        <v>0</v>
      </c>
      <c r="L10463">
        <v>665.34</v>
      </c>
    </row>
    <row r="10464" spans="1:12" x14ac:dyDescent="0.25">
      <c r="A10464" t="str">
        <f t="shared" si="2276"/>
        <v>89301000</v>
      </c>
      <c r="B10464" t="str">
        <f t="shared" si="2277"/>
        <v>06539000</v>
      </c>
      <c r="C10464" t="str">
        <f t="shared" si="2280"/>
        <v>06539003</v>
      </c>
      <c r="D10464" t="str">
        <f t="shared" si="2281"/>
        <v>813</v>
      </c>
      <c r="E10464" t="str">
        <f t="shared" si="2278"/>
        <v>89301171</v>
      </c>
      <c r="F10464" t="str">
        <f t="shared" si="2282"/>
        <v>8111105772</v>
      </c>
      <c r="G10464" s="1">
        <v>44840</v>
      </c>
      <c r="H10464" t="str">
        <f t="shared" si="2283"/>
        <v>91413</v>
      </c>
      <c r="I10464">
        <v>1</v>
      </c>
      <c r="J10464">
        <v>853</v>
      </c>
      <c r="K10464">
        <v>0</v>
      </c>
      <c r="L10464">
        <v>665.34</v>
      </c>
    </row>
    <row r="10465" spans="1:12" x14ac:dyDescent="0.25">
      <c r="A10465" t="str">
        <f t="shared" si="2276"/>
        <v>89301000</v>
      </c>
      <c r="B10465" t="str">
        <f t="shared" si="2277"/>
        <v>06539000</v>
      </c>
      <c r="C10465" t="str">
        <f t="shared" si="2280"/>
        <v>06539003</v>
      </c>
      <c r="D10465" t="str">
        <f t="shared" si="2281"/>
        <v>813</v>
      </c>
      <c r="E10465" t="str">
        <f t="shared" si="2278"/>
        <v>89301171</v>
      </c>
      <c r="F10465" t="str">
        <f t="shared" si="2282"/>
        <v>8111105772</v>
      </c>
      <c r="G10465" s="1">
        <v>44840</v>
      </c>
      <c r="H10465" t="str">
        <f t="shared" si="2283"/>
        <v>91413</v>
      </c>
      <c r="I10465">
        <v>1</v>
      </c>
      <c r="J10465">
        <v>853</v>
      </c>
      <c r="K10465">
        <v>0</v>
      </c>
      <c r="L10465">
        <v>665.34</v>
      </c>
    </row>
    <row r="10466" spans="1:12" x14ac:dyDescent="0.25">
      <c r="A10466" t="str">
        <f t="shared" si="2276"/>
        <v>89301000</v>
      </c>
      <c r="B10466" t="str">
        <f t="shared" ref="B10466:B10497" si="2284">"06539000"</f>
        <v>06539000</v>
      </c>
      <c r="C10466" t="str">
        <f t="shared" si="2280"/>
        <v>06539003</v>
      </c>
      <c r="D10466" t="str">
        <f t="shared" si="2281"/>
        <v>813</v>
      </c>
      <c r="E10466" t="str">
        <f t="shared" ref="E10466:E10497" si="2285">"89301171"</f>
        <v>89301171</v>
      </c>
      <c r="F10466" t="str">
        <f t="shared" si="2282"/>
        <v>8111105772</v>
      </c>
      <c r="G10466" s="1">
        <v>44840</v>
      </c>
      <c r="H10466" t="str">
        <f t="shared" si="2283"/>
        <v>91413</v>
      </c>
      <c r="I10466">
        <v>1</v>
      </c>
      <c r="J10466">
        <v>853</v>
      </c>
      <c r="K10466">
        <v>0</v>
      </c>
      <c r="L10466">
        <v>665.34</v>
      </c>
    </row>
    <row r="10467" spans="1:12" x14ac:dyDescent="0.25">
      <c r="A10467" t="str">
        <f t="shared" si="2276"/>
        <v>89301000</v>
      </c>
      <c r="B10467" t="str">
        <f t="shared" si="2284"/>
        <v>06539000</v>
      </c>
      <c r="C10467" t="str">
        <f t="shared" si="2280"/>
        <v>06539003</v>
      </c>
      <c r="D10467" t="str">
        <f t="shared" si="2281"/>
        <v>813</v>
      </c>
      <c r="E10467" t="str">
        <f t="shared" si="2285"/>
        <v>89301171</v>
      </c>
      <c r="F10467" t="str">
        <f t="shared" si="2282"/>
        <v>8111105772</v>
      </c>
      <c r="G10467" s="1">
        <v>44840</v>
      </c>
      <c r="H10467" t="str">
        <f t="shared" si="2283"/>
        <v>91413</v>
      </c>
      <c r="I10467">
        <v>1</v>
      </c>
      <c r="J10467">
        <v>853</v>
      </c>
      <c r="K10467">
        <v>0</v>
      </c>
      <c r="L10467">
        <v>665.34</v>
      </c>
    </row>
    <row r="10468" spans="1:12" x14ac:dyDescent="0.25">
      <c r="A10468" t="str">
        <f t="shared" si="2276"/>
        <v>89301000</v>
      </c>
      <c r="B10468" t="str">
        <f t="shared" si="2284"/>
        <v>06539000</v>
      </c>
      <c r="C10468" t="str">
        <f t="shared" si="2280"/>
        <v>06539003</v>
      </c>
      <c r="D10468" t="str">
        <f t="shared" si="2281"/>
        <v>813</v>
      </c>
      <c r="E10468" t="str">
        <f t="shared" si="2285"/>
        <v>89301171</v>
      </c>
      <c r="F10468" t="str">
        <f t="shared" si="2282"/>
        <v>8111105772</v>
      </c>
      <c r="G10468" s="1">
        <v>44830</v>
      </c>
      <c r="H10468" t="str">
        <f>"91197"</f>
        <v>91197</v>
      </c>
      <c r="I10468">
        <v>1</v>
      </c>
      <c r="J10468">
        <v>1046</v>
      </c>
      <c r="K10468">
        <v>0</v>
      </c>
      <c r="L10468">
        <v>815.88</v>
      </c>
    </row>
    <row r="10469" spans="1:12" x14ac:dyDescent="0.25">
      <c r="A10469" t="str">
        <f t="shared" si="2276"/>
        <v>89301000</v>
      </c>
      <c r="B10469" t="str">
        <f t="shared" si="2284"/>
        <v>06539000</v>
      </c>
      <c r="C10469" t="str">
        <f t="shared" si="2280"/>
        <v>06539003</v>
      </c>
      <c r="D10469" t="str">
        <f t="shared" si="2281"/>
        <v>813</v>
      </c>
      <c r="E10469" t="str">
        <f t="shared" si="2285"/>
        <v>89301171</v>
      </c>
      <c r="F10469" t="str">
        <f t="shared" si="2282"/>
        <v>8111105772</v>
      </c>
      <c r="G10469" s="1">
        <v>44830</v>
      </c>
      <c r="H10469" t="str">
        <f>"91197"</f>
        <v>91197</v>
      </c>
      <c r="I10469">
        <v>1</v>
      </c>
      <c r="J10469">
        <v>1046</v>
      </c>
      <c r="K10469">
        <v>0</v>
      </c>
      <c r="L10469">
        <v>815.88</v>
      </c>
    </row>
    <row r="10470" spans="1:12" x14ac:dyDescent="0.25">
      <c r="A10470" t="str">
        <f t="shared" si="2276"/>
        <v>89301000</v>
      </c>
      <c r="B10470" t="str">
        <f t="shared" si="2284"/>
        <v>06539000</v>
      </c>
      <c r="C10470" t="str">
        <f t="shared" si="2280"/>
        <v>06539003</v>
      </c>
      <c r="D10470" t="str">
        <f t="shared" si="2281"/>
        <v>813</v>
      </c>
      <c r="E10470" t="str">
        <f t="shared" si="2285"/>
        <v>89301171</v>
      </c>
      <c r="F10470" t="str">
        <f t="shared" si="2282"/>
        <v>8111105772</v>
      </c>
      <c r="G10470" s="1">
        <v>44829</v>
      </c>
      <c r="H10470" t="str">
        <f>"91197"</f>
        <v>91197</v>
      </c>
      <c r="I10470">
        <v>1</v>
      </c>
      <c r="J10470">
        <v>1046</v>
      </c>
      <c r="K10470">
        <v>0</v>
      </c>
      <c r="L10470">
        <v>815.88</v>
      </c>
    </row>
    <row r="10471" spans="1:12" x14ac:dyDescent="0.25">
      <c r="A10471" t="str">
        <f t="shared" si="2276"/>
        <v>89301000</v>
      </c>
      <c r="B10471" t="str">
        <f t="shared" si="2284"/>
        <v>06539000</v>
      </c>
      <c r="C10471" t="str">
        <f t="shared" si="2280"/>
        <v>06539003</v>
      </c>
      <c r="D10471" t="str">
        <f t="shared" si="2281"/>
        <v>813</v>
      </c>
      <c r="E10471" t="str">
        <f t="shared" si="2285"/>
        <v>89301171</v>
      </c>
      <c r="F10471" t="str">
        <f t="shared" si="2282"/>
        <v>8111105772</v>
      </c>
      <c r="G10471" s="1">
        <v>44829</v>
      </c>
      <c r="H10471" t="str">
        <f>"91197"</f>
        <v>91197</v>
      </c>
      <c r="I10471">
        <v>1</v>
      </c>
      <c r="J10471">
        <v>1046</v>
      </c>
      <c r="K10471">
        <v>0</v>
      </c>
      <c r="L10471">
        <v>815.88</v>
      </c>
    </row>
    <row r="10472" spans="1:12" x14ac:dyDescent="0.25">
      <c r="A10472" t="str">
        <f t="shared" si="2276"/>
        <v>89301000</v>
      </c>
      <c r="B10472" t="str">
        <f t="shared" si="2284"/>
        <v>06539000</v>
      </c>
      <c r="C10472" t="str">
        <f t="shared" si="2280"/>
        <v>06539003</v>
      </c>
      <c r="D10472" t="str">
        <f t="shared" si="2281"/>
        <v>813</v>
      </c>
      <c r="E10472" t="str">
        <f t="shared" si="2285"/>
        <v>89301171</v>
      </c>
      <c r="F10472" t="str">
        <f t="shared" si="2282"/>
        <v>8111105772</v>
      </c>
      <c r="G10472" s="1">
        <v>44832</v>
      </c>
      <c r="H10472" t="str">
        <f>"91329"</f>
        <v>91329</v>
      </c>
      <c r="I10472">
        <v>2</v>
      </c>
      <c r="J10472">
        <v>428</v>
      </c>
      <c r="K10472">
        <v>0</v>
      </c>
      <c r="L10472">
        <v>333.84</v>
      </c>
    </row>
    <row r="10473" spans="1:12" x14ac:dyDescent="0.25">
      <c r="A10473" t="str">
        <f t="shared" si="2276"/>
        <v>89301000</v>
      </c>
      <c r="B10473" t="str">
        <f t="shared" si="2284"/>
        <v>06539000</v>
      </c>
      <c r="C10473" t="str">
        <f t="shared" si="2280"/>
        <v>06539003</v>
      </c>
      <c r="D10473" t="str">
        <f t="shared" si="2281"/>
        <v>813</v>
      </c>
      <c r="E10473" t="str">
        <f t="shared" si="2285"/>
        <v>89301171</v>
      </c>
      <c r="F10473" t="str">
        <f t="shared" si="2282"/>
        <v>8111105772</v>
      </c>
      <c r="G10473" s="1">
        <v>44832</v>
      </c>
      <c r="H10473" t="str">
        <f>"91329"</f>
        <v>91329</v>
      </c>
      <c r="I10473">
        <v>2</v>
      </c>
      <c r="J10473">
        <v>428</v>
      </c>
      <c r="K10473">
        <v>0</v>
      </c>
      <c r="L10473">
        <v>333.84</v>
      </c>
    </row>
    <row r="10474" spans="1:12" x14ac:dyDescent="0.25">
      <c r="A10474" t="str">
        <f t="shared" si="2276"/>
        <v>89301000</v>
      </c>
      <c r="B10474" t="str">
        <f t="shared" si="2284"/>
        <v>06539000</v>
      </c>
      <c r="C10474" t="str">
        <f t="shared" si="2280"/>
        <v>06539003</v>
      </c>
      <c r="D10474" t="str">
        <f t="shared" si="2281"/>
        <v>813</v>
      </c>
      <c r="E10474" t="str">
        <f t="shared" si="2285"/>
        <v>89301171</v>
      </c>
      <c r="F10474" t="str">
        <f t="shared" si="2282"/>
        <v>8111105772</v>
      </c>
      <c r="G10474" s="1">
        <v>44832</v>
      </c>
      <c r="H10474" t="str">
        <f>"91329"</f>
        <v>91329</v>
      </c>
      <c r="I10474">
        <v>2</v>
      </c>
      <c r="J10474">
        <v>428</v>
      </c>
      <c r="K10474">
        <v>0</v>
      </c>
      <c r="L10474">
        <v>333.84</v>
      </c>
    </row>
    <row r="10475" spans="1:12" x14ac:dyDescent="0.25">
      <c r="A10475" t="str">
        <f t="shared" si="2276"/>
        <v>89301000</v>
      </c>
      <c r="B10475" t="str">
        <f t="shared" si="2284"/>
        <v>06539000</v>
      </c>
      <c r="C10475" t="str">
        <f t="shared" si="2280"/>
        <v>06539003</v>
      </c>
      <c r="D10475" t="str">
        <f t="shared" si="2281"/>
        <v>813</v>
      </c>
      <c r="E10475" t="str">
        <f t="shared" si="2285"/>
        <v>89301171</v>
      </c>
      <c r="F10475" t="str">
        <f t="shared" si="2282"/>
        <v>8111105772</v>
      </c>
      <c r="G10475" s="1">
        <v>44832</v>
      </c>
      <c r="H10475" t="str">
        <f>"91329"</f>
        <v>91329</v>
      </c>
      <c r="I10475">
        <v>2</v>
      </c>
      <c r="J10475">
        <v>428</v>
      </c>
      <c r="K10475">
        <v>0</v>
      </c>
      <c r="L10475">
        <v>333.84</v>
      </c>
    </row>
    <row r="10476" spans="1:12" x14ac:dyDescent="0.25">
      <c r="A10476" t="str">
        <f t="shared" si="2276"/>
        <v>89301000</v>
      </c>
      <c r="B10476" t="str">
        <f t="shared" si="2284"/>
        <v>06539000</v>
      </c>
      <c r="C10476" t="str">
        <f>"06539001"</f>
        <v>06539001</v>
      </c>
      <c r="D10476" t="str">
        <f>"801"</f>
        <v>801</v>
      </c>
      <c r="E10476" t="str">
        <f t="shared" si="2285"/>
        <v>89301171</v>
      </c>
      <c r="F10476" t="str">
        <f t="shared" ref="F10476:F10517" si="2286">"8607265788"</f>
        <v>8607265788</v>
      </c>
      <c r="G10476" s="1">
        <v>44834</v>
      </c>
      <c r="H10476" t="str">
        <f>"81329"</f>
        <v>81329</v>
      </c>
      <c r="I10476">
        <v>1</v>
      </c>
      <c r="J10476">
        <v>16</v>
      </c>
      <c r="K10476">
        <v>0</v>
      </c>
      <c r="L10476">
        <v>12.48</v>
      </c>
    </row>
    <row r="10477" spans="1:12" x14ac:dyDescent="0.25">
      <c r="A10477" t="str">
        <f t="shared" si="2276"/>
        <v>89301000</v>
      </c>
      <c r="B10477" t="str">
        <f t="shared" si="2284"/>
        <v>06539000</v>
      </c>
      <c r="C10477" t="str">
        <f>"06539001"</f>
        <v>06539001</v>
      </c>
      <c r="D10477" t="str">
        <f>"801"</f>
        <v>801</v>
      </c>
      <c r="E10477" t="str">
        <f t="shared" si="2285"/>
        <v>89301171</v>
      </c>
      <c r="F10477" t="str">
        <f t="shared" si="2286"/>
        <v>8607265788</v>
      </c>
      <c r="G10477" s="1">
        <v>44834</v>
      </c>
      <c r="H10477" t="str">
        <f>"81331"</f>
        <v>81331</v>
      </c>
      <c r="I10477">
        <v>1</v>
      </c>
      <c r="J10477">
        <v>193</v>
      </c>
      <c r="K10477">
        <v>0</v>
      </c>
      <c r="L10477">
        <v>150.54</v>
      </c>
    </row>
    <row r="10478" spans="1:12" x14ac:dyDescent="0.25">
      <c r="A10478" t="str">
        <f t="shared" si="2276"/>
        <v>89301000</v>
      </c>
      <c r="B10478" t="str">
        <f t="shared" si="2284"/>
        <v>06539000</v>
      </c>
      <c r="C10478" t="str">
        <f t="shared" ref="C10478:C10485" si="2287">"06539002"</f>
        <v>06539002</v>
      </c>
      <c r="D10478" t="str">
        <f t="shared" ref="D10478:D10485" si="2288">"802"</f>
        <v>802</v>
      </c>
      <c r="E10478" t="str">
        <f t="shared" si="2285"/>
        <v>89301171</v>
      </c>
      <c r="F10478" t="str">
        <f t="shared" si="2286"/>
        <v>8607265788</v>
      </c>
      <c r="G10478" s="1">
        <v>44834</v>
      </c>
      <c r="H10478" t="str">
        <f t="shared" ref="H10478:H10485" si="2289">"82097"</f>
        <v>82097</v>
      </c>
      <c r="I10478">
        <v>2</v>
      </c>
      <c r="J10478">
        <v>760</v>
      </c>
      <c r="K10478">
        <v>0</v>
      </c>
      <c r="L10478">
        <v>691.6</v>
      </c>
    </row>
    <row r="10479" spans="1:12" x14ac:dyDescent="0.25">
      <c r="A10479" t="str">
        <f t="shared" si="2276"/>
        <v>89301000</v>
      </c>
      <c r="B10479" t="str">
        <f t="shared" si="2284"/>
        <v>06539000</v>
      </c>
      <c r="C10479" t="str">
        <f t="shared" si="2287"/>
        <v>06539002</v>
      </c>
      <c r="D10479" t="str">
        <f t="shared" si="2288"/>
        <v>802</v>
      </c>
      <c r="E10479" t="str">
        <f t="shared" si="2285"/>
        <v>89301171</v>
      </c>
      <c r="F10479" t="str">
        <f t="shared" si="2286"/>
        <v>8607265788</v>
      </c>
      <c r="G10479" s="1">
        <v>44834</v>
      </c>
      <c r="H10479" t="str">
        <f t="shared" si="2289"/>
        <v>82097</v>
      </c>
      <c r="I10479">
        <v>2</v>
      </c>
      <c r="J10479">
        <v>760</v>
      </c>
      <c r="K10479">
        <v>0</v>
      </c>
      <c r="L10479">
        <v>691.6</v>
      </c>
    </row>
    <row r="10480" spans="1:12" x14ac:dyDescent="0.25">
      <c r="A10480" t="str">
        <f t="shared" si="2276"/>
        <v>89301000</v>
      </c>
      <c r="B10480" t="str">
        <f t="shared" si="2284"/>
        <v>06539000</v>
      </c>
      <c r="C10480" t="str">
        <f t="shared" si="2287"/>
        <v>06539002</v>
      </c>
      <c r="D10480" t="str">
        <f t="shared" si="2288"/>
        <v>802</v>
      </c>
      <c r="E10480" t="str">
        <f t="shared" si="2285"/>
        <v>89301171</v>
      </c>
      <c r="F10480" t="str">
        <f t="shared" si="2286"/>
        <v>8607265788</v>
      </c>
      <c r="G10480" s="1">
        <v>44834</v>
      </c>
      <c r="H10480" t="str">
        <f t="shared" si="2289"/>
        <v>82097</v>
      </c>
      <c r="I10480">
        <v>1</v>
      </c>
      <c r="J10480">
        <v>380</v>
      </c>
      <c r="K10480">
        <v>0</v>
      </c>
      <c r="L10480">
        <v>345.8</v>
      </c>
    </row>
    <row r="10481" spans="1:12" x14ac:dyDescent="0.25">
      <c r="A10481" t="str">
        <f t="shared" si="2276"/>
        <v>89301000</v>
      </c>
      <c r="B10481" t="str">
        <f t="shared" si="2284"/>
        <v>06539000</v>
      </c>
      <c r="C10481" t="str">
        <f t="shared" si="2287"/>
        <v>06539002</v>
      </c>
      <c r="D10481" t="str">
        <f t="shared" si="2288"/>
        <v>802</v>
      </c>
      <c r="E10481" t="str">
        <f t="shared" si="2285"/>
        <v>89301171</v>
      </c>
      <c r="F10481" t="str">
        <f t="shared" si="2286"/>
        <v>8607265788</v>
      </c>
      <c r="G10481" s="1">
        <v>44834</v>
      </c>
      <c r="H10481" t="str">
        <f t="shared" si="2289"/>
        <v>82097</v>
      </c>
      <c r="I10481">
        <v>1</v>
      </c>
      <c r="J10481">
        <v>380</v>
      </c>
      <c r="K10481">
        <v>0</v>
      </c>
      <c r="L10481">
        <v>345.8</v>
      </c>
    </row>
    <row r="10482" spans="1:12" x14ac:dyDescent="0.25">
      <c r="A10482" t="str">
        <f t="shared" si="2276"/>
        <v>89301000</v>
      </c>
      <c r="B10482" t="str">
        <f t="shared" si="2284"/>
        <v>06539000</v>
      </c>
      <c r="C10482" t="str">
        <f t="shared" si="2287"/>
        <v>06539002</v>
      </c>
      <c r="D10482" t="str">
        <f t="shared" si="2288"/>
        <v>802</v>
      </c>
      <c r="E10482" t="str">
        <f t="shared" si="2285"/>
        <v>89301171</v>
      </c>
      <c r="F10482" t="str">
        <f t="shared" si="2286"/>
        <v>8607265788</v>
      </c>
      <c r="G10482" s="1">
        <v>44834</v>
      </c>
      <c r="H10482" t="str">
        <f t="shared" si="2289"/>
        <v>82097</v>
      </c>
      <c r="I10482">
        <v>1</v>
      </c>
      <c r="J10482">
        <v>380</v>
      </c>
      <c r="K10482">
        <v>0</v>
      </c>
      <c r="L10482">
        <v>345.8</v>
      </c>
    </row>
    <row r="10483" spans="1:12" x14ac:dyDescent="0.25">
      <c r="A10483" t="str">
        <f t="shared" si="2276"/>
        <v>89301000</v>
      </c>
      <c r="B10483" t="str">
        <f t="shared" si="2284"/>
        <v>06539000</v>
      </c>
      <c r="C10483" t="str">
        <f t="shared" si="2287"/>
        <v>06539002</v>
      </c>
      <c r="D10483" t="str">
        <f t="shared" si="2288"/>
        <v>802</v>
      </c>
      <c r="E10483" t="str">
        <f t="shared" si="2285"/>
        <v>89301171</v>
      </c>
      <c r="F10483" t="str">
        <f t="shared" si="2286"/>
        <v>8607265788</v>
      </c>
      <c r="G10483" s="1">
        <v>44834</v>
      </c>
      <c r="H10483" t="str">
        <f t="shared" si="2289"/>
        <v>82097</v>
      </c>
      <c r="I10483">
        <v>1</v>
      </c>
      <c r="J10483">
        <v>380</v>
      </c>
      <c r="K10483">
        <v>0</v>
      </c>
      <c r="L10483">
        <v>345.8</v>
      </c>
    </row>
    <row r="10484" spans="1:12" x14ac:dyDescent="0.25">
      <c r="A10484" t="str">
        <f t="shared" si="2276"/>
        <v>89301000</v>
      </c>
      <c r="B10484" t="str">
        <f t="shared" si="2284"/>
        <v>06539000</v>
      </c>
      <c r="C10484" t="str">
        <f t="shared" si="2287"/>
        <v>06539002</v>
      </c>
      <c r="D10484" t="str">
        <f t="shared" si="2288"/>
        <v>802</v>
      </c>
      <c r="E10484" t="str">
        <f t="shared" si="2285"/>
        <v>89301171</v>
      </c>
      <c r="F10484" t="str">
        <f t="shared" si="2286"/>
        <v>8607265788</v>
      </c>
      <c r="G10484" s="1">
        <v>44834</v>
      </c>
      <c r="H10484" t="str">
        <f t="shared" si="2289"/>
        <v>82097</v>
      </c>
      <c r="I10484">
        <v>2</v>
      </c>
      <c r="J10484">
        <v>760</v>
      </c>
      <c r="K10484">
        <v>0</v>
      </c>
      <c r="L10484">
        <v>691.6</v>
      </c>
    </row>
    <row r="10485" spans="1:12" x14ac:dyDescent="0.25">
      <c r="A10485" t="str">
        <f t="shared" si="2276"/>
        <v>89301000</v>
      </c>
      <c r="B10485" t="str">
        <f t="shared" si="2284"/>
        <v>06539000</v>
      </c>
      <c r="C10485" t="str">
        <f t="shared" si="2287"/>
        <v>06539002</v>
      </c>
      <c r="D10485" t="str">
        <f t="shared" si="2288"/>
        <v>802</v>
      </c>
      <c r="E10485" t="str">
        <f t="shared" si="2285"/>
        <v>89301171</v>
      </c>
      <c r="F10485" t="str">
        <f t="shared" si="2286"/>
        <v>8607265788</v>
      </c>
      <c r="G10485" s="1">
        <v>44834</v>
      </c>
      <c r="H10485" t="str">
        <f t="shared" si="2289"/>
        <v>82097</v>
      </c>
      <c r="I10485">
        <v>2</v>
      </c>
      <c r="J10485">
        <v>760</v>
      </c>
      <c r="K10485">
        <v>0</v>
      </c>
      <c r="L10485">
        <v>691.6</v>
      </c>
    </row>
    <row r="10486" spans="1:12" x14ac:dyDescent="0.25">
      <c r="A10486" t="str">
        <f t="shared" si="2276"/>
        <v>89301000</v>
      </c>
      <c r="B10486" t="str">
        <f t="shared" si="2284"/>
        <v>06539000</v>
      </c>
      <c r="C10486" t="str">
        <f t="shared" ref="C10486:C10517" si="2290">"06539003"</f>
        <v>06539003</v>
      </c>
      <c r="D10486" t="str">
        <f t="shared" ref="D10486:D10517" si="2291">"813"</f>
        <v>813</v>
      </c>
      <c r="E10486" t="str">
        <f t="shared" si="2285"/>
        <v>89301171</v>
      </c>
      <c r="F10486" t="str">
        <f t="shared" si="2286"/>
        <v>8607265788</v>
      </c>
      <c r="G10486" s="1">
        <v>44839</v>
      </c>
      <c r="H10486" t="str">
        <f t="shared" ref="H10486:H10495" si="2292">"91413"</f>
        <v>91413</v>
      </c>
      <c r="I10486">
        <v>1</v>
      </c>
      <c r="J10486">
        <v>853</v>
      </c>
      <c r="K10486">
        <v>0</v>
      </c>
      <c r="L10486">
        <v>665.34</v>
      </c>
    </row>
    <row r="10487" spans="1:12" x14ac:dyDescent="0.25">
      <c r="A10487" t="str">
        <f t="shared" si="2276"/>
        <v>89301000</v>
      </c>
      <c r="B10487" t="str">
        <f t="shared" si="2284"/>
        <v>06539000</v>
      </c>
      <c r="C10487" t="str">
        <f t="shared" si="2290"/>
        <v>06539003</v>
      </c>
      <c r="D10487" t="str">
        <f t="shared" si="2291"/>
        <v>813</v>
      </c>
      <c r="E10487" t="str">
        <f t="shared" si="2285"/>
        <v>89301171</v>
      </c>
      <c r="F10487" t="str">
        <f t="shared" si="2286"/>
        <v>8607265788</v>
      </c>
      <c r="G10487" s="1">
        <v>44839</v>
      </c>
      <c r="H10487" t="str">
        <f t="shared" si="2292"/>
        <v>91413</v>
      </c>
      <c r="I10487">
        <v>1</v>
      </c>
      <c r="J10487">
        <v>853</v>
      </c>
      <c r="K10487">
        <v>0</v>
      </c>
      <c r="L10487">
        <v>665.34</v>
      </c>
    </row>
    <row r="10488" spans="1:12" x14ac:dyDescent="0.25">
      <c r="A10488" t="str">
        <f t="shared" si="2276"/>
        <v>89301000</v>
      </c>
      <c r="B10488" t="str">
        <f t="shared" si="2284"/>
        <v>06539000</v>
      </c>
      <c r="C10488" t="str">
        <f t="shared" si="2290"/>
        <v>06539003</v>
      </c>
      <c r="D10488" t="str">
        <f t="shared" si="2291"/>
        <v>813</v>
      </c>
      <c r="E10488" t="str">
        <f t="shared" si="2285"/>
        <v>89301171</v>
      </c>
      <c r="F10488" t="str">
        <f t="shared" si="2286"/>
        <v>8607265788</v>
      </c>
      <c r="G10488" s="1">
        <v>44851</v>
      </c>
      <c r="H10488" t="str">
        <f t="shared" si="2292"/>
        <v>91413</v>
      </c>
      <c r="I10488">
        <v>1</v>
      </c>
      <c r="J10488">
        <v>853</v>
      </c>
      <c r="K10488">
        <v>0</v>
      </c>
      <c r="L10488">
        <v>665.34</v>
      </c>
    </row>
    <row r="10489" spans="1:12" x14ac:dyDescent="0.25">
      <c r="A10489" t="str">
        <f t="shared" si="2276"/>
        <v>89301000</v>
      </c>
      <c r="B10489" t="str">
        <f t="shared" si="2284"/>
        <v>06539000</v>
      </c>
      <c r="C10489" t="str">
        <f t="shared" si="2290"/>
        <v>06539003</v>
      </c>
      <c r="D10489" t="str">
        <f t="shared" si="2291"/>
        <v>813</v>
      </c>
      <c r="E10489" t="str">
        <f t="shared" si="2285"/>
        <v>89301171</v>
      </c>
      <c r="F10489" t="str">
        <f t="shared" si="2286"/>
        <v>8607265788</v>
      </c>
      <c r="G10489" s="1">
        <v>44851</v>
      </c>
      <c r="H10489" t="str">
        <f t="shared" si="2292"/>
        <v>91413</v>
      </c>
      <c r="I10489">
        <v>1</v>
      </c>
      <c r="J10489">
        <v>853</v>
      </c>
      <c r="K10489">
        <v>0</v>
      </c>
      <c r="L10489">
        <v>665.34</v>
      </c>
    </row>
    <row r="10490" spans="1:12" x14ac:dyDescent="0.25">
      <c r="A10490" t="str">
        <f t="shared" si="2276"/>
        <v>89301000</v>
      </c>
      <c r="B10490" t="str">
        <f t="shared" si="2284"/>
        <v>06539000</v>
      </c>
      <c r="C10490" t="str">
        <f t="shared" si="2290"/>
        <v>06539003</v>
      </c>
      <c r="D10490" t="str">
        <f t="shared" si="2291"/>
        <v>813</v>
      </c>
      <c r="E10490" t="str">
        <f t="shared" si="2285"/>
        <v>89301171</v>
      </c>
      <c r="F10490" t="str">
        <f t="shared" si="2286"/>
        <v>8607265788</v>
      </c>
      <c r="G10490" s="1">
        <v>44847</v>
      </c>
      <c r="H10490" t="str">
        <f t="shared" si="2292"/>
        <v>91413</v>
      </c>
      <c r="I10490">
        <v>1</v>
      </c>
      <c r="J10490">
        <v>853</v>
      </c>
      <c r="K10490">
        <v>0</v>
      </c>
      <c r="L10490">
        <v>665.34</v>
      </c>
    </row>
    <row r="10491" spans="1:12" x14ac:dyDescent="0.25">
      <c r="A10491" t="str">
        <f t="shared" si="2276"/>
        <v>89301000</v>
      </c>
      <c r="B10491" t="str">
        <f t="shared" si="2284"/>
        <v>06539000</v>
      </c>
      <c r="C10491" t="str">
        <f t="shared" si="2290"/>
        <v>06539003</v>
      </c>
      <c r="D10491" t="str">
        <f t="shared" si="2291"/>
        <v>813</v>
      </c>
      <c r="E10491" t="str">
        <f t="shared" si="2285"/>
        <v>89301171</v>
      </c>
      <c r="F10491" t="str">
        <f t="shared" si="2286"/>
        <v>8607265788</v>
      </c>
      <c r="G10491" s="1">
        <v>44847</v>
      </c>
      <c r="H10491" t="str">
        <f t="shared" si="2292"/>
        <v>91413</v>
      </c>
      <c r="I10491">
        <v>1</v>
      </c>
      <c r="J10491">
        <v>853</v>
      </c>
      <c r="K10491">
        <v>0</v>
      </c>
      <c r="L10491">
        <v>665.34</v>
      </c>
    </row>
    <row r="10492" spans="1:12" x14ac:dyDescent="0.25">
      <c r="A10492" t="str">
        <f t="shared" si="2276"/>
        <v>89301000</v>
      </c>
      <c r="B10492" t="str">
        <f t="shared" si="2284"/>
        <v>06539000</v>
      </c>
      <c r="C10492" t="str">
        <f t="shared" si="2290"/>
        <v>06539003</v>
      </c>
      <c r="D10492" t="str">
        <f t="shared" si="2291"/>
        <v>813</v>
      </c>
      <c r="E10492" t="str">
        <f t="shared" si="2285"/>
        <v>89301171</v>
      </c>
      <c r="F10492" t="str">
        <f t="shared" si="2286"/>
        <v>8607265788</v>
      </c>
      <c r="G10492" s="1">
        <v>44851</v>
      </c>
      <c r="H10492" t="str">
        <f t="shared" si="2292"/>
        <v>91413</v>
      </c>
      <c r="I10492">
        <v>1</v>
      </c>
      <c r="J10492">
        <v>853</v>
      </c>
      <c r="K10492">
        <v>0</v>
      </c>
      <c r="L10492">
        <v>665.34</v>
      </c>
    </row>
    <row r="10493" spans="1:12" x14ac:dyDescent="0.25">
      <c r="A10493" t="str">
        <f t="shared" si="2276"/>
        <v>89301000</v>
      </c>
      <c r="B10493" t="str">
        <f t="shared" si="2284"/>
        <v>06539000</v>
      </c>
      <c r="C10493" t="str">
        <f t="shared" si="2290"/>
        <v>06539003</v>
      </c>
      <c r="D10493" t="str">
        <f t="shared" si="2291"/>
        <v>813</v>
      </c>
      <c r="E10493" t="str">
        <f t="shared" si="2285"/>
        <v>89301171</v>
      </c>
      <c r="F10493" t="str">
        <f t="shared" si="2286"/>
        <v>8607265788</v>
      </c>
      <c r="G10493" s="1">
        <v>44851</v>
      </c>
      <c r="H10493" t="str">
        <f t="shared" si="2292"/>
        <v>91413</v>
      </c>
      <c r="I10493">
        <v>1</v>
      </c>
      <c r="J10493">
        <v>853</v>
      </c>
      <c r="K10493">
        <v>0</v>
      </c>
      <c r="L10493">
        <v>665.34</v>
      </c>
    </row>
    <row r="10494" spans="1:12" x14ac:dyDescent="0.25">
      <c r="A10494" t="str">
        <f t="shared" si="2276"/>
        <v>89301000</v>
      </c>
      <c r="B10494" t="str">
        <f t="shared" si="2284"/>
        <v>06539000</v>
      </c>
      <c r="C10494" t="str">
        <f t="shared" si="2290"/>
        <v>06539003</v>
      </c>
      <c r="D10494" t="str">
        <f t="shared" si="2291"/>
        <v>813</v>
      </c>
      <c r="E10494" t="str">
        <f t="shared" si="2285"/>
        <v>89301171</v>
      </c>
      <c r="F10494" t="str">
        <f t="shared" si="2286"/>
        <v>8607265788</v>
      </c>
      <c r="G10494" s="1">
        <v>44851</v>
      </c>
      <c r="H10494" t="str">
        <f t="shared" si="2292"/>
        <v>91413</v>
      </c>
      <c r="I10494">
        <v>1</v>
      </c>
      <c r="J10494">
        <v>853</v>
      </c>
      <c r="K10494">
        <v>0</v>
      </c>
      <c r="L10494">
        <v>665.34</v>
      </c>
    </row>
    <row r="10495" spans="1:12" x14ac:dyDescent="0.25">
      <c r="A10495" t="str">
        <f t="shared" si="2276"/>
        <v>89301000</v>
      </c>
      <c r="B10495" t="str">
        <f t="shared" si="2284"/>
        <v>06539000</v>
      </c>
      <c r="C10495" t="str">
        <f t="shared" si="2290"/>
        <v>06539003</v>
      </c>
      <c r="D10495" t="str">
        <f t="shared" si="2291"/>
        <v>813</v>
      </c>
      <c r="E10495" t="str">
        <f t="shared" si="2285"/>
        <v>89301171</v>
      </c>
      <c r="F10495" t="str">
        <f t="shared" si="2286"/>
        <v>8607265788</v>
      </c>
      <c r="G10495" s="1">
        <v>44851</v>
      </c>
      <c r="H10495" t="str">
        <f t="shared" si="2292"/>
        <v>91413</v>
      </c>
      <c r="I10495">
        <v>1</v>
      </c>
      <c r="J10495">
        <v>853</v>
      </c>
      <c r="K10495">
        <v>0</v>
      </c>
      <c r="L10495">
        <v>665.34</v>
      </c>
    </row>
    <row r="10496" spans="1:12" x14ac:dyDescent="0.25">
      <c r="A10496" t="str">
        <f t="shared" si="2276"/>
        <v>89301000</v>
      </c>
      <c r="B10496" t="str">
        <f t="shared" si="2284"/>
        <v>06539000</v>
      </c>
      <c r="C10496" t="str">
        <f t="shared" si="2290"/>
        <v>06539003</v>
      </c>
      <c r="D10496" t="str">
        <f t="shared" si="2291"/>
        <v>813</v>
      </c>
      <c r="E10496" t="str">
        <f t="shared" si="2285"/>
        <v>89301171</v>
      </c>
      <c r="F10496" t="str">
        <f t="shared" si="2286"/>
        <v>8607265788</v>
      </c>
      <c r="G10496" s="1">
        <v>44834</v>
      </c>
      <c r="H10496" t="str">
        <f t="shared" ref="H10496:H10502" si="2293">"91197"</f>
        <v>91197</v>
      </c>
      <c r="I10496">
        <v>1</v>
      </c>
      <c r="J10496">
        <v>1046</v>
      </c>
      <c r="K10496">
        <v>0</v>
      </c>
      <c r="L10496">
        <v>815.88</v>
      </c>
    </row>
    <row r="10497" spans="1:12" x14ac:dyDescent="0.25">
      <c r="A10497" t="str">
        <f t="shared" si="2276"/>
        <v>89301000</v>
      </c>
      <c r="B10497" t="str">
        <f t="shared" si="2284"/>
        <v>06539000</v>
      </c>
      <c r="C10497" t="str">
        <f t="shared" si="2290"/>
        <v>06539003</v>
      </c>
      <c r="D10497" t="str">
        <f t="shared" si="2291"/>
        <v>813</v>
      </c>
      <c r="E10497" t="str">
        <f t="shared" si="2285"/>
        <v>89301171</v>
      </c>
      <c r="F10497" t="str">
        <f t="shared" si="2286"/>
        <v>8607265788</v>
      </c>
      <c r="G10497" s="1">
        <v>44837</v>
      </c>
      <c r="H10497" t="str">
        <f t="shared" si="2293"/>
        <v>91197</v>
      </c>
      <c r="I10497">
        <v>1</v>
      </c>
      <c r="J10497">
        <v>1046</v>
      </c>
      <c r="K10497">
        <v>0</v>
      </c>
      <c r="L10497">
        <v>815.88</v>
      </c>
    </row>
    <row r="10498" spans="1:12" x14ac:dyDescent="0.25">
      <c r="A10498" t="str">
        <f t="shared" ref="A10498:A10561" si="2294">"89301000"</f>
        <v>89301000</v>
      </c>
      <c r="B10498" t="str">
        <f t="shared" ref="B10498:B10525" si="2295">"06539000"</f>
        <v>06539000</v>
      </c>
      <c r="C10498" t="str">
        <f t="shared" si="2290"/>
        <v>06539003</v>
      </c>
      <c r="D10498" t="str">
        <f t="shared" si="2291"/>
        <v>813</v>
      </c>
      <c r="E10498" t="str">
        <f t="shared" ref="E10498:E10517" si="2296">"89301171"</f>
        <v>89301171</v>
      </c>
      <c r="F10498" t="str">
        <f t="shared" si="2286"/>
        <v>8607265788</v>
      </c>
      <c r="G10498" s="1">
        <v>44837</v>
      </c>
      <c r="H10498" t="str">
        <f t="shared" si="2293"/>
        <v>91197</v>
      </c>
      <c r="I10498">
        <v>1</v>
      </c>
      <c r="J10498">
        <v>1046</v>
      </c>
      <c r="K10498">
        <v>0</v>
      </c>
      <c r="L10498">
        <v>815.88</v>
      </c>
    </row>
    <row r="10499" spans="1:12" x14ac:dyDescent="0.25">
      <c r="A10499" t="str">
        <f t="shared" si="2294"/>
        <v>89301000</v>
      </c>
      <c r="B10499" t="str">
        <f t="shared" si="2295"/>
        <v>06539000</v>
      </c>
      <c r="C10499" t="str">
        <f t="shared" si="2290"/>
        <v>06539003</v>
      </c>
      <c r="D10499" t="str">
        <f t="shared" si="2291"/>
        <v>813</v>
      </c>
      <c r="E10499" t="str">
        <f t="shared" si="2296"/>
        <v>89301171</v>
      </c>
      <c r="F10499" t="str">
        <f t="shared" si="2286"/>
        <v>8607265788</v>
      </c>
      <c r="G10499" s="1">
        <v>44836</v>
      </c>
      <c r="H10499" t="str">
        <f t="shared" si="2293"/>
        <v>91197</v>
      </c>
      <c r="I10499">
        <v>1</v>
      </c>
      <c r="J10499">
        <v>1046</v>
      </c>
      <c r="K10499">
        <v>0</v>
      </c>
      <c r="L10499">
        <v>815.88</v>
      </c>
    </row>
    <row r="10500" spans="1:12" x14ac:dyDescent="0.25">
      <c r="A10500" t="str">
        <f t="shared" si="2294"/>
        <v>89301000</v>
      </c>
      <c r="B10500" t="str">
        <f t="shared" si="2295"/>
        <v>06539000</v>
      </c>
      <c r="C10500" t="str">
        <f t="shared" si="2290"/>
        <v>06539003</v>
      </c>
      <c r="D10500" t="str">
        <f t="shared" si="2291"/>
        <v>813</v>
      </c>
      <c r="E10500" t="str">
        <f t="shared" si="2296"/>
        <v>89301171</v>
      </c>
      <c r="F10500" t="str">
        <f t="shared" si="2286"/>
        <v>8607265788</v>
      </c>
      <c r="G10500" s="1">
        <v>44836</v>
      </c>
      <c r="H10500" t="str">
        <f t="shared" si="2293"/>
        <v>91197</v>
      </c>
      <c r="I10500">
        <v>1</v>
      </c>
      <c r="J10500">
        <v>1046</v>
      </c>
      <c r="K10500">
        <v>0</v>
      </c>
      <c r="L10500">
        <v>815.88</v>
      </c>
    </row>
    <row r="10501" spans="1:12" x14ac:dyDescent="0.25">
      <c r="A10501" t="str">
        <f t="shared" si="2294"/>
        <v>89301000</v>
      </c>
      <c r="B10501" t="str">
        <f t="shared" si="2295"/>
        <v>06539000</v>
      </c>
      <c r="C10501" t="str">
        <f t="shared" si="2290"/>
        <v>06539003</v>
      </c>
      <c r="D10501" t="str">
        <f t="shared" si="2291"/>
        <v>813</v>
      </c>
      <c r="E10501" t="str">
        <f t="shared" si="2296"/>
        <v>89301171</v>
      </c>
      <c r="F10501" t="str">
        <f t="shared" si="2286"/>
        <v>8607265788</v>
      </c>
      <c r="G10501" s="1">
        <v>44835</v>
      </c>
      <c r="H10501" t="str">
        <f t="shared" si="2293"/>
        <v>91197</v>
      </c>
      <c r="I10501">
        <v>1</v>
      </c>
      <c r="J10501">
        <v>1046</v>
      </c>
      <c r="K10501">
        <v>0</v>
      </c>
      <c r="L10501">
        <v>815.88</v>
      </c>
    </row>
    <row r="10502" spans="1:12" x14ac:dyDescent="0.25">
      <c r="A10502" t="str">
        <f t="shared" si="2294"/>
        <v>89301000</v>
      </c>
      <c r="B10502" t="str">
        <f t="shared" si="2295"/>
        <v>06539000</v>
      </c>
      <c r="C10502" t="str">
        <f t="shared" si="2290"/>
        <v>06539003</v>
      </c>
      <c r="D10502" t="str">
        <f t="shared" si="2291"/>
        <v>813</v>
      </c>
      <c r="E10502" t="str">
        <f t="shared" si="2296"/>
        <v>89301171</v>
      </c>
      <c r="F10502" t="str">
        <f t="shared" si="2286"/>
        <v>8607265788</v>
      </c>
      <c r="G10502" s="1">
        <v>44835</v>
      </c>
      <c r="H10502" t="str">
        <f t="shared" si="2293"/>
        <v>91197</v>
      </c>
      <c r="I10502">
        <v>1</v>
      </c>
      <c r="J10502">
        <v>1046</v>
      </c>
      <c r="K10502">
        <v>0</v>
      </c>
      <c r="L10502">
        <v>815.88</v>
      </c>
    </row>
    <row r="10503" spans="1:12" x14ac:dyDescent="0.25">
      <c r="A10503" t="str">
        <f t="shared" si="2294"/>
        <v>89301000</v>
      </c>
      <c r="B10503" t="str">
        <f t="shared" si="2295"/>
        <v>06539000</v>
      </c>
      <c r="C10503" t="str">
        <f t="shared" si="2290"/>
        <v>06539003</v>
      </c>
      <c r="D10503" t="str">
        <f t="shared" si="2291"/>
        <v>813</v>
      </c>
      <c r="E10503" t="str">
        <f t="shared" si="2296"/>
        <v>89301171</v>
      </c>
      <c r="F10503" t="str">
        <f t="shared" si="2286"/>
        <v>8607265788</v>
      </c>
      <c r="G10503" s="1">
        <v>44851</v>
      </c>
      <c r="H10503" t="str">
        <f>"91329"</f>
        <v>91329</v>
      </c>
      <c r="I10503">
        <v>2</v>
      </c>
      <c r="J10503">
        <v>428</v>
      </c>
      <c r="K10503">
        <v>0</v>
      </c>
      <c r="L10503">
        <v>333.84</v>
      </c>
    </row>
    <row r="10504" spans="1:12" x14ac:dyDescent="0.25">
      <c r="A10504" t="str">
        <f t="shared" si="2294"/>
        <v>89301000</v>
      </c>
      <c r="B10504" t="str">
        <f t="shared" si="2295"/>
        <v>06539000</v>
      </c>
      <c r="C10504" t="str">
        <f t="shared" si="2290"/>
        <v>06539003</v>
      </c>
      <c r="D10504" t="str">
        <f t="shared" si="2291"/>
        <v>813</v>
      </c>
      <c r="E10504" t="str">
        <f t="shared" si="2296"/>
        <v>89301171</v>
      </c>
      <c r="F10504" t="str">
        <f t="shared" si="2286"/>
        <v>8607265788</v>
      </c>
      <c r="G10504" s="1">
        <v>44851</v>
      </c>
      <c r="H10504" t="str">
        <f>"91329"</f>
        <v>91329</v>
      </c>
      <c r="I10504">
        <v>2</v>
      </c>
      <c r="J10504">
        <v>428</v>
      </c>
      <c r="K10504">
        <v>0</v>
      </c>
      <c r="L10504">
        <v>333.84</v>
      </c>
    </row>
    <row r="10505" spans="1:12" x14ac:dyDescent="0.25">
      <c r="A10505" t="str">
        <f t="shared" si="2294"/>
        <v>89301000</v>
      </c>
      <c r="B10505" t="str">
        <f t="shared" si="2295"/>
        <v>06539000</v>
      </c>
      <c r="C10505" t="str">
        <f t="shared" si="2290"/>
        <v>06539003</v>
      </c>
      <c r="D10505" t="str">
        <f t="shared" si="2291"/>
        <v>813</v>
      </c>
      <c r="E10505" t="str">
        <f t="shared" si="2296"/>
        <v>89301171</v>
      </c>
      <c r="F10505" t="str">
        <f t="shared" si="2286"/>
        <v>8607265788</v>
      </c>
      <c r="G10505" s="1">
        <v>44851</v>
      </c>
      <c r="H10505" t="str">
        <f>"91329"</f>
        <v>91329</v>
      </c>
      <c r="I10505">
        <v>2</v>
      </c>
      <c r="J10505">
        <v>428</v>
      </c>
      <c r="K10505">
        <v>0</v>
      </c>
      <c r="L10505">
        <v>333.84</v>
      </c>
    </row>
    <row r="10506" spans="1:12" x14ac:dyDescent="0.25">
      <c r="A10506" t="str">
        <f t="shared" si="2294"/>
        <v>89301000</v>
      </c>
      <c r="B10506" t="str">
        <f t="shared" si="2295"/>
        <v>06539000</v>
      </c>
      <c r="C10506" t="str">
        <f t="shared" si="2290"/>
        <v>06539003</v>
      </c>
      <c r="D10506" t="str">
        <f t="shared" si="2291"/>
        <v>813</v>
      </c>
      <c r="E10506" t="str">
        <f t="shared" si="2296"/>
        <v>89301171</v>
      </c>
      <c r="F10506" t="str">
        <f t="shared" si="2286"/>
        <v>8607265788</v>
      </c>
      <c r="G10506" s="1">
        <v>44851</v>
      </c>
      <c r="H10506" t="str">
        <f>"91329"</f>
        <v>91329</v>
      </c>
      <c r="I10506">
        <v>2</v>
      </c>
      <c r="J10506">
        <v>428</v>
      </c>
      <c r="K10506">
        <v>0</v>
      </c>
      <c r="L10506">
        <v>333.84</v>
      </c>
    </row>
    <row r="10507" spans="1:12" x14ac:dyDescent="0.25">
      <c r="A10507" t="str">
        <f t="shared" si="2294"/>
        <v>89301000</v>
      </c>
      <c r="B10507" t="str">
        <f t="shared" si="2295"/>
        <v>06539000</v>
      </c>
      <c r="C10507" t="str">
        <f t="shared" si="2290"/>
        <v>06539003</v>
      </c>
      <c r="D10507" t="str">
        <f t="shared" si="2291"/>
        <v>813</v>
      </c>
      <c r="E10507" t="str">
        <f t="shared" si="2296"/>
        <v>89301171</v>
      </c>
      <c r="F10507" t="str">
        <f t="shared" si="2286"/>
        <v>8607265788</v>
      </c>
      <c r="G10507" s="1">
        <v>44834</v>
      </c>
      <c r="H10507" t="str">
        <f>"91129"</f>
        <v>91129</v>
      </c>
      <c r="I10507">
        <v>1</v>
      </c>
      <c r="J10507">
        <v>174</v>
      </c>
      <c r="K10507">
        <v>0</v>
      </c>
      <c r="L10507">
        <v>135.72</v>
      </c>
    </row>
    <row r="10508" spans="1:12" x14ac:dyDescent="0.25">
      <c r="A10508" t="str">
        <f t="shared" si="2294"/>
        <v>89301000</v>
      </c>
      <c r="B10508" t="str">
        <f t="shared" si="2295"/>
        <v>06539000</v>
      </c>
      <c r="C10508" t="str">
        <f t="shared" si="2290"/>
        <v>06539003</v>
      </c>
      <c r="D10508" t="str">
        <f t="shared" si="2291"/>
        <v>813</v>
      </c>
      <c r="E10508" t="str">
        <f t="shared" si="2296"/>
        <v>89301171</v>
      </c>
      <c r="F10508" t="str">
        <f t="shared" si="2286"/>
        <v>8607265788</v>
      </c>
      <c r="G10508" s="1">
        <v>44834</v>
      </c>
      <c r="H10508" t="str">
        <f>"91131"</f>
        <v>91131</v>
      </c>
      <c r="I10508">
        <v>1</v>
      </c>
      <c r="J10508">
        <v>171</v>
      </c>
      <c r="K10508">
        <v>0</v>
      </c>
      <c r="L10508">
        <v>133.38</v>
      </c>
    </row>
    <row r="10509" spans="1:12" x14ac:dyDescent="0.25">
      <c r="A10509" t="str">
        <f t="shared" si="2294"/>
        <v>89301000</v>
      </c>
      <c r="B10509" t="str">
        <f t="shared" si="2295"/>
        <v>06539000</v>
      </c>
      <c r="C10509" t="str">
        <f t="shared" si="2290"/>
        <v>06539003</v>
      </c>
      <c r="D10509" t="str">
        <f t="shared" si="2291"/>
        <v>813</v>
      </c>
      <c r="E10509" t="str">
        <f t="shared" si="2296"/>
        <v>89301171</v>
      </c>
      <c r="F10509" t="str">
        <f t="shared" si="2286"/>
        <v>8607265788</v>
      </c>
      <c r="G10509" s="1">
        <v>44834</v>
      </c>
      <c r="H10509" t="str">
        <f>"91133"</f>
        <v>91133</v>
      </c>
      <c r="I10509">
        <v>1</v>
      </c>
      <c r="J10509">
        <v>176</v>
      </c>
      <c r="K10509">
        <v>0</v>
      </c>
      <c r="L10509">
        <v>137.28</v>
      </c>
    </row>
    <row r="10510" spans="1:12" x14ac:dyDescent="0.25">
      <c r="A10510" t="str">
        <f t="shared" si="2294"/>
        <v>89301000</v>
      </c>
      <c r="B10510" t="str">
        <f t="shared" si="2295"/>
        <v>06539000</v>
      </c>
      <c r="C10510" t="str">
        <f t="shared" si="2290"/>
        <v>06539003</v>
      </c>
      <c r="D10510" t="str">
        <f t="shared" si="2291"/>
        <v>813</v>
      </c>
      <c r="E10510" t="str">
        <f t="shared" si="2296"/>
        <v>89301171</v>
      </c>
      <c r="F10510" t="str">
        <f t="shared" si="2286"/>
        <v>8607265788</v>
      </c>
      <c r="G10510" s="1">
        <v>44834</v>
      </c>
      <c r="H10510" t="str">
        <f>"91171"</f>
        <v>91171</v>
      </c>
      <c r="I10510">
        <v>1</v>
      </c>
      <c r="J10510">
        <v>360</v>
      </c>
      <c r="K10510">
        <v>0</v>
      </c>
      <c r="L10510">
        <v>280.8</v>
      </c>
    </row>
    <row r="10511" spans="1:12" x14ac:dyDescent="0.25">
      <c r="A10511" t="str">
        <f t="shared" si="2294"/>
        <v>89301000</v>
      </c>
      <c r="B10511" t="str">
        <f t="shared" si="2295"/>
        <v>06539000</v>
      </c>
      <c r="C10511" t="str">
        <f t="shared" si="2290"/>
        <v>06539003</v>
      </c>
      <c r="D10511" t="str">
        <f t="shared" si="2291"/>
        <v>813</v>
      </c>
      <c r="E10511" t="str">
        <f t="shared" si="2296"/>
        <v>89301171</v>
      </c>
      <c r="F10511" t="str">
        <f t="shared" si="2286"/>
        <v>8607265788</v>
      </c>
      <c r="G10511" s="1">
        <v>44834</v>
      </c>
      <c r="H10511" t="str">
        <f>"91173"</f>
        <v>91173</v>
      </c>
      <c r="I10511">
        <v>1</v>
      </c>
      <c r="J10511">
        <v>335</v>
      </c>
      <c r="K10511">
        <v>0</v>
      </c>
      <c r="L10511">
        <v>261.3</v>
      </c>
    </row>
    <row r="10512" spans="1:12" x14ac:dyDescent="0.25">
      <c r="A10512" t="str">
        <f t="shared" si="2294"/>
        <v>89301000</v>
      </c>
      <c r="B10512" t="str">
        <f t="shared" si="2295"/>
        <v>06539000</v>
      </c>
      <c r="C10512" t="str">
        <f t="shared" si="2290"/>
        <v>06539003</v>
      </c>
      <c r="D10512" t="str">
        <f t="shared" si="2291"/>
        <v>813</v>
      </c>
      <c r="E10512" t="str">
        <f t="shared" si="2296"/>
        <v>89301171</v>
      </c>
      <c r="F10512" t="str">
        <f t="shared" si="2286"/>
        <v>8607265788</v>
      </c>
      <c r="G10512" s="1">
        <v>44834</v>
      </c>
      <c r="H10512" t="str">
        <f>"91175"</f>
        <v>91175</v>
      </c>
      <c r="I10512">
        <v>1</v>
      </c>
      <c r="J10512">
        <v>360</v>
      </c>
      <c r="K10512">
        <v>0</v>
      </c>
      <c r="L10512">
        <v>280.8</v>
      </c>
    </row>
    <row r="10513" spans="1:12" x14ac:dyDescent="0.25">
      <c r="A10513" t="str">
        <f t="shared" si="2294"/>
        <v>89301000</v>
      </c>
      <c r="B10513" t="str">
        <f t="shared" si="2295"/>
        <v>06539000</v>
      </c>
      <c r="C10513" t="str">
        <f t="shared" si="2290"/>
        <v>06539003</v>
      </c>
      <c r="D10513" t="str">
        <f t="shared" si="2291"/>
        <v>813</v>
      </c>
      <c r="E10513" t="str">
        <f t="shared" si="2296"/>
        <v>89301171</v>
      </c>
      <c r="F10513" t="str">
        <f t="shared" si="2286"/>
        <v>8607265788</v>
      </c>
      <c r="G10513" s="1">
        <v>44835</v>
      </c>
      <c r="H10513" t="str">
        <f>"91167"</f>
        <v>91167</v>
      </c>
      <c r="I10513">
        <v>1</v>
      </c>
      <c r="J10513">
        <v>425</v>
      </c>
      <c r="K10513">
        <v>0</v>
      </c>
      <c r="L10513">
        <v>331.5</v>
      </c>
    </row>
    <row r="10514" spans="1:12" x14ac:dyDescent="0.25">
      <c r="A10514" t="str">
        <f t="shared" si="2294"/>
        <v>89301000</v>
      </c>
      <c r="B10514" t="str">
        <f t="shared" si="2295"/>
        <v>06539000</v>
      </c>
      <c r="C10514" t="str">
        <f t="shared" si="2290"/>
        <v>06539003</v>
      </c>
      <c r="D10514" t="str">
        <f t="shared" si="2291"/>
        <v>813</v>
      </c>
      <c r="E10514" t="str">
        <f t="shared" si="2296"/>
        <v>89301171</v>
      </c>
      <c r="F10514" t="str">
        <f t="shared" si="2286"/>
        <v>8607265788</v>
      </c>
      <c r="G10514" s="1">
        <v>44835</v>
      </c>
      <c r="H10514" t="str">
        <f>"91169"</f>
        <v>91169</v>
      </c>
      <c r="I10514">
        <v>1</v>
      </c>
      <c r="J10514">
        <v>425</v>
      </c>
      <c r="K10514">
        <v>0</v>
      </c>
      <c r="L10514">
        <v>331.5</v>
      </c>
    </row>
    <row r="10515" spans="1:12" x14ac:dyDescent="0.25">
      <c r="A10515" t="str">
        <f t="shared" si="2294"/>
        <v>89301000</v>
      </c>
      <c r="B10515" t="str">
        <f t="shared" si="2295"/>
        <v>06539000</v>
      </c>
      <c r="C10515" t="str">
        <f t="shared" si="2290"/>
        <v>06539003</v>
      </c>
      <c r="D10515" t="str">
        <f t="shared" si="2291"/>
        <v>813</v>
      </c>
      <c r="E10515" t="str">
        <f t="shared" si="2296"/>
        <v>89301171</v>
      </c>
      <c r="F10515" t="str">
        <f t="shared" si="2286"/>
        <v>8607265788</v>
      </c>
      <c r="G10515" s="1">
        <v>44834</v>
      </c>
      <c r="H10515" t="str">
        <f>"91167"</f>
        <v>91167</v>
      </c>
      <c r="I10515">
        <v>1</v>
      </c>
      <c r="J10515">
        <v>425</v>
      </c>
      <c r="K10515">
        <v>0</v>
      </c>
      <c r="L10515">
        <v>331.5</v>
      </c>
    </row>
    <row r="10516" spans="1:12" x14ac:dyDescent="0.25">
      <c r="A10516" t="str">
        <f t="shared" si="2294"/>
        <v>89301000</v>
      </c>
      <c r="B10516" t="str">
        <f t="shared" si="2295"/>
        <v>06539000</v>
      </c>
      <c r="C10516" t="str">
        <f t="shared" si="2290"/>
        <v>06539003</v>
      </c>
      <c r="D10516" t="str">
        <f t="shared" si="2291"/>
        <v>813</v>
      </c>
      <c r="E10516" t="str">
        <f t="shared" si="2296"/>
        <v>89301171</v>
      </c>
      <c r="F10516" t="str">
        <f t="shared" si="2286"/>
        <v>8607265788</v>
      </c>
      <c r="G10516" s="1">
        <v>44834</v>
      </c>
      <c r="H10516" t="str">
        <f>"91169"</f>
        <v>91169</v>
      </c>
      <c r="I10516">
        <v>1</v>
      </c>
      <c r="J10516">
        <v>425</v>
      </c>
      <c r="K10516">
        <v>0</v>
      </c>
      <c r="L10516">
        <v>331.5</v>
      </c>
    </row>
    <row r="10517" spans="1:12" x14ac:dyDescent="0.25">
      <c r="A10517" t="str">
        <f t="shared" si="2294"/>
        <v>89301000</v>
      </c>
      <c r="B10517" t="str">
        <f t="shared" si="2295"/>
        <v>06539000</v>
      </c>
      <c r="C10517" t="str">
        <f t="shared" si="2290"/>
        <v>06539003</v>
      </c>
      <c r="D10517" t="str">
        <f t="shared" si="2291"/>
        <v>813</v>
      </c>
      <c r="E10517" t="str">
        <f t="shared" si="2296"/>
        <v>89301171</v>
      </c>
      <c r="F10517" t="str">
        <f t="shared" si="2286"/>
        <v>8607265788</v>
      </c>
      <c r="G10517" s="1">
        <v>44834</v>
      </c>
      <c r="H10517" t="str">
        <f>"91475"</f>
        <v>91475</v>
      </c>
      <c r="I10517">
        <v>1</v>
      </c>
      <c r="J10517">
        <v>206</v>
      </c>
      <c r="K10517">
        <v>0</v>
      </c>
      <c r="L10517">
        <v>160.68</v>
      </c>
    </row>
    <row r="10518" spans="1:12" x14ac:dyDescent="0.25">
      <c r="A10518" t="str">
        <f t="shared" si="2294"/>
        <v>89301000</v>
      </c>
      <c r="B10518" t="str">
        <f t="shared" si="2295"/>
        <v>06539000</v>
      </c>
      <c r="C10518" t="str">
        <f>"06539002"</f>
        <v>06539002</v>
      </c>
      <c r="D10518" t="str">
        <f>"802"</f>
        <v>802</v>
      </c>
      <c r="E10518" t="str">
        <f t="shared" ref="E10518:E10525" si="2297">"89301172"</f>
        <v>89301172</v>
      </c>
      <c r="F10518" t="str">
        <f>"6608261495"</f>
        <v>6608261495</v>
      </c>
      <c r="G10518" s="1">
        <v>44841</v>
      </c>
      <c r="H10518" t="str">
        <f>"82097"</f>
        <v>82097</v>
      </c>
      <c r="I10518">
        <v>1</v>
      </c>
      <c r="J10518">
        <v>380</v>
      </c>
      <c r="K10518">
        <v>0</v>
      </c>
      <c r="L10518">
        <v>345.8</v>
      </c>
    </row>
    <row r="10519" spans="1:12" x14ac:dyDescent="0.25">
      <c r="A10519" t="str">
        <f t="shared" si="2294"/>
        <v>89301000</v>
      </c>
      <c r="B10519" t="str">
        <f t="shared" si="2295"/>
        <v>06539000</v>
      </c>
      <c r="C10519" t="str">
        <f>"06539002"</f>
        <v>06539002</v>
      </c>
      <c r="D10519" t="str">
        <f>"802"</f>
        <v>802</v>
      </c>
      <c r="E10519" t="str">
        <f t="shared" si="2297"/>
        <v>89301172</v>
      </c>
      <c r="F10519" t="str">
        <f>"6608261495"</f>
        <v>6608261495</v>
      </c>
      <c r="G10519" s="1">
        <v>44841</v>
      </c>
      <c r="H10519" t="str">
        <f>"82097"</f>
        <v>82097</v>
      </c>
      <c r="I10519">
        <v>1</v>
      </c>
      <c r="J10519">
        <v>380</v>
      </c>
      <c r="K10519">
        <v>0</v>
      </c>
      <c r="L10519">
        <v>345.8</v>
      </c>
    </row>
    <row r="10520" spans="1:12" x14ac:dyDescent="0.25">
      <c r="A10520" t="str">
        <f t="shared" si="2294"/>
        <v>89301000</v>
      </c>
      <c r="B10520" t="str">
        <f t="shared" si="2295"/>
        <v>06539000</v>
      </c>
      <c r="C10520" t="str">
        <f>"06539002"</f>
        <v>06539002</v>
      </c>
      <c r="D10520" t="str">
        <f>"802"</f>
        <v>802</v>
      </c>
      <c r="E10520" t="str">
        <f t="shared" si="2297"/>
        <v>89301172</v>
      </c>
      <c r="F10520" t="str">
        <f>"6608261495"</f>
        <v>6608261495</v>
      </c>
      <c r="G10520" s="1">
        <v>44841</v>
      </c>
      <c r="H10520" t="str">
        <f>"82075"</f>
        <v>82075</v>
      </c>
      <c r="I10520">
        <v>1</v>
      </c>
      <c r="J10520">
        <v>486</v>
      </c>
      <c r="K10520">
        <v>0</v>
      </c>
      <c r="L10520">
        <v>442.26</v>
      </c>
    </row>
    <row r="10521" spans="1:12" x14ac:dyDescent="0.25">
      <c r="A10521" t="str">
        <f t="shared" si="2294"/>
        <v>89301000</v>
      </c>
      <c r="B10521" t="str">
        <f t="shared" si="2295"/>
        <v>06539000</v>
      </c>
      <c r="C10521" t="str">
        <f>"06539003"</f>
        <v>06539003</v>
      </c>
      <c r="D10521" t="str">
        <f>"813"</f>
        <v>813</v>
      </c>
      <c r="E10521" t="str">
        <f t="shared" si="2297"/>
        <v>89301172</v>
      </c>
      <c r="F10521" t="str">
        <f>"8654254719"</f>
        <v>8654254719</v>
      </c>
      <c r="G10521" s="1">
        <v>44851</v>
      </c>
      <c r="H10521" t="str">
        <f>"91329"</f>
        <v>91329</v>
      </c>
      <c r="I10521">
        <v>2</v>
      </c>
      <c r="J10521">
        <v>428</v>
      </c>
      <c r="K10521">
        <v>0</v>
      </c>
      <c r="L10521">
        <v>333.84</v>
      </c>
    </row>
    <row r="10522" spans="1:12" x14ac:dyDescent="0.25">
      <c r="A10522" t="str">
        <f t="shared" si="2294"/>
        <v>89301000</v>
      </c>
      <c r="B10522" t="str">
        <f t="shared" si="2295"/>
        <v>06539000</v>
      </c>
      <c r="C10522" t="str">
        <f>"06539003"</f>
        <v>06539003</v>
      </c>
      <c r="D10522" t="str">
        <f>"813"</f>
        <v>813</v>
      </c>
      <c r="E10522" t="str">
        <f t="shared" si="2297"/>
        <v>89301172</v>
      </c>
      <c r="F10522" t="str">
        <f>"8654254719"</f>
        <v>8654254719</v>
      </c>
      <c r="G10522" s="1">
        <v>44851</v>
      </c>
      <c r="H10522" t="str">
        <f>"91329"</f>
        <v>91329</v>
      </c>
      <c r="I10522">
        <v>2</v>
      </c>
      <c r="J10522">
        <v>428</v>
      </c>
      <c r="K10522">
        <v>0</v>
      </c>
      <c r="L10522">
        <v>333.84</v>
      </c>
    </row>
    <row r="10523" spans="1:12" x14ac:dyDescent="0.25">
      <c r="A10523" t="str">
        <f t="shared" si="2294"/>
        <v>89301000</v>
      </c>
      <c r="B10523" t="str">
        <f t="shared" si="2295"/>
        <v>06539000</v>
      </c>
      <c r="C10523" t="str">
        <f>"06539003"</f>
        <v>06539003</v>
      </c>
      <c r="D10523" t="str">
        <f>"813"</f>
        <v>813</v>
      </c>
      <c r="E10523" t="str">
        <f t="shared" si="2297"/>
        <v>89301172</v>
      </c>
      <c r="F10523" t="str">
        <f>"8654254719"</f>
        <v>8654254719</v>
      </c>
      <c r="G10523" s="1">
        <v>44851</v>
      </c>
      <c r="H10523" t="str">
        <f>"91329"</f>
        <v>91329</v>
      </c>
      <c r="I10523">
        <v>2</v>
      </c>
      <c r="J10523">
        <v>428</v>
      </c>
      <c r="K10523">
        <v>0</v>
      </c>
      <c r="L10523">
        <v>333.84</v>
      </c>
    </row>
    <row r="10524" spans="1:12" x14ac:dyDescent="0.25">
      <c r="A10524" t="str">
        <f t="shared" si="2294"/>
        <v>89301000</v>
      </c>
      <c r="B10524" t="str">
        <f t="shared" si="2295"/>
        <v>06539000</v>
      </c>
      <c r="C10524" t="str">
        <f>"06539003"</f>
        <v>06539003</v>
      </c>
      <c r="D10524" t="str">
        <f>"813"</f>
        <v>813</v>
      </c>
      <c r="E10524" t="str">
        <f t="shared" si="2297"/>
        <v>89301172</v>
      </c>
      <c r="F10524" t="str">
        <f>"8654254719"</f>
        <v>8654254719</v>
      </c>
      <c r="G10524" s="1">
        <v>44851</v>
      </c>
      <c r="H10524" t="str">
        <f>"91329"</f>
        <v>91329</v>
      </c>
      <c r="I10524">
        <v>2</v>
      </c>
      <c r="J10524">
        <v>428</v>
      </c>
      <c r="K10524">
        <v>0</v>
      </c>
      <c r="L10524">
        <v>333.84</v>
      </c>
    </row>
    <row r="10525" spans="1:12" x14ac:dyDescent="0.25">
      <c r="A10525" t="str">
        <f t="shared" si="2294"/>
        <v>89301000</v>
      </c>
      <c r="B10525" t="str">
        <f t="shared" si="2295"/>
        <v>06539000</v>
      </c>
      <c r="C10525" t="str">
        <f>"06539003"</f>
        <v>06539003</v>
      </c>
      <c r="D10525" t="str">
        <f>"813"</f>
        <v>813</v>
      </c>
      <c r="E10525" t="str">
        <f t="shared" si="2297"/>
        <v>89301172</v>
      </c>
      <c r="F10525" t="str">
        <f>"8654254719"</f>
        <v>8654254719</v>
      </c>
      <c r="G10525" s="1">
        <v>44848</v>
      </c>
      <c r="H10525" t="str">
        <f>"91475"</f>
        <v>91475</v>
      </c>
      <c r="I10525">
        <v>1</v>
      </c>
      <c r="J10525">
        <v>206</v>
      </c>
      <c r="K10525">
        <v>0</v>
      </c>
      <c r="L10525">
        <v>160.68</v>
      </c>
    </row>
    <row r="10526" spans="1:12" x14ac:dyDescent="0.25">
      <c r="A10526" t="str">
        <f t="shared" si="2294"/>
        <v>89301000</v>
      </c>
      <c r="B10526" t="str">
        <f t="shared" ref="B10526:B10538" si="2298">"91009000"</f>
        <v>91009000</v>
      </c>
      <c r="C10526" t="str">
        <f>"91009522"</f>
        <v>91009522</v>
      </c>
      <c r="D10526" t="str">
        <f>"816"</f>
        <v>816</v>
      </c>
      <c r="E10526" t="str">
        <f>"89301282"</f>
        <v>89301282</v>
      </c>
      <c r="F10526" t="str">
        <f>"0555246076"</f>
        <v>0555246076</v>
      </c>
      <c r="G10526" s="1">
        <v>44850</v>
      </c>
      <c r="H10526" t="str">
        <f>"94948"</f>
        <v>94948</v>
      </c>
      <c r="I10526">
        <v>2</v>
      </c>
      <c r="J10526">
        <v>0</v>
      </c>
      <c r="K10526">
        <v>0</v>
      </c>
      <c r="L10526">
        <v>0</v>
      </c>
    </row>
    <row r="10527" spans="1:12" x14ac:dyDescent="0.25">
      <c r="A10527" t="str">
        <f t="shared" si="2294"/>
        <v>89301000</v>
      </c>
      <c r="B10527" t="str">
        <f t="shared" si="2298"/>
        <v>91009000</v>
      </c>
      <c r="C10527" t="str">
        <f>"91009522"</f>
        <v>91009522</v>
      </c>
      <c r="D10527" t="str">
        <f>"816"</f>
        <v>816</v>
      </c>
      <c r="E10527" t="str">
        <f>"89301282"</f>
        <v>89301282</v>
      </c>
      <c r="F10527" t="str">
        <f>"0555246076"</f>
        <v>0555246076</v>
      </c>
      <c r="G10527" s="1">
        <v>44850</v>
      </c>
      <c r="H10527" t="str">
        <f>"94984"</f>
        <v>94984</v>
      </c>
      <c r="I10527">
        <v>1</v>
      </c>
      <c r="J10527">
        <v>0</v>
      </c>
      <c r="K10527">
        <v>57200</v>
      </c>
      <c r="L10527">
        <v>57200</v>
      </c>
    </row>
    <row r="10528" spans="1:12" x14ac:dyDescent="0.25">
      <c r="A10528" t="str">
        <f t="shared" si="2294"/>
        <v>89301000</v>
      </c>
      <c r="B10528" t="str">
        <f t="shared" si="2298"/>
        <v>91009000</v>
      </c>
      <c r="C10528" t="str">
        <f>"91009522"</f>
        <v>91009522</v>
      </c>
      <c r="D10528" t="str">
        <f>"816"</f>
        <v>816</v>
      </c>
      <c r="E10528" t="str">
        <f>"89301282"</f>
        <v>89301282</v>
      </c>
      <c r="F10528" t="str">
        <f>"0555246076"</f>
        <v>0555246076</v>
      </c>
      <c r="G10528" s="1">
        <v>44850</v>
      </c>
      <c r="H10528" t="str">
        <f>"94996"</f>
        <v>94996</v>
      </c>
      <c r="I10528">
        <v>1</v>
      </c>
      <c r="J10528">
        <v>0</v>
      </c>
      <c r="K10528">
        <v>0</v>
      </c>
      <c r="L10528">
        <v>0</v>
      </c>
    </row>
    <row r="10529" spans="1:12" x14ac:dyDescent="0.25">
      <c r="A10529" t="str">
        <f t="shared" si="2294"/>
        <v>89301000</v>
      </c>
      <c r="B10529" t="str">
        <f t="shared" si="2298"/>
        <v>91009000</v>
      </c>
      <c r="C10529" t="str">
        <f t="shared" ref="C10529:C10538" si="2299">"91009605"</f>
        <v>91009605</v>
      </c>
      <c r="D10529" t="str">
        <f t="shared" ref="D10529:D10538" si="2300">"818"</f>
        <v>818</v>
      </c>
      <c r="E10529" t="str">
        <f t="shared" ref="E10529:E10538" si="2301">"89301109"</f>
        <v>89301109</v>
      </c>
      <c r="F10529" t="str">
        <f>"0704246158"</f>
        <v>0704246158</v>
      </c>
      <c r="G10529" s="1">
        <v>44852</v>
      </c>
      <c r="H10529" t="str">
        <f>"91431"</f>
        <v>91431</v>
      </c>
      <c r="I10529">
        <v>1</v>
      </c>
      <c r="J10529">
        <v>535</v>
      </c>
      <c r="K10529">
        <v>0</v>
      </c>
      <c r="L10529">
        <v>486.85</v>
      </c>
    </row>
    <row r="10530" spans="1:12" x14ac:dyDescent="0.25">
      <c r="A10530" t="str">
        <f t="shared" si="2294"/>
        <v>89301000</v>
      </c>
      <c r="B10530" t="str">
        <f t="shared" si="2298"/>
        <v>91009000</v>
      </c>
      <c r="C10530" t="str">
        <f t="shared" si="2299"/>
        <v>91009605</v>
      </c>
      <c r="D10530" t="str">
        <f t="shared" si="2300"/>
        <v>818</v>
      </c>
      <c r="E10530" t="str">
        <f t="shared" si="2301"/>
        <v>89301109</v>
      </c>
      <c r="F10530" t="str">
        <f>"0704246158"</f>
        <v>0704246158</v>
      </c>
      <c r="G10530" s="1">
        <v>44854</v>
      </c>
      <c r="H10530" t="str">
        <f>"22122"</f>
        <v>22122</v>
      </c>
      <c r="I10530">
        <v>1</v>
      </c>
      <c r="J10530">
        <v>573</v>
      </c>
      <c r="K10530">
        <v>0</v>
      </c>
      <c r="L10530">
        <v>521.42999999999995</v>
      </c>
    </row>
    <row r="10531" spans="1:12" x14ac:dyDescent="0.25">
      <c r="A10531" t="str">
        <f t="shared" si="2294"/>
        <v>89301000</v>
      </c>
      <c r="B10531" t="str">
        <f t="shared" si="2298"/>
        <v>91009000</v>
      </c>
      <c r="C10531" t="str">
        <f t="shared" si="2299"/>
        <v>91009605</v>
      </c>
      <c r="D10531" t="str">
        <f t="shared" si="2300"/>
        <v>818</v>
      </c>
      <c r="E10531" t="str">
        <f t="shared" si="2301"/>
        <v>89301109</v>
      </c>
      <c r="F10531" t="str">
        <f>"0704246158"</f>
        <v>0704246158</v>
      </c>
      <c r="G10531" s="1">
        <v>44854</v>
      </c>
      <c r="H10531" t="str">
        <f>"22123"</f>
        <v>22123</v>
      </c>
      <c r="I10531">
        <v>1</v>
      </c>
      <c r="J10531">
        <v>322</v>
      </c>
      <c r="K10531">
        <v>0</v>
      </c>
      <c r="L10531">
        <v>293.02</v>
      </c>
    </row>
    <row r="10532" spans="1:12" x14ac:dyDescent="0.25">
      <c r="A10532" t="str">
        <f t="shared" si="2294"/>
        <v>89301000</v>
      </c>
      <c r="B10532" t="str">
        <f t="shared" si="2298"/>
        <v>91009000</v>
      </c>
      <c r="C10532" t="str">
        <f t="shared" si="2299"/>
        <v>91009605</v>
      </c>
      <c r="D10532" t="str">
        <f t="shared" si="2300"/>
        <v>818</v>
      </c>
      <c r="E10532" t="str">
        <f t="shared" si="2301"/>
        <v>89301109</v>
      </c>
      <c r="F10532" t="str">
        <f>"0760283227"</f>
        <v>0760283227</v>
      </c>
      <c r="G10532" s="1">
        <v>44859</v>
      </c>
      <c r="H10532" t="str">
        <f>"91431"</f>
        <v>91431</v>
      </c>
      <c r="I10532">
        <v>1</v>
      </c>
      <c r="J10532">
        <v>535</v>
      </c>
      <c r="K10532">
        <v>0</v>
      </c>
      <c r="L10532">
        <v>486.85</v>
      </c>
    </row>
    <row r="10533" spans="1:12" x14ac:dyDescent="0.25">
      <c r="A10533" t="str">
        <f t="shared" si="2294"/>
        <v>89301000</v>
      </c>
      <c r="B10533" t="str">
        <f t="shared" si="2298"/>
        <v>91009000</v>
      </c>
      <c r="C10533" t="str">
        <f t="shared" si="2299"/>
        <v>91009605</v>
      </c>
      <c r="D10533" t="str">
        <f t="shared" si="2300"/>
        <v>818</v>
      </c>
      <c r="E10533" t="str">
        <f t="shared" si="2301"/>
        <v>89301109</v>
      </c>
      <c r="F10533" t="str">
        <f>"0760283227"</f>
        <v>0760283227</v>
      </c>
      <c r="G10533" s="1">
        <v>44859</v>
      </c>
      <c r="H10533" t="str">
        <f>"97111"</f>
        <v>97111</v>
      </c>
      <c r="I10533">
        <v>1</v>
      </c>
      <c r="J10533">
        <v>18</v>
      </c>
      <c r="K10533">
        <v>0</v>
      </c>
      <c r="L10533">
        <v>16.38</v>
      </c>
    </row>
    <row r="10534" spans="1:12" x14ac:dyDescent="0.25">
      <c r="A10534" t="str">
        <f t="shared" si="2294"/>
        <v>89301000</v>
      </c>
      <c r="B10534" t="str">
        <f t="shared" si="2298"/>
        <v>91009000</v>
      </c>
      <c r="C10534" t="str">
        <f t="shared" si="2299"/>
        <v>91009605</v>
      </c>
      <c r="D10534" t="str">
        <f t="shared" si="2300"/>
        <v>818</v>
      </c>
      <c r="E10534" t="str">
        <f t="shared" si="2301"/>
        <v>89301109</v>
      </c>
      <c r="F10534" t="str">
        <f>"0760283227"</f>
        <v>0760283227</v>
      </c>
      <c r="G10534" s="1">
        <v>44861</v>
      </c>
      <c r="H10534" t="str">
        <f>"22122"</f>
        <v>22122</v>
      </c>
      <c r="I10534">
        <v>1</v>
      </c>
      <c r="J10534">
        <v>573</v>
      </c>
      <c r="K10534">
        <v>0</v>
      </c>
      <c r="L10534">
        <v>521.42999999999995</v>
      </c>
    </row>
    <row r="10535" spans="1:12" x14ac:dyDescent="0.25">
      <c r="A10535" t="str">
        <f t="shared" si="2294"/>
        <v>89301000</v>
      </c>
      <c r="B10535" t="str">
        <f t="shared" si="2298"/>
        <v>91009000</v>
      </c>
      <c r="C10535" t="str">
        <f t="shared" si="2299"/>
        <v>91009605</v>
      </c>
      <c r="D10535" t="str">
        <f t="shared" si="2300"/>
        <v>818</v>
      </c>
      <c r="E10535" t="str">
        <f t="shared" si="2301"/>
        <v>89301109</v>
      </c>
      <c r="F10535" t="str">
        <f>"0760283227"</f>
        <v>0760283227</v>
      </c>
      <c r="G10535" s="1">
        <v>44861</v>
      </c>
      <c r="H10535" t="str">
        <f>"22123"</f>
        <v>22123</v>
      </c>
      <c r="I10535">
        <v>1</v>
      </c>
      <c r="J10535">
        <v>322</v>
      </c>
      <c r="K10535">
        <v>0</v>
      </c>
      <c r="L10535">
        <v>293.02</v>
      </c>
    </row>
    <row r="10536" spans="1:12" x14ac:dyDescent="0.25">
      <c r="A10536" t="str">
        <f t="shared" si="2294"/>
        <v>89301000</v>
      </c>
      <c r="B10536" t="str">
        <f t="shared" si="2298"/>
        <v>91009000</v>
      </c>
      <c r="C10536" t="str">
        <f t="shared" si="2299"/>
        <v>91009605</v>
      </c>
      <c r="D10536" t="str">
        <f t="shared" si="2300"/>
        <v>818</v>
      </c>
      <c r="E10536" t="str">
        <f t="shared" si="2301"/>
        <v>89301109</v>
      </c>
      <c r="F10536" t="str">
        <f>"1054023245"</f>
        <v>1054023245</v>
      </c>
      <c r="G10536" s="1">
        <v>44845</v>
      </c>
      <c r="H10536" t="str">
        <f>"91431"</f>
        <v>91431</v>
      </c>
      <c r="I10536">
        <v>1</v>
      </c>
      <c r="J10536">
        <v>535</v>
      </c>
      <c r="K10536">
        <v>0</v>
      </c>
      <c r="L10536">
        <v>486.85</v>
      </c>
    </row>
    <row r="10537" spans="1:12" x14ac:dyDescent="0.25">
      <c r="A10537" t="str">
        <f t="shared" si="2294"/>
        <v>89301000</v>
      </c>
      <c r="B10537" t="str">
        <f t="shared" si="2298"/>
        <v>91009000</v>
      </c>
      <c r="C10537" t="str">
        <f t="shared" si="2299"/>
        <v>91009605</v>
      </c>
      <c r="D10537" t="str">
        <f t="shared" si="2300"/>
        <v>818</v>
      </c>
      <c r="E10537" t="str">
        <f t="shared" si="2301"/>
        <v>89301109</v>
      </c>
      <c r="F10537" t="str">
        <f>"1054023245"</f>
        <v>1054023245</v>
      </c>
      <c r="G10537" s="1">
        <v>44847</v>
      </c>
      <c r="H10537" t="str">
        <f>"22122"</f>
        <v>22122</v>
      </c>
      <c r="I10537">
        <v>1</v>
      </c>
      <c r="J10537">
        <v>573</v>
      </c>
      <c r="K10537">
        <v>0</v>
      </c>
      <c r="L10537">
        <v>521.42999999999995</v>
      </c>
    </row>
    <row r="10538" spans="1:12" x14ac:dyDescent="0.25">
      <c r="A10538" t="str">
        <f t="shared" si="2294"/>
        <v>89301000</v>
      </c>
      <c r="B10538" t="str">
        <f t="shared" si="2298"/>
        <v>91009000</v>
      </c>
      <c r="C10538" t="str">
        <f t="shared" si="2299"/>
        <v>91009605</v>
      </c>
      <c r="D10538" t="str">
        <f t="shared" si="2300"/>
        <v>818</v>
      </c>
      <c r="E10538" t="str">
        <f t="shared" si="2301"/>
        <v>89301109</v>
      </c>
      <c r="F10538" t="str">
        <f>"1054023245"</f>
        <v>1054023245</v>
      </c>
      <c r="G10538" s="1">
        <v>44847</v>
      </c>
      <c r="H10538" t="str">
        <f>"22123"</f>
        <v>22123</v>
      </c>
      <c r="I10538">
        <v>1</v>
      </c>
      <c r="J10538">
        <v>322</v>
      </c>
      <c r="K10538">
        <v>0</v>
      </c>
      <c r="L10538">
        <v>293.02</v>
      </c>
    </row>
    <row r="10539" spans="1:12" x14ac:dyDescent="0.25">
      <c r="A10539" t="str">
        <f t="shared" si="2294"/>
        <v>89301000</v>
      </c>
      <c r="B10539" t="str">
        <f t="shared" ref="B10539:B10544" si="2302">"75002000"</f>
        <v>75002000</v>
      </c>
      <c r="C10539" t="str">
        <f t="shared" ref="C10539:C10544" si="2303">"75002810"</f>
        <v>75002810</v>
      </c>
      <c r="D10539" t="str">
        <f t="shared" ref="D10539:D10544" si="2304">"810"</f>
        <v>810</v>
      </c>
      <c r="E10539" t="str">
        <f>"89301132"</f>
        <v>89301132</v>
      </c>
      <c r="F10539" t="str">
        <f>"8012094310"</f>
        <v>8012094310</v>
      </c>
      <c r="G10539" s="1">
        <v>44839</v>
      </c>
      <c r="H10539" t="str">
        <f>"89713"</f>
        <v>89713</v>
      </c>
      <c r="I10539">
        <v>1</v>
      </c>
      <c r="J10539">
        <v>5362</v>
      </c>
      <c r="K10539">
        <v>0</v>
      </c>
      <c r="L10539">
        <v>3217.2</v>
      </c>
    </row>
    <row r="10540" spans="1:12" x14ac:dyDescent="0.25">
      <c r="A10540" t="str">
        <f t="shared" si="2294"/>
        <v>89301000</v>
      </c>
      <c r="B10540" t="str">
        <f t="shared" si="2302"/>
        <v>75002000</v>
      </c>
      <c r="C10540" t="str">
        <f t="shared" si="2303"/>
        <v>75002810</v>
      </c>
      <c r="D10540" t="str">
        <f t="shared" si="2304"/>
        <v>810</v>
      </c>
      <c r="E10540" t="str">
        <f>"89301132"</f>
        <v>89301132</v>
      </c>
      <c r="F10540" t="str">
        <f>"8012094310"</f>
        <v>8012094310</v>
      </c>
      <c r="G10540" s="1">
        <v>44839</v>
      </c>
      <c r="H10540" t="str">
        <f>"89725"</f>
        <v>89725</v>
      </c>
      <c r="I10540">
        <v>1</v>
      </c>
      <c r="J10540">
        <v>2839</v>
      </c>
      <c r="K10540">
        <v>0</v>
      </c>
      <c r="L10540">
        <v>1703.4</v>
      </c>
    </row>
    <row r="10541" spans="1:12" x14ac:dyDescent="0.25">
      <c r="A10541" t="str">
        <f t="shared" si="2294"/>
        <v>89301000</v>
      </c>
      <c r="B10541" t="str">
        <f t="shared" si="2302"/>
        <v>75002000</v>
      </c>
      <c r="C10541" t="str">
        <f t="shared" si="2303"/>
        <v>75002810</v>
      </c>
      <c r="D10541" t="str">
        <f t="shared" si="2304"/>
        <v>810</v>
      </c>
      <c r="E10541" t="str">
        <f>"89301172"</f>
        <v>89301172</v>
      </c>
      <c r="F10541" t="str">
        <f>"8058114262"</f>
        <v>8058114262</v>
      </c>
      <c r="G10541" s="1">
        <v>44853</v>
      </c>
      <c r="H10541" t="str">
        <f>"89713"</f>
        <v>89713</v>
      </c>
      <c r="I10541">
        <v>2</v>
      </c>
      <c r="J10541">
        <v>10724</v>
      </c>
      <c r="K10541">
        <v>0</v>
      </c>
      <c r="L10541">
        <v>6434.4</v>
      </c>
    </row>
    <row r="10542" spans="1:12" x14ac:dyDescent="0.25">
      <c r="A10542" t="str">
        <f t="shared" si="2294"/>
        <v>89301000</v>
      </c>
      <c r="B10542" t="str">
        <f t="shared" si="2302"/>
        <v>75002000</v>
      </c>
      <c r="C10542" t="str">
        <f t="shared" si="2303"/>
        <v>75002810</v>
      </c>
      <c r="D10542" t="str">
        <f t="shared" si="2304"/>
        <v>810</v>
      </c>
      <c r="E10542" t="str">
        <f>"89301172"</f>
        <v>89301172</v>
      </c>
      <c r="F10542" t="str">
        <f>"8058114262"</f>
        <v>8058114262</v>
      </c>
      <c r="G10542" s="1">
        <v>44853</v>
      </c>
      <c r="H10542" t="str">
        <f>"89725"</f>
        <v>89725</v>
      </c>
      <c r="I10542">
        <v>1</v>
      </c>
      <c r="J10542">
        <v>2839</v>
      </c>
      <c r="K10542">
        <v>0</v>
      </c>
      <c r="L10542">
        <v>1703.4</v>
      </c>
    </row>
    <row r="10543" spans="1:12" x14ac:dyDescent="0.25">
      <c r="A10543" t="str">
        <f t="shared" si="2294"/>
        <v>89301000</v>
      </c>
      <c r="B10543" t="str">
        <f t="shared" si="2302"/>
        <v>75002000</v>
      </c>
      <c r="C10543" t="str">
        <f t="shared" si="2303"/>
        <v>75002810</v>
      </c>
      <c r="D10543" t="str">
        <f t="shared" si="2304"/>
        <v>810</v>
      </c>
      <c r="E10543" t="str">
        <f>"89301172"</f>
        <v>89301172</v>
      </c>
      <c r="F10543" t="str">
        <f>"9205184593"</f>
        <v>9205184593</v>
      </c>
      <c r="G10543" s="1">
        <v>44839</v>
      </c>
      <c r="H10543" t="str">
        <f>"89713"</f>
        <v>89713</v>
      </c>
      <c r="I10543">
        <v>2</v>
      </c>
      <c r="J10543">
        <v>10724</v>
      </c>
      <c r="K10543">
        <v>0</v>
      </c>
      <c r="L10543">
        <v>6434.4</v>
      </c>
    </row>
    <row r="10544" spans="1:12" x14ac:dyDescent="0.25">
      <c r="A10544" t="str">
        <f t="shared" si="2294"/>
        <v>89301000</v>
      </c>
      <c r="B10544" t="str">
        <f t="shared" si="2302"/>
        <v>75002000</v>
      </c>
      <c r="C10544" t="str">
        <f t="shared" si="2303"/>
        <v>75002810</v>
      </c>
      <c r="D10544" t="str">
        <f t="shared" si="2304"/>
        <v>810</v>
      </c>
      <c r="E10544" t="str">
        <f>"89301172"</f>
        <v>89301172</v>
      </c>
      <c r="F10544" t="str">
        <f>"9205184593"</f>
        <v>9205184593</v>
      </c>
      <c r="G10544" s="1">
        <v>44839</v>
      </c>
      <c r="H10544" t="str">
        <f>"89725"</f>
        <v>89725</v>
      </c>
      <c r="I10544">
        <v>1</v>
      </c>
      <c r="J10544">
        <v>2839</v>
      </c>
      <c r="K10544">
        <v>0</v>
      </c>
      <c r="L10544">
        <v>1703.4</v>
      </c>
    </row>
    <row r="10545" spans="1:12" x14ac:dyDescent="0.25">
      <c r="A10545" t="str">
        <f t="shared" si="2294"/>
        <v>89301000</v>
      </c>
      <c r="B10545" t="str">
        <f>"02001000"</f>
        <v>02001000</v>
      </c>
      <c r="C10545" t="str">
        <f>"02001171"</f>
        <v>02001171</v>
      </c>
      <c r="D10545" t="str">
        <f>"813"</f>
        <v>813</v>
      </c>
      <c r="E10545" t="str">
        <f>"89301032"</f>
        <v>89301032</v>
      </c>
      <c r="F10545" t="str">
        <f>"7304205348"</f>
        <v>7304205348</v>
      </c>
      <c r="G10545" s="1">
        <v>44841</v>
      </c>
      <c r="H10545" t="str">
        <f>"91197"</f>
        <v>91197</v>
      </c>
      <c r="I10545">
        <v>1</v>
      </c>
      <c r="J10545">
        <v>1046</v>
      </c>
      <c r="K10545">
        <v>0</v>
      </c>
      <c r="L10545">
        <v>815.88</v>
      </c>
    </row>
    <row r="10546" spans="1:12" x14ac:dyDescent="0.25">
      <c r="A10546" t="str">
        <f t="shared" si="2294"/>
        <v>89301000</v>
      </c>
      <c r="B10546" t="str">
        <f>"02001000"</f>
        <v>02001000</v>
      </c>
      <c r="C10546" t="str">
        <f>"02001171"</f>
        <v>02001171</v>
      </c>
      <c r="D10546" t="str">
        <f>"813"</f>
        <v>813</v>
      </c>
      <c r="E10546" t="str">
        <f>"89301032"</f>
        <v>89301032</v>
      </c>
      <c r="F10546" t="str">
        <f>"7058205319"</f>
        <v>7058205319</v>
      </c>
      <c r="G10546" s="1">
        <v>44855</v>
      </c>
      <c r="H10546" t="str">
        <f>"91197"</f>
        <v>91197</v>
      </c>
      <c r="I10546">
        <v>1</v>
      </c>
      <c r="J10546">
        <v>1046</v>
      </c>
      <c r="K10546">
        <v>0</v>
      </c>
      <c r="L10546">
        <v>815.88</v>
      </c>
    </row>
    <row r="10547" spans="1:12" x14ac:dyDescent="0.25">
      <c r="A10547" t="str">
        <f t="shared" si="2294"/>
        <v>89301000</v>
      </c>
      <c r="B10547" t="str">
        <f>"91009000"</f>
        <v>91009000</v>
      </c>
      <c r="C10547" t="str">
        <f>"91009132"</f>
        <v>91009132</v>
      </c>
      <c r="D10547" t="str">
        <f>"812"</f>
        <v>812</v>
      </c>
      <c r="E10547" t="str">
        <f>"89301212"</f>
        <v>89301212</v>
      </c>
      <c r="F10547" t="str">
        <f>"8556125776"</f>
        <v>8556125776</v>
      </c>
      <c r="G10547" s="1">
        <v>44831</v>
      </c>
      <c r="H10547" t="str">
        <f>"99111"</f>
        <v>99111</v>
      </c>
      <c r="I10547">
        <v>1</v>
      </c>
      <c r="J10547">
        <v>206</v>
      </c>
      <c r="K10547">
        <v>0</v>
      </c>
      <c r="L10547">
        <v>160.68</v>
      </c>
    </row>
    <row r="10548" spans="1:12" x14ac:dyDescent="0.25">
      <c r="A10548" t="str">
        <f t="shared" si="2294"/>
        <v>89301000</v>
      </c>
      <c r="B10548" t="str">
        <f t="shared" ref="B10548:B10561" si="2305">"02004000"</f>
        <v>02004000</v>
      </c>
      <c r="C10548" t="str">
        <f>"02004153"</f>
        <v>02004153</v>
      </c>
      <c r="D10548" t="str">
        <f>"816"</f>
        <v>816</v>
      </c>
      <c r="E10548" t="str">
        <f>"89301282"</f>
        <v>89301282</v>
      </c>
      <c r="F10548" t="str">
        <f>"9262265705"</f>
        <v>9262265705</v>
      </c>
      <c r="G10548" s="1">
        <v>44840</v>
      </c>
      <c r="H10548" t="str">
        <f>"94221"</f>
        <v>94221</v>
      </c>
      <c r="I10548">
        <v>1</v>
      </c>
      <c r="J10548">
        <v>2453</v>
      </c>
      <c r="K10548">
        <v>0</v>
      </c>
      <c r="L10548">
        <v>2085.0500000000002</v>
      </c>
    </row>
    <row r="10549" spans="1:12" x14ac:dyDescent="0.25">
      <c r="A10549" t="str">
        <f t="shared" si="2294"/>
        <v>89301000</v>
      </c>
      <c r="B10549" t="str">
        <f t="shared" si="2305"/>
        <v>02004000</v>
      </c>
      <c r="C10549" t="str">
        <f>"02004556"</f>
        <v>02004556</v>
      </c>
      <c r="D10549" t="str">
        <f>"813"</f>
        <v>813</v>
      </c>
      <c r="E10549" t="str">
        <f>"89301102"</f>
        <v>89301102</v>
      </c>
      <c r="F10549" t="str">
        <f>"0658303239"</f>
        <v>0658303239</v>
      </c>
      <c r="G10549" s="1">
        <v>44837</v>
      </c>
      <c r="H10549" t="str">
        <f>"91249"</f>
        <v>91249</v>
      </c>
      <c r="I10549">
        <v>1</v>
      </c>
      <c r="J10549">
        <v>1489</v>
      </c>
      <c r="K10549">
        <v>0</v>
      </c>
      <c r="L10549">
        <v>1161.42</v>
      </c>
    </row>
    <row r="10550" spans="1:12" x14ac:dyDescent="0.25">
      <c r="A10550" t="str">
        <f t="shared" si="2294"/>
        <v>89301000</v>
      </c>
      <c r="B10550" t="str">
        <f t="shared" si="2305"/>
        <v>02004000</v>
      </c>
      <c r="C10550" t="str">
        <f>"02004556"</f>
        <v>02004556</v>
      </c>
      <c r="D10550" t="str">
        <f>"813"</f>
        <v>813</v>
      </c>
      <c r="E10550" t="str">
        <f>"89301102"</f>
        <v>89301102</v>
      </c>
      <c r="F10550" t="str">
        <f>"0658303239"</f>
        <v>0658303239</v>
      </c>
      <c r="G10550" s="1">
        <v>44837</v>
      </c>
      <c r="H10550" t="str">
        <f>"91251"</f>
        <v>91251</v>
      </c>
      <c r="I10550">
        <v>1</v>
      </c>
      <c r="J10550">
        <v>1489</v>
      </c>
      <c r="K10550">
        <v>0</v>
      </c>
      <c r="L10550">
        <v>1161.42</v>
      </c>
    </row>
    <row r="10551" spans="1:12" x14ac:dyDescent="0.25">
      <c r="A10551" t="str">
        <f t="shared" si="2294"/>
        <v>89301000</v>
      </c>
      <c r="B10551" t="str">
        <f t="shared" si="2305"/>
        <v>02004000</v>
      </c>
      <c r="C10551" t="str">
        <f>"02004556"</f>
        <v>02004556</v>
      </c>
      <c r="D10551" t="str">
        <f>"813"</f>
        <v>813</v>
      </c>
      <c r="E10551" t="str">
        <f>"89301102"</f>
        <v>89301102</v>
      </c>
      <c r="F10551" t="str">
        <f>"0410225343"</f>
        <v>0410225343</v>
      </c>
      <c r="G10551" s="1">
        <v>44840</v>
      </c>
      <c r="H10551" t="str">
        <f>"91249"</f>
        <v>91249</v>
      </c>
      <c r="I10551">
        <v>1</v>
      </c>
      <c r="J10551">
        <v>1489</v>
      </c>
      <c r="K10551">
        <v>0</v>
      </c>
      <c r="L10551">
        <v>1161.42</v>
      </c>
    </row>
    <row r="10552" spans="1:12" x14ac:dyDescent="0.25">
      <c r="A10552" t="str">
        <f t="shared" si="2294"/>
        <v>89301000</v>
      </c>
      <c r="B10552" t="str">
        <f t="shared" si="2305"/>
        <v>02004000</v>
      </c>
      <c r="C10552" t="str">
        <f>"02004556"</f>
        <v>02004556</v>
      </c>
      <c r="D10552" t="str">
        <f>"813"</f>
        <v>813</v>
      </c>
      <c r="E10552" t="str">
        <f>"89301102"</f>
        <v>89301102</v>
      </c>
      <c r="F10552" t="str">
        <f>"0410225343"</f>
        <v>0410225343</v>
      </c>
      <c r="G10552" s="1">
        <v>44840</v>
      </c>
      <c r="H10552" t="str">
        <f>"91251"</f>
        <v>91251</v>
      </c>
      <c r="I10552">
        <v>1</v>
      </c>
      <c r="J10552">
        <v>1489</v>
      </c>
      <c r="K10552">
        <v>0</v>
      </c>
      <c r="L10552">
        <v>1161.42</v>
      </c>
    </row>
    <row r="10553" spans="1:12" x14ac:dyDescent="0.25">
      <c r="A10553" t="str">
        <f t="shared" si="2294"/>
        <v>89301000</v>
      </c>
      <c r="B10553" t="str">
        <f t="shared" si="2305"/>
        <v>02004000</v>
      </c>
      <c r="C10553" t="str">
        <f>"02004561"</f>
        <v>02004561</v>
      </c>
      <c r="D10553" t="str">
        <f>"801"</f>
        <v>801</v>
      </c>
      <c r="E10553" t="str">
        <f>"89301702"</f>
        <v>89301702</v>
      </c>
      <c r="F10553" t="str">
        <f>"1410100186"</f>
        <v>1410100186</v>
      </c>
      <c r="G10553" s="1">
        <v>44834</v>
      </c>
      <c r="H10553" t="str">
        <f>"81655"</f>
        <v>81655</v>
      </c>
      <c r="I10553">
        <v>2</v>
      </c>
      <c r="J10553">
        <v>1144</v>
      </c>
      <c r="K10553">
        <v>0</v>
      </c>
      <c r="L10553">
        <v>892.32</v>
      </c>
    </row>
    <row r="10554" spans="1:12" x14ac:dyDescent="0.25">
      <c r="A10554" t="str">
        <f t="shared" si="2294"/>
        <v>89301000</v>
      </c>
      <c r="B10554" t="str">
        <f t="shared" si="2305"/>
        <v>02004000</v>
      </c>
      <c r="C10554" t="str">
        <f t="shared" ref="C10554:C10561" si="2306">"02004556"</f>
        <v>02004556</v>
      </c>
      <c r="D10554" t="str">
        <f t="shared" ref="D10554:D10561" si="2307">"813"</f>
        <v>813</v>
      </c>
      <c r="E10554" t="str">
        <f>"89301028"</f>
        <v>89301028</v>
      </c>
      <c r="F10554" t="str">
        <f>"8853075814"</f>
        <v>8853075814</v>
      </c>
      <c r="G10554" s="1">
        <v>44833</v>
      </c>
      <c r="H10554" t="str">
        <f>"91249"</f>
        <v>91249</v>
      </c>
      <c r="I10554">
        <v>1</v>
      </c>
      <c r="J10554">
        <v>1489</v>
      </c>
      <c r="K10554">
        <v>0</v>
      </c>
      <c r="L10554">
        <v>1161.42</v>
      </c>
    </row>
    <row r="10555" spans="1:12" x14ac:dyDescent="0.25">
      <c r="A10555" t="str">
        <f t="shared" si="2294"/>
        <v>89301000</v>
      </c>
      <c r="B10555" t="str">
        <f t="shared" si="2305"/>
        <v>02004000</v>
      </c>
      <c r="C10555" t="str">
        <f t="shared" si="2306"/>
        <v>02004556</v>
      </c>
      <c r="D10555" t="str">
        <f t="shared" si="2307"/>
        <v>813</v>
      </c>
      <c r="E10555" t="str">
        <f>"89301028"</f>
        <v>89301028</v>
      </c>
      <c r="F10555" t="str">
        <f>"8853075814"</f>
        <v>8853075814</v>
      </c>
      <c r="G10555" s="1">
        <v>44833</v>
      </c>
      <c r="H10555" t="str">
        <f>"91251"</f>
        <v>91251</v>
      </c>
      <c r="I10555">
        <v>1</v>
      </c>
      <c r="J10555">
        <v>1489</v>
      </c>
      <c r="K10555">
        <v>0</v>
      </c>
      <c r="L10555">
        <v>1161.42</v>
      </c>
    </row>
    <row r="10556" spans="1:12" x14ac:dyDescent="0.25">
      <c r="A10556" t="str">
        <f t="shared" si="2294"/>
        <v>89301000</v>
      </c>
      <c r="B10556" t="str">
        <f t="shared" si="2305"/>
        <v>02004000</v>
      </c>
      <c r="C10556" t="str">
        <f t="shared" si="2306"/>
        <v>02004556</v>
      </c>
      <c r="D10556" t="str">
        <f t="shared" si="2307"/>
        <v>813</v>
      </c>
      <c r="E10556" t="str">
        <f>"89301028"</f>
        <v>89301028</v>
      </c>
      <c r="F10556" t="str">
        <f>"9704296195"</f>
        <v>9704296195</v>
      </c>
      <c r="G10556" s="1">
        <v>44831</v>
      </c>
      <c r="H10556" t="str">
        <f>"91249"</f>
        <v>91249</v>
      </c>
      <c r="I10556">
        <v>1</v>
      </c>
      <c r="J10556">
        <v>1489</v>
      </c>
      <c r="K10556">
        <v>0</v>
      </c>
      <c r="L10556">
        <v>1161.42</v>
      </c>
    </row>
    <row r="10557" spans="1:12" x14ac:dyDescent="0.25">
      <c r="A10557" t="str">
        <f t="shared" si="2294"/>
        <v>89301000</v>
      </c>
      <c r="B10557" t="str">
        <f t="shared" si="2305"/>
        <v>02004000</v>
      </c>
      <c r="C10557" t="str">
        <f t="shared" si="2306"/>
        <v>02004556</v>
      </c>
      <c r="D10557" t="str">
        <f t="shared" si="2307"/>
        <v>813</v>
      </c>
      <c r="E10557" t="str">
        <f>"89301028"</f>
        <v>89301028</v>
      </c>
      <c r="F10557" t="str">
        <f>"9704296195"</f>
        <v>9704296195</v>
      </c>
      <c r="G10557" s="1">
        <v>44831</v>
      </c>
      <c r="H10557" t="str">
        <f>"91251"</f>
        <v>91251</v>
      </c>
      <c r="I10557">
        <v>1</v>
      </c>
      <c r="J10557">
        <v>1489</v>
      </c>
      <c r="K10557">
        <v>0</v>
      </c>
      <c r="L10557">
        <v>1161.42</v>
      </c>
    </row>
    <row r="10558" spans="1:12" x14ac:dyDescent="0.25">
      <c r="A10558" t="str">
        <f t="shared" si="2294"/>
        <v>89301000</v>
      </c>
      <c r="B10558" t="str">
        <f t="shared" si="2305"/>
        <v>02004000</v>
      </c>
      <c r="C10558" t="str">
        <f t="shared" si="2306"/>
        <v>02004556</v>
      </c>
      <c r="D10558" t="str">
        <f t="shared" si="2307"/>
        <v>813</v>
      </c>
      <c r="E10558" t="str">
        <f>"89301102"</f>
        <v>89301102</v>
      </c>
      <c r="F10558" t="str">
        <f>"1754070054"</f>
        <v>1754070054</v>
      </c>
      <c r="G10558" s="1">
        <v>44831</v>
      </c>
      <c r="H10558" t="str">
        <f>"91249"</f>
        <v>91249</v>
      </c>
      <c r="I10558">
        <v>1</v>
      </c>
      <c r="J10558">
        <v>1489</v>
      </c>
      <c r="K10558">
        <v>0</v>
      </c>
      <c r="L10558">
        <v>1161.42</v>
      </c>
    </row>
    <row r="10559" spans="1:12" x14ac:dyDescent="0.25">
      <c r="A10559" t="str">
        <f t="shared" si="2294"/>
        <v>89301000</v>
      </c>
      <c r="B10559" t="str">
        <f t="shared" si="2305"/>
        <v>02004000</v>
      </c>
      <c r="C10559" t="str">
        <f t="shared" si="2306"/>
        <v>02004556</v>
      </c>
      <c r="D10559" t="str">
        <f t="shared" si="2307"/>
        <v>813</v>
      </c>
      <c r="E10559" t="str">
        <f>"89301102"</f>
        <v>89301102</v>
      </c>
      <c r="F10559" t="str">
        <f>"1754070054"</f>
        <v>1754070054</v>
      </c>
      <c r="G10559" s="1">
        <v>44831</v>
      </c>
      <c r="H10559" t="str">
        <f>"91251"</f>
        <v>91251</v>
      </c>
      <c r="I10559">
        <v>1</v>
      </c>
      <c r="J10559">
        <v>1489</v>
      </c>
      <c r="K10559">
        <v>0</v>
      </c>
      <c r="L10559">
        <v>1161.42</v>
      </c>
    </row>
    <row r="10560" spans="1:12" x14ac:dyDescent="0.25">
      <c r="A10560" t="str">
        <f t="shared" si="2294"/>
        <v>89301000</v>
      </c>
      <c r="B10560" t="str">
        <f t="shared" si="2305"/>
        <v>02004000</v>
      </c>
      <c r="C10560" t="str">
        <f t="shared" si="2306"/>
        <v>02004556</v>
      </c>
      <c r="D10560" t="str">
        <f t="shared" si="2307"/>
        <v>813</v>
      </c>
      <c r="E10560" t="str">
        <f>"89301028"</f>
        <v>89301028</v>
      </c>
      <c r="F10560" t="str">
        <f>"9005145699"</f>
        <v>9005145699</v>
      </c>
      <c r="G10560" s="1">
        <v>44824</v>
      </c>
      <c r="H10560" t="str">
        <f>"91249"</f>
        <v>91249</v>
      </c>
      <c r="I10560">
        <v>1</v>
      </c>
      <c r="J10560">
        <v>1489</v>
      </c>
      <c r="K10560">
        <v>0</v>
      </c>
      <c r="L10560">
        <v>1161.42</v>
      </c>
    </row>
    <row r="10561" spans="1:12" x14ac:dyDescent="0.25">
      <c r="A10561" t="str">
        <f t="shared" si="2294"/>
        <v>89301000</v>
      </c>
      <c r="B10561" t="str">
        <f t="shared" si="2305"/>
        <v>02004000</v>
      </c>
      <c r="C10561" t="str">
        <f t="shared" si="2306"/>
        <v>02004556</v>
      </c>
      <c r="D10561" t="str">
        <f t="shared" si="2307"/>
        <v>813</v>
      </c>
      <c r="E10561" t="str">
        <f>"89301028"</f>
        <v>89301028</v>
      </c>
      <c r="F10561" t="str">
        <f>"9005145699"</f>
        <v>9005145699</v>
      </c>
      <c r="G10561" s="1">
        <v>44824</v>
      </c>
      <c r="H10561" t="str">
        <f>"91251"</f>
        <v>91251</v>
      </c>
      <c r="I10561">
        <v>1</v>
      </c>
      <c r="J10561">
        <v>1489</v>
      </c>
      <c r="K10561">
        <v>0</v>
      </c>
      <c r="L10561">
        <v>1161.42</v>
      </c>
    </row>
    <row r="10562" spans="1:12" x14ac:dyDescent="0.25">
      <c r="A10562" t="str">
        <f t="shared" ref="A10562:A10625" si="2308">"89301000"</f>
        <v>89301000</v>
      </c>
      <c r="B10562" t="str">
        <f>"06223000"</f>
        <v>06223000</v>
      </c>
      <c r="C10562" t="str">
        <f>"06223043"</f>
        <v>06223043</v>
      </c>
      <c r="D10562" t="str">
        <f>"801"</f>
        <v>801</v>
      </c>
      <c r="E10562" t="str">
        <f>"89301122"</f>
        <v>89301122</v>
      </c>
      <c r="F10562" t="str">
        <f>"6405081056"</f>
        <v>6405081056</v>
      </c>
      <c r="G10562" s="1">
        <v>44847</v>
      </c>
      <c r="H10562" t="str">
        <f>"81485"</f>
        <v>81485</v>
      </c>
      <c r="I10562">
        <v>1</v>
      </c>
      <c r="J10562">
        <v>453</v>
      </c>
      <c r="K10562">
        <v>0</v>
      </c>
      <c r="L10562">
        <v>353.34</v>
      </c>
    </row>
    <row r="10563" spans="1:12" x14ac:dyDescent="0.25">
      <c r="A10563" t="str">
        <f t="shared" si="2308"/>
        <v>89301000</v>
      </c>
      <c r="B10563" t="str">
        <f>"06223000"</f>
        <v>06223000</v>
      </c>
      <c r="C10563" t="str">
        <f>"06223043"</f>
        <v>06223043</v>
      </c>
      <c r="D10563" t="str">
        <f>"801"</f>
        <v>801</v>
      </c>
      <c r="E10563" t="str">
        <f>"89301122"</f>
        <v>89301122</v>
      </c>
      <c r="F10563" t="str">
        <f>"6008252008"</f>
        <v>6008252008</v>
      </c>
      <c r="G10563" s="1">
        <v>44847</v>
      </c>
      <c r="H10563" t="str">
        <f>"81485"</f>
        <v>81485</v>
      </c>
      <c r="I10563">
        <v>1</v>
      </c>
      <c r="J10563">
        <v>453</v>
      </c>
      <c r="K10563">
        <v>0</v>
      </c>
      <c r="L10563">
        <v>353.34</v>
      </c>
    </row>
    <row r="10564" spans="1:12" x14ac:dyDescent="0.25">
      <c r="A10564" t="str">
        <f t="shared" si="2308"/>
        <v>89301000</v>
      </c>
      <c r="B10564" t="str">
        <f>"06223000"</f>
        <v>06223000</v>
      </c>
      <c r="C10564" t="str">
        <f>"06223043"</f>
        <v>06223043</v>
      </c>
      <c r="D10564" t="str">
        <f>"801"</f>
        <v>801</v>
      </c>
      <c r="E10564" t="str">
        <f>"89301122"</f>
        <v>89301122</v>
      </c>
      <c r="F10564" t="str">
        <f>"7760275798"</f>
        <v>7760275798</v>
      </c>
      <c r="G10564" s="1">
        <v>44847</v>
      </c>
      <c r="H10564" t="str">
        <f>"81485"</f>
        <v>81485</v>
      </c>
      <c r="I10564">
        <v>1</v>
      </c>
      <c r="J10564">
        <v>453</v>
      </c>
      <c r="K10564">
        <v>0</v>
      </c>
      <c r="L10564">
        <v>353.34</v>
      </c>
    </row>
    <row r="10565" spans="1:12" x14ac:dyDescent="0.25">
      <c r="A10565" t="str">
        <f t="shared" si="2308"/>
        <v>89301000</v>
      </c>
      <c r="B10565" t="str">
        <f>"06223000"</f>
        <v>06223000</v>
      </c>
      <c r="C10565" t="str">
        <f>"06223043"</f>
        <v>06223043</v>
      </c>
      <c r="D10565" t="str">
        <f>"801"</f>
        <v>801</v>
      </c>
      <c r="E10565" t="str">
        <f>"89301122"</f>
        <v>89301122</v>
      </c>
      <c r="F10565" t="str">
        <f>"420808438"</f>
        <v>420808438</v>
      </c>
      <c r="G10565" s="1">
        <v>44855</v>
      </c>
      <c r="H10565" t="str">
        <f>"81485"</f>
        <v>81485</v>
      </c>
      <c r="I10565">
        <v>1</v>
      </c>
      <c r="J10565">
        <v>453</v>
      </c>
      <c r="K10565">
        <v>0</v>
      </c>
      <c r="L10565">
        <v>353.34</v>
      </c>
    </row>
    <row r="10566" spans="1:12" x14ac:dyDescent="0.25">
      <c r="A10566" t="str">
        <f t="shared" si="2308"/>
        <v>89301000</v>
      </c>
      <c r="B10566" t="str">
        <f>"05002000"</f>
        <v>05002000</v>
      </c>
      <c r="C10566" t="str">
        <f>"05002397"</f>
        <v>05002397</v>
      </c>
      <c r="D10566" t="str">
        <f>"818"</f>
        <v>818</v>
      </c>
      <c r="E10566" t="str">
        <f>"89301109"</f>
        <v>89301109</v>
      </c>
      <c r="F10566" t="str">
        <f>"0653313265"</f>
        <v>0653313265</v>
      </c>
      <c r="G10566" s="1">
        <v>44845</v>
      </c>
      <c r="H10566" t="str">
        <f>"91439"</f>
        <v>91439</v>
      </c>
      <c r="I10566">
        <v>9</v>
      </c>
      <c r="J10566">
        <v>3204</v>
      </c>
      <c r="K10566">
        <v>0</v>
      </c>
      <c r="L10566">
        <v>2915.64</v>
      </c>
    </row>
    <row r="10567" spans="1:12" x14ac:dyDescent="0.25">
      <c r="A10567" t="str">
        <f t="shared" si="2308"/>
        <v>89301000</v>
      </c>
      <c r="B10567" t="str">
        <f>"05002000"</f>
        <v>05002000</v>
      </c>
      <c r="C10567" t="str">
        <f>"05002397"</f>
        <v>05002397</v>
      </c>
      <c r="D10567" t="str">
        <f>"818"</f>
        <v>818</v>
      </c>
      <c r="E10567" t="str">
        <f>"89301109"</f>
        <v>89301109</v>
      </c>
      <c r="F10567" t="str">
        <f>"0653313265"</f>
        <v>0653313265</v>
      </c>
      <c r="G10567" s="1">
        <v>44845</v>
      </c>
      <c r="H10567" t="str">
        <f>"91439"</f>
        <v>91439</v>
      </c>
      <c r="I10567">
        <v>3</v>
      </c>
      <c r="J10567">
        <v>1068</v>
      </c>
      <c r="K10567">
        <v>0</v>
      </c>
      <c r="L10567">
        <v>971.88</v>
      </c>
    </row>
    <row r="10568" spans="1:12" x14ac:dyDescent="0.25">
      <c r="A10568" t="str">
        <f t="shared" si="2308"/>
        <v>89301000</v>
      </c>
      <c r="B10568" t="str">
        <f>"05002000"</f>
        <v>05002000</v>
      </c>
      <c r="C10568" t="str">
        <f>"05002397"</f>
        <v>05002397</v>
      </c>
      <c r="D10568" t="str">
        <f>"818"</f>
        <v>818</v>
      </c>
      <c r="E10568" t="str">
        <f>"89301109"</f>
        <v>89301109</v>
      </c>
      <c r="F10568" t="str">
        <f>"0653313265"</f>
        <v>0653313265</v>
      </c>
      <c r="G10568" s="1">
        <v>44846</v>
      </c>
      <c r="H10568" t="str">
        <f>"94225"</f>
        <v>94225</v>
      </c>
      <c r="I10568">
        <v>2</v>
      </c>
      <c r="J10568">
        <v>2374</v>
      </c>
      <c r="K10568">
        <v>0</v>
      </c>
      <c r="L10568">
        <v>2160.34</v>
      </c>
    </row>
    <row r="10569" spans="1:12" x14ac:dyDescent="0.25">
      <c r="A10569" t="str">
        <f t="shared" si="2308"/>
        <v>89301000</v>
      </c>
      <c r="B10569" t="str">
        <f>"05002000"</f>
        <v>05002000</v>
      </c>
      <c r="C10569" t="str">
        <f>"05002397"</f>
        <v>05002397</v>
      </c>
      <c r="D10569" t="str">
        <f>"818"</f>
        <v>818</v>
      </c>
      <c r="E10569" t="str">
        <f>"89301109"</f>
        <v>89301109</v>
      </c>
      <c r="F10569" t="str">
        <f>"0653313265"</f>
        <v>0653313265</v>
      </c>
      <c r="G10569" s="1">
        <v>44846</v>
      </c>
      <c r="H10569" t="str">
        <f>"94195"</f>
        <v>94195</v>
      </c>
      <c r="I10569">
        <v>1</v>
      </c>
      <c r="J10569">
        <v>378</v>
      </c>
      <c r="K10569">
        <v>0</v>
      </c>
      <c r="L10569">
        <v>343.98</v>
      </c>
    </row>
    <row r="10570" spans="1:12" x14ac:dyDescent="0.25">
      <c r="A10570" t="str">
        <f t="shared" si="2308"/>
        <v>89301000</v>
      </c>
      <c r="B10570" t="str">
        <f>"05002000"</f>
        <v>05002000</v>
      </c>
      <c r="C10570" t="str">
        <f>"05002397"</f>
        <v>05002397</v>
      </c>
      <c r="D10570" t="str">
        <f>"818"</f>
        <v>818</v>
      </c>
      <c r="E10570" t="str">
        <f>"89301109"</f>
        <v>89301109</v>
      </c>
      <c r="F10570" t="str">
        <f>"0653313265"</f>
        <v>0653313265</v>
      </c>
      <c r="G10570" s="1">
        <v>44846</v>
      </c>
      <c r="H10570" t="str">
        <f>"94337"</f>
        <v>94337</v>
      </c>
      <c r="I10570">
        <v>3</v>
      </c>
      <c r="J10570">
        <v>26880</v>
      </c>
      <c r="K10570">
        <v>0</v>
      </c>
      <c r="L10570">
        <v>24460.799999999999</v>
      </c>
    </row>
    <row r="10571" spans="1:12" x14ac:dyDescent="0.25">
      <c r="A10571" t="str">
        <f t="shared" si="2308"/>
        <v>89301000</v>
      </c>
      <c r="B10571" t="str">
        <f>"91866000"</f>
        <v>91866000</v>
      </c>
      <c r="C10571" t="str">
        <f>"91866313"</f>
        <v>91866313</v>
      </c>
      <c r="D10571" t="str">
        <f>"802"</f>
        <v>802</v>
      </c>
      <c r="E10571" t="str">
        <f>"89301161"</f>
        <v>89301161</v>
      </c>
      <c r="F10571" t="str">
        <f>"5456263626"</f>
        <v>5456263626</v>
      </c>
      <c r="G10571" s="1">
        <v>44789</v>
      </c>
      <c r="H10571" t="str">
        <f>"85111"</f>
        <v>85111</v>
      </c>
      <c r="I10571">
        <v>2</v>
      </c>
      <c r="J10571">
        <v>862</v>
      </c>
      <c r="K10571">
        <v>0</v>
      </c>
      <c r="L10571">
        <v>784.42</v>
      </c>
    </row>
    <row r="10572" spans="1:12" x14ac:dyDescent="0.25">
      <c r="A10572" t="str">
        <f t="shared" si="2308"/>
        <v>89301000</v>
      </c>
      <c r="B10572" t="str">
        <f t="shared" ref="B10572:B10579" si="2309">"05002000"</f>
        <v>05002000</v>
      </c>
      <c r="C10572" t="str">
        <f>"05002397"</f>
        <v>05002397</v>
      </c>
      <c r="D10572" t="str">
        <f>"818"</f>
        <v>818</v>
      </c>
      <c r="E10572" t="str">
        <f>"89301109"</f>
        <v>89301109</v>
      </c>
      <c r="F10572" t="str">
        <f>"0905183224"</f>
        <v>0905183224</v>
      </c>
      <c r="G10572" s="1">
        <v>44830</v>
      </c>
      <c r="H10572" t="str">
        <f>"94225"</f>
        <v>94225</v>
      </c>
      <c r="I10572">
        <v>2</v>
      </c>
      <c r="J10572">
        <v>2374</v>
      </c>
      <c r="K10572">
        <v>0</v>
      </c>
      <c r="L10572">
        <v>2160.34</v>
      </c>
    </row>
    <row r="10573" spans="1:12" x14ac:dyDescent="0.25">
      <c r="A10573" t="str">
        <f t="shared" si="2308"/>
        <v>89301000</v>
      </c>
      <c r="B10573" t="str">
        <f t="shared" si="2309"/>
        <v>05002000</v>
      </c>
      <c r="C10573" t="str">
        <f>"05002397"</f>
        <v>05002397</v>
      </c>
      <c r="D10573" t="str">
        <f>"818"</f>
        <v>818</v>
      </c>
      <c r="E10573" t="str">
        <f>"89301109"</f>
        <v>89301109</v>
      </c>
      <c r="F10573" t="str">
        <f>"0905183224"</f>
        <v>0905183224</v>
      </c>
      <c r="G10573" s="1">
        <v>44830</v>
      </c>
      <c r="H10573" t="str">
        <f>"94337"</f>
        <v>94337</v>
      </c>
      <c r="I10573">
        <v>3</v>
      </c>
      <c r="J10573">
        <v>26880</v>
      </c>
      <c r="K10573">
        <v>0</v>
      </c>
      <c r="L10573">
        <v>24460.799999999999</v>
      </c>
    </row>
    <row r="10574" spans="1:12" x14ac:dyDescent="0.25">
      <c r="A10574" t="str">
        <f t="shared" si="2308"/>
        <v>89301000</v>
      </c>
      <c r="B10574" t="str">
        <f t="shared" si="2309"/>
        <v>05002000</v>
      </c>
      <c r="C10574" t="str">
        <f>"05002397"</f>
        <v>05002397</v>
      </c>
      <c r="D10574" t="str">
        <f>"818"</f>
        <v>818</v>
      </c>
      <c r="E10574" t="str">
        <f>"89301109"</f>
        <v>89301109</v>
      </c>
      <c r="F10574" t="str">
        <f>"0905183224"</f>
        <v>0905183224</v>
      </c>
      <c r="G10574" s="1">
        <v>44830</v>
      </c>
      <c r="H10574" t="str">
        <f>"94195"</f>
        <v>94195</v>
      </c>
      <c r="I10574">
        <v>1</v>
      </c>
      <c r="J10574">
        <v>378</v>
      </c>
      <c r="K10574">
        <v>0</v>
      </c>
      <c r="L10574">
        <v>343.98</v>
      </c>
    </row>
    <row r="10575" spans="1:12" x14ac:dyDescent="0.25">
      <c r="A10575" t="str">
        <f t="shared" si="2308"/>
        <v>89301000</v>
      </c>
      <c r="B10575" t="str">
        <f t="shared" si="2309"/>
        <v>05002000</v>
      </c>
      <c r="C10575" t="str">
        <f>"05002397"</f>
        <v>05002397</v>
      </c>
      <c r="D10575" t="str">
        <f>"818"</f>
        <v>818</v>
      </c>
      <c r="E10575" t="str">
        <f>"89301105"</f>
        <v>89301105</v>
      </c>
      <c r="F10575" t="str">
        <f>"2001160744"</f>
        <v>2001160744</v>
      </c>
      <c r="G10575" s="1">
        <v>44833</v>
      </c>
      <c r="H10575" t="str">
        <f>"94225"</f>
        <v>94225</v>
      </c>
      <c r="I10575">
        <v>1</v>
      </c>
      <c r="J10575">
        <v>1187</v>
      </c>
      <c r="K10575">
        <v>0</v>
      </c>
      <c r="L10575">
        <v>1080.17</v>
      </c>
    </row>
    <row r="10576" spans="1:12" x14ac:dyDescent="0.25">
      <c r="A10576" t="str">
        <f t="shared" si="2308"/>
        <v>89301000</v>
      </c>
      <c r="B10576" t="str">
        <f t="shared" si="2309"/>
        <v>05002000</v>
      </c>
      <c r="C10576" t="str">
        <f>"05002397"</f>
        <v>05002397</v>
      </c>
      <c r="D10576" t="str">
        <f>"818"</f>
        <v>818</v>
      </c>
      <c r="E10576" t="str">
        <f>"89301105"</f>
        <v>89301105</v>
      </c>
      <c r="F10576" t="str">
        <f>"2001160744"</f>
        <v>2001160744</v>
      </c>
      <c r="G10576" s="1">
        <v>44833</v>
      </c>
      <c r="H10576" t="str">
        <f>"94337"</f>
        <v>94337</v>
      </c>
      <c r="I10576">
        <v>6</v>
      </c>
      <c r="J10576">
        <v>53760</v>
      </c>
      <c r="K10576">
        <v>0</v>
      </c>
      <c r="L10576">
        <v>48921.599999999999</v>
      </c>
    </row>
    <row r="10577" spans="1:12" x14ac:dyDescent="0.25">
      <c r="A10577" t="str">
        <f t="shared" si="2308"/>
        <v>89301000</v>
      </c>
      <c r="B10577" t="str">
        <f t="shared" si="2309"/>
        <v>05002000</v>
      </c>
      <c r="C10577" t="str">
        <f>"05002174"</f>
        <v>05002174</v>
      </c>
      <c r="D10577" t="str">
        <f>"802"</f>
        <v>802</v>
      </c>
      <c r="E10577" t="str">
        <f>"89301172"</f>
        <v>89301172</v>
      </c>
      <c r="F10577" t="str">
        <f>"6961184659"</f>
        <v>6961184659</v>
      </c>
      <c r="G10577" s="1">
        <v>44834</v>
      </c>
      <c r="H10577" t="str">
        <f>"85115"</f>
        <v>85115</v>
      </c>
      <c r="I10577">
        <v>1</v>
      </c>
      <c r="J10577">
        <v>2423</v>
      </c>
      <c r="K10577">
        <v>0</v>
      </c>
      <c r="L10577">
        <v>2204.9299999999998</v>
      </c>
    </row>
    <row r="10578" spans="1:12" x14ac:dyDescent="0.25">
      <c r="A10578" t="str">
        <f t="shared" si="2308"/>
        <v>89301000</v>
      </c>
      <c r="B10578" t="str">
        <f t="shared" si="2309"/>
        <v>05002000</v>
      </c>
      <c r="C10578" t="str">
        <f>"05002174"</f>
        <v>05002174</v>
      </c>
      <c r="D10578" t="str">
        <f>"802"</f>
        <v>802</v>
      </c>
      <c r="E10578" t="str">
        <f>"89301172"</f>
        <v>89301172</v>
      </c>
      <c r="F10578" t="str">
        <f>"7654274650"</f>
        <v>7654274650</v>
      </c>
      <c r="G10578" s="1">
        <v>44834</v>
      </c>
      <c r="H10578" t="str">
        <f>"85115"</f>
        <v>85115</v>
      </c>
      <c r="I10578">
        <v>1</v>
      </c>
      <c r="J10578">
        <v>2423</v>
      </c>
      <c r="K10578">
        <v>0</v>
      </c>
      <c r="L10578">
        <v>2204.9299999999998</v>
      </c>
    </row>
    <row r="10579" spans="1:12" x14ac:dyDescent="0.25">
      <c r="A10579" t="str">
        <f t="shared" si="2308"/>
        <v>89301000</v>
      </c>
      <c r="B10579" t="str">
        <f t="shared" si="2309"/>
        <v>05002000</v>
      </c>
      <c r="C10579" t="str">
        <f>"05002174"</f>
        <v>05002174</v>
      </c>
      <c r="D10579" t="str">
        <f>"802"</f>
        <v>802</v>
      </c>
      <c r="E10579" t="str">
        <f>"89301172"</f>
        <v>89301172</v>
      </c>
      <c r="F10579" t="str">
        <f>"7903245328"</f>
        <v>7903245328</v>
      </c>
      <c r="G10579" s="1">
        <v>44834</v>
      </c>
      <c r="H10579" t="str">
        <f>"85115"</f>
        <v>85115</v>
      </c>
      <c r="I10579">
        <v>1</v>
      </c>
      <c r="J10579">
        <v>2423</v>
      </c>
      <c r="K10579">
        <v>0</v>
      </c>
      <c r="L10579">
        <v>2204.9299999999998</v>
      </c>
    </row>
    <row r="10580" spans="1:12" x14ac:dyDescent="0.25">
      <c r="A10580" t="str">
        <f t="shared" si="2308"/>
        <v>89301000</v>
      </c>
      <c r="B10580" t="str">
        <f>"95498000"</f>
        <v>95498000</v>
      </c>
      <c r="C10580" t="str">
        <f>"95498001"</f>
        <v>95498001</v>
      </c>
      <c r="D10580" t="str">
        <f>"809"</f>
        <v>809</v>
      </c>
      <c r="E10580" t="str">
        <f>"89301062"</f>
        <v>89301062</v>
      </c>
      <c r="F10580" t="str">
        <f>"5659031026"</f>
        <v>5659031026</v>
      </c>
      <c r="G10580" s="1">
        <v>44875</v>
      </c>
      <c r="H10580" t="str">
        <f>"89119"</f>
        <v>89119</v>
      </c>
      <c r="I10580">
        <v>2</v>
      </c>
      <c r="J10580">
        <v>400</v>
      </c>
      <c r="K10580">
        <v>0</v>
      </c>
      <c r="L10580">
        <v>560</v>
      </c>
    </row>
    <row r="10581" spans="1:12" x14ac:dyDescent="0.25">
      <c r="A10581" t="str">
        <f t="shared" si="2308"/>
        <v>89301000</v>
      </c>
      <c r="B10581" t="str">
        <f>"86240000"</f>
        <v>86240000</v>
      </c>
      <c r="C10581" t="str">
        <f>"86240002"</f>
        <v>86240002</v>
      </c>
      <c r="D10581" t="str">
        <f>"801"</f>
        <v>801</v>
      </c>
      <c r="E10581" t="str">
        <f>"89301082"</f>
        <v>89301082</v>
      </c>
      <c r="F10581" t="str">
        <f>"8854065462"</f>
        <v>8854065462</v>
      </c>
      <c r="G10581" s="1">
        <v>44894</v>
      </c>
      <c r="H10581" t="str">
        <f>"93129"</f>
        <v>93129</v>
      </c>
      <c r="I10581">
        <v>1</v>
      </c>
      <c r="J10581">
        <v>168</v>
      </c>
      <c r="K10581">
        <v>0</v>
      </c>
      <c r="L10581">
        <v>131.04</v>
      </c>
    </row>
    <row r="10582" spans="1:12" x14ac:dyDescent="0.25">
      <c r="A10582" t="str">
        <f t="shared" si="2308"/>
        <v>89301000</v>
      </c>
      <c r="B10582" t="str">
        <f>"86240000"</f>
        <v>86240000</v>
      </c>
      <c r="C10582" t="str">
        <f>"86240002"</f>
        <v>86240002</v>
      </c>
      <c r="D10582" t="str">
        <f>"801"</f>
        <v>801</v>
      </c>
      <c r="E10582" t="str">
        <f>"89301082"</f>
        <v>89301082</v>
      </c>
      <c r="F10582" t="str">
        <f>"8854065462"</f>
        <v>8854065462</v>
      </c>
      <c r="G10582" s="1">
        <v>44894</v>
      </c>
      <c r="H10582" t="str">
        <f>"97111"</f>
        <v>97111</v>
      </c>
      <c r="I10582">
        <v>1</v>
      </c>
      <c r="J10582">
        <v>18</v>
      </c>
      <c r="K10582">
        <v>0</v>
      </c>
      <c r="L10582">
        <v>14.04</v>
      </c>
    </row>
    <row r="10583" spans="1:12" x14ac:dyDescent="0.25">
      <c r="A10583" t="str">
        <f t="shared" si="2308"/>
        <v>89301000</v>
      </c>
      <c r="B10583" t="str">
        <f>"86240000"</f>
        <v>86240000</v>
      </c>
      <c r="C10583" t="str">
        <f>"86240002"</f>
        <v>86240002</v>
      </c>
      <c r="D10583" t="str">
        <f>"801"</f>
        <v>801</v>
      </c>
      <c r="E10583" t="str">
        <f>"89301082"</f>
        <v>89301082</v>
      </c>
      <c r="F10583" t="str">
        <f>"8854065462"</f>
        <v>8854065462</v>
      </c>
      <c r="G10583" s="1">
        <v>44894</v>
      </c>
      <c r="H10583" t="str">
        <f>"93133"</f>
        <v>93133</v>
      </c>
      <c r="I10583">
        <v>1</v>
      </c>
      <c r="J10583">
        <v>168</v>
      </c>
      <c r="K10583">
        <v>0</v>
      </c>
      <c r="L10583">
        <v>131.04</v>
      </c>
    </row>
    <row r="10584" spans="1:12" x14ac:dyDescent="0.25">
      <c r="A10584" t="str">
        <f t="shared" si="2308"/>
        <v>89301000</v>
      </c>
      <c r="B10584" t="str">
        <f>"86240000"</f>
        <v>86240000</v>
      </c>
      <c r="C10584" t="str">
        <f>"86240002"</f>
        <v>86240002</v>
      </c>
      <c r="D10584" t="str">
        <f>"801"</f>
        <v>801</v>
      </c>
      <c r="E10584" t="str">
        <f>"89301082"</f>
        <v>89301082</v>
      </c>
      <c r="F10584" t="str">
        <f>"8854065462"</f>
        <v>8854065462</v>
      </c>
      <c r="G10584" s="1">
        <v>44894</v>
      </c>
      <c r="H10584" t="str">
        <f>"93177"</f>
        <v>93177</v>
      </c>
      <c r="I10584">
        <v>1</v>
      </c>
      <c r="J10584">
        <v>178</v>
      </c>
      <c r="K10584">
        <v>0</v>
      </c>
      <c r="L10584">
        <v>138.84</v>
      </c>
    </row>
    <row r="10585" spans="1:12" x14ac:dyDescent="0.25">
      <c r="A10585" t="str">
        <f t="shared" si="2308"/>
        <v>89301000</v>
      </c>
      <c r="B10585" t="str">
        <f>"86240000"</f>
        <v>86240000</v>
      </c>
      <c r="C10585" t="str">
        <f>"86240002"</f>
        <v>86240002</v>
      </c>
      <c r="D10585" t="str">
        <f>"801"</f>
        <v>801</v>
      </c>
      <c r="E10585" t="str">
        <f>"89301082"</f>
        <v>89301082</v>
      </c>
      <c r="F10585" t="str">
        <f>"8854065462"</f>
        <v>8854065462</v>
      </c>
      <c r="G10585" s="1">
        <v>44894</v>
      </c>
      <c r="H10585" t="str">
        <f>"93149"</f>
        <v>93149</v>
      </c>
      <c r="I10585">
        <v>1</v>
      </c>
      <c r="J10585">
        <v>204</v>
      </c>
      <c r="K10585">
        <v>0</v>
      </c>
      <c r="L10585">
        <v>159.12</v>
      </c>
    </row>
    <row r="10586" spans="1:12" x14ac:dyDescent="0.25">
      <c r="A10586" t="str">
        <f t="shared" si="2308"/>
        <v>89301000</v>
      </c>
      <c r="B10586" t="str">
        <f>"89511000"</f>
        <v>89511000</v>
      </c>
      <c r="C10586" t="str">
        <f>"89511001"</f>
        <v>89511001</v>
      </c>
      <c r="D10586" t="str">
        <f t="shared" ref="D10586:D10617" si="2310">"809"</f>
        <v>809</v>
      </c>
      <c r="E10586" t="str">
        <f>"89301034"</f>
        <v>89301034</v>
      </c>
      <c r="F10586" t="str">
        <f>"7752054871"</f>
        <v>7752054871</v>
      </c>
      <c r="G10586" s="1">
        <v>44889</v>
      </c>
      <c r="H10586" t="str">
        <f>"89513"</f>
        <v>89513</v>
      </c>
      <c r="I10586">
        <v>1</v>
      </c>
      <c r="J10586">
        <v>371</v>
      </c>
      <c r="K10586">
        <v>0</v>
      </c>
      <c r="L10586">
        <v>519.4</v>
      </c>
    </row>
    <row r="10587" spans="1:12" x14ac:dyDescent="0.25">
      <c r="A10587" t="str">
        <f t="shared" si="2308"/>
        <v>89301000</v>
      </c>
      <c r="B10587" t="str">
        <f>"89511000"</f>
        <v>89511000</v>
      </c>
      <c r="C10587" t="str">
        <f>"89511001"</f>
        <v>89511001</v>
      </c>
      <c r="D10587" t="str">
        <f t="shared" si="2310"/>
        <v>809</v>
      </c>
      <c r="E10587" t="str">
        <f>"89301034"</f>
        <v>89301034</v>
      </c>
      <c r="F10587" t="str">
        <f>"7752054871"</f>
        <v>7752054871</v>
      </c>
      <c r="G10587" s="1">
        <v>44889</v>
      </c>
      <c r="H10587" t="str">
        <f>"89514"</f>
        <v>89514</v>
      </c>
      <c r="I10587">
        <v>1</v>
      </c>
      <c r="J10587">
        <v>371</v>
      </c>
      <c r="K10587">
        <v>0</v>
      </c>
      <c r="L10587">
        <v>519.4</v>
      </c>
    </row>
    <row r="10588" spans="1:12" x14ac:dyDescent="0.25">
      <c r="A10588" t="str">
        <f t="shared" si="2308"/>
        <v>89301000</v>
      </c>
      <c r="B10588" t="str">
        <f t="shared" ref="B10588:B10619" si="2311">"78915000"</f>
        <v>78915000</v>
      </c>
      <c r="C10588" t="str">
        <f t="shared" ref="C10588:C10619" si="2312">"78915001"</f>
        <v>78915001</v>
      </c>
      <c r="D10588" t="str">
        <f t="shared" si="2310"/>
        <v>809</v>
      </c>
      <c r="E10588" t="str">
        <f>"89301112"</f>
        <v>89301112</v>
      </c>
      <c r="F10588" t="str">
        <f>"0054285385"</f>
        <v>0054285385</v>
      </c>
      <c r="G10588" s="1">
        <v>44889</v>
      </c>
      <c r="H10588" t="str">
        <f>"09567"</f>
        <v>09567</v>
      </c>
      <c r="I10588">
        <v>1</v>
      </c>
      <c r="J10588">
        <v>0</v>
      </c>
      <c r="K10588">
        <v>0</v>
      </c>
      <c r="L10588">
        <v>0</v>
      </c>
    </row>
    <row r="10589" spans="1:12" x14ac:dyDescent="0.25">
      <c r="A10589" t="str">
        <f t="shared" si="2308"/>
        <v>89301000</v>
      </c>
      <c r="B10589" t="str">
        <f t="shared" si="2311"/>
        <v>78915000</v>
      </c>
      <c r="C10589" t="str">
        <f t="shared" si="2312"/>
        <v>78915001</v>
      </c>
      <c r="D10589" t="str">
        <f t="shared" si="2310"/>
        <v>809</v>
      </c>
      <c r="E10589" t="str">
        <f>"89301112"</f>
        <v>89301112</v>
      </c>
      <c r="F10589" t="str">
        <f>"0054285385"</f>
        <v>0054285385</v>
      </c>
      <c r="G10589" s="1">
        <v>44889</v>
      </c>
      <c r="H10589" t="str">
        <f>"09569"</f>
        <v>09569</v>
      </c>
      <c r="I10589">
        <v>1</v>
      </c>
      <c r="J10589">
        <v>0</v>
      </c>
      <c r="K10589">
        <v>0</v>
      </c>
      <c r="L10589">
        <v>0</v>
      </c>
    </row>
    <row r="10590" spans="1:12" x14ac:dyDescent="0.25">
      <c r="A10590" t="str">
        <f t="shared" si="2308"/>
        <v>89301000</v>
      </c>
      <c r="B10590" t="str">
        <f t="shared" si="2311"/>
        <v>78915000</v>
      </c>
      <c r="C10590" t="str">
        <f t="shared" si="2312"/>
        <v>78915001</v>
      </c>
      <c r="D10590" t="str">
        <f t="shared" si="2310"/>
        <v>809</v>
      </c>
      <c r="E10590" t="str">
        <f>"89301112"</f>
        <v>89301112</v>
      </c>
      <c r="F10590" t="str">
        <f>"0054285385"</f>
        <v>0054285385</v>
      </c>
      <c r="G10590" s="1">
        <v>44889</v>
      </c>
      <c r="H10590" t="str">
        <f>"89713"</f>
        <v>89713</v>
      </c>
      <c r="I10590">
        <v>2</v>
      </c>
      <c r="J10590">
        <v>10724</v>
      </c>
      <c r="K10590">
        <v>0</v>
      </c>
      <c r="L10590">
        <v>6434.4</v>
      </c>
    </row>
    <row r="10591" spans="1:12" x14ac:dyDescent="0.25">
      <c r="A10591" t="str">
        <f t="shared" si="2308"/>
        <v>89301000</v>
      </c>
      <c r="B10591" t="str">
        <f t="shared" si="2311"/>
        <v>78915000</v>
      </c>
      <c r="C10591" t="str">
        <f t="shared" si="2312"/>
        <v>78915001</v>
      </c>
      <c r="D10591" t="str">
        <f t="shared" si="2310"/>
        <v>809</v>
      </c>
      <c r="E10591" t="str">
        <f>"89301112"</f>
        <v>89301112</v>
      </c>
      <c r="F10591" t="str">
        <f>"0705238072"</f>
        <v>0705238072</v>
      </c>
      <c r="G10591" s="1">
        <v>44867</v>
      </c>
      <c r="H10591" t="str">
        <f>"09567"</f>
        <v>09567</v>
      </c>
      <c r="I10591">
        <v>1</v>
      </c>
      <c r="J10591">
        <v>0</v>
      </c>
      <c r="K10591">
        <v>0</v>
      </c>
      <c r="L10591">
        <v>0</v>
      </c>
    </row>
    <row r="10592" spans="1:12" x14ac:dyDescent="0.25">
      <c r="A10592" t="str">
        <f t="shared" si="2308"/>
        <v>89301000</v>
      </c>
      <c r="B10592" t="str">
        <f t="shared" si="2311"/>
        <v>78915000</v>
      </c>
      <c r="C10592" t="str">
        <f t="shared" si="2312"/>
        <v>78915001</v>
      </c>
      <c r="D10592" t="str">
        <f t="shared" si="2310"/>
        <v>809</v>
      </c>
      <c r="E10592" t="str">
        <f>"89301112"</f>
        <v>89301112</v>
      </c>
      <c r="F10592" t="str">
        <f>"0705238072"</f>
        <v>0705238072</v>
      </c>
      <c r="G10592" s="1">
        <v>44867</v>
      </c>
      <c r="H10592" t="str">
        <f>"89713"</f>
        <v>89713</v>
      </c>
      <c r="I10592">
        <v>1</v>
      </c>
      <c r="J10592">
        <v>5362</v>
      </c>
      <c r="K10592">
        <v>0</v>
      </c>
      <c r="L10592">
        <v>3217.2</v>
      </c>
    </row>
    <row r="10593" spans="1:12" x14ac:dyDescent="0.25">
      <c r="A10593" t="str">
        <f t="shared" si="2308"/>
        <v>89301000</v>
      </c>
      <c r="B10593" t="str">
        <f t="shared" si="2311"/>
        <v>78915000</v>
      </c>
      <c r="C10593" t="str">
        <f t="shared" si="2312"/>
        <v>78915001</v>
      </c>
      <c r="D10593" t="str">
        <f t="shared" si="2310"/>
        <v>809</v>
      </c>
      <c r="E10593" t="str">
        <f>"89301061"</f>
        <v>89301061</v>
      </c>
      <c r="F10593" t="str">
        <f>"405402451"</f>
        <v>405402451</v>
      </c>
      <c r="G10593" s="1">
        <v>44881</v>
      </c>
      <c r="H10593" t="str">
        <f>"89713"</f>
        <v>89713</v>
      </c>
      <c r="I10593">
        <v>1</v>
      </c>
      <c r="J10593">
        <v>5362</v>
      </c>
      <c r="K10593">
        <v>0</v>
      </c>
      <c r="L10593">
        <v>3217.2</v>
      </c>
    </row>
    <row r="10594" spans="1:12" x14ac:dyDescent="0.25">
      <c r="A10594" t="str">
        <f t="shared" si="2308"/>
        <v>89301000</v>
      </c>
      <c r="B10594" t="str">
        <f t="shared" si="2311"/>
        <v>78915000</v>
      </c>
      <c r="C10594" t="str">
        <f t="shared" si="2312"/>
        <v>78915001</v>
      </c>
      <c r="D10594" t="str">
        <f t="shared" si="2310"/>
        <v>809</v>
      </c>
      <c r="E10594" t="str">
        <f>"89301061"</f>
        <v>89301061</v>
      </c>
      <c r="F10594" t="str">
        <f>"405402451"</f>
        <v>405402451</v>
      </c>
      <c r="G10594" s="1">
        <v>44881</v>
      </c>
      <c r="H10594" t="str">
        <f>"89725"</f>
        <v>89725</v>
      </c>
      <c r="I10594">
        <v>1</v>
      </c>
      <c r="J10594">
        <v>2839</v>
      </c>
      <c r="K10594">
        <v>0</v>
      </c>
      <c r="L10594">
        <v>1703.4</v>
      </c>
    </row>
    <row r="10595" spans="1:12" x14ac:dyDescent="0.25">
      <c r="A10595" t="str">
        <f t="shared" si="2308"/>
        <v>89301000</v>
      </c>
      <c r="B10595" t="str">
        <f t="shared" si="2311"/>
        <v>78915000</v>
      </c>
      <c r="C10595" t="str">
        <f t="shared" si="2312"/>
        <v>78915001</v>
      </c>
      <c r="D10595" t="str">
        <f t="shared" si="2310"/>
        <v>809</v>
      </c>
      <c r="E10595" t="str">
        <f>"89301062"</f>
        <v>89301062</v>
      </c>
      <c r="F10595" t="str">
        <f>"415801428"</f>
        <v>415801428</v>
      </c>
      <c r="G10595" s="1">
        <v>44883</v>
      </c>
      <c r="H10595" t="str">
        <f>"89713"</f>
        <v>89713</v>
      </c>
      <c r="I10595">
        <v>1</v>
      </c>
      <c r="J10595">
        <v>5362</v>
      </c>
      <c r="K10595">
        <v>0</v>
      </c>
      <c r="L10595">
        <v>3217.2</v>
      </c>
    </row>
    <row r="10596" spans="1:12" x14ac:dyDescent="0.25">
      <c r="A10596" t="str">
        <f t="shared" si="2308"/>
        <v>89301000</v>
      </c>
      <c r="B10596" t="str">
        <f t="shared" si="2311"/>
        <v>78915000</v>
      </c>
      <c r="C10596" t="str">
        <f t="shared" si="2312"/>
        <v>78915001</v>
      </c>
      <c r="D10596" t="str">
        <f t="shared" si="2310"/>
        <v>809</v>
      </c>
      <c r="E10596" t="str">
        <f>"89301062"</f>
        <v>89301062</v>
      </c>
      <c r="F10596" t="str">
        <f>"415801428"</f>
        <v>415801428</v>
      </c>
      <c r="G10596" s="1">
        <v>44883</v>
      </c>
      <c r="H10596" t="str">
        <f>"89725"</f>
        <v>89725</v>
      </c>
      <c r="I10596">
        <v>1</v>
      </c>
      <c r="J10596">
        <v>2839</v>
      </c>
      <c r="K10596">
        <v>0</v>
      </c>
      <c r="L10596">
        <v>1703.4</v>
      </c>
    </row>
    <row r="10597" spans="1:12" x14ac:dyDescent="0.25">
      <c r="A10597" t="str">
        <f t="shared" si="2308"/>
        <v>89301000</v>
      </c>
      <c r="B10597" t="str">
        <f t="shared" si="2311"/>
        <v>78915000</v>
      </c>
      <c r="C10597" t="str">
        <f t="shared" si="2312"/>
        <v>78915001</v>
      </c>
      <c r="D10597" t="str">
        <f t="shared" si="2310"/>
        <v>809</v>
      </c>
      <c r="E10597" t="str">
        <f>"89301045"</f>
        <v>89301045</v>
      </c>
      <c r="F10597" t="str">
        <f>"446213405"</f>
        <v>446213405</v>
      </c>
      <c r="G10597" s="1">
        <v>44883</v>
      </c>
      <c r="H10597" t="str">
        <f>"89715"</f>
        <v>89715</v>
      </c>
      <c r="I10597">
        <v>1</v>
      </c>
      <c r="J10597">
        <v>5474</v>
      </c>
      <c r="K10597">
        <v>0</v>
      </c>
      <c r="L10597">
        <v>3284.4</v>
      </c>
    </row>
    <row r="10598" spans="1:12" x14ac:dyDescent="0.25">
      <c r="A10598" t="str">
        <f t="shared" si="2308"/>
        <v>89301000</v>
      </c>
      <c r="B10598" t="str">
        <f t="shared" si="2311"/>
        <v>78915000</v>
      </c>
      <c r="C10598" t="str">
        <f t="shared" si="2312"/>
        <v>78915001</v>
      </c>
      <c r="D10598" t="str">
        <f t="shared" si="2310"/>
        <v>809</v>
      </c>
      <c r="E10598" t="str">
        <f>"89301045"</f>
        <v>89301045</v>
      </c>
      <c r="F10598" t="str">
        <f>"446213405"</f>
        <v>446213405</v>
      </c>
      <c r="G10598" s="1">
        <v>44883</v>
      </c>
      <c r="H10598" t="str">
        <f>"89725"</f>
        <v>89725</v>
      </c>
      <c r="I10598">
        <v>1</v>
      </c>
      <c r="J10598">
        <v>2839</v>
      </c>
      <c r="K10598">
        <v>0</v>
      </c>
      <c r="L10598">
        <v>1703.4</v>
      </c>
    </row>
    <row r="10599" spans="1:12" x14ac:dyDescent="0.25">
      <c r="A10599" t="str">
        <f t="shared" si="2308"/>
        <v>89301000</v>
      </c>
      <c r="B10599" t="str">
        <f t="shared" si="2311"/>
        <v>78915000</v>
      </c>
      <c r="C10599" t="str">
        <f t="shared" si="2312"/>
        <v>78915001</v>
      </c>
      <c r="D10599" t="str">
        <f t="shared" si="2310"/>
        <v>809</v>
      </c>
      <c r="E10599" t="str">
        <f>"89301045"</f>
        <v>89301045</v>
      </c>
      <c r="F10599" t="str">
        <f>"446213405"</f>
        <v>446213405</v>
      </c>
      <c r="G10599" s="1">
        <v>44883</v>
      </c>
      <c r="H10599" t="str">
        <f>"0207733"</f>
        <v>0207733</v>
      </c>
      <c r="I10599">
        <v>1</v>
      </c>
      <c r="K10599">
        <v>2590.5300000000002</v>
      </c>
      <c r="L10599">
        <v>2590.5300000000002</v>
      </c>
    </row>
    <row r="10600" spans="1:12" x14ac:dyDescent="0.25">
      <c r="A10600" t="str">
        <f t="shared" si="2308"/>
        <v>89301000</v>
      </c>
      <c r="B10600" t="str">
        <f t="shared" si="2311"/>
        <v>78915000</v>
      </c>
      <c r="C10600" t="str">
        <f t="shared" si="2312"/>
        <v>78915001</v>
      </c>
      <c r="D10600" t="str">
        <f t="shared" si="2310"/>
        <v>809</v>
      </c>
      <c r="E10600" t="str">
        <f>"89301062"</f>
        <v>89301062</v>
      </c>
      <c r="F10600" t="str">
        <f>"491030116"</f>
        <v>491030116</v>
      </c>
      <c r="G10600" s="1">
        <v>44867</v>
      </c>
      <c r="H10600" t="str">
        <f>"89713"</f>
        <v>89713</v>
      </c>
      <c r="I10600">
        <v>1</v>
      </c>
      <c r="J10600">
        <v>5362</v>
      </c>
      <c r="K10600">
        <v>0</v>
      </c>
      <c r="L10600">
        <v>3217.2</v>
      </c>
    </row>
    <row r="10601" spans="1:12" x14ac:dyDescent="0.25">
      <c r="A10601" t="str">
        <f t="shared" si="2308"/>
        <v>89301000</v>
      </c>
      <c r="B10601" t="str">
        <f t="shared" si="2311"/>
        <v>78915000</v>
      </c>
      <c r="C10601" t="str">
        <f t="shared" si="2312"/>
        <v>78915001</v>
      </c>
      <c r="D10601" t="str">
        <f t="shared" si="2310"/>
        <v>809</v>
      </c>
      <c r="E10601" t="str">
        <f>"89301606"</f>
        <v>89301606</v>
      </c>
      <c r="F10601" t="str">
        <f>"530521106"</f>
        <v>530521106</v>
      </c>
      <c r="G10601" s="1">
        <v>44879</v>
      </c>
      <c r="H10601" t="str">
        <f>"89713"</f>
        <v>89713</v>
      </c>
      <c r="I10601">
        <v>1</v>
      </c>
      <c r="J10601">
        <v>5362</v>
      </c>
      <c r="K10601">
        <v>0</v>
      </c>
      <c r="L10601">
        <v>3217.2</v>
      </c>
    </row>
    <row r="10602" spans="1:12" x14ac:dyDescent="0.25">
      <c r="A10602" t="str">
        <f t="shared" si="2308"/>
        <v>89301000</v>
      </c>
      <c r="B10602" t="str">
        <f t="shared" si="2311"/>
        <v>78915000</v>
      </c>
      <c r="C10602" t="str">
        <f t="shared" si="2312"/>
        <v>78915001</v>
      </c>
      <c r="D10602" t="str">
        <f t="shared" si="2310"/>
        <v>809</v>
      </c>
      <c r="E10602" t="str">
        <f>"89301606"</f>
        <v>89301606</v>
      </c>
      <c r="F10602" t="str">
        <f>"530521106"</f>
        <v>530521106</v>
      </c>
      <c r="G10602" s="1">
        <v>44879</v>
      </c>
      <c r="H10602" t="str">
        <f>"89725"</f>
        <v>89725</v>
      </c>
      <c r="I10602">
        <v>1</v>
      </c>
      <c r="J10602">
        <v>2839</v>
      </c>
      <c r="K10602">
        <v>0</v>
      </c>
      <c r="L10602">
        <v>1703.4</v>
      </c>
    </row>
    <row r="10603" spans="1:12" x14ac:dyDescent="0.25">
      <c r="A10603" t="str">
        <f t="shared" si="2308"/>
        <v>89301000</v>
      </c>
      <c r="B10603" t="str">
        <f t="shared" si="2311"/>
        <v>78915000</v>
      </c>
      <c r="C10603" t="str">
        <f t="shared" si="2312"/>
        <v>78915001</v>
      </c>
      <c r="D10603" t="str">
        <f t="shared" si="2310"/>
        <v>809</v>
      </c>
      <c r="E10603" t="str">
        <f>"89301112"</f>
        <v>89301112</v>
      </c>
      <c r="F10603" t="str">
        <f>"5506150716"</f>
        <v>5506150716</v>
      </c>
      <c r="G10603" s="1">
        <v>44887</v>
      </c>
      <c r="H10603" t="str">
        <f>"09567"</f>
        <v>09567</v>
      </c>
      <c r="I10603">
        <v>1</v>
      </c>
      <c r="J10603">
        <v>0</v>
      </c>
      <c r="K10603">
        <v>0</v>
      </c>
      <c r="L10603">
        <v>0</v>
      </c>
    </row>
    <row r="10604" spans="1:12" x14ac:dyDescent="0.25">
      <c r="A10604" t="str">
        <f t="shared" si="2308"/>
        <v>89301000</v>
      </c>
      <c r="B10604" t="str">
        <f t="shared" si="2311"/>
        <v>78915000</v>
      </c>
      <c r="C10604" t="str">
        <f t="shared" si="2312"/>
        <v>78915001</v>
      </c>
      <c r="D10604" t="str">
        <f t="shared" si="2310"/>
        <v>809</v>
      </c>
      <c r="E10604" t="str">
        <f>"89301112"</f>
        <v>89301112</v>
      </c>
      <c r="F10604" t="str">
        <f>"5506150716"</f>
        <v>5506150716</v>
      </c>
      <c r="G10604" s="1">
        <v>44887</v>
      </c>
      <c r="H10604" t="str">
        <f>"89713"</f>
        <v>89713</v>
      </c>
      <c r="I10604">
        <v>1</v>
      </c>
      <c r="J10604">
        <v>5362</v>
      </c>
      <c r="K10604">
        <v>0</v>
      </c>
      <c r="L10604">
        <v>3217.2</v>
      </c>
    </row>
    <row r="10605" spans="1:12" x14ac:dyDescent="0.25">
      <c r="A10605" t="str">
        <f t="shared" si="2308"/>
        <v>89301000</v>
      </c>
      <c r="B10605" t="str">
        <f t="shared" si="2311"/>
        <v>78915000</v>
      </c>
      <c r="C10605" t="str">
        <f t="shared" si="2312"/>
        <v>78915001</v>
      </c>
      <c r="D10605" t="str">
        <f t="shared" si="2310"/>
        <v>809</v>
      </c>
      <c r="E10605" t="str">
        <f t="shared" ref="E10605:E10610" si="2313">"89301062"</f>
        <v>89301062</v>
      </c>
      <c r="F10605" t="str">
        <f>"5656140314"</f>
        <v>5656140314</v>
      </c>
      <c r="G10605" s="1">
        <v>44893</v>
      </c>
      <c r="H10605" t="str">
        <f>"89713"</f>
        <v>89713</v>
      </c>
      <c r="I10605">
        <v>1</v>
      </c>
      <c r="J10605">
        <v>5362</v>
      </c>
      <c r="K10605">
        <v>0</v>
      </c>
      <c r="L10605">
        <v>3217.2</v>
      </c>
    </row>
    <row r="10606" spans="1:12" x14ac:dyDescent="0.25">
      <c r="A10606" t="str">
        <f t="shared" si="2308"/>
        <v>89301000</v>
      </c>
      <c r="B10606" t="str">
        <f t="shared" si="2311"/>
        <v>78915000</v>
      </c>
      <c r="C10606" t="str">
        <f t="shared" si="2312"/>
        <v>78915001</v>
      </c>
      <c r="D10606" t="str">
        <f t="shared" si="2310"/>
        <v>809</v>
      </c>
      <c r="E10606" t="str">
        <f t="shared" si="2313"/>
        <v>89301062</v>
      </c>
      <c r="F10606" t="str">
        <f>"5656140314"</f>
        <v>5656140314</v>
      </c>
      <c r="G10606" s="1">
        <v>44893</v>
      </c>
      <c r="H10606" t="str">
        <f>"89725"</f>
        <v>89725</v>
      </c>
      <c r="I10606">
        <v>1</v>
      </c>
      <c r="J10606">
        <v>2839</v>
      </c>
      <c r="K10606">
        <v>0</v>
      </c>
      <c r="L10606">
        <v>1703.4</v>
      </c>
    </row>
    <row r="10607" spans="1:12" x14ac:dyDescent="0.25">
      <c r="A10607" t="str">
        <f t="shared" si="2308"/>
        <v>89301000</v>
      </c>
      <c r="B10607" t="str">
        <f t="shared" si="2311"/>
        <v>78915000</v>
      </c>
      <c r="C10607" t="str">
        <f t="shared" si="2312"/>
        <v>78915001</v>
      </c>
      <c r="D10607" t="str">
        <f t="shared" si="2310"/>
        <v>809</v>
      </c>
      <c r="E10607" t="str">
        <f t="shared" si="2313"/>
        <v>89301062</v>
      </c>
      <c r="F10607" t="str">
        <f>"5711230943"</f>
        <v>5711230943</v>
      </c>
      <c r="G10607" s="1">
        <v>44868</v>
      </c>
      <c r="H10607" t="str">
        <f>"89713"</f>
        <v>89713</v>
      </c>
      <c r="I10607">
        <v>1</v>
      </c>
      <c r="J10607">
        <v>5362</v>
      </c>
      <c r="K10607">
        <v>0</v>
      </c>
      <c r="L10607">
        <v>3217.2</v>
      </c>
    </row>
    <row r="10608" spans="1:12" x14ac:dyDescent="0.25">
      <c r="A10608" t="str">
        <f t="shared" si="2308"/>
        <v>89301000</v>
      </c>
      <c r="B10608" t="str">
        <f t="shared" si="2311"/>
        <v>78915000</v>
      </c>
      <c r="C10608" t="str">
        <f t="shared" si="2312"/>
        <v>78915001</v>
      </c>
      <c r="D10608" t="str">
        <f t="shared" si="2310"/>
        <v>809</v>
      </c>
      <c r="E10608" t="str">
        <f t="shared" si="2313"/>
        <v>89301062</v>
      </c>
      <c r="F10608" t="str">
        <f>"5711230943"</f>
        <v>5711230943</v>
      </c>
      <c r="G10608" s="1">
        <v>44868</v>
      </c>
      <c r="H10608" t="str">
        <f>"89725"</f>
        <v>89725</v>
      </c>
      <c r="I10608">
        <v>1</v>
      </c>
      <c r="J10608">
        <v>2839</v>
      </c>
      <c r="K10608">
        <v>0</v>
      </c>
      <c r="L10608">
        <v>1703.4</v>
      </c>
    </row>
    <row r="10609" spans="1:12" x14ac:dyDescent="0.25">
      <c r="A10609" t="str">
        <f t="shared" si="2308"/>
        <v>89301000</v>
      </c>
      <c r="B10609" t="str">
        <f t="shared" si="2311"/>
        <v>78915000</v>
      </c>
      <c r="C10609" t="str">
        <f t="shared" si="2312"/>
        <v>78915001</v>
      </c>
      <c r="D10609" t="str">
        <f t="shared" si="2310"/>
        <v>809</v>
      </c>
      <c r="E10609" t="str">
        <f t="shared" si="2313"/>
        <v>89301062</v>
      </c>
      <c r="F10609" t="str">
        <f>"5855032821"</f>
        <v>5855032821</v>
      </c>
      <c r="G10609" s="1">
        <v>44876</v>
      </c>
      <c r="H10609" t="str">
        <f>"89713"</f>
        <v>89713</v>
      </c>
      <c r="I10609">
        <v>2</v>
      </c>
      <c r="J10609">
        <v>10724</v>
      </c>
      <c r="K10609">
        <v>0</v>
      </c>
      <c r="L10609">
        <v>6434.4</v>
      </c>
    </row>
    <row r="10610" spans="1:12" x14ac:dyDescent="0.25">
      <c r="A10610" t="str">
        <f t="shared" si="2308"/>
        <v>89301000</v>
      </c>
      <c r="B10610" t="str">
        <f t="shared" si="2311"/>
        <v>78915000</v>
      </c>
      <c r="C10610" t="str">
        <f t="shared" si="2312"/>
        <v>78915001</v>
      </c>
      <c r="D10610" t="str">
        <f t="shared" si="2310"/>
        <v>809</v>
      </c>
      <c r="E10610" t="str">
        <f t="shared" si="2313"/>
        <v>89301062</v>
      </c>
      <c r="F10610" t="str">
        <f>"5855032821"</f>
        <v>5855032821</v>
      </c>
      <c r="G10610" s="1">
        <v>44876</v>
      </c>
      <c r="H10610" t="str">
        <f>"89725"</f>
        <v>89725</v>
      </c>
      <c r="I10610">
        <v>1</v>
      </c>
      <c r="J10610">
        <v>2839</v>
      </c>
      <c r="K10610">
        <v>0</v>
      </c>
      <c r="L10610">
        <v>1703.4</v>
      </c>
    </row>
    <row r="10611" spans="1:12" x14ac:dyDescent="0.25">
      <c r="A10611" t="str">
        <f t="shared" si="2308"/>
        <v>89301000</v>
      </c>
      <c r="B10611" t="str">
        <f t="shared" si="2311"/>
        <v>78915000</v>
      </c>
      <c r="C10611" t="str">
        <f t="shared" si="2312"/>
        <v>78915001</v>
      </c>
      <c r="D10611" t="str">
        <f t="shared" si="2310"/>
        <v>809</v>
      </c>
      <c r="E10611" t="str">
        <f>"89301031"</f>
        <v>89301031</v>
      </c>
      <c r="F10611" t="str">
        <f>"5904141749"</f>
        <v>5904141749</v>
      </c>
      <c r="G10611" s="1">
        <v>44895</v>
      </c>
      <c r="H10611" t="str">
        <f>"89713"</f>
        <v>89713</v>
      </c>
      <c r="I10611">
        <v>1</v>
      </c>
      <c r="J10611">
        <v>5362</v>
      </c>
      <c r="K10611">
        <v>0</v>
      </c>
      <c r="L10611">
        <v>3217.2</v>
      </c>
    </row>
    <row r="10612" spans="1:12" x14ac:dyDescent="0.25">
      <c r="A10612" t="str">
        <f t="shared" si="2308"/>
        <v>89301000</v>
      </c>
      <c r="B10612" t="str">
        <f t="shared" si="2311"/>
        <v>78915000</v>
      </c>
      <c r="C10612" t="str">
        <f t="shared" si="2312"/>
        <v>78915001</v>
      </c>
      <c r="D10612" t="str">
        <f t="shared" si="2310"/>
        <v>809</v>
      </c>
      <c r="E10612" t="str">
        <f>"89301031"</f>
        <v>89301031</v>
      </c>
      <c r="F10612" t="str">
        <f>"5904141749"</f>
        <v>5904141749</v>
      </c>
      <c r="G10612" s="1">
        <v>44895</v>
      </c>
      <c r="H10612" t="str">
        <f>"89725"</f>
        <v>89725</v>
      </c>
      <c r="I10612">
        <v>1</v>
      </c>
      <c r="J10612">
        <v>2839</v>
      </c>
      <c r="K10612">
        <v>0</v>
      </c>
      <c r="L10612">
        <v>1703.4</v>
      </c>
    </row>
    <row r="10613" spans="1:12" x14ac:dyDescent="0.25">
      <c r="A10613" t="str">
        <f t="shared" si="2308"/>
        <v>89301000</v>
      </c>
      <c r="B10613" t="str">
        <f t="shared" si="2311"/>
        <v>78915000</v>
      </c>
      <c r="C10613" t="str">
        <f t="shared" si="2312"/>
        <v>78915001</v>
      </c>
      <c r="D10613" t="str">
        <f t="shared" si="2310"/>
        <v>809</v>
      </c>
      <c r="E10613" t="str">
        <f>"89301031"</f>
        <v>89301031</v>
      </c>
      <c r="F10613" t="str">
        <f>"5904141749"</f>
        <v>5904141749</v>
      </c>
      <c r="G10613" s="1">
        <v>44895</v>
      </c>
      <c r="H10613" t="str">
        <f>"0207733"</f>
        <v>0207733</v>
      </c>
      <c r="I10613">
        <v>1.2</v>
      </c>
      <c r="K10613">
        <v>3108.64</v>
      </c>
      <c r="L10613">
        <v>3108.64</v>
      </c>
    </row>
    <row r="10614" spans="1:12" x14ac:dyDescent="0.25">
      <c r="A10614" t="str">
        <f t="shared" si="2308"/>
        <v>89301000</v>
      </c>
      <c r="B10614" t="str">
        <f t="shared" si="2311"/>
        <v>78915000</v>
      </c>
      <c r="C10614" t="str">
        <f t="shared" si="2312"/>
        <v>78915001</v>
      </c>
      <c r="D10614" t="str">
        <f t="shared" si="2310"/>
        <v>809</v>
      </c>
      <c r="E10614" t="str">
        <f t="shared" ref="E10614:E10620" si="2314">"89301062"</f>
        <v>89301062</v>
      </c>
      <c r="F10614" t="str">
        <f>"5905011222"</f>
        <v>5905011222</v>
      </c>
      <c r="G10614" s="1">
        <v>44874</v>
      </c>
      <c r="H10614" t="str">
        <f>"89713"</f>
        <v>89713</v>
      </c>
      <c r="I10614">
        <v>1</v>
      </c>
      <c r="J10614">
        <v>5362</v>
      </c>
      <c r="K10614">
        <v>0</v>
      </c>
      <c r="L10614">
        <v>3217.2</v>
      </c>
    </row>
    <row r="10615" spans="1:12" x14ac:dyDescent="0.25">
      <c r="A10615" t="str">
        <f t="shared" si="2308"/>
        <v>89301000</v>
      </c>
      <c r="B10615" t="str">
        <f t="shared" si="2311"/>
        <v>78915000</v>
      </c>
      <c r="C10615" t="str">
        <f t="shared" si="2312"/>
        <v>78915001</v>
      </c>
      <c r="D10615" t="str">
        <f t="shared" si="2310"/>
        <v>809</v>
      </c>
      <c r="E10615" t="str">
        <f t="shared" si="2314"/>
        <v>89301062</v>
      </c>
      <c r="F10615" t="str">
        <f>"5905011222"</f>
        <v>5905011222</v>
      </c>
      <c r="G10615" s="1">
        <v>44874</v>
      </c>
      <c r="H10615" t="str">
        <f>"89713"</f>
        <v>89713</v>
      </c>
      <c r="I10615">
        <v>1</v>
      </c>
      <c r="J10615">
        <v>5362</v>
      </c>
      <c r="K10615">
        <v>0</v>
      </c>
      <c r="L10615">
        <v>3217.2</v>
      </c>
    </row>
    <row r="10616" spans="1:12" x14ac:dyDescent="0.25">
      <c r="A10616" t="str">
        <f t="shared" si="2308"/>
        <v>89301000</v>
      </c>
      <c r="B10616" t="str">
        <f t="shared" si="2311"/>
        <v>78915000</v>
      </c>
      <c r="C10616" t="str">
        <f t="shared" si="2312"/>
        <v>78915001</v>
      </c>
      <c r="D10616" t="str">
        <f t="shared" si="2310"/>
        <v>809</v>
      </c>
      <c r="E10616" t="str">
        <f t="shared" si="2314"/>
        <v>89301062</v>
      </c>
      <c r="F10616" t="str">
        <f>"5905011222"</f>
        <v>5905011222</v>
      </c>
      <c r="G10616" s="1">
        <v>44874</v>
      </c>
      <c r="H10616" t="str">
        <f>"89725"</f>
        <v>89725</v>
      </c>
      <c r="I10616">
        <v>1</v>
      </c>
      <c r="J10616">
        <v>2839</v>
      </c>
      <c r="K10616">
        <v>0</v>
      </c>
      <c r="L10616">
        <v>1703.4</v>
      </c>
    </row>
    <row r="10617" spans="1:12" x14ac:dyDescent="0.25">
      <c r="A10617" t="str">
        <f t="shared" si="2308"/>
        <v>89301000</v>
      </c>
      <c r="B10617" t="str">
        <f t="shared" si="2311"/>
        <v>78915000</v>
      </c>
      <c r="C10617" t="str">
        <f t="shared" si="2312"/>
        <v>78915001</v>
      </c>
      <c r="D10617" t="str">
        <f t="shared" si="2310"/>
        <v>809</v>
      </c>
      <c r="E10617" t="str">
        <f t="shared" si="2314"/>
        <v>89301062</v>
      </c>
      <c r="F10617" t="str">
        <f>"5905011222"</f>
        <v>5905011222</v>
      </c>
      <c r="G10617" s="1">
        <v>44874</v>
      </c>
      <c r="H10617" t="str">
        <f>"0207733"</f>
        <v>0207733</v>
      </c>
      <c r="I10617">
        <v>1.46</v>
      </c>
      <c r="K10617">
        <v>3782.17</v>
      </c>
      <c r="L10617">
        <v>3782.17</v>
      </c>
    </row>
    <row r="10618" spans="1:12" x14ac:dyDescent="0.25">
      <c r="A10618" t="str">
        <f t="shared" si="2308"/>
        <v>89301000</v>
      </c>
      <c r="B10618" t="str">
        <f t="shared" si="2311"/>
        <v>78915000</v>
      </c>
      <c r="C10618" t="str">
        <f t="shared" si="2312"/>
        <v>78915001</v>
      </c>
      <c r="D10618" t="str">
        <f t="shared" ref="D10618:D10649" si="2315">"809"</f>
        <v>809</v>
      </c>
      <c r="E10618" t="str">
        <f t="shared" si="2314"/>
        <v>89301062</v>
      </c>
      <c r="F10618" t="str">
        <f>"5954161378"</f>
        <v>5954161378</v>
      </c>
      <c r="G10618" s="1">
        <v>44873</v>
      </c>
      <c r="H10618" t="str">
        <f>"89713"</f>
        <v>89713</v>
      </c>
      <c r="I10618">
        <v>1</v>
      </c>
      <c r="J10618">
        <v>5362</v>
      </c>
      <c r="K10618">
        <v>0</v>
      </c>
      <c r="L10618">
        <v>3217.2</v>
      </c>
    </row>
    <row r="10619" spans="1:12" x14ac:dyDescent="0.25">
      <c r="A10619" t="str">
        <f t="shared" si="2308"/>
        <v>89301000</v>
      </c>
      <c r="B10619" t="str">
        <f t="shared" si="2311"/>
        <v>78915000</v>
      </c>
      <c r="C10619" t="str">
        <f t="shared" si="2312"/>
        <v>78915001</v>
      </c>
      <c r="D10619" t="str">
        <f t="shared" si="2315"/>
        <v>809</v>
      </c>
      <c r="E10619" t="str">
        <f t="shared" si="2314"/>
        <v>89301062</v>
      </c>
      <c r="F10619" t="str">
        <f>"6155111259"</f>
        <v>6155111259</v>
      </c>
      <c r="G10619" s="1">
        <v>44868</v>
      </c>
      <c r="H10619" t="str">
        <f>"89713"</f>
        <v>89713</v>
      </c>
      <c r="I10619">
        <v>1</v>
      </c>
      <c r="J10619">
        <v>5362</v>
      </c>
      <c r="K10619">
        <v>0</v>
      </c>
      <c r="L10619">
        <v>3217.2</v>
      </c>
    </row>
    <row r="10620" spans="1:12" x14ac:dyDescent="0.25">
      <c r="A10620" t="str">
        <f t="shared" si="2308"/>
        <v>89301000</v>
      </c>
      <c r="B10620" t="str">
        <f t="shared" ref="B10620:B10651" si="2316">"78915000"</f>
        <v>78915000</v>
      </c>
      <c r="C10620" t="str">
        <f t="shared" ref="C10620:C10651" si="2317">"78915001"</f>
        <v>78915001</v>
      </c>
      <c r="D10620" t="str">
        <f t="shared" si="2315"/>
        <v>809</v>
      </c>
      <c r="E10620" t="str">
        <f t="shared" si="2314"/>
        <v>89301062</v>
      </c>
      <c r="F10620" t="str">
        <f>"6155111259"</f>
        <v>6155111259</v>
      </c>
      <c r="G10620" s="1">
        <v>44868</v>
      </c>
      <c r="H10620" t="str">
        <f>"89725"</f>
        <v>89725</v>
      </c>
      <c r="I10620">
        <v>1</v>
      </c>
      <c r="J10620">
        <v>2839</v>
      </c>
      <c r="K10620">
        <v>0</v>
      </c>
      <c r="L10620">
        <v>1703.4</v>
      </c>
    </row>
    <row r="10621" spans="1:12" x14ac:dyDescent="0.25">
      <c r="A10621" t="str">
        <f t="shared" si="2308"/>
        <v>89301000</v>
      </c>
      <c r="B10621" t="str">
        <f t="shared" si="2316"/>
        <v>78915000</v>
      </c>
      <c r="C10621" t="str">
        <f t="shared" si="2317"/>
        <v>78915001</v>
      </c>
      <c r="D10621" t="str">
        <f t="shared" si="2315"/>
        <v>809</v>
      </c>
      <c r="E10621" t="str">
        <f>"89301112"</f>
        <v>89301112</v>
      </c>
      <c r="F10621" t="str">
        <f>"6257180644"</f>
        <v>6257180644</v>
      </c>
      <c r="G10621" s="1">
        <v>44872</v>
      </c>
      <c r="H10621" t="str">
        <f>"09567"</f>
        <v>09567</v>
      </c>
      <c r="I10621">
        <v>1</v>
      </c>
      <c r="J10621">
        <v>0</v>
      </c>
      <c r="K10621">
        <v>0</v>
      </c>
      <c r="L10621">
        <v>0</v>
      </c>
    </row>
    <row r="10622" spans="1:12" x14ac:dyDescent="0.25">
      <c r="A10622" t="str">
        <f t="shared" si="2308"/>
        <v>89301000</v>
      </c>
      <c r="B10622" t="str">
        <f t="shared" si="2316"/>
        <v>78915000</v>
      </c>
      <c r="C10622" t="str">
        <f t="shared" si="2317"/>
        <v>78915001</v>
      </c>
      <c r="D10622" t="str">
        <f t="shared" si="2315"/>
        <v>809</v>
      </c>
      <c r="E10622" t="str">
        <f>"89301112"</f>
        <v>89301112</v>
      </c>
      <c r="F10622" t="str">
        <f>"6257180644"</f>
        <v>6257180644</v>
      </c>
      <c r="G10622" s="1">
        <v>44872</v>
      </c>
      <c r="H10622" t="str">
        <f>"89713"</f>
        <v>89713</v>
      </c>
      <c r="I10622">
        <v>1</v>
      </c>
      <c r="J10622">
        <v>5362</v>
      </c>
      <c r="K10622">
        <v>0</v>
      </c>
      <c r="L10622">
        <v>3217.2</v>
      </c>
    </row>
    <row r="10623" spans="1:12" x14ac:dyDescent="0.25">
      <c r="A10623" t="str">
        <f t="shared" si="2308"/>
        <v>89301000</v>
      </c>
      <c r="B10623" t="str">
        <f t="shared" si="2316"/>
        <v>78915000</v>
      </c>
      <c r="C10623" t="str">
        <f t="shared" si="2317"/>
        <v>78915001</v>
      </c>
      <c r="D10623" t="str">
        <f t="shared" si="2315"/>
        <v>809</v>
      </c>
      <c r="E10623" t="str">
        <f>"89301112"</f>
        <v>89301112</v>
      </c>
      <c r="F10623" t="str">
        <f>"6260010504"</f>
        <v>6260010504</v>
      </c>
      <c r="G10623" s="1">
        <v>44868</v>
      </c>
      <c r="H10623" t="str">
        <f>"09569"</f>
        <v>09569</v>
      </c>
      <c r="I10623">
        <v>1</v>
      </c>
      <c r="J10623">
        <v>0</v>
      </c>
      <c r="K10623">
        <v>0</v>
      </c>
      <c r="L10623">
        <v>0</v>
      </c>
    </row>
    <row r="10624" spans="1:12" x14ac:dyDescent="0.25">
      <c r="A10624" t="str">
        <f t="shared" si="2308"/>
        <v>89301000</v>
      </c>
      <c r="B10624" t="str">
        <f t="shared" si="2316"/>
        <v>78915000</v>
      </c>
      <c r="C10624" t="str">
        <f t="shared" si="2317"/>
        <v>78915001</v>
      </c>
      <c r="D10624" t="str">
        <f t="shared" si="2315"/>
        <v>809</v>
      </c>
      <c r="E10624" t="str">
        <f>"89301112"</f>
        <v>89301112</v>
      </c>
      <c r="F10624" t="str">
        <f>"6260010504"</f>
        <v>6260010504</v>
      </c>
      <c r="G10624" s="1">
        <v>44868</v>
      </c>
      <c r="H10624" t="str">
        <f>"89713"</f>
        <v>89713</v>
      </c>
      <c r="I10624">
        <v>1</v>
      </c>
      <c r="J10624">
        <v>5362</v>
      </c>
      <c r="K10624">
        <v>0</v>
      </c>
      <c r="L10624">
        <v>3217.2</v>
      </c>
    </row>
    <row r="10625" spans="1:12" x14ac:dyDescent="0.25">
      <c r="A10625" t="str">
        <f t="shared" si="2308"/>
        <v>89301000</v>
      </c>
      <c r="B10625" t="str">
        <f t="shared" si="2316"/>
        <v>78915000</v>
      </c>
      <c r="C10625" t="str">
        <f t="shared" si="2317"/>
        <v>78915001</v>
      </c>
      <c r="D10625" t="str">
        <f t="shared" si="2315"/>
        <v>809</v>
      </c>
      <c r="E10625" t="str">
        <f>"89301062"</f>
        <v>89301062</v>
      </c>
      <c r="F10625" t="str">
        <f>"6306052005"</f>
        <v>6306052005</v>
      </c>
      <c r="G10625" s="1">
        <v>44880</v>
      </c>
      <c r="H10625" t="str">
        <f>"89713"</f>
        <v>89713</v>
      </c>
      <c r="I10625">
        <v>1</v>
      </c>
      <c r="J10625">
        <v>5362</v>
      </c>
      <c r="K10625">
        <v>0</v>
      </c>
      <c r="L10625">
        <v>3217.2</v>
      </c>
    </row>
    <row r="10626" spans="1:12" x14ac:dyDescent="0.25">
      <c r="A10626" t="str">
        <f t="shared" ref="A10626:A10689" si="2318">"89301000"</f>
        <v>89301000</v>
      </c>
      <c r="B10626" t="str">
        <f t="shared" si="2316"/>
        <v>78915000</v>
      </c>
      <c r="C10626" t="str">
        <f t="shared" si="2317"/>
        <v>78915001</v>
      </c>
      <c r="D10626" t="str">
        <f t="shared" si="2315"/>
        <v>809</v>
      </c>
      <c r="E10626" t="str">
        <f>"89301062"</f>
        <v>89301062</v>
      </c>
      <c r="F10626" t="str">
        <f>"6306052005"</f>
        <v>6306052005</v>
      </c>
      <c r="G10626" s="1">
        <v>44880</v>
      </c>
      <c r="H10626" t="str">
        <f>"89725"</f>
        <v>89725</v>
      </c>
      <c r="I10626">
        <v>1</v>
      </c>
      <c r="J10626">
        <v>2839</v>
      </c>
      <c r="K10626">
        <v>0</v>
      </c>
      <c r="L10626">
        <v>1703.4</v>
      </c>
    </row>
    <row r="10627" spans="1:12" x14ac:dyDescent="0.25">
      <c r="A10627" t="str">
        <f t="shared" si="2318"/>
        <v>89301000</v>
      </c>
      <c r="B10627" t="str">
        <f t="shared" si="2316"/>
        <v>78915000</v>
      </c>
      <c r="C10627" t="str">
        <f t="shared" si="2317"/>
        <v>78915001</v>
      </c>
      <c r="D10627" t="str">
        <f t="shared" si="2315"/>
        <v>809</v>
      </c>
      <c r="E10627" t="str">
        <f>"89301045"</f>
        <v>89301045</v>
      </c>
      <c r="F10627" t="str">
        <f>"6551030948"</f>
        <v>6551030948</v>
      </c>
      <c r="G10627" s="1">
        <v>44881</v>
      </c>
      <c r="H10627" t="str">
        <f>"89715"</f>
        <v>89715</v>
      </c>
      <c r="I10627">
        <v>1</v>
      </c>
      <c r="J10627">
        <v>5474</v>
      </c>
      <c r="K10627">
        <v>0</v>
      </c>
      <c r="L10627">
        <v>3284.4</v>
      </c>
    </row>
    <row r="10628" spans="1:12" x14ac:dyDescent="0.25">
      <c r="A10628" t="str">
        <f t="shared" si="2318"/>
        <v>89301000</v>
      </c>
      <c r="B10628" t="str">
        <f t="shared" si="2316"/>
        <v>78915000</v>
      </c>
      <c r="C10628" t="str">
        <f t="shared" si="2317"/>
        <v>78915001</v>
      </c>
      <c r="D10628" t="str">
        <f t="shared" si="2315"/>
        <v>809</v>
      </c>
      <c r="E10628" t="str">
        <f>"89301045"</f>
        <v>89301045</v>
      </c>
      <c r="F10628" t="str">
        <f>"6551030948"</f>
        <v>6551030948</v>
      </c>
      <c r="G10628" s="1">
        <v>44881</v>
      </c>
      <c r="H10628" t="str">
        <f>"89725"</f>
        <v>89725</v>
      </c>
      <c r="I10628">
        <v>1</v>
      </c>
      <c r="J10628">
        <v>2839</v>
      </c>
      <c r="K10628">
        <v>0</v>
      </c>
      <c r="L10628">
        <v>1703.4</v>
      </c>
    </row>
    <row r="10629" spans="1:12" x14ac:dyDescent="0.25">
      <c r="A10629" t="str">
        <f t="shared" si="2318"/>
        <v>89301000</v>
      </c>
      <c r="B10629" t="str">
        <f t="shared" si="2316"/>
        <v>78915000</v>
      </c>
      <c r="C10629" t="str">
        <f t="shared" si="2317"/>
        <v>78915001</v>
      </c>
      <c r="D10629" t="str">
        <f t="shared" si="2315"/>
        <v>809</v>
      </c>
      <c r="E10629" t="str">
        <f>"89301045"</f>
        <v>89301045</v>
      </c>
      <c r="F10629" t="str">
        <f>"6551030948"</f>
        <v>6551030948</v>
      </c>
      <c r="G10629" s="1">
        <v>44881</v>
      </c>
      <c r="H10629" t="str">
        <f>"0207733"</f>
        <v>0207733</v>
      </c>
      <c r="I10629">
        <v>1</v>
      </c>
      <c r="K10629">
        <v>2590.5300000000002</v>
      </c>
      <c r="L10629">
        <v>2590.5300000000002</v>
      </c>
    </row>
    <row r="10630" spans="1:12" x14ac:dyDescent="0.25">
      <c r="A10630" t="str">
        <f t="shared" si="2318"/>
        <v>89301000</v>
      </c>
      <c r="B10630" t="str">
        <f t="shared" si="2316"/>
        <v>78915000</v>
      </c>
      <c r="C10630" t="str">
        <f t="shared" si="2317"/>
        <v>78915001</v>
      </c>
      <c r="D10630" t="str">
        <f t="shared" si="2315"/>
        <v>809</v>
      </c>
      <c r="E10630" t="str">
        <f>"89301172"</f>
        <v>89301172</v>
      </c>
      <c r="F10630" t="str">
        <f>"6959164465"</f>
        <v>6959164465</v>
      </c>
      <c r="G10630" s="1">
        <v>44877</v>
      </c>
      <c r="H10630" t="str">
        <f>"89713"</f>
        <v>89713</v>
      </c>
      <c r="I10630">
        <v>2</v>
      </c>
      <c r="J10630">
        <v>10724</v>
      </c>
      <c r="K10630">
        <v>0</v>
      </c>
      <c r="L10630">
        <v>6434.4</v>
      </c>
    </row>
    <row r="10631" spans="1:12" x14ac:dyDescent="0.25">
      <c r="A10631" t="str">
        <f t="shared" si="2318"/>
        <v>89301000</v>
      </c>
      <c r="B10631" t="str">
        <f t="shared" si="2316"/>
        <v>78915000</v>
      </c>
      <c r="C10631" t="str">
        <f t="shared" si="2317"/>
        <v>78915001</v>
      </c>
      <c r="D10631" t="str">
        <f t="shared" si="2315"/>
        <v>809</v>
      </c>
      <c r="E10631" t="str">
        <f>"89301606"</f>
        <v>89301606</v>
      </c>
      <c r="F10631" t="str">
        <f>"7053314477"</f>
        <v>7053314477</v>
      </c>
      <c r="G10631" s="1">
        <v>44873</v>
      </c>
      <c r="H10631" t="str">
        <f>"89713"</f>
        <v>89713</v>
      </c>
      <c r="I10631">
        <v>1</v>
      </c>
      <c r="J10631">
        <v>5362</v>
      </c>
      <c r="K10631">
        <v>0</v>
      </c>
      <c r="L10631">
        <v>3217.2</v>
      </c>
    </row>
    <row r="10632" spans="1:12" x14ac:dyDescent="0.25">
      <c r="A10632" t="str">
        <f t="shared" si="2318"/>
        <v>89301000</v>
      </c>
      <c r="B10632" t="str">
        <f t="shared" si="2316"/>
        <v>78915000</v>
      </c>
      <c r="C10632" t="str">
        <f t="shared" si="2317"/>
        <v>78915001</v>
      </c>
      <c r="D10632" t="str">
        <f t="shared" si="2315"/>
        <v>809</v>
      </c>
      <c r="E10632" t="str">
        <f>"89301606"</f>
        <v>89301606</v>
      </c>
      <c r="F10632" t="str">
        <f>"7053314477"</f>
        <v>7053314477</v>
      </c>
      <c r="G10632" s="1">
        <v>44873</v>
      </c>
      <c r="H10632" t="str">
        <f>"89723"</f>
        <v>89723</v>
      </c>
      <c r="I10632">
        <v>1</v>
      </c>
      <c r="J10632">
        <v>5880</v>
      </c>
      <c r="K10632">
        <v>0</v>
      </c>
      <c r="L10632">
        <v>3528</v>
      </c>
    </row>
    <row r="10633" spans="1:12" x14ac:dyDescent="0.25">
      <c r="A10633" t="str">
        <f t="shared" si="2318"/>
        <v>89301000</v>
      </c>
      <c r="B10633" t="str">
        <f t="shared" si="2316"/>
        <v>78915000</v>
      </c>
      <c r="C10633" t="str">
        <f t="shared" si="2317"/>
        <v>78915001</v>
      </c>
      <c r="D10633" t="str">
        <f t="shared" si="2315"/>
        <v>809</v>
      </c>
      <c r="E10633" t="str">
        <f>"89301606"</f>
        <v>89301606</v>
      </c>
      <c r="F10633" t="str">
        <f>"7053314477"</f>
        <v>7053314477</v>
      </c>
      <c r="G10633" s="1">
        <v>44873</v>
      </c>
      <c r="H10633" t="str">
        <f>"89725"</f>
        <v>89725</v>
      </c>
      <c r="I10633">
        <v>1</v>
      </c>
      <c r="J10633">
        <v>2839</v>
      </c>
      <c r="K10633">
        <v>0</v>
      </c>
      <c r="L10633">
        <v>1703.4</v>
      </c>
    </row>
    <row r="10634" spans="1:12" x14ac:dyDescent="0.25">
      <c r="A10634" t="str">
        <f t="shared" si="2318"/>
        <v>89301000</v>
      </c>
      <c r="B10634" t="str">
        <f t="shared" si="2316"/>
        <v>78915000</v>
      </c>
      <c r="C10634" t="str">
        <f t="shared" si="2317"/>
        <v>78915001</v>
      </c>
      <c r="D10634" t="str">
        <f t="shared" si="2315"/>
        <v>809</v>
      </c>
      <c r="E10634" t="str">
        <f>"89301045"</f>
        <v>89301045</v>
      </c>
      <c r="F10634" t="str">
        <f>"7359105325"</f>
        <v>7359105325</v>
      </c>
      <c r="G10634" s="1">
        <v>44874</v>
      </c>
      <c r="H10634" t="str">
        <f>"89715"</f>
        <v>89715</v>
      </c>
      <c r="I10634">
        <v>1</v>
      </c>
      <c r="J10634">
        <v>5474</v>
      </c>
      <c r="K10634">
        <v>0</v>
      </c>
      <c r="L10634">
        <v>3284.4</v>
      </c>
    </row>
    <row r="10635" spans="1:12" x14ac:dyDescent="0.25">
      <c r="A10635" t="str">
        <f t="shared" si="2318"/>
        <v>89301000</v>
      </c>
      <c r="B10635" t="str">
        <f t="shared" si="2316"/>
        <v>78915000</v>
      </c>
      <c r="C10635" t="str">
        <f t="shared" si="2317"/>
        <v>78915001</v>
      </c>
      <c r="D10635" t="str">
        <f t="shared" si="2315"/>
        <v>809</v>
      </c>
      <c r="E10635" t="str">
        <f>"89301045"</f>
        <v>89301045</v>
      </c>
      <c r="F10635" t="str">
        <f>"7359105325"</f>
        <v>7359105325</v>
      </c>
      <c r="G10635" s="1">
        <v>44874</v>
      </c>
      <c r="H10635" t="str">
        <f>"89725"</f>
        <v>89725</v>
      </c>
      <c r="I10635">
        <v>1</v>
      </c>
      <c r="J10635">
        <v>2839</v>
      </c>
      <c r="K10635">
        <v>0</v>
      </c>
      <c r="L10635">
        <v>1703.4</v>
      </c>
    </row>
    <row r="10636" spans="1:12" x14ac:dyDescent="0.25">
      <c r="A10636" t="str">
        <f t="shared" si="2318"/>
        <v>89301000</v>
      </c>
      <c r="B10636" t="str">
        <f t="shared" si="2316"/>
        <v>78915000</v>
      </c>
      <c r="C10636" t="str">
        <f t="shared" si="2317"/>
        <v>78915001</v>
      </c>
      <c r="D10636" t="str">
        <f t="shared" si="2315"/>
        <v>809</v>
      </c>
      <c r="E10636" t="str">
        <f>"89301045"</f>
        <v>89301045</v>
      </c>
      <c r="F10636" t="str">
        <f>"7359105325"</f>
        <v>7359105325</v>
      </c>
      <c r="G10636" s="1">
        <v>44874</v>
      </c>
      <c r="H10636" t="str">
        <f>"0207733"</f>
        <v>0207733</v>
      </c>
      <c r="I10636">
        <v>1</v>
      </c>
      <c r="K10636">
        <v>2590.5300000000002</v>
      </c>
      <c r="L10636">
        <v>2590.5300000000002</v>
      </c>
    </row>
    <row r="10637" spans="1:12" x14ac:dyDescent="0.25">
      <c r="A10637" t="str">
        <f t="shared" si="2318"/>
        <v>89301000</v>
      </c>
      <c r="B10637" t="str">
        <f t="shared" si="2316"/>
        <v>78915000</v>
      </c>
      <c r="C10637" t="str">
        <f t="shared" si="2317"/>
        <v>78915001</v>
      </c>
      <c r="D10637" t="str">
        <f t="shared" si="2315"/>
        <v>809</v>
      </c>
      <c r="E10637" t="str">
        <f>"89301212"</f>
        <v>89301212</v>
      </c>
      <c r="F10637" t="str">
        <f>"7362015771"</f>
        <v>7362015771</v>
      </c>
      <c r="G10637" s="1">
        <v>44877</v>
      </c>
      <c r="H10637" t="str">
        <f>"89715"</f>
        <v>89715</v>
      </c>
      <c r="I10637">
        <v>1</v>
      </c>
      <c r="J10637">
        <v>5474</v>
      </c>
      <c r="K10637">
        <v>0</v>
      </c>
      <c r="L10637">
        <v>3284.4</v>
      </c>
    </row>
    <row r="10638" spans="1:12" x14ac:dyDescent="0.25">
      <c r="A10638" t="str">
        <f t="shared" si="2318"/>
        <v>89301000</v>
      </c>
      <c r="B10638" t="str">
        <f t="shared" si="2316"/>
        <v>78915000</v>
      </c>
      <c r="C10638" t="str">
        <f t="shared" si="2317"/>
        <v>78915001</v>
      </c>
      <c r="D10638" t="str">
        <f t="shared" si="2315"/>
        <v>809</v>
      </c>
      <c r="E10638" t="str">
        <f>"89301212"</f>
        <v>89301212</v>
      </c>
      <c r="F10638" t="str">
        <f>"7362015771"</f>
        <v>7362015771</v>
      </c>
      <c r="G10638" s="1">
        <v>44877</v>
      </c>
      <c r="H10638" t="str">
        <f>"89725"</f>
        <v>89725</v>
      </c>
      <c r="I10638">
        <v>1</v>
      </c>
      <c r="J10638">
        <v>2839</v>
      </c>
      <c r="K10638">
        <v>0</v>
      </c>
      <c r="L10638">
        <v>1703.4</v>
      </c>
    </row>
    <row r="10639" spans="1:12" x14ac:dyDescent="0.25">
      <c r="A10639" t="str">
        <f t="shared" si="2318"/>
        <v>89301000</v>
      </c>
      <c r="B10639" t="str">
        <f t="shared" si="2316"/>
        <v>78915000</v>
      </c>
      <c r="C10639" t="str">
        <f t="shared" si="2317"/>
        <v>78915001</v>
      </c>
      <c r="D10639" t="str">
        <f t="shared" si="2315"/>
        <v>809</v>
      </c>
      <c r="E10639" t="str">
        <f>"89301212"</f>
        <v>89301212</v>
      </c>
      <c r="F10639" t="str">
        <f>"7362015771"</f>
        <v>7362015771</v>
      </c>
      <c r="G10639" s="1">
        <v>44877</v>
      </c>
      <c r="H10639" t="str">
        <f>"0207733"</f>
        <v>0207733</v>
      </c>
      <c r="I10639">
        <v>1</v>
      </c>
      <c r="K10639">
        <v>2590.5300000000002</v>
      </c>
      <c r="L10639">
        <v>2590.5300000000002</v>
      </c>
    </row>
    <row r="10640" spans="1:12" x14ac:dyDescent="0.25">
      <c r="A10640" t="str">
        <f t="shared" si="2318"/>
        <v>89301000</v>
      </c>
      <c r="B10640" t="str">
        <f t="shared" si="2316"/>
        <v>78915000</v>
      </c>
      <c r="C10640" t="str">
        <f t="shared" si="2317"/>
        <v>78915001</v>
      </c>
      <c r="D10640" t="str">
        <f t="shared" si="2315"/>
        <v>809</v>
      </c>
      <c r="E10640" t="str">
        <f>"89301062"</f>
        <v>89301062</v>
      </c>
      <c r="F10640" t="str">
        <f>"7401245390"</f>
        <v>7401245390</v>
      </c>
      <c r="G10640" s="1">
        <v>44893</v>
      </c>
      <c r="H10640" t="str">
        <f>"89713"</f>
        <v>89713</v>
      </c>
      <c r="I10640">
        <v>1</v>
      </c>
      <c r="J10640">
        <v>5362</v>
      </c>
      <c r="K10640">
        <v>0</v>
      </c>
      <c r="L10640">
        <v>3217.2</v>
      </c>
    </row>
    <row r="10641" spans="1:12" x14ac:dyDescent="0.25">
      <c r="A10641" t="str">
        <f t="shared" si="2318"/>
        <v>89301000</v>
      </c>
      <c r="B10641" t="str">
        <f t="shared" si="2316"/>
        <v>78915000</v>
      </c>
      <c r="C10641" t="str">
        <f t="shared" si="2317"/>
        <v>78915001</v>
      </c>
      <c r="D10641" t="str">
        <f t="shared" si="2315"/>
        <v>809</v>
      </c>
      <c r="E10641" t="str">
        <f>"89301062"</f>
        <v>89301062</v>
      </c>
      <c r="F10641" t="str">
        <f>"7401245390"</f>
        <v>7401245390</v>
      </c>
      <c r="G10641" s="1">
        <v>44893</v>
      </c>
      <c r="H10641" t="str">
        <f>"89725"</f>
        <v>89725</v>
      </c>
      <c r="I10641">
        <v>1</v>
      </c>
      <c r="J10641">
        <v>2839</v>
      </c>
      <c r="K10641">
        <v>0</v>
      </c>
      <c r="L10641">
        <v>1703.4</v>
      </c>
    </row>
    <row r="10642" spans="1:12" x14ac:dyDescent="0.25">
      <c r="A10642" t="str">
        <f t="shared" si="2318"/>
        <v>89301000</v>
      </c>
      <c r="B10642" t="str">
        <f t="shared" si="2316"/>
        <v>78915000</v>
      </c>
      <c r="C10642" t="str">
        <f t="shared" si="2317"/>
        <v>78915001</v>
      </c>
      <c r="D10642" t="str">
        <f t="shared" si="2315"/>
        <v>809</v>
      </c>
      <c r="E10642" t="str">
        <f>"89301112"</f>
        <v>89301112</v>
      </c>
      <c r="F10642" t="str">
        <f>"7503254484"</f>
        <v>7503254484</v>
      </c>
      <c r="G10642" s="1">
        <v>44883</v>
      </c>
      <c r="H10642" t="str">
        <f>"09569"</f>
        <v>09569</v>
      </c>
      <c r="I10642">
        <v>1</v>
      </c>
      <c r="J10642">
        <v>0</v>
      </c>
      <c r="K10642">
        <v>0</v>
      </c>
      <c r="L10642">
        <v>0</v>
      </c>
    </row>
    <row r="10643" spans="1:12" x14ac:dyDescent="0.25">
      <c r="A10643" t="str">
        <f t="shared" si="2318"/>
        <v>89301000</v>
      </c>
      <c r="B10643" t="str">
        <f t="shared" si="2316"/>
        <v>78915000</v>
      </c>
      <c r="C10643" t="str">
        <f t="shared" si="2317"/>
        <v>78915001</v>
      </c>
      <c r="D10643" t="str">
        <f t="shared" si="2315"/>
        <v>809</v>
      </c>
      <c r="E10643" t="str">
        <f>"89301112"</f>
        <v>89301112</v>
      </c>
      <c r="F10643" t="str">
        <f>"7503254484"</f>
        <v>7503254484</v>
      </c>
      <c r="G10643" s="1">
        <v>44883</v>
      </c>
      <c r="H10643" t="str">
        <f>"89713"</f>
        <v>89713</v>
      </c>
      <c r="I10643">
        <v>1</v>
      </c>
      <c r="J10643">
        <v>5362</v>
      </c>
      <c r="K10643">
        <v>0</v>
      </c>
      <c r="L10643">
        <v>3217.2</v>
      </c>
    </row>
    <row r="10644" spans="1:12" x14ac:dyDescent="0.25">
      <c r="A10644" t="str">
        <f t="shared" si="2318"/>
        <v>89301000</v>
      </c>
      <c r="B10644" t="str">
        <f t="shared" si="2316"/>
        <v>78915000</v>
      </c>
      <c r="C10644" t="str">
        <f t="shared" si="2317"/>
        <v>78915001</v>
      </c>
      <c r="D10644" t="str">
        <f t="shared" si="2315"/>
        <v>809</v>
      </c>
      <c r="E10644" t="str">
        <f>"89301062"</f>
        <v>89301062</v>
      </c>
      <c r="F10644" t="str">
        <f>"7551035844"</f>
        <v>7551035844</v>
      </c>
      <c r="G10644" s="1">
        <v>44873</v>
      </c>
      <c r="H10644" t="str">
        <f>"89713"</f>
        <v>89713</v>
      </c>
      <c r="I10644">
        <v>1</v>
      </c>
      <c r="J10644">
        <v>5362</v>
      </c>
      <c r="K10644">
        <v>0</v>
      </c>
      <c r="L10644">
        <v>3217.2</v>
      </c>
    </row>
    <row r="10645" spans="1:12" x14ac:dyDescent="0.25">
      <c r="A10645" t="str">
        <f t="shared" si="2318"/>
        <v>89301000</v>
      </c>
      <c r="B10645" t="str">
        <f t="shared" si="2316"/>
        <v>78915000</v>
      </c>
      <c r="C10645" t="str">
        <f t="shared" si="2317"/>
        <v>78915001</v>
      </c>
      <c r="D10645" t="str">
        <f t="shared" si="2315"/>
        <v>809</v>
      </c>
      <c r="E10645" t="str">
        <f>"89301062"</f>
        <v>89301062</v>
      </c>
      <c r="F10645" t="str">
        <f>"7551035844"</f>
        <v>7551035844</v>
      </c>
      <c r="G10645" s="1">
        <v>44873</v>
      </c>
      <c r="H10645" t="str">
        <f>"89725"</f>
        <v>89725</v>
      </c>
      <c r="I10645">
        <v>1</v>
      </c>
      <c r="J10645">
        <v>2839</v>
      </c>
      <c r="K10645">
        <v>0</v>
      </c>
      <c r="L10645">
        <v>1703.4</v>
      </c>
    </row>
    <row r="10646" spans="1:12" x14ac:dyDescent="0.25">
      <c r="A10646" t="str">
        <f t="shared" si="2318"/>
        <v>89301000</v>
      </c>
      <c r="B10646" t="str">
        <f t="shared" si="2316"/>
        <v>78915000</v>
      </c>
      <c r="C10646" t="str">
        <f t="shared" si="2317"/>
        <v>78915001</v>
      </c>
      <c r="D10646" t="str">
        <f t="shared" si="2315"/>
        <v>809</v>
      </c>
      <c r="E10646" t="str">
        <f>"89301312"</f>
        <v>89301312</v>
      </c>
      <c r="F10646" t="str">
        <f>"7606124493"</f>
        <v>7606124493</v>
      </c>
      <c r="G10646" s="1">
        <v>44869</v>
      </c>
      <c r="H10646" t="str">
        <f>"09567"</f>
        <v>09567</v>
      </c>
      <c r="I10646">
        <v>1</v>
      </c>
      <c r="J10646">
        <v>0</v>
      </c>
      <c r="K10646">
        <v>0</v>
      </c>
      <c r="L10646">
        <v>0</v>
      </c>
    </row>
    <row r="10647" spans="1:12" x14ac:dyDescent="0.25">
      <c r="A10647" t="str">
        <f t="shared" si="2318"/>
        <v>89301000</v>
      </c>
      <c r="B10647" t="str">
        <f t="shared" si="2316"/>
        <v>78915000</v>
      </c>
      <c r="C10647" t="str">
        <f t="shared" si="2317"/>
        <v>78915001</v>
      </c>
      <c r="D10647" t="str">
        <f t="shared" si="2315"/>
        <v>809</v>
      </c>
      <c r="E10647" t="str">
        <f>"89301312"</f>
        <v>89301312</v>
      </c>
      <c r="F10647" t="str">
        <f>"7606124493"</f>
        <v>7606124493</v>
      </c>
      <c r="G10647" s="1">
        <v>44869</v>
      </c>
      <c r="H10647" t="str">
        <f>"89713"</f>
        <v>89713</v>
      </c>
      <c r="I10647">
        <v>1</v>
      </c>
      <c r="J10647">
        <v>5362</v>
      </c>
      <c r="K10647">
        <v>0</v>
      </c>
      <c r="L10647">
        <v>3217.2</v>
      </c>
    </row>
    <row r="10648" spans="1:12" x14ac:dyDescent="0.25">
      <c r="A10648" t="str">
        <f t="shared" si="2318"/>
        <v>89301000</v>
      </c>
      <c r="B10648" t="str">
        <f t="shared" si="2316"/>
        <v>78915000</v>
      </c>
      <c r="C10648" t="str">
        <f t="shared" si="2317"/>
        <v>78915001</v>
      </c>
      <c r="D10648" t="str">
        <f t="shared" si="2315"/>
        <v>809</v>
      </c>
      <c r="E10648" t="str">
        <f>"89301112"</f>
        <v>89301112</v>
      </c>
      <c r="F10648" t="str">
        <f>"7656285197"</f>
        <v>7656285197</v>
      </c>
      <c r="G10648" s="1">
        <v>44873</v>
      </c>
      <c r="H10648" t="str">
        <f>"09569"</f>
        <v>09569</v>
      </c>
      <c r="I10648">
        <v>1</v>
      </c>
      <c r="J10648">
        <v>0</v>
      </c>
      <c r="K10648">
        <v>0</v>
      </c>
      <c r="L10648">
        <v>0</v>
      </c>
    </row>
    <row r="10649" spans="1:12" x14ac:dyDescent="0.25">
      <c r="A10649" t="str">
        <f t="shared" si="2318"/>
        <v>89301000</v>
      </c>
      <c r="B10649" t="str">
        <f t="shared" si="2316"/>
        <v>78915000</v>
      </c>
      <c r="C10649" t="str">
        <f t="shared" si="2317"/>
        <v>78915001</v>
      </c>
      <c r="D10649" t="str">
        <f t="shared" si="2315"/>
        <v>809</v>
      </c>
      <c r="E10649" t="str">
        <f>"89301112"</f>
        <v>89301112</v>
      </c>
      <c r="F10649" t="str">
        <f>"7656285197"</f>
        <v>7656285197</v>
      </c>
      <c r="G10649" s="1">
        <v>44873</v>
      </c>
      <c r="H10649" t="str">
        <f>"89713"</f>
        <v>89713</v>
      </c>
      <c r="I10649">
        <v>1</v>
      </c>
      <c r="J10649">
        <v>5362</v>
      </c>
      <c r="K10649">
        <v>0</v>
      </c>
      <c r="L10649">
        <v>3217.2</v>
      </c>
    </row>
    <row r="10650" spans="1:12" x14ac:dyDescent="0.25">
      <c r="A10650" t="str">
        <f t="shared" si="2318"/>
        <v>89301000</v>
      </c>
      <c r="B10650" t="str">
        <f t="shared" si="2316"/>
        <v>78915000</v>
      </c>
      <c r="C10650" t="str">
        <f t="shared" si="2317"/>
        <v>78915001</v>
      </c>
      <c r="D10650" t="str">
        <f t="shared" ref="D10650:D10681" si="2319">"809"</f>
        <v>809</v>
      </c>
      <c r="E10650" t="str">
        <f>"89301112"</f>
        <v>89301112</v>
      </c>
      <c r="F10650" t="str">
        <f>"7753095328"</f>
        <v>7753095328</v>
      </c>
      <c r="G10650" s="1">
        <v>44869</v>
      </c>
      <c r="H10650" t="str">
        <f>"09569"</f>
        <v>09569</v>
      </c>
      <c r="I10650">
        <v>1</v>
      </c>
      <c r="J10650">
        <v>0</v>
      </c>
      <c r="K10650">
        <v>0</v>
      </c>
      <c r="L10650">
        <v>0</v>
      </c>
    </row>
    <row r="10651" spans="1:12" x14ac:dyDescent="0.25">
      <c r="A10651" t="str">
        <f t="shared" si="2318"/>
        <v>89301000</v>
      </c>
      <c r="B10651" t="str">
        <f t="shared" si="2316"/>
        <v>78915000</v>
      </c>
      <c r="C10651" t="str">
        <f t="shared" si="2317"/>
        <v>78915001</v>
      </c>
      <c r="D10651" t="str">
        <f t="shared" si="2319"/>
        <v>809</v>
      </c>
      <c r="E10651" t="str">
        <f>"89301112"</f>
        <v>89301112</v>
      </c>
      <c r="F10651" t="str">
        <f>"7753095328"</f>
        <v>7753095328</v>
      </c>
      <c r="G10651" s="1">
        <v>44869</v>
      </c>
      <c r="H10651" t="str">
        <f>"89713"</f>
        <v>89713</v>
      </c>
      <c r="I10651">
        <v>1</v>
      </c>
      <c r="J10651">
        <v>5362</v>
      </c>
      <c r="K10651">
        <v>0</v>
      </c>
      <c r="L10651">
        <v>3217.2</v>
      </c>
    </row>
    <row r="10652" spans="1:12" x14ac:dyDescent="0.25">
      <c r="A10652" t="str">
        <f t="shared" si="2318"/>
        <v>89301000</v>
      </c>
      <c r="B10652" t="str">
        <f t="shared" ref="B10652:B10674" si="2320">"78915000"</f>
        <v>78915000</v>
      </c>
      <c r="C10652" t="str">
        <f t="shared" ref="C10652:C10674" si="2321">"78915001"</f>
        <v>78915001</v>
      </c>
      <c r="D10652" t="str">
        <f t="shared" si="2319"/>
        <v>809</v>
      </c>
      <c r="E10652" t="str">
        <f>"89301212"</f>
        <v>89301212</v>
      </c>
      <c r="F10652" t="str">
        <f>"7856295315"</f>
        <v>7856295315</v>
      </c>
      <c r="G10652" s="1">
        <v>44881</v>
      </c>
      <c r="H10652" t="str">
        <f>"89715"</f>
        <v>89715</v>
      </c>
      <c r="I10652">
        <v>1</v>
      </c>
      <c r="J10652">
        <v>5474</v>
      </c>
      <c r="K10652">
        <v>0</v>
      </c>
      <c r="L10652">
        <v>3284.4</v>
      </c>
    </row>
    <row r="10653" spans="1:12" x14ac:dyDescent="0.25">
      <c r="A10653" t="str">
        <f t="shared" si="2318"/>
        <v>89301000</v>
      </c>
      <c r="B10653" t="str">
        <f t="shared" si="2320"/>
        <v>78915000</v>
      </c>
      <c r="C10653" t="str">
        <f t="shared" si="2321"/>
        <v>78915001</v>
      </c>
      <c r="D10653" t="str">
        <f t="shared" si="2319"/>
        <v>809</v>
      </c>
      <c r="E10653" t="str">
        <f>"89301212"</f>
        <v>89301212</v>
      </c>
      <c r="F10653" t="str">
        <f>"7856295315"</f>
        <v>7856295315</v>
      </c>
      <c r="G10653" s="1">
        <v>44881</v>
      </c>
      <c r="H10653" t="str">
        <f>"89725"</f>
        <v>89725</v>
      </c>
      <c r="I10653">
        <v>1</v>
      </c>
      <c r="J10653">
        <v>2839</v>
      </c>
      <c r="K10653">
        <v>0</v>
      </c>
      <c r="L10653">
        <v>1703.4</v>
      </c>
    </row>
    <row r="10654" spans="1:12" x14ac:dyDescent="0.25">
      <c r="A10654" t="str">
        <f t="shared" si="2318"/>
        <v>89301000</v>
      </c>
      <c r="B10654" t="str">
        <f t="shared" si="2320"/>
        <v>78915000</v>
      </c>
      <c r="C10654" t="str">
        <f t="shared" si="2321"/>
        <v>78915001</v>
      </c>
      <c r="D10654" t="str">
        <f t="shared" si="2319"/>
        <v>809</v>
      </c>
      <c r="E10654" t="str">
        <f>"89301212"</f>
        <v>89301212</v>
      </c>
      <c r="F10654" t="str">
        <f>"7856295315"</f>
        <v>7856295315</v>
      </c>
      <c r="G10654" s="1">
        <v>44881</v>
      </c>
      <c r="H10654" t="str">
        <f>"0207733"</f>
        <v>0207733</v>
      </c>
      <c r="I10654">
        <v>1.06</v>
      </c>
      <c r="K10654">
        <v>2745.96</v>
      </c>
      <c r="L10654">
        <v>2745.96</v>
      </c>
    </row>
    <row r="10655" spans="1:12" x14ac:dyDescent="0.25">
      <c r="A10655" t="str">
        <f t="shared" si="2318"/>
        <v>89301000</v>
      </c>
      <c r="B10655" t="str">
        <f t="shared" si="2320"/>
        <v>78915000</v>
      </c>
      <c r="C10655" t="str">
        <f t="shared" si="2321"/>
        <v>78915001</v>
      </c>
      <c r="D10655" t="str">
        <f t="shared" si="2319"/>
        <v>809</v>
      </c>
      <c r="E10655" t="str">
        <f>"89301112"</f>
        <v>89301112</v>
      </c>
      <c r="F10655" t="str">
        <f>"8009295305"</f>
        <v>8009295305</v>
      </c>
      <c r="G10655" s="1">
        <v>44873</v>
      </c>
      <c r="H10655" t="str">
        <f>"09569"</f>
        <v>09569</v>
      </c>
      <c r="I10655">
        <v>1</v>
      </c>
      <c r="J10655">
        <v>0</v>
      </c>
      <c r="K10655">
        <v>0</v>
      </c>
      <c r="L10655">
        <v>0</v>
      </c>
    </row>
    <row r="10656" spans="1:12" x14ac:dyDescent="0.25">
      <c r="A10656" t="str">
        <f t="shared" si="2318"/>
        <v>89301000</v>
      </c>
      <c r="B10656" t="str">
        <f t="shared" si="2320"/>
        <v>78915000</v>
      </c>
      <c r="C10656" t="str">
        <f t="shared" si="2321"/>
        <v>78915001</v>
      </c>
      <c r="D10656" t="str">
        <f t="shared" si="2319"/>
        <v>809</v>
      </c>
      <c r="E10656" t="str">
        <f>"89301112"</f>
        <v>89301112</v>
      </c>
      <c r="F10656" t="str">
        <f>"8009295305"</f>
        <v>8009295305</v>
      </c>
      <c r="G10656" s="1">
        <v>44873</v>
      </c>
      <c r="H10656" t="str">
        <f>"89713"</f>
        <v>89713</v>
      </c>
      <c r="I10656">
        <v>1</v>
      </c>
      <c r="J10656">
        <v>5362</v>
      </c>
      <c r="K10656">
        <v>0</v>
      </c>
      <c r="L10656">
        <v>3217.2</v>
      </c>
    </row>
    <row r="10657" spans="1:12" x14ac:dyDescent="0.25">
      <c r="A10657" t="str">
        <f t="shared" si="2318"/>
        <v>89301000</v>
      </c>
      <c r="B10657" t="str">
        <f t="shared" si="2320"/>
        <v>78915000</v>
      </c>
      <c r="C10657" t="str">
        <f t="shared" si="2321"/>
        <v>78915001</v>
      </c>
      <c r="D10657" t="str">
        <f t="shared" si="2319"/>
        <v>809</v>
      </c>
      <c r="E10657" t="str">
        <f>"89301045"</f>
        <v>89301045</v>
      </c>
      <c r="F10657" t="str">
        <f>"8055045768"</f>
        <v>8055045768</v>
      </c>
      <c r="G10657" s="1">
        <v>44867</v>
      </c>
      <c r="H10657" t="str">
        <f>"89715"</f>
        <v>89715</v>
      </c>
      <c r="I10657">
        <v>1</v>
      </c>
      <c r="J10657">
        <v>5474</v>
      </c>
      <c r="K10657">
        <v>0</v>
      </c>
      <c r="L10657">
        <v>3284.4</v>
      </c>
    </row>
    <row r="10658" spans="1:12" x14ac:dyDescent="0.25">
      <c r="A10658" t="str">
        <f t="shared" si="2318"/>
        <v>89301000</v>
      </c>
      <c r="B10658" t="str">
        <f t="shared" si="2320"/>
        <v>78915000</v>
      </c>
      <c r="C10658" t="str">
        <f t="shared" si="2321"/>
        <v>78915001</v>
      </c>
      <c r="D10658" t="str">
        <f t="shared" si="2319"/>
        <v>809</v>
      </c>
      <c r="E10658" t="str">
        <f>"89301045"</f>
        <v>89301045</v>
      </c>
      <c r="F10658" t="str">
        <f>"8055045768"</f>
        <v>8055045768</v>
      </c>
      <c r="G10658" s="1">
        <v>44867</v>
      </c>
      <c r="H10658" t="str">
        <f>"89725"</f>
        <v>89725</v>
      </c>
      <c r="I10658">
        <v>1</v>
      </c>
      <c r="J10658">
        <v>2839</v>
      </c>
      <c r="K10658">
        <v>0</v>
      </c>
      <c r="L10658">
        <v>1703.4</v>
      </c>
    </row>
    <row r="10659" spans="1:12" x14ac:dyDescent="0.25">
      <c r="A10659" t="str">
        <f t="shared" si="2318"/>
        <v>89301000</v>
      </c>
      <c r="B10659" t="str">
        <f t="shared" si="2320"/>
        <v>78915000</v>
      </c>
      <c r="C10659" t="str">
        <f t="shared" si="2321"/>
        <v>78915001</v>
      </c>
      <c r="D10659" t="str">
        <f t="shared" si="2319"/>
        <v>809</v>
      </c>
      <c r="E10659" t="str">
        <f>"89301045"</f>
        <v>89301045</v>
      </c>
      <c r="F10659" t="str">
        <f>"8055045768"</f>
        <v>8055045768</v>
      </c>
      <c r="G10659" s="1">
        <v>44867</v>
      </c>
      <c r="H10659" t="str">
        <f>"0207733"</f>
        <v>0207733</v>
      </c>
      <c r="I10659">
        <v>1</v>
      </c>
      <c r="K10659">
        <v>2590.5300000000002</v>
      </c>
      <c r="L10659">
        <v>2590.5300000000002</v>
      </c>
    </row>
    <row r="10660" spans="1:12" x14ac:dyDescent="0.25">
      <c r="A10660" t="str">
        <f t="shared" si="2318"/>
        <v>89301000</v>
      </c>
      <c r="B10660" t="str">
        <f t="shared" si="2320"/>
        <v>78915000</v>
      </c>
      <c r="C10660" t="str">
        <f t="shared" si="2321"/>
        <v>78915001</v>
      </c>
      <c r="D10660" t="str">
        <f t="shared" si="2319"/>
        <v>809</v>
      </c>
      <c r="E10660" t="str">
        <f>"89301112"</f>
        <v>89301112</v>
      </c>
      <c r="F10660" t="str">
        <f>"8105174836"</f>
        <v>8105174836</v>
      </c>
      <c r="G10660" s="1">
        <v>44868</v>
      </c>
      <c r="H10660" t="str">
        <f>"09567"</f>
        <v>09567</v>
      </c>
      <c r="I10660">
        <v>1</v>
      </c>
      <c r="J10660">
        <v>0</v>
      </c>
      <c r="K10660">
        <v>0</v>
      </c>
      <c r="L10660">
        <v>0</v>
      </c>
    </row>
    <row r="10661" spans="1:12" x14ac:dyDescent="0.25">
      <c r="A10661" t="str">
        <f t="shared" si="2318"/>
        <v>89301000</v>
      </c>
      <c r="B10661" t="str">
        <f t="shared" si="2320"/>
        <v>78915000</v>
      </c>
      <c r="C10661" t="str">
        <f t="shared" si="2321"/>
        <v>78915001</v>
      </c>
      <c r="D10661" t="str">
        <f t="shared" si="2319"/>
        <v>809</v>
      </c>
      <c r="E10661" t="str">
        <f>"89301112"</f>
        <v>89301112</v>
      </c>
      <c r="F10661" t="str">
        <f>"8105174836"</f>
        <v>8105174836</v>
      </c>
      <c r="G10661" s="1">
        <v>44868</v>
      </c>
      <c r="H10661" t="str">
        <f>"89713"</f>
        <v>89713</v>
      </c>
      <c r="I10661">
        <v>1</v>
      </c>
      <c r="J10661">
        <v>5362</v>
      </c>
      <c r="K10661">
        <v>0</v>
      </c>
      <c r="L10661">
        <v>3217.2</v>
      </c>
    </row>
    <row r="10662" spans="1:12" x14ac:dyDescent="0.25">
      <c r="A10662" t="str">
        <f t="shared" si="2318"/>
        <v>89301000</v>
      </c>
      <c r="B10662" t="str">
        <f t="shared" si="2320"/>
        <v>78915000</v>
      </c>
      <c r="C10662" t="str">
        <f t="shared" si="2321"/>
        <v>78915001</v>
      </c>
      <c r="D10662" t="str">
        <f t="shared" si="2319"/>
        <v>809</v>
      </c>
      <c r="E10662" t="str">
        <f>"89301037"</f>
        <v>89301037</v>
      </c>
      <c r="F10662" t="str">
        <f>"8202195320"</f>
        <v>8202195320</v>
      </c>
      <c r="G10662" s="1">
        <v>44889</v>
      </c>
      <c r="H10662" t="str">
        <f>"89713"</f>
        <v>89713</v>
      </c>
      <c r="I10662">
        <v>1</v>
      </c>
      <c r="J10662">
        <v>5362</v>
      </c>
      <c r="K10662">
        <v>0</v>
      </c>
      <c r="L10662">
        <v>3217.2</v>
      </c>
    </row>
    <row r="10663" spans="1:12" x14ac:dyDescent="0.25">
      <c r="A10663" t="str">
        <f t="shared" si="2318"/>
        <v>89301000</v>
      </c>
      <c r="B10663" t="str">
        <f t="shared" si="2320"/>
        <v>78915000</v>
      </c>
      <c r="C10663" t="str">
        <f t="shared" si="2321"/>
        <v>78915001</v>
      </c>
      <c r="D10663" t="str">
        <f t="shared" si="2319"/>
        <v>809</v>
      </c>
      <c r="E10663" t="str">
        <f>"89301172"</f>
        <v>89301172</v>
      </c>
      <c r="F10663" t="str">
        <f>"8555284914"</f>
        <v>8555284914</v>
      </c>
      <c r="G10663" s="1">
        <v>44880</v>
      </c>
      <c r="H10663" t="str">
        <f>"89713"</f>
        <v>89713</v>
      </c>
      <c r="I10663">
        <v>1</v>
      </c>
      <c r="J10663">
        <v>5362</v>
      </c>
      <c r="K10663">
        <v>0</v>
      </c>
      <c r="L10663">
        <v>3217.2</v>
      </c>
    </row>
    <row r="10664" spans="1:12" x14ac:dyDescent="0.25">
      <c r="A10664" t="str">
        <f t="shared" si="2318"/>
        <v>89301000</v>
      </c>
      <c r="B10664" t="str">
        <f t="shared" si="2320"/>
        <v>78915000</v>
      </c>
      <c r="C10664" t="str">
        <f t="shared" si="2321"/>
        <v>78915001</v>
      </c>
      <c r="D10664" t="str">
        <f t="shared" si="2319"/>
        <v>809</v>
      </c>
      <c r="E10664" t="str">
        <f>"89301172"</f>
        <v>89301172</v>
      </c>
      <c r="F10664" t="str">
        <f>"8555284914"</f>
        <v>8555284914</v>
      </c>
      <c r="G10664" s="1">
        <v>44880</v>
      </c>
      <c r="H10664" t="str">
        <f>"89723"</f>
        <v>89723</v>
      </c>
      <c r="I10664">
        <v>1</v>
      </c>
      <c r="J10664">
        <v>5880</v>
      </c>
      <c r="K10664">
        <v>0</v>
      </c>
      <c r="L10664">
        <v>3528</v>
      </c>
    </row>
    <row r="10665" spans="1:12" x14ac:dyDescent="0.25">
      <c r="A10665" t="str">
        <f t="shared" si="2318"/>
        <v>89301000</v>
      </c>
      <c r="B10665" t="str">
        <f t="shared" si="2320"/>
        <v>78915000</v>
      </c>
      <c r="C10665" t="str">
        <f t="shared" si="2321"/>
        <v>78915001</v>
      </c>
      <c r="D10665" t="str">
        <f t="shared" si="2319"/>
        <v>809</v>
      </c>
      <c r="E10665" t="str">
        <f>"89301172"</f>
        <v>89301172</v>
      </c>
      <c r="F10665" t="str">
        <f>"8555284914"</f>
        <v>8555284914</v>
      </c>
      <c r="G10665" s="1">
        <v>44880</v>
      </c>
      <c r="H10665" t="str">
        <f>"89725"</f>
        <v>89725</v>
      </c>
      <c r="I10665">
        <v>1</v>
      </c>
      <c r="J10665">
        <v>2839</v>
      </c>
      <c r="K10665">
        <v>0</v>
      </c>
      <c r="L10665">
        <v>1703.4</v>
      </c>
    </row>
    <row r="10666" spans="1:12" x14ac:dyDescent="0.25">
      <c r="A10666" t="str">
        <f t="shared" si="2318"/>
        <v>89301000</v>
      </c>
      <c r="B10666" t="str">
        <f t="shared" si="2320"/>
        <v>78915000</v>
      </c>
      <c r="C10666" t="str">
        <f t="shared" si="2321"/>
        <v>78915001</v>
      </c>
      <c r="D10666" t="str">
        <f t="shared" si="2319"/>
        <v>809</v>
      </c>
      <c r="E10666" t="str">
        <f t="shared" ref="E10666:E10674" si="2322">"89301112"</f>
        <v>89301112</v>
      </c>
      <c r="F10666" t="str">
        <f>"9105084846"</f>
        <v>9105084846</v>
      </c>
      <c r="G10666" s="1">
        <v>44888</v>
      </c>
      <c r="H10666" t="str">
        <f>"09567"</f>
        <v>09567</v>
      </c>
      <c r="I10666">
        <v>1</v>
      </c>
      <c r="J10666">
        <v>0</v>
      </c>
      <c r="K10666">
        <v>0</v>
      </c>
      <c r="L10666">
        <v>0</v>
      </c>
    </row>
    <row r="10667" spans="1:12" x14ac:dyDescent="0.25">
      <c r="A10667" t="str">
        <f t="shared" si="2318"/>
        <v>89301000</v>
      </c>
      <c r="B10667" t="str">
        <f t="shared" si="2320"/>
        <v>78915000</v>
      </c>
      <c r="C10667" t="str">
        <f t="shared" si="2321"/>
        <v>78915001</v>
      </c>
      <c r="D10667" t="str">
        <f t="shared" si="2319"/>
        <v>809</v>
      </c>
      <c r="E10667" t="str">
        <f t="shared" si="2322"/>
        <v>89301112</v>
      </c>
      <c r="F10667" t="str">
        <f>"9105084846"</f>
        <v>9105084846</v>
      </c>
      <c r="G10667" s="1">
        <v>44888</v>
      </c>
      <c r="H10667" t="str">
        <f>"09569"</f>
        <v>09569</v>
      </c>
      <c r="I10667">
        <v>1</v>
      </c>
      <c r="J10667">
        <v>0</v>
      </c>
      <c r="K10667">
        <v>0</v>
      </c>
      <c r="L10667">
        <v>0</v>
      </c>
    </row>
    <row r="10668" spans="1:12" x14ac:dyDescent="0.25">
      <c r="A10668" t="str">
        <f t="shared" si="2318"/>
        <v>89301000</v>
      </c>
      <c r="B10668" t="str">
        <f t="shared" si="2320"/>
        <v>78915000</v>
      </c>
      <c r="C10668" t="str">
        <f t="shared" si="2321"/>
        <v>78915001</v>
      </c>
      <c r="D10668" t="str">
        <f t="shared" si="2319"/>
        <v>809</v>
      </c>
      <c r="E10668" t="str">
        <f t="shared" si="2322"/>
        <v>89301112</v>
      </c>
      <c r="F10668" t="str">
        <f>"9105084846"</f>
        <v>9105084846</v>
      </c>
      <c r="G10668" s="1">
        <v>44888</v>
      </c>
      <c r="H10668" t="str">
        <f>"89713"</f>
        <v>89713</v>
      </c>
      <c r="I10668">
        <v>2</v>
      </c>
      <c r="J10668">
        <v>10724</v>
      </c>
      <c r="K10668">
        <v>0</v>
      </c>
      <c r="L10668">
        <v>6434.4</v>
      </c>
    </row>
    <row r="10669" spans="1:12" x14ac:dyDescent="0.25">
      <c r="A10669" t="str">
        <f t="shared" si="2318"/>
        <v>89301000</v>
      </c>
      <c r="B10669" t="str">
        <f t="shared" si="2320"/>
        <v>78915000</v>
      </c>
      <c r="C10669" t="str">
        <f t="shared" si="2321"/>
        <v>78915001</v>
      </c>
      <c r="D10669" t="str">
        <f t="shared" si="2319"/>
        <v>809</v>
      </c>
      <c r="E10669" t="str">
        <f t="shared" si="2322"/>
        <v>89301112</v>
      </c>
      <c r="F10669" t="str">
        <f>"9201044468"</f>
        <v>9201044468</v>
      </c>
      <c r="G10669" s="1">
        <v>44869</v>
      </c>
      <c r="H10669" t="str">
        <f>"09569"</f>
        <v>09569</v>
      </c>
      <c r="I10669">
        <v>1</v>
      </c>
      <c r="J10669">
        <v>0</v>
      </c>
      <c r="K10669">
        <v>0</v>
      </c>
      <c r="L10669">
        <v>0</v>
      </c>
    </row>
    <row r="10670" spans="1:12" x14ac:dyDescent="0.25">
      <c r="A10670" t="str">
        <f t="shared" si="2318"/>
        <v>89301000</v>
      </c>
      <c r="B10670" t="str">
        <f t="shared" si="2320"/>
        <v>78915000</v>
      </c>
      <c r="C10670" t="str">
        <f t="shared" si="2321"/>
        <v>78915001</v>
      </c>
      <c r="D10670" t="str">
        <f t="shared" si="2319"/>
        <v>809</v>
      </c>
      <c r="E10670" t="str">
        <f t="shared" si="2322"/>
        <v>89301112</v>
      </c>
      <c r="F10670" t="str">
        <f>"9201044468"</f>
        <v>9201044468</v>
      </c>
      <c r="G10670" s="1">
        <v>44869</v>
      </c>
      <c r="H10670" t="str">
        <f>"89713"</f>
        <v>89713</v>
      </c>
      <c r="I10670">
        <v>1</v>
      </c>
      <c r="J10670">
        <v>5362</v>
      </c>
      <c r="K10670">
        <v>0</v>
      </c>
      <c r="L10670">
        <v>3217.2</v>
      </c>
    </row>
    <row r="10671" spans="1:12" x14ac:dyDescent="0.25">
      <c r="A10671" t="str">
        <f t="shared" si="2318"/>
        <v>89301000</v>
      </c>
      <c r="B10671" t="str">
        <f t="shared" si="2320"/>
        <v>78915000</v>
      </c>
      <c r="C10671" t="str">
        <f t="shared" si="2321"/>
        <v>78915001</v>
      </c>
      <c r="D10671" t="str">
        <f t="shared" si="2319"/>
        <v>809</v>
      </c>
      <c r="E10671" t="str">
        <f t="shared" si="2322"/>
        <v>89301112</v>
      </c>
      <c r="F10671" t="str">
        <f>"9762235637"</f>
        <v>9762235637</v>
      </c>
      <c r="G10671" s="1">
        <v>44886</v>
      </c>
      <c r="H10671" t="str">
        <f>"09567"</f>
        <v>09567</v>
      </c>
      <c r="I10671">
        <v>1</v>
      </c>
      <c r="J10671">
        <v>0</v>
      </c>
      <c r="K10671">
        <v>0</v>
      </c>
      <c r="L10671">
        <v>0</v>
      </c>
    </row>
    <row r="10672" spans="1:12" x14ac:dyDescent="0.25">
      <c r="A10672" t="str">
        <f t="shared" si="2318"/>
        <v>89301000</v>
      </c>
      <c r="B10672" t="str">
        <f t="shared" si="2320"/>
        <v>78915000</v>
      </c>
      <c r="C10672" t="str">
        <f t="shared" si="2321"/>
        <v>78915001</v>
      </c>
      <c r="D10672" t="str">
        <f t="shared" si="2319"/>
        <v>809</v>
      </c>
      <c r="E10672" t="str">
        <f t="shared" si="2322"/>
        <v>89301112</v>
      </c>
      <c r="F10672" t="str">
        <f>"9762235637"</f>
        <v>9762235637</v>
      </c>
      <c r="G10672" s="1">
        <v>44886</v>
      </c>
      <c r="H10672" t="str">
        <f>"89713"</f>
        <v>89713</v>
      </c>
      <c r="I10672">
        <v>1</v>
      </c>
      <c r="J10672">
        <v>5362</v>
      </c>
      <c r="K10672">
        <v>0</v>
      </c>
      <c r="L10672">
        <v>3217.2</v>
      </c>
    </row>
    <row r="10673" spans="1:12" x14ac:dyDescent="0.25">
      <c r="A10673" t="str">
        <f t="shared" si="2318"/>
        <v>89301000</v>
      </c>
      <c r="B10673" t="str">
        <f t="shared" si="2320"/>
        <v>78915000</v>
      </c>
      <c r="C10673" t="str">
        <f t="shared" si="2321"/>
        <v>78915001</v>
      </c>
      <c r="D10673" t="str">
        <f t="shared" si="2319"/>
        <v>809</v>
      </c>
      <c r="E10673" t="str">
        <f t="shared" si="2322"/>
        <v>89301112</v>
      </c>
      <c r="F10673" t="str">
        <f>"9902114849"</f>
        <v>9902114849</v>
      </c>
      <c r="G10673" s="1">
        <v>44872</v>
      </c>
      <c r="H10673" t="str">
        <f>"09569"</f>
        <v>09569</v>
      </c>
      <c r="I10673">
        <v>1</v>
      </c>
      <c r="J10673">
        <v>0</v>
      </c>
      <c r="K10673">
        <v>0</v>
      </c>
      <c r="L10673">
        <v>0</v>
      </c>
    </row>
    <row r="10674" spans="1:12" x14ac:dyDescent="0.25">
      <c r="A10674" t="str">
        <f t="shared" si="2318"/>
        <v>89301000</v>
      </c>
      <c r="B10674" t="str">
        <f t="shared" si="2320"/>
        <v>78915000</v>
      </c>
      <c r="C10674" t="str">
        <f t="shared" si="2321"/>
        <v>78915001</v>
      </c>
      <c r="D10674" t="str">
        <f t="shared" si="2319"/>
        <v>809</v>
      </c>
      <c r="E10674" t="str">
        <f t="shared" si="2322"/>
        <v>89301112</v>
      </c>
      <c r="F10674" t="str">
        <f>"9902114849"</f>
        <v>9902114849</v>
      </c>
      <c r="G10674" s="1">
        <v>44872</v>
      </c>
      <c r="H10674" t="str">
        <f>"89713"</f>
        <v>89713</v>
      </c>
      <c r="I10674">
        <v>1</v>
      </c>
      <c r="J10674">
        <v>5362</v>
      </c>
      <c r="K10674">
        <v>0</v>
      </c>
      <c r="L10674">
        <v>3217.2</v>
      </c>
    </row>
    <row r="10675" spans="1:12" x14ac:dyDescent="0.25">
      <c r="A10675" t="str">
        <f t="shared" si="2318"/>
        <v>89301000</v>
      </c>
      <c r="B10675" t="str">
        <f>"78610000"</f>
        <v>78610000</v>
      </c>
      <c r="C10675" t="str">
        <f>"78610001"</f>
        <v>78610001</v>
      </c>
      <c r="D10675" t="str">
        <f t="shared" si="2319"/>
        <v>809</v>
      </c>
      <c r="E10675" t="str">
        <f>"89301336"</f>
        <v>89301336</v>
      </c>
      <c r="F10675" t="str">
        <f>"8905275115"</f>
        <v>8905275115</v>
      </c>
      <c r="G10675" s="1">
        <v>44880</v>
      </c>
      <c r="H10675" t="str">
        <f>"89513"</f>
        <v>89513</v>
      </c>
      <c r="I10675">
        <v>1</v>
      </c>
      <c r="J10675">
        <v>371</v>
      </c>
      <c r="K10675">
        <v>0</v>
      </c>
      <c r="L10675">
        <v>519.4</v>
      </c>
    </row>
    <row r="10676" spans="1:12" x14ac:dyDescent="0.25">
      <c r="A10676" t="str">
        <f t="shared" si="2318"/>
        <v>89301000</v>
      </c>
      <c r="B10676" t="str">
        <f>"78610000"</f>
        <v>78610000</v>
      </c>
      <c r="C10676" t="str">
        <f>"78610001"</f>
        <v>78610001</v>
      </c>
      <c r="D10676" t="str">
        <f t="shared" si="2319"/>
        <v>809</v>
      </c>
      <c r="E10676" t="str">
        <f>"89301336"</f>
        <v>89301336</v>
      </c>
      <c r="F10676" t="str">
        <f>"8905275115"</f>
        <v>8905275115</v>
      </c>
      <c r="G10676" s="1">
        <v>44880</v>
      </c>
      <c r="H10676" t="str">
        <f>"89514"</f>
        <v>89514</v>
      </c>
      <c r="I10676">
        <v>1</v>
      </c>
      <c r="J10676">
        <v>371</v>
      </c>
      <c r="K10676">
        <v>0</v>
      </c>
      <c r="L10676">
        <v>519.4</v>
      </c>
    </row>
    <row r="10677" spans="1:12" x14ac:dyDescent="0.25">
      <c r="A10677" t="str">
        <f t="shared" si="2318"/>
        <v>89301000</v>
      </c>
      <c r="B10677" t="str">
        <f t="shared" ref="B10677:B10708" si="2323">"78051000"</f>
        <v>78051000</v>
      </c>
      <c r="C10677" t="str">
        <f t="shared" ref="C10677:C10708" si="2324">"78051004"</f>
        <v>78051004</v>
      </c>
      <c r="D10677" t="str">
        <f t="shared" si="2319"/>
        <v>809</v>
      </c>
      <c r="E10677" t="str">
        <f t="shared" ref="E10677:E10705" si="2325">"89301062"</f>
        <v>89301062</v>
      </c>
      <c r="F10677" t="str">
        <f>"510312183"</f>
        <v>510312183</v>
      </c>
      <c r="G10677" s="1">
        <v>44866</v>
      </c>
      <c r="H10677" t="str">
        <f>"89311"</f>
        <v>89311</v>
      </c>
      <c r="I10677">
        <v>1</v>
      </c>
      <c r="J10677">
        <v>936</v>
      </c>
      <c r="K10677">
        <v>0</v>
      </c>
      <c r="L10677">
        <v>1310.4000000000001</v>
      </c>
    </row>
    <row r="10678" spans="1:12" x14ac:dyDescent="0.25">
      <c r="A10678" t="str">
        <f t="shared" si="2318"/>
        <v>89301000</v>
      </c>
      <c r="B10678" t="str">
        <f t="shared" si="2323"/>
        <v>78051000</v>
      </c>
      <c r="C10678" t="str">
        <f t="shared" si="2324"/>
        <v>78051004</v>
      </c>
      <c r="D10678" t="str">
        <f t="shared" si="2319"/>
        <v>809</v>
      </c>
      <c r="E10678" t="str">
        <f t="shared" si="2325"/>
        <v>89301062</v>
      </c>
      <c r="F10678" t="str">
        <f>"510312183"</f>
        <v>510312183</v>
      </c>
      <c r="G10678" s="1">
        <v>44866</v>
      </c>
      <c r="H10678" t="str">
        <f>"0090044"</f>
        <v>0090044</v>
      </c>
      <c r="I10678">
        <v>1</v>
      </c>
      <c r="K10678">
        <v>16.8</v>
      </c>
      <c r="L10678">
        <v>16.8</v>
      </c>
    </row>
    <row r="10679" spans="1:12" x14ac:dyDescent="0.25">
      <c r="A10679" t="str">
        <f t="shared" si="2318"/>
        <v>89301000</v>
      </c>
      <c r="B10679" t="str">
        <f t="shared" si="2323"/>
        <v>78051000</v>
      </c>
      <c r="C10679" t="str">
        <f t="shared" si="2324"/>
        <v>78051004</v>
      </c>
      <c r="D10679" t="str">
        <f t="shared" si="2319"/>
        <v>809</v>
      </c>
      <c r="E10679" t="str">
        <f t="shared" si="2325"/>
        <v>89301062</v>
      </c>
      <c r="F10679" t="str">
        <f>"510312183"</f>
        <v>510312183</v>
      </c>
      <c r="G10679" s="1">
        <v>44866</v>
      </c>
      <c r="H10679" t="str">
        <f>"0225891"</f>
        <v>0225891</v>
      </c>
      <c r="I10679">
        <v>0.2</v>
      </c>
      <c r="K10679">
        <v>73.540000000000006</v>
      </c>
      <c r="L10679">
        <v>73.540000000000006</v>
      </c>
    </row>
    <row r="10680" spans="1:12" x14ac:dyDescent="0.25">
      <c r="A10680" t="str">
        <f t="shared" si="2318"/>
        <v>89301000</v>
      </c>
      <c r="B10680" t="str">
        <f t="shared" si="2323"/>
        <v>78051000</v>
      </c>
      <c r="C10680" t="str">
        <f t="shared" si="2324"/>
        <v>78051004</v>
      </c>
      <c r="D10680" t="str">
        <f t="shared" si="2319"/>
        <v>809</v>
      </c>
      <c r="E10680" t="str">
        <f t="shared" si="2325"/>
        <v>89301062</v>
      </c>
      <c r="F10680" t="str">
        <f>"510312183"</f>
        <v>510312183</v>
      </c>
      <c r="G10680" s="1">
        <v>44866</v>
      </c>
      <c r="H10680" t="str">
        <f>"0096251"</f>
        <v>0096251</v>
      </c>
      <c r="I10680">
        <v>0.17</v>
      </c>
      <c r="K10680">
        <v>198.83</v>
      </c>
      <c r="L10680">
        <v>198.83</v>
      </c>
    </row>
    <row r="10681" spans="1:12" x14ac:dyDescent="0.25">
      <c r="A10681" t="str">
        <f t="shared" si="2318"/>
        <v>89301000</v>
      </c>
      <c r="B10681" t="str">
        <f t="shared" si="2323"/>
        <v>78051000</v>
      </c>
      <c r="C10681" t="str">
        <f t="shared" si="2324"/>
        <v>78051004</v>
      </c>
      <c r="D10681" t="str">
        <f t="shared" si="2319"/>
        <v>809</v>
      </c>
      <c r="E10681" t="str">
        <f t="shared" si="2325"/>
        <v>89301062</v>
      </c>
      <c r="F10681" t="str">
        <f>"510312183"</f>
        <v>510312183</v>
      </c>
      <c r="G10681" s="1">
        <v>44866</v>
      </c>
      <c r="H10681" t="str">
        <f>"0098943"</f>
        <v>0098943</v>
      </c>
      <c r="I10681">
        <v>1</v>
      </c>
      <c r="K10681">
        <v>293.81</v>
      </c>
      <c r="L10681">
        <v>293.81</v>
      </c>
    </row>
    <row r="10682" spans="1:12" x14ac:dyDescent="0.25">
      <c r="A10682" t="str">
        <f t="shared" si="2318"/>
        <v>89301000</v>
      </c>
      <c r="B10682" t="str">
        <f t="shared" si="2323"/>
        <v>78051000</v>
      </c>
      <c r="C10682" t="str">
        <f t="shared" si="2324"/>
        <v>78051004</v>
      </c>
      <c r="D10682" t="str">
        <f t="shared" ref="D10682:D10713" si="2326">"809"</f>
        <v>809</v>
      </c>
      <c r="E10682" t="str">
        <f t="shared" si="2325"/>
        <v>89301062</v>
      </c>
      <c r="F10682" t="str">
        <f>"6760160693"</f>
        <v>6760160693</v>
      </c>
      <c r="G10682" s="1">
        <v>44866</v>
      </c>
      <c r="H10682" t="str">
        <f>"89311"</f>
        <v>89311</v>
      </c>
      <c r="I10682">
        <v>1</v>
      </c>
      <c r="J10682">
        <v>936</v>
      </c>
      <c r="K10682">
        <v>0</v>
      </c>
      <c r="L10682">
        <v>1310.4000000000001</v>
      </c>
    </row>
    <row r="10683" spans="1:12" x14ac:dyDescent="0.25">
      <c r="A10683" t="str">
        <f t="shared" si="2318"/>
        <v>89301000</v>
      </c>
      <c r="B10683" t="str">
        <f t="shared" si="2323"/>
        <v>78051000</v>
      </c>
      <c r="C10683" t="str">
        <f t="shared" si="2324"/>
        <v>78051004</v>
      </c>
      <c r="D10683" t="str">
        <f t="shared" si="2326"/>
        <v>809</v>
      </c>
      <c r="E10683" t="str">
        <f t="shared" si="2325"/>
        <v>89301062</v>
      </c>
      <c r="F10683" t="str">
        <f>"6760160693"</f>
        <v>6760160693</v>
      </c>
      <c r="G10683" s="1">
        <v>44866</v>
      </c>
      <c r="H10683" t="str">
        <f>"0090044"</f>
        <v>0090044</v>
      </c>
      <c r="I10683">
        <v>1</v>
      </c>
      <c r="K10683">
        <v>16.8</v>
      </c>
      <c r="L10683">
        <v>16.8</v>
      </c>
    </row>
    <row r="10684" spans="1:12" x14ac:dyDescent="0.25">
      <c r="A10684" t="str">
        <f t="shared" si="2318"/>
        <v>89301000</v>
      </c>
      <c r="B10684" t="str">
        <f t="shared" si="2323"/>
        <v>78051000</v>
      </c>
      <c r="C10684" t="str">
        <f t="shared" si="2324"/>
        <v>78051004</v>
      </c>
      <c r="D10684" t="str">
        <f t="shared" si="2326"/>
        <v>809</v>
      </c>
      <c r="E10684" t="str">
        <f t="shared" si="2325"/>
        <v>89301062</v>
      </c>
      <c r="F10684" t="str">
        <f>"6760160693"</f>
        <v>6760160693</v>
      </c>
      <c r="G10684" s="1">
        <v>44866</v>
      </c>
      <c r="H10684" t="str">
        <f>"0225891"</f>
        <v>0225891</v>
      </c>
      <c r="I10684">
        <v>0.2</v>
      </c>
      <c r="K10684">
        <v>73.540000000000006</v>
      </c>
      <c r="L10684">
        <v>73.540000000000006</v>
      </c>
    </row>
    <row r="10685" spans="1:12" x14ac:dyDescent="0.25">
      <c r="A10685" t="str">
        <f t="shared" si="2318"/>
        <v>89301000</v>
      </c>
      <c r="B10685" t="str">
        <f t="shared" si="2323"/>
        <v>78051000</v>
      </c>
      <c r="C10685" t="str">
        <f t="shared" si="2324"/>
        <v>78051004</v>
      </c>
      <c r="D10685" t="str">
        <f t="shared" si="2326"/>
        <v>809</v>
      </c>
      <c r="E10685" t="str">
        <f t="shared" si="2325"/>
        <v>89301062</v>
      </c>
      <c r="F10685" t="str">
        <f>"6760160693"</f>
        <v>6760160693</v>
      </c>
      <c r="G10685" s="1">
        <v>44866</v>
      </c>
      <c r="H10685" t="str">
        <f>"0096251"</f>
        <v>0096251</v>
      </c>
      <c r="I10685">
        <v>0.17</v>
      </c>
      <c r="K10685">
        <v>198.83</v>
      </c>
      <c r="L10685">
        <v>198.83</v>
      </c>
    </row>
    <row r="10686" spans="1:12" x14ac:dyDescent="0.25">
      <c r="A10686" t="str">
        <f t="shared" si="2318"/>
        <v>89301000</v>
      </c>
      <c r="B10686" t="str">
        <f t="shared" si="2323"/>
        <v>78051000</v>
      </c>
      <c r="C10686" t="str">
        <f t="shared" si="2324"/>
        <v>78051004</v>
      </c>
      <c r="D10686" t="str">
        <f t="shared" si="2326"/>
        <v>809</v>
      </c>
      <c r="E10686" t="str">
        <f t="shared" si="2325"/>
        <v>89301062</v>
      </c>
      <c r="F10686" t="str">
        <f>"6760160693"</f>
        <v>6760160693</v>
      </c>
      <c r="G10686" s="1">
        <v>44866</v>
      </c>
      <c r="H10686" t="str">
        <f>"0098943"</f>
        <v>0098943</v>
      </c>
      <c r="I10686">
        <v>1</v>
      </c>
      <c r="K10686">
        <v>293.81</v>
      </c>
      <c r="L10686">
        <v>293.81</v>
      </c>
    </row>
    <row r="10687" spans="1:12" x14ac:dyDescent="0.25">
      <c r="A10687" t="str">
        <f t="shared" si="2318"/>
        <v>89301000</v>
      </c>
      <c r="B10687" t="str">
        <f t="shared" si="2323"/>
        <v>78051000</v>
      </c>
      <c r="C10687" t="str">
        <f t="shared" si="2324"/>
        <v>78051004</v>
      </c>
      <c r="D10687" t="str">
        <f t="shared" si="2326"/>
        <v>809</v>
      </c>
      <c r="E10687" t="str">
        <f t="shared" si="2325"/>
        <v>89301062</v>
      </c>
      <c r="F10687" t="str">
        <f>"5859220092"</f>
        <v>5859220092</v>
      </c>
      <c r="G10687" s="1">
        <v>44866</v>
      </c>
      <c r="H10687" t="str">
        <f>"89311"</f>
        <v>89311</v>
      </c>
      <c r="I10687">
        <v>1</v>
      </c>
      <c r="J10687">
        <v>936</v>
      </c>
      <c r="K10687">
        <v>0</v>
      </c>
      <c r="L10687">
        <v>1310.4000000000001</v>
      </c>
    </row>
    <row r="10688" spans="1:12" x14ac:dyDescent="0.25">
      <c r="A10688" t="str">
        <f t="shared" si="2318"/>
        <v>89301000</v>
      </c>
      <c r="B10688" t="str">
        <f t="shared" si="2323"/>
        <v>78051000</v>
      </c>
      <c r="C10688" t="str">
        <f t="shared" si="2324"/>
        <v>78051004</v>
      </c>
      <c r="D10688" t="str">
        <f t="shared" si="2326"/>
        <v>809</v>
      </c>
      <c r="E10688" t="str">
        <f t="shared" si="2325"/>
        <v>89301062</v>
      </c>
      <c r="F10688" t="str">
        <f>"5859220092"</f>
        <v>5859220092</v>
      </c>
      <c r="G10688" s="1">
        <v>44866</v>
      </c>
      <c r="H10688" t="str">
        <f>"0090044"</f>
        <v>0090044</v>
      </c>
      <c r="I10688">
        <v>1</v>
      </c>
      <c r="K10688">
        <v>16.8</v>
      </c>
      <c r="L10688">
        <v>16.8</v>
      </c>
    </row>
    <row r="10689" spans="1:12" x14ac:dyDescent="0.25">
      <c r="A10689" t="str">
        <f t="shared" si="2318"/>
        <v>89301000</v>
      </c>
      <c r="B10689" t="str">
        <f t="shared" si="2323"/>
        <v>78051000</v>
      </c>
      <c r="C10689" t="str">
        <f t="shared" si="2324"/>
        <v>78051004</v>
      </c>
      <c r="D10689" t="str">
        <f t="shared" si="2326"/>
        <v>809</v>
      </c>
      <c r="E10689" t="str">
        <f t="shared" si="2325"/>
        <v>89301062</v>
      </c>
      <c r="F10689" t="str">
        <f>"5859220092"</f>
        <v>5859220092</v>
      </c>
      <c r="G10689" s="1">
        <v>44866</v>
      </c>
      <c r="H10689" t="str">
        <f>"0225891"</f>
        <v>0225891</v>
      </c>
      <c r="I10689">
        <v>0.2</v>
      </c>
      <c r="K10689">
        <v>73.540000000000006</v>
      </c>
      <c r="L10689">
        <v>73.540000000000006</v>
      </c>
    </row>
    <row r="10690" spans="1:12" x14ac:dyDescent="0.25">
      <c r="A10690" t="str">
        <f t="shared" ref="A10690:A10753" si="2327">"89301000"</f>
        <v>89301000</v>
      </c>
      <c r="B10690" t="str">
        <f t="shared" si="2323"/>
        <v>78051000</v>
      </c>
      <c r="C10690" t="str">
        <f t="shared" si="2324"/>
        <v>78051004</v>
      </c>
      <c r="D10690" t="str">
        <f t="shared" si="2326"/>
        <v>809</v>
      </c>
      <c r="E10690" t="str">
        <f t="shared" si="2325"/>
        <v>89301062</v>
      </c>
      <c r="F10690" t="str">
        <f>"5859220092"</f>
        <v>5859220092</v>
      </c>
      <c r="G10690" s="1">
        <v>44866</v>
      </c>
      <c r="H10690" t="str">
        <f>"0096251"</f>
        <v>0096251</v>
      </c>
      <c r="I10690">
        <v>0.17</v>
      </c>
      <c r="K10690">
        <v>198.83</v>
      </c>
      <c r="L10690">
        <v>198.83</v>
      </c>
    </row>
    <row r="10691" spans="1:12" x14ac:dyDescent="0.25">
      <c r="A10691" t="str">
        <f t="shared" si="2327"/>
        <v>89301000</v>
      </c>
      <c r="B10691" t="str">
        <f t="shared" si="2323"/>
        <v>78051000</v>
      </c>
      <c r="C10691" t="str">
        <f t="shared" si="2324"/>
        <v>78051004</v>
      </c>
      <c r="D10691" t="str">
        <f t="shared" si="2326"/>
        <v>809</v>
      </c>
      <c r="E10691" t="str">
        <f t="shared" si="2325"/>
        <v>89301062</v>
      </c>
      <c r="F10691" t="str">
        <f>"5859220092"</f>
        <v>5859220092</v>
      </c>
      <c r="G10691" s="1">
        <v>44866</v>
      </c>
      <c r="H10691" t="str">
        <f>"0098943"</f>
        <v>0098943</v>
      </c>
      <c r="I10691">
        <v>1</v>
      </c>
      <c r="K10691">
        <v>293.81</v>
      </c>
      <c r="L10691">
        <v>293.81</v>
      </c>
    </row>
    <row r="10692" spans="1:12" x14ac:dyDescent="0.25">
      <c r="A10692" t="str">
        <f t="shared" si="2327"/>
        <v>89301000</v>
      </c>
      <c r="B10692" t="str">
        <f t="shared" si="2323"/>
        <v>78051000</v>
      </c>
      <c r="C10692" t="str">
        <f t="shared" si="2324"/>
        <v>78051004</v>
      </c>
      <c r="D10692" t="str">
        <f t="shared" si="2326"/>
        <v>809</v>
      </c>
      <c r="E10692" t="str">
        <f t="shared" si="2325"/>
        <v>89301062</v>
      </c>
      <c r="F10692" t="str">
        <f>"8453015373"</f>
        <v>8453015373</v>
      </c>
      <c r="G10692" s="1">
        <v>44874</v>
      </c>
      <c r="H10692" t="str">
        <f>"89311"</f>
        <v>89311</v>
      </c>
      <c r="I10692">
        <v>1</v>
      </c>
      <c r="J10692">
        <v>936</v>
      </c>
      <c r="K10692">
        <v>0</v>
      </c>
      <c r="L10692">
        <v>1310.4000000000001</v>
      </c>
    </row>
    <row r="10693" spans="1:12" x14ac:dyDescent="0.25">
      <c r="A10693" t="str">
        <f t="shared" si="2327"/>
        <v>89301000</v>
      </c>
      <c r="B10693" t="str">
        <f t="shared" si="2323"/>
        <v>78051000</v>
      </c>
      <c r="C10693" t="str">
        <f t="shared" si="2324"/>
        <v>78051004</v>
      </c>
      <c r="D10693" t="str">
        <f t="shared" si="2326"/>
        <v>809</v>
      </c>
      <c r="E10693" t="str">
        <f t="shared" si="2325"/>
        <v>89301062</v>
      </c>
      <c r="F10693" t="str">
        <f>"8453015373"</f>
        <v>8453015373</v>
      </c>
      <c r="G10693" s="1">
        <v>44874</v>
      </c>
      <c r="H10693" t="str">
        <f>"0225891"</f>
        <v>0225891</v>
      </c>
      <c r="I10693">
        <v>0.2</v>
      </c>
      <c r="K10693">
        <v>73.540000000000006</v>
      </c>
      <c r="L10693">
        <v>73.540000000000006</v>
      </c>
    </row>
    <row r="10694" spans="1:12" x14ac:dyDescent="0.25">
      <c r="A10694" t="str">
        <f t="shared" si="2327"/>
        <v>89301000</v>
      </c>
      <c r="B10694" t="str">
        <f t="shared" si="2323"/>
        <v>78051000</v>
      </c>
      <c r="C10694" t="str">
        <f t="shared" si="2324"/>
        <v>78051004</v>
      </c>
      <c r="D10694" t="str">
        <f t="shared" si="2326"/>
        <v>809</v>
      </c>
      <c r="E10694" t="str">
        <f t="shared" si="2325"/>
        <v>89301062</v>
      </c>
      <c r="F10694" t="str">
        <f>"8453015373"</f>
        <v>8453015373</v>
      </c>
      <c r="G10694" s="1">
        <v>44874</v>
      </c>
      <c r="H10694" t="str">
        <f>"0096251"</f>
        <v>0096251</v>
      </c>
      <c r="I10694">
        <v>0.17</v>
      </c>
      <c r="K10694">
        <v>198.83</v>
      </c>
      <c r="L10694">
        <v>198.83</v>
      </c>
    </row>
    <row r="10695" spans="1:12" x14ac:dyDescent="0.25">
      <c r="A10695" t="str">
        <f t="shared" si="2327"/>
        <v>89301000</v>
      </c>
      <c r="B10695" t="str">
        <f t="shared" si="2323"/>
        <v>78051000</v>
      </c>
      <c r="C10695" t="str">
        <f t="shared" si="2324"/>
        <v>78051004</v>
      </c>
      <c r="D10695" t="str">
        <f t="shared" si="2326"/>
        <v>809</v>
      </c>
      <c r="E10695" t="str">
        <f t="shared" si="2325"/>
        <v>89301062</v>
      </c>
      <c r="F10695" t="str">
        <f>"8453015373"</f>
        <v>8453015373</v>
      </c>
      <c r="G10695" s="1">
        <v>44874</v>
      </c>
      <c r="H10695" t="str">
        <f>"0098943"</f>
        <v>0098943</v>
      </c>
      <c r="I10695">
        <v>1</v>
      </c>
      <c r="K10695">
        <v>293.81</v>
      </c>
      <c r="L10695">
        <v>293.81</v>
      </c>
    </row>
    <row r="10696" spans="1:12" x14ac:dyDescent="0.25">
      <c r="A10696" t="str">
        <f t="shared" si="2327"/>
        <v>89301000</v>
      </c>
      <c r="B10696" t="str">
        <f t="shared" si="2323"/>
        <v>78051000</v>
      </c>
      <c r="C10696" t="str">
        <f t="shared" si="2324"/>
        <v>78051004</v>
      </c>
      <c r="D10696" t="str">
        <f t="shared" si="2326"/>
        <v>809</v>
      </c>
      <c r="E10696" t="str">
        <f t="shared" si="2325"/>
        <v>89301062</v>
      </c>
      <c r="F10696" t="str">
        <f>"5961131121"</f>
        <v>5961131121</v>
      </c>
      <c r="G10696" s="1">
        <v>44874</v>
      </c>
      <c r="H10696" t="str">
        <f>"89311"</f>
        <v>89311</v>
      </c>
      <c r="I10696">
        <v>1</v>
      </c>
      <c r="J10696">
        <v>936</v>
      </c>
      <c r="K10696">
        <v>0</v>
      </c>
      <c r="L10696">
        <v>1310.4000000000001</v>
      </c>
    </row>
    <row r="10697" spans="1:12" x14ac:dyDescent="0.25">
      <c r="A10697" t="str">
        <f t="shared" si="2327"/>
        <v>89301000</v>
      </c>
      <c r="B10697" t="str">
        <f t="shared" si="2323"/>
        <v>78051000</v>
      </c>
      <c r="C10697" t="str">
        <f t="shared" si="2324"/>
        <v>78051004</v>
      </c>
      <c r="D10697" t="str">
        <f t="shared" si="2326"/>
        <v>809</v>
      </c>
      <c r="E10697" t="str">
        <f t="shared" si="2325"/>
        <v>89301062</v>
      </c>
      <c r="F10697" t="str">
        <f>"5961131121"</f>
        <v>5961131121</v>
      </c>
      <c r="G10697" s="1">
        <v>44874</v>
      </c>
      <c r="H10697" t="str">
        <f>"0090044"</f>
        <v>0090044</v>
      </c>
      <c r="I10697">
        <v>1</v>
      </c>
      <c r="K10697">
        <v>16.8</v>
      </c>
      <c r="L10697">
        <v>16.8</v>
      </c>
    </row>
    <row r="10698" spans="1:12" x14ac:dyDescent="0.25">
      <c r="A10698" t="str">
        <f t="shared" si="2327"/>
        <v>89301000</v>
      </c>
      <c r="B10698" t="str">
        <f t="shared" si="2323"/>
        <v>78051000</v>
      </c>
      <c r="C10698" t="str">
        <f t="shared" si="2324"/>
        <v>78051004</v>
      </c>
      <c r="D10698" t="str">
        <f t="shared" si="2326"/>
        <v>809</v>
      </c>
      <c r="E10698" t="str">
        <f t="shared" si="2325"/>
        <v>89301062</v>
      </c>
      <c r="F10698" t="str">
        <f>"5961131121"</f>
        <v>5961131121</v>
      </c>
      <c r="G10698" s="1">
        <v>44874</v>
      </c>
      <c r="H10698" t="str">
        <f>"0225891"</f>
        <v>0225891</v>
      </c>
      <c r="I10698">
        <v>0.2</v>
      </c>
      <c r="K10698">
        <v>73.540000000000006</v>
      </c>
      <c r="L10698">
        <v>73.540000000000006</v>
      </c>
    </row>
    <row r="10699" spans="1:12" x14ac:dyDescent="0.25">
      <c r="A10699" t="str">
        <f t="shared" si="2327"/>
        <v>89301000</v>
      </c>
      <c r="B10699" t="str">
        <f t="shared" si="2323"/>
        <v>78051000</v>
      </c>
      <c r="C10699" t="str">
        <f t="shared" si="2324"/>
        <v>78051004</v>
      </c>
      <c r="D10699" t="str">
        <f t="shared" si="2326"/>
        <v>809</v>
      </c>
      <c r="E10699" t="str">
        <f t="shared" si="2325"/>
        <v>89301062</v>
      </c>
      <c r="F10699" t="str">
        <f>"5961131121"</f>
        <v>5961131121</v>
      </c>
      <c r="G10699" s="1">
        <v>44874</v>
      </c>
      <c r="H10699" t="str">
        <f>"0096251"</f>
        <v>0096251</v>
      </c>
      <c r="I10699">
        <v>0.17</v>
      </c>
      <c r="K10699">
        <v>198.83</v>
      </c>
      <c r="L10699">
        <v>198.83</v>
      </c>
    </row>
    <row r="10700" spans="1:12" x14ac:dyDescent="0.25">
      <c r="A10700" t="str">
        <f t="shared" si="2327"/>
        <v>89301000</v>
      </c>
      <c r="B10700" t="str">
        <f t="shared" si="2323"/>
        <v>78051000</v>
      </c>
      <c r="C10700" t="str">
        <f t="shared" si="2324"/>
        <v>78051004</v>
      </c>
      <c r="D10700" t="str">
        <f t="shared" si="2326"/>
        <v>809</v>
      </c>
      <c r="E10700" t="str">
        <f t="shared" si="2325"/>
        <v>89301062</v>
      </c>
      <c r="F10700" t="str">
        <f>"5961131121"</f>
        <v>5961131121</v>
      </c>
      <c r="G10700" s="1">
        <v>44874</v>
      </c>
      <c r="H10700" t="str">
        <f>"0098943"</f>
        <v>0098943</v>
      </c>
      <c r="I10700">
        <v>1</v>
      </c>
      <c r="K10700">
        <v>293.81</v>
      </c>
      <c r="L10700">
        <v>293.81</v>
      </c>
    </row>
    <row r="10701" spans="1:12" x14ac:dyDescent="0.25">
      <c r="A10701" t="str">
        <f t="shared" si="2327"/>
        <v>89301000</v>
      </c>
      <c r="B10701" t="str">
        <f t="shared" si="2323"/>
        <v>78051000</v>
      </c>
      <c r="C10701" t="str">
        <f t="shared" si="2324"/>
        <v>78051004</v>
      </c>
      <c r="D10701" t="str">
        <f t="shared" si="2326"/>
        <v>809</v>
      </c>
      <c r="E10701" t="str">
        <f t="shared" si="2325"/>
        <v>89301062</v>
      </c>
      <c r="F10701" t="str">
        <f>"7258224270"</f>
        <v>7258224270</v>
      </c>
      <c r="G10701" s="1">
        <v>44874</v>
      </c>
      <c r="H10701" t="str">
        <f>"89311"</f>
        <v>89311</v>
      </c>
      <c r="I10701">
        <v>1</v>
      </c>
      <c r="J10701">
        <v>936</v>
      </c>
      <c r="K10701">
        <v>0</v>
      </c>
      <c r="L10701">
        <v>1310.4000000000001</v>
      </c>
    </row>
    <row r="10702" spans="1:12" x14ac:dyDescent="0.25">
      <c r="A10702" t="str">
        <f t="shared" si="2327"/>
        <v>89301000</v>
      </c>
      <c r="B10702" t="str">
        <f t="shared" si="2323"/>
        <v>78051000</v>
      </c>
      <c r="C10702" t="str">
        <f t="shared" si="2324"/>
        <v>78051004</v>
      </c>
      <c r="D10702" t="str">
        <f t="shared" si="2326"/>
        <v>809</v>
      </c>
      <c r="E10702" t="str">
        <f t="shared" si="2325"/>
        <v>89301062</v>
      </c>
      <c r="F10702" t="str">
        <f>"7258224270"</f>
        <v>7258224270</v>
      </c>
      <c r="G10702" s="1">
        <v>44874</v>
      </c>
      <c r="H10702" t="str">
        <f>"0090044"</f>
        <v>0090044</v>
      </c>
      <c r="I10702">
        <v>1</v>
      </c>
      <c r="K10702">
        <v>16.8</v>
      </c>
      <c r="L10702">
        <v>16.8</v>
      </c>
    </row>
    <row r="10703" spans="1:12" x14ac:dyDescent="0.25">
      <c r="A10703" t="str">
        <f t="shared" si="2327"/>
        <v>89301000</v>
      </c>
      <c r="B10703" t="str">
        <f t="shared" si="2323"/>
        <v>78051000</v>
      </c>
      <c r="C10703" t="str">
        <f t="shared" si="2324"/>
        <v>78051004</v>
      </c>
      <c r="D10703" t="str">
        <f t="shared" si="2326"/>
        <v>809</v>
      </c>
      <c r="E10703" t="str">
        <f t="shared" si="2325"/>
        <v>89301062</v>
      </c>
      <c r="F10703" t="str">
        <f>"7258224270"</f>
        <v>7258224270</v>
      </c>
      <c r="G10703" s="1">
        <v>44874</v>
      </c>
      <c r="H10703" t="str">
        <f>"0225891"</f>
        <v>0225891</v>
      </c>
      <c r="I10703">
        <v>0.2</v>
      </c>
      <c r="K10703">
        <v>73.540000000000006</v>
      </c>
      <c r="L10703">
        <v>73.540000000000006</v>
      </c>
    </row>
    <row r="10704" spans="1:12" x14ac:dyDescent="0.25">
      <c r="A10704" t="str">
        <f t="shared" si="2327"/>
        <v>89301000</v>
      </c>
      <c r="B10704" t="str">
        <f t="shared" si="2323"/>
        <v>78051000</v>
      </c>
      <c r="C10704" t="str">
        <f t="shared" si="2324"/>
        <v>78051004</v>
      </c>
      <c r="D10704" t="str">
        <f t="shared" si="2326"/>
        <v>809</v>
      </c>
      <c r="E10704" t="str">
        <f t="shared" si="2325"/>
        <v>89301062</v>
      </c>
      <c r="F10704" t="str">
        <f>"7258224270"</f>
        <v>7258224270</v>
      </c>
      <c r="G10704" s="1">
        <v>44874</v>
      </c>
      <c r="H10704" t="str">
        <f>"0096251"</f>
        <v>0096251</v>
      </c>
      <c r="I10704">
        <v>0.17</v>
      </c>
      <c r="K10704">
        <v>198.83</v>
      </c>
      <c r="L10704">
        <v>198.83</v>
      </c>
    </row>
    <row r="10705" spans="1:12" x14ac:dyDescent="0.25">
      <c r="A10705" t="str">
        <f t="shared" si="2327"/>
        <v>89301000</v>
      </c>
      <c r="B10705" t="str">
        <f t="shared" si="2323"/>
        <v>78051000</v>
      </c>
      <c r="C10705" t="str">
        <f t="shared" si="2324"/>
        <v>78051004</v>
      </c>
      <c r="D10705" t="str">
        <f t="shared" si="2326"/>
        <v>809</v>
      </c>
      <c r="E10705" t="str">
        <f t="shared" si="2325"/>
        <v>89301062</v>
      </c>
      <c r="F10705" t="str">
        <f>"7258224270"</f>
        <v>7258224270</v>
      </c>
      <c r="G10705" s="1">
        <v>44874</v>
      </c>
      <c r="H10705" t="str">
        <f>"0098943"</f>
        <v>0098943</v>
      </c>
      <c r="I10705">
        <v>1</v>
      </c>
      <c r="K10705">
        <v>293.81</v>
      </c>
      <c r="L10705">
        <v>293.81</v>
      </c>
    </row>
    <row r="10706" spans="1:12" x14ac:dyDescent="0.25">
      <c r="A10706" t="str">
        <f t="shared" si="2327"/>
        <v>89301000</v>
      </c>
      <c r="B10706" t="str">
        <f t="shared" si="2323"/>
        <v>78051000</v>
      </c>
      <c r="C10706" t="str">
        <f t="shared" si="2324"/>
        <v>78051004</v>
      </c>
      <c r="D10706" t="str">
        <f t="shared" si="2326"/>
        <v>809</v>
      </c>
      <c r="E10706" t="str">
        <f>"89301212"</f>
        <v>89301212</v>
      </c>
      <c r="F10706" t="str">
        <f>"485106414"</f>
        <v>485106414</v>
      </c>
      <c r="G10706" s="1">
        <v>44881</v>
      </c>
      <c r="H10706" t="str">
        <f>"89312"</f>
        <v>89312</v>
      </c>
      <c r="I10706">
        <v>3</v>
      </c>
      <c r="J10706">
        <v>906</v>
      </c>
      <c r="K10706">
        <v>0</v>
      </c>
      <c r="L10706">
        <v>951.3</v>
      </c>
    </row>
    <row r="10707" spans="1:12" x14ac:dyDescent="0.25">
      <c r="A10707" t="str">
        <f t="shared" si="2327"/>
        <v>89301000</v>
      </c>
      <c r="B10707" t="str">
        <f t="shared" si="2323"/>
        <v>78051000</v>
      </c>
      <c r="C10707" t="str">
        <f t="shared" si="2324"/>
        <v>78051004</v>
      </c>
      <c r="D10707" t="str">
        <f t="shared" si="2326"/>
        <v>809</v>
      </c>
      <c r="E10707" t="str">
        <f t="shared" ref="E10707:E10738" si="2328">"89301062"</f>
        <v>89301062</v>
      </c>
      <c r="F10707" t="str">
        <f>"530803071"</f>
        <v>530803071</v>
      </c>
      <c r="G10707" s="1">
        <v>44881</v>
      </c>
      <c r="H10707" t="str">
        <f>"89311"</f>
        <v>89311</v>
      </c>
      <c r="I10707">
        <v>1</v>
      </c>
      <c r="J10707">
        <v>936</v>
      </c>
      <c r="K10707">
        <v>0</v>
      </c>
      <c r="L10707">
        <v>1310.4000000000001</v>
      </c>
    </row>
    <row r="10708" spans="1:12" x14ac:dyDescent="0.25">
      <c r="A10708" t="str">
        <f t="shared" si="2327"/>
        <v>89301000</v>
      </c>
      <c r="B10708" t="str">
        <f t="shared" si="2323"/>
        <v>78051000</v>
      </c>
      <c r="C10708" t="str">
        <f t="shared" si="2324"/>
        <v>78051004</v>
      </c>
      <c r="D10708" t="str">
        <f t="shared" si="2326"/>
        <v>809</v>
      </c>
      <c r="E10708" t="str">
        <f t="shared" si="2328"/>
        <v>89301062</v>
      </c>
      <c r="F10708" t="str">
        <f>"530803071"</f>
        <v>530803071</v>
      </c>
      <c r="G10708" s="1">
        <v>44881</v>
      </c>
      <c r="H10708" t="str">
        <f>"0090044"</f>
        <v>0090044</v>
      </c>
      <c r="I10708">
        <v>1</v>
      </c>
      <c r="K10708">
        <v>16.8</v>
      </c>
      <c r="L10708">
        <v>16.8</v>
      </c>
    </row>
    <row r="10709" spans="1:12" x14ac:dyDescent="0.25">
      <c r="A10709" t="str">
        <f t="shared" si="2327"/>
        <v>89301000</v>
      </c>
      <c r="B10709" t="str">
        <f t="shared" ref="B10709:B10740" si="2329">"78051000"</f>
        <v>78051000</v>
      </c>
      <c r="C10709" t="str">
        <f t="shared" ref="C10709:C10740" si="2330">"78051004"</f>
        <v>78051004</v>
      </c>
      <c r="D10709" t="str">
        <f t="shared" si="2326"/>
        <v>809</v>
      </c>
      <c r="E10709" t="str">
        <f t="shared" si="2328"/>
        <v>89301062</v>
      </c>
      <c r="F10709" t="str">
        <f>"530803071"</f>
        <v>530803071</v>
      </c>
      <c r="G10709" s="1">
        <v>44881</v>
      </c>
      <c r="H10709" t="str">
        <f>"0225891"</f>
        <v>0225891</v>
      </c>
      <c r="I10709">
        <v>0.2</v>
      </c>
      <c r="K10709">
        <v>73.540000000000006</v>
      </c>
      <c r="L10709">
        <v>73.540000000000006</v>
      </c>
    </row>
    <row r="10710" spans="1:12" x14ac:dyDescent="0.25">
      <c r="A10710" t="str">
        <f t="shared" si="2327"/>
        <v>89301000</v>
      </c>
      <c r="B10710" t="str">
        <f t="shared" si="2329"/>
        <v>78051000</v>
      </c>
      <c r="C10710" t="str">
        <f t="shared" si="2330"/>
        <v>78051004</v>
      </c>
      <c r="D10710" t="str">
        <f t="shared" si="2326"/>
        <v>809</v>
      </c>
      <c r="E10710" t="str">
        <f t="shared" si="2328"/>
        <v>89301062</v>
      </c>
      <c r="F10710" t="str">
        <f>"530803071"</f>
        <v>530803071</v>
      </c>
      <c r="G10710" s="1">
        <v>44881</v>
      </c>
      <c r="H10710" t="str">
        <f>"0096251"</f>
        <v>0096251</v>
      </c>
      <c r="I10710">
        <v>0.17</v>
      </c>
      <c r="K10710">
        <v>198.83</v>
      </c>
      <c r="L10710">
        <v>198.83</v>
      </c>
    </row>
    <row r="10711" spans="1:12" x14ac:dyDescent="0.25">
      <c r="A10711" t="str">
        <f t="shared" si="2327"/>
        <v>89301000</v>
      </c>
      <c r="B10711" t="str">
        <f t="shared" si="2329"/>
        <v>78051000</v>
      </c>
      <c r="C10711" t="str">
        <f t="shared" si="2330"/>
        <v>78051004</v>
      </c>
      <c r="D10711" t="str">
        <f t="shared" si="2326"/>
        <v>809</v>
      </c>
      <c r="E10711" t="str">
        <f t="shared" si="2328"/>
        <v>89301062</v>
      </c>
      <c r="F10711" t="str">
        <f>"530803071"</f>
        <v>530803071</v>
      </c>
      <c r="G10711" s="1">
        <v>44881</v>
      </c>
      <c r="H10711" t="str">
        <f>"0098943"</f>
        <v>0098943</v>
      </c>
      <c r="I10711">
        <v>1</v>
      </c>
      <c r="K10711">
        <v>293.81</v>
      </c>
      <c r="L10711">
        <v>293.81</v>
      </c>
    </row>
    <row r="10712" spans="1:12" x14ac:dyDescent="0.25">
      <c r="A10712" t="str">
        <f t="shared" si="2327"/>
        <v>89301000</v>
      </c>
      <c r="B10712" t="str">
        <f t="shared" si="2329"/>
        <v>78051000</v>
      </c>
      <c r="C10712" t="str">
        <f t="shared" si="2330"/>
        <v>78051004</v>
      </c>
      <c r="D10712" t="str">
        <f t="shared" si="2326"/>
        <v>809</v>
      </c>
      <c r="E10712" t="str">
        <f t="shared" si="2328"/>
        <v>89301062</v>
      </c>
      <c r="F10712" t="str">
        <f>"530115087"</f>
        <v>530115087</v>
      </c>
      <c r="G10712" s="1">
        <v>44881</v>
      </c>
      <c r="H10712" t="str">
        <f>"89311"</f>
        <v>89311</v>
      </c>
      <c r="I10712">
        <v>1</v>
      </c>
      <c r="J10712">
        <v>936</v>
      </c>
      <c r="K10712">
        <v>0</v>
      </c>
      <c r="L10712">
        <v>1310.4000000000001</v>
      </c>
    </row>
    <row r="10713" spans="1:12" x14ac:dyDescent="0.25">
      <c r="A10713" t="str">
        <f t="shared" si="2327"/>
        <v>89301000</v>
      </c>
      <c r="B10713" t="str">
        <f t="shared" si="2329"/>
        <v>78051000</v>
      </c>
      <c r="C10713" t="str">
        <f t="shared" si="2330"/>
        <v>78051004</v>
      </c>
      <c r="D10713" t="str">
        <f t="shared" si="2326"/>
        <v>809</v>
      </c>
      <c r="E10713" t="str">
        <f t="shared" si="2328"/>
        <v>89301062</v>
      </c>
      <c r="F10713" t="str">
        <f>"530115087"</f>
        <v>530115087</v>
      </c>
      <c r="G10713" s="1">
        <v>44881</v>
      </c>
      <c r="H10713" t="str">
        <f>"0090044"</f>
        <v>0090044</v>
      </c>
      <c r="I10713">
        <v>1</v>
      </c>
      <c r="K10713">
        <v>16.8</v>
      </c>
      <c r="L10713">
        <v>16.8</v>
      </c>
    </row>
    <row r="10714" spans="1:12" x14ac:dyDescent="0.25">
      <c r="A10714" t="str">
        <f t="shared" si="2327"/>
        <v>89301000</v>
      </c>
      <c r="B10714" t="str">
        <f t="shared" si="2329"/>
        <v>78051000</v>
      </c>
      <c r="C10714" t="str">
        <f t="shared" si="2330"/>
        <v>78051004</v>
      </c>
      <c r="D10714" t="str">
        <f t="shared" ref="D10714:D10746" si="2331">"809"</f>
        <v>809</v>
      </c>
      <c r="E10714" t="str">
        <f t="shared" si="2328"/>
        <v>89301062</v>
      </c>
      <c r="F10714" t="str">
        <f>"530115087"</f>
        <v>530115087</v>
      </c>
      <c r="G10714" s="1">
        <v>44881</v>
      </c>
      <c r="H10714" t="str">
        <f>"0225891"</f>
        <v>0225891</v>
      </c>
      <c r="I10714">
        <v>0.2</v>
      </c>
      <c r="K10714">
        <v>73.540000000000006</v>
      </c>
      <c r="L10714">
        <v>73.540000000000006</v>
      </c>
    </row>
    <row r="10715" spans="1:12" x14ac:dyDescent="0.25">
      <c r="A10715" t="str">
        <f t="shared" si="2327"/>
        <v>89301000</v>
      </c>
      <c r="B10715" t="str">
        <f t="shared" si="2329"/>
        <v>78051000</v>
      </c>
      <c r="C10715" t="str">
        <f t="shared" si="2330"/>
        <v>78051004</v>
      </c>
      <c r="D10715" t="str">
        <f t="shared" si="2331"/>
        <v>809</v>
      </c>
      <c r="E10715" t="str">
        <f t="shared" si="2328"/>
        <v>89301062</v>
      </c>
      <c r="F10715" t="str">
        <f>"530115087"</f>
        <v>530115087</v>
      </c>
      <c r="G10715" s="1">
        <v>44881</v>
      </c>
      <c r="H10715" t="str">
        <f>"0096251"</f>
        <v>0096251</v>
      </c>
      <c r="I10715">
        <v>0.17</v>
      </c>
      <c r="K10715">
        <v>198.83</v>
      </c>
      <c r="L10715">
        <v>198.83</v>
      </c>
    </row>
    <row r="10716" spans="1:12" x14ac:dyDescent="0.25">
      <c r="A10716" t="str">
        <f t="shared" si="2327"/>
        <v>89301000</v>
      </c>
      <c r="B10716" t="str">
        <f t="shared" si="2329"/>
        <v>78051000</v>
      </c>
      <c r="C10716" t="str">
        <f t="shared" si="2330"/>
        <v>78051004</v>
      </c>
      <c r="D10716" t="str">
        <f t="shared" si="2331"/>
        <v>809</v>
      </c>
      <c r="E10716" t="str">
        <f t="shared" si="2328"/>
        <v>89301062</v>
      </c>
      <c r="F10716" t="str">
        <f>"530115087"</f>
        <v>530115087</v>
      </c>
      <c r="G10716" s="1">
        <v>44881</v>
      </c>
      <c r="H10716" t="str">
        <f>"0098943"</f>
        <v>0098943</v>
      </c>
      <c r="I10716">
        <v>1</v>
      </c>
      <c r="K10716">
        <v>293.81</v>
      </c>
      <c r="L10716">
        <v>293.81</v>
      </c>
    </row>
    <row r="10717" spans="1:12" x14ac:dyDescent="0.25">
      <c r="A10717" t="str">
        <f t="shared" si="2327"/>
        <v>89301000</v>
      </c>
      <c r="B10717" t="str">
        <f t="shared" si="2329"/>
        <v>78051000</v>
      </c>
      <c r="C10717" t="str">
        <f t="shared" si="2330"/>
        <v>78051004</v>
      </c>
      <c r="D10717" t="str">
        <f t="shared" si="2331"/>
        <v>809</v>
      </c>
      <c r="E10717" t="str">
        <f t="shared" si="2328"/>
        <v>89301062</v>
      </c>
      <c r="F10717" t="str">
        <f>"520102019"</f>
        <v>520102019</v>
      </c>
      <c r="G10717" s="1">
        <v>44888</v>
      </c>
      <c r="H10717" t="str">
        <f>"89311"</f>
        <v>89311</v>
      </c>
      <c r="I10717">
        <v>1</v>
      </c>
      <c r="J10717">
        <v>936</v>
      </c>
      <c r="K10717">
        <v>0</v>
      </c>
      <c r="L10717">
        <v>1310.4000000000001</v>
      </c>
    </row>
    <row r="10718" spans="1:12" x14ac:dyDescent="0.25">
      <c r="A10718" t="str">
        <f t="shared" si="2327"/>
        <v>89301000</v>
      </c>
      <c r="B10718" t="str">
        <f t="shared" si="2329"/>
        <v>78051000</v>
      </c>
      <c r="C10718" t="str">
        <f t="shared" si="2330"/>
        <v>78051004</v>
      </c>
      <c r="D10718" t="str">
        <f t="shared" si="2331"/>
        <v>809</v>
      </c>
      <c r="E10718" t="str">
        <f t="shared" si="2328"/>
        <v>89301062</v>
      </c>
      <c r="F10718" t="str">
        <f>"520102019"</f>
        <v>520102019</v>
      </c>
      <c r="G10718" s="1">
        <v>44888</v>
      </c>
      <c r="H10718" t="str">
        <f>"0090044"</f>
        <v>0090044</v>
      </c>
      <c r="I10718">
        <v>1</v>
      </c>
      <c r="K10718">
        <v>16.8</v>
      </c>
      <c r="L10718">
        <v>16.8</v>
      </c>
    </row>
    <row r="10719" spans="1:12" x14ac:dyDescent="0.25">
      <c r="A10719" t="str">
        <f t="shared" si="2327"/>
        <v>89301000</v>
      </c>
      <c r="B10719" t="str">
        <f t="shared" si="2329"/>
        <v>78051000</v>
      </c>
      <c r="C10719" t="str">
        <f t="shared" si="2330"/>
        <v>78051004</v>
      </c>
      <c r="D10719" t="str">
        <f t="shared" si="2331"/>
        <v>809</v>
      </c>
      <c r="E10719" t="str">
        <f t="shared" si="2328"/>
        <v>89301062</v>
      </c>
      <c r="F10719" t="str">
        <f>"520102019"</f>
        <v>520102019</v>
      </c>
      <c r="G10719" s="1">
        <v>44888</v>
      </c>
      <c r="H10719" t="str">
        <f>"0225891"</f>
        <v>0225891</v>
      </c>
      <c r="I10719">
        <v>0.2</v>
      </c>
      <c r="K10719">
        <v>73.540000000000006</v>
      </c>
      <c r="L10719">
        <v>73.540000000000006</v>
      </c>
    </row>
    <row r="10720" spans="1:12" x14ac:dyDescent="0.25">
      <c r="A10720" t="str">
        <f t="shared" si="2327"/>
        <v>89301000</v>
      </c>
      <c r="B10720" t="str">
        <f t="shared" si="2329"/>
        <v>78051000</v>
      </c>
      <c r="C10720" t="str">
        <f t="shared" si="2330"/>
        <v>78051004</v>
      </c>
      <c r="D10720" t="str">
        <f t="shared" si="2331"/>
        <v>809</v>
      </c>
      <c r="E10720" t="str">
        <f t="shared" si="2328"/>
        <v>89301062</v>
      </c>
      <c r="F10720" t="str">
        <f>"520102019"</f>
        <v>520102019</v>
      </c>
      <c r="G10720" s="1">
        <v>44888</v>
      </c>
      <c r="H10720" t="str">
        <f>"0096251"</f>
        <v>0096251</v>
      </c>
      <c r="I10720">
        <v>0.17</v>
      </c>
      <c r="K10720">
        <v>198.83</v>
      </c>
      <c r="L10720">
        <v>198.83</v>
      </c>
    </row>
    <row r="10721" spans="1:12" x14ac:dyDescent="0.25">
      <c r="A10721" t="str">
        <f t="shared" si="2327"/>
        <v>89301000</v>
      </c>
      <c r="B10721" t="str">
        <f t="shared" si="2329"/>
        <v>78051000</v>
      </c>
      <c r="C10721" t="str">
        <f t="shared" si="2330"/>
        <v>78051004</v>
      </c>
      <c r="D10721" t="str">
        <f t="shared" si="2331"/>
        <v>809</v>
      </c>
      <c r="E10721" t="str">
        <f t="shared" si="2328"/>
        <v>89301062</v>
      </c>
      <c r="F10721" t="str">
        <f>"520102019"</f>
        <v>520102019</v>
      </c>
      <c r="G10721" s="1">
        <v>44888</v>
      </c>
      <c r="H10721" t="str">
        <f>"0098943"</f>
        <v>0098943</v>
      </c>
      <c r="I10721">
        <v>1</v>
      </c>
      <c r="K10721">
        <v>293.81</v>
      </c>
      <c r="L10721">
        <v>293.81</v>
      </c>
    </row>
    <row r="10722" spans="1:12" x14ac:dyDescent="0.25">
      <c r="A10722" t="str">
        <f t="shared" si="2327"/>
        <v>89301000</v>
      </c>
      <c r="B10722" t="str">
        <f t="shared" si="2329"/>
        <v>78051000</v>
      </c>
      <c r="C10722" t="str">
        <f t="shared" si="2330"/>
        <v>78051004</v>
      </c>
      <c r="D10722" t="str">
        <f t="shared" si="2331"/>
        <v>809</v>
      </c>
      <c r="E10722" t="str">
        <f t="shared" si="2328"/>
        <v>89301062</v>
      </c>
      <c r="F10722" t="str">
        <f>"6208120204"</f>
        <v>6208120204</v>
      </c>
      <c r="G10722" s="1">
        <v>44888</v>
      </c>
      <c r="H10722" t="str">
        <f>"89311"</f>
        <v>89311</v>
      </c>
      <c r="I10722">
        <v>1</v>
      </c>
      <c r="J10722">
        <v>936</v>
      </c>
      <c r="K10722">
        <v>0</v>
      </c>
      <c r="L10722">
        <v>1310.4000000000001</v>
      </c>
    </row>
    <row r="10723" spans="1:12" x14ac:dyDescent="0.25">
      <c r="A10723" t="str">
        <f t="shared" si="2327"/>
        <v>89301000</v>
      </c>
      <c r="B10723" t="str">
        <f t="shared" si="2329"/>
        <v>78051000</v>
      </c>
      <c r="C10723" t="str">
        <f t="shared" si="2330"/>
        <v>78051004</v>
      </c>
      <c r="D10723" t="str">
        <f t="shared" si="2331"/>
        <v>809</v>
      </c>
      <c r="E10723" t="str">
        <f t="shared" si="2328"/>
        <v>89301062</v>
      </c>
      <c r="F10723" t="str">
        <f>"6208120204"</f>
        <v>6208120204</v>
      </c>
      <c r="G10723" s="1">
        <v>44888</v>
      </c>
      <c r="H10723" t="str">
        <f>"0090044"</f>
        <v>0090044</v>
      </c>
      <c r="I10723">
        <v>1</v>
      </c>
      <c r="K10723">
        <v>16.8</v>
      </c>
      <c r="L10723">
        <v>16.8</v>
      </c>
    </row>
    <row r="10724" spans="1:12" x14ac:dyDescent="0.25">
      <c r="A10724" t="str">
        <f t="shared" si="2327"/>
        <v>89301000</v>
      </c>
      <c r="B10724" t="str">
        <f t="shared" si="2329"/>
        <v>78051000</v>
      </c>
      <c r="C10724" t="str">
        <f t="shared" si="2330"/>
        <v>78051004</v>
      </c>
      <c r="D10724" t="str">
        <f t="shared" si="2331"/>
        <v>809</v>
      </c>
      <c r="E10724" t="str">
        <f t="shared" si="2328"/>
        <v>89301062</v>
      </c>
      <c r="F10724" t="str">
        <f>"6208120204"</f>
        <v>6208120204</v>
      </c>
      <c r="G10724" s="1">
        <v>44888</v>
      </c>
      <c r="H10724" t="str">
        <f>"0225891"</f>
        <v>0225891</v>
      </c>
      <c r="I10724">
        <v>0.2</v>
      </c>
      <c r="K10724">
        <v>73.540000000000006</v>
      </c>
      <c r="L10724">
        <v>73.540000000000006</v>
      </c>
    </row>
    <row r="10725" spans="1:12" x14ac:dyDescent="0.25">
      <c r="A10725" t="str">
        <f t="shared" si="2327"/>
        <v>89301000</v>
      </c>
      <c r="B10725" t="str">
        <f t="shared" si="2329"/>
        <v>78051000</v>
      </c>
      <c r="C10725" t="str">
        <f t="shared" si="2330"/>
        <v>78051004</v>
      </c>
      <c r="D10725" t="str">
        <f t="shared" si="2331"/>
        <v>809</v>
      </c>
      <c r="E10725" t="str">
        <f t="shared" si="2328"/>
        <v>89301062</v>
      </c>
      <c r="F10725" t="str">
        <f>"6208120204"</f>
        <v>6208120204</v>
      </c>
      <c r="G10725" s="1">
        <v>44888</v>
      </c>
      <c r="H10725" t="str">
        <f>"0096251"</f>
        <v>0096251</v>
      </c>
      <c r="I10725">
        <v>0.17</v>
      </c>
      <c r="K10725">
        <v>198.83</v>
      </c>
      <c r="L10725">
        <v>198.83</v>
      </c>
    </row>
    <row r="10726" spans="1:12" x14ac:dyDescent="0.25">
      <c r="A10726" t="str">
        <f t="shared" si="2327"/>
        <v>89301000</v>
      </c>
      <c r="B10726" t="str">
        <f t="shared" si="2329"/>
        <v>78051000</v>
      </c>
      <c r="C10726" t="str">
        <f t="shared" si="2330"/>
        <v>78051004</v>
      </c>
      <c r="D10726" t="str">
        <f t="shared" si="2331"/>
        <v>809</v>
      </c>
      <c r="E10726" t="str">
        <f t="shared" si="2328"/>
        <v>89301062</v>
      </c>
      <c r="F10726" t="str">
        <f>"6208120204"</f>
        <v>6208120204</v>
      </c>
      <c r="G10726" s="1">
        <v>44888</v>
      </c>
      <c r="H10726" t="str">
        <f>"0098943"</f>
        <v>0098943</v>
      </c>
      <c r="I10726">
        <v>1</v>
      </c>
      <c r="K10726">
        <v>293.81</v>
      </c>
      <c r="L10726">
        <v>293.81</v>
      </c>
    </row>
    <row r="10727" spans="1:12" x14ac:dyDescent="0.25">
      <c r="A10727" t="str">
        <f t="shared" si="2327"/>
        <v>89301000</v>
      </c>
      <c r="B10727" t="str">
        <f t="shared" si="2329"/>
        <v>78051000</v>
      </c>
      <c r="C10727" t="str">
        <f t="shared" si="2330"/>
        <v>78051004</v>
      </c>
      <c r="D10727" t="str">
        <f t="shared" si="2331"/>
        <v>809</v>
      </c>
      <c r="E10727" t="str">
        <f t="shared" si="2328"/>
        <v>89301062</v>
      </c>
      <c r="F10727" t="str">
        <f>"535722048"</f>
        <v>535722048</v>
      </c>
      <c r="G10727" s="1">
        <v>44888</v>
      </c>
      <c r="H10727" t="str">
        <f>"89311"</f>
        <v>89311</v>
      </c>
      <c r="I10727">
        <v>1</v>
      </c>
      <c r="J10727">
        <v>936</v>
      </c>
      <c r="K10727">
        <v>0</v>
      </c>
      <c r="L10727">
        <v>1310.4000000000001</v>
      </c>
    </row>
    <row r="10728" spans="1:12" x14ac:dyDescent="0.25">
      <c r="A10728" t="str">
        <f t="shared" si="2327"/>
        <v>89301000</v>
      </c>
      <c r="B10728" t="str">
        <f t="shared" si="2329"/>
        <v>78051000</v>
      </c>
      <c r="C10728" t="str">
        <f t="shared" si="2330"/>
        <v>78051004</v>
      </c>
      <c r="D10728" t="str">
        <f t="shared" si="2331"/>
        <v>809</v>
      </c>
      <c r="E10728" t="str">
        <f t="shared" si="2328"/>
        <v>89301062</v>
      </c>
      <c r="F10728" t="str">
        <f>"535722048"</f>
        <v>535722048</v>
      </c>
      <c r="G10728" s="1">
        <v>44888</v>
      </c>
      <c r="H10728" t="str">
        <f>"0090044"</f>
        <v>0090044</v>
      </c>
      <c r="I10728">
        <v>1</v>
      </c>
      <c r="K10728">
        <v>16.8</v>
      </c>
      <c r="L10728">
        <v>16.8</v>
      </c>
    </row>
    <row r="10729" spans="1:12" x14ac:dyDescent="0.25">
      <c r="A10729" t="str">
        <f t="shared" si="2327"/>
        <v>89301000</v>
      </c>
      <c r="B10729" t="str">
        <f t="shared" si="2329"/>
        <v>78051000</v>
      </c>
      <c r="C10729" t="str">
        <f t="shared" si="2330"/>
        <v>78051004</v>
      </c>
      <c r="D10729" t="str">
        <f t="shared" si="2331"/>
        <v>809</v>
      </c>
      <c r="E10729" t="str">
        <f t="shared" si="2328"/>
        <v>89301062</v>
      </c>
      <c r="F10729" t="str">
        <f>"535722048"</f>
        <v>535722048</v>
      </c>
      <c r="G10729" s="1">
        <v>44888</v>
      </c>
      <c r="H10729" t="str">
        <f>"0225891"</f>
        <v>0225891</v>
      </c>
      <c r="I10729">
        <v>0.2</v>
      </c>
      <c r="K10729">
        <v>73.540000000000006</v>
      </c>
      <c r="L10729">
        <v>73.540000000000006</v>
      </c>
    </row>
    <row r="10730" spans="1:12" x14ac:dyDescent="0.25">
      <c r="A10730" t="str">
        <f t="shared" si="2327"/>
        <v>89301000</v>
      </c>
      <c r="B10730" t="str">
        <f t="shared" si="2329"/>
        <v>78051000</v>
      </c>
      <c r="C10730" t="str">
        <f t="shared" si="2330"/>
        <v>78051004</v>
      </c>
      <c r="D10730" t="str">
        <f t="shared" si="2331"/>
        <v>809</v>
      </c>
      <c r="E10730" t="str">
        <f t="shared" si="2328"/>
        <v>89301062</v>
      </c>
      <c r="F10730" t="str">
        <f>"535722048"</f>
        <v>535722048</v>
      </c>
      <c r="G10730" s="1">
        <v>44888</v>
      </c>
      <c r="H10730" t="str">
        <f>"0096251"</f>
        <v>0096251</v>
      </c>
      <c r="I10730">
        <v>0.17</v>
      </c>
      <c r="K10730">
        <v>198.83</v>
      </c>
      <c r="L10730">
        <v>198.83</v>
      </c>
    </row>
    <row r="10731" spans="1:12" x14ac:dyDescent="0.25">
      <c r="A10731" t="str">
        <f t="shared" si="2327"/>
        <v>89301000</v>
      </c>
      <c r="B10731" t="str">
        <f t="shared" si="2329"/>
        <v>78051000</v>
      </c>
      <c r="C10731" t="str">
        <f t="shared" si="2330"/>
        <v>78051004</v>
      </c>
      <c r="D10731" t="str">
        <f t="shared" si="2331"/>
        <v>809</v>
      </c>
      <c r="E10731" t="str">
        <f t="shared" si="2328"/>
        <v>89301062</v>
      </c>
      <c r="F10731" t="str">
        <f>"535722048"</f>
        <v>535722048</v>
      </c>
      <c r="G10731" s="1">
        <v>44888</v>
      </c>
      <c r="H10731" t="str">
        <f>"0098943"</f>
        <v>0098943</v>
      </c>
      <c r="I10731">
        <v>1</v>
      </c>
      <c r="K10731">
        <v>293.81</v>
      </c>
      <c r="L10731">
        <v>293.81</v>
      </c>
    </row>
    <row r="10732" spans="1:12" x14ac:dyDescent="0.25">
      <c r="A10732" t="str">
        <f t="shared" si="2327"/>
        <v>89301000</v>
      </c>
      <c r="B10732" t="str">
        <f t="shared" si="2329"/>
        <v>78051000</v>
      </c>
      <c r="C10732" t="str">
        <f t="shared" si="2330"/>
        <v>78051004</v>
      </c>
      <c r="D10732" t="str">
        <f t="shared" si="2331"/>
        <v>809</v>
      </c>
      <c r="E10732" t="str">
        <f t="shared" si="2328"/>
        <v>89301062</v>
      </c>
      <c r="F10732" t="str">
        <f>"7161075394"</f>
        <v>7161075394</v>
      </c>
      <c r="G10732" s="1">
        <v>44888</v>
      </c>
      <c r="H10732" t="str">
        <f>"89311"</f>
        <v>89311</v>
      </c>
      <c r="I10732">
        <v>1</v>
      </c>
      <c r="J10732">
        <v>936</v>
      </c>
      <c r="K10732">
        <v>0</v>
      </c>
      <c r="L10732">
        <v>1310.4000000000001</v>
      </c>
    </row>
    <row r="10733" spans="1:12" x14ac:dyDescent="0.25">
      <c r="A10733" t="str">
        <f t="shared" si="2327"/>
        <v>89301000</v>
      </c>
      <c r="B10733" t="str">
        <f t="shared" si="2329"/>
        <v>78051000</v>
      </c>
      <c r="C10733" t="str">
        <f t="shared" si="2330"/>
        <v>78051004</v>
      </c>
      <c r="D10733" t="str">
        <f t="shared" si="2331"/>
        <v>809</v>
      </c>
      <c r="E10733" t="str">
        <f t="shared" si="2328"/>
        <v>89301062</v>
      </c>
      <c r="F10733" t="str">
        <f>"7161075394"</f>
        <v>7161075394</v>
      </c>
      <c r="G10733" s="1">
        <v>44888</v>
      </c>
      <c r="H10733" t="str">
        <f>"0090044"</f>
        <v>0090044</v>
      </c>
      <c r="I10733">
        <v>1</v>
      </c>
      <c r="K10733">
        <v>16.8</v>
      </c>
      <c r="L10733">
        <v>16.8</v>
      </c>
    </row>
    <row r="10734" spans="1:12" x14ac:dyDescent="0.25">
      <c r="A10734" t="str">
        <f t="shared" si="2327"/>
        <v>89301000</v>
      </c>
      <c r="B10734" t="str">
        <f t="shared" si="2329"/>
        <v>78051000</v>
      </c>
      <c r="C10734" t="str">
        <f t="shared" si="2330"/>
        <v>78051004</v>
      </c>
      <c r="D10734" t="str">
        <f t="shared" si="2331"/>
        <v>809</v>
      </c>
      <c r="E10734" t="str">
        <f t="shared" si="2328"/>
        <v>89301062</v>
      </c>
      <c r="F10734" t="str">
        <f>"7161075394"</f>
        <v>7161075394</v>
      </c>
      <c r="G10734" s="1">
        <v>44888</v>
      </c>
      <c r="H10734" t="str">
        <f>"0225891"</f>
        <v>0225891</v>
      </c>
      <c r="I10734">
        <v>0.2</v>
      </c>
      <c r="K10734">
        <v>73.540000000000006</v>
      </c>
      <c r="L10734">
        <v>73.540000000000006</v>
      </c>
    </row>
    <row r="10735" spans="1:12" x14ac:dyDescent="0.25">
      <c r="A10735" t="str">
        <f t="shared" si="2327"/>
        <v>89301000</v>
      </c>
      <c r="B10735" t="str">
        <f t="shared" si="2329"/>
        <v>78051000</v>
      </c>
      <c r="C10735" t="str">
        <f t="shared" si="2330"/>
        <v>78051004</v>
      </c>
      <c r="D10735" t="str">
        <f t="shared" si="2331"/>
        <v>809</v>
      </c>
      <c r="E10735" t="str">
        <f t="shared" si="2328"/>
        <v>89301062</v>
      </c>
      <c r="F10735" t="str">
        <f>"7161075394"</f>
        <v>7161075394</v>
      </c>
      <c r="G10735" s="1">
        <v>44888</v>
      </c>
      <c r="H10735" t="str">
        <f>"0096251"</f>
        <v>0096251</v>
      </c>
      <c r="I10735">
        <v>0.17</v>
      </c>
      <c r="K10735">
        <v>198.83</v>
      </c>
      <c r="L10735">
        <v>198.83</v>
      </c>
    </row>
    <row r="10736" spans="1:12" x14ac:dyDescent="0.25">
      <c r="A10736" t="str">
        <f t="shared" si="2327"/>
        <v>89301000</v>
      </c>
      <c r="B10736" t="str">
        <f t="shared" si="2329"/>
        <v>78051000</v>
      </c>
      <c r="C10736" t="str">
        <f t="shared" si="2330"/>
        <v>78051004</v>
      </c>
      <c r="D10736" t="str">
        <f t="shared" si="2331"/>
        <v>809</v>
      </c>
      <c r="E10736" t="str">
        <f t="shared" si="2328"/>
        <v>89301062</v>
      </c>
      <c r="F10736" t="str">
        <f>"7161075394"</f>
        <v>7161075394</v>
      </c>
      <c r="G10736" s="1">
        <v>44888</v>
      </c>
      <c r="H10736" t="str">
        <f>"0098943"</f>
        <v>0098943</v>
      </c>
      <c r="I10736">
        <v>1</v>
      </c>
      <c r="K10736">
        <v>293.81</v>
      </c>
      <c r="L10736">
        <v>293.81</v>
      </c>
    </row>
    <row r="10737" spans="1:12" x14ac:dyDescent="0.25">
      <c r="A10737" t="str">
        <f t="shared" si="2327"/>
        <v>89301000</v>
      </c>
      <c r="B10737" t="str">
        <f t="shared" si="2329"/>
        <v>78051000</v>
      </c>
      <c r="C10737" t="str">
        <f t="shared" si="2330"/>
        <v>78051004</v>
      </c>
      <c r="D10737" t="str">
        <f t="shared" si="2331"/>
        <v>809</v>
      </c>
      <c r="E10737" t="str">
        <f t="shared" si="2328"/>
        <v>89301062</v>
      </c>
      <c r="F10737" t="str">
        <f>"5904256413"</f>
        <v>5904256413</v>
      </c>
      <c r="G10737" s="1">
        <v>44895</v>
      </c>
      <c r="H10737" t="str">
        <f>"89311"</f>
        <v>89311</v>
      </c>
      <c r="I10737">
        <v>1</v>
      </c>
      <c r="J10737">
        <v>936</v>
      </c>
      <c r="K10737">
        <v>0</v>
      </c>
      <c r="L10737">
        <v>1310.4000000000001</v>
      </c>
    </row>
    <row r="10738" spans="1:12" x14ac:dyDescent="0.25">
      <c r="A10738" t="str">
        <f t="shared" si="2327"/>
        <v>89301000</v>
      </c>
      <c r="B10738" t="str">
        <f t="shared" si="2329"/>
        <v>78051000</v>
      </c>
      <c r="C10738" t="str">
        <f t="shared" si="2330"/>
        <v>78051004</v>
      </c>
      <c r="D10738" t="str">
        <f t="shared" si="2331"/>
        <v>809</v>
      </c>
      <c r="E10738" t="str">
        <f t="shared" si="2328"/>
        <v>89301062</v>
      </c>
      <c r="F10738" t="str">
        <f>"5904256413"</f>
        <v>5904256413</v>
      </c>
      <c r="G10738" s="1">
        <v>44895</v>
      </c>
      <c r="H10738" t="str">
        <f>"0090044"</f>
        <v>0090044</v>
      </c>
      <c r="I10738">
        <v>1</v>
      </c>
      <c r="K10738">
        <v>16.8</v>
      </c>
      <c r="L10738">
        <v>16.8</v>
      </c>
    </row>
    <row r="10739" spans="1:12" x14ac:dyDescent="0.25">
      <c r="A10739" t="str">
        <f t="shared" si="2327"/>
        <v>89301000</v>
      </c>
      <c r="B10739" t="str">
        <f t="shared" si="2329"/>
        <v>78051000</v>
      </c>
      <c r="C10739" t="str">
        <f t="shared" si="2330"/>
        <v>78051004</v>
      </c>
      <c r="D10739" t="str">
        <f t="shared" si="2331"/>
        <v>809</v>
      </c>
      <c r="E10739" t="str">
        <f t="shared" ref="E10739:E10760" si="2332">"89301062"</f>
        <v>89301062</v>
      </c>
      <c r="F10739" t="str">
        <f>"5904256413"</f>
        <v>5904256413</v>
      </c>
      <c r="G10739" s="1">
        <v>44895</v>
      </c>
      <c r="H10739" t="str">
        <f>"0225891"</f>
        <v>0225891</v>
      </c>
      <c r="I10739">
        <v>0.2</v>
      </c>
      <c r="K10739">
        <v>73.540000000000006</v>
      </c>
      <c r="L10739">
        <v>73.540000000000006</v>
      </c>
    </row>
    <row r="10740" spans="1:12" x14ac:dyDescent="0.25">
      <c r="A10740" t="str">
        <f t="shared" si="2327"/>
        <v>89301000</v>
      </c>
      <c r="B10740" t="str">
        <f t="shared" si="2329"/>
        <v>78051000</v>
      </c>
      <c r="C10740" t="str">
        <f t="shared" si="2330"/>
        <v>78051004</v>
      </c>
      <c r="D10740" t="str">
        <f t="shared" si="2331"/>
        <v>809</v>
      </c>
      <c r="E10740" t="str">
        <f t="shared" si="2332"/>
        <v>89301062</v>
      </c>
      <c r="F10740" t="str">
        <f>"5904256413"</f>
        <v>5904256413</v>
      </c>
      <c r="G10740" s="1">
        <v>44895</v>
      </c>
      <c r="H10740" t="str">
        <f>"0096251"</f>
        <v>0096251</v>
      </c>
      <c r="I10740">
        <v>0.17</v>
      </c>
      <c r="K10740">
        <v>198.83</v>
      </c>
      <c r="L10740">
        <v>198.83</v>
      </c>
    </row>
    <row r="10741" spans="1:12" x14ac:dyDescent="0.25">
      <c r="A10741" t="str">
        <f t="shared" si="2327"/>
        <v>89301000</v>
      </c>
      <c r="B10741" t="str">
        <f t="shared" ref="B10741:B10760" si="2333">"78051000"</f>
        <v>78051000</v>
      </c>
      <c r="C10741" t="str">
        <f t="shared" ref="C10741:C10746" si="2334">"78051004"</f>
        <v>78051004</v>
      </c>
      <c r="D10741" t="str">
        <f t="shared" si="2331"/>
        <v>809</v>
      </c>
      <c r="E10741" t="str">
        <f t="shared" si="2332"/>
        <v>89301062</v>
      </c>
      <c r="F10741" t="str">
        <f>"5904256413"</f>
        <v>5904256413</v>
      </c>
      <c r="G10741" s="1">
        <v>44895</v>
      </c>
      <c r="H10741" t="str">
        <f>"0098943"</f>
        <v>0098943</v>
      </c>
      <c r="I10741">
        <v>1</v>
      </c>
      <c r="K10741">
        <v>293.81</v>
      </c>
      <c r="L10741">
        <v>293.81</v>
      </c>
    </row>
    <row r="10742" spans="1:12" x14ac:dyDescent="0.25">
      <c r="A10742" t="str">
        <f t="shared" si="2327"/>
        <v>89301000</v>
      </c>
      <c r="B10742" t="str">
        <f t="shared" si="2333"/>
        <v>78051000</v>
      </c>
      <c r="C10742" t="str">
        <f t="shared" si="2334"/>
        <v>78051004</v>
      </c>
      <c r="D10742" t="str">
        <f t="shared" si="2331"/>
        <v>809</v>
      </c>
      <c r="E10742" t="str">
        <f t="shared" si="2332"/>
        <v>89301062</v>
      </c>
      <c r="F10742" t="str">
        <f>"7555205317"</f>
        <v>7555205317</v>
      </c>
      <c r="G10742" s="1">
        <v>44895</v>
      </c>
      <c r="H10742" t="str">
        <f>"89311"</f>
        <v>89311</v>
      </c>
      <c r="I10742">
        <v>1</v>
      </c>
      <c r="J10742">
        <v>936</v>
      </c>
      <c r="K10742">
        <v>0</v>
      </c>
      <c r="L10742">
        <v>1310.4000000000001</v>
      </c>
    </row>
    <row r="10743" spans="1:12" x14ac:dyDescent="0.25">
      <c r="A10743" t="str">
        <f t="shared" si="2327"/>
        <v>89301000</v>
      </c>
      <c r="B10743" t="str">
        <f t="shared" si="2333"/>
        <v>78051000</v>
      </c>
      <c r="C10743" t="str">
        <f t="shared" si="2334"/>
        <v>78051004</v>
      </c>
      <c r="D10743" t="str">
        <f t="shared" si="2331"/>
        <v>809</v>
      </c>
      <c r="E10743" t="str">
        <f t="shared" si="2332"/>
        <v>89301062</v>
      </c>
      <c r="F10743" t="str">
        <f>"7555205317"</f>
        <v>7555205317</v>
      </c>
      <c r="G10743" s="1">
        <v>44895</v>
      </c>
      <c r="H10743" t="str">
        <f>"0090044"</f>
        <v>0090044</v>
      </c>
      <c r="I10743">
        <v>1</v>
      </c>
      <c r="K10743">
        <v>16.8</v>
      </c>
      <c r="L10743">
        <v>16.8</v>
      </c>
    </row>
    <row r="10744" spans="1:12" x14ac:dyDescent="0.25">
      <c r="A10744" t="str">
        <f t="shared" si="2327"/>
        <v>89301000</v>
      </c>
      <c r="B10744" t="str">
        <f t="shared" si="2333"/>
        <v>78051000</v>
      </c>
      <c r="C10744" t="str">
        <f t="shared" si="2334"/>
        <v>78051004</v>
      </c>
      <c r="D10744" t="str">
        <f t="shared" si="2331"/>
        <v>809</v>
      </c>
      <c r="E10744" t="str">
        <f t="shared" si="2332"/>
        <v>89301062</v>
      </c>
      <c r="F10744" t="str">
        <f>"7555205317"</f>
        <v>7555205317</v>
      </c>
      <c r="G10744" s="1">
        <v>44895</v>
      </c>
      <c r="H10744" t="str">
        <f>"0225891"</f>
        <v>0225891</v>
      </c>
      <c r="I10744">
        <v>0.2</v>
      </c>
      <c r="K10744">
        <v>73.540000000000006</v>
      </c>
      <c r="L10744">
        <v>73.540000000000006</v>
      </c>
    </row>
    <row r="10745" spans="1:12" x14ac:dyDescent="0.25">
      <c r="A10745" t="str">
        <f t="shared" si="2327"/>
        <v>89301000</v>
      </c>
      <c r="B10745" t="str">
        <f t="shared" si="2333"/>
        <v>78051000</v>
      </c>
      <c r="C10745" t="str">
        <f t="shared" si="2334"/>
        <v>78051004</v>
      </c>
      <c r="D10745" t="str">
        <f t="shared" si="2331"/>
        <v>809</v>
      </c>
      <c r="E10745" t="str">
        <f t="shared" si="2332"/>
        <v>89301062</v>
      </c>
      <c r="F10745" t="str">
        <f>"7555205317"</f>
        <v>7555205317</v>
      </c>
      <c r="G10745" s="1">
        <v>44895</v>
      </c>
      <c r="H10745" t="str">
        <f>"0096251"</f>
        <v>0096251</v>
      </c>
      <c r="I10745">
        <v>0.17</v>
      </c>
      <c r="K10745">
        <v>198.83</v>
      </c>
      <c r="L10745">
        <v>198.83</v>
      </c>
    </row>
    <row r="10746" spans="1:12" x14ac:dyDescent="0.25">
      <c r="A10746" t="str">
        <f t="shared" si="2327"/>
        <v>89301000</v>
      </c>
      <c r="B10746" t="str">
        <f t="shared" si="2333"/>
        <v>78051000</v>
      </c>
      <c r="C10746" t="str">
        <f t="shared" si="2334"/>
        <v>78051004</v>
      </c>
      <c r="D10746" t="str">
        <f t="shared" si="2331"/>
        <v>809</v>
      </c>
      <c r="E10746" t="str">
        <f t="shared" si="2332"/>
        <v>89301062</v>
      </c>
      <c r="F10746" t="str">
        <f>"7555205317"</f>
        <v>7555205317</v>
      </c>
      <c r="G10746" s="1">
        <v>44895</v>
      </c>
      <c r="H10746" t="str">
        <f>"0098943"</f>
        <v>0098943</v>
      </c>
      <c r="I10746">
        <v>1</v>
      </c>
      <c r="K10746">
        <v>293.81</v>
      </c>
      <c r="L10746">
        <v>293.81</v>
      </c>
    </row>
    <row r="10747" spans="1:12" x14ac:dyDescent="0.25">
      <c r="A10747" t="str">
        <f t="shared" si="2327"/>
        <v>89301000</v>
      </c>
      <c r="B10747" t="str">
        <f t="shared" si="2333"/>
        <v>78051000</v>
      </c>
      <c r="C10747" t="str">
        <f t="shared" ref="C10747:C10760" si="2335">"78051017"</f>
        <v>78051017</v>
      </c>
      <c r="D10747" t="str">
        <f t="shared" ref="D10747:D10760" si="2336">"810"</f>
        <v>810</v>
      </c>
      <c r="E10747" t="str">
        <f t="shared" si="2332"/>
        <v>89301062</v>
      </c>
      <c r="F10747" t="str">
        <f>"510312183"</f>
        <v>510312183</v>
      </c>
      <c r="G10747" s="1">
        <v>44866</v>
      </c>
      <c r="H10747" t="str">
        <f t="shared" ref="H10747:H10760" si="2337">"89615"</f>
        <v>89615</v>
      </c>
      <c r="I10747">
        <v>1</v>
      </c>
      <c r="J10747">
        <v>2170</v>
      </c>
      <c r="K10747">
        <v>0</v>
      </c>
      <c r="L10747">
        <v>1302</v>
      </c>
    </row>
    <row r="10748" spans="1:12" x14ac:dyDescent="0.25">
      <c r="A10748" t="str">
        <f t="shared" si="2327"/>
        <v>89301000</v>
      </c>
      <c r="B10748" t="str">
        <f t="shared" si="2333"/>
        <v>78051000</v>
      </c>
      <c r="C10748" t="str">
        <f t="shared" si="2335"/>
        <v>78051017</v>
      </c>
      <c r="D10748" t="str">
        <f t="shared" si="2336"/>
        <v>810</v>
      </c>
      <c r="E10748" t="str">
        <f t="shared" si="2332"/>
        <v>89301062</v>
      </c>
      <c r="F10748" t="str">
        <f>"6760160693"</f>
        <v>6760160693</v>
      </c>
      <c r="G10748" s="1">
        <v>44866</v>
      </c>
      <c r="H10748" t="str">
        <f t="shared" si="2337"/>
        <v>89615</v>
      </c>
      <c r="I10748">
        <v>1</v>
      </c>
      <c r="J10748">
        <v>2170</v>
      </c>
      <c r="K10748">
        <v>0</v>
      </c>
      <c r="L10748">
        <v>1302</v>
      </c>
    </row>
    <row r="10749" spans="1:12" x14ac:dyDescent="0.25">
      <c r="A10749" t="str">
        <f t="shared" si="2327"/>
        <v>89301000</v>
      </c>
      <c r="B10749" t="str">
        <f t="shared" si="2333"/>
        <v>78051000</v>
      </c>
      <c r="C10749" t="str">
        <f t="shared" si="2335"/>
        <v>78051017</v>
      </c>
      <c r="D10749" t="str">
        <f t="shared" si="2336"/>
        <v>810</v>
      </c>
      <c r="E10749" t="str">
        <f t="shared" si="2332"/>
        <v>89301062</v>
      </c>
      <c r="F10749" t="str">
        <f>"5859220092"</f>
        <v>5859220092</v>
      </c>
      <c r="G10749" s="1">
        <v>44866</v>
      </c>
      <c r="H10749" t="str">
        <f t="shared" si="2337"/>
        <v>89615</v>
      </c>
      <c r="I10749">
        <v>1</v>
      </c>
      <c r="J10749">
        <v>2170</v>
      </c>
      <c r="K10749">
        <v>0</v>
      </c>
      <c r="L10749">
        <v>1302</v>
      </c>
    </row>
    <row r="10750" spans="1:12" x14ac:dyDescent="0.25">
      <c r="A10750" t="str">
        <f t="shared" si="2327"/>
        <v>89301000</v>
      </c>
      <c r="B10750" t="str">
        <f t="shared" si="2333"/>
        <v>78051000</v>
      </c>
      <c r="C10750" t="str">
        <f t="shared" si="2335"/>
        <v>78051017</v>
      </c>
      <c r="D10750" t="str">
        <f t="shared" si="2336"/>
        <v>810</v>
      </c>
      <c r="E10750" t="str">
        <f t="shared" si="2332"/>
        <v>89301062</v>
      </c>
      <c r="F10750" t="str">
        <f>"8453015373"</f>
        <v>8453015373</v>
      </c>
      <c r="G10750" s="1">
        <v>44874</v>
      </c>
      <c r="H10750" t="str">
        <f t="shared" si="2337"/>
        <v>89615</v>
      </c>
      <c r="I10750">
        <v>1</v>
      </c>
      <c r="J10750">
        <v>2170</v>
      </c>
      <c r="K10750">
        <v>0</v>
      </c>
      <c r="L10750">
        <v>1302</v>
      </c>
    </row>
    <row r="10751" spans="1:12" x14ac:dyDescent="0.25">
      <c r="A10751" t="str">
        <f t="shared" si="2327"/>
        <v>89301000</v>
      </c>
      <c r="B10751" t="str">
        <f t="shared" si="2333"/>
        <v>78051000</v>
      </c>
      <c r="C10751" t="str">
        <f t="shared" si="2335"/>
        <v>78051017</v>
      </c>
      <c r="D10751" t="str">
        <f t="shared" si="2336"/>
        <v>810</v>
      </c>
      <c r="E10751" t="str">
        <f t="shared" si="2332"/>
        <v>89301062</v>
      </c>
      <c r="F10751" t="str">
        <f>"5961131121"</f>
        <v>5961131121</v>
      </c>
      <c r="G10751" s="1">
        <v>44874</v>
      </c>
      <c r="H10751" t="str">
        <f t="shared" si="2337"/>
        <v>89615</v>
      </c>
      <c r="I10751">
        <v>1</v>
      </c>
      <c r="J10751">
        <v>2170</v>
      </c>
      <c r="K10751">
        <v>0</v>
      </c>
      <c r="L10751">
        <v>1302</v>
      </c>
    </row>
    <row r="10752" spans="1:12" x14ac:dyDescent="0.25">
      <c r="A10752" t="str">
        <f t="shared" si="2327"/>
        <v>89301000</v>
      </c>
      <c r="B10752" t="str">
        <f t="shared" si="2333"/>
        <v>78051000</v>
      </c>
      <c r="C10752" t="str">
        <f t="shared" si="2335"/>
        <v>78051017</v>
      </c>
      <c r="D10752" t="str">
        <f t="shared" si="2336"/>
        <v>810</v>
      </c>
      <c r="E10752" t="str">
        <f t="shared" si="2332"/>
        <v>89301062</v>
      </c>
      <c r="F10752" t="str">
        <f>"7258224270"</f>
        <v>7258224270</v>
      </c>
      <c r="G10752" s="1">
        <v>44874</v>
      </c>
      <c r="H10752" t="str">
        <f t="shared" si="2337"/>
        <v>89615</v>
      </c>
      <c r="I10752">
        <v>1</v>
      </c>
      <c r="J10752">
        <v>2170</v>
      </c>
      <c r="K10752">
        <v>0</v>
      </c>
      <c r="L10752">
        <v>1302</v>
      </c>
    </row>
    <row r="10753" spans="1:12" x14ac:dyDescent="0.25">
      <c r="A10753" t="str">
        <f t="shared" si="2327"/>
        <v>89301000</v>
      </c>
      <c r="B10753" t="str">
        <f t="shared" si="2333"/>
        <v>78051000</v>
      </c>
      <c r="C10753" t="str">
        <f t="shared" si="2335"/>
        <v>78051017</v>
      </c>
      <c r="D10753" t="str">
        <f t="shared" si="2336"/>
        <v>810</v>
      </c>
      <c r="E10753" t="str">
        <f t="shared" si="2332"/>
        <v>89301062</v>
      </c>
      <c r="F10753" t="str">
        <f>"530803071"</f>
        <v>530803071</v>
      </c>
      <c r="G10753" s="1">
        <v>44881</v>
      </c>
      <c r="H10753" t="str">
        <f t="shared" si="2337"/>
        <v>89615</v>
      </c>
      <c r="I10753">
        <v>1</v>
      </c>
      <c r="J10753">
        <v>2170</v>
      </c>
      <c r="K10753">
        <v>0</v>
      </c>
      <c r="L10753">
        <v>1302</v>
      </c>
    </row>
    <row r="10754" spans="1:12" x14ac:dyDescent="0.25">
      <c r="A10754" t="str">
        <f t="shared" ref="A10754:A10817" si="2338">"89301000"</f>
        <v>89301000</v>
      </c>
      <c r="B10754" t="str">
        <f t="shared" si="2333"/>
        <v>78051000</v>
      </c>
      <c r="C10754" t="str">
        <f t="shared" si="2335"/>
        <v>78051017</v>
      </c>
      <c r="D10754" t="str">
        <f t="shared" si="2336"/>
        <v>810</v>
      </c>
      <c r="E10754" t="str">
        <f t="shared" si="2332"/>
        <v>89301062</v>
      </c>
      <c r="F10754" t="str">
        <f>"530115087"</f>
        <v>530115087</v>
      </c>
      <c r="G10754" s="1">
        <v>44881</v>
      </c>
      <c r="H10754" t="str">
        <f t="shared" si="2337"/>
        <v>89615</v>
      </c>
      <c r="I10754">
        <v>1</v>
      </c>
      <c r="J10754">
        <v>2170</v>
      </c>
      <c r="K10754">
        <v>0</v>
      </c>
      <c r="L10754">
        <v>1302</v>
      </c>
    </row>
    <row r="10755" spans="1:12" x14ac:dyDescent="0.25">
      <c r="A10755" t="str">
        <f t="shared" si="2338"/>
        <v>89301000</v>
      </c>
      <c r="B10755" t="str">
        <f t="shared" si="2333"/>
        <v>78051000</v>
      </c>
      <c r="C10755" t="str">
        <f t="shared" si="2335"/>
        <v>78051017</v>
      </c>
      <c r="D10755" t="str">
        <f t="shared" si="2336"/>
        <v>810</v>
      </c>
      <c r="E10755" t="str">
        <f t="shared" si="2332"/>
        <v>89301062</v>
      </c>
      <c r="F10755" t="str">
        <f>"520102019"</f>
        <v>520102019</v>
      </c>
      <c r="G10755" s="1">
        <v>44888</v>
      </c>
      <c r="H10755" t="str">
        <f t="shared" si="2337"/>
        <v>89615</v>
      </c>
      <c r="I10755">
        <v>1</v>
      </c>
      <c r="J10755">
        <v>2170</v>
      </c>
      <c r="K10755">
        <v>0</v>
      </c>
      <c r="L10755">
        <v>1302</v>
      </c>
    </row>
    <row r="10756" spans="1:12" x14ac:dyDescent="0.25">
      <c r="A10756" t="str">
        <f t="shared" si="2338"/>
        <v>89301000</v>
      </c>
      <c r="B10756" t="str">
        <f t="shared" si="2333"/>
        <v>78051000</v>
      </c>
      <c r="C10756" t="str">
        <f t="shared" si="2335"/>
        <v>78051017</v>
      </c>
      <c r="D10756" t="str">
        <f t="shared" si="2336"/>
        <v>810</v>
      </c>
      <c r="E10756" t="str">
        <f t="shared" si="2332"/>
        <v>89301062</v>
      </c>
      <c r="F10756" t="str">
        <f>"6208120204"</f>
        <v>6208120204</v>
      </c>
      <c r="G10756" s="1">
        <v>44888</v>
      </c>
      <c r="H10756" t="str">
        <f t="shared" si="2337"/>
        <v>89615</v>
      </c>
      <c r="I10756">
        <v>1</v>
      </c>
      <c r="J10756">
        <v>2170</v>
      </c>
      <c r="K10756">
        <v>0</v>
      </c>
      <c r="L10756">
        <v>1302</v>
      </c>
    </row>
    <row r="10757" spans="1:12" x14ac:dyDescent="0.25">
      <c r="A10757" t="str">
        <f t="shared" si="2338"/>
        <v>89301000</v>
      </c>
      <c r="B10757" t="str">
        <f t="shared" si="2333"/>
        <v>78051000</v>
      </c>
      <c r="C10757" t="str">
        <f t="shared" si="2335"/>
        <v>78051017</v>
      </c>
      <c r="D10757" t="str">
        <f t="shared" si="2336"/>
        <v>810</v>
      </c>
      <c r="E10757" t="str">
        <f t="shared" si="2332"/>
        <v>89301062</v>
      </c>
      <c r="F10757" t="str">
        <f>"535722048"</f>
        <v>535722048</v>
      </c>
      <c r="G10757" s="1">
        <v>44888</v>
      </c>
      <c r="H10757" t="str">
        <f t="shared" si="2337"/>
        <v>89615</v>
      </c>
      <c r="I10757">
        <v>1</v>
      </c>
      <c r="J10757">
        <v>2170</v>
      </c>
      <c r="K10757">
        <v>0</v>
      </c>
      <c r="L10757">
        <v>1302</v>
      </c>
    </row>
    <row r="10758" spans="1:12" x14ac:dyDescent="0.25">
      <c r="A10758" t="str">
        <f t="shared" si="2338"/>
        <v>89301000</v>
      </c>
      <c r="B10758" t="str">
        <f t="shared" si="2333"/>
        <v>78051000</v>
      </c>
      <c r="C10758" t="str">
        <f t="shared" si="2335"/>
        <v>78051017</v>
      </c>
      <c r="D10758" t="str">
        <f t="shared" si="2336"/>
        <v>810</v>
      </c>
      <c r="E10758" t="str">
        <f t="shared" si="2332"/>
        <v>89301062</v>
      </c>
      <c r="F10758" t="str">
        <f>"7161075394"</f>
        <v>7161075394</v>
      </c>
      <c r="G10758" s="1">
        <v>44888</v>
      </c>
      <c r="H10758" t="str">
        <f t="shared" si="2337"/>
        <v>89615</v>
      </c>
      <c r="I10758">
        <v>1</v>
      </c>
      <c r="J10758">
        <v>2170</v>
      </c>
      <c r="K10758">
        <v>0</v>
      </c>
      <c r="L10758">
        <v>1302</v>
      </c>
    </row>
    <row r="10759" spans="1:12" x14ac:dyDescent="0.25">
      <c r="A10759" t="str">
        <f t="shared" si="2338"/>
        <v>89301000</v>
      </c>
      <c r="B10759" t="str">
        <f t="shared" si="2333"/>
        <v>78051000</v>
      </c>
      <c r="C10759" t="str">
        <f t="shared" si="2335"/>
        <v>78051017</v>
      </c>
      <c r="D10759" t="str">
        <f t="shared" si="2336"/>
        <v>810</v>
      </c>
      <c r="E10759" t="str">
        <f t="shared" si="2332"/>
        <v>89301062</v>
      </c>
      <c r="F10759" t="str">
        <f>"5904256413"</f>
        <v>5904256413</v>
      </c>
      <c r="G10759" s="1">
        <v>44895</v>
      </c>
      <c r="H10759" t="str">
        <f t="shared" si="2337"/>
        <v>89615</v>
      </c>
      <c r="I10759">
        <v>1</v>
      </c>
      <c r="J10759">
        <v>2170</v>
      </c>
      <c r="K10759">
        <v>0</v>
      </c>
      <c r="L10759">
        <v>1302</v>
      </c>
    </row>
    <row r="10760" spans="1:12" x14ac:dyDescent="0.25">
      <c r="A10760" t="str">
        <f t="shared" si="2338"/>
        <v>89301000</v>
      </c>
      <c r="B10760" t="str">
        <f t="shared" si="2333"/>
        <v>78051000</v>
      </c>
      <c r="C10760" t="str">
        <f t="shared" si="2335"/>
        <v>78051017</v>
      </c>
      <c r="D10760" t="str">
        <f t="shared" si="2336"/>
        <v>810</v>
      </c>
      <c r="E10760" t="str">
        <f t="shared" si="2332"/>
        <v>89301062</v>
      </c>
      <c r="F10760" t="str">
        <f>"7555205317"</f>
        <v>7555205317</v>
      </c>
      <c r="G10760" s="1">
        <v>44895</v>
      </c>
      <c r="H10760" t="str">
        <f t="shared" si="2337"/>
        <v>89615</v>
      </c>
      <c r="I10760">
        <v>1</v>
      </c>
      <c r="J10760">
        <v>2170</v>
      </c>
      <c r="K10760">
        <v>0</v>
      </c>
      <c r="L10760">
        <v>1302</v>
      </c>
    </row>
    <row r="10761" spans="1:12" x14ac:dyDescent="0.25">
      <c r="A10761" t="str">
        <f t="shared" si="2338"/>
        <v>89301000</v>
      </c>
      <c r="B10761" t="str">
        <f>"89345401"</f>
        <v>89345401</v>
      </c>
      <c r="C10761" t="str">
        <f>"89345401"</f>
        <v>89345401</v>
      </c>
      <c r="D10761" t="str">
        <f t="shared" ref="D10761:D10769" si="2339">"809"</f>
        <v>809</v>
      </c>
      <c r="E10761" t="str">
        <f t="shared" ref="E10761:E10767" si="2340">"89301212"</f>
        <v>89301212</v>
      </c>
      <c r="F10761" t="str">
        <f>"7251235376"</f>
        <v>7251235376</v>
      </c>
      <c r="G10761" s="1">
        <v>44883</v>
      </c>
      <c r="H10761" t="str">
        <f>"89131"</f>
        <v>89131</v>
      </c>
      <c r="I10761">
        <v>1</v>
      </c>
      <c r="J10761">
        <v>187</v>
      </c>
      <c r="K10761">
        <v>0</v>
      </c>
      <c r="L10761">
        <v>261.8</v>
      </c>
    </row>
    <row r="10762" spans="1:12" x14ac:dyDescent="0.25">
      <c r="A10762" t="str">
        <f t="shared" si="2338"/>
        <v>89301000</v>
      </c>
      <c r="B10762" t="str">
        <f>"89345401"</f>
        <v>89345401</v>
      </c>
      <c r="C10762" t="str">
        <f>"89345401"</f>
        <v>89345401</v>
      </c>
      <c r="D10762" t="str">
        <f t="shared" si="2339"/>
        <v>809</v>
      </c>
      <c r="E10762" t="str">
        <f t="shared" si="2340"/>
        <v>89301212</v>
      </c>
      <c r="F10762" t="str">
        <f>"7251235376"</f>
        <v>7251235376</v>
      </c>
      <c r="G10762" s="1">
        <v>44883</v>
      </c>
      <c r="H10762" t="str">
        <f>"09137"</f>
        <v>09137</v>
      </c>
      <c r="I10762">
        <v>1</v>
      </c>
      <c r="J10762">
        <v>231</v>
      </c>
      <c r="K10762">
        <v>0</v>
      </c>
      <c r="L10762">
        <v>323.39999999999998</v>
      </c>
    </row>
    <row r="10763" spans="1:12" x14ac:dyDescent="0.25">
      <c r="A10763" t="str">
        <f t="shared" si="2338"/>
        <v>89301000</v>
      </c>
      <c r="B10763" t="str">
        <f>"92327000"</f>
        <v>92327000</v>
      </c>
      <c r="C10763" t="str">
        <f>"92327000"</f>
        <v>92327000</v>
      </c>
      <c r="D10763" t="str">
        <f t="shared" si="2339"/>
        <v>809</v>
      </c>
      <c r="E10763" t="str">
        <f t="shared" si="2340"/>
        <v>89301212</v>
      </c>
      <c r="F10763" t="str">
        <f>"7557185680"</f>
        <v>7557185680</v>
      </c>
      <c r="G10763" s="1">
        <v>44888</v>
      </c>
      <c r="H10763" t="str">
        <f>"89513"</f>
        <v>89513</v>
      </c>
      <c r="I10763">
        <v>1</v>
      </c>
      <c r="J10763">
        <v>371</v>
      </c>
      <c r="K10763">
        <v>0</v>
      </c>
      <c r="L10763">
        <v>519.4</v>
      </c>
    </row>
    <row r="10764" spans="1:12" x14ac:dyDescent="0.25">
      <c r="A10764" t="str">
        <f t="shared" si="2338"/>
        <v>89301000</v>
      </c>
      <c r="B10764" t="str">
        <f>"92327000"</f>
        <v>92327000</v>
      </c>
      <c r="C10764" t="str">
        <f>"92327000"</f>
        <v>92327000</v>
      </c>
      <c r="D10764" t="str">
        <f t="shared" si="2339"/>
        <v>809</v>
      </c>
      <c r="E10764" t="str">
        <f t="shared" si="2340"/>
        <v>89301212</v>
      </c>
      <c r="F10764" t="str">
        <f>"7557185680"</f>
        <v>7557185680</v>
      </c>
      <c r="G10764" s="1">
        <v>44888</v>
      </c>
      <c r="H10764" t="str">
        <f>"89514"</f>
        <v>89514</v>
      </c>
      <c r="I10764">
        <v>1</v>
      </c>
      <c r="J10764">
        <v>371</v>
      </c>
      <c r="K10764">
        <v>0</v>
      </c>
      <c r="L10764">
        <v>519.4</v>
      </c>
    </row>
    <row r="10765" spans="1:12" x14ac:dyDescent="0.25">
      <c r="A10765" t="str">
        <f t="shared" si="2338"/>
        <v>89301000</v>
      </c>
      <c r="B10765" t="str">
        <f t="shared" ref="B10765:C10769" si="2341">"89632000"</f>
        <v>89632000</v>
      </c>
      <c r="C10765" t="str">
        <f t="shared" si="2341"/>
        <v>89632000</v>
      </c>
      <c r="D10765" t="str">
        <f t="shared" si="2339"/>
        <v>809</v>
      </c>
      <c r="E10765" t="str">
        <f t="shared" si="2340"/>
        <v>89301212</v>
      </c>
      <c r="F10765" t="str">
        <f>"0412043225"</f>
        <v>0412043225</v>
      </c>
      <c r="G10765" s="1">
        <v>44872</v>
      </c>
      <c r="H10765" t="str">
        <f>"09139"</f>
        <v>09139</v>
      </c>
      <c r="I10765">
        <v>1</v>
      </c>
      <c r="J10765">
        <v>346</v>
      </c>
      <c r="K10765">
        <v>0</v>
      </c>
      <c r="L10765">
        <v>484.4</v>
      </c>
    </row>
    <row r="10766" spans="1:12" x14ac:dyDescent="0.25">
      <c r="A10766" t="str">
        <f t="shared" si="2338"/>
        <v>89301000</v>
      </c>
      <c r="B10766" t="str">
        <f t="shared" si="2341"/>
        <v>89632000</v>
      </c>
      <c r="C10766" t="str">
        <f t="shared" si="2341"/>
        <v>89632000</v>
      </c>
      <c r="D10766" t="str">
        <f t="shared" si="2339"/>
        <v>809</v>
      </c>
      <c r="E10766" t="str">
        <f t="shared" si="2340"/>
        <v>89301212</v>
      </c>
      <c r="F10766" t="str">
        <f>"6457031306"</f>
        <v>6457031306</v>
      </c>
      <c r="G10766" s="1">
        <v>44879</v>
      </c>
      <c r="H10766" t="str">
        <f>"89513"</f>
        <v>89513</v>
      </c>
      <c r="I10766">
        <v>1</v>
      </c>
      <c r="J10766">
        <v>371</v>
      </c>
      <c r="K10766">
        <v>0</v>
      </c>
      <c r="L10766">
        <v>519.4</v>
      </c>
    </row>
    <row r="10767" spans="1:12" x14ac:dyDescent="0.25">
      <c r="A10767" t="str">
        <f t="shared" si="2338"/>
        <v>89301000</v>
      </c>
      <c r="B10767" t="str">
        <f t="shared" si="2341"/>
        <v>89632000</v>
      </c>
      <c r="C10767" t="str">
        <f t="shared" si="2341"/>
        <v>89632000</v>
      </c>
      <c r="D10767" t="str">
        <f t="shared" si="2339"/>
        <v>809</v>
      </c>
      <c r="E10767" t="str">
        <f t="shared" si="2340"/>
        <v>89301212</v>
      </c>
      <c r="F10767" t="str">
        <f>"6457031306"</f>
        <v>6457031306</v>
      </c>
      <c r="G10767" s="1">
        <v>44879</v>
      </c>
      <c r="H10767" t="str">
        <f>"89514"</f>
        <v>89514</v>
      </c>
      <c r="I10767">
        <v>1</v>
      </c>
      <c r="J10767">
        <v>371</v>
      </c>
      <c r="K10767">
        <v>0</v>
      </c>
      <c r="L10767">
        <v>519.4</v>
      </c>
    </row>
    <row r="10768" spans="1:12" x14ac:dyDescent="0.25">
      <c r="A10768" t="str">
        <f t="shared" si="2338"/>
        <v>89301000</v>
      </c>
      <c r="B10768" t="str">
        <f t="shared" si="2341"/>
        <v>89632000</v>
      </c>
      <c r="C10768" t="str">
        <f t="shared" si="2341"/>
        <v>89632000</v>
      </c>
      <c r="D10768" t="str">
        <f t="shared" si="2339"/>
        <v>809</v>
      </c>
      <c r="E10768" t="str">
        <f>"89301037"</f>
        <v>89301037</v>
      </c>
      <c r="F10768" t="str">
        <f>"7153305797"</f>
        <v>7153305797</v>
      </c>
      <c r="G10768" s="1">
        <v>44873</v>
      </c>
      <c r="H10768" t="str">
        <f>"09139"</f>
        <v>09139</v>
      </c>
      <c r="I10768">
        <v>1</v>
      </c>
      <c r="J10768">
        <v>346</v>
      </c>
      <c r="K10768">
        <v>0</v>
      </c>
      <c r="L10768">
        <v>484.4</v>
      </c>
    </row>
    <row r="10769" spans="1:12" x14ac:dyDescent="0.25">
      <c r="A10769" t="str">
        <f t="shared" si="2338"/>
        <v>89301000</v>
      </c>
      <c r="B10769" t="str">
        <f t="shared" si="2341"/>
        <v>89632000</v>
      </c>
      <c r="C10769" t="str">
        <f t="shared" si="2341"/>
        <v>89632000</v>
      </c>
      <c r="D10769" t="str">
        <f t="shared" si="2339"/>
        <v>809</v>
      </c>
      <c r="E10769" t="str">
        <f>"89301606"</f>
        <v>89301606</v>
      </c>
      <c r="F10769" t="str">
        <f>"7753095317"</f>
        <v>7753095317</v>
      </c>
      <c r="G10769" s="1">
        <v>44868</v>
      </c>
      <c r="H10769" t="str">
        <f>"89123"</f>
        <v>89123</v>
      </c>
      <c r="I10769">
        <v>2</v>
      </c>
      <c r="J10769">
        <v>278</v>
      </c>
      <c r="K10769">
        <v>0</v>
      </c>
      <c r="L10769">
        <v>389.2</v>
      </c>
    </row>
    <row r="10770" spans="1:12" x14ac:dyDescent="0.25">
      <c r="A10770" t="str">
        <f t="shared" si="2338"/>
        <v>89301000</v>
      </c>
      <c r="B10770" t="str">
        <f t="shared" ref="B10770:B10775" si="2342">"91866000"</f>
        <v>91866000</v>
      </c>
      <c r="C10770" t="str">
        <f t="shared" ref="C10770:C10775" si="2343">"91866313"</f>
        <v>91866313</v>
      </c>
      <c r="D10770" t="str">
        <f t="shared" ref="D10770:D10775" si="2344">"802"</f>
        <v>802</v>
      </c>
      <c r="E10770" t="str">
        <f>"89301521"</f>
        <v>89301521</v>
      </c>
      <c r="F10770" t="str">
        <f>"8306115323"</f>
        <v>8306115323</v>
      </c>
      <c r="G10770" s="1">
        <v>44894</v>
      </c>
      <c r="H10770" t="str">
        <f>"82121"</f>
        <v>82121</v>
      </c>
      <c r="I10770">
        <v>1</v>
      </c>
      <c r="J10770">
        <v>800</v>
      </c>
      <c r="K10770">
        <v>0</v>
      </c>
      <c r="L10770">
        <v>728</v>
      </c>
    </row>
    <row r="10771" spans="1:12" x14ac:dyDescent="0.25">
      <c r="A10771" t="str">
        <f t="shared" si="2338"/>
        <v>89301000</v>
      </c>
      <c r="B10771" t="str">
        <f t="shared" si="2342"/>
        <v>91866000</v>
      </c>
      <c r="C10771" t="str">
        <f t="shared" si="2343"/>
        <v>91866313</v>
      </c>
      <c r="D10771" t="str">
        <f t="shared" si="2344"/>
        <v>802</v>
      </c>
      <c r="E10771" t="str">
        <f>"89301521"</f>
        <v>89301521</v>
      </c>
      <c r="F10771" t="str">
        <f>"8306115323"</f>
        <v>8306115323</v>
      </c>
      <c r="G10771" s="1">
        <v>44894</v>
      </c>
      <c r="H10771" t="str">
        <f>"82121"</f>
        <v>82121</v>
      </c>
      <c r="I10771">
        <v>1</v>
      </c>
      <c r="J10771">
        <v>800</v>
      </c>
      <c r="K10771">
        <v>0</v>
      </c>
      <c r="L10771">
        <v>728</v>
      </c>
    </row>
    <row r="10772" spans="1:12" x14ac:dyDescent="0.25">
      <c r="A10772" t="str">
        <f t="shared" si="2338"/>
        <v>89301000</v>
      </c>
      <c r="B10772" t="str">
        <f t="shared" si="2342"/>
        <v>91866000</v>
      </c>
      <c r="C10772" t="str">
        <f t="shared" si="2343"/>
        <v>91866313</v>
      </c>
      <c r="D10772" t="str">
        <f t="shared" si="2344"/>
        <v>802</v>
      </c>
      <c r="E10772" t="str">
        <f>"89301102"</f>
        <v>89301102</v>
      </c>
      <c r="F10772" t="str">
        <f>"1207080072"</f>
        <v>1207080072</v>
      </c>
      <c r="G10772" s="1">
        <v>44890</v>
      </c>
      <c r="H10772" t="str">
        <f>"97111"</f>
        <v>97111</v>
      </c>
      <c r="I10772">
        <v>1</v>
      </c>
      <c r="J10772">
        <v>18</v>
      </c>
      <c r="K10772">
        <v>0</v>
      </c>
      <c r="L10772">
        <v>16.38</v>
      </c>
    </row>
    <row r="10773" spans="1:12" x14ac:dyDescent="0.25">
      <c r="A10773" t="str">
        <f t="shared" si="2338"/>
        <v>89301000</v>
      </c>
      <c r="B10773" t="str">
        <f t="shared" si="2342"/>
        <v>91866000</v>
      </c>
      <c r="C10773" t="str">
        <f t="shared" si="2343"/>
        <v>91866313</v>
      </c>
      <c r="D10773" t="str">
        <f t="shared" si="2344"/>
        <v>802</v>
      </c>
      <c r="E10773" t="str">
        <f>"89301102"</f>
        <v>89301102</v>
      </c>
      <c r="F10773" t="str">
        <f>"1207080072"</f>
        <v>1207080072</v>
      </c>
      <c r="G10773" s="1">
        <v>44894</v>
      </c>
      <c r="H10773" t="str">
        <f>"82113"</f>
        <v>82113</v>
      </c>
      <c r="I10773">
        <v>2</v>
      </c>
      <c r="J10773">
        <v>724</v>
      </c>
      <c r="K10773">
        <v>0</v>
      </c>
      <c r="L10773">
        <v>658.84</v>
      </c>
    </row>
    <row r="10774" spans="1:12" x14ac:dyDescent="0.25">
      <c r="A10774" t="str">
        <f t="shared" si="2338"/>
        <v>89301000</v>
      </c>
      <c r="B10774" t="str">
        <f t="shared" si="2342"/>
        <v>91866000</v>
      </c>
      <c r="C10774" t="str">
        <f t="shared" si="2343"/>
        <v>91866313</v>
      </c>
      <c r="D10774" t="str">
        <f t="shared" si="2344"/>
        <v>802</v>
      </c>
      <c r="E10774" t="str">
        <f>"89301102"</f>
        <v>89301102</v>
      </c>
      <c r="F10774" t="str">
        <f>"1207080072"</f>
        <v>1207080072</v>
      </c>
      <c r="G10774" s="1">
        <v>44890</v>
      </c>
      <c r="H10774" t="str">
        <f>"82087"</f>
        <v>82087</v>
      </c>
      <c r="I10774">
        <v>1</v>
      </c>
      <c r="J10774">
        <v>53</v>
      </c>
      <c r="K10774">
        <v>0</v>
      </c>
      <c r="L10774">
        <v>48.23</v>
      </c>
    </row>
    <row r="10775" spans="1:12" x14ac:dyDescent="0.25">
      <c r="A10775" t="str">
        <f t="shared" si="2338"/>
        <v>89301000</v>
      </c>
      <c r="B10775" t="str">
        <f t="shared" si="2342"/>
        <v>91866000</v>
      </c>
      <c r="C10775" t="str">
        <f t="shared" si="2343"/>
        <v>91866313</v>
      </c>
      <c r="D10775" t="str">
        <f t="shared" si="2344"/>
        <v>802</v>
      </c>
      <c r="E10775" t="str">
        <f>"89301102"</f>
        <v>89301102</v>
      </c>
      <c r="F10775" t="str">
        <f>"1207080072"</f>
        <v>1207080072</v>
      </c>
      <c r="G10775" s="1">
        <v>44894</v>
      </c>
      <c r="H10775" t="str">
        <f>"82113"</f>
        <v>82113</v>
      </c>
      <c r="I10775">
        <v>2</v>
      </c>
      <c r="J10775">
        <v>724</v>
      </c>
      <c r="K10775">
        <v>0</v>
      </c>
      <c r="L10775">
        <v>658.84</v>
      </c>
    </row>
    <row r="10776" spans="1:12" x14ac:dyDescent="0.25">
      <c r="A10776" t="str">
        <f t="shared" si="2338"/>
        <v>89301000</v>
      </c>
      <c r="B10776" t="str">
        <f t="shared" ref="B10776:C10779" si="2345">"92503000"</f>
        <v>92503000</v>
      </c>
      <c r="C10776" t="str">
        <f t="shared" si="2345"/>
        <v>92503000</v>
      </c>
      <c r="D10776" t="str">
        <f>"807"</f>
        <v>807</v>
      </c>
      <c r="E10776" t="str">
        <f>"89301082"</f>
        <v>89301082</v>
      </c>
      <c r="F10776" t="str">
        <f>"1659030021"</f>
        <v>1659030021</v>
      </c>
      <c r="G10776" s="1">
        <v>44887</v>
      </c>
      <c r="H10776" t="str">
        <f>"87433"</f>
        <v>87433</v>
      </c>
      <c r="I10776">
        <v>1</v>
      </c>
      <c r="J10776">
        <v>41</v>
      </c>
      <c r="K10776">
        <v>0</v>
      </c>
      <c r="L10776">
        <v>31.98</v>
      </c>
    </row>
    <row r="10777" spans="1:12" x14ac:dyDescent="0.25">
      <c r="A10777" t="str">
        <f t="shared" si="2338"/>
        <v>89301000</v>
      </c>
      <c r="B10777" t="str">
        <f t="shared" si="2345"/>
        <v>92503000</v>
      </c>
      <c r="C10777" t="str">
        <f t="shared" si="2345"/>
        <v>92503000</v>
      </c>
      <c r="D10777" t="str">
        <f>"807"</f>
        <v>807</v>
      </c>
      <c r="E10777" t="str">
        <f>"89301082"</f>
        <v>89301082</v>
      </c>
      <c r="F10777" t="str">
        <f>"1659030021"</f>
        <v>1659030021</v>
      </c>
      <c r="G10777" s="1">
        <v>44887</v>
      </c>
      <c r="H10777" t="str">
        <f>"87519"</f>
        <v>87519</v>
      </c>
      <c r="I10777">
        <v>1</v>
      </c>
      <c r="J10777">
        <v>310</v>
      </c>
      <c r="K10777">
        <v>0</v>
      </c>
      <c r="L10777">
        <v>241.8</v>
      </c>
    </row>
    <row r="10778" spans="1:12" x14ac:dyDescent="0.25">
      <c r="A10778" t="str">
        <f t="shared" si="2338"/>
        <v>89301000</v>
      </c>
      <c r="B10778" t="str">
        <f t="shared" si="2345"/>
        <v>92503000</v>
      </c>
      <c r="C10778" t="str">
        <f t="shared" si="2345"/>
        <v>92503000</v>
      </c>
      <c r="D10778" t="str">
        <f>"807"</f>
        <v>807</v>
      </c>
      <c r="E10778" t="str">
        <f>"89301082"</f>
        <v>89301082</v>
      </c>
      <c r="F10778" t="str">
        <f>"1352250416"</f>
        <v>1352250416</v>
      </c>
      <c r="G10778" s="1">
        <v>44894</v>
      </c>
      <c r="H10778" t="str">
        <f>"87433"</f>
        <v>87433</v>
      </c>
      <c r="I10778">
        <v>1</v>
      </c>
      <c r="J10778">
        <v>41</v>
      </c>
      <c r="K10778">
        <v>0</v>
      </c>
      <c r="L10778">
        <v>31.98</v>
      </c>
    </row>
    <row r="10779" spans="1:12" x14ac:dyDescent="0.25">
      <c r="A10779" t="str">
        <f t="shared" si="2338"/>
        <v>89301000</v>
      </c>
      <c r="B10779" t="str">
        <f t="shared" si="2345"/>
        <v>92503000</v>
      </c>
      <c r="C10779" t="str">
        <f t="shared" si="2345"/>
        <v>92503000</v>
      </c>
      <c r="D10779" t="str">
        <f>"807"</f>
        <v>807</v>
      </c>
      <c r="E10779" t="str">
        <f>"89301082"</f>
        <v>89301082</v>
      </c>
      <c r="F10779" t="str">
        <f>"1352250416"</f>
        <v>1352250416</v>
      </c>
      <c r="G10779" s="1">
        <v>44894</v>
      </c>
      <c r="H10779" t="str">
        <f>"87519"</f>
        <v>87519</v>
      </c>
      <c r="I10779">
        <v>1</v>
      </c>
      <c r="J10779">
        <v>310</v>
      </c>
      <c r="K10779">
        <v>0</v>
      </c>
      <c r="L10779">
        <v>241.8</v>
      </c>
    </row>
    <row r="10780" spans="1:12" x14ac:dyDescent="0.25">
      <c r="A10780" t="str">
        <f t="shared" si="2338"/>
        <v>89301000</v>
      </c>
      <c r="B10780" t="str">
        <f t="shared" ref="B10780:C10799" si="2346">"89063000"</f>
        <v>89063000</v>
      </c>
      <c r="C10780" t="str">
        <f t="shared" si="2346"/>
        <v>89063000</v>
      </c>
      <c r="D10780" t="str">
        <f t="shared" ref="D10780:D10811" si="2347">"809"</f>
        <v>809</v>
      </c>
      <c r="E10780" t="str">
        <f>"89301039"</f>
        <v>89301039</v>
      </c>
      <c r="F10780" t="str">
        <f>"0354015739"</f>
        <v>0354015739</v>
      </c>
      <c r="G10780" s="1">
        <v>44866</v>
      </c>
      <c r="H10780" t="str">
        <f t="shared" ref="H10780:H10811" si="2348">"89312"</f>
        <v>89312</v>
      </c>
      <c r="I10780">
        <v>1</v>
      </c>
      <c r="J10780">
        <v>302</v>
      </c>
      <c r="K10780">
        <v>0</v>
      </c>
      <c r="L10780">
        <v>317.10000000000002</v>
      </c>
    </row>
    <row r="10781" spans="1:12" x14ac:dyDescent="0.25">
      <c r="A10781" t="str">
        <f t="shared" si="2338"/>
        <v>89301000</v>
      </c>
      <c r="B10781" t="str">
        <f t="shared" si="2346"/>
        <v>89063000</v>
      </c>
      <c r="C10781" t="str">
        <f t="shared" si="2346"/>
        <v>89063000</v>
      </c>
      <c r="D10781" t="str">
        <f t="shared" si="2347"/>
        <v>809</v>
      </c>
      <c r="E10781" t="str">
        <f>"89301037"</f>
        <v>89301037</v>
      </c>
      <c r="F10781" t="str">
        <f>"420225434"</f>
        <v>420225434</v>
      </c>
      <c r="G10781" s="1">
        <v>44867</v>
      </c>
      <c r="H10781" t="str">
        <f t="shared" si="2348"/>
        <v>89312</v>
      </c>
      <c r="I10781">
        <v>3</v>
      </c>
      <c r="J10781">
        <v>906</v>
      </c>
      <c r="K10781">
        <v>0</v>
      </c>
      <c r="L10781">
        <v>951.3</v>
      </c>
    </row>
    <row r="10782" spans="1:12" x14ac:dyDescent="0.25">
      <c r="A10782" t="str">
        <f t="shared" si="2338"/>
        <v>89301000</v>
      </c>
      <c r="B10782" t="str">
        <f t="shared" si="2346"/>
        <v>89063000</v>
      </c>
      <c r="C10782" t="str">
        <f t="shared" si="2346"/>
        <v>89063000</v>
      </c>
      <c r="D10782" t="str">
        <f t="shared" si="2347"/>
        <v>809</v>
      </c>
      <c r="E10782" t="str">
        <f>"89301037"</f>
        <v>89301037</v>
      </c>
      <c r="F10782" t="str">
        <f>"535315334"</f>
        <v>535315334</v>
      </c>
      <c r="G10782" s="1">
        <v>44868</v>
      </c>
      <c r="H10782" t="str">
        <f t="shared" si="2348"/>
        <v>89312</v>
      </c>
      <c r="I10782">
        <v>3</v>
      </c>
      <c r="J10782">
        <v>906</v>
      </c>
      <c r="K10782">
        <v>0</v>
      </c>
      <c r="L10782">
        <v>951.3</v>
      </c>
    </row>
    <row r="10783" spans="1:12" x14ac:dyDescent="0.25">
      <c r="A10783" t="str">
        <f t="shared" si="2338"/>
        <v>89301000</v>
      </c>
      <c r="B10783" t="str">
        <f t="shared" si="2346"/>
        <v>89063000</v>
      </c>
      <c r="C10783" t="str">
        <f t="shared" si="2346"/>
        <v>89063000</v>
      </c>
      <c r="D10783" t="str">
        <f t="shared" si="2347"/>
        <v>809</v>
      </c>
      <c r="E10783" t="str">
        <f>"89301702"</f>
        <v>89301702</v>
      </c>
      <c r="F10783" t="str">
        <f>"0612276082"</f>
        <v>0612276082</v>
      </c>
      <c r="G10783" s="1">
        <v>44868</v>
      </c>
      <c r="H10783" t="str">
        <f t="shared" si="2348"/>
        <v>89312</v>
      </c>
      <c r="I10783">
        <v>1</v>
      </c>
      <c r="J10783">
        <v>302</v>
      </c>
      <c r="K10783">
        <v>0</v>
      </c>
      <c r="L10783">
        <v>317.10000000000002</v>
      </c>
    </row>
    <row r="10784" spans="1:12" x14ac:dyDescent="0.25">
      <c r="A10784" t="str">
        <f t="shared" si="2338"/>
        <v>89301000</v>
      </c>
      <c r="B10784" t="str">
        <f t="shared" si="2346"/>
        <v>89063000</v>
      </c>
      <c r="C10784" t="str">
        <f t="shared" si="2346"/>
        <v>89063000</v>
      </c>
      <c r="D10784" t="str">
        <f t="shared" si="2347"/>
        <v>809</v>
      </c>
      <c r="E10784" t="str">
        <f>"89301037"</f>
        <v>89301037</v>
      </c>
      <c r="F10784" t="str">
        <f>"445207408"</f>
        <v>445207408</v>
      </c>
      <c r="G10784" s="1">
        <v>44869</v>
      </c>
      <c r="H10784" t="str">
        <f t="shared" si="2348"/>
        <v>89312</v>
      </c>
      <c r="I10784">
        <v>3</v>
      </c>
      <c r="J10784">
        <v>906</v>
      </c>
      <c r="K10784">
        <v>0</v>
      </c>
      <c r="L10784">
        <v>951.3</v>
      </c>
    </row>
    <row r="10785" spans="1:12" x14ac:dyDescent="0.25">
      <c r="A10785" t="str">
        <f t="shared" si="2338"/>
        <v>89301000</v>
      </c>
      <c r="B10785" t="str">
        <f t="shared" si="2346"/>
        <v>89063000</v>
      </c>
      <c r="C10785" t="str">
        <f t="shared" si="2346"/>
        <v>89063000</v>
      </c>
      <c r="D10785" t="str">
        <f t="shared" si="2347"/>
        <v>809</v>
      </c>
      <c r="E10785" t="str">
        <f>"89301212"</f>
        <v>89301212</v>
      </c>
      <c r="F10785" t="str">
        <f>"7555165794"</f>
        <v>7555165794</v>
      </c>
      <c r="G10785" s="1">
        <v>44869</v>
      </c>
      <c r="H10785" t="str">
        <f t="shared" si="2348"/>
        <v>89312</v>
      </c>
      <c r="I10785">
        <v>3</v>
      </c>
      <c r="J10785">
        <v>906</v>
      </c>
      <c r="K10785">
        <v>0</v>
      </c>
      <c r="L10785">
        <v>951.3</v>
      </c>
    </row>
    <row r="10786" spans="1:12" x14ac:dyDescent="0.25">
      <c r="A10786" t="str">
        <f t="shared" si="2338"/>
        <v>89301000</v>
      </c>
      <c r="B10786" t="str">
        <f t="shared" si="2346"/>
        <v>89063000</v>
      </c>
      <c r="C10786" t="str">
        <f t="shared" si="2346"/>
        <v>89063000</v>
      </c>
      <c r="D10786" t="str">
        <f t="shared" si="2347"/>
        <v>809</v>
      </c>
      <c r="E10786" t="str">
        <f>"89301039"</f>
        <v>89301039</v>
      </c>
      <c r="F10786" t="str">
        <f>"8151255354"</f>
        <v>8151255354</v>
      </c>
      <c r="G10786" s="1">
        <v>44869</v>
      </c>
      <c r="H10786" t="str">
        <f t="shared" si="2348"/>
        <v>89312</v>
      </c>
      <c r="I10786">
        <v>3</v>
      </c>
      <c r="J10786">
        <v>906</v>
      </c>
      <c r="K10786">
        <v>0</v>
      </c>
      <c r="L10786">
        <v>951.3</v>
      </c>
    </row>
    <row r="10787" spans="1:12" x14ac:dyDescent="0.25">
      <c r="A10787" t="str">
        <f t="shared" si="2338"/>
        <v>89301000</v>
      </c>
      <c r="B10787" t="str">
        <f t="shared" si="2346"/>
        <v>89063000</v>
      </c>
      <c r="C10787" t="str">
        <f t="shared" si="2346"/>
        <v>89063000</v>
      </c>
      <c r="D10787" t="str">
        <f t="shared" si="2347"/>
        <v>809</v>
      </c>
      <c r="E10787" t="str">
        <f>"89301037"</f>
        <v>89301037</v>
      </c>
      <c r="F10787" t="str">
        <f>"6062101364"</f>
        <v>6062101364</v>
      </c>
      <c r="G10787" s="1">
        <v>44869</v>
      </c>
      <c r="H10787" t="str">
        <f t="shared" si="2348"/>
        <v>89312</v>
      </c>
      <c r="I10787">
        <v>3</v>
      </c>
      <c r="J10787">
        <v>906</v>
      </c>
      <c r="K10787">
        <v>0</v>
      </c>
      <c r="L10787">
        <v>951.3</v>
      </c>
    </row>
    <row r="10788" spans="1:12" x14ac:dyDescent="0.25">
      <c r="A10788" t="str">
        <f t="shared" si="2338"/>
        <v>89301000</v>
      </c>
      <c r="B10788" t="str">
        <f t="shared" si="2346"/>
        <v>89063000</v>
      </c>
      <c r="C10788" t="str">
        <f t="shared" si="2346"/>
        <v>89063000</v>
      </c>
      <c r="D10788" t="str">
        <f t="shared" si="2347"/>
        <v>809</v>
      </c>
      <c r="E10788" t="str">
        <f>"89301212"</f>
        <v>89301212</v>
      </c>
      <c r="F10788" t="str">
        <f>"456219438"</f>
        <v>456219438</v>
      </c>
      <c r="G10788" s="1">
        <v>44872</v>
      </c>
      <c r="H10788" t="str">
        <f t="shared" si="2348"/>
        <v>89312</v>
      </c>
      <c r="I10788">
        <v>3</v>
      </c>
      <c r="J10788">
        <v>906</v>
      </c>
      <c r="K10788">
        <v>0</v>
      </c>
      <c r="L10788">
        <v>951.3</v>
      </c>
    </row>
    <row r="10789" spans="1:12" x14ac:dyDescent="0.25">
      <c r="A10789" t="str">
        <f t="shared" si="2338"/>
        <v>89301000</v>
      </c>
      <c r="B10789" t="str">
        <f t="shared" si="2346"/>
        <v>89063000</v>
      </c>
      <c r="C10789" t="str">
        <f t="shared" si="2346"/>
        <v>89063000</v>
      </c>
      <c r="D10789" t="str">
        <f t="shared" si="2347"/>
        <v>809</v>
      </c>
      <c r="E10789" t="str">
        <f>"89301162"</f>
        <v>89301162</v>
      </c>
      <c r="F10789" t="str">
        <f>"8853156026"</f>
        <v>8853156026</v>
      </c>
      <c r="G10789" s="1">
        <v>44872</v>
      </c>
      <c r="H10789" t="str">
        <f t="shared" si="2348"/>
        <v>89312</v>
      </c>
      <c r="I10789">
        <v>3</v>
      </c>
      <c r="J10789">
        <v>906</v>
      </c>
      <c r="K10789">
        <v>0</v>
      </c>
      <c r="L10789">
        <v>951.3</v>
      </c>
    </row>
    <row r="10790" spans="1:12" x14ac:dyDescent="0.25">
      <c r="A10790" t="str">
        <f t="shared" si="2338"/>
        <v>89301000</v>
      </c>
      <c r="B10790" t="str">
        <f t="shared" si="2346"/>
        <v>89063000</v>
      </c>
      <c r="C10790" t="str">
        <f t="shared" si="2346"/>
        <v>89063000</v>
      </c>
      <c r="D10790" t="str">
        <f t="shared" si="2347"/>
        <v>809</v>
      </c>
      <c r="E10790" t="str">
        <f>"89301704"</f>
        <v>89301704</v>
      </c>
      <c r="F10790" t="str">
        <f>"0802163274"</f>
        <v>0802163274</v>
      </c>
      <c r="G10790" s="1">
        <v>44872</v>
      </c>
      <c r="H10790" t="str">
        <f t="shared" si="2348"/>
        <v>89312</v>
      </c>
      <c r="I10790">
        <v>1</v>
      </c>
      <c r="J10790">
        <v>302</v>
      </c>
      <c r="K10790">
        <v>0</v>
      </c>
      <c r="L10790">
        <v>317.10000000000002</v>
      </c>
    </row>
    <row r="10791" spans="1:12" x14ac:dyDescent="0.25">
      <c r="A10791" t="str">
        <f t="shared" si="2338"/>
        <v>89301000</v>
      </c>
      <c r="B10791" t="str">
        <f t="shared" si="2346"/>
        <v>89063000</v>
      </c>
      <c r="C10791" t="str">
        <f t="shared" si="2346"/>
        <v>89063000</v>
      </c>
      <c r="D10791" t="str">
        <f t="shared" si="2347"/>
        <v>809</v>
      </c>
      <c r="E10791" t="str">
        <f>"89301037"</f>
        <v>89301037</v>
      </c>
      <c r="F10791" t="str">
        <f>"460826473"</f>
        <v>460826473</v>
      </c>
      <c r="G10791" s="1">
        <v>44873</v>
      </c>
      <c r="H10791" t="str">
        <f t="shared" si="2348"/>
        <v>89312</v>
      </c>
      <c r="I10791">
        <v>3</v>
      </c>
      <c r="J10791">
        <v>906</v>
      </c>
      <c r="K10791">
        <v>0</v>
      </c>
      <c r="L10791">
        <v>951.3</v>
      </c>
    </row>
    <row r="10792" spans="1:12" x14ac:dyDescent="0.25">
      <c r="A10792" t="str">
        <f t="shared" si="2338"/>
        <v>89301000</v>
      </c>
      <c r="B10792" t="str">
        <f t="shared" si="2346"/>
        <v>89063000</v>
      </c>
      <c r="C10792" t="str">
        <f t="shared" si="2346"/>
        <v>89063000</v>
      </c>
      <c r="D10792" t="str">
        <f t="shared" si="2347"/>
        <v>809</v>
      </c>
      <c r="E10792" t="str">
        <f>"89301037"</f>
        <v>89301037</v>
      </c>
      <c r="F10792" t="str">
        <f>"461212503"</f>
        <v>461212503</v>
      </c>
      <c r="G10792" s="1">
        <v>44873</v>
      </c>
      <c r="H10792" t="str">
        <f t="shared" si="2348"/>
        <v>89312</v>
      </c>
      <c r="I10792">
        <v>3</v>
      </c>
      <c r="J10792">
        <v>906</v>
      </c>
      <c r="K10792">
        <v>0</v>
      </c>
      <c r="L10792">
        <v>951.3</v>
      </c>
    </row>
    <row r="10793" spans="1:12" x14ac:dyDescent="0.25">
      <c r="A10793" t="str">
        <f t="shared" si="2338"/>
        <v>89301000</v>
      </c>
      <c r="B10793" t="str">
        <f t="shared" si="2346"/>
        <v>89063000</v>
      </c>
      <c r="C10793" t="str">
        <f t="shared" si="2346"/>
        <v>89063000</v>
      </c>
      <c r="D10793" t="str">
        <f t="shared" si="2347"/>
        <v>809</v>
      </c>
      <c r="E10793" t="str">
        <f>"89301037"</f>
        <v>89301037</v>
      </c>
      <c r="F10793" t="str">
        <f>"6153221151"</f>
        <v>6153221151</v>
      </c>
      <c r="G10793" s="1">
        <v>44873</v>
      </c>
      <c r="H10793" t="str">
        <f t="shared" si="2348"/>
        <v>89312</v>
      </c>
      <c r="I10793">
        <v>3</v>
      </c>
      <c r="J10793">
        <v>906</v>
      </c>
      <c r="K10793">
        <v>0</v>
      </c>
      <c r="L10793">
        <v>951.3</v>
      </c>
    </row>
    <row r="10794" spans="1:12" x14ac:dyDescent="0.25">
      <c r="A10794" t="str">
        <f t="shared" si="2338"/>
        <v>89301000</v>
      </c>
      <c r="B10794" t="str">
        <f t="shared" si="2346"/>
        <v>89063000</v>
      </c>
      <c r="C10794" t="str">
        <f t="shared" si="2346"/>
        <v>89063000</v>
      </c>
      <c r="D10794" t="str">
        <f t="shared" si="2347"/>
        <v>809</v>
      </c>
      <c r="E10794" t="str">
        <f>"89301037"</f>
        <v>89301037</v>
      </c>
      <c r="F10794" t="str">
        <f>"505309112"</f>
        <v>505309112</v>
      </c>
      <c r="G10794" s="1">
        <v>44873</v>
      </c>
      <c r="H10794" t="str">
        <f t="shared" si="2348"/>
        <v>89312</v>
      </c>
      <c r="I10794">
        <v>3</v>
      </c>
      <c r="J10794">
        <v>906</v>
      </c>
      <c r="K10794">
        <v>0</v>
      </c>
      <c r="L10794">
        <v>951.3</v>
      </c>
    </row>
    <row r="10795" spans="1:12" x14ac:dyDescent="0.25">
      <c r="A10795" t="str">
        <f t="shared" si="2338"/>
        <v>89301000</v>
      </c>
      <c r="B10795" t="str">
        <f t="shared" si="2346"/>
        <v>89063000</v>
      </c>
      <c r="C10795" t="str">
        <f t="shared" si="2346"/>
        <v>89063000</v>
      </c>
      <c r="D10795" t="str">
        <f t="shared" si="2347"/>
        <v>809</v>
      </c>
      <c r="E10795" t="str">
        <f>"89301036"</f>
        <v>89301036</v>
      </c>
      <c r="F10795" t="str">
        <f>"6704021346"</f>
        <v>6704021346</v>
      </c>
      <c r="G10795" s="1">
        <v>44873</v>
      </c>
      <c r="H10795" t="str">
        <f t="shared" si="2348"/>
        <v>89312</v>
      </c>
      <c r="I10795">
        <v>3</v>
      </c>
      <c r="J10795">
        <v>906</v>
      </c>
      <c r="K10795">
        <v>0</v>
      </c>
      <c r="L10795">
        <v>951.3</v>
      </c>
    </row>
    <row r="10796" spans="1:12" x14ac:dyDescent="0.25">
      <c r="A10796" t="str">
        <f t="shared" si="2338"/>
        <v>89301000</v>
      </c>
      <c r="B10796" t="str">
        <f t="shared" si="2346"/>
        <v>89063000</v>
      </c>
      <c r="C10796" t="str">
        <f t="shared" si="2346"/>
        <v>89063000</v>
      </c>
      <c r="D10796" t="str">
        <f t="shared" si="2347"/>
        <v>809</v>
      </c>
      <c r="E10796" t="str">
        <f>"89301212"</f>
        <v>89301212</v>
      </c>
      <c r="F10796" t="str">
        <f>"5755122010"</f>
        <v>5755122010</v>
      </c>
      <c r="G10796" s="1">
        <v>44879</v>
      </c>
      <c r="H10796" t="str">
        <f t="shared" si="2348"/>
        <v>89312</v>
      </c>
      <c r="I10796">
        <v>3</v>
      </c>
      <c r="J10796">
        <v>906</v>
      </c>
      <c r="K10796">
        <v>0</v>
      </c>
      <c r="L10796">
        <v>951.3</v>
      </c>
    </row>
    <row r="10797" spans="1:12" x14ac:dyDescent="0.25">
      <c r="A10797" t="str">
        <f t="shared" si="2338"/>
        <v>89301000</v>
      </c>
      <c r="B10797" t="str">
        <f t="shared" si="2346"/>
        <v>89063000</v>
      </c>
      <c r="C10797" t="str">
        <f t="shared" si="2346"/>
        <v>89063000</v>
      </c>
      <c r="D10797" t="str">
        <f t="shared" si="2347"/>
        <v>809</v>
      </c>
      <c r="E10797" t="str">
        <f>"89301037"</f>
        <v>89301037</v>
      </c>
      <c r="F10797" t="str">
        <f>"7054295369"</f>
        <v>7054295369</v>
      </c>
      <c r="G10797" s="1">
        <v>44874</v>
      </c>
      <c r="H10797" t="str">
        <f t="shared" si="2348"/>
        <v>89312</v>
      </c>
      <c r="I10797">
        <v>3</v>
      </c>
      <c r="J10797">
        <v>906</v>
      </c>
      <c r="K10797">
        <v>0</v>
      </c>
      <c r="L10797">
        <v>951.3</v>
      </c>
    </row>
    <row r="10798" spans="1:12" x14ac:dyDescent="0.25">
      <c r="A10798" t="str">
        <f t="shared" si="2338"/>
        <v>89301000</v>
      </c>
      <c r="B10798" t="str">
        <f t="shared" si="2346"/>
        <v>89063000</v>
      </c>
      <c r="C10798" t="str">
        <f t="shared" si="2346"/>
        <v>89063000</v>
      </c>
      <c r="D10798" t="str">
        <f t="shared" si="2347"/>
        <v>809</v>
      </c>
      <c r="E10798" t="str">
        <f>"89301037"</f>
        <v>89301037</v>
      </c>
      <c r="F10798" t="str">
        <f>"416011417"</f>
        <v>416011417</v>
      </c>
      <c r="G10798" s="1">
        <v>44875</v>
      </c>
      <c r="H10798" t="str">
        <f t="shared" si="2348"/>
        <v>89312</v>
      </c>
      <c r="I10798">
        <v>3</v>
      </c>
      <c r="J10798">
        <v>906</v>
      </c>
      <c r="K10798">
        <v>0</v>
      </c>
      <c r="L10798">
        <v>951.3</v>
      </c>
    </row>
    <row r="10799" spans="1:12" x14ac:dyDescent="0.25">
      <c r="A10799" t="str">
        <f t="shared" si="2338"/>
        <v>89301000</v>
      </c>
      <c r="B10799" t="str">
        <f t="shared" si="2346"/>
        <v>89063000</v>
      </c>
      <c r="C10799" t="str">
        <f t="shared" si="2346"/>
        <v>89063000</v>
      </c>
      <c r="D10799" t="str">
        <f t="shared" si="2347"/>
        <v>809</v>
      </c>
      <c r="E10799" t="str">
        <f>"89301036"</f>
        <v>89301036</v>
      </c>
      <c r="F10799" t="str">
        <f>"7405275361"</f>
        <v>7405275361</v>
      </c>
      <c r="G10799" s="1">
        <v>44875</v>
      </c>
      <c r="H10799" t="str">
        <f t="shared" si="2348"/>
        <v>89312</v>
      </c>
      <c r="I10799">
        <v>3</v>
      </c>
      <c r="J10799">
        <v>906</v>
      </c>
      <c r="K10799">
        <v>0</v>
      </c>
      <c r="L10799">
        <v>951.3</v>
      </c>
    </row>
    <row r="10800" spans="1:12" x14ac:dyDescent="0.25">
      <c r="A10800" t="str">
        <f t="shared" si="2338"/>
        <v>89301000</v>
      </c>
      <c r="B10800" t="str">
        <f t="shared" ref="B10800:C10819" si="2349">"89063000"</f>
        <v>89063000</v>
      </c>
      <c r="C10800" t="str">
        <f t="shared" si="2349"/>
        <v>89063000</v>
      </c>
      <c r="D10800" t="str">
        <f t="shared" si="2347"/>
        <v>809</v>
      </c>
      <c r="E10800" t="str">
        <f>"89301036"</f>
        <v>89301036</v>
      </c>
      <c r="F10800" t="str">
        <f>"5802101591"</f>
        <v>5802101591</v>
      </c>
      <c r="G10800" s="1">
        <v>44875</v>
      </c>
      <c r="H10800" t="str">
        <f t="shared" si="2348"/>
        <v>89312</v>
      </c>
      <c r="I10800">
        <v>3</v>
      </c>
      <c r="J10800">
        <v>906</v>
      </c>
      <c r="K10800">
        <v>0</v>
      </c>
      <c r="L10800">
        <v>951.3</v>
      </c>
    </row>
    <row r="10801" spans="1:12" x14ac:dyDescent="0.25">
      <c r="A10801" t="str">
        <f t="shared" si="2338"/>
        <v>89301000</v>
      </c>
      <c r="B10801" t="str">
        <f t="shared" si="2349"/>
        <v>89063000</v>
      </c>
      <c r="C10801" t="str">
        <f t="shared" si="2349"/>
        <v>89063000</v>
      </c>
      <c r="D10801" t="str">
        <f t="shared" si="2347"/>
        <v>809</v>
      </c>
      <c r="E10801" t="str">
        <f>"89301037"</f>
        <v>89301037</v>
      </c>
      <c r="F10801" t="str">
        <f>"6458130481"</f>
        <v>6458130481</v>
      </c>
      <c r="G10801" s="1">
        <v>44875</v>
      </c>
      <c r="H10801" t="str">
        <f t="shared" si="2348"/>
        <v>89312</v>
      </c>
      <c r="I10801">
        <v>3</v>
      </c>
      <c r="J10801">
        <v>906</v>
      </c>
      <c r="K10801">
        <v>0</v>
      </c>
      <c r="L10801">
        <v>951.3</v>
      </c>
    </row>
    <row r="10802" spans="1:12" x14ac:dyDescent="0.25">
      <c r="A10802" t="str">
        <f t="shared" si="2338"/>
        <v>89301000</v>
      </c>
      <c r="B10802" t="str">
        <f t="shared" si="2349"/>
        <v>89063000</v>
      </c>
      <c r="C10802" t="str">
        <f t="shared" si="2349"/>
        <v>89063000</v>
      </c>
      <c r="D10802" t="str">
        <f t="shared" si="2347"/>
        <v>809</v>
      </c>
      <c r="E10802" t="str">
        <f>"89301102"</f>
        <v>89301102</v>
      </c>
      <c r="F10802" t="str">
        <f>"0761213244"</f>
        <v>0761213244</v>
      </c>
      <c r="G10802" s="1">
        <v>44876</v>
      </c>
      <c r="H10802" t="str">
        <f t="shared" si="2348"/>
        <v>89312</v>
      </c>
      <c r="I10802">
        <v>1</v>
      </c>
      <c r="J10802">
        <v>302</v>
      </c>
      <c r="K10802">
        <v>0</v>
      </c>
      <c r="L10802">
        <v>317.10000000000002</v>
      </c>
    </row>
    <row r="10803" spans="1:12" x14ac:dyDescent="0.25">
      <c r="A10803" t="str">
        <f t="shared" si="2338"/>
        <v>89301000</v>
      </c>
      <c r="B10803" t="str">
        <f t="shared" si="2349"/>
        <v>89063000</v>
      </c>
      <c r="C10803" t="str">
        <f t="shared" si="2349"/>
        <v>89063000</v>
      </c>
      <c r="D10803" t="str">
        <f t="shared" si="2347"/>
        <v>809</v>
      </c>
      <c r="E10803" t="str">
        <f t="shared" ref="E10803:E10808" si="2350">"89301037"</f>
        <v>89301037</v>
      </c>
      <c r="F10803" t="str">
        <f>"315207458"</f>
        <v>315207458</v>
      </c>
      <c r="G10803" s="1">
        <v>44879</v>
      </c>
      <c r="H10803" t="str">
        <f t="shared" si="2348"/>
        <v>89312</v>
      </c>
      <c r="I10803">
        <v>3</v>
      </c>
      <c r="J10803">
        <v>906</v>
      </c>
      <c r="K10803">
        <v>0</v>
      </c>
      <c r="L10803">
        <v>951.3</v>
      </c>
    </row>
    <row r="10804" spans="1:12" x14ac:dyDescent="0.25">
      <c r="A10804" t="str">
        <f t="shared" si="2338"/>
        <v>89301000</v>
      </c>
      <c r="B10804" t="str">
        <f t="shared" si="2349"/>
        <v>89063000</v>
      </c>
      <c r="C10804" t="str">
        <f t="shared" si="2349"/>
        <v>89063000</v>
      </c>
      <c r="D10804" t="str">
        <f t="shared" si="2347"/>
        <v>809</v>
      </c>
      <c r="E10804" t="str">
        <f t="shared" si="2350"/>
        <v>89301037</v>
      </c>
      <c r="F10804" t="str">
        <f>"5653202038"</f>
        <v>5653202038</v>
      </c>
      <c r="G10804" s="1">
        <v>44879</v>
      </c>
      <c r="H10804" t="str">
        <f t="shared" si="2348"/>
        <v>89312</v>
      </c>
      <c r="I10804">
        <v>3</v>
      </c>
      <c r="J10804">
        <v>906</v>
      </c>
      <c r="K10804">
        <v>0</v>
      </c>
      <c r="L10804">
        <v>951.3</v>
      </c>
    </row>
    <row r="10805" spans="1:12" x14ac:dyDescent="0.25">
      <c r="A10805" t="str">
        <f t="shared" si="2338"/>
        <v>89301000</v>
      </c>
      <c r="B10805" t="str">
        <f t="shared" si="2349"/>
        <v>89063000</v>
      </c>
      <c r="C10805" t="str">
        <f t="shared" si="2349"/>
        <v>89063000</v>
      </c>
      <c r="D10805" t="str">
        <f t="shared" si="2347"/>
        <v>809</v>
      </c>
      <c r="E10805" t="str">
        <f t="shared" si="2350"/>
        <v>89301037</v>
      </c>
      <c r="F10805" t="str">
        <f>"6361192145"</f>
        <v>6361192145</v>
      </c>
      <c r="G10805" s="1">
        <v>44880</v>
      </c>
      <c r="H10805" t="str">
        <f t="shared" si="2348"/>
        <v>89312</v>
      </c>
      <c r="I10805">
        <v>3</v>
      </c>
      <c r="J10805">
        <v>906</v>
      </c>
      <c r="K10805">
        <v>0</v>
      </c>
      <c r="L10805">
        <v>951.3</v>
      </c>
    </row>
    <row r="10806" spans="1:12" x14ac:dyDescent="0.25">
      <c r="A10806" t="str">
        <f t="shared" si="2338"/>
        <v>89301000</v>
      </c>
      <c r="B10806" t="str">
        <f t="shared" si="2349"/>
        <v>89063000</v>
      </c>
      <c r="C10806" t="str">
        <f t="shared" si="2349"/>
        <v>89063000</v>
      </c>
      <c r="D10806" t="str">
        <f t="shared" si="2347"/>
        <v>809</v>
      </c>
      <c r="E10806" t="str">
        <f t="shared" si="2350"/>
        <v>89301037</v>
      </c>
      <c r="F10806" t="str">
        <f>"426207440"</f>
        <v>426207440</v>
      </c>
      <c r="G10806" s="1">
        <v>44880</v>
      </c>
      <c r="H10806" t="str">
        <f t="shared" si="2348"/>
        <v>89312</v>
      </c>
      <c r="I10806">
        <v>3</v>
      </c>
      <c r="J10806">
        <v>906</v>
      </c>
      <c r="K10806">
        <v>0</v>
      </c>
      <c r="L10806">
        <v>951.3</v>
      </c>
    </row>
    <row r="10807" spans="1:12" x14ac:dyDescent="0.25">
      <c r="A10807" t="str">
        <f t="shared" si="2338"/>
        <v>89301000</v>
      </c>
      <c r="B10807" t="str">
        <f t="shared" si="2349"/>
        <v>89063000</v>
      </c>
      <c r="C10807" t="str">
        <f t="shared" si="2349"/>
        <v>89063000</v>
      </c>
      <c r="D10807" t="str">
        <f t="shared" si="2347"/>
        <v>809</v>
      </c>
      <c r="E10807" t="str">
        <f t="shared" si="2350"/>
        <v>89301037</v>
      </c>
      <c r="F10807" t="str">
        <f>"416228405"</f>
        <v>416228405</v>
      </c>
      <c r="G10807" s="1">
        <v>44880</v>
      </c>
      <c r="H10807" t="str">
        <f t="shared" si="2348"/>
        <v>89312</v>
      </c>
      <c r="I10807">
        <v>3</v>
      </c>
      <c r="J10807">
        <v>906</v>
      </c>
      <c r="K10807">
        <v>0</v>
      </c>
      <c r="L10807">
        <v>951.3</v>
      </c>
    </row>
    <row r="10808" spans="1:12" x14ac:dyDescent="0.25">
      <c r="A10808" t="str">
        <f t="shared" si="2338"/>
        <v>89301000</v>
      </c>
      <c r="B10808" t="str">
        <f t="shared" si="2349"/>
        <v>89063000</v>
      </c>
      <c r="C10808" t="str">
        <f t="shared" si="2349"/>
        <v>89063000</v>
      </c>
      <c r="D10808" t="str">
        <f t="shared" si="2347"/>
        <v>809</v>
      </c>
      <c r="E10808" t="str">
        <f t="shared" si="2350"/>
        <v>89301037</v>
      </c>
      <c r="F10808" t="str">
        <f>"5657111669"</f>
        <v>5657111669</v>
      </c>
      <c r="G10808" s="1">
        <v>44881</v>
      </c>
      <c r="H10808" t="str">
        <f t="shared" si="2348"/>
        <v>89312</v>
      </c>
      <c r="I10808">
        <v>3</v>
      </c>
      <c r="J10808">
        <v>906</v>
      </c>
      <c r="K10808">
        <v>0</v>
      </c>
      <c r="L10808">
        <v>951.3</v>
      </c>
    </row>
    <row r="10809" spans="1:12" x14ac:dyDescent="0.25">
      <c r="A10809" t="str">
        <f t="shared" si="2338"/>
        <v>89301000</v>
      </c>
      <c r="B10809" t="str">
        <f t="shared" si="2349"/>
        <v>89063000</v>
      </c>
      <c r="C10809" t="str">
        <f t="shared" si="2349"/>
        <v>89063000</v>
      </c>
      <c r="D10809" t="str">
        <f t="shared" si="2347"/>
        <v>809</v>
      </c>
      <c r="E10809" t="str">
        <f>"89301215"</f>
        <v>89301215</v>
      </c>
      <c r="F10809" t="str">
        <f>"460214401"</f>
        <v>460214401</v>
      </c>
      <c r="G10809" s="1">
        <v>44881</v>
      </c>
      <c r="H10809" t="str">
        <f t="shared" si="2348"/>
        <v>89312</v>
      </c>
      <c r="I10809">
        <v>3</v>
      </c>
      <c r="J10809">
        <v>906</v>
      </c>
      <c r="K10809">
        <v>0</v>
      </c>
      <c r="L10809">
        <v>951.3</v>
      </c>
    </row>
    <row r="10810" spans="1:12" x14ac:dyDescent="0.25">
      <c r="A10810" t="str">
        <f t="shared" si="2338"/>
        <v>89301000</v>
      </c>
      <c r="B10810" t="str">
        <f t="shared" si="2349"/>
        <v>89063000</v>
      </c>
      <c r="C10810" t="str">
        <f t="shared" si="2349"/>
        <v>89063000</v>
      </c>
      <c r="D10810" t="str">
        <f t="shared" si="2347"/>
        <v>809</v>
      </c>
      <c r="E10810" t="str">
        <f>"89301037"</f>
        <v>89301037</v>
      </c>
      <c r="F10810" t="str">
        <f>"530329129"</f>
        <v>530329129</v>
      </c>
      <c r="G10810" s="1">
        <v>44881</v>
      </c>
      <c r="H10810" t="str">
        <f t="shared" si="2348"/>
        <v>89312</v>
      </c>
      <c r="I10810">
        <v>3</v>
      </c>
      <c r="J10810">
        <v>906</v>
      </c>
      <c r="K10810">
        <v>0</v>
      </c>
      <c r="L10810">
        <v>951.3</v>
      </c>
    </row>
    <row r="10811" spans="1:12" x14ac:dyDescent="0.25">
      <c r="A10811" t="str">
        <f t="shared" si="2338"/>
        <v>89301000</v>
      </c>
      <c r="B10811" t="str">
        <f t="shared" si="2349"/>
        <v>89063000</v>
      </c>
      <c r="C10811" t="str">
        <f t="shared" si="2349"/>
        <v>89063000</v>
      </c>
      <c r="D10811" t="str">
        <f t="shared" si="2347"/>
        <v>809</v>
      </c>
      <c r="E10811" t="str">
        <f>"89301037"</f>
        <v>89301037</v>
      </c>
      <c r="F10811" t="str">
        <f>"5853140381"</f>
        <v>5853140381</v>
      </c>
      <c r="G10811" s="1">
        <v>44881</v>
      </c>
      <c r="H10811" t="str">
        <f t="shared" si="2348"/>
        <v>89312</v>
      </c>
      <c r="I10811">
        <v>3</v>
      </c>
      <c r="J10811">
        <v>906</v>
      </c>
      <c r="K10811">
        <v>0</v>
      </c>
      <c r="L10811">
        <v>951.3</v>
      </c>
    </row>
    <row r="10812" spans="1:12" x14ac:dyDescent="0.25">
      <c r="A10812" t="str">
        <f t="shared" si="2338"/>
        <v>89301000</v>
      </c>
      <c r="B10812" t="str">
        <f t="shared" si="2349"/>
        <v>89063000</v>
      </c>
      <c r="C10812" t="str">
        <f t="shared" si="2349"/>
        <v>89063000</v>
      </c>
      <c r="D10812" t="str">
        <f t="shared" ref="D10812:D10842" si="2351">"809"</f>
        <v>809</v>
      </c>
      <c r="E10812" t="str">
        <f>"89301036"</f>
        <v>89301036</v>
      </c>
      <c r="F10812" t="str">
        <f>"8404014498"</f>
        <v>8404014498</v>
      </c>
      <c r="G10812" s="1">
        <v>44881</v>
      </c>
      <c r="H10812" t="str">
        <f t="shared" ref="H10812:H10842" si="2352">"89312"</f>
        <v>89312</v>
      </c>
      <c r="I10812">
        <v>3</v>
      </c>
      <c r="J10812">
        <v>906</v>
      </c>
      <c r="K10812">
        <v>0</v>
      </c>
      <c r="L10812">
        <v>951.3</v>
      </c>
    </row>
    <row r="10813" spans="1:12" x14ac:dyDescent="0.25">
      <c r="A10813" t="str">
        <f t="shared" si="2338"/>
        <v>89301000</v>
      </c>
      <c r="B10813" t="str">
        <f t="shared" si="2349"/>
        <v>89063000</v>
      </c>
      <c r="C10813" t="str">
        <f t="shared" si="2349"/>
        <v>89063000</v>
      </c>
      <c r="D10813" t="str">
        <f t="shared" si="2351"/>
        <v>809</v>
      </c>
      <c r="E10813" t="str">
        <f>"89301037"</f>
        <v>89301037</v>
      </c>
      <c r="F10813" t="str">
        <f>"7156035678"</f>
        <v>7156035678</v>
      </c>
      <c r="G10813" s="1">
        <v>44881</v>
      </c>
      <c r="H10813" t="str">
        <f t="shared" si="2352"/>
        <v>89312</v>
      </c>
      <c r="I10813">
        <v>3</v>
      </c>
      <c r="J10813">
        <v>906</v>
      </c>
      <c r="K10813">
        <v>0</v>
      </c>
      <c r="L10813">
        <v>951.3</v>
      </c>
    </row>
    <row r="10814" spans="1:12" x14ac:dyDescent="0.25">
      <c r="A10814" t="str">
        <f t="shared" si="2338"/>
        <v>89301000</v>
      </c>
      <c r="B10814" t="str">
        <f t="shared" si="2349"/>
        <v>89063000</v>
      </c>
      <c r="C10814" t="str">
        <f t="shared" si="2349"/>
        <v>89063000</v>
      </c>
      <c r="D10814" t="str">
        <f t="shared" si="2351"/>
        <v>809</v>
      </c>
      <c r="E10814" t="str">
        <f>"89301162"</f>
        <v>89301162</v>
      </c>
      <c r="F10814" t="str">
        <f>"450607404"</f>
        <v>450607404</v>
      </c>
      <c r="G10814" s="1">
        <v>44886</v>
      </c>
      <c r="H10814" t="str">
        <f t="shared" si="2352"/>
        <v>89312</v>
      </c>
      <c r="I10814">
        <v>3</v>
      </c>
      <c r="J10814">
        <v>906</v>
      </c>
      <c r="K10814">
        <v>0</v>
      </c>
      <c r="L10814">
        <v>951.3</v>
      </c>
    </row>
    <row r="10815" spans="1:12" x14ac:dyDescent="0.25">
      <c r="A10815" t="str">
        <f t="shared" si="2338"/>
        <v>89301000</v>
      </c>
      <c r="B10815" t="str">
        <f t="shared" si="2349"/>
        <v>89063000</v>
      </c>
      <c r="C10815" t="str">
        <f t="shared" si="2349"/>
        <v>89063000</v>
      </c>
      <c r="D10815" t="str">
        <f t="shared" si="2351"/>
        <v>809</v>
      </c>
      <c r="E10815" t="str">
        <f>"89301037"</f>
        <v>89301037</v>
      </c>
      <c r="F10815" t="str">
        <f>"6356291073"</f>
        <v>6356291073</v>
      </c>
      <c r="G10815" s="1">
        <v>44886</v>
      </c>
      <c r="H10815" t="str">
        <f t="shared" si="2352"/>
        <v>89312</v>
      </c>
      <c r="I10815">
        <v>3</v>
      </c>
      <c r="J10815">
        <v>906</v>
      </c>
      <c r="K10815">
        <v>0</v>
      </c>
      <c r="L10815">
        <v>951.3</v>
      </c>
    </row>
    <row r="10816" spans="1:12" x14ac:dyDescent="0.25">
      <c r="A10816" t="str">
        <f t="shared" si="2338"/>
        <v>89301000</v>
      </c>
      <c r="B10816" t="str">
        <f t="shared" si="2349"/>
        <v>89063000</v>
      </c>
      <c r="C10816" t="str">
        <f t="shared" si="2349"/>
        <v>89063000</v>
      </c>
      <c r="D10816" t="str">
        <f t="shared" si="2351"/>
        <v>809</v>
      </c>
      <c r="E10816" t="str">
        <f>"89301037"</f>
        <v>89301037</v>
      </c>
      <c r="F10816" t="str">
        <f>"7452155326"</f>
        <v>7452155326</v>
      </c>
      <c r="G10816" s="1">
        <v>44886</v>
      </c>
      <c r="H10816" t="str">
        <f t="shared" si="2352"/>
        <v>89312</v>
      </c>
      <c r="I10816">
        <v>3</v>
      </c>
      <c r="J10816">
        <v>906</v>
      </c>
      <c r="K10816">
        <v>0</v>
      </c>
      <c r="L10816">
        <v>951.3</v>
      </c>
    </row>
    <row r="10817" spans="1:12" x14ac:dyDescent="0.25">
      <c r="A10817" t="str">
        <f t="shared" si="2338"/>
        <v>89301000</v>
      </c>
      <c r="B10817" t="str">
        <f t="shared" si="2349"/>
        <v>89063000</v>
      </c>
      <c r="C10817" t="str">
        <f t="shared" si="2349"/>
        <v>89063000</v>
      </c>
      <c r="D10817" t="str">
        <f t="shared" si="2351"/>
        <v>809</v>
      </c>
      <c r="E10817" t="str">
        <f>"89301212"</f>
        <v>89301212</v>
      </c>
      <c r="F10817" t="str">
        <f>"505105165"</f>
        <v>505105165</v>
      </c>
      <c r="G10817" s="1">
        <v>44886</v>
      </c>
      <c r="H10817" t="str">
        <f t="shared" si="2352"/>
        <v>89312</v>
      </c>
      <c r="I10817">
        <v>3</v>
      </c>
      <c r="J10817">
        <v>906</v>
      </c>
      <c r="K10817">
        <v>0</v>
      </c>
      <c r="L10817">
        <v>951.3</v>
      </c>
    </row>
    <row r="10818" spans="1:12" x14ac:dyDescent="0.25">
      <c r="A10818" t="str">
        <f t="shared" ref="A10818:A10881" si="2353">"89301000"</f>
        <v>89301000</v>
      </c>
      <c r="B10818" t="str">
        <f t="shared" si="2349"/>
        <v>89063000</v>
      </c>
      <c r="C10818" t="str">
        <f t="shared" si="2349"/>
        <v>89063000</v>
      </c>
      <c r="D10818" t="str">
        <f t="shared" si="2351"/>
        <v>809</v>
      </c>
      <c r="E10818" t="str">
        <f>"89301082"</f>
        <v>89301082</v>
      </c>
      <c r="F10818" t="str">
        <f>"6353050264"</f>
        <v>6353050264</v>
      </c>
      <c r="G10818" s="1">
        <v>44886</v>
      </c>
      <c r="H10818" t="str">
        <f t="shared" si="2352"/>
        <v>89312</v>
      </c>
      <c r="I10818">
        <v>3</v>
      </c>
      <c r="J10818">
        <v>906</v>
      </c>
      <c r="K10818">
        <v>0</v>
      </c>
      <c r="L10818">
        <v>951.3</v>
      </c>
    </row>
    <row r="10819" spans="1:12" x14ac:dyDescent="0.25">
      <c r="A10819" t="str">
        <f t="shared" si="2353"/>
        <v>89301000</v>
      </c>
      <c r="B10819" t="str">
        <f t="shared" si="2349"/>
        <v>89063000</v>
      </c>
      <c r="C10819" t="str">
        <f t="shared" si="2349"/>
        <v>89063000</v>
      </c>
      <c r="D10819" t="str">
        <f t="shared" si="2351"/>
        <v>809</v>
      </c>
      <c r="E10819" t="str">
        <f>"89301336"</f>
        <v>89301336</v>
      </c>
      <c r="F10819" t="str">
        <f>"7458283756"</f>
        <v>7458283756</v>
      </c>
      <c r="G10819" s="1">
        <v>44886</v>
      </c>
      <c r="H10819" t="str">
        <f t="shared" si="2352"/>
        <v>89312</v>
      </c>
      <c r="I10819">
        <v>3</v>
      </c>
      <c r="J10819">
        <v>906</v>
      </c>
      <c r="K10819">
        <v>0</v>
      </c>
      <c r="L10819">
        <v>951.3</v>
      </c>
    </row>
    <row r="10820" spans="1:12" x14ac:dyDescent="0.25">
      <c r="A10820" t="str">
        <f t="shared" si="2353"/>
        <v>89301000</v>
      </c>
      <c r="B10820" t="str">
        <f t="shared" ref="B10820:C10842" si="2354">"89063000"</f>
        <v>89063000</v>
      </c>
      <c r="C10820" t="str">
        <f t="shared" si="2354"/>
        <v>89063000</v>
      </c>
      <c r="D10820" t="str">
        <f t="shared" si="2351"/>
        <v>809</v>
      </c>
      <c r="E10820" t="str">
        <f>"89301037"</f>
        <v>89301037</v>
      </c>
      <c r="F10820" t="str">
        <f>"6557300981"</f>
        <v>6557300981</v>
      </c>
      <c r="G10820" s="1">
        <v>44894</v>
      </c>
      <c r="H10820" t="str">
        <f t="shared" si="2352"/>
        <v>89312</v>
      </c>
      <c r="I10820">
        <v>3</v>
      </c>
      <c r="J10820">
        <v>906</v>
      </c>
      <c r="K10820">
        <v>0</v>
      </c>
      <c r="L10820">
        <v>951.3</v>
      </c>
    </row>
    <row r="10821" spans="1:12" x14ac:dyDescent="0.25">
      <c r="A10821" t="str">
        <f t="shared" si="2353"/>
        <v>89301000</v>
      </c>
      <c r="B10821" t="str">
        <f t="shared" si="2354"/>
        <v>89063000</v>
      </c>
      <c r="C10821" t="str">
        <f t="shared" si="2354"/>
        <v>89063000</v>
      </c>
      <c r="D10821" t="str">
        <f t="shared" si="2351"/>
        <v>809</v>
      </c>
      <c r="E10821" t="str">
        <f>"89301037"</f>
        <v>89301037</v>
      </c>
      <c r="F10821" t="str">
        <f>"5854050136"</f>
        <v>5854050136</v>
      </c>
      <c r="G10821" s="1">
        <v>44887</v>
      </c>
      <c r="H10821" t="str">
        <f t="shared" si="2352"/>
        <v>89312</v>
      </c>
      <c r="I10821">
        <v>3</v>
      </c>
      <c r="J10821">
        <v>906</v>
      </c>
      <c r="K10821">
        <v>0</v>
      </c>
      <c r="L10821">
        <v>951.3</v>
      </c>
    </row>
    <row r="10822" spans="1:12" x14ac:dyDescent="0.25">
      <c r="A10822" t="str">
        <f t="shared" si="2353"/>
        <v>89301000</v>
      </c>
      <c r="B10822" t="str">
        <f t="shared" si="2354"/>
        <v>89063000</v>
      </c>
      <c r="C10822" t="str">
        <f t="shared" si="2354"/>
        <v>89063000</v>
      </c>
      <c r="D10822" t="str">
        <f t="shared" si="2351"/>
        <v>809</v>
      </c>
      <c r="E10822" t="str">
        <f>"89301037"</f>
        <v>89301037</v>
      </c>
      <c r="F10822" t="str">
        <f>"425309056"</f>
        <v>425309056</v>
      </c>
      <c r="G10822" s="1">
        <v>44887</v>
      </c>
      <c r="H10822" t="str">
        <f t="shared" si="2352"/>
        <v>89312</v>
      </c>
      <c r="I10822">
        <v>3</v>
      </c>
      <c r="J10822">
        <v>906</v>
      </c>
      <c r="K10822">
        <v>0</v>
      </c>
      <c r="L10822">
        <v>951.3</v>
      </c>
    </row>
    <row r="10823" spans="1:12" x14ac:dyDescent="0.25">
      <c r="A10823" t="str">
        <f t="shared" si="2353"/>
        <v>89301000</v>
      </c>
      <c r="B10823" t="str">
        <f t="shared" si="2354"/>
        <v>89063000</v>
      </c>
      <c r="C10823" t="str">
        <f t="shared" si="2354"/>
        <v>89063000</v>
      </c>
      <c r="D10823" t="str">
        <f t="shared" si="2351"/>
        <v>809</v>
      </c>
      <c r="E10823" t="str">
        <f>"89301036"</f>
        <v>89301036</v>
      </c>
      <c r="F10823" t="str">
        <f>"5803172551"</f>
        <v>5803172551</v>
      </c>
      <c r="G10823" s="1">
        <v>44888</v>
      </c>
      <c r="H10823" t="str">
        <f t="shared" si="2352"/>
        <v>89312</v>
      </c>
      <c r="I10823">
        <v>3</v>
      </c>
      <c r="J10823">
        <v>906</v>
      </c>
      <c r="K10823">
        <v>0</v>
      </c>
      <c r="L10823">
        <v>951.3</v>
      </c>
    </row>
    <row r="10824" spans="1:12" x14ac:dyDescent="0.25">
      <c r="A10824" t="str">
        <f t="shared" si="2353"/>
        <v>89301000</v>
      </c>
      <c r="B10824" t="str">
        <f t="shared" si="2354"/>
        <v>89063000</v>
      </c>
      <c r="C10824" t="str">
        <f t="shared" si="2354"/>
        <v>89063000</v>
      </c>
      <c r="D10824" t="str">
        <f t="shared" si="2351"/>
        <v>809</v>
      </c>
      <c r="E10824" t="str">
        <f>"89301037"</f>
        <v>89301037</v>
      </c>
      <c r="F10824" t="str">
        <f>"5652132299"</f>
        <v>5652132299</v>
      </c>
      <c r="G10824" s="1">
        <v>44888</v>
      </c>
      <c r="H10824" t="str">
        <f t="shared" si="2352"/>
        <v>89312</v>
      </c>
      <c r="I10824">
        <v>3</v>
      </c>
      <c r="J10824">
        <v>906</v>
      </c>
      <c r="K10824">
        <v>0</v>
      </c>
      <c r="L10824">
        <v>951.3</v>
      </c>
    </row>
    <row r="10825" spans="1:12" x14ac:dyDescent="0.25">
      <c r="A10825" t="str">
        <f t="shared" si="2353"/>
        <v>89301000</v>
      </c>
      <c r="B10825" t="str">
        <f t="shared" si="2354"/>
        <v>89063000</v>
      </c>
      <c r="C10825" t="str">
        <f t="shared" si="2354"/>
        <v>89063000</v>
      </c>
      <c r="D10825" t="str">
        <f t="shared" si="2351"/>
        <v>809</v>
      </c>
      <c r="E10825" t="str">
        <f>"89301037"</f>
        <v>89301037</v>
      </c>
      <c r="F10825" t="str">
        <f>"7454245337"</f>
        <v>7454245337</v>
      </c>
      <c r="G10825" s="1">
        <v>44888</v>
      </c>
      <c r="H10825" t="str">
        <f t="shared" si="2352"/>
        <v>89312</v>
      </c>
      <c r="I10825">
        <v>3</v>
      </c>
      <c r="J10825">
        <v>906</v>
      </c>
      <c r="K10825">
        <v>0</v>
      </c>
      <c r="L10825">
        <v>951.3</v>
      </c>
    </row>
    <row r="10826" spans="1:12" x14ac:dyDescent="0.25">
      <c r="A10826" t="str">
        <f t="shared" si="2353"/>
        <v>89301000</v>
      </c>
      <c r="B10826" t="str">
        <f t="shared" si="2354"/>
        <v>89063000</v>
      </c>
      <c r="C10826" t="str">
        <f t="shared" si="2354"/>
        <v>89063000</v>
      </c>
      <c r="D10826" t="str">
        <f t="shared" si="2351"/>
        <v>809</v>
      </c>
      <c r="E10826" t="str">
        <f>"89301037"</f>
        <v>89301037</v>
      </c>
      <c r="F10826" t="str">
        <f>"6662056852"</f>
        <v>6662056852</v>
      </c>
      <c r="G10826" s="1">
        <v>44888</v>
      </c>
      <c r="H10826" t="str">
        <f t="shared" si="2352"/>
        <v>89312</v>
      </c>
      <c r="I10826">
        <v>3</v>
      </c>
      <c r="J10826">
        <v>906</v>
      </c>
      <c r="K10826">
        <v>0</v>
      </c>
      <c r="L10826">
        <v>951.3</v>
      </c>
    </row>
    <row r="10827" spans="1:12" x14ac:dyDescent="0.25">
      <c r="A10827" t="str">
        <f t="shared" si="2353"/>
        <v>89301000</v>
      </c>
      <c r="B10827" t="str">
        <f t="shared" si="2354"/>
        <v>89063000</v>
      </c>
      <c r="C10827" t="str">
        <f t="shared" si="2354"/>
        <v>89063000</v>
      </c>
      <c r="D10827" t="str">
        <f t="shared" si="2351"/>
        <v>809</v>
      </c>
      <c r="E10827" t="str">
        <f>"89301037"</f>
        <v>89301037</v>
      </c>
      <c r="F10827" t="str">
        <f>"475905409"</f>
        <v>475905409</v>
      </c>
      <c r="G10827" s="1">
        <v>44889</v>
      </c>
      <c r="H10827" t="str">
        <f t="shared" si="2352"/>
        <v>89312</v>
      </c>
      <c r="I10827">
        <v>3</v>
      </c>
      <c r="J10827">
        <v>906</v>
      </c>
      <c r="K10827">
        <v>0</v>
      </c>
      <c r="L10827">
        <v>951.3</v>
      </c>
    </row>
    <row r="10828" spans="1:12" x14ac:dyDescent="0.25">
      <c r="A10828" t="str">
        <f t="shared" si="2353"/>
        <v>89301000</v>
      </c>
      <c r="B10828" t="str">
        <f t="shared" si="2354"/>
        <v>89063000</v>
      </c>
      <c r="C10828" t="str">
        <f t="shared" si="2354"/>
        <v>89063000</v>
      </c>
      <c r="D10828" t="str">
        <f t="shared" si="2351"/>
        <v>809</v>
      </c>
      <c r="E10828" t="str">
        <f>"89301212"</f>
        <v>89301212</v>
      </c>
      <c r="F10828" t="str">
        <f>"5653172118"</f>
        <v>5653172118</v>
      </c>
      <c r="G10828" s="1">
        <v>44889</v>
      </c>
      <c r="H10828" t="str">
        <f t="shared" si="2352"/>
        <v>89312</v>
      </c>
      <c r="I10828">
        <v>3</v>
      </c>
      <c r="J10828">
        <v>906</v>
      </c>
      <c r="K10828">
        <v>0</v>
      </c>
      <c r="L10828">
        <v>951.3</v>
      </c>
    </row>
    <row r="10829" spans="1:12" x14ac:dyDescent="0.25">
      <c r="A10829" t="str">
        <f t="shared" si="2353"/>
        <v>89301000</v>
      </c>
      <c r="B10829" t="str">
        <f t="shared" si="2354"/>
        <v>89063000</v>
      </c>
      <c r="C10829" t="str">
        <f t="shared" si="2354"/>
        <v>89063000</v>
      </c>
      <c r="D10829" t="str">
        <f t="shared" si="2351"/>
        <v>809</v>
      </c>
      <c r="E10829" t="str">
        <f>"89301036"</f>
        <v>89301036</v>
      </c>
      <c r="F10829" t="str">
        <f>"505529069"</f>
        <v>505529069</v>
      </c>
      <c r="G10829" s="1">
        <v>44889</v>
      </c>
      <c r="H10829" t="str">
        <f t="shared" si="2352"/>
        <v>89312</v>
      </c>
      <c r="I10829">
        <v>3</v>
      </c>
      <c r="J10829">
        <v>906</v>
      </c>
      <c r="K10829">
        <v>0</v>
      </c>
      <c r="L10829">
        <v>951.3</v>
      </c>
    </row>
    <row r="10830" spans="1:12" x14ac:dyDescent="0.25">
      <c r="A10830" t="str">
        <f t="shared" si="2353"/>
        <v>89301000</v>
      </c>
      <c r="B10830" t="str">
        <f t="shared" si="2354"/>
        <v>89063000</v>
      </c>
      <c r="C10830" t="str">
        <f t="shared" si="2354"/>
        <v>89063000</v>
      </c>
      <c r="D10830" t="str">
        <f t="shared" si="2351"/>
        <v>809</v>
      </c>
      <c r="E10830" t="str">
        <f>"89301037"</f>
        <v>89301037</v>
      </c>
      <c r="F10830" t="str">
        <f>"5657091737"</f>
        <v>5657091737</v>
      </c>
      <c r="G10830" s="1">
        <v>44890</v>
      </c>
      <c r="H10830" t="str">
        <f t="shared" si="2352"/>
        <v>89312</v>
      </c>
      <c r="I10830">
        <v>3</v>
      </c>
      <c r="J10830">
        <v>906</v>
      </c>
      <c r="K10830">
        <v>0</v>
      </c>
      <c r="L10830">
        <v>951.3</v>
      </c>
    </row>
    <row r="10831" spans="1:12" x14ac:dyDescent="0.25">
      <c r="A10831" t="str">
        <f t="shared" si="2353"/>
        <v>89301000</v>
      </c>
      <c r="B10831" t="str">
        <f t="shared" si="2354"/>
        <v>89063000</v>
      </c>
      <c r="C10831" t="str">
        <f t="shared" si="2354"/>
        <v>89063000</v>
      </c>
      <c r="D10831" t="str">
        <f t="shared" si="2351"/>
        <v>809</v>
      </c>
      <c r="E10831" t="str">
        <f>"89301037"</f>
        <v>89301037</v>
      </c>
      <c r="F10831" t="str">
        <f>"6654270810"</f>
        <v>6654270810</v>
      </c>
      <c r="G10831" s="1">
        <v>44890</v>
      </c>
      <c r="H10831" t="str">
        <f t="shared" si="2352"/>
        <v>89312</v>
      </c>
      <c r="I10831">
        <v>3</v>
      </c>
      <c r="J10831">
        <v>906</v>
      </c>
      <c r="K10831">
        <v>0</v>
      </c>
      <c r="L10831">
        <v>951.3</v>
      </c>
    </row>
    <row r="10832" spans="1:12" x14ac:dyDescent="0.25">
      <c r="A10832" t="str">
        <f t="shared" si="2353"/>
        <v>89301000</v>
      </c>
      <c r="B10832" t="str">
        <f t="shared" si="2354"/>
        <v>89063000</v>
      </c>
      <c r="C10832" t="str">
        <f t="shared" si="2354"/>
        <v>89063000</v>
      </c>
      <c r="D10832" t="str">
        <f t="shared" si="2351"/>
        <v>809</v>
      </c>
      <c r="E10832" t="str">
        <f>"89301037"</f>
        <v>89301037</v>
      </c>
      <c r="F10832" t="str">
        <f>"425106426"</f>
        <v>425106426</v>
      </c>
      <c r="G10832" s="1">
        <v>44893</v>
      </c>
      <c r="H10832" t="str">
        <f t="shared" si="2352"/>
        <v>89312</v>
      </c>
      <c r="I10832">
        <v>3</v>
      </c>
      <c r="J10832">
        <v>906</v>
      </c>
      <c r="K10832">
        <v>0</v>
      </c>
      <c r="L10832">
        <v>951.3</v>
      </c>
    </row>
    <row r="10833" spans="1:12" x14ac:dyDescent="0.25">
      <c r="A10833" t="str">
        <f t="shared" si="2353"/>
        <v>89301000</v>
      </c>
      <c r="B10833" t="str">
        <f t="shared" si="2354"/>
        <v>89063000</v>
      </c>
      <c r="C10833" t="str">
        <f t="shared" si="2354"/>
        <v>89063000</v>
      </c>
      <c r="D10833" t="str">
        <f t="shared" si="2351"/>
        <v>809</v>
      </c>
      <c r="E10833" t="str">
        <f>"89301037"</f>
        <v>89301037</v>
      </c>
      <c r="F10833" t="str">
        <f>"6051151018"</f>
        <v>6051151018</v>
      </c>
      <c r="G10833" s="1">
        <v>44893</v>
      </c>
      <c r="H10833" t="str">
        <f t="shared" si="2352"/>
        <v>89312</v>
      </c>
      <c r="I10833">
        <v>3</v>
      </c>
      <c r="J10833">
        <v>906</v>
      </c>
      <c r="K10833">
        <v>0</v>
      </c>
      <c r="L10833">
        <v>951.3</v>
      </c>
    </row>
    <row r="10834" spans="1:12" x14ac:dyDescent="0.25">
      <c r="A10834" t="str">
        <f t="shared" si="2353"/>
        <v>89301000</v>
      </c>
      <c r="B10834" t="str">
        <f t="shared" si="2354"/>
        <v>89063000</v>
      </c>
      <c r="C10834" t="str">
        <f t="shared" si="2354"/>
        <v>89063000</v>
      </c>
      <c r="D10834" t="str">
        <f t="shared" si="2351"/>
        <v>809</v>
      </c>
      <c r="E10834" t="str">
        <f>"89301036"</f>
        <v>89301036</v>
      </c>
      <c r="F10834" t="str">
        <f>"9152065736"</f>
        <v>9152065736</v>
      </c>
      <c r="G10834" s="1">
        <v>44893</v>
      </c>
      <c r="H10834" t="str">
        <f t="shared" si="2352"/>
        <v>89312</v>
      </c>
      <c r="I10834">
        <v>3</v>
      </c>
      <c r="J10834">
        <v>906</v>
      </c>
      <c r="K10834">
        <v>0</v>
      </c>
      <c r="L10834">
        <v>951.3</v>
      </c>
    </row>
    <row r="10835" spans="1:12" x14ac:dyDescent="0.25">
      <c r="A10835" t="str">
        <f t="shared" si="2353"/>
        <v>89301000</v>
      </c>
      <c r="B10835" t="str">
        <f t="shared" si="2354"/>
        <v>89063000</v>
      </c>
      <c r="C10835" t="str">
        <f t="shared" si="2354"/>
        <v>89063000</v>
      </c>
      <c r="D10835" t="str">
        <f t="shared" si="2351"/>
        <v>809</v>
      </c>
      <c r="E10835" t="str">
        <f>"89301036"</f>
        <v>89301036</v>
      </c>
      <c r="F10835" t="str">
        <f>"6862170810"</f>
        <v>6862170810</v>
      </c>
      <c r="G10835" s="1">
        <v>44893</v>
      </c>
      <c r="H10835" t="str">
        <f t="shared" si="2352"/>
        <v>89312</v>
      </c>
      <c r="I10835">
        <v>3</v>
      </c>
      <c r="J10835">
        <v>906</v>
      </c>
      <c r="K10835">
        <v>0</v>
      </c>
      <c r="L10835">
        <v>951.3</v>
      </c>
    </row>
    <row r="10836" spans="1:12" x14ac:dyDescent="0.25">
      <c r="A10836" t="str">
        <f t="shared" si="2353"/>
        <v>89301000</v>
      </c>
      <c r="B10836" t="str">
        <f t="shared" si="2354"/>
        <v>89063000</v>
      </c>
      <c r="C10836" t="str">
        <f t="shared" si="2354"/>
        <v>89063000</v>
      </c>
      <c r="D10836" t="str">
        <f t="shared" si="2351"/>
        <v>809</v>
      </c>
      <c r="E10836" t="str">
        <f>"89301037"</f>
        <v>89301037</v>
      </c>
      <c r="F10836" t="str">
        <f>"425426454"</f>
        <v>425426454</v>
      </c>
      <c r="G10836" s="1">
        <v>44895</v>
      </c>
      <c r="H10836" t="str">
        <f t="shared" si="2352"/>
        <v>89312</v>
      </c>
      <c r="I10836">
        <v>3</v>
      </c>
      <c r="J10836">
        <v>906</v>
      </c>
      <c r="K10836">
        <v>0</v>
      </c>
      <c r="L10836">
        <v>951.3</v>
      </c>
    </row>
    <row r="10837" spans="1:12" x14ac:dyDescent="0.25">
      <c r="A10837" t="str">
        <f t="shared" si="2353"/>
        <v>89301000</v>
      </c>
      <c r="B10837" t="str">
        <f t="shared" si="2354"/>
        <v>89063000</v>
      </c>
      <c r="C10837" t="str">
        <f t="shared" si="2354"/>
        <v>89063000</v>
      </c>
      <c r="D10837" t="str">
        <f t="shared" si="2351"/>
        <v>809</v>
      </c>
      <c r="E10837" t="str">
        <f>"89301037"</f>
        <v>89301037</v>
      </c>
      <c r="F10837" t="str">
        <f>"6852220947"</f>
        <v>6852220947</v>
      </c>
      <c r="G10837" s="1">
        <v>44895</v>
      </c>
      <c r="H10837" t="str">
        <f t="shared" si="2352"/>
        <v>89312</v>
      </c>
      <c r="I10837">
        <v>3</v>
      </c>
      <c r="J10837">
        <v>906</v>
      </c>
      <c r="K10837">
        <v>0</v>
      </c>
      <c r="L10837">
        <v>951.3</v>
      </c>
    </row>
    <row r="10838" spans="1:12" x14ac:dyDescent="0.25">
      <c r="A10838" t="str">
        <f t="shared" si="2353"/>
        <v>89301000</v>
      </c>
      <c r="B10838" t="str">
        <f t="shared" si="2354"/>
        <v>89063000</v>
      </c>
      <c r="C10838" t="str">
        <f t="shared" si="2354"/>
        <v>89063000</v>
      </c>
      <c r="D10838" t="str">
        <f t="shared" si="2351"/>
        <v>809</v>
      </c>
      <c r="E10838" t="str">
        <f>"89301037"</f>
        <v>89301037</v>
      </c>
      <c r="F10838" t="str">
        <f>"7408161486"</f>
        <v>7408161486</v>
      </c>
      <c r="G10838" s="1">
        <v>44895</v>
      </c>
      <c r="H10838" t="str">
        <f t="shared" si="2352"/>
        <v>89312</v>
      </c>
      <c r="I10838">
        <v>3</v>
      </c>
      <c r="J10838">
        <v>906</v>
      </c>
      <c r="K10838">
        <v>0</v>
      </c>
      <c r="L10838">
        <v>951.3</v>
      </c>
    </row>
    <row r="10839" spans="1:12" x14ac:dyDescent="0.25">
      <c r="A10839" t="str">
        <f t="shared" si="2353"/>
        <v>89301000</v>
      </c>
      <c r="B10839" t="str">
        <f t="shared" si="2354"/>
        <v>89063000</v>
      </c>
      <c r="C10839" t="str">
        <f t="shared" si="2354"/>
        <v>89063000</v>
      </c>
      <c r="D10839" t="str">
        <f t="shared" si="2351"/>
        <v>809</v>
      </c>
      <c r="E10839" t="str">
        <f>"89301037"</f>
        <v>89301037</v>
      </c>
      <c r="F10839" t="str">
        <f>"505705294"</f>
        <v>505705294</v>
      </c>
      <c r="G10839" s="1">
        <v>44895</v>
      </c>
      <c r="H10839" t="str">
        <f t="shared" si="2352"/>
        <v>89312</v>
      </c>
      <c r="I10839">
        <v>3</v>
      </c>
      <c r="J10839">
        <v>906</v>
      </c>
      <c r="K10839">
        <v>0</v>
      </c>
      <c r="L10839">
        <v>951.3</v>
      </c>
    </row>
    <row r="10840" spans="1:12" x14ac:dyDescent="0.25">
      <c r="A10840" t="str">
        <f t="shared" si="2353"/>
        <v>89301000</v>
      </c>
      <c r="B10840" t="str">
        <f t="shared" si="2354"/>
        <v>89063000</v>
      </c>
      <c r="C10840" t="str">
        <f t="shared" si="2354"/>
        <v>89063000</v>
      </c>
      <c r="D10840" t="str">
        <f t="shared" si="2351"/>
        <v>809</v>
      </c>
      <c r="E10840" t="str">
        <f>"89301212"</f>
        <v>89301212</v>
      </c>
      <c r="F10840" t="str">
        <f>"7552094462"</f>
        <v>7552094462</v>
      </c>
      <c r="G10840" s="1">
        <v>44895</v>
      </c>
      <c r="H10840" t="str">
        <f t="shared" si="2352"/>
        <v>89312</v>
      </c>
      <c r="I10840">
        <v>3</v>
      </c>
      <c r="J10840">
        <v>906</v>
      </c>
      <c r="K10840">
        <v>0</v>
      </c>
      <c r="L10840">
        <v>951.3</v>
      </c>
    </row>
    <row r="10841" spans="1:12" x14ac:dyDescent="0.25">
      <c r="A10841" t="str">
        <f t="shared" si="2353"/>
        <v>89301000</v>
      </c>
      <c r="B10841" t="str">
        <f t="shared" si="2354"/>
        <v>89063000</v>
      </c>
      <c r="C10841" t="str">
        <f t="shared" si="2354"/>
        <v>89063000</v>
      </c>
      <c r="D10841" t="str">
        <f t="shared" si="2351"/>
        <v>809</v>
      </c>
      <c r="E10841" t="str">
        <f>"89301037"</f>
        <v>89301037</v>
      </c>
      <c r="F10841" t="str">
        <f>"8155135307"</f>
        <v>8155135307</v>
      </c>
      <c r="G10841" s="1">
        <v>44893</v>
      </c>
      <c r="H10841" t="str">
        <f t="shared" si="2352"/>
        <v>89312</v>
      </c>
      <c r="I10841">
        <v>3</v>
      </c>
      <c r="J10841">
        <v>906</v>
      </c>
      <c r="K10841">
        <v>0</v>
      </c>
      <c r="L10841">
        <v>951.3</v>
      </c>
    </row>
    <row r="10842" spans="1:12" x14ac:dyDescent="0.25">
      <c r="A10842" t="str">
        <f t="shared" si="2353"/>
        <v>89301000</v>
      </c>
      <c r="B10842" t="str">
        <f t="shared" si="2354"/>
        <v>89063000</v>
      </c>
      <c r="C10842" t="str">
        <f t="shared" si="2354"/>
        <v>89063000</v>
      </c>
      <c r="D10842" t="str">
        <f t="shared" si="2351"/>
        <v>809</v>
      </c>
      <c r="E10842" t="str">
        <f>"89301212"</f>
        <v>89301212</v>
      </c>
      <c r="F10842" t="str">
        <f>"7054234462"</f>
        <v>7054234462</v>
      </c>
      <c r="G10842" s="1">
        <v>44895</v>
      </c>
      <c r="H10842" t="str">
        <f t="shared" si="2352"/>
        <v>89312</v>
      </c>
      <c r="I10842">
        <v>3</v>
      </c>
      <c r="J10842">
        <v>906</v>
      </c>
      <c r="K10842">
        <v>0</v>
      </c>
      <c r="L10842">
        <v>951.3</v>
      </c>
    </row>
    <row r="10843" spans="1:12" x14ac:dyDescent="0.25">
      <c r="A10843" t="str">
        <f t="shared" si="2353"/>
        <v>89301000</v>
      </c>
      <c r="B10843" t="str">
        <f t="shared" ref="B10843:B10859" si="2355">"93501000"</f>
        <v>93501000</v>
      </c>
      <c r="C10843" t="str">
        <f t="shared" ref="C10843:C10858" si="2356">"93501001"</f>
        <v>93501001</v>
      </c>
      <c r="D10843" t="str">
        <f t="shared" ref="D10843:D10858" si="2357">"801"</f>
        <v>801</v>
      </c>
      <c r="E10843" t="str">
        <f t="shared" ref="E10843:E10859" si="2358">"89301167"</f>
        <v>89301167</v>
      </c>
      <c r="F10843" t="str">
        <f t="shared" ref="F10843:F10859" si="2359">"470127462"</f>
        <v>470127462</v>
      </c>
      <c r="G10843" s="1">
        <v>44883</v>
      </c>
      <c r="H10843" t="str">
        <f>"81337"</f>
        <v>81337</v>
      </c>
      <c r="I10843">
        <v>1</v>
      </c>
      <c r="J10843">
        <v>19</v>
      </c>
      <c r="K10843">
        <v>0</v>
      </c>
      <c r="L10843">
        <v>14.82</v>
      </c>
    </row>
    <row r="10844" spans="1:12" x14ac:dyDescent="0.25">
      <c r="A10844" t="str">
        <f t="shared" si="2353"/>
        <v>89301000</v>
      </c>
      <c r="B10844" t="str">
        <f t="shared" si="2355"/>
        <v>93501000</v>
      </c>
      <c r="C10844" t="str">
        <f t="shared" si="2356"/>
        <v>93501001</v>
      </c>
      <c r="D10844" t="str">
        <f t="shared" si="2357"/>
        <v>801</v>
      </c>
      <c r="E10844" t="str">
        <f t="shared" si="2358"/>
        <v>89301167</v>
      </c>
      <c r="F10844" t="str">
        <f t="shared" si="2359"/>
        <v>470127462</v>
      </c>
      <c r="G10844" s="1">
        <v>44883</v>
      </c>
      <c r="H10844" t="str">
        <f>"81357"</f>
        <v>81357</v>
      </c>
      <c r="I10844">
        <v>1</v>
      </c>
      <c r="J10844">
        <v>19</v>
      </c>
      <c r="K10844">
        <v>0</v>
      </c>
      <c r="L10844">
        <v>14.82</v>
      </c>
    </row>
    <row r="10845" spans="1:12" x14ac:dyDescent="0.25">
      <c r="A10845" t="str">
        <f t="shared" si="2353"/>
        <v>89301000</v>
      </c>
      <c r="B10845" t="str">
        <f t="shared" si="2355"/>
        <v>93501000</v>
      </c>
      <c r="C10845" t="str">
        <f t="shared" si="2356"/>
        <v>93501001</v>
      </c>
      <c r="D10845" t="str">
        <f t="shared" si="2357"/>
        <v>801</v>
      </c>
      <c r="E10845" t="str">
        <f t="shared" si="2358"/>
        <v>89301167</v>
      </c>
      <c r="F10845" t="str">
        <f t="shared" si="2359"/>
        <v>470127462</v>
      </c>
      <c r="G10845" s="1">
        <v>44883</v>
      </c>
      <c r="H10845" t="str">
        <f>"81365"</f>
        <v>81365</v>
      </c>
      <c r="I10845">
        <v>1</v>
      </c>
      <c r="J10845">
        <v>16</v>
      </c>
      <c r="K10845">
        <v>0</v>
      </c>
      <c r="L10845">
        <v>12.48</v>
      </c>
    </row>
    <row r="10846" spans="1:12" x14ac:dyDescent="0.25">
      <c r="A10846" t="str">
        <f t="shared" si="2353"/>
        <v>89301000</v>
      </c>
      <c r="B10846" t="str">
        <f t="shared" si="2355"/>
        <v>93501000</v>
      </c>
      <c r="C10846" t="str">
        <f t="shared" si="2356"/>
        <v>93501001</v>
      </c>
      <c r="D10846" t="str">
        <f t="shared" si="2357"/>
        <v>801</v>
      </c>
      <c r="E10846" t="str">
        <f t="shared" si="2358"/>
        <v>89301167</v>
      </c>
      <c r="F10846" t="str">
        <f t="shared" si="2359"/>
        <v>470127462</v>
      </c>
      <c r="G10846" s="1">
        <v>44883</v>
      </c>
      <c r="H10846" t="str">
        <f>"81383"</f>
        <v>81383</v>
      </c>
      <c r="I10846">
        <v>1</v>
      </c>
      <c r="J10846">
        <v>23</v>
      </c>
      <c r="K10846">
        <v>0</v>
      </c>
      <c r="L10846">
        <v>17.940000000000001</v>
      </c>
    </row>
    <row r="10847" spans="1:12" x14ac:dyDescent="0.25">
      <c r="A10847" t="str">
        <f t="shared" si="2353"/>
        <v>89301000</v>
      </c>
      <c r="B10847" t="str">
        <f t="shared" si="2355"/>
        <v>93501000</v>
      </c>
      <c r="C10847" t="str">
        <f t="shared" si="2356"/>
        <v>93501001</v>
      </c>
      <c r="D10847" t="str">
        <f t="shared" si="2357"/>
        <v>801</v>
      </c>
      <c r="E10847" t="str">
        <f t="shared" si="2358"/>
        <v>89301167</v>
      </c>
      <c r="F10847" t="str">
        <f t="shared" si="2359"/>
        <v>470127462</v>
      </c>
      <c r="G10847" s="1">
        <v>44883</v>
      </c>
      <c r="H10847" t="str">
        <f>"81393"</f>
        <v>81393</v>
      </c>
      <c r="I10847">
        <v>1</v>
      </c>
      <c r="J10847">
        <v>24</v>
      </c>
      <c r="K10847">
        <v>0</v>
      </c>
      <c r="L10847">
        <v>18.72</v>
      </c>
    </row>
    <row r="10848" spans="1:12" x14ac:dyDescent="0.25">
      <c r="A10848" t="str">
        <f t="shared" si="2353"/>
        <v>89301000</v>
      </c>
      <c r="B10848" t="str">
        <f t="shared" si="2355"/>
        <v>93501000</v>
      </c>
      <c r="C10848" t="str">
        <f t="shared" si="2356"/>
        <v>93501001</v>
      </c>
      <c r="D10848" t="str">
        <f t="shared" si="2357"/>
        <v>801</v>
      </c>
      <c r="E10848" t="str">
        <f t="shared" si="2358"/>
        <v>89301167</v>
      </c>
      <c r="F10848" t="str">
        <f t="shared" si="2359"/>
        <v>470127462</v>
      </c>
      <c r="G10848" s="1">
        <v>44883</v>
      </c>
      <c r="H10848" t="str">
        <f>"81421"</f>
        <v>81421</v>
      </c>
      <c r="I10848">
        <v>1</v>
      </c>
      <c r="J10848">
        <v>19</v>
      </c>
      <c r="K10848">
        <v>0</v>
      </c>
      <c r="L10848">
        <v>14.82</v>
      </c>
    </row>
    <row r="10849" spans="1:12" x14ac:dyDescent="0.25">
      <c r="A10849" t="str">
        <f t="shared" si="2353"/>
        <v>89301000</v>
      </c>
      <c r="B10849" t="str">
        <f t="shared" si="2355"/>
        <v>93501000</v>
      </c>
      <c r="C10849" t="str">
        <f t="shared" si="2356"/>
        <v>93501001</v>
      </c>
      <c r="D10849" t="str">
        <f t="shared" si="2357"/>
        <v>801</v>
      </c>
      <c r="E10849" t="str">
        <f t="shared" si="2358"/>
        <v>89301167</v>
      </c>
      <c r="F10849" t="str">
        <f t="shared" si="2359"/>
        <v>470127462</v>
      </c>
      <c r="G10849" s="1">
        <v>44883</v>
      </c>
      <c r="H10849" t="str">
        <f>"81435"</f>
        <v>81435</v>
      </c>
      <c r="I10849">
        <v>1</v>
      </c>
      <c r="J10849">
        <v>22</v>
      </c>
      <c r="K10849">
        <v>0</v>
      </c>
      <c r="L10849">
        <v>17.16</v>
      </c>
    </row>
    <row r="10850" spans="1:12" x14ac:dyDescent="0.25">
      <c r="A10850" t="str">
        <f t="shared" si="2353"/>
        <v>89301000</v>
      </c>
      <c r="B10850" t="str">
        <f t="shared" si="2355"/>
        <v>93501000</v>
      </c>
      <c r="C10850" t="str">
        <f t="shared" si="2356"/>
        <v>93501001</v>
      </c>
      <c r="D10850" t="str">
        <f t="shared" si="2357"/>
        <v>801</v>
      </c>
      <c r="E10850" t="str">
        <f t="shared" si="2358"/>
        <v>89301167</v>
      </c>
      <c r="F10850" t="str">
        <f t="shared" si="2359"/>
        <v>470127462</v>
      </c>
      <c r="G10850" s="1">
        <v>44883</v>
      </c>
      <c r="H10850" t="str">
        <f>"81439"</f>
        <v>81439</v>
      </c>
      <c r="I10850">
        <v>1</v>
      </c>
      <c r="J10850">
        <v>16</v>
      </c>
      <c r="K10850">
        <v>0</v>
      </c>
      <c r="L10850">
        <v>12.48</v>
      </c>
    </row>
    <row r="10851" spans="1:12" x14ac:dyDescent="0.25">
      <c r="A10851" t="str">
        <f t="shared" si="2353"/>
        <v>89301000</v>
      </c>
      <c r="B10851" t="str">
        <f t="shared" si="2355"/>
        <v>93501000</v>
      </c>
      <c r="C10851" t="str">
        <f t="shared" si="2356"/>
        <v>93501001</v>
      </c>
      <c r="D10851" t="str">
        <f t="shared" si="2357"/>
        <v>801</v>
      </c>
      <c r="E10851" t="str">
        <f t="shared" si="2358"/>
        <v>89301167</v>
      </c>
      <c r="F10851" t="str">
        <f t="shared" si="2359"/>
        <v>470127462</v>
      </c>
      <c r="G10851" s="1">
        <v>44883</v>
      </c>
      <c r="H10851" t="str">
        <f>"81469"</f>
        <v>81469</v>
      </c>
      <c r="I10851">
        <v>1</v>
      </c>
      <c r="J10851">
        <v>16</v>
      </c>
      <c r="K10851">
        <v>0</v>
      </c>
      <c r="L10851">
        <v>12.48</v>
      </c>
    </row>
    <row r="10852" spans="1:12" x14ac:dyDescent="0.25">
      <c r="A10852" t="str">
        <f t="shared" si="2353"/>
        <v>89301000</v>
      </c>
      <c r="B10852" t="str">
        <f t="shared" si="2355"/>
        <v>93501000</v>
      </c>
      <c r="C10852" t="str">
        <f t="shared" si="2356"/>
        <v>93501001</v>
      </c>
      <c r="D10852" t="str">
        <f t="shared" si="2357"/>
        <v>801</v>
      </c>
      <c r="E10852" t="str">
        <f t="shared" si="2358"/>
        <v>89301167</v>
      </c>
      <c r="F10852" t="str">
        <f t="shared" si="2359"/>
        <v>470127462</v>
      </c>
      <c r="G10852" s="1">
        <v>44883</v>
      </c>
      <c r="H10852" t="str">
        <f>"81499"</f>
        <v>81499</v>
      </c>
      <c r="I10852">
        <v>1</v>
      </c>
      <c r="J10852">
        <v>18</v>
      </c>
      <c r="K10852">
        <v>0</v>
      </c>
      <c r="L10852">
        <v>14.04</v>
      </c>
    </row>
    <row r="10853" spans="1:12" x14ac:dyDescent="0.25">
      <c r="A10853" t="str">
        <f t="shared" si="2353"/>
        <v>89301000</v>
      </c>
      <c r="B10853" t="str">
        <f t="shared" si="2355"/>
        <v>93501000</v>
      </c>
      <c r="C10853" t="str">
        <f t="shared" si="2356"/>
        <v>93501001</v>
      </c>
      <c r="D10853" t="str">
        <f t="shared" si="2357"/>
        <v>801</v>
      </c>
      <c r="E10853" t="str">
        <f t="shared" si="2358"/>
        <v>89301167</v>
      </c>
      <c r="F10853" t="str">
        <f t="shared" si="2359"/>
        <v>470127462</v>
      </c>
      <c r="G10853" s="1">
        <v>44883</v>
      </c>
      <c r="H10853" t="str">
        <f>"81593"</f>
        <v>81593</v>
      </c>
      <c r="I10853">
        <v>1</v>
      </c>
      <c r="J10853">
        <v>22</v>
      </c>
      <c r="K10853">
        <v>0</v>
      </c>
      <c r="L10853">
        <v>17.16</v>
      </c>
    </row>
    <row r="10854" spans="1:12" x14ac:dyDescent="0.25">
      <c r="A10854" t="str">
        <f t="shared" si="2353"/>
        <v>89301000</v>
      </c>
      <c r="B10854" t="str">
        <f t="shared" si="2355"/>
        <v>93501000</v>
      </c>
      <c r="C10854" t="str">
        <f t="shared" si="2356"/>
        <v>93501001</v>
      </c>
      <c r="D10854" t="str">
        <f t="shared" si="2357"/>
        <v>801</v>
      </c>
      <c r="E10854" t="str">
        <f t="shared" si="2358"/>
        <v>89301167</v>
      </c>
      <c r="F10854" t="str">
        <f t="shared" si="2359"/>
        <v>470127462</v>
      </c>
      <c r="G10854" s="1">
        <v>44883</v>
      </c>
      <c r="H10854" t="str">
        <f>"81621"</f>
        <v>81621</v>
      </c>
      <c r="I10854">
        <v>1</v>
      </c>
      <c r="J10854">
        <v>19</v>
      </c>
      <c r="K10854">
        <v>0</v>
      </c>
      <c r="L10854">
        <v>14.82</v>
      </c>
    </row>
    <row r="10855" spans="1:12" x14ac:dyDescent="0.25">
      <c r="A10855" t="str">
        <f t="shared" si="2353"/>
        <v>89301000</v>
      </c>
      <c r="B10855" t="str">
        <f t="shared" si="2355"/>
        <v>93501000</v>
      </c>
      <c r="C10855" t="str">
        <f t="shared" si="2356"/>
        <v>93501001</v>
      </c>
      <c r="D10855" t="str">
        <f t="shared" si="2357"/>
        <v>801</v>
      </c>
      <c r="E10855" t="str">
        <f t="shared" si="2358"/>
        <v>89301167</v>
      </c>
      <c r="F10855" t="str">
        <f t="shared" si="2359"/>
        <v>470127462</v>
      </c>
      <c r="G10855" s="1">
        <v>44883</v>
      </c>
      <c r="H10855" t="str">
        <f>"91153"</f>
        <v>91153</v>
      </c>
      <c r="I10855">
        <v>1</v>
      </c>
      <c r="J10855">
        <v>152</v>
      </c>
      <c r="K10855">
        <v>0</v>
      </c>
      <c r="L10855">
        <v>118.56</v>
      </c>
    </row>
    <row r="10856" spans="1:12" x14ac:dyDescent="0.25">
      <c r="A10856" t="str">
        <f t="shared" si="2353"/>
        <v>89301000</v>
      </c>
      <c r="B10856" t="str">
        <f t="shared" si="2355"/>
        <v>93501000</v>
      </c>
      <c r="C10856" t="str">
        <f t="shared" si="2356"/>
        <v>93501001</v>
      </c>
      <c r="D10856" t="str">
        <f t="shared" si="2357"/>
        <v>801</v>
      </c>
      <c r="E10856" t="str">
        <f t="shared" si="2358"/>
        <v>89301167</v>
      </c>
      <c r="F10856" t="str">
        <f t="shared" si="2359"/>
        <v>470127462</v>
      </c>
      <c r="G10856" s="1">
        <v>44883</v>
      </c>
      <c r="H10856" t="str">
        <f>"93189"</f>
        <v>93189</v>
      </c>
      <c r="I10856">
        <v>1</v>
      </c>
      <c r="J10856">
        <v>189</v>
      </c>
      <c r="K10856">
        <v>0</v>
      </c>
      <c r="L10856">
        <v>147.41999999999999</v>
      </c>
    </row>
    <row r="10857" spans="1:12" x14ac:dyDescent="0.25">
      <c r="A10857" t="str">
        <f t="shared" si="2353"/>
        <v>89301000</v>
      </c>
      <c r="B10857" t="str">
        <f t="shared" si="2355"/>
        <v>93501000</v>
      </c>
      <c r="C10857" t="str">
        <f t="shared" si="2356"/>
        <v>93501001</v>
      </c>
      <c r="D10857" t="str">
        <f t="shared" si="2357"/>
        <v>801</v>
      </c>
      <c r="E10857" t="str">
        <f t="shared" si="2358"/>
        <v>89301167</v>
      </c>
      <c r="F10857" t="str">
        <f t="shared" si="2359"/>
        <v>470127462</v>
      </c>
      <c r="G10857" s="1">
        <v>44883</v>
      </c>
      <c r="H10857" t="str">
        <f>"93195"</f>
        <v>93195</v>
      </c>
      <c r="I10857">
        <v>1</v>
      </c>
      <c r="J10857">
        <v>181</v>
      </c>
      <c r="K10857">
        <v>0</v>
      </c>
      <c r="L10857">
        <v>141.18</v>
      </c>
    </row>
    <row r="10858" spans="1:12" x14ac:dyDescent="0.25">
      <c r="A10858" t="str">
        <f t="shared" si="2353"/>
        <v>89301000</v>
      </c>
      <c r="B10858" t="str">
        <f t="shared" si="2355"/>
        <v>93501000</v>
      </c>
      <c r="C10858" t="str">
        <f t="shared" si="2356"/>
        <v>93501001</v>
      </c>
      <c r="D10858" t="str">
        <f t="shared" si="2357"/>
        <v>801</v>
      </c>
      <c r="E10858" t="str">
        <f t="shared" si="2358"/>
        <v>89301167</v>
      </c>
      <c r="F10858" t="str">
        <f t="shared" si="2359"/>
        <v>470127462</v>
      </c>
      <c r="G10858" s="1">
        <v>44883</v>
      </c>
      <c r="H10858" t="str">
        <f>"97111"</f>
        <v>97111</v>
      </c>
      <c r="I10858">
        <v>1</v>
      </c>
      <c r="J10858">
        <v>18</v>
      </c>
      <c r="K10858">
        <v>0</v>
      </c>
      <c r="L10858">
        <v>14.04</v>
      </c>
    </row>
    <row r="10859" spans="1:12" x14ac:dyDescent="0.25">
      <c r="A10859" t="str">
        <f t="shared" si="2353"/>
        <v>89301000</v>
      </c>
      <c r="B10859" t="str">
        <f t="shared" si="2355"/>
        <v>93501000</v>
      </c>
      <c r="C10859" t="str">
        <f>"93501005"</f>
        <v>93501005</v>
      </c>
      <c r="D10859" t="str">
        <f>"818"</f>
        <v>818</v>
      </c>
      <c r="E10859" t="str">
        <f t="shared" si="2358"/>
        <v>89301167</v>
      </c>
      <c r="F10859" t="str">
        <f t="shared" si="2359"/>
        <v>470127462</v>
      </c>
      <c r="G10859" s="1">
        <v>44883</v>
      </c>
      <c r="H10859" t="str">
        <f>"96167"</f>
        <v>96167</v>
      </c>
      <c r="I10859">
        <v>1</v>
      </c>
      <c r="J10859">
        <v>67</v>
      </c>
      <c r="K10859">
        <v>0</v>
      </c>
      <c r="L10859">
        <v>60.97</v>
      </c>
    </row>
    <row r="10860" spans="1:12" x14ac:dyDescent="0.25">
      <c r="A10860" t="str">
        <f t="shared" si="2353"/>
        <v>89301000</v>
      </c>
      <c r="B10860" t="str">
        <f>"89434000"</f>
        <v>89434000</v>
      </c>
      <c r="C10860" t="str">
        <f>"89434000"</f>
        <v>89434000</v>
      </c>
      <c r="D10860" t="str">
        <f>"809"</f>
        <v>809</v>
      </c>
      <c r="E10860" t="str">
        <f>"89301172"</f>
        <v>89301172</v>
      </c>
      <c r="F10860" t="str">
        <f>"6053310835"</f>
        <v>6053310835</v>
      </c>
      <c r="G10860" s="1">
        <v>44880</v>
      </c>
      <c r="H10860" t="str">
        <f>"89123"</f>
        <v>89123</v>
      </c>
      <c r="I10860">
        <v>2</v>
      </c>
      <c r="J10860">
        <v>278</v>
      </c>
      <c r="K10860">
        <v>0</v>
      </c>
      <c r="L10860">
        <v>389.2</v>
      </c>
    </row>
    <row r="10861" spans="1:12" x14ac:dyDescent="0.25">
      <c r="A10861" t="str">
        <f t="shared" si="2353"/>
        <v>89301000</v>
      </c>
      <c r="B10861" t="str">
        <f t="shared" ref="B10861:C10875" si="2360">"87669000"</f>
        <v>87669000</v>
      </c>
      <c r="C10861" t="str">
        <f t="shared" si="2360"/>
        <v>87669000</v>
      </c>
      <c r="D10861" t="str">
        <f t="shared" ref="D10861:D10878" si="2361">"801"</f>
        <v>801</v>
      </c>
      <c r="E10861" t="str">
        <f t="shared" ref="E10861:E10878" si="2362">"89301167"</f>
        <v>89301167</v>
      </c>
      <c r="F10861" t="str">
        <f t="shared" ref="F10861:F10878" si="2363">"480710460"</f>
        <v>480710460</v>
      </c>
      <c r="G10861" s="1">
        <v>44893</v>
      </c>
      <c r="H10861" t="str">
        <f>"81337"</f>
        <v>81337</v>
      </c>
      <c r="I10861">
        <v>1</v>
      </c>
      <c r="J10861">
        <v>19</v>
      </c>
      <c r="K10861">
        <v>0</v>
      </c>
      <c r="L10861">
        <v>14.82</v>
      </c>
    </row>
    <row r="10862" spans="1:12" x14ac:dyDescent="0.25">
      <c r="A10862" t="str">
        <f t="shared" si="2353"/>
        <v>89301000</v>
      </c>
      <c r="B10862" t="str">
        <f t="shared" si="2360"/>
        <v>87669000</v>
      </c>
      <c r="C10862" t="str">
        <f t="shared" si="2360"/>
        <v>87669000</v>
      </c>
      <c r="D10862" t="str">
        <f t="shared" si="2361"/>
        <v>801</v>
      </c>
      <c r="E10862" t="str">
        <f t="shared" si="2362"/>
        <v>89301167</v>
      </c>
      <c r="F10862" t="str">
        <f t="shared" si="2363"/>
        <v>480710460</v>
      </c>
      <c r="G10862" s="1">
        <v>44893</v>
      </c>
      <c r="H10862" t="str">
        <f>"81357"</f>
        <v>81357</v>
      </c>
      <c r="I10862">
        <v>1</v>
      </c>
      <c r="J10862">
        <v>19</v>
      </c>
      <c r="K10862">
        <v>0</v>
      </c>
      <c r="L10862">
        <v>14.82</v>
      </c>
    </row>
    <row r="10863" spans="1:12" x14ac:dyDescent="0.25">
      <c r="A10863" t="str">
        <f t="shared" si="2353"/>
        <v>89301000</v>
      </c>
      <c r="B10863" t="str">
        <f t="shared" si="2360"/>
        <v>87669000</v>
      </c>
      <c r="C10863" t="str">
        <f t="shared" si="2360"/>
        <v>87669000</v>
      </c>
      <c r="D10863" t="str">
        <f t="shared" si="2361"/>
        <v>801</v>
      </c>
      <c r="E10863" t="str">
        <f t="shared" si="2362"/>
        <v>89301167</v>
      </c>
      <c r="F10863" t="str">
        <f t="shared" si="2363"/>
        <v>480710460</v>
      </c>
      <c r="G10863" s="1">
        <v>44893</v>
      </c>
      <c r="H10863" t="str">
        <f>"81361"</f>
        <v>81361</v>
      </c>
      <c r="I10863">
        <v>1</v>
      </c>
      <c r="J10863">
        <v>17</v>
      </c>
      <c r="K10863">
        <v>0</v>
      </c>
      <c r="L10863">
        <v>13.26</v>
      </c>
    </row>
    <row r="10864" spans="1:12" x14ac:dyDescent="0.25">
      <c r="A10864" t="str">
        <f t="shared" si="2353"/>
        <v>89301000</v>
      </c>
      <c r="B10864" t="str">
        <f t="shared" si="2360"/>
        <v>87669000</v>
      </c>
      <c r="C10864" t="str">
        <f t="shared" si="2360"/>
        <v>87669000</v>
      </c>
      <c r="D10864" t="str">
        <f t="shared" si="2361"/>
        <v>801</v>
      </c>
      <c r="E10864" t="str">
        <f t="shared" si="2362"/>
        <v>89301167</v>
      </c>
      <c r="F10864" t="str">
        <f t="shared" si="2363"/>
        <v>480710460</v>
      </c>
      <c r="G10864" s="1">
        <v>44893</v>
      </c>
      <c r="H10864" t="str">
        <f>"81393"</f>
        <v>81393</v>
      </c>
      <c r="I10864">
        <v>1</v>
      </c>
      <c r="J10864">
        <v>24</v>
      </c>
      <c r="K10864">
        <v>0</v>
      </c>
      <c r="L10864">
        <v>18.72</v>
      </c>
    </row>
    <row r="10865" spans="1:12" x14ac:dyDescent="0.25">
      <c r="A10865" t="str">
        <f t="shared" si="2353"/>
        <v>89301000</v>
      </c>
      <c r="B10865" t="str">
        <f t="shared" si="2360"/>
        <v>87669000</v>
      </c>
      <c r="C10865" t="str">
        <f t="shared" si="2360"/>
        <v>87669000</v>
      </c>
      <c r="D10865" t="str">
        <f t="shared" si="2361"/>
        <v>801</v>
      </c>
      <c r="E10865" t="str">
        <f t="shared" si="2362"/>
        <v>89301167</v>
      </c>
      <c r="F10865" t="str">
        <f t="shared" si="2363"/>
        <v>480710460</v>
      </c>
      <c r="G10865" s="1">
        <v>44893</v>
      </c>
      <c r="H10865" t="str">
        <f>"81421"</f>
        <v>81421</v>
      </c>
      <c r="I10865">
        <v>1</v>
      </c>
      <c r="J10865">
        <v>19</v>
      </c>
      <c r="K10865">
        <v>0</v>
      </c>
      <c r="L10865">
        <v>14.82</v>
      </c>
    </row>
    <row r="10866" spans="1:12" x14ac:dyDescent="0.25">
      <c r="A10866" t="str">
        <f t="shared" si="2353"/>
        <v>89301000</v>
      </c>
      <c r="B10866" t="str">
        <f t="shared" si="2360"/>
        <v>87669000</v>
      </c>
      <c r="C10866" t="str">
        <f t="shared" si="2360"/>
        <v>87669000</v>
      </c>
      <c r="D10866" t="str">
        <f t="shared" si="2361"/>
        <v>801</v>
      </c>
      <c r="E10866" t="str">
        <f t="shared" si="2362"/>
        <v>89301167</v>
      </c>
      <c r="F10866" t="str">
        <f t="shared" si="2363"/>
        <v>480710460</v>
      </c>
      <c r="G10866" s="1">
        <v>44893</v>
      </c>
      <c r="H10866" t="str">
        <f>"81435"</f>
        <v>81435</v>
      </c>
      <c r="I10866">
        <v>1</v>
      </c>
      <c r="J10866">
        <v>22</v>
      </c>
      <c r="K10866">
        <v>0</v>
      </c>
      <c r="L10866">
        <v>17.16</v>
      </c>
    </row>
    <row r="10867" spans="1:12" x14ac:dyDescent="0.25">
      <c r="A10867" t="str">
        <f t="shared" si="2353"/>
        <v>89301000</v>
      </c>
      <c r="B10867" t="str">
        <f t="shared" si="2360"/>
        <v>87669000</v>
      </c>
      <c r="C10867" t="str">
        <f t="shared" si="2360"/>
        <v>87669000</v>
      </c>
      <c r="D10867" t="str">
        <f t="shared" si="2361"/>
        <v>801</v>
      </c>
      <c r="E10867" t="str">
        <f t="shared" si="2362"/>
        <v>89301167</v>
      </c>
      <c r="F10867" t="str">
        <f t="shared" si="2363"/>
        <v>480710460</v>
      </c>
      <c r="G10867" s="1">
        <v>44893</v>
      </c>
      <c r="H10867" t="str">
        <f>"81439"</f>
        <v>81439</v>
      </c>
      <c r="I10867">
        <v>1</v>
      </c>
      <c r="J10867">
        <v>16</v>
      </c>
      <c r="K10867">
        <v>0</v>
      </c>
      <c r="L10867">
        <v>12.48</v>
      </c>
    </row>
    <row r="10868" spans="1:12" x14ac:dyDescent="0.25">
      <c r="A10868" t="str">
        <f t="shared" si="2353"/>
        <v>89301000</v>
      </c>
      <c r="B10868" t="str">
        <f t="shared" si="2360"/>
        <v>87669000</v>
      </c>
      <c r="C10868" t="str">
        <f t="shared" si="2360"/>
        <v>87669000</v>
      </c>
      <c r="D10868" t="str">
        <f t="shared" si="2361"/>
        <v>801</v>
      </c>
      <c r="E10868" t="str">
        <f t="shared" si="2362"/>
        <v>89301167</v>
      </c>
      <c r="F10868" t="str">
        <f t="shared" si="2363"/>
        <v>480710460</v>
      </c>
      <c r="G10868" s="1">
        <v>44893</v>
      </c>
      <c r="H10868" t="str">
        <f>"81469"</f>
        <v>81469</v>
      </c>
      <c r="I10868">
        <v>1</v>
      </c>
      <c r="J10868">
        <v>16</v>
      </c>
      <c r="K10868">
        <v>0</v>
      </c>
      <c r="L10868">
        <v>12.48</v>
      </c>
    </row>
    <row r="10869" spans="1:12" x14ac:dyDescent="0.25">
      <c r="A10869" t="str">
        <f t="shared" si="2353"/>
        <v>89301000</v>
      </c>
      <c r="B10869" t="str">
        <f t="shared" si="2360"/>
        <v>87669000</v>
      </c>
      <c r="C10869" t="str">
        <f t="shared" si="2360"/>
        <v>87669000</v>
      </c>
      <c r="D10869" t="str">
        <f t="shared" si="2361"/>
        <v>801</v>
      </c>
      <c r="E10869" t="str">
        <f t="shared" si="2362"/>
        <v>89301167</v>
      </c>
      <c r="F10869" t="str">
        <f t="shared" si="2363"/>
        <v>480710460</v>
      </c>
      <c r="G10869" s="1">
        <v>44893</v>
      </c>
      <c r="H10869" t="str">
        <f>"81499"</f>
        <v>81499</v>
      </c>
      <c r="I10869">
        <v>1</v>
      </c>
      <c r="J10869">
        <v>18</v>
      </c>
      <c r="K10869">
        <v>0</v>
      </c>
      <c r="L10869">
        <v>14.04</v>
      </c>
    </row>
    <row r="10870" spans="1:12" x14ac:dyDescent="0.25">
      <c r="A10870" t="str">
        <f t="shared" si="2353"/>
        <v>89301000</v>
      </c>
      <c r="B10870" t="str">
        <f t="shared" si="2360"/>
        <v>87669000</v>
      </c>
      <c r="C10870" t="str">
        <f t="shared" si="2360"/>
        <v>87669000</v>
      </c>
      <c r="D10870" t="str">
        <f t="shared" si="2361"/>
        <v>801</v>
      </c>
      <c r="E10870" t="str">
        <f t="shared" si="2362"/>
        <v>89301167</v>
      </c>
      <c r="F10870" t="str">
        <f t="shared" si="2363"/>
        <v>480710460</v>
      </c>
      <c r="G10870" s="1">
        <v>44893</v>
      </c>
      <c r="H10870" t="str">
        <f>"81523"</f>
        <v>81523</v>
      </c>
      <c r="I10870">
        <v>1</v>
      </c>
      <c r="J10870">
        <v>23</v>
      </c>
      <c r="K10870">
        <v>0</v>
      </c>
      <c r="L10870">
        <v>17.940000000000001</v>
      </c>
    </row>
    <row r="10871" spans="1:12" x14ac:dyDescent="0.25">
      <c r="A10871" t="str">
        <f t="shared" si="2353"/>
        <v>89301000</v>
      </c>
      <c r="B10871" t="str">
        <f t="shared" si="2360"/>
        <v>87669000</v>
      </c>
      <c r="C10871" t="str">
        <f t="shared" si="2360"/>
        <v>87669000</v>
      </c>
      <c r="D10871" t="str">
        <f t="shared" si="2361"/>
        <v>801</v>
      </c>
      <c r="E10871" t="str">
        <f t="shared" si="2362"/>
        <v>89301167</v>
      </c>
      <c r="F10871" t="str">
        <f t="shared" si="2363"/>
        <v>480710460</v>
      </c>
      <c r="G10871" s="1">
        <v>44893</v>
      </c>
      <c r="H10871" t="str">
        <f>"81593"</f>
        <v>81593</v>
      </c>
      <c r="I10871">
        <v>1</v>
      </c>
      <c r="J10871">
        <v>22</v>
      </c>
      <c r="K10871">
        <v>0</v>
      </c>
      <c r="L10871">
        <v>17.16</v>
      </c>
    </row>
    <row r="10872" spans="1:12" x14ac:dyDescent="0.25">
      <c r="A10872" t="str">
        <f t="shared" si="2353"/>
        <v>89301000</v>
      </c>
      <c r="B10872" t="str">
        <f t="shared" si="2360"/>
        <v>87669000</v>
      </c>
      <c r="C10872" t="str">
        <f t="shared" si="2360"/>
        <v>87669000</v>
      </c>
      <c r="D10872" t="str">
        <f t="shared" si="2361"/>
        <v>801</v>
      </c>
      <c r="E10872" t="str">
        <f t="shared" si="2362"/>
        <v>89301167</v>
      </c>
      <c r="F10872" t="str">
        <f t="shared" si="2363"/>
        <v>480710460</v>
      </c>
      <c r="G10872" s="1">
        <v>44893</v>
      </c>
      <c r="H10872" t="str">
        <f>"81621"</f>
        <v>81621</v>
      </c>
      <c r="I10872">
        <v>1</v>
      </c>
      <c r="J10872">
        <v>19</v>
      </c>
      <c r="K10872">
        <v>0</v>
      </c>
      <c r="L10872">
        <v>14.82</v>
      </c>
    </row>
    <row r="10873" spans="1:12" x14ac:dyDescent="0.25">
      <c r="A10873" t="str">
        <f t="shared" si="2353"/>
        <v>89301000</v>
      </c>
      <c r="B10873" t="str">
        <f t="shared" si="2360"/>
        <v>87669000</v>
      </c>
      <c r="C10873" t="str">
        <f t="shared" si="2360"/>
        <v>87669000</v>
      </c>
      <c r="D10873" t="str">
        <f t="shared" si="2361"/>
        <v>801</v>
      </c>
      <c r="E10873" t="str">
        <f t="shared" si="2362"/>
        <v>89301167</v>
      </c>
      <c r="F10873" t="str">
        <f t="shared" si="2363"/>
        <v>480710460</v>
      </c>
      <c r="G10873" s="1">
        <v>44893</v>
      </c>
      <c r="H10873" t="str">
        <f>"81625"</f>
        <v>81625</v>
      </c>
      <c r="I10873">
        <v>1</v>
      </c>
      <c r="J10873">
        <v>20</v>
      </c>
      <c r="K10873">
        <v>0</v>
      </c>
      <c r="L10873">
        <v>15.6</v>
      </c>
    </row>
    <row r="10874" spans="1:12" x14ac:dyDescent="0.25">
      <c r="A10874" t="str">
        <f t="shared" si="2353"/>
        <v>89301000</v>
      </c>
      <c r="B10874" t="str">
        <f t="shared" si="2360"/>
        <v>87669000</v>
      </c>
      <c r="C10874" t="str">
        <f t="shared" si="2360"/>
        <v>87669000</v>
      </c>
      <c r="D10874" t="str">
        <f t="shared" si="2361"/>
        <v>801</v>
      </c>
      <c r="E10874" t="str">
        <f t="shared" si="2362"/>
        <v>89301167</v>
      </c>
      <c r="F10874" t="str">
        <f t="shared" si="2363"/>
        <v>480710460</v>
      </c>
      <c r="G10874" s="1">
        <v>44893</v>
      </c>
      <c r="H10874" t="str">
        <f>"96167"</f>
        <v>96167</v>
      </c>
      <c r="I10874">
        <v>1</v>
      </c>
      <c r="J10874">
        <v>67</v>
      </c>
      <c r="K10874">
        <v>0</v>
      </c>
      <c r="L10874">
        <v>52.26</v>
      </c>
    </row>
    <row r="10875" spans="1:12" x14ac:dyDescent="0.25">
      <c r="A10875" t="str">
        <f t="shared" si="2353"/>
        <v>89301000</v>
      </c>
      <c r="B10875" t="str">
        <f t="shared" si="2360"/>
        <v>87669000</v>
      </c>
      <c r="C10875" t="str">
        <f t="shared" si="2360"/>
        <v>87669000</v>
      </c>
      <c r="D10875" t="str">
        <f t="shared" si="2361"/>
        <v>801</v>
      </c>
      <c r="E10875" t="str">
        <f t="shared" si="2362"/>
        <v>89301167</v>
      </c>
      <c r="F10875" t="str">
        <f t="shared" si="2363"/>
        <v>480710460</v>
      </c>
      <c r="G10875" s="1">
        <v>44893</v>
      </c>
      <c r="H10875" t="str">
        <f>"97111"</f>
        <v>97111</v>
      </c>
      <c r="I10875">
        <v>1</v>
      </c>
      <c r="J10875">
        <v>18</v>
      </c>
      <c r="K10875">
        <v>0</v>
      </c>
      <c r="L10875">
        <v>14.04</v>
      </c>
    </row>
    <row r="10876" spans="1:12" x14ac:dyDescent="0.25">
      <c r="A10876" t="str">
        <f t="shared" si="2353"/>
        <v>89301000</v>
      </c>
      <c r="B10876" t="str">
        <f>"91997900"</f>
        <v>91997900</v>
      </c>
      <c r="C10876" t="str">
        <f>"91997901"</f>
        <v>91997901</v>
      </c>
      <c r="D10876" t="str">
        <f t="shared" si="2361"/>
        <v>801</v>
      </c>
      <c r="E10876" t="str">
        <f t="shared" si="2362"/>
        <v>89301167</v>
      </c>
      <c r="F10876" t="str">
        <f t="shared" si="2363"/>
        <v>480710460</v>
      </c>
      <c r="G10876" s="1">
        <v>44893</v>
      </c>
      <c r="H10876" t="str">
        <f>"81249"</f>
        <v>81249</v>
      </c>
      <c r="I10876">
        <v>1</v>
      </c>
      <c r="J10876">
        <v>333</v>
      </c>
      <c r="K10876">
        <v>0</v>
      </c>
      <c r="L10876">
        <v>259.74</v>
      </c>
    </row>
    <row r="10877" spans="1:12" x14ac:dyDescent="0.25">
      <c r="A10877" t="str">
        <f t="shared" si="2353"/>
        <v>89301000</v>
      </c>
      <c r="B10877" t="str">
        <f>"91997900"</f>
        <v>91997900</v>
      </c>
      <c r="C10877" t="str">
        <f>"91997901"</f>
        <v>91997901</v>
      </c>
      <c r="D10877" t="str">
        <f t="shared" si="2361"/>
        <v>801</v>
      </c>
      <c r="E10877" t="str">
        <f t="shared" si="2362"/>
        <v>89301167</v>
      </c>
      <c r="F10877" t="str">
        <f t="shared" si="2363"/>
        <v>480710460</v>
      </c>
      <c r="G10877" s="1">
        <v>44893</v>
      </c>
      <c r="H10877" t="str">
        <f>"81383"</f>
        <v>81383</v>
      </c>
      <c r="I10877">
        <v>1</v>
      </c>
      <c r="J10877">
        <v>23</v>
      </c>
      <c r="K10877">
        <v>0</v>
      </c>
      <c r="L10877">
        <v>17.940000000000001</v>
      </c>
    </row>
    <row r="10878" spans="1:12" x14ac:dyDescent="0.25">
      <c r="A10878" t="str">
        <f t="shared" si="2353"/>
        <v>89301000</v>
      </c>
      <c r="B10878" t="str">
        <f>"91997900"</f>
        <v>91997900</v>
      </c>
      <c r="C10878" t="str">
        <f>"91997901"</f>
        <v>91997901</v>
      </c>
      <c r="D10878" t="str">
        <f t="shared" si="2361"/>
        <v>801</v>
      </c>
      <c r="E10878" t="str">
        <f t="shared" si="2362"/>
        <v>89301167</v>
      </c>
      <c r="F10878" t="str">
        <f t="shared" si="2363"/>
        <v>480710460</v>
      </c>
      <c r="G10878" s="1">
        <v>44893</v>
      </c>
      <c r="H10878" t="str">
        <f>"93135"</f>
        <v>93135</v>
      </c>
      <c r="I10878">
        <v>1</v>
      </c>
      <c r="J10878">
        <v>300</v>
      </c>
      <c r="K10878">
        <v>0</v>
      </c>
      <c r="L10878">
        <v>234</v>
      </c>
    </row>
    <row r="10879" spans="1:12" x14ac:dyDescent="0.25">
      <c r="A10879" t="str">
        <f t="shared" si="2353"/>
        <v>89301000</v>
      </c>
      <c r="B10879" t="str">
        <f>"44564000"</f>
        <v>44564000</v>
      </c>
      <c r="C10879" t="str">
        <f>"44564006"</f>
        <v>44564006</v>
      </c>
      <c r="D10879" t="str">
        <f>"816"</f>
        <v>816</v>
      </c>
      <c r="E10879" t="str">
        <f>"89301282"</f>
        <v>89301282</v>
      </c>
      <c r="F10879" t="str">
        <f>"1411131128"</f>
        <v>1411131128</v>
      </c>
      <c r="G10879" s="1">
        <v>44873</v>
      </c>
      <c r="H10879" t="str">
        <f>"94221"</f>
        <v>94221</v>
      </c>
      <c r="I10879">
        <v>2</v>
      </c>
      <c r="J10879">
        <v>4906</v>
      </c>
      <c r="K10879">
        <v>0</v>
      </c>
      <c r="L10879">
        <v>4170.1000000000004</v>
      </c>
    </row>
    <row r="10880" spans="1:12" x14ac:dyDescent="0.25">
      <c r="A10880" t="str">
        <f t="shared" si="2353"/>
        <v>89301000</v>
      </c>
      <c r="B10880" t="str">
        <f>"44564000"</f>
        <v>44564000</v>
      </c>
      <c r="C10880" t="str">
        <f>"44564006"</f>
        <v>44564006</v>
      </c>
      <c r="D10880" t="str">
        <f>"816"</f>
        <v>816</v>
      </c>
      <c r="E10880" t="str">
        <f>"89301282"</f>
        <v>89301282</v>
      </c>
      <c r="F10880" t="str">
        <f>"1411131128"</f>
        <v>1411131128</v>
      </c>
      <c r="G10880" s="1">
        <v>44873</v>
      </c>
      <c r="H10880" t="str">
        <f>"94996"</f>
        <v>94996</v>
      </c>
      <c r="I10880">
        <v>1</v>
      </c>
      <c r="J10880">
        <v>0</v>
      </c>
      <c r="K10880">
        <v>0</v>
      </c>
      <c r="L10880">
        <v>0</v>
      </c>
    </row>
    <row r="10881" spans="1:12" x14ac:dyDescent="0.25">
      <c r="A10881" t="str">
        <f t="shared" si="2353"/>
        <v>89301000</v>
      </c>
      <c r="B10881" t="str">
        <f>"06515000"</f>
        <v>06515000</v>
      </c>
      <c r="C10881" t="str">
        <f>"06515005"</f>
        <v>06515005</v>
      </c>
      <c r="D10881" t="str">
        <f>"802"</f>
        <v>802</v>
      </c>
      <c r="E10881" t="str">
        <f>"89301102"</f>
        <v>89301102</v>
      </c>
      <c r="F10881" t="str">
        <f>"1359261178"</f>
        <v>1359261178</v>
      </c>
      <c r="G10881" s="1">
        <v>44866</v>
      </c>
      <c r="H10881" t="str">
        <f>"82079"</f>
        <v>82079</v>
      </c>
      <c r="I10881">
        <v>4</v>
      </c>
      <c r="J10881">
        <v>1328</v>
      </c>
      <c r="K10881">
        <v>0</v>
      </c>
      <c r="L10881">
        <v>1208.48</v>
      </c>
    </row>
    <row r="10882" spans="1:12" x14ac:dyDescent="0.25">
      <c r="A10882" t="str">
        <f t="shared" ref="A10882:A10945" si="2364">"89301000"</f>
        <v>89301000</v>
      </c>
      <c r="B10882" t="str">
        <f t="shared" ref="B10882:B10913" si="2365">"89383000"</f>
        <v>89383000</v>
      </c>
      <c r="C10882" t="str">
        <f t="shared" ref="C10882:C10913" si="2366">"89383002"</f>
        <v>89383002</v>
      </c>
      <c r="D10882" t="str">
        <f t="shared" ref="D10882:D10913" si="2367">"809"</f>
        <v>809</v>
      </c>
      <c r="E10882" t="str">
        <f t="shared" ref="E10882:E10891" si="2368">"89301212"</f>
        <v>89301212</v>
      </c>
      <c r="F10882" t="str">
        <f>"6656201398"</f>
        <v>6656201398</v>
      </c>
      <c r="G10882" s="1">
        <v>44866</v>
      </c>
      <c r="H10882" t="str">
        <f>"89513"</f>
        <v>89513</v>
      </c>
      <c r="I10882">
        <v>1</v>
      </c>
      <c r="J10882">
        <v>371</v>
      </c>
      <c r="K10882">
        <v>0</v>
      </c>
      <c r="L10882">
        <v>519.4</v>
      </c>
    </row>
    <row r="10883" spans="1:12" x14ac:dyDescent="0.25">
      <c r="A10883" t="str">
        <f t="shared" si="2364"/>
        <v>89301000</v>
      </c>
      <c r="B10883" t="str">
        <f t="shared" si="2365"/>
        <v>89383000</v>
      </c>
      <c r="C10883" t="str">
        <f t="shared" si="2366"/>
        <v>89383002</v>
      </c>
      <c r="D10883" t="str">
        <f t="shared" si="2367"/>
        <v>809</v>
      </c>
      <c r="E10883" t="str">
        <f t="shared" si="2368"/>
        <v>89301212</v>
      </c>
      <c r="F10883" t="str">
        <f>"6656201398"</f>
        <v>6656201398</v>
      </c>
      <c r="G10883" s="1">
        <v>44866</v>
      </c>
      <c r="H10883" t="str">
        <f>"89514"</f>
        <v>89514</v>
      </c>
      <c r="I10883">
        <v>1</v>
      </c>
      <c r="J10883">
        <v>371</v>
      </c>
      <c r="K10883">
        <v>0</v>
      </c>
      <c r="L10883">
        <v>519.4</v>
      </c>
    </row>
    <row r="10884" spans="1:12" x14ac:dyDescent="0.25">
      <c r="A10884" t="str">
        <f t="shared" si="2364"/>
        <v>89301000</v>
      </c>
      <c r="B10884" t="str">
        <f t="shared" si="2365"/>
        <v>89383000</v>
      </c>
      <c r="C10884" t="str">
        <f t="shared" si="2366"/>
        <v>89383002</v>
      </c>
      <c r="D10884" t="str">
        <f t="shared" si="2367"/>
        <v>809</v>
      </c>
      <c r="E10884" t="str">
        <f t="shared" si="2368"/>
        <v>89301212</v>
      </c>
      <c r="F10884" t="str">
        <f>"6853190025"</f>
        <v>6853190025</v>
      </c>
      <c r="G10884" s="1">
        <v>44866</v>
      </c>
      <c r="H10884" t="str">
        <f>"89180"</f>
        <v>89180</v>
      </c>
      <c r="I10884">
        <v>1</v>
      </c>
      <c r="J10884">
        <v>376</v>
      </c>
      <c r="K10884">
        <v>0</v>
      </c>
      <c r="L10884">
        <v>526.4</v>
      </c>
    </row>
    <row r="10885" spans="1:12" x14ac:dyDescent="0.25">
      <c r="A10885" t="str">
        <f t="shared" si="2364"/>
        <v>89301000</v>
      </c>
      <c r="B10885" t="str">
        <f t="shared" si="2365"/>
        <v>89383000</v>
      </c>
      <c r="C10885" t="str">
        <f t="shared" si="2366"/>
        <v>89383002</v>
      </c>
      <c r="D10885" t="str">
        <f t="shared" si="2367"/>
        <v>809</v>
      </c>
      <c r="E10885" t="str">
        <f t="shared" si="2368"/>
        <v>89301212</v>
      </c>
      <c r="F10885" t="str">
        <f>"6853190025"</f>
        <v>6853190025</v>
      </c>
      <c r="G10885" s="1">
        <v>44866</v>
      </c>
      <c r="H10885" t="str">
        <f>"89512"</f>
        <v>89512</v>
      </c>
      <c r="I10885">
        <v>1</v>
      </c>
      <c r="J10885">
        <v>277</v>
      </c>
      <c r="K10885">
        <v>0</v>
      </c>
      <c r="L10885">
        <v>387.8</v>
      </c>
    </row>
    <row r="10886" spans="1:12" x14ac:dyDescent="0.25">
      <c r="A10886" t="str">
        <f t="shared" si="2364"/>
        <v>89301000</v>
      </c>
      <c r="B10886" t="str">
        <f t="shared" si="2365"/>
        <v>89383000</v>
      </c>
      <c r="C10886" t="str">
        <f t="shared" si="2366"/>
        <v>89383002</v>
      </c>
      <c r="D10886" t="str">
        <f t="shared" si="2367"/>
        <v>809</v>
      </c>
      <c r="E10886" t="str">
        <f t="shared" si="2368"/>
        <v>89301212</v>
      </c>
      <c r="F10886" t="str">
        <f t="shared" ref="F10886:F10891" si="2369">"6860140672"</f>
        <v>6860140672</v>
      </c>
      <c r="G10886" s="1">
        <v>44866</v>
      </c>
      <c r="H10886" t="str">
        <f>"89313"</f>
        <v>89313</v>
      </c>
      <c r="I10886">
        <v>1</v>
      </c>
      <c r="J10886">
        <v>406</v>
      </c>
      <c r="K10886">
        <v>0</v>
      </c>
      <c r="L10886">
        <v>568.4</v>
      </c>
    </row>
    <row r="10887" spans="1:12" x14ac:dyDescent="0.25">
      <c r="A10887" t="str">
        <f t="shared" si="2364"/>
        <v>89301000</v>
      </c>
      <c r="B10887" t="str">
        <f t="shared" si="2365"/>
        <v>89383000</v>
      </c>
      <c r="C10887" t="str">
        <f t="shared" si="2366"/>
        <v>89383002</v>
      </c>
      <c r="D10887" t="str">
        <f t="shared" si="2367"/>
        <v>809</v>
      </c>
      <c r="E10887" t="str">
        <f t="shared" si="2368"/>
        <v>89301212</v>
      </c>
      <c r="F10887" t="str">
        <f t="shared" si="2369"/>
        <v>6860140672</v>
      </c>
      <c r="G10887" s="1">
        <v>44866</v>
      </c>
      <c r="H10887" t="str">
        <f>"09233"</f>
        <v>09233</v>
      </c>
      <c r="I10887">
        <v>1</v>
      </c>
      <c r="J10887">
        <v>99</v>
      </c>
      <c r="K10887">
        <v>0</v>
      </c>
      <c r="L10887">
        <v>138.6</v>
      </c>
    </row>
    <row r="10888" spans="1:12" x14ac:dyDescent="0.25">
      <c r="A10888" t="str">
        <f t="shared" si="2364"/>
        <v>89301000</v>
      </c>
      <c r="B10888" t="str">
        <f t="shared" si="2365"/>
        <v>89383000</v>
      </c>
      <c r="C10888" t="str">
        <f t="shared" si="2366"/>
        <v>89383002</v>
      </c>
      <c r="D10888" t="str">
        <f t="shared" si="2367"/>
        <v>809</v>
      </c>
      <c r="E10888" t="str">
        <f t="shared" si="2368"/>
        <v>89301212</v>
      </c>
      <c r="F10888" t="str">
        <f t="shared" si="2369"/>
        <v>6860140672</v>
      </c>
      <c r="G10888" s="1">
        <v>44866</v>
      </c>
      <c r="H10888" t="str">
        <f>"89515"</f>
        <v>89515</v>
      </c>
      <c r="I10888">
        <v>1</v>
      </c>
      <c r="J10888">
        <v>339</v>
      </c>
      <c r="K10888">
        <v>0</v>
      </c>
      <c r="L10888">
        <v>474.6</v>
      </c>
    </row>
    <row r="10889" spans="1:12" x14ac:dyDescent="0.25">
      <c r="A10889" t="str">
        <f t="shared" si="2364"/>
        <v>89301000</v>
      </c>
      <c r="B10889" t="str">
        <f t="shared" si="2365"/>
        <v>89383000</v>
      </c>
      <c r="C10889" t="str">
        <f t="shared" si="2366"/>
        <v>89383002</v>
      </c>
      <c r="D10889" t="str">
        <f t="shared" si="2367"/>
        <v>809</v>
      </c>
      <c r="E10889" t="str">
        <f t="shared" si="2368"/>
        <v>89301212</v>
      </c>
      <c r="F10889" t="str">
        <f t="shared" si="2369"/>
        <v>6860140672</v>
      </c>
      <c r="G10889" s="1">
        <v>44866</v>
      </c>
      <c r="H10889" t="str">
        <f>"89512"</f>
        <v>89512</v>
      </c>
      <c r="I10889">
        <v>1</v>
      </c>
      <c r="J10889">
        <v>277</v>
      </c>
      <c r="K10889">
        <v>0</v>
      </c>
      <c r="L10889">
        <v>387.8</v>
      </c>
    </row>
    <row r="10890" spans="1:12" x14ac:dyDescent="0.25">
      <c r="A10890" t="str">
        <f t="shared" si="2364"/>
        <v>89301000</v>
      </c>
      <c r="B10890" t="str">
        <f t="shared" si="2365"/>
        <v>89383000</v>
      </c>
      <c r="C10890" t="str">
        <f t="shared" si="2366"/>
        <v>89383002</v>
      </c>
      <c r="D10890" t="str">
        <f t="shared" si="2367"/>
        <v>809</v>
      </c>
      <c r="E10890" t="str">
        <f t="shared" si="2368"/>
        <v>89301212</v>
      </c>
      <c r="F10890" t="str">
        <f t="shared" si="2369"/>
        <v>6860140672</v>
      </c>
      <c r="G10890" s="1">
        <v>44866</v>
      </c>
      <c r="H10890" t="str">
        <f>"0225891"</f>
        <v>0225891</v>
      </c>
      <c r="I10890">
        <v>0.02</v>
      </c>
      <c r="K10890">
        <v>7.35</v>
      </c>
      <c r="L10890">
        <v>7.35</v>
      </c>
    </row>
    <row r="10891" spans="1:12" x14ac:dyDescent="0.25">
      <c r="A10891" t="str">
        <f t="shared" si="2364"/>
        <v>89301000</v>
      </c>
      <c r="B10891" t="str">
        <f t="shared" si="2365"/>
        <v>89383000</v>
      </c>
      <c r="C10891" t="str">
        <f t="shared" si="2366"/>
        <v>89383002</v>
      </c>
      <c r="D10891" t="str">
        <f t="shared" si="2367"/>
        <v>809</v>
      </c>
      <c r="E10891" t="str">
        <f t="shared" si="2368"/>
        <v>89301212</v>
      </c>
      <c r="F10891" t="str">
        <f t="shared" si="2369"/>
        <v>6860140672</v>
      </c>
      <c r="G10891" s="1">
        <v>44866</v>
      </c>
      <c r="H10891" t="str">
        <f>"0142908"</f>
        <v>0142908</v>
      </c>
      <c r="I10891">
        <v>1</v>
      </c>
      <c r="K10891">
        <v>910</v>
      </c>
      <c r="L10891">
        <v>910</v>
      </c>
    </row>
    <row r="10892" spans="1:12" x14ac:dyDescent="0.25">
      <c r="A10892" t="str">
        <f t="shared" si="2364"/>
        <v>89301000</v>
      </c>
      <c r="B10892" t="str">
        <f t="shared" si="2365"/>
        <v>89383000</v>
      </c>
      <c r="C10892" t="str">
        <f t="shared" si="2366"/>
        <v>89383002</v>
      </c>
      <c r="D10892" t="str">
        <f t="shared" si="2367"/>
        <v>809</v>
      </c>
      <c r="E10892" t="str">
        <f>"89301045"</f>
        <v>89301045</v>
      </c>
      <c r="F10892" t="str">
        <f>"6757081881"</f>
        <v>6757081881</v>
      </c>
      <c r="G10892" s="1">
        <v>44866</v>
      </c>
      <c r="H10892" t="str">
        <f>"89313"</f>
        <v>89313</v>
      </c>
      <c r="I10892">
        <v>1</v>
      </c>
      <c r="J10892">
        <v>406</v>
      </c>
      <c r="K10892">
        <v>0</v>
      </c>
      <c r="L10892">
        <v>568.4</v>
      </c>
    </row>
    <row r="10893" spans="1:12" x14ac:dyDescent="0.25">
      <c r="A10893" t="str">
        <f t="shared" si="2364"/>
        <v>89301000</v>
      </c>
      <c r="B10893" t="str">
        <f t="shared" si="2365"/>
        <v>89383000</v>
      </c>
      <c r="C10893" t="str">
        <f t="shared" si="2366"/>
        <v>89383002</v>
      </c>
      <c r="D10893" t="str">
        <f t="shared" si="2367"/>
        <v>809</v>
      </c>
      <c r="E10893" t="str">
        <f>"89301045"</f>
        <v>89301045</v>
      </c>
      <c r="F10893" t="str">
        <f>"6757081881"</f>
        <v>6757081881</v>
      </c>
      <c r="G10893" s="1">
        <v>44866</v>
      </c>
      <c r="H10893" t="str">
        <f>"09233"</f>
        <v>09233</v>
      </c>
      <c r="I10893">
        <v>1</v>
      </c>
      <c r="J10893">
        <v>99</v>
      </c>
      <c r="K10893">
        <v>0</v>
      </c>
      <c r="L10893">
        <v>138.6</v>
      </c>
    </row>
    <row r="10894" spans="1:12" x14ac:dyDescent="0.25">
      <c r="A10894" t="str">
        <f t="shared" si="2364"/>
        <v>89301000</v>
      </c>
      <c r="B10894" t="str">
        <f t="shared" si="2365"/>
        <v>89383000</v>
      </c>
      <c r="C10894" t="str">
        <f t="shared" si="2366"/>
        <v>89383002</v>
      </c>
      <c r="D10894" t="str">
        <f t="shared" si="2367"/>
        <v>809</v>
      </c>
      <c r="E10894" t="str">
        <f>"89301045"</f>
        <v>89301045</v>
      </c>
      <c r="F10894" t="str">
        <f>"6757081881"</f>
        <v>6757081881</v>
      </c>
      <c r="G10894" s="1">
        <v>44866</v>
      </c>
      <c r="H10894" t="str">
        <f>"89512"</f>
        <v>89512</v>
      </c>
      <c r="I10894">
        <v>1</v>
      </c>
      <c r="J10894">
        <v>277</v>
      </c>
      <c r="K10894">
        <v>0</v>
      </c>
      <c r="L10894">
        <v>387.8</v>
      </c>
    </row>
    <row r="10895" spans="1:12" x14ac:dyDescent="0.25">
      <c r="A10895" t="str">
        <f t="shared" si="2364"/>
        <v>89301000</v>
      </c>
      <c r="B10895" t="str">
        <f t="shared" si="2365"/>
        <v>89383000</v>
      </c>
      <c r="C10895" t="str">
        <f t="shared" si="2366"/>
        <v>89383002</v>
      </c>
      <c r="D10895" t="str">
        <f t="shared" si="2367"/>
        <v>809</v>
      </c>
      <c r="E10895" t="str">
        <f>"89301045"</f>
        <v>89301045</v>
      </c>
      <c r="F10895" t="str">
        <f>"6757081881"</f>
        <v>6757081881</v>
      </c>
      <c r="G10895" s="1">
        <v>44866</v>
      </c>
      <c r="H10895" t="str">
        <f>"89180"</f>
        <v>89180</v>
      </c>
      <c r="I10895">
        <v>1</v>
      </c>
      <c r="J10895">
        <v>376</v>
      </c>
      <c r="K10895">
        <v>0</v>
      </c>
      <c r="L10895">
        <v>526.4</v>
      </c>
    </row>
    <row r="10896" spans="1:12" x14ac:dyDescent="0.25">
      <c r="A10896" t="str">
        <f t="shared" si="2364"/>
        <v>89301000</v>
      </c>
      <c r="B10896" t="str">
        <f t="shared" si="2365"/>
        <v>89383000</v>
      </c>
      <c r="C10896" t="str">
        <f t="shared" si="2366"/>
        <v>89383002</v>
      </c>
      <c r="D10896" t="str">
        <f t="shared" si="2367"/>
        <v>809</v>
      </c>
      <c r="E10896" t="str">
        <f>"89301045"</f>
        <v>89301045</v>
      </c>
      <c r="F10896" t="str">
        <f>"6757081881"</f>
        <v>6757081881</v>
      </c>
      <c r="G10896" s="1">
        <v>44866</v>
      </c>
      <c r="H10896" t="str">
        <f>"0142906"</f>
        <v>0142906</v>
      </c>
      <c r="I10896">
        <v>1</v>
      </c>
      <c r="K10896">
        <v>6990</v>
      </c>
      <c r="L10896">
        <v>6990</v>
      </c>
    </row>
    <row r="10897" spans="1:12" x14ac:dyDescent="0.25">
      <c r="A10897" t="str">
        <f t="shared" si="2364"/>
        <v>89301000</v>
      </c>
      <c r="B10897" t="str">
        <f t="shared" si="2365"/>
        <v>89383000</v>
      </c>
      <c r="C10897" t="str">
        <f t="shared" si="2366"/>
        <v>89383002</v>
      </c>
      <c r="D10897" t="str">
        <f t="shared" si="2367"/>
        <v>809</v>
      </c>
      <c r="E10897" t="str">
        <f>"89301212"</f>
        <v>89301212</v>
      </c>
      <c r="F10897" t="str">
        <f>"7362015771"</f>
        <v>7362015771</v>
      </c>
      <c r="G10897" s="1">
        <v>44868</v>
      </c>
      <c r="H10897" t="str">
        <f>"89180"</f>
        <v>89180</v>
      </c>
      <c r="I10897">
        <v>2</v>
      </c>
      <c r="J10897">
        <v>752</v>
      </c>
      <c r="K10897">
        <v>0</v>
      </c>
      <c r="L10897">
        <v>1052.8</v>
      </c>
    </row>
    <row r="10898" spans="1:12" x14ac:dyDescent="0.25">
      <c r="A10898" t="str">
        <f t="shared" si="2364"/>
        <v>89301000</v>
      </c>
      <c r="B10898" t="str">
        <f t="shared" si="2365"/>
        <v>89383000</v>
      </c>
      <c r="C10898" t="str">
        <f t="shared" si="2366"/>
        <v>89383002</v>
      </c>
      <c r="D10898" t="str">
        <f t="shared" si="2367"/>
        <v>809</v>
      </c>
      <c r="E10898" t="str">
        <f>"89301212"</f>
        <v>89301212</v>
      </c>
      <c r="F10898" t="str">
        <f>"7362015771"</f>
        <v>7362015771</v>
      </c>
      <c r="G10898" s="1">
        <v>44868</v>
      </c>
      <c r="H10898" t="str">
        <f>"89512"</f>
        <v>89512</v>
      </c>
      <c r="I10898">
        <v>1</v>
      </c>
      <c r="J10898">
        <v>277</v>
      </c>
      <c r="K10898">
        <v>0</v>
      </c>
      <c r="L10898">
        <v>387.8</v>
      </c>
    </row>
    <row r="10899" spans="1:12" x14ac:dyDescent="0.25">
      <c r="A10899" t="str">
        <f t="shared" si="2364"/>
        <v>89301000</v>
      </c>
      <c r="B10899" t="str">
        <f t="shared" si="2365"/>
        <v>89383000</v>
      </c>
      <c r="C10899" t="str">
        <f t="shared" si="2366"/>
        <v>89383002</v>
      </c>
      <c r="D10899" t="str">
        <f t="shared" si="2367"/>
        <v>809</v>
      </c>
      <c r="E10899" t="str">
        <f>"89301215"</f>
        <v>89301215</v>
      </c>
      <c r="F10899" t="str">
        <f>"5657182355"</f>
        <v>5657182355</v>
      </c>
      <c r="G10899" s="1">
        <v>44869</v>
      </c>
      <c r="H10899" t="str">
        <f>"89513"</f>
        <v>89513</v>
      </c>
      <c r="I10899">
        <v>1</v>
      </c>
      <c r="J10899">
        <v>371</v>
      </c>
      <c r="K10899">
        <v>0</v>
      </c>
      <c r="L10899">
        <v>519.4</v>
      </c>
    </row>
    <row r="10900" spans="1:12" x14ac:dyDescent="0.25">
      <c r="A10900" t="str">
        <f t="shared" si="2364"/>
        <v>89301000</v>
      </c>
      <c r="B10900" t="str">
        <f t="shared" si="2365"/>
        <v>89383000</v>
      </c>
      <c r="C10900" t="str">
        <f t="shared" si="2366"/>
        <v>89383002</v>
      </c>
      <c r="D10900" t="str">
        <f t="shared" si="2367"/>
        <v>809</v>
      </c>
      <c r="E10900" t="str">
        <f>"89301215"</f>
        <v>89301215</v>
      </c>
      <c r="F10900" t="str">
        <f>"5657182355"</f>
        <v>5657182355</v>
      </c>
      <c r="G10900" s="1">
        <v>44869</v>
      </c>
      <c r="H10900" t="str">
        <f>"89514"</f>
        <v>89514</v>
      </c>
      <c r="I10900">
        <v>1</v>
      </c>
      <c r="J10900">
        <v>371</v>
      </c>
      <c r="K10900">
        <v>0</v>
      </c>
      <c r="L10900">
        <v>519.4</v>
      </c>
    </row>
    <row r="10901" spans="1:12" x14ac:dyDescent="0.25">
      <c r="A10901" t="str">
        <f t="shared" si="2364"/>
        <v>89301000</v>
      </c>
      <c r="B10901" t="str">
        <f t="shared" si="2365"/>
        <v>89383000</v>
      </c>
      <c r="C10901" t="str">
        <f t="shared" si="2366"/>
        <v>89383002</v>
      </c>
      <c r="D10901" t="str">
        <f t="shared" si="2367"/>
        <v>809</v>
      </c>
      <c r="E10901" t="str">
        <f t="shared" ref="E10901:E10907" si="2370">"89301212"</f>
        <v>89301212</v>
      </c>
      <c r="F10901" t="str">
        <f>"445129453"</f>
        <v>445129453</v>
      </c>
      <c r="G10901" s="1">
        <v>44869</v>
      </c>
      <c r="H10901" t="str">
        <f>"89513"</f>
        <v>89513</v>
      </c>
      <c r="I10901">
        <v>1</v>
      </c>
      <c r="J10901">
        <v>371</v>
      </c>
      <c r="K10901">
        <v>0</v>
      </c>
      <c r="L10901">
        <v>519.4</v>
      </c>
    </row>
    <row r="10902" spans="1:12" x14ac:dyDescent="0.25">
      <c r="A10902" t="str">
        <f t="shared" si="2364"/>
        <v>89301000</v>
      </c>
      <c r="B10902" t="str">
        <f t="shared" si="2365"/>
        <v>89383000</v>
      </c>
      <c r="C10902" t="str">
        <f t="shared" si="2366"/>
        <v>89383002</v>
      </c>
      <c r="D10902" t="str">
        <f t="shared" si="2367"/>
        <v>809</v>
      </c>
      <c r="E10902" t="str">
        <f t="shared" si="2370"/>
        <v>89301212</v>
      </c>
      <c r="F10902" t="str">
        <f>"445129453"</f>
        <v>445129453</v>
      </c>
      <c r="G10902" s="1">
        <v>44869</v>
      </c>
      <c r="H10902" t="str">
        <f>"89514"</f>
        <v>89514</v>
      </c>
      <c r="I10902">
        <v>1</v>
      </c>
      <c r="J10902">
        <v>371</v>
      </c>
      <c r="K10902">
        <v>0</v>
      </c>
      <c r="L10902">
        <v>519.4</v>
      </c>
    </row>
    <row r="10903" spans="1:12" x14ac:dyDescent="0.25">
      <c r="A10903" t="str">
        <f t="shared" si="2364"/>
        <v>89301000</v>
      </c>
      <c r="B10903" t="str">
        <f t="shared" si="2365"/>
        <v>89383000</v>
      </c>
      <c r="C10903" t="str">
        <f t="shared" si="2366"/>
        <v>89383002</v>
      </c>
      <c r="D10903" t="str">
        <f t="shared" si="2367"/>
        <v>809</v>
      </c>
      <c r="E10903" t="str">
        <f t="shared" si="2370"/>
        <v>89301212</v>
      </c>
      <c r="F10903" t="str">
        <f>"5858110940"</f>
        <v>5858110940</v>
      </c>
      <c r="G10903" s="1">
        <v>44869</v>
      </c>
      <c r="H10903" t="str">
        <f>"89512"</f>
        <v>89512</v>
      </c>
      <c r="I10903">
        <v>1</v>
      </c>
      <c r="J10903">
        <v>277</v>
      </c>
      <c r="K10903">
        <v>0</v>
      </c>
      <c r="L10903">
        <v>387.8</v>
      </c>
    </row>
    <row r="10904" spans="1:12" x14ac:dyDescent="0.25">
      <c r="A10904" t="str">
        <f t="shared" si="2364"/>
        <v>89301000</v>
      </c>
      <c r="B10904" t="str">
        <f t="shared" si="2365"/>
        <v>89383000</v>
      </c>
      <c r="C10904" t="str">
        <f t="shared" si="2366"/>
        <v>89383002</v>
      </c>
      <c r="D10904" t="str">
        <f t="shared" si="2367"/>
        <v>809</v>
      </c>
      <c r="E10904" t="str">
        <f t="shared" si="2370"/>
        <v>89301212</v>
      </c>
      <c r="F10904" t="str">
        <f>"7152065338"</f>
        <v>7152065338</v>
      </c>
      <c r="G10904" s="1">
        <v>44872</v>
      </c>
      <c r="H10904" t="str">
        <f>"89180"</f>
        <v>89180</v>
      </c>
      <c r="I10904">
        <v>2</v>
      </c>
      <c r="J10904">
        <v>752</v>
      </c>
      <c r="K10904">
        <v>0</v>
      </c>
      <c r="L10904">
        <v>1052.8</v>
      </c>
    </row>
    <row r="10905" spans="1:12" x14ac:dyDescent="0.25">
      <c r="A10905" t="str">
        <f t="shared" si="2364"/>
        <v>89301000</v>
      </c>
      <c r="B10905" t="str">
        <f t="shared" si="2365"/>
        <v>89383000</v>
      </c>
      <c r="C10905" t="str">
        <f t="shared" si="2366"/>
        <v>89383002</v>
      </c>
      <c r="D10905" t="str">
        <f t="shared" si="2367"/>
        <v>809</v>
      </c>
      <c r="E10905" t="str">
        <f t="shared" si="2370"/>
        <v>89301212</v>
      </c>
      <c r="F10905" t="str">
        <f>"7152065338"</f>
        <v>7152065338</v>
      </c>
      <c r="G10905" s="1">
        <v>44872</v>
      </c>
      <c r="H10905" t="str">
        <f>"89512"</f>
        <v>89512</v>
      </c>
      <c r="I10905">
        <v>1</v>
      </c>
      <c r="J10905">
        <v>277</v>
      </c>
      <c r="K10905">
        <v>0</v>
      </c>
      <c r="L10905">
        <v>387.8</v>
      </c>
    </row>
    <row r="10906" spans="1:12" x14ac:dyDescent="0.25">
      <c r="A10906" t="str">
        <f t="shared" si="2364"/>
        <v>89301000</v>
      </c>
      <c r="B10906" t="str">
        <f t="shared" si="2365"/>
        <v>89383000</v>
      </c>
      <c r="C10906" t="str">
        <f t="shared" si="2366"/>
        <v>89383002</v>
      </c>
      <c r="D10906" t="str">
        <f t="shared" si="2367"/>
        <v>809</v>
      </c>
      <c r="E10906" t="str">
        <f t="shared" si="2370"/>
        <v>89301212</v>
      </c>
      <c r="F10906" t="str">
        <f>"7152065338"</f>
        <v>7152065338</v>
      </c>
      <c r="G10906" s="1">
        <v>44872</v>
      </c>
      <c r="H10906" t="str">
        <f>"89513"</f>
        <v>89513</v>
      </c>
      <c r="I10906">
        <v>1</v>
      </c>
      <c r="J10906">
        <v>371</v>
      </c>
      <c r="K10906">
        <v>0</v>
      </c>
      <c r="L10906">
        <v>519.4</v>
      </c>
    </row>
    <row r="10907" spans="1:12" x14ac:dyDescent="0.25">
      <c r="A10907" t="str">
        <f t="shared" si="2364"/>
        <v>89301000</v>
      </c>
      <c r="B10907" t="str">
        <f t="shared" si="2365"/>
        <v>89383000</v>
      </c>
      <c r="C10907" t="str">
        <f t="shared" si="2366"/>
        <v>89383002</v>
      </c>
      <c r="D10907" t="str">
        <f t="shared" si="2367"/>
        <v>809</v>
      </c>
      <c r="E10907" t="str">
        <f t="shared" si="2370"/>
        <v>89301212</v>
      </c>
      <c r="F10907" t="str">
        <f>"7152065338"</f>
        <v>7152065338</v>
      </c>
      <c r="G10907" s="1">
        <v>44872</v>
      </c>
      <c r="H10907" t="str">
        <f>"89514"</f>
        <v>89514</v>
      </c>
      <c r="I10907">
        <v>1</v>
      </c>
      <c r="J10907">
        <v>371</v>
      </c>
      <c r="K10907">
        <v>0</v>
      </c>
      <c r="L10907">
        <v>519.4</v>
      </c>
    </row>
    <row r="10908" spans="1:12" x14ac:dyDescent="0.25">
      <c r="A10908" t="str">
        <f t="shared" si="2364"/>
        <v>89301000</v>
      </c>
      <c r="B10908" t="str">
        <f t="shared" si="2365"/>
        <v>89383000</v>
      </c>
      <c r="C10908" t="str">
        <f t="shared" si="2366"/>
        <v>89383002</v>
      </c>
      <c r="D10908" t="str">
        <f t="shared" si="2367"/>
        <v>809</v>
      </c>
      <c r="E10908" t="str">
        <f>"89301215"</f>
        <v>89301215</v>
      </c>
      <c r="F10908" t="str">
        <f>"8055045768"</f>
        <v>8055045768</v>
      </c>
      <c r="G10908" s="1">
        <v>44872</v>
      </c>
      <c r="H10908" t="str">
        <f>"89513"</f>
        <v>89513</v>
      </c>
      <c r="I10908">
        <v>1</v>
      </c>
      <c r="J10908">
        <v>371</v>
      </c>
      <c r="K10908">
        <v>0</v>
      </c>
      <c r="L10908">
        <v>519.4</v>
      </c>
    </row>
    <row r="10909" spans="1:12" x14ac:dyDescent="0.25">
      <c r="A10909" t="str">
        <f t="shared" si="2364"/>
        <v>89301000</v>
      </c>
      <c r="B10909" t="str">
        <f t="shared" si="2365"/>
        <v>89383000</v>
      </c>
      <c r="C10909" t="str">
        <f t="shared" si="2366"/>
        <v>89383002</v>
      </c>
      <c r="D10909" t="str">
        <f t="shared" si="2367"/>
        <v>809</v>
      </c>
      <c r="E10909" t="str">
        <f>"89301215"</f>
        <v>89301215</v>
      </c>
      <c r="F10909" t="str">
        <f>"8055045768"</f>
        <v>8055045768</v>
      </c>
      <c r="G10909" s="1">
        <v>44872</v>
      </c>
      <c r="H10909" t="str">
        <f>"89514"</f>
        <v>89514</v>
      </c>
      <c r="I10909">
        <v>1</v>
      </c>
      <c r="J10909">
        <v>371</v>
      </c>
      <c r="K10909">
        <v>0</v>
      </c>
      <c r="L10909">
        <v>519.4</v>
      </c>
    </row>
    <row r="10910" spans="1:12" x14ac:dyDescent="0.25">
      <c r="A10910" t="str">
        <f t="shared" si="2364"/>
        <v>89301000</v>
      </c>
      <c r="B10910" t="str">
        <f t="shared" si="2365"/>
        <v>89383000</v>
      </c>
      <c r="C10910" t="str">
        <f t="shared" si="2366"/>
        <v>89383002</v>
      </c>
      <c r="D10910" t="str">
        <f t="shared" si="2367"/>
        <v>809</v>
      </c>
      <c r="E10910" t="str">
        <f>"89301212"</f>
        <v>89301212</v>
      </c>
      <c r="F10910" t="str">
        <f>"495412037"</f>
        <v>495412037</v>
      </c>
      <c r="G10910" s="1">
        <v>44873</v>
      </c>
      <c r="H10910" t="str">
        <f>"89512"</f>
        <v>89512</v>
      </c>
      <c r="I10910">
        <v>1</v>
      </c>
      <c r="J10910">
        <v>277</v>
      </c>
      <c r="K10910">
        <v>0</v>
      </c>
      <c r="L10910">
        <v>387.8</v>
      </c>
    </row>
    <row r="10911" spans="1:12" x14ac:dyDescent="0.25">
      <c r="A10911" t="str">
        <f t="shared" si="2364"/>
        <v>89301000</v>
      </c>
      <c r="B10911" t="str">
        <f t="shared" si="2365"/>
        <v>89383000</v>
      </c>
      <c r="C10911" t="str">
        <f t="shared" si="2366"/>
        <v>89383002</v>
      </c>
      <c r="D10911" t="str">
        <f t="shared" si="2367"/>
        <v>809</v>
      </c>
      <c r="E10911" t="str">
        <f>"89301212"</f>
        <v>89301212</v>
      </c>
      <c r="F10911" t="str">
        <f>"8952175749"</f>
        <v>8952175749</v>
      </c>
      <c r="G10911" s="1">
        <v>44874</v>
      </c>
      <c r="H10911" t="str">
        <f>"89512"</f>
        <v>89512</v>
      </c>
      <c r="I10911">
        <v>1</v>
      </c>
      <c r="J10911">
        <v>277</v>
      </c>
      <c r="K10911">
        <v>0</v>
      </c>
      <c r="L10911">
        <v>387.8</v>
      </c>
    </row>
    <row r="10912" spans="1:12" x14ac:dyDescent="0.25">
      <c r="A10912" t="str">
        <f t="shared" si="2364"/>
        <v>89301000</v>
      </c>
      <c r="B10912" t="str">
        <f t="shared" si="2365"/>
        <v>89383000</v>
      </c>
      <c r="C10912" t="str">
        <f t="shared" si="2366"/>
        <v>89383002</v>
      </c>
      <c r="D10912" t="str">
        <f t="shared" si="2367"/>
        <v>809</v>
      </c>
      <c r="E10912" t="str">
        <f t="shared" ref="E10912:E10920" si="2371">"89301045"</f>
        <v>89301045</v>
      </c>
      <c r="F10912" t="str">
        <f>"6354061296"</f>
        <v>6354061296</v>
      </c>
      <c r="G10912" s="1">
        <v>44872</v>
      </c>
      <c r="H10912" t="str">
        <f>"89311"</f>
        <v>89311</v>
      </c>
      <c r="I10912">
        <v>1</v>
      </c>
      <c r="J10912">
        <v>936</v>
      </c>
      <c r="K10912">
        <v>0</v>
      </c>
      <c r="L10912">
        <v>1310.4000000000001</v>
      </c>
    </row>
    <row r="10913" spans="1:12" x14ac:dyDescent="0.25">
      <c r="A10913" t="str">
        <f t="shared" si="2364"/>
        <v>89301000</v>
      </c>
      <c r="B10913" t="str">
        <f t="shared" si="2365"/>
        <v>89383000</v>
      </c>
      <c r="C10913" t="str">
        <f t="shared" si="2366"/>
        <v>89383002</v>
      </c>
      <c r="D10913" t="str">
        <f t="shared" si="2367"/>
        <v>809</v>
      </c>
      <c r="E10913" t="str">
        <f t="shared" si="2371"/>
        <v>89301045</v>
      </c>
      <c r="F10913" t="str">
        <f>"6354061296"</f>
        <v>6354061296</v>
      </c>
      <c r="G10913" s="1">
        <v>44872</v>
      </c>
      <c r="H10913" t="str">
        <f>"09233"</f>
        <v>09233</v>
      </c>
      <c r="I10913">
        <v>1</v>
      </c>
      <c r="J10913">
        <v>99</v>
      </c>
      <c r="K10913">
        <v>0</v>
      </c>
      <c r="L10913">
        <v>138.6</v>
      </c>
    </row>
    <row r="10914" spans="1:12" x14ac:dyDescent="0.25">
      <c r="A10914" t="str">
        <f t="shared" si="2364"/>
        <v>89301000</v>
      </c>
      <c r="B10914" t="str">
        <f t="shared" ref="B10914:B10945" si="2372">"89383000"</f>
        <v>89383000</v>
      </c>
      <c r="C10914" t="str">
        <f t="shared" ref="C10914:C10945" si="2373">"89383002"</f>
        <v>89383002</v>
      </c>
      <c r="D10914" t="str">
        <f t="shared" ref="D10914:D10945" si="2374">"809"</f>
        <v>809</v>
      </c>
      <c r="E10914" t="str">
        <f t="shared" si="2371"/>
        <v>89301045</v>
      </c>
      <c r="F10914" t="str">
        <f>"6354061296"</f>
        <v>6354061296</v>
      </c>
      <c r="G10914" s="1">
        <v>44872</v>
      </c>
      <c r="H10914" t="str">
        <f>"89180"</f>
        <v>89180</v>
      </c>
      <c r="I10914">
        <v>1</v>
      </c>
      <c r="J10914">
        <v>376</v>
      </c>
      <c r="K10914">
        <v>0</v>
      </c>
      <c r="L10914">
        <v>526.4</v>
      </c>
    </row>
    <row r="10915" spans="1:12" x14ac:dyDescent="0.25">
      <c r="A10915" t="str">
        <f t="shared" si="2364"/>
        <v>89301000</v>
      </c>
      <c r="B10915" t="str">
        <f t="shared" si="2372"/>
        <v>89383000</v>
      </c>
      <c r="C10915" t="str">
        <f t="shared" si="2373"/>
        <v>89383002</v>
      </c>
      <c r="D10915" t="str">
        <f t="shared" si="2374"/>
        <v>809</v>
      </c>
      <c r="E10915" t="str">
        <f t="shared" si="2371"/>
        <v>89301045</v>
      </c>
      <c r="F10915" t="str">
        <f>"6354061296"</f>
        <v>6354061296</v>
      </c>
      <c r="G10915" s="1">
        <v>44872</v>
      </c>
      <c r="H10915" t="str">
        <f>"0142906"</f>
        <v>0142906</v>
      </c>
      <c r="I10915">
        <v>1</v>
      </c>
      <c r="K10915">
        <v>6990</v>
      </c>
      <c r="L10915">
        <v>6990</v>
      </c>
    </row>
    <row r="10916" spans="1:12" x14ac:dyDescent="0.25">
      <c r="A10916" t="str">
        <f t="shared" si="2364"/>
        <v>89301000</v>
      </c>
      <c r="B10916" t="str">
        <f t="shared" si="2372"/>
        <v>89383000</v>
      </c>
      <c r="C10916" t="str">
        <f t="shared" si="2373"/>
        <v>89383002</v>
      </c>
      <c r="D10916" t="str">
        <f t="shared" si="2374"/>
        <v>809</v>
      </c>
      <c r="E10916" t="str">
        <f t="shared" si="2371"/>
        <v>89301045</v>
      </c>
      <c r="F10916" t="str">
        <f>"8251115378"</f>
        <v>8251115378</v>
      </c>
      <c r="G10916" s="1">
        <v>44872</v>
      </c>
      <c r="H10916" t="str">
        <f>"89311"</f>
        <v>89311</v>
      </c>
      <c r="I10916">
        <v>1</v>
      </c>
      <c r="J10916">
        <v>936</v>
      </c>
      <c r="K10916">
        <v>0</v>
      </c>
      <c r="L10916">
        <v>1310.4000000000001</v>
      </c>
    </row>
    <row r="10917" spans="1:12" x14ac:dyDescent="0.25">
      <c r="A10917" t="str">
        <f t="shared" si="2364"/>
        <v>89301000</v>
      </c>
      <c r="B10917" t="str">
        <f t="shared" si="2372"/>
        <v>89383000</v>
      </c>
      <c r="C10917" t="str">
        <f t="shared" si="2373"/>
        <v>89383002</v>
      </c>
      <c r="D10917" t="str">
        <f t="shared" si="2374"/>
        <v>809</v>
      </c>
      <c r="E10917" t="str">
        <f t="shared" si="2371"/>
        <v>89301045</v>
      </c>
      <c r="F10917" t="str">
        <f>"8251115378"</f>
        <v>8251115378</v>
      </c>
      <c r="G10917" s="1">
        <v>44872</v>
      </c>
      <c r="H10917" t="str">
        <f>"09233"</f>
        <v>09233</v>
      </c>
      <c r="I10917">
        <v>1</v>
      </c>
      <c r="J10917">
        <v>99</v>
      </c>
      <c r="K10917">
        <v>0</v>
      </c>
      <c r="L10917">
        <v>138.6</v>
      </c>
    </row>
    <row r="10918" spans="1:12" x14ac:dyDescent="0.25">
      <c r="A10918" t="str">
        <f t="shared" si="2364"/>
        <v>89301000</v>
      </c>
      <c r="B10918" t="str">
        <f t="shared" si="2372"/>
        <v>89383000</v>
      </c>
      <c r="C10918" t="str">
        <f t="shared" si="2373"/>
        <v>89383002</v>
      </c>
      <c r="D10918" t="str">
        <f t="shared" si="2374"/>
        <v>809</v>
      </c>
      <c r="E10918" t="str">
        <f t="shared" si="2371"/>
        <v>89301045</v>
      </c>
      <c r="F10918" t="str">
        <f>"8251115378"</f>
        <v>8251115378</v>
      </c>
      <c r="G10918" s="1">
        <v>44872</v>
      </c>
      <c r="H10918" t="str">
        <f>"89512"</f>
        <v>89512</v>
      </c>
      <c r="I10918">
        <v>1</v>
      </c>
      <c r="J10918">
        <v>277</v>
      </c>
      <c r="K10918">
        <v>0</v>
      </c>
      <c r="L10918">
        <v>387.8</v>
      </c>
    </row>
    <row r="10919" spans="1:12" x14ac:dyDescent="0.25">
      <c r="A10919" t="str">
        <f t="shared" si="2364"/>
        <v>89301000</v>
      </c>
      <c r="B10919" t="str">
        <f t="shared" si="2372"/>
        <v>89383000</v>
      </c>
      <c r="C10919" t="str">
        <f t="shared" si="2373"/>
        <v>89383002</v>
      </c>
      <c r="D10919" t="str">
        <f t="shared" si="2374"/>
        <v>809</v>
      </c>
      <c r="E10919" t="str">
        <f t="shared" si="2371"/>
        <v>89301045</v>
      </c>
      <c r="F10919" t="str">
        <f>"8251115378"</f>
        <v>8251115378</v>
      </c>
      <c r="G10919" s="1">
        <v>44872</v>
      </c>
      <c r="H10919" t="str">
        <f>"89180"</f>
        <v>89180</v>
      </c>
      <c r="I10919">
        <v>1</v>
      </c>
      <c r="J10919">
        <v>376</v>
      </c>
      <c r="K10919">
        <v>0</v>
      </c>
      <c r="L10919">
        <v>526.4</v>
      </c>
    </row>
    <row r="10920" spans="1:12" x14ac:dyDescent="0.25">
      <c r="A10920" t="str">
        <f t="shared" si="2364"/>
        <v>89301000</v>
      </c>
      <c r="B10920" t="str">
        <f t="shared" si="2372"/>
        <v>89383000</v>
      </c>
      <c r="C10920" t="str">
        <f t="shared" si="2373"/>
        <v>89383002</v>
      </c>
      <c r="D10920" t="str">
        <f t="shared" si="2374"/>
        <v>809</v>
      </c>
      <c r="E10920" t="str">
        <f t="shared" si="2371"/>
        <v>89301045</v>
      </c>
      <c r="F10920" t="str">
        <f>"8251115378"</f>
        <v>8251115378</v>
      </c>
      <c r="G10920" s="1">
        <v>44872</v>
      </c>
      <c r="H10920" t="str">
        <f>"0142906"</f>
        <v>0142906</v>
      </c>
      <c r="I10920">
        <v>1</v>
      </c>
      <c r="K10920">
        <v>6990</v>
      </c>
      <c r="L10920">
        <v>6990</v>
      </c>
    </row>
    <row r="10921" spans="1:12" x14ac:dyDescent="0.25">
      <c r="A10921" t="str">
        <f t="shared" si="2364"/>
        <v>89301000</v>
      </c>
      <c r="B10921" t="str">
        <f t="shared" si="2372"/>
        <v>89383000</v>
      </c>
      <c r="C10921" t="str">
        <f t="shared" si="2373"/>
        <v>89383002</v>
      </c>
      <c r="D10921" t="str">
        <f t="shared" si="2374"/>
        <v>809</v>
      </c>
      <c r="E10921" t="str">
        <f t="shared" ref="E10921:E10926" si="2375">"89301212"</f>
        <v>89301212</v>
      </c>
      <c r="F10921" t="str">
        <f t="shared" ref="F10921:F10926" si="2376">"7952125346"</f>
        <v>7952125346</v>
      </c>
      <c r="G10921" s="1">
        <v>44874</v>
      </c>
      <c r="H10921" t="str">
        <f>"89313"</f>
        <v>89313</v>
      </c>
      <c r="I10921">
        <v>1</v>
      </c>
      <c r="J10921">
        <v>406</v>
      </c>
      <c r="K10921">
        <v>0</v>
      </c>
      <c r="L10921">
        <v>568.4</v>
      </c>
    </row>
    <row r="10922" spans="1:12" x14ac:dyDescent="0.25">
      <c r="A10922" t="str">
        <f t="shared" si="2364"/>
        <v>89301000</v>
      </c>
      <c r="B10922" t="str">
        <f t="shared" si="2372"/>
        <v>89383000</v>
      </c>
      <c r="C10922" t="str">
        <f t="shared" si="2373"/>
        <v>89383002</v>
      </c>
      <c r="D10922" t="str">
        <f t="shared" si="2374"/>
        <v>809</v>
      </c>
      <c r="E10922" t="str">
        <f t="shared" si="2375"/>
        <v>89301212</v>
      </c>
      <c r="F10922" t="str">
        <f t="shared" si="2376"/>
        <v>7952125346</v>
      </c>
      <c r="G10922" s="1">
        <v>44874</v>
      </c>
      <c r="H10922" t="str">
        <f>"09233"</f>
        <v>09233</v>
      </c>
      <c r="I10922">
        <v>1</v>
      </c>
      <c r="J10922">
        <v>99</v>
      </c>
      <c r="K10922">
        <v>0</v>
      </c>
      <c r="L10922">
        <v>138.6</v>
      </c>
    </row>
    <row r="10923" spans="1:12" x14ac:dyDescent="0.25">
      <c r="A10923" t="str">
        <f t="shared" si="2364"/>
        <v>89301000</v>
      </c>
      <c r="B10923" t="str">
        <f t="shared" si="2372"/>
        <v>89383000</v>
      </c>
      <c r="C10923" t="str">
        <f t="shared" si="2373"/>
        <v>89383002</v>
      </c>
      <c r="D10923" t="str">
        <f t="shared" si="2374"/>
        <v>809</v>
      </c>
      <c r="E10923" t="str">
        <f t="shared" si="2375"/>
        <v>89301212</v>
      </c>
      <c r="F10923" t="str">
        <f t="shared" si="2376"/>
        <v>7952125346</v>
      </c>
      <c r="G10923" s="1">
        <v>44874</v>
      </c>
      <c r="H10923" t="str">
        <f>"89512"</f>
        <v>89512</v>
      </c>
      <c r="I10923">
        <v>1</v>
      </c>
      <c r="J10923">
        <v>277</v>
      </c>
      <c r="K10923">
        <v>0</v>
      </c>
      <c r="L10923">
        <v>387.8</v>
      </c>
    </row>
    <row r="10924" spans="1:12" x14ac:dyDescent="0.25">
      <c r="A10924" t="str">
        <f t="shared" si="2364"/>
        <v>89301000</v>
      </c>
      <c r="B10924" t="str">
        <f t="shared" si="2372"/>
        <v>89383000</v>
      </c>
      <c r="C10924" t="str">
        <f t="shared" si="2373"/>
        <v>89383002</v>
      </c>
      <c r="D10924" t="str">
        <f t="shared" si="2374"/>
        <v>809</v>
      </c>
      <c r="E10924" t="str">
        <f t="shared" si="2375"/>
        <v>89301212</v>
      </c>
      <c r="F10924" t="str">
        <f t="shared" si="2376"/>
        <v>7952125346</v>
      </c>
      <c r="G10924" s="1">
        <v>44874</v>
      </c>
      <c r="H10924" t="str">
        <f>"89180"</f>
        <v>89180</v>
      </c>
      <c r="I10924">
        <v>1</v>
      </c>
      <c r="J10924">
        <v>376</v>
      </c>
      <c r="K10924">
        <v>0</v>
      </c>
      <c r="L10924">
        <v>526.4</v>
      </c>
    </row>
    <row r="10925" spans="1:12" x14ac:dyDescent="0.25">
      <c r="A10925" t="str">
        <f t="shared" si="2364"/>
        <v>89301000</v>
      </c>
      <c r="B10925" t="str">
        <f t="shared" si="2372"/>
        <v>89383000</v>
      </c>
      <c r="C10925" t="str">
        <f t="shared" si="2373"/>
        <v>89383002</v>
      </c>
      <c r="D10925" t="str">
        <f t="shared" si="2374"/>
        <v>809</v>
      </c>
      <c r="E10925" t="str">
        <f t="shared" si="2375"/>
        <v>89301212</v>
      </c>
      <c r="F10925" t="str">
        <f t="shared" si="2376"/>
        <v>7952125346</v>
      </c>
      <c r="G10925" s="1">
        <v>44874</v>
      </c>
      <c r="H10925" t="str">
        <f>"0225891"</f>
        <v>0225891</v>
      </c>
      <c r="I10925">
        <v>0.2</v>
      </c>
      <c r="K10925">
        <v>73.540000000000006</v>
      </c>
      <c r="L10925">
        <v>73.540000000000006</v>
      </c>
    </row>
    <row r="10926" spans="1:12" x14ac:dyDescent="0.25">
      <c r="A10926" t="str">
        <f t="shared" si="2364"/>
        <v>89301000</v>
      </c>
      <c r="B10926" t="str">
        <f t="shared" si="2372"/>
        <v>89383000</v>
      </c>
      <c r="C10926" t="str">
        <f t="shared" si="2373"/>
        <v>89383002</v>
      </c>
      <c r="D10926" t="str">
        <f t="shared" si="2374"/>
        <v>809</v>
      </c>
      <c r="E10926" t="str">
        <f t="shared" si="2375"/>
        <v>89301212</v>
      </c>
      <c r="F10926" t="str">
        <f t="shared" si="2376"/>
        <v>7952125346</v>
      </c>
      <c r="G10926" s="1">
        <v>44874</v>
      </c>
      <c r="H10926" t="str">
        <f>"0082502"</f>
        <v>0082502</v>
      </c>
      <c r="I10926">
        <v>1</v>
      </c>
      <c r="K10926">
        <v>2093</v>
      </c>
      <c r="L10926">
        <v>2093</v>
      </c>
    </row>
    <row r="10927" spans="1:12" x14ac:dyDescent="0.25">
      <c r="A10927" t="str">
        <f t="shared" si="2364"/>
        <v>89301000</v>
      </c>
      <c r="B10927" t="str">
        <f t="shared" si="2372"/>
        <v>89383000</v>
      </c>
      <c r="C10927" t="str">
        <f t="shared" si="2373"/>
        <v>89383002</v>
      </c>
      <c r="D10927" t="str">
        <f t="shared" si="2374"/>
        <v>809</v>
      </c>
      <c r="E10927" t="str">
        <f>"89301045"</f>
        <v>89301045</v>
      </c>
      <c r="F10927" t="str">
        <f>"515404032"</f>
        <v>515404032</v>
      </c>
      <c r="G10927" s="1">
        <v>44875</v>
      </c>
      <c r="H10927" t="str">
        <f>"89513"</f>
        <v>89513</v>
      </c>
      <c r="I10927">
        <v>1</v>
      </c>
      <c r="J10927">
        <v>371</v>
      </c>
      <c r="K10927">
        <v>0</v>
      </c>
      <c r="L10927">
        <v>519.4</v>
      </c>
    </row>
    <row r="10928" spans="1:12" x14ac:dyDescent="0.25">
      <c r="A10928" t="str">
        <f t="shared" si="2364"/>
        <v>89301000</v>
      </c>
      <c r="B10928" t="str">
        <f t="shared" si="2372"/>
        <v>89383000</v>
      </c>
      <c r="C10928" t="str">
        <f t="shared" si="2373"/>
        <v>89383002</v>
      </c>
      <c r="D10928" t="str">
        <f t="shared" si="2374"/>
        <v>809</v>
      </c>
      <c r="E10928" t="str">
        <f>"89301045"</f>
        <v>89301045</v>
      </c>
      <c r="F10928" t="str">
        <f>"515404032"</f>
        <v>515404032</v>
      </c>
      <c r="G10928" s="1">
        <v>44875</v>
      </c>
      <c r="H10928" t="str">
        <f>"89514"</f>
        <v>89514</v>
      </c>
      <c r="I10928">
        <v>1</v>
      </c>
      <c r="J10928">
        <v>371</v>
      </c>
      <c r="K10928">
        <v>0</v>
      </c>
      <c r="L10928">
        <v>519.4</v>
      </c>
    </row>
    <row r="10929" spans="1:12" x14ac:dyDescent="0.25">
      <c r="A10929" t="str">
        <f t="shared" si="2364"/>
        <v>89301000</v>
      </c>
      <c r="B10929" t="str">
        <f t="shared" si="2372"/>
        <v>89383000</v>
      </c>
      <c r="C10929" t="str">
        <f t="shared" si="2373"/>
        <v>89383002</v>
      </c>
      <c r="D10929" t="str">
        <f t="shared" si="2374"/>
        <v>809</v>
      </c>
      <c r="E10929" t="str">
        <f>"89301045"</f>
        <v>89301045</v>
      </c>
      <c r="F10929" t="str">
        <f>"6551030948"</f>
        <v>6551030948</v>
      </c>
      <c r="G10929" s="1">
        <v>44875</v>
      </c>
      <c r="H10929" t="str">
        <f>"89513"</f>
        <v>89513</v>
      </c>
      <c r="I10929">
        <v>1</v>
      </c>
      <c r="J10929">
        <v>371</v>
      </c>
      <c r="K10929">
        <v>0</v>
      </c>
      <c r="L10929">
        <v>519.4</v>
      </c>
    </row>
    <row r="10930" spans="1:12" x14ac:dyDescent="0.25">
      <c r="A10930" t="str">
        <f t="shared" si="2364"/>
        <v>89301000</v>
      </c>
      <c r="B10930" t="str">
        <f t="shared" si="2372"/>
        <v>89383000</v>
      </c>
      <c r="C10930" t="str">
        <f t="shared" si="2373"/>
        <v>89383002</v>
      </c>
      <c r="D10930" t="str">
        <f t="shared" si="2374"/>
        <v>809</v>
      </c>
      <c r="E10930" t="str">
        <f>"89301045"</f>
        <v>89301045</v>
      </c>
      <c r="F10930" t="str">
        <f>"6551030948"</f>
        <v>6551030948</v>
      </c>
      <c r="G10930" s="1">
        <v>44875</v>
      </c>
      <c r="H10930" t="str">
        <f>"89514"</f>
        <v>89514</v>
      </c>
      <c r="I10930">
        <v>1</v>
      </c>
      <c r="J10930">
        <v>371</v>
      </c>
      <c r="K10930">
        <v>0</v>
      </c>
      <c r="L10930">
        <v>519.4</v>
      </c>
    </row>
    <row r="10931" spans="1:12" x14ac:dyDescent="0.25">
      <c r="A10931" t="str">
        <f t="shared" si="2364"/>
        <v>89301000</v>
      </c>
      <c r="B10931" t="str">
        <f t="shared" si="2372"/>
        <v>89383000</v>
      </c>
      <c r="C10931" t="str">
        <f t="shared" si="2373"/>
        <v>89383002</v>
      </c>
      <c r="D10931" t="str">
        <f t="shared" si="2374"/>
        <v>809</v>
      </c>
      <c r="E10931" t="str">
        <f t="shared" ref="E10931:E10949" si="2377">"89301212"</f>
        <v>89301212</v>
      </c>
      <c r="F10931" t="str">
        <f>"6759230071"</f>
        <v>6759230071</v>
      </c>
      <c r="G10931" s="1">
        <v>44875</v>
      </c>
      <c r="H10931" t="str">
        <f>"89512"</f>
        <v>89512</v>
      </c>
      <c r="I10931">
        <v>1</v>
      </c>
      <c r="J10931">
        <v>277</v>
      </c>
      <c r="K10931">
        <v>0</v>
      </c>
      <c r="L10931">
        <v>387.8</v>
      </c>
    </row>
    <row r="10932" spans="1:12" x14ac:dyDescent="0.25">
      <c r="A10932" t="str">
        <f t="shared" si="2364"/>
        <v>89301000</v>
      </c>
      <c r="B10932" t="str">
        <f t="shared" si="2372"/>
        <v>89383000</v>
      </c>
      <c r="C10932" t="str">
        <f t="shared" si="2373"/>
        <v>89383002</v>
      </c>
      <c r="D10932" t="str">
        <f t="shared" si="2374"/>
        <v>809</v>
      </c>
      <c r="E10932" t="str">
        <f t="shared" si="2377"/>
        <v>89301212</v>
      </c>
      <c r="F10932" t="str">
        <f>"5855021117"</f>
        <v>5855021117</v>
      </c>
      <c r="G10932" s="1">
        <v>44876</v>
      </c>
      <c r="H10932" t="str">
        <f>"89512"</f>
        <v>89512</v>
      </c>
      <c r="I10932">
        <v>1</v>
      </c>
      <c r="J10932">
        <v>277</v>
      </c>
      <c r="K10932">
        <v>0</v>
      </c>
      <c r="L10932">
        <v>387.8</v>
      </c>
    </row>
    <row r="10933" spans="1:12" x14ac:dyDescent="0.25">
      <c r="A10933" t="str">
        <f t="shared" si="2364"/>
        <v>89301000</v>
      </c>
      <c r="B10933" t="str">
        <f t="shared" si="2372"/>
        <v>89383000</v>
      </c>
      <c r="C10933" t="str">
        <f t="shared" si="2373"/>
        <v>89383002</v>
      </c>
      <c r="D10933" t="str">
        <f t="shared" si="2374"/>
        <v>809</v>
      </c>
      <c r="E10933" t="str">
        <f t="shared" si="2377"/>
        <v>89301212</v>
      </c>
      <c r="F10933" t="str">
        <f>"7451195312"</f>
        <v>7451195312</v>
      </c>
      <c r="G10933" s="1">
        <v>44879</v>
      </c>
      <c r="H10933" t="str">
        <f>"89180"</f>
        <v>89180</v>
      </c>
      <c r="I10933">
        <v>2</v>
      </c>
      <c r="J10933">
        <v>752</v>
      </c>
      <c r="K10933">
        <v>0</v>
      </c>
      <c r="L10933">
        <v>1052.8</v>
      </c>
    </row>
    <row r="10934" spans="1:12" x14ac:dyDescent="0.25">
      <c r="A10934" t="str">
        <f t="shared" si="2364"/>
        <v>89301000</v>
      </c>
      <c r="B10934" t="str">
        <f t="shared" si="2372"/>
        <v>89383000</v>
      </c>
      <c r="C10934" t="str">
        <f t="shared" si="2373"/>
        <v>89383002</v>
      </c>
      <c r="D10934" t="str">
        <f t="shared" si="2374"/>
        <v>809</v>
      </c>
      <c r="E10934" t="str">
        <f t="shared" si="2377"/>
        <v>89301212</v>
      </c>
      <c r="F10934" t="str">
        <f>"7451195312"</f>
        <v>7451195312</v>
      </c>
      <c r="G10934" s="1">
        <v>44879</v>
      </c>
      <c r="H10934" t="str">
        <f>"89512"</f>
        <v>89512</v>
      </c>
      <c r="I10934">
        <v>1</v>
      </c>
      <c r="J10934">
        <v>277</v>
      </c>
      <c r="K10934">
        <v>0</v>
      </c>
      <c r="L10934">
        <v>387.8</v>
      </c>
    </row>
    <row r="10935" spans="1:12" x14ac:dyDescent="0.25">
      <c r="A10935" t="str">
        <f t="shared" si="2364"/>
        <v>89301000</v>
      </c>
      <c r="B10935" t="str">
        <f t="shared" si="2372"/>
        <v>89383000</v>
      </c>
      <c r="C10935" t="str">
        <f t="shared" si="2373"/>
        <v>89383002</v>
      </c>
      <c r="D10935" t="str">
        <f t="shared" si="2374"/>
        <v>809</v>
      </c>
      <c r="E10935" t="str">
        <f t="shared" si="2377"/>
        <v>89301212</v>
      </c>
      <c r="F10935" t="str">
        <f>"7451195312"</f>
        <v>7451195312</v>
      </c>
      <c r="G10935" s="1">
        <v>44879</v>
      </c>
      <c r="H10935" t="str">
        <f>"89513"</f>
        <v>89513</v>
      </c>
      <c r="I10935">
        <v>1</v>
      </c>
      <c r="J10935">
        <v>371</v>
      </c>
      <c r="K10935">
        <v>0</v>
      </c>
      <c r="L10935">
        <v>519.4</v>
      </c>
    </row>
    <row r="10936" spans="1:12" x14ac:dyDescent="0.25">
      <c r="A10936" t="str">
        <f t="shared" si="2364"/>
        <v>89301000</v>
      </c>
      <c r="B10936" t="str">
        <f t="shared" si="2372"/>
        <v>89383000</v>
      </c>
      <c r="C10936" t="str">
        <f t="shared" si="2373"/>
        <v>89383002</v>
      </c>
      <c r="D10936" t="str">
        <f t="shared" si="2374"/>
        <v>809</v>
      </c>
      <c r="E10936" t="str">
        <f t="shared" si="2377"/>
        <v>89301212</v>
      </c>
      <c r="F10936" t="str">
        <f>"7451195312"</f>
        <v>7451195312</v>
      </c>
      <c r="G10936" s="1">
        <v>44879</v>
      </c>
      <c r="H10936" t="str">
        <f>"89514"</f>
        <v>89514</v>
      </c>
      <c r="I10936">
        <v>1</v>
      </c>
      <c r="J10936">
        <v>371</v>
      </c>
      <c r="K10936">
        <v>0</v>
      </c>
      <c r="L10936">
        <v>519.4</v>
      </c>
    </row>
    <row r="10937" spans="1:12" x14ac:dyDescent="0.25">
      <c r="A10937" t="str">
        <f t="shared" si="2364"/>
        <v>89301000</v>
      </c>
      <c r="B10937" t="str">
        <f t="shared" si="2372"/>
        <v>89383000</v>
      </c>
      <c r="C10937" t="str">
        <f t="shared" si="2373"/>
        <v>89383002</v>
      </c>
      <c r="D10937" t="str">
        <f t="shared" si="2374"/>
        <v>809</v>
      </c>
      <c r="E10937" t="str">
        <f t="shared" si="2377"/>
        <v>89301212</v>
      </c>
      <c r="F10937" t="str">
        <f>"6262066184"</f>
        <v>6262066184</v>
      </c>
      <c r="G10937" s="1">
        <v>44879</v>
      </c>
      <c r="H10937" t="str">
        <f>"89180"</f>
        <v>89180</v>
      </c>
      <c r="I10937">
        <v>2</v>
      </c>
      <c r="J10937">
        <v>752</v>
      </c>
      <c r="K10937">
        <v>0</v>
      </c>
      <c r="L10937">
        <v>1052.8</v>
      </c>
    </row>
    <row r="10938" spans="1:12" x14ac:dyDescent="0.25">
      <c r="A10938" t="str">
        <f t="shared" si="2364"/>
        <v>89301000</v>
      </c>
      <c r="B10938" t="str">
        <f t="shared" si="2372"/>
        <v>89383000</v>
      </c>
      <c r="C10938" t="str">
        <f t="shared" si="2373"/>
        <v>89383002</v>
      </c>
      <c r="D10938" t="str">
        <f t="shared" si="2374"/>
        <v>809</v>
      </c>
      <c r="E10938" t="str">
        <f t="shared" si="2377"/>
        <v>89301212</v>
      </c>
      <c r="F10938" t="str">
        <f>"6262066184"</f>
        <v>6262066184</v>
      </c>
      <c r="G10938" s="1">
        <v>44879</v>
      </c>
      <c r="H10938" t="str">
        <f>"89512"</f>
        <v>89512</v>
      </c>
      <c r="I10938">
        <v>1</v>
      </c>
      <c r="J10938">
        <v>277</v>
      </c>
      <c r="K10938">
        <v>0</v>
      </c>
      <c r="L10938">
        <v>387.8</v>
      </c>
    </row>
    <row r="10939" spans="1:12" x14ac:dyDescent="0.25">
      <c r="A10939" t="str">
        <f t="shared" si="2364"/>
        <v>89301000</v>
      </c>
      <c r="B10939" t="str">
        <f t="shared" si="2372"/>
        <v>89383000</v>
      </c>
      <c r="C10939" t="str">
        <f t="shared" si="2373"/>
        <v>89383002</v>
      </c>
      <c r="D10939" t="str">
        <f t="shared" si="2374"/>
        <v>809</v>
      </c>
      <c r="E10939" t="str">
        <f t="shared" si="2377"/>
        <v>89301212</v>
      </c>
      <c r="F10939" t="str">
        <f>"415810412"</f>
        <v>415810412</v>
      </c>
      <c r="G10939" s="1">
        <v>44880</v>
      </c>
      <c r="H10939" t="str">
        <f>"89512"</f>
        <v>89512</v>
      </c>
      <c r="I10939">
        <v>1</v>
      </c>
      <c r="J10939">
        <v>277</v>
      </c>
      <c r="K10939">
        <v>0</v>
      </c>
      <c r="L10939">
        <v>387.8</v>
      </c>
    </row>
    <row r="10940" spans="1:12" x14ac:dyDescent="0.25">
      <c r="A10940" t="str">
        <f t="shared" si="2364"/>
        <v>89301000</v>
      </c>
      <c r="B10940" t="str">
        <f t="shared" si="2372"/>
        <v>89383000</v>
      </c>
      <c r="C10940" t="str">
        <f t="shared" si="2373"/>
        <v>89383002</v>
      </c>
      <c r="D10940" t="str">
        <f t="shared" si="2374"/>
        <v>809</v>
      </c>
      <c r="E10940" t="str">
        <f t="shared" si="2377"/>
        <v>89301212</v>
      </c>
      <c r="F10940" t="str">
        <f>"415810412"</f>
        <v>415810412</v>
      </c>
      <c r="G10940" s="1">
        <v>44880</v>
      </c>
      <c r="H10940" t="str">
        <f>"89513"</f>
        <v>89513</v>
      </c>
      <c r="I10940">
        <v>1</v>
      </c>
      <c r="J10940">
        <v>371</v>
      </c>
      <c r="K10940">
        <v>0</v>
      </c>
      <c r="L10940">
        <v>519.4</v>
      </c>
    </row>
    <row r="10941" spans="1:12" x14ac:dyDescent="0.25">
      <c r="A10941" t="str">
        <f t="shared" si="2364"/>
        <v>89301000</v>
      </c>
      <c r="B10941" t="str">
        <f t="shared" si="2372"/>
        <v>89383000</v>
      </c>
      <c r="C10941" t="str">
        <f t="shared" si="2373"/>
        <v>89383002</v>
      </c>
      <c r="D10941" t="str">
        <f t="shared" si="2374"/>
        <v>809</v>
      </c>
      <c r="E10941" t="str">
        <f t="shared" si="2377"/>
        <v>89301212</v>
      </c>
      <c r="F10941" t="str">
        <f>"415810412"</f>
        <v>415810412</v>
      </c>
      <c r="G10941" s="1">
        <v>44880</v>
      </c>
      <c r="H10941" t="str">
        <f>"89514"</f>
        <v>89514</v>
      </c>
      <c r="I10941">
        <v>1</v>
      </c>
      <c r="J10941">
        <v>371</v>
      </c>
      <c r="K10941">
        <v>0</v>
      </c>
      <c r="L10941">
        <v>519.4</v>
      </c>
    </row>
    <row r="10942" spans="1:12" x14ac:dyDescent="0.25">
      <c r="A10942" t="str">
        <f t="shared" si="2364"/>
        <v>89301000</v>
      </c>
      <c r="B10942" t="str">
        <f t="shared" si="2372"/>
        <v>89383000</v>
      </c>
      <c r="C10942" t="str">
        <f t="shared" si="2373"/>
        <v>89383002</v>
      </c>
      <c r="D10942" t="str">
        <f t="shared" si="2374"/>
        <v>809</v>
      </c>
      <c r="E10942" t="str">
        <f t="shared" si="2377"/>
        <v>89301212</v>
      </c>
      <c r="F10942" t="str">
        <f>"5956212141"</f>
        <v>5956212141</v>
      </c>
      <c r="G10942" s="1">
        <v>44880</v>
      </c>
      <c r="H10942" t="str">
        <f>"89180"</f>
        <v>89180</v>
      </c>
      <c r="I10942">
        <v>2</v>
      </c>
      <c r="J10942">
        <v>752</v>
      </c>
      <c r="K10942">
        <v>0</v>
      </c>
      <c r="L10942">
        <v>1052.8</v>
      </c>
    </row>
    <row r="10943" spans="1:12" x14ac:dyDescent="0.25">
      <c r="A10943" t="str">
        <f t="shared" si="2364"/>
        <v>89301000</v>
      </c>
      <c r="B10943" t="str">
        <f t="shared" si="2372"/>
        <v>89383000</v>
      </c>
      <c r="C10943" t="str">
        <f t="shared" si="2373"/>
        <v>89383002</v>
      </c>
      <c r="D10943" t="str">
        <f t="shared" si="2374"/>
        <v>809</v>
      </c>
      <c r="E10943" t="str">
        <f t="shared" si="2377"/>
        <v>89301212</v>
      </c>
      <c r="F10943" t="str">
        <f>"5956212141"</f>
        <v>5956212141</v>
      </c>
      <c r="G10943" s="1">
        <v>44880</v>
      </c>
      <c r="H10943" t="str">
        <f>"89512"</f>
        <v>89512</v>
      </c>
      <c r="I10943">
        <v>1</v>
      </c>
      <c r="J10943">
        <v>277</v>
      </c>
      <c r="K10943">
        <v>0</v>
      </c>
      <c r="L10943">
        <v>387.8</v>
      </c>
    </row>
    <row r="10944" spans="1:12" x14ac:dyDescent="0.25">
      <c r="A10944" t="str">
        <f t="shared" si="2364"/>
        <v>89301000</v>
      </c>
      <c r="B10944" t="str">
        <f t="shared" si="2372"/>
        <v>89383000</v>
      </c>
      <c r="C10944" t="str">
        <f t="shared" si="2373"/>
        <v>89383002</v>
      </c>
      <c r="D10944" t="str">
        <f t="shared" si="2374"/>
        <v>809</v>
      </c>
      <c r="E10944" t="str">
        <f t="shared" si="2377"/>
        <v>89301212</v>
      </c>
      <c r="F10944" t="str">
        <f>"6756080639"</f>
        <v>6756080639</v>
      </c>
      <c r="G10944" s="1">
        <v>44881</v>
      </c>
      <c r="H10944" t="str">
        <f>"89180"</f>
        <v>89180</v>
      </c>
      <c r="I10944">
        <v>2</v>
      </c>
      <c r="J10944">
        <v>752</v>
      </c>
      <c r="K10944">
        <v>0</v>
      </c>
      <c r="L10944">
        <v>1052.8</v>
      </c>
    </row>
    <row r="10945" spans="1:12" x14ac:dyDescent="0.25">
      <c r="A10945" t="str">
        <f t="shared" si="2364"/>
        <v>89301000</v>
      </c>
      <c r="B10945" t="str">
        <f t="shared" si="2372"/>
        <v>89383000</v>
      </c>
      <c r="C10945" t="str">
        <f t="shared" si="2373"/>
        <v>89383002</v>
      </c>
      <c r="D10945" t="str">
        <f t="shared" si="2374"/>
        <v>809</v>
      </c>
      <c r="E10945" t="str">
        <f t="shared" si="2377"/>
        <v>89301212</v>
      </c>
      <c r="F10945" t="str">
        <f>"6756080639"</f>
        <v>6756080639</v>
      </c>
      <c r="G10945" s="1">
        <v>44881</v>
      </c>
      <c r="H10945" t="str">
        <f>"89512"</f>
        <v>89512</v>
      </c>
      <c r="I10945">
        <v>1</v>
      </c>
      <c r="J10945">
        <v>277</v>
      </c>
      <c r="K10945">
        <v>0</v>
      </c>
      <c r="L10945">
        <v>387.8</v>
      </c>
    </row>
    <row r="10946" spans="1:12" x14ac:dyDescent="0.25">
      <c r="A10946" t="str">
        <f t="shared" ref="A10946:A11009" si="2378">"89301000"</f>
        <v>89301000</v>
      </c>
      <c r="B10946" t="str">
        <f t="shared" ref="B10946:B10977" si="2379">"89383000"</f>
        <v>89383000</v>
      </c>
      <c r="C10946" t="str">
        <f t="shared" ref="C10946:C10977" si="2380">"89383002"</f>
        <v>89383002</v>
      </c>
      <c r="D10946" t="str">
        <f t="shared" ref="D10946:D10977" si="2381">"809"</f>
        <v>809</v>
      </c>
      <c r="E10946" t="str">
        <f t="shared" si="2377"/>
        <v>89301212</v>
      </c>
      <c r="F10946" t="str">
        <f>"6756080639"</f>
        <v>6756080639</v>
      </c>
      <c r="G10946" s="1">
        <v>44881</v>
      </c>
      <c r="H10946" t="str">
        <f>"89513"</f>
        <v>89513</v>
      </c>
      <c r="I10946">
        <v>1</v>
      </c>
      <c r="J10946">
        <v>371</v>
      </c>
      <c r="K10946">
        <v>0</v>
      </c>
      <c r="L10946">
        <v>519.4</v>
      </c>
    </row>
    <row r="10947" spans="1:12" x14ac:dyDescent="0.25">
      <c r="A10947" t="str">
        <f t="shared" si="2378"/>
        <v>89301000</v>
      </c>
      <c r="B10947" t="str">
        <f t="shared" si="2379"/>
        <v>89383000</v>
      </c>
      <c r="C10947" t="str">
        <f t="shared" si="2380"/>
        <v>89383002</v>
      </c>
      <c r="D10947" t="str">
        <f t="shared" si="2381"/>
        <v>809</v>
      </c>
      <c r="E10947" t="str">
        <f t="shared" si="2377"/>
        <v>89301212</v>
      </c>
      <c r="F10947" t="str">
        <f>"6756080639"</f>
        <v>6756080639</v>
      </c>
      <c r="G10947" s="1">
        <v>44881</v>
      </c>
      <c r="H10947" t="str">
        <f>"89514"</f>
        <v>89514</v>
      </c>
      <c r="I10947">
        <v>1</v>
      </c>
      <c r="J10947">
        <v>371</v>
      </c>
      <c r="K10947">
        <v>0</v>
      </c>
      <c r="L10947">
        <v>519.4</v>
      </c>
    </row>
    <row r="10948" spans="1:12" x14ac:dyDescent="0.25">
      <c r="A10948" t="str">
        <f t="shared" si="2378"/>
        <v>89301000</v>
      </c>
      <c r="B10948" t="str">
        <f t="shared" si="2379"/>
        <v>89383000</v>
      </c>
      <c r="C10948" t="str">
        <f t="shared" si="2380"/>
        <v>89383002</v>
      </c>
      <c r="D10948" t="str">
        <f t="shared" si="2381"/>
        <v>809</v>
      </c>
      <c r="E10948" t="str">
        <f t="shared" si="2377"/>
        <v>89301212</v>
      </c>
      <c r="F10948" t="str">
        <f>"7254275358"</f>
        <v>7254275358</v>
      </c>
      <c r="G10948" s="1">
        <v>44883</v>
      </c>
      <c r="H10948" t="str">
        <f>"89180"</f>
        <v>89180</v>
      </c>
      <c r="I10948">
        <v>2</v>
      </c>
      <c r="J10948">
        <v>752</v>
      </c>
      <c r="K10948">
        <v>0</v>
      </c>
      <c r="L10948">
        <v>1052.8</v>
      </c>
    </row>
    <row r="10949" spans="1:12" x14ac:dyDescent="0.25">
      <c r="A10949" t="str">
        <f t="shared" si="2378"/>
        <v>89301000</v>
      </c>
      <c r="B10949" t="str">
        <f t="shared" si="2379"/>
        <v>89383000</v>
      </c>
      <c r="C10949" t="str">
        <f t="shared" si="2380"/>
        <v>89383002</v>
      </c>
      <c r="D10949" t="str">
        <f t="shared" si="2381"/>
        <v>809</v>
      </c>
      <c r="E10949" t="str">
        <f t="shared" si="2377"/>
        <v>89301212</v>
      </c>
      <c r="F10949" t="str">
        <f>"7254275358"</f>
        <v>7254275358</v>
      </c>
      <c r="G10949" s="1">
        <v>44883</v>
      </c>
      <c r="H10949" t="str">
        <f>"89512"</f>
        <v>89512</v>
      </c>
      <c r="I10949">
        <v>1</v>
      </c>
      <c r="J10949">
        <v>277</v>
      </c>
      <c r="K10949">
        <v>0</v>
      </c>
      <c r="L10949">
        <v>387.8</v>
      </c>
    </row>
    <row r="10950" spans="1:12" x14ac:dyDescent="0.25">
      <c r="A10950" t="str">
        <f t="shared" si="2378"/>
        <v>89301000</v>
      </c>
      <c r="B10950" t="str">
        <f t="shared" si="2379"/>
        <v>89383000</v>
      </c>
      <c r="C10950" t="str">
        <f t="shared" si="2380"/>
        <v>89383002</v>
      </c>
      <c r="D10950" t="str">
        <f t="shared" si="2381"/>
        <v>809</v>
      </c>
      <c r="E10950" t="str">
        <f>"89301215"</f>
        <v>89301215</v>
      </c>
      <c r="F10950" t="str">
        <f>"6259091520"</f>
        <v>6259091520</v>
      </c>
      <c r="G10950" s="1">
        <v>44886</v>
      </c>
      <c r="H10950" t="str">
        <f>"89513"</f>
        <v>89513</v>
      </c>
      <c r="I10950">
        <v>1</v>
      </c>
      <c r="J10950">
        <v>371</v>
      </c>
      <c r="K10950">
        <v>0</v>
      </c>
      <c r="L10950">
        <v>519.4</v>
      </c>
    </row>
    <row r="10951" spans="1:12" x14ac:dyDescent="0.25">
      <c r="A10951" t="str">
        <f t="shared" si="2378"/>
        <v>89301000</v>
      </c>
      <c r="B10951" t="str">
        <f t="shared" si="2379"/>
        <v>89383000</v>
      </c>
      <c r="C10951" t="str">
        <f t="shared" si="2380"/>
        <v>89383002</v>
      </c>
      <c r="D10951" t="str">
        <f t="shared" si="2381"/>
        <v>809</v>
      </c>
      <c r="E10951" t="str">
        <f>"89301215"</f>
        <v>89301215</v>
      </c>
      <c r="F10951" t="str">
        <f>"6259091520"</f>
        <v>6259091520</v>
      </c>
      <c r="G10951" s="1">
        <v>44886</v>
      </c>
      <c r="H10951" t="str">
        <f>"89514"</f>
        <v>89514</v>
      </c>
      <c r="I10951">
        <v>1</v>
      </c>
      <c r="J10951">
        <v>371</v>
      </c>
      <c r="K10951">
        <v>0</v>
      </c>
      <c r="L10951">
        <v>519.4</v>
      </c>
    </row>
    <row r="10952" spans="1:12" x14ac:dyDescent="0.25">
      <c r="A10952" t="str">
        <f t="shared" si="2378"/>
        <v>89301000</v>
      </c>
      <c r="B10952" t="str">
        <f t="shared" si="2379"/>
        <v>89383000</v>
      </c>
      <c r="C10952" t="str">
        <f t="shared" si="2380"/>
        <v>89383002</v>
      </c>
      <c r="D10952" t="str">
        <f t="shared" si="2381"/>
        <v>809</v>
      </c>
      <c r="E10952" t="str">
        <f>"89301215"</f>
        <v>89301215</v>
      </c>
      <c r="F10952" t="str">
        <f>"5462082835"</f>
        <v>5462082835</v>
      </c>
      <c r="G10952" s="1">
        <v>44886</v>
      </c>
      <c r="H10952" t="str">
        <f>"89513"</f>
        <v>89513</v>
      </c>
      <c r="I10952">
        <v>1</v>
      </c>
      <c r="J10952">
        <v>371</v>
      </c>
      <c r="K10952">
        <v>0</v>
      </c>
      <c r="L10952">
        <v>519.4</v>
      </c>
    </row>
    <row r="10953" spans="1:12" x14ac:dyDescent="0.25">
      <c r="A10953" t="str">
        <f t="shared" si="2378"/>
        <v>89301000</v>
      </c>
      <c r="B10953" t="str">
        <f t="shared" si="2379"/>
        <v>89383000</v>
      </c>
      <c r="C10953" t="str">
        <f t="shared" si="2380"/>
        <v>89383002</v>
      </c>
      <c r="D10953" t="str">
        <f t="shared" si="2381"/>
        <v>809</v>
      </c>
      <c r="E10953" t="str">
        <f>"89301215"</f>
        <v>89301215</v>
      </c>
      <c r="F10953" t="str">
        <f>"5462082835"</f>
        <v>5462082835</v>
      </c>
      <c r="G10953" s="1">
        <v>44886</v>
      </c>
      <c r="H10953" t="str">
        <f>"89514"</f>
        <v>89514</v>
      </c>
      <c r="I10953">
        <v>1</v>
      </c>
      <c r="J10953">
        <v>371</v>
      </c>
      <c r="K10953">
        <v>0</v>
      </c>
      <c r="L10953">
        <v>519.4</v>
      </c>
    </row>
    <row r="10954" spans="1:12" x14ac:dyDescent="0.25">
      <c r="A10954" t="str">
        <f t="shared" si="2378"/>
        <v>89301000</v>
      </c>
      <c r="B10954" t="str">
        <f t="shared" si="2379"/>
        <v>89383000</v>
      </c>
      <c r="C10954" t="str">
        <f t="shared" si="2380"/>
        <v>89383002</v>
      </c>
      <c r="D10954" t="str">
        <f t="shared" si="2381"/>
        <v>809</v>
      </c>
      <c r="E10954" t="str">
        <f t="shared" ref="E10954:E10959" si="2382">"89301212"</f>
        <v>89301212</v>
      </c>
      <c r="F10954" t="str">
        <f>"5557231405"</f>
        <v>5557231405</v>
      </c>
      <c r="G10954" s="1">
        <v>44886</v>
      </c>
      <c r="H10954" t="str">
        <f>"89180"</f>
        <v>89180</v>
      </c>
      <c r="I10954">
        <v>2</v>
      </c>
      <c r="J10954">
        <v>752</v>
      </c>
      <c r="K10954">
        <v>0</v>
      </c>
      <c r="L10954">
        <v>1052.8</v>
      </c>
    </row>
    <row r="10955" spans="1:12" x14ac:dyDescent="0.25">
      <c r="A10955" t="str">
        <f t="shared" si="2378"/>
        <v>89301000</v>
      </c>
      <c r="B10955" t="str">
        <f t="shared" si="2379"/>
        <v>89383000</v>
      </c>
      <c r="C10955" t="str">
        <f t="shared" si="2380"/>
        <v>89383002</v>
      </c>
      <c r="D10955" t="str">
        <f t="shared" si="2381"/>
        <v>809</v>
      </c>
      <c r="E10955" t="str">
        <f t="shared" si="2382"/>
        <v>89301212</v>
      </c>
      <c r="F10955" t="str">
        <f>"5557231405"</f>
        <v>5557231405</v>
      </c>
      <c r="G10955" s="1">
        <v>44886</v>
      </c>
      <c r="H10955" t="str">
        <f>"89512"</f>
        <v>89512</v>
      </c>
      <c r="I10955">
        <v>1</v>
      </c>
      <c r="J10955">
        <v>277</v>
      </c>
      <c r="K10955">
        <v>0</v>
      </c>
      <c r="L10955">
        <v>387.8</v>
      </c>
    </row>
    <row r="10956" spans="1:12" x14ac:dyDescent="0.25">
      <c r="A10956" t="str">
        <f t="shared" si="2378"/>
        <v>89301000</v>
      </c>
      <c r="B10956" t="str">
        <f t="shared" si="2379"/>
        <v>89383000</v>
      </c>
      <c r="C10956" t="str">
        <f t="shared" si="2380"/>
        <v>89383002</v>
      </c>
      <c r="D10956" t="str">
        <f t="shared" si="2381"/>
        <v>809</v>
      </c>
      <c r="E10956" t="str">
        <f t="shared" si="2382"/>
        <v>89301212</v>
      </c>
      <c r="F10956" t="str">
        <f>"7652245799"</f>
        <v>7652245799</v>
      </c>
      <c r="G10956" s="1">
        <v>44887</v>
      </c>
      <c r="H10956" t="str">
        <f>"89180"</f>
        <v>89180</v>
      </c>
      <c r="I10956">
        <v>1</v>
      </c>
      <c r="J10956">
        <v>376</v>
      </c>
      <c r="K10956">
        <v>0</v>
      </c>
      <c r="L10956">
        <v>526.4</v>
      </c>
    </row>
    <row r="10957" spans="1:12" x14ac:dyDescent="0.25">
      <c r="A10957" t="str">
        <f t="shared" si="2378"/>
        <v>89301000</v>
      </c>
      <c r="B10957" t="str">
        <f t="shared" si="2379"/>
        <v>89383000</v>
      </c>
      <c r="C10957" t="str">
        <f t="shared" si="2380"/>
        <v>89383002</v>
      </c>
      <c r="D10957" t="str">
        <f t="shared" si="2381"/>
        <v>809</v>
      </c>
      <c r="E10957" t="str">
        <f t="shared" si="2382"/>
        <v>89301212</v>
      </c>
      <c r="F10957" t="str">
        <f>"7652245799"</f>
        <v>7652245799</v>
      </c>
      <c r="G10957" s="1">
        <v>44887</v>
      </c>
      <c r="H10957" t="str">
        <f>"89512"</f>
        <v>89512</v>
      </c>
      <c r="I10957">
        <v>1</v>
      </c>
      <c r="J10957">
        <v>277</v>
      </c>
      <c r="K10957">
        <v>0</v>
      </c>
      <c r="L10957">
        <v>387.8</v>
      </c>
    </row>
    <row r="10958" spans="1:12" x14ac:dyDescent="0.25">
      <c r="A10958" t="str">
        <f t="shared" si="2378"/>
        <v>89301000</v>
      </c>
      <c r="B10958" t="str">
        <f t="shared" si="2379"/>
        <v>89383000</v>
      </c>
      <c r="C10958" t="str">
        <f t="shared" si="2380"/>
        <v>89383002</v>
      </c>
      <c r="D10958" t="str">
        <f t="shared" si="2381"/>
        <v>809</v>
      </c>
      <c r="E10958" t="str">
        <f t="shared" si="2382"/>
        <v>89301212</v>
      </c>
      <c r="F10958" t="str">
        <f>"7652245799"</f>
        <v>7652245799</v>
      </c>
      <c r="G10958" s="1">
        <v>44887</v>
      </c>
      <c r="H10958" t="str">
        <f>"89513"</f>
        <v>89513</v>
      </c>
      <c r="I10958">
        <v>1</v>
      </c>
      <c r="J10958">
        <v>371</v>
      </c>
      <c r="K10958">
        <v>0</v>
      </c>
      <c r="L10958">
        <v>519.4</v>
      </c>
    </row>
    <row r="10959" spans="1:12" x14ac:dyDescent="0.25">
      <c r="A10959" t="str">
        <f t="shared" si="2378"/>
        <v>89301000</v>
      </c>
      <c r="B10959" t="str">
        <f t="shared" si="2379"/>
        <v>89383000</v>
      </c>
      <c r="C10959" t="str">
        <f t="shared" si="2380"/>
        <v>89383002</v>
      </c>
      <c r="D10959" t="str">
        <f t="shared" si="2381"/>
        <v>809</v>
      </c>
      <c r="E10959" t="str">
        <f t="shared" si="2382"/>
        <v>89301212</v>
      </c>
      <c r="F10959" t="str">
        <f>"7652245799"</f>
        <v>7652245799</v>
      </c>
      <c r="G10959" s="1">
        <v>44887</v>
      </c>
      <c r="H10959" t="str">
        <f>"89514"</f>
        <v>89514</v>
      </c>
      <c r="I10959">
        <v>1</v>
      </c>
      <c r="J10959">
        <v>371</v>
      </c>
      <c r="K10959">
        <v>0</v>
      </c>
      <c r="L10959">
        <v>519.4</v>
      </c>
    </row>
    <row r="10960" spans="1:12" x14ac:dyDescent="0.25">
      <c r="A10960" t="str">
        <f t="shared" si="2378"/>
        <v>89301000</v>
      </c>
      <c r="B10960" t="str">
        <f t="shared" si="2379"/>
        <v>89383000</v>
      </c>
      <c r="C10960" t="str">
        <f t="shared" si="2380"/>
        <v>89383002</v>
      </c>
      <c r="D10960" t="str">
        <f t="shared" si="2381"/>
        <v>809</v>
      </c>
      <c r="E10960" t="str">
        <f>"89301045"</f>
        <v>89301045</v>
      </c>
      <c r="F10960" t="str">
        <f>"446213405"</f>
        <v>446213405</v>
      </c>
      <c r="G10960" s="1">
        <v>44883</v>
      </c>
      <c r="H10960" t="str">
        <f>"89313"</f>
        <v>89313</v>
      </c>
      <c r="I10960">
        <v>1</v>
      </c>
      <c r="J10960">
        <v>406</v>
      </c>
      <c r="K10960">
        <v>0</v>
      </c>
      <c r="L10960">
        <v>568.4</v>
      </c>
    </row>
    <row r="10961" spans="1:12" x14ac:dyDescent="0.25">
      <c r="A10961" t="str">
        <f t="shared" si="2378"/>
        <v>89301000</v>
      </c>
      <c r="B10961" t="str">
        <f t="shared" si="2379"/>
        <v>89383000</v>
      </c>
      <c r="C10961" t="str">
        <f t="shared" si="2380"/>
        <v>89383002</v>
      </c>
      <c r="D10961" t="str">
        <f t="shared" si="2381"/>
        <v>809</v>
      </c>
      <c r="E10961" t="str">
        <f>"89301045"</f>
        <v>89301045</v>
      </c>
      <c r="F10961" t="str">
        <f>"446213405"</f>
        <v>446213405</v>
      </c>
      <c r="G10961" s="1">
        <v>44883</v>
      </c>
      <c r="H10961" t="str">
        <f>"09233"</f>
        <v>09233</v>
      </c>
      <c r="I10961">
        <v>1</v>
      </c>
      <c r="J10961">
        <v>99</v>
      </c>
      <c r="K10961">
        <v>0</v>
      </c>
      <c r="L10961">
        <v>138.6</v>
      </c>
    </row>
    <row r="10962" spans="1:12" x14ac:dyDescent="0.25">
      <c r="A10962" t="str">
        <f t="shared" si="2378"/>
        <v>89301000</v>
      </c>
      <c r="B10962" t="str">
        <f t="shared" si="2379"/>
        <v>89383000</v>
      </c>
      <c r="C10962" t="str">
        <f t="shared" si="2380"/>
        <v>89383002</v>
      </c>
      <c r="D10962" t="str">
        <f t="shared" si="2381"/>
        <v>809</v>
      </c>
      <c r="E10962" t="str">
        <f>"89301045"</f>
        <v>89301045</v>
      </c>
      <c r="F10962" t="str">
        <f>"446213405"</f>
        <v>446213405</v>
      </c>
      <c r="G10962" s="1">
        <v>44883</v>
      </c>
      <c r="H10962" t="str">
        <f>"89512"</f>
        <v>89512</v>
      </c>
      <c r="I10962">
        <v>1</v>
      </c>
      <c r="J10962">
        <v>277</v>
      </c>
      <c r="K10962">
        <v>0</v>
      </c>
      <c r="L10962">
        <v>387.8</v>
      </c>
    </row>
    <row r="10963" spans="1:12" x14ac:dyDescent="0.25">
      <c r="A10963" t="str">
        <f t="shared" si="2378"/>
        <v>89301000</v>
      </c>
      <c r="B10963" t="str">
        <f t="shared" si="2379"/>
        <v>89383000</v>
      </c>
      <c r="C10963" t="str">
        <f t="shared" si="2380"/>
        <v>89383002</v>
      </c>
      <c r="D10963" t="str">
        <f t="shared" si="2381"/>
        <v>809</v>
      </c>
      <c r="E10963" t="str">
        <f>"89301045"</f>
        <v>89301045</v>
      </c>
      <c r="F10963" t="str">
        <f>"446213405"</f>
        <v>446213405</v>
      </c>
      <c r="G10963" s="1">
        <v>44883</v>
      </c>
      <c r="H10963" t="str">
        <f>"89180"</f>
        <v>89180</v>
      </c>
      <c r="I10963">
        <v>1</v>
      </c>
      <c r="J10963">
        <v>376</v>
      </c>
      <c r="K10963">
        <v>0</v>
      </c>
      <c r="L10963">
        <v>526.4</v>
      </c>
    </row>
    <row r="10964" spans="1:12" x14ac:dyDescent="0.25">
      <c r="A10964" t="str">
        <f t="shared" si="2378"/>
        <v>89301000</v>
      </c>
      <c r="B10964" t="str">
        <f t="shared" si="2379"/>
        <v>89383000</v>
      </c>
      <c r="C10964" t="str">
        <f t="shared" si="2380"/>
        <v>89383002</v>
      </c>
      <c r="D10964" t="str">
        <f t="shared" si="2381"/>
        <v>809</v>
      </c>
      <c r="E10964" t="str">
        <f>"89301045"</f>
        <v>89301045</v>
      </c>
      <c r="F10964" t="str">
        <f>"446213405"</f>
        <v>446213405</v>
      </c>
      <c r="G10964" s="1">
        <v>44883</v>
      </c>
      <c r="H10964" t="str">
        <f>"0142906"</f>
        <v>0142906</v>
      </c>
      <c r="I10964">
        <v>1</v>
      </c>
      <c r="K10964">
        <v>6990</v>
      </c>
      <c r="L10964">
        <v>6990</v>
      </c>
    </row>
    <row r="10965" spans="1:12" x14ac:dyDescent="0.25">
      <c r="A10965" t="str">
        <f t="shared" si="2378"/>
        <v>89301000</v>
      </c>
      <c r="B10965" t="str">
        <f t="shared" si="2379"/>
        <v>89383000</v>
      </c>
      <c r="C10965" t="str">
        <f t="shared" si="2380"/>
        <v>89383002</v>
      </c>
      <c r="D10965" t="str">
        <f t="shared" si="2381"/>
        <v>809</v>
      </c>
      <c r="E10965" t="str">
        <f>"89301212"</f>
        <v>89301212</v>
      </c>
      <c r="F10965" t="str">
        <f>"465722471"</f>
        <v>465722471</v>
      </c>
      <c r="G10965" s="1">
        <v>44888</v>
      </c>
      <c r="H10965" t="str">
        <f>"89513"</f>
        <v>89513</v>
      </c>
      <c r="I10965">
        <v>1</v>
      </c>
      <c r="J10965">
        <v>371</v>
      </c>
      <c r="K10965">
        <v>0</v>
      </c>
      <c r="L10965">
        <v>519.4</v>
      </c>
    </row>
    <row r="10966" spans="1:12" x14ac:dyDescent="0.25">
      <c r="A10966" t="str">
        <f t="shared" si="2378"/>
        <v>89301000</v>
      </c>
      <c r="B10966" t="str">
        <f t="shared" si="2379"/>
        <v>89383000</v>
      </c>
      <c r="C10966" t="str">
        <f t="shared" si="2380"/>
        <v>89383002</v>
      </c>
      <c r="D10966" t="str">
        <f t="shared" si="2381"/>
        <v>809</v>
      </c>
      <c r="E10966" t="str">
        <f>"89301212"</f>
        <v>89301212</v>
      </c>
      <c r="F10966" t="str">
        <f>"465722471"</f>
        <v>465722471</v>
      </c>
      <c r="G10966" s="1">
        <v>44888</v>
      </c>
      <c r="H10966" t="str">
        <f>"89514"</f>
        <v>89514</v>
      </c>
      <c r="I10966">
        <v>1</v>
      </c>
      <c r="J10966">
        <v>371</v>
      </c>
      <c r="K10966">
        <v>0</v>
      </c>
      <c r="L10966">
        <v>519.4</v>
      </c>
    </row>
    <row r="10967" spans="1:12" x14ac:dyDescent="0.25">
      <c r="A10967" t="str">
        <f t="shared" si="2378"/>
        <v>89301000</v>
      </c>
      <c r="B10967" t="str">
        <f t="shared" si="2379"/>
        <v>89383000</v>
      </c>
      <c r="C10967" t="str">
        <f t="shared" si="2380"/>
        <v>89383002</v>
      </c>
      <c r="D10967" t="str">
        <f t="shared" si="2381"/>
        <v>809</v>
      </c>
      <c r="E10967" t="str">
        <f>"89301212"</f>
        <v>89301212</v>
      </c>
      <c r="F10967" t="str">
        <f>"7562115308"</f>
        <v>7562115308</v>
      </c>
      <c r="G10967" s="1">
        <v>44888</v>
      </c>
      <c r="H10967" t="str">
        <f>"89513"</f>
        <v>89513</v>
      </c>
      <c r="I10967">
        <v>1</v>
      </c>
      <c r="J10967">
        <v>371</v>
      </c>
      <c r="K10967">
        <v>0</v>
      </c>
      <c r="L10967">
        <v>519.4</v>
      </c>
    </row>
    <row r="10968" spans="1:12" x14ac:dyDescent="0.25">
      <c r="A10968" t="str">
        <f t="shared" si="2378"/>
        <v>89301000</v>
      </c>
      <c r="B10968" t="str">
        <f t="shared" si="2379"/>
        <v>89383000</v>
      </c>
      <c r="C10968" t="str">
        <f t="shared" si="2380"/>
        <v>89383002</v>
      </c>
      <c r="D10968" t="str">
        <f t="shared" si="2381"/>
        <v>809</v>
      </c>
      <c r="E10968" t="str">
        <f>"89301212"</f>
        <v>89301212</v>
      </c>
      <c r="F10968" t="str">
        <f>"7562115308"</f>
        <v>7562115308</v>
      </c>
      <c r="G10968" s="1">
        <v>44888</v>
      </c>
      <c r="H10968" t="str">
        <f>"89514"</f>
        <v>89514</v>
      </c>
      <c r="I10968">
        <v>1</v>
      </c>
      <c r="J10968">
        <v>371</v>
      </c>
      <c r="K10968">
        <v>0</v>
      </c>
      <c r="L10968">
        <v>519.4</v>
      </c>
    </row>
    <row r="10969" spans="1:12" x14ac:dyDescent="0.25">
      <c r="A10969" t="str">
        <f t="shared" si="2378"/>
        <v>89301000</v>
      </c>
      <c r="B10969" t="str">
        <f t="shared" si="2379"/>
        <v>89383000</v>
      </c>
      <c r="C10969" t="str">
        <f t="shared" si="2380"/>
        <v>89383002</v>
      </c>
      <c r="D10969" t="str">
        <f t="shared" si="2381"/>
        <v>809</v>
      </c>
      <c r="E10969" t="str">
        <f t="shared" ref="E10969:E10988" si="2383">"89301045"</f>
        <v>89301045</v>
      </c>
      <c r="F10969" t="str">
        <f>"8658224916"</f>
        <v>8658224916</v>
      </c>
      <c r="G10969" s="1">
        <v>44889</v>
      </c>
      <c r="H10969" t="str">
        <f>"89512"</f>
        <v>89512</v>
      </c>
      <c r="I10969">
        <v>1</v>
      </c>
      <c r="J10969">
        <v>277</v>
      </c>
      <c r="K10969">
        <v>0</v>
      </c>
      <c r="L10969">
        <v>387.8</v>
      </c>
    </row>
    <row r="10970" spans="1:12" x14ac:dyDescent="0.25">
      <c r="A10970" t="str">
        <f t="shared" si="2378"/>
        <v>89301000</v>
      </c>
      <c r="B10970" t="str">
        <f t="shared" si="2379"/>
        <v>89383000</v>
      </c>
      <c r="C10970" t="str">
        <f t="shared" si="2380"/>
        <v>89383002</v>
      </c>
      <c r="D10970" t="str">
        <f t="shared" si="2381"/>
        <v>809</v>
      </c>
      <c r="E10970" t="str">
        <f t="shared" si="2383"/>
        <v>89301045</v>
      </c>
      <c r="F10970" t="str">
        <f>"7456205339"</f>
        <v>7456205339</v>
      </c>
      <c r="G10970" s="1">
        <v>44887</v>
      </c>
      <c r="H10970" t="str">
        <f>"89313"</f>
        <v>89313</v>
      </c>
      <c r="I10970">
        <v>1</v>
      </c>
      <c r="J10970">
        <v>406</v>
      </c>
      <c r="K10970">
        <v>0</v>
      </c>
      <c r="L10970">
        <v>568.4</v>
      </c>
    </row>
    <row r="10971" spans="1:12" x14ac:dyDescent="0.25">
      <c r="A10971" t="str">
        <f t="shared" si="2378"/>
        <v>89301000</v>
      </c>
      <c r="B10971" t="str">
        <f t="shared" si="2379"/>
        <v>89383000</v>
      </c>
      <c r="C10971" t="str">
        <f t="shared" si="2380"/>
        <v>89383002</v>
      </c>
      <c r="D10971" t="str">
        <f t="shared" si="2381"/>
        <v>809</v>
      </c>
      <c r="E10971" t="str">
        <f t="shared" si="2383"/>
        <v>89301045</v>
      </c>
      <c r="F10971" t="str">
        <f>"7456205339"</f>
        <v>7456205339</v>
      </c>
      <c r="G10971" s="1">
        <v>44887</v>
      </c>
      <c r="H10971" t="str">
        <f>"09233"</f>
        <v>09233</v>
      </c>
      <c r="I10971">
        <v>1</v>
      </c>
      <c r="J10971">
        <v>99</v>
      </c>
      <c r="K10971">
        <v>0</v>
      </c>
      <c r="L10971">
        <v>138.6</v>
      </c>
    </row>
    <row r="10972" spans="1:12" x14ac:dyDescent="0.25">
      <c r="A10972" t="str">
        <f t="shared" si="2378"/>
        <v>89301000</v>
      </c>
      <c r="B10972" t="str">
        <f t="shared" si="2379"/>
        <v>89383000</v>
      </c>
      <c r="C10972" t="str">
        <f t="shared" si="2380"/>
        <v>89383002</v>
      </c>
      <c r="D10972" t="str">
        <f t="shared" si="2381"/>
        <v>809</v>
      </c>
      <c r="E10972" t="str">
        <f t="shared" si="2383"/>
        <v>89301045</v>
      </c>
      <c r="F10972" t="str">
        <f>"7456205339"</f>
        <v>7456205339</v>
      </c>
      <c r="G10972" s="1">
        <v>44887</v>
      </c>
      <c r="H10972" t="str">
        <f>"89512"</f>
        <v>89512</v>
      </c>
      <c r="I10972">
        <v>1</v>
      </c>
      <c r="J10972">
        <v>277</v>
      </c>
      <c r="K10972">
        <v>0</v>
      </c>
      <c r="L10972">
        <v>387.8</v>
      </c>
    </row>
    <row r="10973" spans="1:12" x14ac:dyDescent="0.25">
      <c r="A10973" t="str">
        <f t="shared" si="2378"/>
        <v>89301000</v>
      </c>
      <c r="B10973" t="str">
        <f t="shared" si="2379"/>
        <v>89383000</v>
      </c>
      <c r="C10973" t="str">
        <f t="shared" si="2380"/>
        <v>89383002</v>
      </c>
      <c r="D10973" t="str">
        <f t="shared" si="2381"/>
        <v>809</v>
      </c>
      <c r="E10973" t="str">
        <f t="shared" si="2383"/>
        <v>89301045</v>
      </c>
      <c r="F10973" t="str">
        <f>"7456205339"</f>
        <v>7456205339</v>
      </c>
      <c r="G10973" s="1">
        <v>44887</v>
      </c>
      <c r="H10973" t="str">
        <f>"89180"</f>
        <v>89180</v>
      </c>
      <c r="I10973">
        <v>1</v>
      </c>
      <c r="J10973">
        <v>376</v>
      </c>
      <c r="K10973">
        <v>0</v>
      </c>
      <c r="L10973">
        <v>526.4</v>
      </c>
    </row>
    <row r="10974" spans="1:12" x14ac:dyDescent="0.25">
      <c r="A10974" t="str">
        <f t="shared" si="2378"/>
        <v>89301000</v>
      </c>
      <c r="B10974" t="str">
        <f t="shared" si="2379"/>
        <v>89383000</v>
      </c>
      <c r="C10974" t="str">
        <f t="shared" si="2380"/>
        <v>89383002</v>
      </c>
      <c r="D10974" t="str">
        <f t="shared" si="2381"/>
        <v>809</v>
      </c>
      <c r="E10974" t="str">
        <f t="shared" si="2383"/>
        <v>89301045</v>
      </c>
      <c r="F10974" t="str">
        <f>"7456205339"</f>
        <v>7456205339</v>
      </c>
      <c r="G10974" s="1">
        <v>44887</v>
      </c>
      <c r="H10974" t="str">
        <f>"0142906"</f>
        <v>0142906</v>
      </c>
      <c r="I10974">
        <v>1</v>
      </c>
      <c r="K10974">
        <v>6990</v>
      </c>
      <c r="L10974">
        <v>6990</v>
      </c>
    </row>
    <row r="10975" spans="1:12" x14ac:dyDescent="0.25">
      <c r="A10975" t="str">
        <f t="shared" si="2378"/>
        <v>89301000</v>
      </c>
      <c r="B10975" t="str">
        <f t="shared" si="2379"/>
        <v>89383000</v>
      </c>
      <c r="C10975" t="str">
        <f t="shared" si="2380"/>
        <v>89383002</v>
      </c>
      <c r="D10975" t="str">
        <f t="shared" si="2381"/>
        <v>809</v>
      </c>
      <c r="E10975" t="str">
        <f t="shared" si="2383"/>
        <v>89301045</v>
      </c>
      <c r="F10975" t="str">
        <f>"485118401"</f>
        <v>485118401</v>
      </c>
      <c r="G10975" s="1">
        <v>44887</v>
      </c>
      <c r="H10975" t="str">
        <f>"89313"</f>
        <v>89313</v>
      </c>
      <c r="I10975">
        <v>1</v>
      </c>
      <c r="J10975">
        <v>406</v>
      </c>
      <c r="K10975">
        <v>0</v>
      </c>
      <c r="L10975">
        <v>568.4</v>
      </c>
    </row>
    <row r="10976" spans="1:12" x14ac:dyDescent="0.25">
      <c r="A10976" t="str">
        <f t="shared" si="2378"/>
        <v>89301000</v>
      </c>
      <c r="B10976" t="str">
        <f t="shared" si="2379"/>
        <v>89383000</v>
      </c>
      <c r="C10976" t="str">
        <f t="shared" si="2380"/>
        <v>89383002</v>
      </c>
      <c r="D10976" t="str">
        <f t="shared" si="2381"/>
        <v>809</v>
      </c>
      <c r="E10976" t="str">
        <f t="shared" si="2383"/>
        <v>89301045</v>
      </c>
      <c r="F10976" t="str">
        <f>"485118401"</f>
        <v>485118401</v>
      </c>
      <c r="G10976" s="1">
        <v>44887</v>
      </c>
      <c r="H10976" t="str">
        <f>"09233"</f>
        <v>09233</v>
      </c>
      <c r="I10976">
        <v>1</v>
      </c>
      <c r="J10976">
        <v>99</v>
      </c>
      <c r="K10976">
        <v>0</v>
      </c>
      <c r="L10976">
        <v>138.6</v>
      </c>
    </row>
    <row r="10977" spans="1:12" x14ac:dyDescent="0.25">
      <c r="A10977" t="str">
        <f t="shared" si="2378"/>
        <v>89301000</v>
      </c>
      <c r="B10977" t="str">
        <f t="shared" si="2379"/>
        <v>89383000</v>
      </c>
      <c r="C10977" t="str">
        <f t="shared" si="2380"/>
        <v>89383002</v>
      </c>
      <c r="D10977" t="str">
        <f t="shared" si="2381"/>
        <v>809</v>
      </c>
      <c r="E10977" t="str">
        <f t="shared" si="2383"/>
        <v>89301045</v>
      </c>
      <c r="F10977" t="str">
        <f>"485118401"</f>
        <v>485118401</v>
      </c>
      <c r="G10977" s="1">
        <v>44887</v>
      </c>
      <c r="H10977" t="str">
        <f>"89512"</f>
        <v>89512</v>
      </c>
      <c r="I10977">
        <v>1</v>
      </c>
      <c r="J10977">
        <v>277</v>
      </c>
      <c r="K10977">
        <v>0</v>
      </c>
      <c r="L10977">
        <v>387.8</v>
      </c>
    </row>
    <row r="10978" spans="1:12" x14ac:dyDescent="0.25">
      <c r="A10978" t="str">
        <f t="shared" si="2378"/>
        <v>89301000</v>
      </c>
      <c r="B10978" t="str">
        <f t="shared" ref="B10978:B11010" si="2384">"89383000"</f>
        <v>89383000</v>
      </c>
      <c r="C10978" t="str">
        <f t="shared" ref="C10978:C11010" si="2385">"89383002"</f>
        <v>89383002</v>
      </c>
      <c r="D10978" t="str">
        <f t="shared" ref="D10978:D11012" si="2386">"809"</f>
        <v>809</v>
      </c>
      <c r="E10978" t="str">
        <f t="shared" si="2383"/>
        <v>89301045</v>
      </c>
      <c r="F10978" t="str">
        <f>"485118401"</f>
        <v>485118401</v>
      </c>
      <c r="G10978" s="1">
        <v>44887</v>
      </c>
      <c r="H10978" t="str">
        <f>"89180"</f>
        <v>89180</v>
      </c>
      <c r="I10978">
        <v>1</v>
      </c>
      <c r="J10978">
        <v>376</v>
      </c>
      <c r="K10978">
        <v>0</v>
      </c>
      <c r="L10978">
        <v>526.4</v>
      </c>
    </row>
    <row r="10979" spans="1:12" x14ac:dyDescent="0.25">
      <c r="A10979" t="str">
        <f t="shared" si="2378"/>
        <v>89301000</v>
      </c>
      <c r="B10979" t="str">
        <f t="shared" si="2384"/>
        <v>89383000</v>
      </c>
      <c r="C10979" t="str">
        <f t="shared" si="2385"/>
        <v>89383002</v>
      </c>
      <c r="D10979" t="str">
        <f t="shared" si="2386"/>
        <v>809</v>
      </c>
      <c r="E10979" t="str">
        <f t="shared" si="2383"/>
        <v>89301045</v>
      </c>
      <c r="F10979" t="str">
        <f>"485118401"</f>
        <v>485118401</v>
      </c>
      <c r="G10979" s="1">
        <v>44887</v>
      </c>
      <c r="H10979" t="str">
        <f>"0142906"</f>
        <v>0142906</v>
      </c>
      <c r="I10979">
        <v>1</v>
      </c>
      <c r="K10979">
        <v>6990</v>
      </c>
      <c r="L10979">
        <v>6990</v>
      </c>
    </row>
    <row r="10980" spans="1:12" x14ac:dyDescent="0.25">
      <c r="A10980" t="str">
        <f t="shared" si="2378"/>
        <v>89301000</v>
      </c>
      <c r="B10980" t="str">
        <f t="shared" si="2384"/>
        <v>89383000</v>
      </c>
      <c r="C10980" t="str">
        <f t="shared" si="2385"/>
        <v>89383002</v>
      </c>
      <c r="D10980" t="str">
        <f t="shared" si="2386"/>
        <v>809</v>
      </c>
      <c r="E10980" t="str">
        <f t="shared" si="2383"/>
        <v>89301045</v>
      </c>
      <c r="F10980" t="str">
        <f t="shared" ref="F10980:F10986" si="2387">"446213405"</f>
        <v>446213405</v>
      </c>
      <c r="G10980" s="1">
        <v>44887</v>
      </c>
      <c r="H10980" t="str">
        <f>"89313"</f>
        <v>89313</v>
      </c>
      <c r="I10980">
        <v>1</v>
      </c>
      <c r="J10980">
        <v>406</v>
      </c>
      <c r="K10980">
        <v>0</v>
      </c>
      <c r="L10980">
        <v>568.4</v>
      </c>
    </row>
    <row r="10981" spans="1:12" x14ac:dyDescent="0.25">
      <c r="A10981" t="str">
        <f t="shared" si="2378"/>
        <v>89301000</v>
      </c>
      <c r="B10981" t="str">
        <f t="shared" si="2384"/>
        <v>89383000</v>
      </c>
      <c r="C10981" t="str">
        <f t="shared" si="2385"/>
        <v>89383002</v>
      </c>
      <c r="D10981" t="str">
        <f t="shared" si="2386"/>
        <v>809</v>
      </c>
      <c r="E10981" t="str">
        <f t="shared" si="2383"/>
        <v>89301045</v>
      </c>
      <c r="F10981" t="str">
        <f t="shared" si="2387"/>
        <v>446213405</v>
      </c>
      <c r="G10981" s="1">
        <v>44887</v>
      </c>
      <c r="H10981" t="str">
        <f>"09233"</f>
        <v>09233</v>
      </c>
      <c r="I10981">
        <v>1</v>
      </c>
      <c r="J10981">
        <v>99</v>
      </c>
      <c r="K10981">
        <v>0</v>
      </c>
      <c r="L10981">
        <v>138.6</v>
      </c>
    </row>
    <row r="10982" spans="1:12" x14ac:dyDescent="0.25">
      <c r="A10982" t="str">
        <f t="shared" si="2378"/>
        <v>89301000</v>
      </c>
      <c r="B10982" t="str">
        <f t="shared" si="2384"/>
        <v>89383000</v>
      </c>
      <c r="C10982" t="str">
        <f t="shared" si="2385"/>
        <v>89383002</v>
      </c>
      <c r="D10982" t="str">
        <f t="shared" si="2386"/>
        <v>809</v>
      </c>
      <c r="E10982" t="str">
        <f t="shared" si="2383"/>
        <v>89301045</v>
      </c>
      <c r="F10982" t="str">
        <f t="shared" si="2387"/>
        <v>446213405</v>
      </c>
      <c r="G10982" s="1">
        <v>44887</v>
      </c>
      <c r="H10982" t="str">
        <f>"89515"</f>
        <v>89515</v>
      </c>
      <c r="I10982">
        <v>1</v>
      </c>
      <c r="J10982">
        <v>339</v>
      </c>
      <c r="K10982">
        <v>0</v>
      </c>
      <c r="L10982">
        <v>474.6</v>
      </c>
    </row>
    <row r="10983" spans="1:12" x14ac:dyDescent="0.25">
      <c r="A10983" t="str">
        <f t="shared" si="2378"/>
        <v>89301000</v>
      </c>
      <c r="B10983" t="str">
        <f t="shared" si="2384"/>
        <v>89383000</v>
      </c>
      <c r="C10983" t="str">
        <f t="shared" si="2385"/>
        <v>89383002</v>
      </c>
      <c r="D10983" t="str">
        <f t="shared" si="2386"/>
        <v>809</v>
      </c>
      <c r="E10983" t="str">
        <f t="shared" si="2383"/>
        <v>89301045</v>
      </c>
      <c r="F10983" t="str">
        <f t="shared" si="2387"/>
        <v>446213405</v>
      </c>
      <c r="G10983" s="1">
        <v>44887</v>
      </c>
      <c r="H10983" t="str">
        <f>"89512"</f>
        <v>89512</v>
      </c>
      <c r="I10983">
        <v>1</v>
      </c>
      <c r="J10983">
        <v>277</v>
      </c>
      <c r="K10983">
        <v>0</v>
      </c>
      <c r="L10983">
        <v>387.8</v>
      </c>
    </row>
    <row r="10984" spans="1:12" x14ac:dyDescent="0.25">
      <c r="A10984" t="str">
        <f t="shared" si="2378"/>
        <v>89301000</v>
      </c>
      <c r="B10984" t="str">
        <f t="shared" si="2384"/>
        <v>89383000</v>
      </c>
      <c r="C10984" t="str">
        <f t="shared" si="2385"/>
        <v>89383002</v>
      </c>
      <c r="D10984" t="str">
        <f t="shared" si="2386"/>
        <v>809</v>
      </c>
      <c r="E10984" t="str">
        <f t="shared" si="2383"/>
        <v>89301045</v>
      </c>
      <c r="F10984" t="str">
        <f t="shared" si="2387"/>
        <v>446213405</v>
      </c>
      <c r="G10984" s="1">
        <v>44887</v>
      </c>
      <c r="H10984" t="str">
        <f>"09572"</f>
        <v>09572</v>
      </c>
      <c r="I10984">
        <v>1</v>
      </c>
      <c r="J10984">
        <v>0</v>
      </c>
      <c r="K10984">
        <v>0</v>
      </c>
      <c r="L10984">
        <v>0</v>
      </c>
    </row>
    <row r="10985" spans="1:12" x14ac:dyDescent="0.25">
      <c r="A10985" t="str">
        <f t="shared" si="2378"/>
        <v>89301000</v>
      </c>
      <c r="B10985" t="str">
        <f t="shared" si="2384"/>
        <v>89383000</v>
      </c>
      <c r="C10985" t="str">
        <f t="shared" si="2385"/>
        <v>89383002</v>
      </c>
      <c r="D10985" t="str">
        <f t="shared" si="2386"/>
        <v>809</v>
      </c>
      <c r="E10985" t="str">
        <f t="shared" si="2383"/>
        <v>89301045</v>
      </c>
      <c r="F10985" t="str">
        <f t="shared" si="2387"/>
        <v>446213405</v>
      </c>
      <c r="G10985" s="1">
        <v>44887</v>
      </c>
      <c r="H10985" t="str">
        <f>"0225891"</f>
        <v>0225891</v>
      </c>
      <c r="I10985">
        <v>0.05</v>
      </c>
      <c r="K10985">
        <v>18.39</v>
      </c>
      <c r="L10985">
        <v>18.39</v>
      </c>
    </row>
    <row r="10986" spans="1:12" x14ac:dyDescent="0.25">
      <c r="A10986" t="str">
        <f t="shared" si="2378"/>
        <v>89301000</v>
      </c>
      <c r="B10986" t="str">
        <f t="shared" si="2384"/>
        <v>89383000</v>
      </c>
      <c r="C10986" t="str">
        <f t="shared" si="2385"/>
        <v>89383002</v>
      </c>
      <c r="D10986" t="str">
        <f t="shared" si="2386"/>
        <v>809</v>
      </c>
      <c r="E10986" t="str">
        <f t="shared" si="2383"/>
        <v>89301045</v>
      </c>
      <c r="F10986" t="str">
        <f t="shared" si="2387"/>
        <v>446213405</v>
      </c>
      <c r="G10986" s="1">
        <v>44887</v>
      </c>
      <c r="H10986" t="str">
        <f>"0142908"</f>
        <v>0142908</v>
      </c>
      <c r="I10986">
        <v>1</v>
      </c>
      <c r="K10986">
        <v>910</v>
      </c>
      <c r="L10986">
        <v>910</v>
      </c>
    </row>
    <row r="10987" spans="1:12" x14ac:dyDescent="0.25">
      <c r="A10987" t="str">
        <f t="shared" si="2378"/>
        <v>89301000</v>
      </c>
      <c r="B10987" t="str">
        <f t="shared" si="2384"/>
        <v>89383000</v>
      </c>
      <c r="C10987" t="str">
        <f t="shared" si="2385"/>
        <v>89383002</v>
      </c>
      <c r="D10987" t="str">
        <f t="shared" si="2386"/>
        <v>809</v>
      </c>
      <c r="E10987" t="str">
        <f t="shared" si="2383"/>
        <v>89301045</v>
      </c>
      <c r="F10987" t="str">
        <f>"530607102"</f>
        <v>530607102</v>
      </c>
      <c r="G10987" s="1">
        <v>44889</v>
      </c>
      <c r="H10987" t="str">
        <f>"89813"</f>
        <v>89813</v>
      </c>
      <c r="I10987">
        <v>1</v>
      </c>
      <c r="J10987">
        <v>130</v>
      </c>
      <c r="K10987">
        <v>0</v>
      </c>
      <c r="L10987">
        <v>182</v>
      </c>
    </row>
    <row r="10988" spans="1:12" x14ac:dyDescent="0.25">
      <c r="A10988" t="str">
        <f t="shared" si="2378"/>
        <v>89301000</v>
      </c>
      <c r="B10988" t="str">
        <f t="shared" si="2384"/>
        <v>89383000</v>
      </c>
      <c r="C10988" t="str">
        <f t="shared" si="2385"/>
        <v>89383002</v>
      </c>
      <c r="D10988" t="str">
        <f t="shared" si="2386"/>
        <v>809</v>
      </c>
      <c r="E10988" t="str">
        <f t="shared" si="2383"/>
        <v>89301045</v>
      </c>
      <c r="F10988" t="str">
        <f>"530607102"</f>
        <v>530607102</v>
      </c>
      <c r="G10988" s="1">
        <v>44886</v>
      </c>
      <c r="H10988" t="str">
        <f>"89512"</f>
        <v>89512</v>
      </c>
      <c r="I10988">
        <v>1</v>
      </c>
      <c r="J10988">
        <v>277</v>
      </c>
      <c r="K10988">
        <v>0</v>
      </c>
      <c r="L10988">
        <v>387.8</v>
      </c>
    </row>
    <row r="10989" spans="1:12" x14ac:dyDescent="0.25">
      <c r="A10989" t="str">
        <f t="shared" si="2378"/>
        <v>89301000</v>
      </c>
      <c r="B10989" t="str">
        <f t="shared" si="2384"/>
        <v>89383000</v>
      </c>
      <c r="C10989" t="str">
        <f t="shared" si="2385"/>
        <v>89383002</v>
      </c>
      <c r="D10989" t="str">
        <f t="shared" si="2386"/>
        <v>809</v>
      </c>
      <c r="E10989" t="str">
        <f t="shared" ref="E10989:E10994" si="2388">"89301212"</f>
        <v>89301212</v>
      </c>
      <c r="F10989" t="str">
        <f>"485124415"</f>
        <v>485124415</v>
      </c>
      <c r="G10989" s="1">
        <v>44890</v>
      </c>
      <c r="H10989" t="str">
        <f>"89512"</f>
        <v>89512</v>
      </c>
      <c r="I10989">
        <v>1</v>
      </c>
      <c r="J10989">
        <v>277</v>
      </c>
      <c r="K10989">
        <v>0</v>
      </c>
      <c r="L10989">
        <v>387.8</v>
      </c>
    </row>
    <row r="10990" spans="1:12" x14ac:dyDescent="0.25">
      <c r="A10990" t="str">
        <f t="shared" si="2378"/>
        <v>89301000</v>
      </c>
      <c r="B10990" t="str">
        <f t="shared" si="2384"/>
        <v>89383000</v>
      </c>
      <c r="C10990" t="str">
        <f t="shared" si="2385"/>
        <v>89383002</v>
      </c>
      <c r="D10990" t="str">
        <f t="shared" si="2386"/>
        <v>809</v>
      </c>
      <c r="E10990" t="str">
        <f t="shared" si="2388"/>
        <v>89301212</v>
      </c>
      <c r="F10990" t="str">
        <f>"485124415"</f>
        <v>485124415</v>
      </c>
      <c r="G10990" s="1">
        <v>44890</v>
      </c>
      <c r="H10990" t="str">
        <f>"89180"</f>
        <v>89180</v>
      </c>
      <c r="I10990">
        <v>1</v>
      </c>
      <c r="J10990">
        <v>376</v>
      </c>
      <c r="K10990">
        <v>0</v>
      </c>
      <c r="L10990">
        <v>526.4</v>
      </c>
    </row>
    <row r="10991" spans="1:12" x14ac:dyDescent="0.25">
      <c r="A10991" t="str">
        <f t="shared" si="2378"/>
        <v>89301000</v>
      </c>
      <c r="B10991" t="str">
        <f t="shared" si="2384"/>
        <v>89383000</v>
      </c>
      <c r="C10991" t="str">
        <f t="shared" si="2385"/>
        <v>89383002</v>
      </c>
      <c r="D10991" t="str">
        <f t="shared" si="2386"/>
        <v>809</v>
      </c>
      <c r="E10991" t="str">
        <f t="shared" si="2388"/>
        <v>89301212</v>
      </c>
      <c r="F10991" t="str">
        <f>"485124415"</f>
        <v>485124415</v>
      </c>
      <c r="G10991" s="1">
        <v>44890</v>
      </c>
      <c r="H10991" t="str">
        <f>"89513"</f>
        <v>89513</v>
      </c>
      <c r="I10991">
        <v>1</v>
      </c>
      <c r="J10991">
        <v>371</v>
      </c>
      <c r="K10991">
        <v>0</v>
      </c>
      <c r="L10991">
        <v>519.4</v>
      </c>
    </row>
    <row r="10992" spans="1:12" x14ac:dyDescent="0.25">
      <c r="A10992" t="str">
        <f t="shared" si="2378"/>
        <v>89301000</v>
      </c>
      <c r="B10992" t="str">
        <f t="shared" si="2384"/>
        <v>89383000</v>
      </c>
      <c r="C10992" t="str">
        <f t="shared" si="2385"/>
        <v>89383002</v>
      </c>
      <c r="D10992" t="str">
        <f t="shared" si="2386"/>
        <v>809</v>
      </c>
      <c r="E10992" t="str">
        <f t="shared" si="2388"/>
        <v>89301212</v>
      </c>
      <c r="F10992" t="str">
        <f>"485124415"</f>
        <v>485124415</v>
      </c>
      <c r="G10992" s="1">
        <v>44890</v>
      </c>
      <c r="H10992" t="str">
        <f>"89514"</f>
        <v>89514</v>
      </c>
      <c r="I10992">
        <v>1</v>
      </c>
      <c r="J10992">
        <v>371</v>
      </c>
      <c r="K10992">
        <v>0</v>
      </c>
      <c r="L10992">
        <v>519.4</v>
      </c>
    </row>
    <row r="10993" spans="1:12" x14ac:dyDescent="0.25">
      <c r="A10993" t="str">
        <f t="shared" si="2378"/>
        <v>89301000</v>
      </c>
      <c r="B10993" t="str">
        <f t="shared" si="2384"/>
        <v>89383000</v>
      </c>
      <c r="C10993" t="str">
        <f t="shared" si="2385"/>
        <v>89383002</v>
      </c>
      <c r="D10993" t="str">
        <f t="shared" si="2386"/>
        <v>809</v>
      </c>
      <c r="E10993" t="str">
        <f t="shared" si="2388"/>
        <v>89301212</v>
      </c>
      <c r="F10993" t="str">
        <f>"6160121671"</f>
        <v>6160121671</v>
      </c>
      <c r="G10993" s="1">
        <v>44890</v>
      </c>
      <c r="H10993" t="str">
        <f>"89513"</f>
        <v>89513</v>
      </c>
      <c r="I10993">
        <v>1</v>
      </c>
      <c r="J10993">
        <v>371</v>
      </c>
      <c r="K10993">
        <v>0</v>
      </c>
      <c r="L10993">
        <v>519.4</v>
      </c>
    </row>
    <row r="10994" spans="1:12" x14ac:dyDescent="0.25">
      <c r="A10994" t="str">
        <f t="shared" si="2378"/>
        <v>89301000</v>
      </c>
      <c r="B10994" t="str">
        <f t="shared" si="2384"/>
        <v>89383000</v>
      </c>
      <c r="C10994" t="str">
        <f t="shared" si="2385"/>
        <v>89383002</v>
      </c>
      <c r="D10994" t="str">
        <f t="shared" si="2386"/>
        <v>809</v>
      </c>
      <c r="E10994" t="str">
        <f t="shared" si="2388"/>
        <v>89301212</v>
      </c>
      <c r="F10994" t="str">
        <f>"6160121671"</f>
        <v>6160121671</v>
      </c>
      <c r="G10994" s="1">
        <v>44890</v>
      </c>
      <c r="H10994" t="str">
        <f>"89514"</f>
        <v>89514</v>
      </c>
      <c r="I10994">
        <v>1</v>
      </c>
      <c r="J10994">
        <v>371</v>
      </c>
      <c r="K10994">
        <v>0</v>
      </c>
      <c r="L10994">
        <v>519.4</v>
      </c>
    </row>
    <row r="10995" spans="1:12" x14ac:dyDescent="0.25">
      <c r="A10995" t="str">
        <f t="shared" si="2378"/>
        <v>89301000</v>
      </c>
      <c r="B10995" t="str">
        <f t="shared" si="2384"/>
        <v>89383000</v>
      </c>
      <c r="C10995" t="str">
        <f t="shared" si="2385"/>
        <v>89383002</v>
      </c>
      <c r="D10995" t="str">
        <f t="shared" si="2386"/>
        <v>809</v>
      </c>
      <c r="E10995" t="str">
        <f>"89301042"</f>
        <v>89301042</v>
      </c>
      <c r="F10995" t="str">
        <f>"9057246088"</f>
        <v>9057246088</v>
      </c>
      <c r="G10995" s="1">
        <v>44890</v>
      </c>
      <c r="H10995" t="str">
        <f>"89512"</f>
        <v>89512</v>
      </c>
      <c r="I10995">
        <v>1</v>
      </c>
      <c r="J10995">
        <v>277</v>
      </c>
      <c r="K10995">
        <v>0</v>
      </c>
      <c r="L10995">
        <v>387.8</v>
      </c>
    </row>
    <row r="10996" spans="1:12" x14ac:dyDescent="0.25">
      <c r="A10996" t="str">
        <f t="shared" si="2378"/>
        <v>89301000</v>
      </c>
      <c r="B10996" t="str">
        <f t="shared" si="2384"/>
        <v>89383000</v>
      </c>
      <c r="C10996" t="str">
        <f t="shared" si="2385"/>
        <v>89383002</v>
      </c>
      <c r="D10996" t="str">
        <f t="shared" si="2386"/>
        <v>809</v>
      </c>
      <c r="E10996" t="str">
        <f>"89301042"</f>
        <v>89301042</v>
      </c>
      <c r="F10996" t="str">
        <f>"9057246088"</f>
        <v>9057246088</v>
      </c>
      <c r="G10996" s="1">
        <v>44890</v>
      </c>
      <c r="H10996" t="str">
        <f>"89180"</f>
        <v>89180</v>
      </c>
      <c r="I10996">
        <v>1</v>
      </c>
      <c r="J10996">
        <v>376</v>
      </c>
      <c r="K10996">
        <v>0</v>
      </c>
      <c r="L10996">
        <v>526.4</v>
      </c>
    </row>
    <row r="10997" spans="1:12" x14ac:dyDescent="0.25">
      <c r="A10997" t="str">
        <f t="shared" si="2378"/>
        <v>89301000</v>
      </c>
      <c r="B10997" t="str">
        <f t="shared" si="2384"/>
        <v>89383000</v>
      </c>
      <c r="C10997" t="str">
        <f t="shared" si="2385"/>
        <v>89383002</v>
      </c>
      <c r="D10997" t="str">
        <f t="shared" si="2386"/>
        <v>809</v>
      </c>
      <c r="E10997" t="str">
        <f>"89301042"</f>
        <v>89301042</v>
      </c>
      <c r="F10997" t="str">
        <f>"9057246088"</f>
        <v>9057246088</v>
      </c>
      <c r="G10997" s="1">
        <v>44890</v>
      </c>
      <c r="H10997" t="str">
        <f>"89513"</f>
        <v>89513</v>
      </c>
      <c r="I10997">
        <v>1</v>
      </c>
      <c r="J10997">
        <v>371</v>
      </c>
      <c r="K10997">
        <v>0</v>
      </c>
      <c r="L10997">
        <v>519.4</v>
      </c>
    </row>
    <row r="10998" spans="1:12" x14ac:dyDescent="0.25">
      <c r="A10998" t="str">
        <f t="shared" si="2378"/>
        <v>89301000</v>
      </c>
      <c r="B10998" t="str">
        <f t="shared" si="2384"/>
        <v>89383000</v>
      </c>
      <c r="C10998" t="str">
        <f t="shared" si="2385"/>
        <v>89383002</v>
      </c>
      <c r="D10998" t="str">
        <f t="shared" si="2386"/>
        <v>809</v>
      </c>
      <c r="E10998" t="str">
        <f>"89301042"</f>
        <v>89301042</v>
      </c>
      <c r="F10998" t="str">
        <f>"9057246088"</f>
        <v>9057246088</v>
      </c>
      <c r="G10998" s="1">
        <v>44890</v>
      </c>
      <c r="H10998" t="str">
        <f>"89514"</f>
        <v>89514</v>
      </c>
      <c r="I10998">
        <v>1</v>
      </c>
      <c r="J10998">
        <v>371</v>
      </c>
      <c r="K10998">
        <v>0</v>
      </c>
      <c r="L10998">
        <v>519.4</v>
      </c>
    </row>
    <row r="10999" spans="1:12" x14ac:dyDescent="0.25">
      <c r="A10999" t="str">
        <f t="shared" si="2378"/>
        <v>89301000</v>
      </c>
      <c r="B10999" t="str">
        <f t="shared" si="2384"/>
        <v>89383000</v>
      </c>
      <c r="C10999" t="str">
        <f t="shared" si="2385"/>
        <v>89383002</v>
      </c>
      <c r="D10999" t="str">
        <f t="shared" si="2386"/>
        <v>809</v>
      </c>
      <c r="E10999" t="str">
        <f>"89301212"</f>
        <v>89301212</v>
      </c>
      <c r="F10999" t="str">
        <f>"8153115399"</f>
        <v>8153115399</v>
      </c>
      <c r="G10999" s="1">
        <v>44890</v>
      </c>
      <c r="H10999" t="str">
        <f>"89180"</f>
        <v>89180</v>
      </c>
      <c r="I10999">
        <v>2</v>
      </c>
      <c r="J10999">
        <v>752</v>
      </c>
      <c r="K10999">
        <v>0</v>
      </c>
      <c r="L10999">
        <v>1052.8</v>
      </c>
    </row>
    <row r="11000" spans="1:12" x14ac:dyDescent="0.25">
      <c r="A11000" t="str">
        <f t="shared" si="2378"/>
        <v>89301000</v>
      </c>
      <c r="B11000" t="str">
        <f t="shared" si="2384"/>
        <v>89383000</v>
      </c>
      <c r="C11000" t="str">
        <f t="shared" si="2385"/>
        <v>89383002</v>
      </c>
      <c r="D11000" t="str">
        <f t="shared" si="2386"/>
        <v>809</v>
      </c>
      <c r="E11000" t="str">
        <f>"89301212"</f>
        <v>89301212</v>
      </c>
      <c r="F11000" t="str">
        <f>"8153115399"</f>
        <v>8153115399</v>
      </c>
      <c r="G11000" s="1">
        <v>44890</v>
      </c>
      <c r="H11000" t="str">
        <f>"89512"</f>
        <v>89512</v>
      </c>
      <c r="I11000">
        <v>1</v>
      </c>
      <c r="J11000">
        <v>277</v>
      </c>
      <c r="K11000">
        <v>0</v>
      </c>
      <c r="L11000">
        <v>387.8</v>
      </c>
    </row>
    <row r="11001" spans="1:12" x14ac:dyDescent="0.25">
      <c r="A11001" t="str">
        <f t="shared" si="2378"/>
        <v>89301000</v>
      </c>
      <c r="B11001" t="str">
        <f t="shared" si="2384"/>
        <v>89383000</v>
      </c>
      <c r="C11001" t="str">
        <f t="shared" si="2385"/>
        <v>89383002</v>
      </c>
      <c r="D11001" t="str">
        <f t="shared" si="2386"/>
        <v>809</v>
      </c>
      <c r="E11001" t="str">
        <f>"89301212"</f>
        <v>89301212</v>
      </c>
      <c r="F11001" t="str">
        <f>"465612184"</f>
        <v>465612184</v>
      </c>
      <c r="G11001" s="1">
        <v>44890</v>
      </c>
      <c r="H11001" t="str">
        <f>"89512"</f>
        <v>89512</v>
      </c>
      <c r="I11001">
        <v>1</v>
      </c>
      <c r="J11001">
        <v>277</v>
      </c>
      <c r="K11001">
        <v>0</v>
      </c>
      <c r="L11001">
        <v>387.8</v>
      </c>
    </row>
    <row r="11002" spans="1:12" x14ac:dyDescent="0.25">
      <c r="A11002" t="str">
        <f t="shared" si="2378"/>
        <v>89301000</v>
      </c>
      <c r="B11002" t="str">
        <f t="shared" si="2384"/>
        <v>89383000</v>
      </c>
      <c r="C11002" t="str">
        <f t="shared" si="2385"/>
        <v>89383002</v>
      </c>
      <c r="D11002" t="str">
        <f t="shared" si="2386"/>
        <v>809</v>
      </c>
      <c r="E11002" t="str">
        <f>"89301045"</f>
        <v>89301045</v>
      </c>
      <c r="F11002" t="str">
        <f>"7259095360"</f>
        <v>7259095360</v>
      </c>
      <c r="G11002" s="1">
        <v>44893</v>
      </c>
      <c r="H11002" t="str">
        <f>"89512"</f>
        <v>89512</v>
      </c>
      <c r="I11002">
        <v>1</v>
      </c>
      <c r="J11002">
        <v>277</v>
      </c>
      <c r="K11002">
        <v>0</v>
      </c>
      <c r="L11002">
        <v>387.8</v>
      </c>
    </row>
    <row r="11003" spans="1:12" x14ac:dyDescent="0.25">
      <c r="A11003" t="str">
        <f t="shared" si="2378"/>
        <v>89301000</v>
      </c>
      <c r="B11003" t="str">
        <f t="shared" si="2384"/>
        <v>89383000</v>
      </c>
      <c r="C11003" t="str">
        <f t="shared" si="2385"/>
        <v>89383002</v>
      </c>
      <c r="D11003" t="str">
        <f t="shared" si="2386"/>
        <v>809</v>
      </c>
      <c r="E11003" t="str">
        <f>"89301045"</f>
        <v>89301045</v>
      </c>
      <c r="F11003" t="str">
        <f>"7259095360"</f>
        <v>7259095360</v>
      </c>
      <c r="G11003" s="1">
        <v>44893</v>
      </c>
      <c r="H11003" t="str">
        <f>"89180"</f>
        <v>89180</v>
      </c>
      <c r="I11003">
        <v>2</v>
      </c>
      <c r="J11003">
        <v>752</v>
      </c>
      <c r="K11003">
        <v>0</v>
      </c>
      <c r="L11003">
        <v>1052.8</v>
      </c>
    </row>
    <row r="11004" spans="1:12" x14ac:dyDescent="0.25">
      <c r="A11004" t="str">
        <f t="shared" si="2378"/>
        <v>89301000</v>
      </c>
      <c r="B11004" t="str">
        <f t="shared" si="2384"/>
        <v>89383000</v>
      </c>
      <c r="C11004" t="str">
        <f t="shared" si="2385"/>
        <v>89383002</v>
      </c>
      <c r="D11004" t="str">
        <f t="shared" si="2386"/>
        <v>809</v>
      </c>
      <c r="E11004" t="str">
        <f>"89301212"</f>
        <v>89301212</v>
      </c>
      <c r="F11004" t="str">
        <f>"6856010557"</f>
        <v>6856010557</v>
      </c>
      <c r="G11004" s="1">
        <v>44894</v>
      </c>
      <c r="H11004" t="str">
        <f>"89512"</f>
        <v>89512</v>
      </c>
      <c r="I11004">
        <v>1</v>
      </c>
      <c r="J11004">
        <v>277</v>
      </c>
      <c r="K11004">
        <v>0</v>
      </c>
      <c r="L11004">
        <v>387.8</v>
      </c>
    </row>
    <row r="11005" spans="1:12" x14ac:dyDescent="0.25">
      <c r="A11005" t="str">
        <f t="shared" si="2378"/>
        <v>89301000</v>
      </c>
      <c r="B11005" t="str">
        <f t="shared" si="2384"/>
        <v>89383000</v>
      </c>
      <c r="C11005" t="str">
        <f t="shared" si="2385"/>
        <v>89383002</v>
      </c>
      <c r="D11005" t="str">
        <f t="shared" si="2386"/>
        <v>809</v>
      </c>
      <c r="E11005" t="str">
        <f>"89301215"</f>
        <v>89301215</v>
      </c>
      <c r="F11005" t="str">
        <f>"6061190916"</f>
        <v>6061190916</v>
      </c>
      <c r="G11005" s="1">
        <v>44894</v>
      </c>
      <c r="H11005" t="str">
        <f>"89512"</f>
        <v>89512</v>
      </c>
      <c r="I11005">
        <v>1</v>
      </c>
      <c r="J11005">
        <v>277</v>
      </c>
      <c r="K11005">
        <v>0</v>
      </c>
      <c r="L11005">
        <v>387.8</v>
      </c>
    </row>
    <row r="11006" spans="1:12" x14ac:dyDescent="0.25">
      <c r="A11006" t="str">
        <f t="shared" si="2378"/>
        <v>89301000</v>
      </c>
      <c r="B11006" t="str">
        <f t="shared" si="2384"/>
        <v>89383000</v>
      </c>
      <c r="C11006" t="str">
        <f t="shared" si="2385"/>
        <v>89383002</v>
      </c>
      <c r="D11006" t="str">
        <f t="shared" si="2386"/>
        <v>809</v>
      </c>
      <c r="E11006" t="str">
        <f>"89301212"</f>
        <v>89301212</v>
      </c>
      <c r="F11006" t="str">
        <f>"6158130946"</f>
        <v>6158130946</v>
      </c>
      <c r="G11006" s="1">
        <v>44894</v>
      </c>
      <c r="H11006" t="str">
        <f>"89513"</f>
        <v>89513</v>
      </c>
      <c r="I11006">
        <v>1</v>
      </c>
      <c r="J11006">
        <v>371</v>
      </c>
      <c r="K11006">
        <v>0</v>
      </c>
      <c r="L11006">
        <v>519.4</v>
      </c>
    </row>
    <row r="11007" spans="1:12" x14ac:dyDescent="0.25">
      <c r="A11007" t="str">
        <f t="shared" si="2378"/>
        <v>89301000</v>
      </c>
      <c r="B11007" t="str">
        <f t="shared" si="2384"/>
        <v>89383000</v>
      </c>
      <c r="C11007" t="str">
        <f t="shared" si="2385"/>
        <v>89383002</v>
      </c>
      <c r="D11007" t="str">
        <f t="shared" si="2386"/>
        <v>809</v>
      </c>
      <c r="E11007" t="str">
        <f>"89301212"</f>
        <v>89301212</v>
      </c>
      <c r="F11007" t="str">
        <f>"6158130946"</f>
        <v>6158130946</v>
      </c>
      <c r="G11007" s="1">
        <v>44894</v>
      </c>
      <c r="H11007" t="str">
        <f>"89514"</f>
        <v>89514</v>
      </c>
      <c r="I11007">
        <v>1</v>
      </c>
      <c r="J11007">
        <v>371</v>
      </c>
      <c r="K11007">
        <v>0</v>
      </c>
      <c r="L11007">
        <v>519.4</v>
      </c>
    </row>
    <row r="11008" spans="1:12" x14ac:dyDescent="0.25">
      <c r="A11008" t="str">
        <f t="shared" si="2378"/>
        <v>89301000</v>
      </c>
      <c r="B11008" t="str">
        <f t="shared" si="2384"/>
        <v>89383000</v>
      </c>
      <c r="C11008" t="str">
        <f t="shared" si="2385"/>
        <v>89383002</v>
      </c>
      <c r="D11008" t="str">
        <f t="shared" si="2386"/>
        <v>809</v>
      </c>
      <c r="E11008" t="str">
        <f>"89301212"</f>
        <v>89301212</v>
      </c>
      <c r="F11008" t="str">
        <f>"8161201675"</f>
        <v>8161201675</v>
      </c>
      <c r="G11008" s="1">
        <v>44894</v>
      </c>
      <c r="H11008" t="str">
        <f>"89512"</f>
        <v>89512</v>
      </c>
      <c r="I11008">
        <v>1</v>
      </c>
      <c r="J11008">
        <v>277</v>
      </c>
      <c r="K11008">
        <v>0</v>
      </c>
      <c r="L11008">
        <v>387.8</v>
      </c>
    </row>
    <row r="11009" spans="1:12" x14ac:dyDescent="0.25">
      <c r="A11009" t="str">
        <f t="shared" si="2378"/>
        <v>89301000</v>
      </c>
      <c r="B11009" t="str">
        <f t="shared" si="2384"/>
        <v>89383000</v>
      </c>
      <c r="C11009" t="str">
        <f t="shared" si="2385"/>
        <v>89383002</v>
      </c>
      <c r="D11009" t="str">
        <f t="shared" si="2386"/>
        <v>809</v>
      </c>
      <c r="E11009" t="str">
        <f>"89301212"</f>
        <v>89301212</v>
      </c>
      <c r="F11009" t="str">
        <f>"515729119"</f>
        <v>515729119</v>
      </c>
      <c r="G11009" s="1">
        <v>44895</v>
      </c>
      <c r="H11009" t="str">
        <f>"89180"</f>
        <v>89180</v>
      </c>
      <c r="I11009">
        <v>2</v>
      </c>
      <c r="J11009">
        <v>752</v>
      </c>
      <c r="K11009">
        <v>0</v>
      </c>
      <c r="L11009">
        <v>1052.8</v>
      </c>
    </row>
    <row r="11010" spans="1:12" x14ac:dyDescent="0.25">
      <c r="A11010" t="str">
        <f t="shared" ref="A11010:A11073" si="2389">"89301000"</f>
        <v>89301000</v>
      </c>
      <c r="B11010" t="str">
        <f t="shared" si="2384"/>
        <v>89383000</v>
      </c>
      <c r="C11010" t="str">
        <f t="shared" si="2385"/>
        <v>89383002</v>
      </c>
      <c r="D11010" t="str">
        <f t="shared" si="2386"/>
        <v>809</v>
      </c>
      <c r="E11010" t="str">
        <f>"89301212"</f>
        <v>89301212</v>
      </c>
      <c r="F11010" t="str">
        <f>"515729119"</f>
        <v>515729119</v>
      </c>
      <c r="G11010" s="1">
        <v>44895</v>
      </c>
      <c r="H11010" t="str">
        <f>"89512"</f>
        <v>89512</v>
      </c>
      <c r="I11010">
        <v>1</v>
      </c>
      <c r="J11010">
        <v>277</v>
      </c>
      <c r="K11010">
        <v>0</v>
      </c>
      <c r="L11010">
        <v>387.8</v>
      </c>
    </row>
    <row r="11011" spans="1:12" x14ac:dyDescent="0.25">
      <c r="A11011" t="str">
        <f t="shared" si="2389"/>
        <v>89301000</v>
      </c>
      <c r="B11011" t="str">
        <f>"88631000"</f>
        <v>88631000</v>
      </c>
      <c r="C11011" t="str">
        <f>"88631002"</f>
        <v>88631002</v>
      </c>
      <c r="D11011" t="str">
        <f t="shared" si="2386"/>
        <v>809</v>
      </c>
      <c r="E11011" t="str">
        <f>"89301039"</f>
        <v>89301039</v>
      </c>
      <c r="F11011" t="str">
        <f>"8356265236"</f>
        <v>8356265236</v>
      </c>
      <c r="G11011" s="1">
        <v>44888</v>
      </c>
      <c r="H11011" t="str">
        <f>"89512"</f>
        <v>89512</v>
      </c>
      <c r="I11011">
        <v>1</v>
      </c>
      <c r="J11011">
        <v>277</v>
      </c>
      <c r="K11011">
        <v>0</v>
      </c>
      <c r="L11011">
        <v>387.8</v>
      </c>
    </row>
    <row r="11012" spans="1:12" x14ac:dyDescent="0.25">
      <c r="A11012" t="str">
        <f t="shared" si="2389"/>
        <v>89301000</v>
      </c>
      <c r="B11012" t="str">
        <f>"88631000"</f>
        <v>88631000</v>
      </c>
      <c r="C11012" t="str">
        <f>"88631002"</f>
        <v>88631002</v>
      </c>
      <c r="D11012" t="str">
        <f t="shared" si="2386"/>
        <v>809</v>
      </c>
      <c r="E11012" t="str">
        <f>"89301039"</f>
        <v>89301039</v>
      </c>
      <c r="F11012" t="str">
        <f>"8356265236"</f>
        <v>8356265236</v>
      </c>
      <c r="G11012" s="1">
        <v>44888</v>
      </c>
      <c r="H11012" t="str">
        <f>"89180"</f>
        <v>89180</v>
      </c>
      <c r="I11012">
        <v>2</v>
      </c>
      <c r="J11012">
        <v>752</v>
      </c>
      <c r="K11012">
        <v>0</v>
      </c>
      <c r="L11012">
        <v>1052.8</v>
      </c>
    </row>
    <row r="11013" spans="1:12" x14ac:dyDescent="0.25">
      <c r="A11013" t="str">
        <f t="shared" si="2389"/>
        <v>89301000</v>
      </c>
      <c r="B11013" t="str">
        <f t="shared" ref="B11013:B11042" si="2390">"88805000"</f>
        <v>88805000</v>
      </c>
      <c r="C11013" t="str">
        <f>"88805014"</f>
        <v>88805014</v>
      </c>
      <c r="D11013" t="str">
        <f>"816"</f>
        <v>816</v>
      </c>
      <c r="E11013" t="str">
        <f>"89301282"</f>
        <v>89301282</v>
      </c>
      <c r="F11013" t="str">
        <f>"495713147"</f>
        <v>495713147</v>
      </c>
      <c r="G11013" s="1">
        <v>44865</v>
      </c>
      <c r="H11013" t="str">
        <f>"94345"</f>
        <v>94345</v>
      </c>
      <c r="I11013">
        <v>2</v>
      </c>
      <c r="J11013">
        <v>9250</v>
      </c>
      <c r="K11013">
        <v>0</v>
      </c>
      <c r="L11013">
        <v>7862.5</v>
      </c>
    </row>
    <row r="11014" spans="1:12" x14ac:dyDescent="0.25">
      <c r="A11014" t="str">
        <f t="shared" si="2389"/>
        <v>89301000</v>
      </c>
      <c r="B11014" t="str">
        <f t="shared" si="2390"/>
        <v>88805000</v>
      </c>
      <c r="C11014" t="str">
        <f>"88805014"</f>
        <v>88805014</v>
      </c>
      <c r="D11014" t="str">
        <f>"816"</f>
        <v>816</v>
      </c>
      <c r="E11014" t="str">
        <f>"89301282"</f>
        <v>89301282</v>
      </c>
      <c r="F11014" t="str">
        <f>"495713147"</f>
        <v>495713147</v>
      </c>
      <c r="G11014" s="1">
        <v>44865</v>
      </c>
      <c r="H11014" t="str">
        <f>"94948"</f>
        <v>94948</v>
      </c>
      <c r="I11014">
        <v>1</v>
      </c>
      <c r="J11014">
        <v>0</v>
      </c>
      <c r="K11014">
        <v>0</v>
      </c>
      <c r="L11014">
        <v>0</v>
      </c>
    </row>
    <row r="11015" spans="1:12" x14ac:dyDescent="0.25">
      <c r="A11015" t="str">
        <f t="shared" si="2389"/>
        <v>89301000</v>
      </c>
      <c r="B11015" t="str">
        <f t="shared" si="2390"/>
        <v>88805000</v>
      </c>
      <c r="C11015" t="str">
        <f>"88805014"</f>
        <v>88805014</v>
      </c>
      <c r="D11015" t="str">
        <f>"816"</f>
        <v>816</v>
      </c>
      <c r="E11015" t="str">
        <f>"89301282"</f>
        <v>89301282</v>
      </c>
      <c r="F11015" t="str">
        <f>"8559145804"</f>
        <v>8559145804</v>
      </c>
      <c r="G11015" s="1">
        <v>44840</v>
      </c>
      <c r="H11015" t="str">
        <f>"94345"</f>
        <v>94345</v>
      </c>
      <c r="I11015">
        <v>1</v>
      </c>
      <c r="J11015">
        <v>4625</v>
      </c>
      <c r="K11015">
        <v>0</v>
      </c>
      <c r="L11015">
        <v>3931.25</v>
      </c>
    </row>
    <row r="11016" spans="1:12" x14ac:dyDescent="0.25">
      <c r="A11016" t="str">
        <f t="shared" si="2389"/>
        <v>89301000</v>
      </c>
      <c r="B11016" t="str">
        <f t="shared" si="2390"/>
        <v>88805000</v>
      </c>
      <c r="C11016" t="str">
        <f>"88805014"</f>
        <v>88805014</v>
      </c>
      <c r="D11016" t="str">
        <f>"816"</f>
        <v>816</v>
      </c>
      <c r="E11016" t="str">
        <f>"89301282"</f>
        <v>89301282</v>
      </c>
      <c r="F11016" t="str">
        <f>"8559145804"</f>
        <v>8559145804</v>
      </c>
      <c r="G11016" s="1">
        <v>44840</v>
      </c>
      <c r="H11016" t="str">
        <f>"94948"</f>
        <v>94948</v>
      </c>
      <c r="I11016">
        <v>1</v>
      </c>
      <c r="J11016">
        <v>0</v>
      </c>
      <c r="K11016">
        <v>0</v>
      </c>
      <c r="L11016">
        <v>0</v>
      </c>
    </row>
    <row r="11017" spans="1:12" x14ac:dyDescent="0.25">
      <c r="A11017" t="str">
        <f t="shared" si="2389"/>
        <v>89301000</v>
      </c>
      <c r="B11017" t="str">
        <f t="shared" si="2390"/>
        <v>88805000</v>
      </c>
      <c r="C11017" t="str">
        <f t="shared" ref="C11017:C11025" si="2391">"88805001"</f>
        <v>88805001</v>
      </c>
      <c r="D11017" t="str">
        <f t="shared" ref="D11017:D11025" si="2392">"801"</f>
        <v>801</v>
      </c>
      <c r="E11017" t="str">
        <f>"89301035"</f>
        <v>89301035</v>
      </c>
      <c r="F11017" t="str">
        <f>"9507024846"</f>
        <v>9507024846</v>
      </c>
      <c r="G11017" s="1">
        <v>44874</v>
      </c>
      <c r="H11017" t="str">
        <f>"97111"</f>
        <v>97111</v>
      </c>
      <c r="I11017">
        <v>1</v>
      </c>
      <c r="J11017">
        <v>18</v>
      </c>
      <c r="K11017">
        <v>0</v>
      </c>
      <c r="L11017">
        <v>14.04</v>
      </c>
    </row>
    <row r="11018" spans="1:12" x14ac:dyDescent="0.25">
      <c r="A11018" t="str">
        <f t="shared" si="2389"/>
        <v>89301000</v>
      </c>
      <c r="B11018" t="str">
        <f t="shared" si="2390"/>
        <v>88805000</v>
      </c>
      <c r="C11018" t="str">
        <f t="shared" si="2391"/>
        <v>88805001</v>
      </c>
      <c r="D11018" t="str">
        <f t="shared" si="2392"/>
        <v>801</v>
      </c>
      <c r="E11018" t="str">
        <f>"89301108"</f>
        <v>89301108</v>
      </c>
      <c r="F11018" t="str">
        <f>"1859160336"</f>
        <v>1859160336</v>
      </c>
      <c r="G11018" s="1">
        <v>44895</v>
      </c>
      <c r="H11018" t="str">
        <f>"97111"</f>
        <v>97111</v>
      </c>
      <c r="I11018">
        <v>1</v>
      </c>
      <c r="J11018">
        <v>18</v>
      </c>
      <c r="K11018">
        <v>0</v>
      </c>
      <c r="L11018">
        <v>14.04</v>
      </c>
    </row>
    <row r="11019" spans="1:12" x14ac:dyDescent="0.25">
      <c r="A11019" t="str">
        <f t="shared" si="2389"/>
        <v>89301000</v>
      </c>
      <c r="B11019" t="str">
        <f t="shared" si="2390"/>
        <v>88805000</v>
      </c>
      <c r="C11019" t="str">
        <f t="shared" si="2391"/>
        <v>88805001</v>
      </c>
      <c r="D11019" t="str">
        <f t="shared" si="2392"/>
        <v>801</v>
      </c>
      <c r="E11019" t="str">
        <f>"89301101"</f>
        <v>89301101</v>
      </c>
      <c r="F11019" t="str">
        <f>"2053260473"</f>
        <v>2053260473</v>
      </c>
      <c r="G11019" s="1">
        <v>44888</v>
      </c>
      <c r="H11019" t="str">
        <f>"97111"</f>
        <v>97111</v>
      </c>
      <c r="I11019">
        <v>1</v>
      </c>
      <c r="J11019">
        <v>18</v>
      </c>
      <c r="K11019">
        <v>0</v>
      </c>
      <c r="L11019">
        <v>14.04</v>
      </c>
    </row>
    <row r="11020" spans="1:12" x14ac:dyDescent="0.25">
      <c r="A11020" t="str">
        <f t="shared" si="2389"/>
        <v>89301000</v>
      </c>
      <c r="B11020" t="str">
        <f t="shared" si="2390"/>
        <v>88805000</v>
      </c>
      <c r="C11020" t="str">
        <f t="shared" si="2391"/>
        <v>88805001</v>
      </c>
      <c r="D11020" t="str">
        <f t="shared" si="2392"/>
        <v>801</v>
      </c>
      <c r="E11020" t="str">
        <f>"89301202"</f>
        <v>89301202</v>
      </c>
      <c r="F11020" t="str">
        <f>"8060054464"</f>
        <v>8060054464</v>
      </c>
      <c r="G11020" s="1">
        <v>44880</v>
      </c>
      <c r="H11020" t="str">
        <f>"97111"</f>
        <v>97111</v>
      </c>
      <c r="I11020">
        <v>1</v>
      </c>
      <c r="J11020">
        <v>18</v>
      </c>
      <c r="K11020">
        <v>0</v>
      </c>
      <c r="L11020">
        <v>14.04</v>
      </c>
    </row>
    <row r="11021" spans="1:12" x14ac:dyDescent="0.25">
      <c r="A11021" t="str">
        <f t="shared" si="2389"/>
        <v>89301000</v>
      </c>
      <c r="B11021" t="str">
        <f t="shared" si="2390"/>
        <v>88805000</v>
      </c>
      <c r="C11021" t="str">
        <f t="shared" si="2391"/>
        <v>88805001</v>
      </c>
      <c r="D11021" t="str">
        <f t="shared" si="2392"/>
        <v>801</v>
      </c>
      <c r="E11021" t="str">
        <f>"89301108"</f>
        <v>89301108</v>
      </c>
      <c r="F11021" t="str">
        <f>"2157022043"</f>
        <v>2157022043</v>
      </c>
      <c r="G11021" s="1">
        <v>44895</v>
      </c>
      <c r="H11021" t="str">
        <f>"97111"</f>
        <v>97111</v>
      </c>
      <c r="I11021">
        <v>1</v>
      </c>
      <c r="J11021">
        <v>18</v>
      </c>
      <c r="K11021">
        <v>0</v>
      </c>
      <c r="L11021">
        <v>14.04</v>
      </c>
    </row>
    <row r="11022" spans="1:12" x14ac:dyDescent="0.25">
      <c r="A11022" t="str">
        <f t="shared" si="2389"/>
        <v>89301000</v>
      </c>
      <c r="B11022" t="str">
        <f t="shared" si="2390"/>
        <v>88805000</v>
      </c>
      <c r="C11022" t="str">
        <f t="shared" si="2391"/>
        <v>88805001</v>
      </c>
      <c r="D11022" t="str">
        <f t="shared" si="2392"/>
        <v>801</v>
      </c>
      <c r="E11022" t="str">
        <f>"89301082"</f>
        <v>89301082</v>
      </c>
      <c r="F11022" t="str">
        <f>"9260096230"</f>
        <v>9260096230</v>
      </c>
      <c r="G11022" s="1">
        <v>44886</v>
      </c>
      <c r="H11022" t="str">
        <f>"93137"</f>
        <v>93137</v>
      </c>
      <c r="I11022">
        <v>1</v>
      </c>
      <c r="J11022">
        <v>184</v>
      </c>
      <c r="K11022">
        <v>0</v>
      </c>
      <c r="L11022">
        <v>143.52000000000001</v>
      </c>
    </row>
    <row r="11023" spans="1:12" x14ac:dyDescent="0.25">
      <c r="A11023" t="str">
        <f t="shared" si="2389"/>
        <v>89301000</v>
      </c>
      <c r="B11023" t="str">
        <f t="shared" si="2390"/>
        <v>88805000</v>
      </c>
      <c r="C11023" t="str">
        <f t="shared" si="2391"/>
        <v>88805001</v>
      </c>
      <c r="D11023" t="str">
        <f t="shared" si="2392"/>
        <v>801</v>
      </c>
      <c r="E11023" t="str">
        <f>"89301082"</f>
        <v>89301082</v>
      </c>
      <c r="F11023" t="str">
        <f>"9260096230"</f>
        <v>9260096230</v>
      </c>
      <c r="G11023" s="1">
        <v>44886</v>
      </c>
      <c r="H11023" t="str">
        <f>"97111"</f>
        <v>97111</v>
      </c>
      <c r="I11023">
        <v>1</v>
      </c>
      <c r="J11023">
        <v>18</v>
      </c>
      <c r="K11023">
        <v>0</v>
      </c>
      <c r="L11023">
        <v>14.04</v>
      </c>
    </row>
    <row r="11024" spans="1:12" x14ac:dyDescent="0.25">
      <c r="A11024" t="str">
        <f t="shared" si="2389"/>
        <v>89301000</v>
      </c>
      <c r="B11024" t="str">
        <f t="shared" si="2390"/>
        <v>88805000</v>
      </c>
      <c r="C11024" t="str">
        <f t="shared" si="2391"/>
        <v>88805001</v>
      </c>
      <c r="D11024" t="str">
        <f t="shared" si="2392"/>
        <v>801</v>
      </c>
      <c r="E11024" t="str">
        <f>"89301082"</f>
        <v>89301082</v>
      </c>
      <c r="F11024" t="str">
        <f>"8360295273"</f>
        <v>8360295273</v>
      </c>
      <c r="G11024" s="1">
        <v>44874</v>
      </c>
      <c r="H11024" t="str">
        <f>"97111"</f>
        <v>97111</v>
      </c>
      <c r="I11024">
        <v>1</v>
      </c>
      <c r="J11024">
        <v>18</v>
      </c>
      <c r="K11024">
        <v>0</v>
      </c>
      <c r="L11024">
        <v>14.04</v>
      </c>
    </row>
    <row r="11025" spans="1:12" x14ac:dyDescent="0.25">
      <c r="A11025" t="str">
        <f t="shared" si="2389"/>
        <v>89301000</v>
      </c>
      <c r="B11025" t="str">
        <f t="shared" si="2390"/>
        <v>88805000</v>
      </c>
      <c r="C11025" t="str">
        <f t="shared" si="2391"/>
        <v>88805001</v>
      </c>
      <c r="D11025" t="str">
        <f t="shared" si="2392"/>
        <v>801</v>
      </c>
      <c r="E11025" t="str">
        <f>"89301082"</f>
        <v>89301082</v>
      </c>
      <c r="F11025" t="str">
        <f>"8360295273"</f>
        <v>8360295273</v>
      </c>
      <c r="G11025" s="1">
        <v>44874</v>
      </c>
      <c r="H11025" t="str">
        <f>"93159"</f>
        <v>93159</v>
      </c>
      <c r="I11025">
        <v>1</v>
      </c>
      <c r="J11025">
        <v>195</v>
      </c>
      <c r="K11025">
        <v>0</v>
      </c>
      <c r="L11025">
        <v>152.1</v>
      </c>
    </row>
    <row r="11026" spans="1:12" x14ac:dyDescent="0.25">
      <c r="A11026" t="str">
        <f t="shared" si="2389"/>
        <v>89301000</v>
      </c>
      <c r="B11026" t="str">
        <f t="shared" si="2390"/>
        <v>88805000</v>
      </c>
      <c r="C11026" t="str">
        <f t="shared" ref="C11026:C11035" si="2393">"88805014"</f>
        <v>88805014</v>
      </c>
      <c r="D11026" t="str">
        <f t="shared" ref="D11026:D11035" si="2394">"816"</f>
        <v>816</v>
      </c>
      <c r="E11026" t="str">
        <f t="shared" ref="E11026:E11035" si="2395">"89301282"</f>
        <v>89301282</v>
      </c>
      <c r="F11026" t="str">
        <f>"7903053532"</f>
        <v>7903053532</v>
      </c>
      <c r="G11026" s="1">
        <v>44874</v>
      </c>
      <c r="H11026" t="str">
        <f>"94331"</f>
        <v>94331</v>
      </c>
      <c r="I11026">
        <v>3</v>
      </c>
      <c r="J11026">
        <v>23334</v>
      </c>
      <c r="K11026">
        <v>0</v>
      </c>
      <c r="L11026">
        <v>19833.900000000001</v>
      </c>
    </row>
    <row r="11027" spans="1:12" x14ac:dyDescent="0.25">
      <c r="A11027" t="str">
        <f t="shared" si="2389"/>
        <v>89301000</v>
      </c>
      <c r="B11027" t="str">
        <f t="shared" si="2390"/>
        <v>88805000</v>
      </c>
      <c r="C11027" t="str">
        <f t="shared" si="2393"/>
        <v>88805014</v>
      </c>
      <c r="D11027" t="str">
        <f t="shared" si="2394"/>
        <v>816</v>
      </c>
      <c r="E11027" t="str">
        <f t="shared" si="2395"/>
        <v>89301282</v>
      </c>
      <c r="F11027" t="str">
        <f>"7903053532"</f>
        <v>7903053532</v>
      </c>
      <c r="G11027" s="1">
        <v>44874</v>
      </c>
      <c r="H11027" t="str">
        <f>"94948"</f>
        <v>94948</v>
      </c>
      <c r="I11027">
        <v>1</v>
      </c>
      <c r="J11027">
        <v>0</v>
      </c>
      <c r="K11027">
        <v>0</v>
      </c>
      <c r="L11027">
        <v>0</v>
      </c>
    </row>
    <row r="11028" spans="1:12" x14ac:dyDescent="0.25">
      <c r="A11028" t="str">
        <f t="shared" si="2389"/>
        <v>89301000</v>
      </c>
      <c r="B11028" t="str">
        <f t="shared" si="2390"/>
        <v>88805000</v>
      </c>
      <c r="C11028" t="str">
        <f t="shared" si="2393"/>
        <v>88805014</v>
      </c>
      <c r="D11028" t="str">
        <f t="shared" si="2394"/>
        <v>816</v>
      </c>
      <c r="E11028" t="str">
        <f t="shared" si="2395"/>
        <v>89301282</v>
      </c>
      <c r="F11028" t="str">
        <f>"9807216287"</f>
        <v>9807216287</v>
      </c>
      <c r="G11028" s="1">
        <v>44893</v>
      </c>
      <c r="H11028" t="str">
        <f>"94345"</f>
        <v>94345</v>
      </c>
      <c r="I11028">
        <v>1</v>
      </c>
      <c r="J11028">
        <v>4625</v>
      </c>
      <c r="K11028">
        <v>0</v>
      </c>
      <c r="L11028">
        <v>3931.25</v>
      </c>
    </row>
    <row r="11029" spans="1:12" x14ac:dyDescent="0.25">
      <c r="A11029" t="str">
        <f t="shared" si="2389"/>
        <v>89301000</v>
      </c>
      <c r="B11029" t="str">
        <f t="shared" si="2390"/>
        <v>88805000</v>
      </c>
      <c r="C11029" t="str">
        <f t="shared" si="2393"/>
        <v>88805014</v>
      </c>
      <c r="D11029" t="str">
        <f t="shared" si="2394"/>
        <v>816</v>
      </c>
      <c r="E11029" t="str">
        <f t="shared" si="2395"/>
        <v>89301282</v>
      </c>
      <c r="F11029" t="str">
        <f>"9807216287"</f>
        <v>9807216287</v>
      </c>
      <c r="G11029" s="1">
        <v>44893</v>
      </c>
      <c r="H11029" t="str">
        <f>"94948"</f>
        <v>94948</v>
      </c>
      <c r="I11029">
        <v>1</v>
      </c>
      <c r="J11029">
        <v>0</v>
      </c>
      <c r="K11029">
        <v>0</v>
      </c>
      <c r="L11029">
        <v>0</v>
      </c>
    </row>
    <row r="11030" spans="1:12" x14ac:dyDescent="0.25">
      <c r="A11030" t="str">
        <f t="shared" si="2389"/>
        <v>89301000</v>
      </c>
      <c r="B11030" t="str">
        <f t="shared" si="2390"/>
        <v>88805000</v>
      </c>
      <c r="C11030" t="str">
        <f t="shared" si="2393"/>
        <v>88805014</v>
      </c>
      <c r="D11030" t="str">
        <f t="shared" si="2394"/>
        <v>816</v>
      </c>
      <c r="E11030" t="str">
        <f t="shared" si="2395"/>
        <v>89301282</v>
      </c>
      <c r="F11030" t="str">
        <f>"8152114498"</f>
        <v>8152114498</v>
      </c>
      <c r="G11030" s="1">
        <v>44895</v>
      </c>
      <c r="H11030" t="str">
        <f>"94345"</f>
        <v>94345</v>
      </c>
      <c r="I11030">
        <v>1</v>
      </c>
      <c r="J11030">
        <v>4625</v>
      </c>
      <c r="K11030">
        <v>0</v>
      </c>
      <c r="L11030">
        <v>3931.25</v>
      </c>
    </row>
    <row r="11031" spans="1:12" x14ac:dyDescent="0.25">
      <c r="A11031" t="str">
        <f t="shared" si="2389"/>
        <v>89301000</v>
      </c>
      <c r="B11031" t="str">
        <f t="shared" si="2390"/>
        <v>88805000</v>
      </c>
      <c r="C11031" t="str">
        <f t="shared" si="2393"/>
        <v>88805014</v>
      </c>
      <c r="D11031" t="str">
        <f t="shared" si="2394"/>
        <v>816</v>
      </c>
      <c r="E11031" t="str">
        <f t="shared" si="2395"/>
        <v>89301282</v>
      </c>
      <c r="F11031" t="str">
        <f>"8152114498"</f>
        <v>8152114498</v>
      </c>
      <c r="G11031" s="1">
        <v>44895</v>
      </c>
      <c r="H11031" t="str">
        <f>"94948"</f>
        <v>94948</v>
      </c>
      <c r="I11031">
        <v>1</v>
      </c>
      <c r="J11031">
        <v>0</v>
      </c>
      <c r="K11031">
        <v>0</v>
      </c>
      <c r="L11031">
        <v>0</v>
      </c>
    </row>
    <row r="11032" spans="1:12" x14ac:dyDescent="0.25">
      <c r="A11032" t="str">
        <f t="shared" si="2389"/>
        <v>89301000</v>
      </c>
      <c r="B11032" t="str">
        <f t="shared" si="2390"/>
        <v>88805000</v>
      </c>
      <c r="C11032" t="str">
        <f t="shared" si="2393"/>
        <v>88805014</v>
      </c>
      <c r="D11032" t="str">
        <f t="shared" si="2394"/>
        <v>816</v>
      </c>
      <c r="E11032" t="str">
        <f t="shared" si="2395"/>
        <v>89301282</v>
      </c>
      <c r="F11032" t="str">
        <f>"0957163262"</f>
        <v>0957163262</v>
      </c>
      <c r="G11032" s="1">
        <v>44875</v>
      </c>
      <c r="H11032" t="str">
        <f>"94982"</f>
        <v>94982</v>
      </c>
      <c r="I11032">
        <v>1</v>
      </c>
      <c r="J11032">
        <v>0</v>
      </c>
      <c r="K11032">
        <v>27500</v>
      </c>
      <c r="L11032">
        <v>27500</v>
      </c>
    </row>
    <row r="11033" spans="1:12" x14ac:dyDescent="0.25">
      <c r="A11033" t="str">
        <f t="shared" si="2389"/>
        <v>89301000</v>
      </c>
      <c r="B11033" t="str">
        <f t="shared" si="2390"/>
        <v>88805000</v>
      </c>
      <c r="C11033" t="str">
        <f t="shared" si="2393"/>
        <v>88805014</v>
      </c>
      <c r="D11033" t="str">
        <f t="shared" si="2394"/>
        <v>816</v>
      </c>
      <c r="E11033" t="str">
        <f t="shared" si="2395"/>
        <v>89301282</v>
      </c>
      <c r="F11033" t="str">
        <f>"0957163262"</f>
        <v>0957163262</v>
      </c>
      <c r="G11033" s="1">
        <v>44875</v>
      </c>
      <c r="H11033" t="str">
        <f>"94996"</f>
        <v>94996</v>
      </c>
      <c r="I11033">
        <v>1</v>
      </c>
      <c r="J11033">
        <v>0</v>
      </c>
      <c r="K11033">
        <v>0</v>
      </c>
      <c r="L11033">
        <v>0</v>
      </c>
    </row>
    <row r="11034" spans="1:12" x14ac:dyDescent="0.25">
      <c r="A11034" t="str">
        <f t="shared" si="2389"/>
        <v>89301000</v>
      </c>
      <c r="B11034" t="str">
        <f t="shared" si="2390"/>
        <v>88805000</v>
      </c>
      <c r="C11034" t="str">
        <f t="shared" si="2393"/>
        <v>88805014</v>
      </c>
      <c r="D11034" t="str">
        <f t="shared" si="2394"/>
        <v>816</v>
      </c>
      <c r="E11034" t="str">
        <f t="shared" si="2395"/>
        <v>89301282</v>
      </c>
      <c r="F11034" t="str">
        <f>"0904306194"</f>
        <v>0904306194</v>
      </c>
      <c r="G11034" s="1">
        <v>44880</v>
      </c>
      <c r="H11034" t="str">
        <f>"94983"</f>
        <v>94983</v>
      </c>
      <c r="I11034">
        <v>1</v>
      </c>
      <c r="J11034">
        <v>0</v>
      </c>
      <c r="K11034">
        <v>39600</v>
      </c>
      <c r="L11034">
        <v>39600</v>
      </c>
    </row>
    <row r="11035" spans="1:12" x14ac:dyDescent="0.25">
      <c r="A11035" t="str">
        <f t="shared" si="2389"/>
        <v>89301000</v>
      </c>
      <c r="B11035" t="str">
        <f t="shared" si="2390"/>
        <v>88805000</v>
      </c>
      <c r="C11035" t="str">
        <f t="shared" si="2393"/>
        <v>88805014</v>
      </c>
      <c r="D11035" t="str">
        <f t="shared" si="2394"/>
        <v>816</v>
      </c>
      <c r="E11035" t="str">
        <f t="shared" si="2395"/>
        <v>89301282</v>
      </c>
      <c r="F11035" t="str">
        <f>"0904306194"</f>
        <v>0904306194</v>
      </c>
      <c r="G11035" s="1">
        <v>44880</v>
      </c>
      <c r="H11035" t="str">
        <f>"94996"</f>
        <v>94996</v>
      </c>
      <c r="I11035">
        <v>1</v>
      </c>
      <c r="J11035">
        <v>0</v>
      </c>
      <c r="K11035">
        <v>0</v>
      </c>
      <c r="L11035">
        <v>0</v>
      </c>
    </row>
    <row r="11036" spans="1:12" x14ac:dyDescent="0.25">
      <c r="A11036" t="str">
        <f t="shared" si="2389"/>
        <v>89301000</v>
      </c>
      <c r="B11036" t="str">
        <f t="shared" si="2390"/>
        <v>88805000</v>
      </c>
      <c r="C11036" t="str">
        <f t="shared" ref="C11036:C11042" si="2396">"88805001"</f>
        <v>88805001</v>
      </c>
      <c r="D11036" t="str">
        <f t="shared" ref="D11036:D11042" si="2397">"801"</f>
        <v>801</v>
      </c>
      <c r="E11036" t="str">
        <f>"89301108"</f>
        <v>89301108</v>
      </c>
      <c r="F11036" t="str">
        <f>"1859160336"</f>
        <v>1859160336</v>
      </c>
      <c r="G11036" s="1">
        <v>44895</v>
      </c>
      <c r="H11036" t="str">
        <f>"81631"</f>
        <v>81631</v>
      </c>
      <c r="I11036">
        <v>1</v>
      </c>
      <c r="J11036">
        <v>294</v>
      </c>
      <c r="K11036">
        <v>0</v>
      </c>
      <c r="L11036">
        <v>229.32</v>
      </c>
    </row>
    <row r="11037" spans="1:12" x14ac:dyDescent="0.25">
      <c r="A11037" t="str">
        <f t="shared" si="2389"/>
        <v>89301000</v>
      </c>
      <c r="B11037" t="str">
        <f t="shared" si="2390"/>
        <v>88805000</v>
      </c>
      <c r="C11037" t="str">
        <f t="shared" si="2396"/>
        <v>88805001</v>
      </c>
      <c r="D11037" t="str">
        <f t="shared" si="2397"/>
        <v>801</v>
      </c>
      <c r="E11037" t="str">
        <f>"89301108"</f>
        <v>89301108</v>
      </c>
      <c r="F11037" t="str">
        <f>"1859160336"</f>
        <v>1859160336</v>
      </c>
      <c r="G11037" s="1">
        <v>44895</v>
      </c>
      <c r="H11037" t="str">
        <f>"92143"</f>
        <v>92143</v>
      </c>
      <c r="I11037">
        <v>1</v>
      </c>
      <c r="J11037">
        <v>1748</v>
      </c>
      <c r="K11037">
        <v>0</v>
      </c>
      <c r="L11037">
        <v>1363.44</v>
      </c>
    </row>
    <row r="11038" spans="1:12" x14ac:dyDescent="0.25">
      <c r="A11038" t="str">
        <f t="shared" si="2389"/>
        <v>89301000</v>
      </c>
      <c r="B11038" t="str">
        <f t="shared" si="2390"/>
        <v>88805000</v>
      </c>
      <c r="C11038" t="str">
        <f t="shared" si="2396"/>
        <v>88805001</v>
      </c>
      <c r="D11038" t="str">
        <f t="shared" si="2397"/>
        <v>801</v>
      </c>
      <c r="E11038" t="str">
        <f>"89301101"</f>
        <v>89301101</v>
      </c>
      <c r="F11038" t="str">
        <f>"2053260473"</f>
        <v>2053260473</v>
      </c>
      <c r="G11038" s="1">
        <v>44888</v>
      </c>
      <c r="H11038" t="str">
        <f>"81631"</f>
        <v>81631</v>
      </c>
      <c r="I11038">
        <v>1</v>
      </c>
      <c r="J11038">
        <v>294</v>
      </c>
      <c r="K11038">
        <v>0</v>
      </c>
      <c r="L11038">
        <v>229.32</v>
      </c>
    </row>
    <row r="11039" spans="1:12" x14ac:dyDescent="0.25">
      <c r="A11039" t="str">
        <f t="shared" si="2389"/>
        <v>89301000</v>
      </c>
      <c r="B11039" t="str">
        <f t="shared" si="2390"/>
        <v>88805000</v>
      </c>
      <c r="C11039" t="str">
        <f t="shared" si="2396"/>
        <v>88805001</v>
      </c>
      <c r="D11039" t="str">
        <f t="shared" si="2397"/>
        <v>801</v>
      </c>
      <c r="E11039" t="str">
        <f>"89301108"</f>
        <v>89301108</v>
      </c>
      <c r="F11039" t="str">
        <f>"2157022043"</f>
        <v>2157022043</v>
      </c>
      <c r="G11039" s="1">
        <v>44895</v>
      </c>
      <c r="H11039" t="str">
        <f>"81631"</f>
        <v>81631</v>
      </c>
      <c r="I11039">
        <v>1</v>
      </c>
      <c r="J11039">
        <v>294</v>
      </c>
      <c r="K11039">
        <v>0</v>
      </c>
      <c r="L11039">
        <v>229.32</v>
      </c>
    </row>
    <row r="11040" spans="1:12" x14ac:dyDescent="0.25">
      <c r="A11040" t="str">
        <f t="shared" si="2389"/>
        <v>89301000</v>
      </c>
      <c r="B11040" t="str">
        <f t="shared" si="2390"/>
        <v>88805000</v>
      </c>
      <c r="C11040" t="str">
        <f t="shared" si="2396"/>
        <v>88805001</v>
      </c>
      <c r="D11040" t="str">
        <f t="shared" si="2397"/>
        <v>801</v>
      </c>
      <c r="E11040" t="str">
        <f>"89301108"</f>
        <v>89301108</v>
      </c>
      <c r="F11040" t="str">
        <f>"2157022043"</f>
        <v>2157022043</v>
      </c>
      <c r="G11040" s="1">
        <v>44895</v>
      </c>
      <c r="H11040" t="str">
        <f>"92143"</f>
        <v>92143</v>
      </c>
      <c r="I11040">
        <v>1</v>
      </c>
      <c r="J11040">
        <v>1748</v>
      </c>
      <c r="K11040">
        <v>0</v>
      </c>
      <c r="L11040">
        <v>1363.44</v>
      </c>
    </row>
    <row r="11041" spans="1:12" x14ac:dyDescent="0.25">
      <c r="A11041" t="str">
        <f t="shared" si="2389"/>
        <v>89301000</v>
      </c>
      <c r="B11041" t="str">
        <f t="shared" si="2390"/>
        <v>88805000</v>
      </c>
      <c r="C11041" t="str">
        <f t="shared" si="2396"/>
        <v>88805001</v>
      </c>
      <c r="D11041" t="str">
        <f t="shared" si="2397"/>
        <v>801</v>
      </c>
      <c r="E11041" t="str">
        <f>"89301202"</f>
        <v>89301202</v>
      </c>
      <c r="F11041" t="str">
        <f>"8060054464"</f>
        <v>8060054464</v>
      </c>
      <c r="G11041" s="1">
        <v>44880</v>
      </c>
      <c r="H11041" t="str">
        <f>"81643"</f>
        <v>81643</v>
      </c>
      <c r="I11041">
        <v>1</v>
      </c>
      <c r="J11041">
        <v>104</v>
      </c>
      <c r="K11041">
        <v>0</v>
      </c>
      <c r="L11041">
        <v>81.12</v>
      </c>
    </row>
    <row r="11042" spans="1:12" x14ac:dyDescent="0.25">
      <c r="A11042" t="str">
        <f t="shared" si="2389"/>
        <v>89301000</v>
      </c>
      <c r="B11042" t="str">
        <f t="shared" si="2390"/>
        <v>88805000</v>
      </c>
      <c r="C11042" t="str">
        <f t="shared" si="2396"/>
        <v>88805001</v>
      </c>
      <c r="D11042" t="str">
        <f t="shared" si="2397"/>
        <v>801</v>
      </c>
      <c r="E11042" t="str">
        <f>"89301035"</f>
        <v>89301035</v>
      </c>
      <c r="F11042" t="str">
        <f>"9507024846"</f>
        <v>9507024846</v>
      </c>
      <c r="G11042" s="1">
        <v>44874</v>
      </c>
      <c r="H11042" t="str">
        <f>"93179"</f>
        <v>93179</v>
      </c>
      <c r="I11042">
        <v>1</v>
      </c>
      <c r="J11042">
        <v>366</v>
      </c>
      <c r="K11042">
        <v>0</v>
      </c>
      <c r="L11042">
        <v>285.48</v>
      </c>
    </row>
    <row r="11043" spans="1:12" x14ac:dyDescent="0.25">
      <c r="A11043" t="str">
        <f t="shared" si="2389"/>
        <v>89301000</v>
      </c>
      <c r="B11043" t="str">
        <f>"02384000"</f>
        <v>02384000</v>
      </c>
      <c r="C11043" t="str">
        <f>"02384007"</f>
        <v>02384007</v>
      </c>
      <c r="D11043" t="str">
        <f t="shared" ref="D11043:D11074" si="2398">"809"</f>
        <v>809</v>
      </c>
      <c r="E11043" t="str">
        <f t="shared" ref="E11043:E11086" si="2399">"89301212"</f>
        <v>89301212</v>
      </c>
      <c r="F11043" t="str">
        <f>"6655090189"</f>
        <v>6655090189</v>
      </c>
      <c r="G11043" s="1">
        <v>44872</v>
      </c>
      <c r="H11043" t="str">
        <f>"89513"</f>
        <v>89513</v>
      </c>
      <c r="I11043">
        <v>1</v>
      </c>
      <c r="J11043">
        <v>371</v>
      </c>
      <c r="K11043">
        <v>0</v>
      </c>
      <c r="L11043">
        <v>519.4</v>
      </c>
    </row>
    <row r="11044" spans="1:12" x14ac:dyDescent="0.25">
      <c r="A11044" t="str">
        <f t="shared" si="2389"/>
        <v>89301000</v>
      </c>
      <c r="B11044" t="str">
        <f>"02384000"</f>
        <v>02384000</v>
      </c>
      <c r="C11044" t="str">
        <f>"02384007"</f>
        <v>02384007</v>
      </c>
      <c r="D11044" t="str">
        <f t="shared" si="2398"/>
        <v>809</v>
      </c>
      <c r="E11044" t="str">
        <f t="shared" si="2399"/>
        <v>89301212</v>
      </c>
      <c r="F11044" t="str">
        <f>"6655090189"</f>
        <v>6655090189</v>
      </c>
      <c r="G11044" s="1">
        <v>44872</v>
      </c>
      <c r="H11044" t="str">
        <f>"89514"</f>
        <v>89514</v>
      </c>
      <c r="I11044">
        <v>1</v>
      </c>
      <c r="J11044">
        <v>371</v>
      </c>
      <c r="K11044">
        <v>0</v>
      </c>
      <c r="L11044">
        <v>519.4</v>
      </c>
    </row>
    <row r="11045" spans="1:12" x14ac:dyDescent="0.25">
      <c r="A11045" t="str">
        <f t="shared" si="2389"/>
        <v>89301000</v>
      </c>
      <c r="B11045" t="str">
        <f t="shared" ref="B11045:B11086" si="2400">"89895000"</f>
        <v>89895000</v>
      </c>
      <c r="C11045" t="str">
        <f t="shared" ref="C11045:C11086" si="2401">"89895002"</f>
        <v>89895002</v>
      </c>
      <c r="D11045" t="str">
        <f t="shared" si="2398"/>
        <v>809</v>
      </c>
      <c r="E11045" t="str">
        <f t="shared" si="2399"/>
        <v>89301212</v>
      </c>
      <c r="F11045" t="str">
        <f>"445406441"</f>
        <v>445406441</v>
      </c>
      <c r="G11045" s="1">
        <v>44889</v>
      </c>
      <c r="H11045" t="str">
        <f>"89180"</f>
        <v>89180</v>
      </c>
      <c r="I11045">
        <v>2</v>
      </c>
      <c r="J11045">
        <v>752</v>
      </c>
      <c r="K11045">
        <v>0</v>
      </c>
      <c r="L11045">
        <v>1052.8</v>
      </c>
    </row>
    <row r="11046" spans="1:12" x14ac:dyDescent="0.25">
      <c r="A11046" t="str">
        <f t="shared" si="2389"/>
        <v>89301000</v>
      </c>
      <c r="B11046" t="str">
        <f t="shared" si="2400"/>
        <v>89895000</v>
      </c>
      <c r="C11046" t="str">
        <f t="shared" si="2401"/>
        <v>89895002</v>
      </c>
      <c r="D11046" t="str">
        <f t="shared" si="2398"/>
        <v>809</v>
      </c>
      <c r="E11046" t="str">
        <f t="shared" si="2399"/>
        <v>89301212</v>
      </c>
      <c r="F11046" t="str">
        <f>"445406441"</f>
        <v>445406441</v>
      </c>
      <c r="G11046" s="1">
        <v>44893</v>
      </c>
      <c r="H11046" t="str">
        <f>"89513"</f>
        <v>89513</v>
      </c>
      <c r="I11046">
        <v>1</v>
      </c>
      <c r="J11046">
        <v>371</v>
      </c>
      <c r="K11046">
        <v>0</v>
      </c>
      <c r="L11046">
        <v>519.4</v>
      </c>
    </row>
    <row r="11047" spans="1:12" x14ac:dyDescent="0.25">
      <c r="A11047" t="str">
        <f t="shared" si="2389"/>
        <v>89301000</v>
      </c>
      <c r="B11047" t="str">
        <f t="shared" si="2400"/>
        <v>89895000</v>
      </c>
      <c r="C11047" t="str">
        <f t="shared" si="2401"/>
        <v>89895002</v>
      </c>
      <c r="D11047" t="str">
        <f t="shared" si="2398"/>
        <v>809</v>
      </c>
      <c r="E11047" t="str">
        <f t="shared" si="2399"/>
        <v>89301212</v>
      </c>
      <c r="F11047" t="str">
        <f>"445406441"</f>
        <v>445406441</v>
      </c>
      <c r="G11047" s="1">
        <v>44893</v>
      </c>
      <c r="H11047" t="str">
        <f>"89514"</f>
        <v>89514</v>
      </c>
      <c r="I11047">
        <v>1</v>
      </c>
      <c r="J11047">
        <v>371</v>
      </c>
      <c r="K11047">
        <v>0</v>
      </c>
      <c r="L11047">
        <v>519.4</v>
      </c>
    </row>
    <row r="11048" spans="1:12" x14ac:dyDescent="0.25">
      <c r="A11048" t="str">
        <f t="shared" si="2389"/>
        <v>89301000</v>
      </c>
      <c r="B11048" t="str">
        <f t="shared" si="2400"/>
        <v>89895000</v>
      </c>
      <c r="C11048" t="str">
        <f t="shared" si="2401"/>
        <v>89895002</v>
      </c>
      <c r="D11048" t="str">
        <f t="shared" si="2398"/>
        <v>809</v>
      </c>
      <c r="E11048" t="str">
        <f t="shared" si="2399"/>
        <v>89301212</v>
      </c>
      <c r="F11048" t="str">
        <f>"455512476"</f>
        <v>455512476</v>
      </c>
      <c r="G11048" s="1">
        <v>44869</v>
      </c>
      <c r="H11048" t="str">
        <f>"89180"</f>
        <v>89180</v>
      </c>
      <c r="I11048">
        <v>1</v>
      </c>
      <c r="J11048">
        <v>376</v>
      </c>
      <c r="K11048">
        <v>0</v>
      </c>
      <c r="L11048">
        <v>526.4</v>
      </c>
    </row>
    <row r="11049" spans="1:12" x14ac:dyDescent="0.25">
      <c r="A11049" t="str">
        <f t="shared" si="2389"/>
        <v>89301000</v>
      </c>
      <c r="B11049" t="str">
        <f t="shared" si="2400"/>
        <v>89895000</v>
      </c>
      <c r="C11049" t="str">
        <f t="shared" si="2401"/>
        <v>89895002</v>
      </c>
      <c r="D11049" t="str">
        <f t="shared" si="2398"/>
        <v>809</v>
      </c>
      <c r="E11049" t="str">
        <f t="shared" si="2399"/>
        <v>89301212</v>
      </c>
      <c r="F11049" t="str">
        <f>"455512476"</f>
        <v>455512476</v>
      </c>
      <c r="G11049" s="1">
        <v>44869</v>
      </c>
      <c r="H11049" t="str">
        <f>"89512"</f>
        <v>89512</v>
      </c>
      <c r="I11049">
        <v>1</v>
      </c>
      <c r="J11049">
        <v>277</v>
      </c>
      <c r="K11049">
        <v>0</v>
      </c>
      <c r="L11049">
        <v>387.8</v>
      </c>
    </row>
    <row r="11050" spans="1:12" x14ac:dyDescent="0.25">
      <c r="A11050" t="str">
        <f t="shared" si="2389"/>
        <v>89301000</v>
      </c>
      <c r="B11050" t="str">
        <f t="shared" si="2400"/>
        <v>89895000</v>
      </c>
      <c r="C11050" t="str">
        <f t="shared" si="2401"/>
        <v>89895002</v>
      </c>
      <c r="D11050" t="str">
        <f t="shared" si="2398"/>
        <v>809</v>
      </c>
      <c r="E11050" t="str">
        <f t="shared" si="2399"/>
        <v>89301212</v>
      </c>
      <c r="F11050" t="str">
        <f>"455512476"</f>
        <v>455512476</v>
      </c>
      <c r="G11050" s="1">
        <v>44881</v>
      </c>
      <c r="H11050" t="str">
        <f>"89512"</f>
        <v>89512</v>
      </c>
      <c r="I11050">
        <v>1</v>
      </c>
      <c r="J11050">
        <v>277</v>
      </c>
      <c r="K11050">
        <v>0</v>
      </c>
      <c r="L11050">
        <v>387.8</v>
      </c>
    </row>
    <row r="11051" spans="1:12" x14ac:dyDescent="0.25">
      <c r="A11051" t="str">
        <f t="shared" si="2389"/>
        <v>89301000</v>
      </c>
      <c r="B11051" t="str">
        <f t="shared" si="2400"/>
        <v>89895000</v>
      </c>
      <c r="C11051" t="str">
        <f t="shared" si="2401"/>
        <v>89895002</v>
      </c>
      <c r="D11051" t="str">
        <f t="shared" si="2398"/>
        <v>809</v>
      </c>
      <c r="E11051" t="str">
        <f t="shared" si="2399"/>
        <v>89301212</v>
      </c>
      <c r="F11051" t="str">
        <f>"485405409"</f>
        <v>485405409</v>
      </c>
      <c r="G11051" s="1">
        <v>44895</v>
      </c>
      <c r="H11051" t="str">
        <f>"89180"</f>
        <v>89180</v>
      </c>
      <c r="I11051">
        <v>1</v>
      </c>
      <c r="J11051">
        <v>376</v>
      </c>
      <c r="K11051">
        <v>0</v>
      </c>
      <c r="L11051">
        <v>526.4</v>
      </c>
    </row>
    <row r="11052" spans="1:12" x14ac:dyDescent="0.25">
      <c r="A11052" t="str">
        <f t="shared" si="2389"/>
        <v>89301000</v>
      </c>
      <c r="B11052" t="str">
        <f t="shared" si="2400"/>
        <v>89895000</v>
      </c>
      <c r="C11052" t="str">
        <f t="shared" si="2401"/>
        <v>89895002</v>
      </c>
      <c r="D11052" t="str">
        <f t="shared" si="2398"/>
        <v>809</v>
      </c>
      <c r="E11052" t="str">
        <f t="shared" si="2399"/>
        <v>89301212</v>
      </c>
      <c r="F11052" t="str">
        <f>"485405409"</f>
        <v>485405409</v>
      </c>
      <c r="G11052" s="1">
        <v>44895</v>
      </c>
      <c r="H11052" t="str">
        <f>"89512"</f>
        <v>89512</v>
      </c>
      <c r="I11052">
        <v>1</v>
      </c>
      <c r="J11052">
        <v>277</v>
      </c>
      <c r="K11052">
        <v>0</v>
      </c>
      <c r="L11052">
        <v>387.8</v>
      </c>
    </row>
    <row r="11053" spans="1:12" x14ac:dyDescent="0.25">
      <c r="A11053" t="str">
        <f t="shared" si="2389"/>
        <v>89301000</v>
      </c>
      <c r="B11053" t="str">
        <f t="shared" si="2400"/>
        <v>89895000</v>
      </c>
      <c r="C11053" t="str">
        <f t="shared" si="2401"/>
        <v>89895002</v>
      </c>
      <c r="D11053" t="str">
        <f t="shared" si="2398"/>
        <v>809</v>
      </c>
      <c r="E11053" t="str">
        <f t="shared" si="2399"/>
        <v>89301212</v>
      </c>
      <c r="F11053" t="str">
        <f>"495620001"</f>
        <v>495620001</v>
      </c>
      <c r="G11053" s="1">
        <v>44873</v>
      </c>
      <c r="H11053" t="str">
        <f>"89512"</f>
        <v>89512</v>
      </c>
      <c r="I11053">
        <v>1</v>
      </c>
      <c r="J11053">
        <v>277</v>
      </c>
      <c r="K11053">
        <v>0</v>
      </c>
      <c r="L11053">
        <v>387.8</v>
      </c>
    </row>
    <row r="11054" spans="1:12" x14ac:dyDescent="0.25">
      <c r="A11054" t="str">
        <f t="shared" si="2389"/>
        <v>89301000</v>
      </c>
      <c r="B11054" t="str">
        <f t="shared" si="2400"/>
        <v>89895000</v>
      </c>
      <c r="C11054" t="str">
        <f t="shared" si="2401"/>
        <v>89895002</v>
      </c>
      <c r="D11054" t="str">
        <f t="shared" si="2398"/>
        <v>809</v>
      </c>
      <c r="E11054" t="str">
        <f t="shared" si="2399"/>
        <v>89301212</v>
      </c>
      <c r="F11054" t="str">
        <f>"495620001"</f>
        <v>495620001</v>
      </c>
      <c r="G11054" s="1">
        <v>44873</v>
      </c>
      <c r="H11054" t="str">
        <f>"09511"</f>
        <v>09511</v>
      </c>
      <c r="I11054">
        <v>1</v>
      </c>
      <c r="J11054">
        <v>43</v>
      </c>
      <c r="K11054">
        <v>0</v>
      </c>
      <c r="L11054">
        <v>60.2</v>
      </c>
    </row>
    <row r="11055" spans="1:12" x14ac:dyDescent="0.25">
      <c r="A11055" t="str">
        <f t="shared" si="2389"/>
        <v>89301000</v>
      </c>
      <c r="B11055" t="str">
        <f t="shared" si="2400"/>
        <v>89895000</v>
      </c>
      <c r="C11055" t="str">
        <f t="shared" si="2401"/>
        <v>89895002</v>
      </c>
      <c r="D11055" t="str">
        <f t="shared" si="2398"/>
        <v>809</v>
      </c>
      <c r="E11055" t="str">
        <f t="shared" si="2399"/>
        <v>89301212</v>
      </c>
      <c r="F11055" t="str">
        <f>"505814072"</f>
        <v>505814072</v>
      </c>
      <c r="G11055" s="1">
        <v>44895</v>
      </c>
      <c r="H11055" t="str">
        <f>"89180"</f>
        <v>89180</v>
      </c>
      <c r="I11055">
        <v>2</v>
      </c>
      <c r="J11055">
        <v>752</v>
      </c>
      <c r="K11055">
        <v>0</v>
      </c>
      <c r="L11055">
        <v>1052.8</v>
      </c>
    </row>
    <row r="11056" spans="1:12" x14ac:dyDescent="0.25">
      <c r="A11056" t="str">
        <f t="shared" si="2389"/>
        <v>89301000</v>
      </c>
      <c r="B11056" t="str">
        <f t="shared" si="2400"/>
        <v>89895000</v>
      </c>
      <c r="C11056" t="str">
        <f t="shared" si="2401"/>
        <v>89895002</v>
      </c>
      <c r="D11056" t="str">
        <f t="shared" si="2398"/>
        <v>809</v>
      </c>
      <c r="E11056" t="str">
        <f t="shared" si="2399"/>
        <v>89301212</v>
      </c>
      <c r="F11056" t="str">
        <f>"505814072"</f>
        <v>505814072</v>
      </c>
      <c r="G11056" s="1">
        <v>44895</v>
      </c>
      <c r="H11056" t="str">
        <f>"89513"</f>
        <v>89513</v>
      </c>
      <c r="I11056">
        <v>1</v>
      </c>
      <c r="J11056">
        <v>371</v>
      </c>
      <c r="K11056">
        <v>0</v>
      </c>
      <c r="L11056">
        <v>519.4</v>
      </c>
    </row>
    <row r="11057" spans="1:12" x14ac:dyDescent="0.25">
      <c r="A11057" t="str">
        <f t="shared" si="2389"/>
        <v>89301000</v>
      </c>
      <c r="B11057" t="str">
        <f t="shared" si="2400"/>
        <v>89895000</v>
      </c>
      <c r="C11057" t="str">
        <f t="shared" si="2401"/>
        <v>89895002</v>
      </c>
      <c r="D11057" t="str">
        <f t="shared" si="2398"/>
        <v>809</v>
      </c>
      <c r="E11057" t="str">
        <f t="shared" si="2399"/>
        <v>89301212</v>
      </c>
      <c r="F11057" t="str">
        <f>"505814072"</f>
        <v>505814072</v>
      </c>
      <c r="G11057" s="1">
        <v>44895</v>
      </c>
      <c r="H11057" t="str">
        <f>"89514"</f>
        <v>89514</v>
      </c>
      <c r="I11057">
        <v>1</v>
      </c>
      <c r="J11057">
        <v>371</v>
      </c>
      <c r="K11057">
        <v>0</v>
      </c>
      <c r="L11057">
        <v>519.4</v>
      </c>
    </row>
    <row r="11058" spans="1:12" x14ac:dyDescent="0.25">
      <c r="A11058" t="str">
        <f t="shared" si="2389"/>
        <v>89301000</v>
      </c>
      <c r="B11058" t="str">
        <f t="shared" si="2400"/>
        <v>89895000</v>
      </c>
      <c r="C11058" t="str">
        <f t="shared" si="2401"/>
        <v>89895002</v>
      </c>
      <c r="D11058" t="str">
        <f t="shared" si="2398"/>
        <v>809</v>
      </c>
      <c r="E11058" t="str">
        <f t="shared" si="2399"/>
        <v>89301212</v>
      </c>
      <c r="F11058" t="str">
        <f>"505814072"</f>
        <v>505814072</v>
      </c>
      <c r="G11058" s="1">
        <v>44895</v>
      </c>
      <c r="H11058" t="str">
        <f>"89512"</f>
        <v>89512</v>
      </c>
      <c r="I11058">
        <v>1</v>
      </c>
      <c r="J11058">
        <v>277</v>
      </c>
      <c r="K11058">
        <v>0</v>
      </c>
      <c r="L11058">
        <v>387.8</v>
      </c>
    </row>
    <row r="11059" spans="1:12" x14ac:dyDescent="0.25">
      <c r="A11059" t="str">
        <f t="shared" si="2389"/>
        <v>89301000</v>
      </c>
      <c r="B11059" t="str">
        <f t="shared" si="2400"/>
        <v>89895000</v>
      </c>
      <c r="C11059" t="str">
        <f t="shared" si="2401"/>
        <v>89895002</v>
      </c>
      <c r="D11059" t="str">
        <f t="shared" si="2398"/>
        <v>809</v>
      </c>
      <c r="E11059" t="str">
        <f t="shared" si="2399"/>
        <v>89301212</v>
      </c>
      <c r="F11059" t="str">
        <f>"535703124"</f>
        <v>535703124</v>
      </c>
      <c r="G11059" s="1">
        <v>44876</v>
      </c>
      <c r="H11059" t="str">
        <f>"89512"</f>
        <v>89512</v>
      </c>
      <c r="I11059">
        <v>1</v>
      </c>
      <c r="J11059">
        <v>277</v>
      </c>
      <c r="K11059">
        <v>0</v>
      </c>
      <c r="L11059">
        <v>387.8</v>
      </c>
    </row>
    <row r="11060" spans="1:12" x14ac:dyDescent="0.25">
      <c r="A11060" t="str">
        <f t="shared" si="2389"/>
        <v>89301000</v>
      </c>
      <c r="B11060" t="str">
        <f t="shared" si="2400"/>
        <v>89895000</v>
      </c>
      <c r="C11060" t="str">
        <f t="shared" si="2401"/>
        <v>89895002</v>
      </c>
      <c r="D11060" t="str">
        <f t="shared" si="2398"/>
        <v>809</v>
      </c>
      <c r="E11060" t="str">
        <f t="shared" si="2399"/>
        <v>89301212</v>
      </c>
      <c r="F11060" t="str">
        <f>"5759291967"</f>
        <v>5759291967</v>
      </c>
      <c r="G11060" s="1">
        <v>44872</v>
      </c>
      <c r="H11060" t="str">
        <f>"89180"</f>
        <v>89180</v>
      </c>
      <c r="I11060">
        <v>2</v>
      </c>
      <c r="J11060">
        <v>752</v>
      </c>
      <c r="K11060">
        <v>0</v>
      </c>
      <c r="L11060">
        <v>1052.8</v>
      </c>
    </row>
    <row r="11061" spans="1:12" x14ac:dyDescent="0.25">
      <c r="A11061" t="str">
        <f t="shared" si="2389"/>
        <v>89301000</v>
      </c>
      <c r="B11061" t="str">
        <f t="shared" si="2400"/>
        <v>89895000</v>
      </c>
      <c r="C11061" t="str">
        <f t="shared" si="2401"/>
        <v>89895002</v>
      </c>
      <c r="D11061" t="str">
        <f t="shared" si="2398"/>
        <v>809</v>
      </c>
      <c r="E11061" t="str">
        <f t="shared" si="2399"/>
        <v>89301212</v>
      </c>
      <c r="F11061" t="str">
        <f>"5759291967"</f>
        <v>5759291967</v>
      </c>
      <c r="G11061" s="1">
        <v>44872</v>
      </c>
      <c r="H11061" t="str">
        <f>"89512"</f>
        <v>89512</v>
      </c>
      <c r="I11061">
        <v>1</v>
      </c>
      <c r="J11061">
        <v>277</v>
      </c>
      <c r="K11061">
        <v>0</v>
      </c>
      <c r="L11061">
        <v>387.8</v>
      </c>
    </row>
    <row r="11062" spans="1:12" x14ac:dyDescent="0.25">
      <c r="A11062" t="str">
        <f t="shared" si="2389"/>
        <v>89301000</v>
      </c>
      <c r="B11062" t="str">
        <f t="shared" si="2400"/>
        <v>89895000</v>
      </c>
      <c r="C11062" t="str">
        <f t="shared" si="2401"/>
        <v>89895002</v>
      </c>
      <c r="D11062" t="str">
        <f t="shared" si="2398"/>
        <v>809</v>
      </c>
      <c r="E11062" t="str">
        <f t="shared" si="2399"/>
        <v>89301212</v>
      </c>
      <c r="F11062" t="str">
        <f>"5955071430"</f>
        <v>5955071430</v>
      </c>
      <c r="G11062" s="1">
        <v>44867</v>
      </c>
      <c r="H11062" t="str">
        <f>"89180"</f>
        <v>89180</v>
      </c>
      <c r="I11062">
        <v>2</v>
      </c>
      <c r="J11062">
        <v>752</v>
      </c>
      <c r="K11062">
        <v>0</v>
      </c>
      <c r="L11062">
        <v>1052.8</v>
      </c>
    </row>
    <row r="11063" spans="1:12" x14ac:dyDescent="0.25">
      <c r="A11063" t="str">
        <f t="shared" si="2389"/>
        <v>89301000</v>
      </c>
      <c r="B11063" t="str">
        <f t="shared" si="2400"/>
        <v>89895000</v>
      </c>
      <c r="C11063" t="str">
        <f t="shared" si="2401"/>
        <v>89895002</v>
      </c>
      <c r="D11063" t="str">
        <f t="shared" si="2398"/>
        <v>809</v>
      </c>
      <c r="E11063" t="str">
        <f t="shared" si="2399"/>
        <v>89301212</v>
      </c>
      <c r="F11063" t="str">
        <f>"5955071430"</f>
        <v>5955071430</v>
      </c>
      <c r="G11063" s="1">
        <v>44867</v>
      </c>
      <c r="H11063" t="str">
        <f>"89512"</f>
        <v>89512</v>
      </c>
      <c r="I11063">
        <v>1</v>
      </c>
      <c r="J11063">
        <v>277</v>
      </c>
      <c r="K11063">
        <v>0</v>
      </c>
      <c r="L11063">
        <v>387.8</v>
      </c>
    </row>
    <row r="11064" spans="1:12" x14ac:dyDescent="0.25">
      <c r="A11064" t="str">
        <f t="shared" si="2389"/>
        <v>89301000</v>
      </c>
      <c r="B11064" t="str">
        <f t="shared" si="2400"/>
        <v>89895000</v>
      </c>
      <c r="C11064" t="str">
        <f t="shared" si="2401"/>
        <v>89895002</v>
      </c>
      <c r="D11064" t="str">
        <f t="shared" si="2398"/>
        <v>809</v>
      </c>
      <c r="E11064" t="str">
        <f t="shared" si="2399"/>
        <v>89301212</v>
      </c>
      <c r="F11064" t="str">
        <f>"5955071430"</f>
        <v>5955071430</v>
      </c>
      <c r="G11064" s="1">
        <v>44867</v>
      </c>
      <c r="H11064" t="str">
        <f>"09511"</f>
        <v>09511</v>
      </c>
      <c r="I11064">
        <v>1</v>
      </c>
      <c r="J11064">
        <v>43</v>
      </c>
      <c r="K11064">
        <v>0</v>
      </c>
      <c r="L11064">
        <v>60.2</v>
      </c>
    </row>
    <row r="11065" spans="1:12" x14ac:dyDescent="0.25">
      <c r="A11065" t="str">
        <f t="shared" si="2389"/>
        <v>89301000</v>
      </c>
      <c r="B11065" t="str">
        <f t="shared" si="2400"/>
        <v>89895000</v>
      </c>
      <c r="C11065" t="str">
        <f t="shared" si="2401"/>
        <v>89895002</v>
      </c>
      <c r="D11065" t="str">
        <f t="shared" si="2398"/>
        <v>809</v>
      </c>
      <c r="E11065" t="str">
        <f t="shared" si="2399"/>
        <v>89301212</v>
      </c>
      <c r="F11065" t="str">
        <f>"5956111733"</f>
        <v>5956111733</v>
      </c>
      <c r="G11065" s="1">
        <v>44890</v>
      </c>
      <c r="H11065" t="str">
        <f>"89513"</f>
        <v>89513</v>
      </c>
      <c r="I11065">
        <v>1</v>
      </c>
      <c r="J11065">
        <v>371</v>
      </c>
      <c r="K11065">
        <v>0</v>
      </c>
      <c r="L11065">
        <v>519.4</v>
      </c>
    </row>
    <row r="11066" spans="1:12" x14ac:dyDescent="0.25">
      <c r="A11066" t="str">
        <f t="shared" si="2389"/>
        <v>89301000</v>
      </c>
      <c r="B11066" t="str">
        <f t="shared" si="2400"/>
        <v>89895000</v>
      </c>
      <c r="C11066" t="str">
        <f t="shared" si="2401"/>
        <v>89895002</v>
      </c>
      <c r="D11066" t="str">
        <f t="shared" si="2398"/>
        <v>809</v>
      </c>
      <c r="E11066" t="str">
        <f t="shared" si="2399"/>
        <v>89301212</v>
      </c>
      <c r="F11066" t="str">
        <f>"5956111733"</f>
        <v>5956111733</v>
      </c>
      <c r="G11066" s="1">
        <v>44890</v>
      </c>
      <c r="H11066" t="str">
        <f>"89514"</f>
        <v>89514</v>
      </c>
      <c r="I11066">
        <v>1</v>
      </c>
      <c r="J11066">
        <v>371</v>
      </c>
      <c r="K11066">
        <v>0</v>
      </c>
      <c r="L11066">
        <v>519.4</v>
      </c>
    </row>
    <row r="11067" spans="1:12" x14ac:dyDescent="0.25">
      <c r="A11067" t="str">
        <f t="shared" si="2389"/>
        <v>89301000</v>
      </c>
      <c r="B11067" t="str">
        <f t="shared" si="2400"/>
        <v>89895000</v>
      </c>
      <c r="C11067" t="str">
        <f t="shared" si="2401"/>
        <v>89895002</v>
      </c>
      <c r="D11067" t="str">
        <f t="shared" si="2398"/>
        <v>809</v>
      </c>
      <c r="E11067" t="str">
        <f t="shared" si="2399"/>
        <v>89301212</v>
      </c>
      <c r="F11067" t="str">
        <f>"5956232249"</f>
        <v>5956232249</v>
      </c>
      <c r="G11067" s="1">
        <v>44872</v>
      </c>
      <c r="H11067" t="str">
        <f>"89512"</f>
        <v>89512</v>
      </c>
      <c r="I11067">
        <v>1</v>
      </c>
      <c r="J11067">
        <v>277</v>
      </c>
      <c r="K11067">
        <v>0</v>
      </c>
      <c r="L11067">
        <v>387.8</v>
      </c>
    </row>
    <row r="11068" spans="1:12" x14ac:dyDescent="0.25">
      <c r="A11068" t="str">
        <f t="shared" si="2389"/>
        <v>89301000</v>
      </c>
      <c r="B11068" t="str">
        <f t="shared" si="2400"/>
        <v>89895000</v>
      </c>
      <c r="C11068" t="str">
        <f t="shared" si="2401"/>
        <v>89895002</v>
      </c>
      <c r="D11068" t="str">
        <f t="shared" si="2398"/>
        <v>809</v>
      </c>
      <c r="E11068" t="str">
        <f t="shared" si="2399"/>
        <v>89301212</v>
      </c>
      <c r="F11068" t="str">
        <f>"5956232249"</f>
        <v>5956232249</v>
      </c>
      <c r="G11068" s="1">
        <v>44872</v>
      </c>
      <c r="H11068" t="str">
        <f>"09511"</f>
        <v>09511</v>
      </c>
      <c r="I11068">
        <v>1</v>
      </c>
      <c r="J11068">
        <v>43</v>
      </c>
      <c r="K11068">
        <v>0</v>
      </c>
      <c r="L11068">
        <v>60.2</v>
      </c>
    </row>
    <row r="11069" spans="1:12" x14ac:dyDescent="0.25">
      <c r="A11069" t="str">
        <f t="shared" si="2389"/>
        <v>89301000</v>
      </c>
      <c r="B11069" t="str">
        <f t="shared" si="2400"/>
        <v>89895000</v>
      </c>
      <c r="C11069" t="str">
        <f t="shared" si="2401"/>
        <v>89895002</v>
      </c>
      <c r="D11069" t="str">
        <f t="shared" si="2398"/>
        <v>809</v>
      </c>
      <c r="E11069" t="str">
        <f t="shared" si="2399"/>
        <v>89301212</v>
      </c>
      <c r="F11069" t="str">
        <f>"5958180580"</f>
        <v>5958180580</v>
      </c>
      <c r="G11069" s="1">
        <v>44890</v>
      </c>
      <c r="H11069" t="str">
        <f>"89180"</f>
        <v>89180</v>
      </c>
      <c r="I11069">
        <v>2</v>
      </c>
      <c r="J11069">
        <v>752</v>
      </c>
      <c r="K11069">
        <v>0</v>
      </c>
      <c r="L11069">
        <v>1052.8</v>
      </c>
    </row>
    <row r="11070" spans="1:12" x14ac:dyDescent="0.25">
      <c r="A11070" t="str">
        <f t="shared" si="2389"/>
        <v>89301000</v>
      </c>
      <c r="B11070" t="str">
        <f t="shared" si="2400"/>
        <v>89895000</v>
      </c>
      <c r="C11070" t="str">
        <f t="shared" si="2401"/>
        <v>89895002</v>
      </c>
      <c r="D11070" t="str">
        <f t="shared" si="2398"/>
        <v>809</v>
      </c>
      <c r="E11070" t="str">
        <f t="shared" si="2399"/>
        <v>89301212</v>
      </c>
      <c r="F11070" t="str">
        <f>"5958180580"</f>
        <v>5958180580</v>
      </c>
      <c r="G11070" s="1">
        <v>44890</v>
      </c>
      <c r="H11070" t="str">
        <f>"89512"</f>
        <v>89512</v>
      </c>
      <c r="I11070">
        <v>1</v>
      </c>
      <c r="J11070">
        <v>277</v>
      </c>
      <c r="K11070">
        <v>0</v>
      </c>
      <c r="L11070">
        <v>387.8</v>
      </c>
    </row>
    <row r="11071" spans="1:12" x14ac:dyDescent="0.25">
      <c r="A11071" t="str">
        <f t="shared" si="2389"/>
        <v>89301000</v>
      </c>
      <c r="B11071" t="str">
        <f t="shared" si="2400"/>
        <v>89895000</v>
      </c>
      <c r="C11071" t="str">
        <f t="shared" si="2401"/>
        <v>89895002</v>
      </c>
      <c r="D11071" t="str">
        <f t="shared" si="2398"/>
        <v>809</v>
      </c>
      <c r="E11071" t="str">
        <f t="shared" si="2399"/>
        <v>89301212</v>
      </c>
      <c r="F11071" t="str">
        <f>"6059021474"</f>
        <v>6059021474</v>
      </c>
      <c r="G11071" s="1">
        <v>44893</v>
      </c>
      <c r="H11071" t="str">
        <f>"89180"</f>
        <v>89180</v>
      </c>
      <c r="I11071">
        <v>2</v>
      </c>
      <c r="J11071">
        <v>752</v>
      </c>
      <c r="K11071">
        <v>0</v>
      </c>
      <c r="L11071">
        <v>1052.8</v>
      </c>
    </row>
    <row r="11072" spans="1:12" x14ac:dyDescent="0.25">
      <c r="A11072" t="str">
        <f t="shared" si="2389"/>
        <v>89301000</v>
      </c>
      <c r="B11072" t="str">
        <f t="shared" si="2400"/>
        <v>89895000</v>
      </c>
      <c r="C11072" t="str">
        <f t="shared" si="2401"/>
        <v>89895002</v>
      </c>
      <c r="D11072" t="str">
        <f t="shared" si="2398"/>
        <v>809</v>
      </c>
      <c r="E11072" t="str">
        <f t="shared" si="2399"/>
        <v>89301212</v>
      </c>
      <c r="F11072" t="str">
        <f>"6059021474"</f>
        <v>6059021474</v>
      </c>
      <c r="G11072" s="1">
        <v>44893</v>
      </c>
      <c r="H11072" t="str">
        <f>"89513"</f>
        <v>89513</v>
      </c>
      <c r="I11072">
        <v>1</v>
      </c>
      <c r="J11072">
        <v>371</v>
      </c>
      <c r="K11072">
        <v>0</v>
      </c>
      <c r="L11072">
        <v>519.4</v>
      </c>
    </row>
    <row r="11073" spans="1:12" x14ac:dyDescent="0.25">
      <c r="A11073" t="str">
        <f t="shared" si="2389"/>
        <v>89301000</v>
      </c>
      <c r="B11073" t="str">
        <f t="shared" si="2400"/>
        <v>89895000</v>
      </c>
      <c r="C11073" t="str">
        <f t="shared" si="2401"/>
        <v>89895002</v>
      </c>
      <c r="D11073" t="str">
        <f t="shared" si="2398"/>
        <v>809</v>
      </c>
      <c r="E11073" t="str">
        <f t="shared" si="2399"/>
        <v>89301212</v>
      </c>
      <c r="F11073" t="str">
        <f>"6059021474"</f>
        <v>6059021474</v>
      </c>
      <c r="G11073" s="1">
        <v>44893</v>
      </c>
      <c r="H11073" t="str">
        <f>"89514"</f>
        <v>89514</v>
      </c>
      <c r="I11073">
        <v>1</v>
      </c>
      <c r="J11073">
        <v>371</v>
      </c>
      <c r="K11073">
        <v>0</v>
      </c>
      <c r="L11073">
        <v>519.4</v>
      </c>
    </row>
    <row r="11074" spans="1:12" x14ac:dyDescent="0.25">
      <c r="A11074" t="str">
        <f t="shared" ref="A11074:A11137" si="2402">"89301000"</f>
        <v>89301000</v>
      </c>
      <c r="B11074" t="str">
        <f t="shared" si="2400"/>
        <v>89895000</v>
      </c>
      <c r="C11074" t="str">
        <f t="shared" si="2401"/>
        <v>89895002</v>
      </c>
      <c r="D11074" t="str">
        <f t="shared" si="2398"/>
        <v>809</v>
      </c>
      <c r="E11074" t="str">
        <f t="shared" si="2399"/>
        <v>89301212</v>
      </c>
      <c r="F11074" t="str">
        <f>"6154210524"</f>
        <v>6154210524</v>
      </c>
      <c r="G11074" s="1">
        <v>44880</v>
      </c>
      <c r="H11074" t="str">
        <f>"89512"</f>
        <v>89512</v>
      </c>
      <c r="I11074">
        <v>1</v>
      </c>
      <c r="J11074">
        <v>277</v>
      </c>
      <c r="K11074">
        <v>0</v>
      </c>
      <c r="L11074">
        <v>387.8</v>
      </c>
    </row>
    <row r="11075" spans="1:12" x14ac:dyDescent="0.25">
      <c r="A11075" t="str">
        <f t="shared" si="2402"/>
        <v>89301000</v>
      </c>
      <c r="B11075" t="str">
        <f t="shared" si="2400"/>
        <v>89895000</v>
      </c>
      <c r="C11075" t="str">
        <f t="shared" si="2401"/>
        <v>89895002</v>
      </c>
      <c r="D11075" t="str">
        <f t="shared" ref="D11075:D11096" si="2403">"809"</f>
        <v>809</v>
      </c>
      <c r="E11075" t="str">
        <f t="shared" si="2399"/>
        <v>89301212</v>
      </c>
      <c r="F11075" t="str">
        <f>"6154210524"</f>
        <v>6154210524</v>
      </c>
      <c r="G11075" s="1">
        <v>44880</v>
      </c>
      <c r="H11075" t="str">
        <f>"09511"</f>
        <v>09511</v>
      </c>
      <c r="I11075">
        <v>1</v>
      </c>
      <c r="J11075">
        <v>43</v>
      </c>
      <c r="K11075">
        <v>0</v>
      </c>
      <c r="L11075">
        <v>60.2</v>
      </c>
    </row>
    <row r="11076" spans="1:12" x14ac:dyDescent="0.25">
      <c r="A11076" t="str">
        <f t="shared" si="2402"/>
        <v>89301000</v>
      </c>
      <c r="B11076" t="str">
        <f t="shared" si="2400"/>
        <v>89895000</v>
      </c>
      <c r="C11076" t="str">
        <f t="shared" si="2401"/>
        <v>89895002</v>
      </c>
      <c r="D11076" t="str">
        <f t="shared" si="2403"/>
        <v>809</v>
      </c>
      <c r="E11076" t="str">
        <f t="shared" si="2399"/>
        <v>89301212</v>
      </c>
      <c r="F11076" t="str">
        <f>"6960223743"</f>
        <v>6960223743</v>
      </c>
      <c r="G11076" s="1">
        <v>44872</v>
      </c>
      <c r="H11076" t="str">
        <f>"89512"</f>
        <v>89512</v>
      </c>
      <c r="I11076">
        <v>1</v>
      </c>
      <c r="J11076">
        <v>277</v>
      </c>
      <c r="K11076">
        <v>0</v>
      </c>
      <c r="L11076">
        <v>387.8</v>
      </c>
    </row>
    <row r="11077" spans="1:12" x14ac:dyDescent="0.25">
      <c r="A11077" t="str">
        <f t="shared" si="2402"/>
        <v>89301000</v>
      </c>
      <c r="B11077" t="str">
        <f t="shared" si="2400"/>
        <v>89895000</v>
      </c>
      <c r="C11077" t="str">
        <f t="shared" si="2401"/>
        <v>89895002</v>
      </c>
      <c r="D11077" t="str">
        <f t="shared" si="2403"/>
        <v>809</v>
      </c>
      <c r="E11077" t="str">
        <f t="shared" si="2399"/>
        <v>89301212</v>
      </c>
      <c r="F11077" t="str">
        <f>"6960223743"</f>
        <v>6960223743</v>
      </c>
      <c r="G11077" s="1">
        <v>44872</v>
      </c>
      <c r="H11077" t="str">
        <f>"09511"</f>
        <v>09511</v>
      </c>
      <c r="I11077">
        <v>1</v>
      </c>
      <c r="J11077">
        <v>43</v>
      </c>
      <c r="K11077">
        <v>0</v>
      </c>
      <c r="L11077">
        <v>60.2</v>
      </c>
    </row>
    <row r="11078" spans="1:12" x14ac:dyDescent="0.25">
      <c r="A11078" t="str">
        <f t="shared" si="2402"/>
        <v>89301000</v>
      </c>
      <c r="B11078" t="str">
        <f t="shared" si="2400"/>
        <v>89895000</v>
      </c>
      <c r="C11078" t="str">
        <f t="shared" si="2401"/>
        <v>89895002</v>
      </c>
      <c r="D11078" t="str">
        <f t="shared" si="2403"/>
        <v>809</v>
      </c>
      <c r="E11078" t="str">
        <f t="shared" si="2399"/>
        <v>89301212</v>
      </c>
      <c r="F11078" t="str">
        <f>"7056165314"</f>
        <v>7056165314</v>
      </c>
      <c r="G11078" s="1">
        <v>44895</v>
      </c>
      <c r="H11078" t="str">
        <f>"89512"</f>
        <v>89512</v>
      </c>
      <c r="I11078">
        <v>1</v>
      </c>
      <c r="J11078">
        <v>277</v>
      </c>
      <c r="K11078">
        <v>0</v>
      </c>
      <c r="L11078">
        <v>387.8</v>
      </c>
    </row>
    <row r="11079" spans="1:12" x14ac:dyDescent="0.25">
      <c r="A11079" t="str">
        <f t="shared" si="2402"/>
        <v>89301000</v>
      </c>
      <c r="B11079" t="str">
        <f t="shared" si="2400"/>
        <v>89895000</v>
      </c>
      <c r="C11079" t="str">
        <f t="shared" si="2401"/>
        <v>89895002</v>
      </c>
      <c r="D11079" t="str">
        <f t="shared" si="2403"/>
        <v>809</v>
      </c>
      <c r="E11079" t="str">
        <f t="shared" si="2399"/>
        <v>89301212</v>
      </c>
      <c r="F11079" t="str">
        <f>"7552284685"</f>
        <v>7552284685</v>
      </c>
      <c r="G11079" s="1">
        <v>44895</v>
      </c>
      <c r="H11079" t="str">
        <f>"89512"</f>
        <v>89512</v>
      </c>
      <c r="I11079">
        <v>1</v>
      </c>
      <c r="J11079">
        <v>277</v>
      </c>
      <c r="K11079">
        <v>0</v>
      </c>
      <c r="L11079">
        <v>387.8</v>
      </c>
    </row>
    <row r="11080" spans="1:12" x14ac:dyDescent="0.25">
      <c r="A11080" t="str">
        <f t="shared" si="2402"/>
        <v>89301000</v>
      </c>
      <c r="B11080" t="str">
        <f t="shared" si="2400"/>
        <v>89895000</v>
      </c>
      <c r="C11080" t="str">
        <f t="shared" si="2401"/>
        <v>89895002</v>
      </c>
      <c r="D11080" t="str">
        <f t="shared" si="2403"/>
        <v>809</v>
      </c>
      <c r="E11080" t="str">
        <f t="shared" si="2399"/>
        <v>89301212</v>
      </c>
      <c r="F11080" t="str">
        <f>"7552284685"</f>
        <v>7552284685</v>
      </c>
      <c r="G11080" s="1">
        <v>44895</v>
      </c>
      <c r="H11080" t="str">
        <f>"09511"</f>
        <v>09511</v>
      </c>
      <c r="I11080">
        <v>1</v>
      </c>
      <c r="J11080">
        <v>43</v>
      </c>
      <c r="K11080">
        <v>0</v>
      </c>
      <c r="L11080">
        <v>60.2</v>
      </c>
    </row>
    <row r="11081" spans="1:12" x14ac:dyDescent="0.25">
      <c r="A11081" t="str">
        <f t="shared" si="2402"/>
        <v>89301000</v>
      </c>
      <c r="B11081" t="str">
        <f t="shared" si="2400"/>
        <v>89895000</v>
      </c>
      <c r="C11081" t="str">
        <f t="shared" si="2401"/>
        <v>89895002</v>
      </c>
      <c r="D11081" t="str">
        <f t="shared" si="2403"/>
        <v>809</v>
      </c>
      <c r="E11081" t="str">
        <f t="shared" si="2399"/>
        <v>89301212</v>
      </c>
      <c r="F11081" t="str">
        <f>"7762125756"</f>
        <v>7762125756</v>
      </c>
      <c r="G11081" s="1">
        <v>44875</v>
      </c>
      <c r="H11081" t="str">
        <f>"89180"</f>
        <v>89180</v>
      </c>
      <c r="I11081">
        <v>2</v>
      </c>
      <c r="J11081">
        <v>752</v>
      </c>
      <c r="K11081">
        <v>0</v>
      </c>
      <c r="L11081">
        <v>1052.8</v>
      </c>
    </row>
    <row r="11082" spans="1:12" x14ac:dyDescent="0.25">
      <c r="A11082" t="str">
        <f t="shared" si="2402"/>
        <v>89301000</v>
      </c>
      <c r="B11082" t="str">
        <f t="shared" si="2400"/>
        <v>89895000</v>
      </c>
      <c r="C11082" t="str">
        <f t="shared" si="2401"/>
        <v>89895002</v>
      </c>
      <c r="D11082" t="str">
        <f t="shared" si="2403"/>
        <v>809</v>
      </c>
      <c r="E11082" t="str">
        <f t="shared" si="2399"/>
        <v>89301212</v>
      </c>
      <c r="F11082" t="str">
        <f>"7762125756"</f>
        <v>7762125756</v>
      </c>
      <c r="G11082" s="1">
        <v>44875</v>
      </c>
      <c r="H11082" t="str">
        <f>"09511"</f>
        <v>09511</v>
      </c>
      <c r="I11082">
        <v>1</v>
      </c>
      <c r="J11082">
        <v>43</v>
      </c>
      <c r="K11082">
        <v>0</v>
      </c>
      <c r="L11082">
        <v>60.2</v>
      </c>
    </row>
    <row r="11083" spans="1:12" x14ac:dyDescent="0.25">
      <c r="A11083" t="str">
        <f t="shared" si="2402"/>
        <v>89301000</v>
      </c>
      <c r="B11083" t="str">
        <f t="shared" si="2400"/>
        <v>89895000</v>
      </c>
      <c r="C11083" t="str">
        <f t="shared" si="2401"/>
        <v>89895002</v>
      </c>
      <c r="D11083" t="str">
        <f t="shared" si="2403"/>
        <v>809</v>
      </c>
      <c r="E11083" t="str">
        <f t="shared" si="2399"/>
        <v>89301212</v>
      </c>
      <c r="F11083" t="str">
        <f>"7762125756"</f>
        <v>7762125756</v>
      </c>
      <c r="G11083" s="1">
        <v>44875</v>
      </c>
      <c r="H11083" t="str">
        <f>"89512"</f>
        <v>89512</v>
      </c>
      <c r="I11083">
        <v>1</v>
      </c>
      <c r="J11083">
        <v>277</v>
      </c>
      <c r="K11083">
        <v>0</v>
      </c>
      <c r="L11083">
        <v>387.8</v>
      </c>
    </row>
    <row r="11084" spans="1:12" x14ac:dyDescent="0.25">
      <c r="A11084" t="str">
        <f t="shared" si="2402"/>
        <v>89301000</v>
      </c>
      <c r="B11084" t="str">
        <f t="shared" si="2400"/>
        <v>89895000</v>
      </c>
      <c r="C11084" t="str">
        <f t="shared" si="2401"/>
        <v>89895002</v>
      </c>
      <c r="D11084" t="str">
        <f t="shared" si="2403"/>
        <v>809</v>
      </c>
      <c r="E11084" t="str">
        <f t="shared" si="2399"/>
        <v>89301212</v>
      </c>
      <c r="F11084" t="str">
        <f>"9061155730"</f>
        <v>9061155730</v>
      </c>
      <c r="G11084" s="1">
        <v>44872</v>
      </c>
      <c r="H11084" t="str">
        <f>"89512"</f>
        <v>89512</v>
      </c>
      <c r="I11084">
        <v>1</v>
      </c>
      <c r="J11084">
        <v>277</v>
      </c>
      <c r="K11084">
        <v>0</v>
      </c>
      <c r="L11084">
        <v>387.8</v>
      </c>
    </row>
    <row r="11085" spans="1:12" x14ac:dyDescent="0.25">
      <c r="A11085" t="str">
        <f t="shared" si="2402"/>
        <v>89301000</v>
      </c>
      <c r="B11085" t="str">
        <f t="shared" si="2400"/>
        <v>89895000</v>
      </c>
      <c r="C11085" t="str">
        <f t="shared" si="2401"/>
        <v>89895002</v>
      </c>
      <c r="D11085" t="str">
        <f t="shared" si="2403"/>
        <v>809</v>
      </c>
      <c r="E11085" t="str">
        <f t="shared" si="2399"/>
        <v>89301212</v>
      </c>
      <c r="F11085" t="str">
        <f>"9061155730"</f>
        <v>9061155730</v>
      </c>
      <c r="G11085" s="1">
        <v>44876</v>
      </c>
      <c r="H11085" t="str">
        <f>"89513"</f>
        <v>89513</v>
      </c>
      <c r="I11085">
        <v>1</v>
      </c>
      <c r="J11085">
        <v>371</v>
      </c>
      <c r="K11085">
        <v>0</v>
      </c>
      <c r="L11085">
        <v>519.4</v>
      </c>
    </row>
    <row r="11086" spans="1:12" x14ac:dyDescent="0.25">
      <c r="A11086" t="str">
        <f t="shared" si="2402"/>
        <v>89301000</v>
      </c>
      <c r="B11086" t="str">
        <f t="shared" si="2400"/>
        <v>89895000</v>
      </c>
      <c r="C11086" t="str">
        <f t="shared" si="2401"/>
        <v>89895002</v>
      </c>
      <c r="D11086" t="str">
        <f t="shared" si="2403"/>
        <v>809</v>
      </c>
      <c r="E11086" t="str">
        <f t="shared" si="2399"/>
        <v>89301212</v>
      </c>
      <c r="F11086" t="str">
        <f>"9061155730"</f>
        <v>9061155730</v>
      </c>
      <c r="G11086" s="1">
        <v>44876</v>
      </c>
      <c r="H11086" t="str">
        <f>"89514"</f>
        <v>89514</v>
      </c>
      <c r="I11086">
        <v>1</v>
      </c>
      <c r="J11086">
        <v>371</v>
      </c>
      <c r="K11086">
        <v>0</v>
      </c>
      <c r="L11086">
        <v>519.4</v>
      </c>
    </row>
    <row r="11087" spans="1:12" x14ac:dyDescent="0.25">
      <c r="A11087" t="str">
        <f t="shared" si="2402"/>
        <v>89301000</v>
      </c>
      <c r="B11087" t="str">
        <f t="shared" ref="B11087:B11096" si="2404">"95202000"</f>
        <v>95202000</v>
      </c>
      <c r="C11087" t="str">
        <f t="shared" ref="C11087:C11096" si="2405">"95202511"</f>
        <v>95202511</v>
      </c>
      <c r="D11087" t="str">
        <f t="shared" si="2403"/>
        <v>809</v>
      </c>
      <c r="E11087" t="str">
        <f>"89301215"</f>
        <v>89301215</v>
      </c>
      <c r="F11087" t="str">
        <f>"6356020242"</f>
        <v>6356020242</v>
      </c>
      <c r="G11087" s="1">
        <v>44876</v>
      </c>
      <c r="H11087" t="str">
        <f>"89513"</f>
        <v>89513</v>
      </c>
      <c r="I11087">
        <v>1</v>
      </c>
      <c r="J11087">
        <v>371</v>
      </c>
      <c r="K11087">
        <v>0</v>
      </c>
      <c r="L11087">
        <v>519.4</v>
      </c>
    </row>
    <row r="11088" spans="1:12" x14ac:dyDescent="0.25">
      <c r="A11088" t="str">
        <f t="shared" si="2402"/>
        <v>89301000</v>
      </c>
      <c r="B11088" t="str">
        <f t="shared" si="2404"/>
        <v>95202000</v>
      </c>
      <c r="C11088" t="str">
        <f t="shared" si="2405"/>
        <v>95202511</v>
      </c>
      <c r="D11088" t="str">
        <f t="shared" si="2403"/>
        <v>809</v>
      </c>
      <c r="E11088" t="str">
        <f>"89301215"</f>
        <v>89301215</v>
      </c>
      <c r="F11088" t="str">
        <f>"6356020242"</f>
        <v>6356020242</v>
      </c>
      <c r="G11088" s="1">
        <v>44876</v>
      </c>
      <c r="H11088" t="str">
        <f>"89514"</f>
        <v>89514</v>
      </c>
      <c r="I11088">
        <v>1</v>
      </c>
      <c r="J11088">
        <v>371</v>
      </c>
      <c r="K11088">
        <v>0</v>
      </c>
      <c r="L11088">
        <v>519.4</v>
      </c>
    </row>
    <row r="11089" spans="1:12" x14ac:dyDescent="0.25">
      <c r="A11089" t="str">
        <f t="shared" si="2402"/>
        <v>89301000</v>
      </c>
      <c r="B11089" t="str">
        <f t="shared" si="2404"/>
        <v>95202000</v>
      </c>
      <c r="C11089" t="str">
        <f t="shared" si="2405"/>
        <v>95202511</v>
      </c>
      <c r="D11089" t="str">
        <f t="shared" si="2403"/>
        <v>809</v>
      </c>
      <c r="E11089" t="str">
        <f>"89301215"</f>
        <v>89301215</v>
      </c>
      <c r="F11089" t="str">
        <f>"7852185792"</f>
        <v>7852185792</v>
      </c>
      <c r="G11089" s="1">
        <v>44881</v>
      </c>
      <c r="H11089" t="str">
        <f>"89513"</f>
        <v>89513</v>
      </c>
      <c r="I11089">
        <v>1</v>
      </c>
      <c r="J11089">
        <v>371</v>
      </c>
      <c r="K11089">
        <v>0</v>
      </c>
      <c r="L11089">
        <v>519.4</v>
      </c>
    </row>
    <row r="11090" spans="1:12" x14ac:dyDescent="0.25">
      <c r="A11090" t="str">
        <f t="shared" si="2402"/>
        <v>89301000</v>
      </c>
      <c r="B11090" t="str">
        <f t="shared" si="2404"/>
        <v>95202000</v>
      </c>
      <c r="C11090" t="str">
        <f t="shared" si="2405"/>
        <v>95202511</v>
      </c>
      <c r="D11090" t="str">
        <f t="shared" si="2403"/>
        <v>809</v>
      </c>
      <c r="E11090" t="str">
        <f>"89301215"</f>
        <v>89301215</v>
      </c>
      <c r="F11090" t="str">
        <f>"7852185792"</f>
        <v>7852185792</v>
      </c>
      <c r="G11090" s="1">
        <v>44881</v>
      </c>
      <c r="H11090" t="str">
        <f>"89514"</f>
        <v>89514</v>
      </c>
      <c r="I11090">
        <v>1</v>
      </c>
      <c r="J11090">
        <v>371</v>
      </c>
      <c r="K11090">
        <v>0</v>
      </c>
      <c r="L11090">
        <v>519.4</v>
      </c>
    </row>
    <row r="11091" spans="1:12" x14ac:dyDescent="0.25">
      <c r="A11091" t="str">
        <f t="shared" si="2402"/>
        <v>89301000</v>
      </c>
      <c r="B11091" t="str">
        <f t="shared" si="2404"/>
        <v>95202000</v>
      </c>
      <c r="C11091" t="str">
        <f t="shared" si="2405"/>
        <v>95202511</v>
      </c>
      <c r="D11091" t="str">
        <f t="shared" si="2403"/>
        <v>809</v>
      </c>
      <c r="E11091" t="str">
        <f t="shared" ref="E11091:E11096" si="2406">"89301212"</f>
        <v>89301212</v>
      </c>
      <c r="F11091" t="str">
        <f>"515421264"</f>
        <v>515421264</v>
      </c>
      <c r="G11091" s="1">
        <v>44883</v>
      </c>
      <c r="H11091" t="str">
        <f>"89513"</f>
        <v>89513</v>
      </c>
      <c r="I11091">
        <v>1</v>
      </c>
      <c r="J11091">
        <v>371</v>
      </c>
      <c r="K11091">
        <v>0</v>
      </c>
      <c r="L11091">
        <v>519.4</v>
      </c>
    </row>
    <row r="11092" spans="1:12" x14ac:dyDescent="0.25">
      <c r="A11092" t="str">
        <f t="shared" si="2402"/>
        <v>89301000</v>
      </c>
      <c r="B11092" t="str">
        <f t="shared" si="2404"/>
        <v>95202000</v>
      </c>
      <c r="C11092" t="str">
        <f t="shared" si="2405"/>
        <v>95202511</v>
      </c>
      <c r="D11092" t="str">
        <f t="shared" si="2403"/>
        <v>809</v>
      </c>
      <c r="E11092" t="str">
        <f t="shared" si="2406"/>
        <v>89301212</v>
      </c>
      <c r="F11092" t="str">
        <f>"515421264"</f>
        <v>515421264</v>
      </c>
      <c r="G11092" s="1">
        <v>44883</v>
      </c>
      <c r="H11092" t="str">
        <f>"89514"</f>
        <v>89514</v>
      </c>
      <c r="I11092">
        <v>1</v>
      </c>
      <c r="J11092">
        <v>371</v>
      </c>
      <c r="K11092">
        <v>0</v>
      </c>
      <c r="L11092">
        <v>519.4</v>
      </c>
    </row>
    <row r="11093" spans="1:12" x14ac:dyDescent="0.25">
      <c r="A11093" t="str">
        <f t="shared" si="2402"/>
        <v>89301000</v>
      </c>
      <c r="B11093" t="str">
        <f t="shared" si="2404"/>
        <v>95202000</v>
      </c>
      <c r="C11093" t="str">
        <f t="shared" si="2405"/>
        <v>95202511</v>
      </c>
      <c r="D11093" t="str">
        <f t="shared" si="2403"/>
        <v>809</v>
      </c>
      <c r="E11093" t="str">
        <f t="shared" si="2406"/>
        <v>89301212</v>
      </c>
      <c r="F11093" t="str">
        <f>"486230409"</f>
        <v>486230409</v>
      </c>
      <c r="G11093" s="1">
        <v>44895</v>
      </c>
      <c r="H11093" t="str">
        <f>"89611"</f>
        <v>89611</v>
      </c>
      <c r="I11093">
        <v>1</v>
      </c>
      <c r="J11093">
        <v>2241</v>
      </c>
      <c r="K11093">
        <v>0</v>
      </c>
      <c r="L11093">
        <v>1344.6</v>
      </c>
    </row>
    <row r="11094" spans="1:12" x14ac:dyDescent="0.25">
      <c r="A11094" t="str">
        <f t="shared" si="2402"/>
        <v>89301000</v>
      </c>
      <c r="B11094" t="str">
        <f t="shared" si="2404"/>
        <v>95202000</v>
      </c>
      <c r="C11094" t="str">
        <f t="shared" si="2405"/>
        <v>95202511</v>
      </c>
      <c r="D11094" t="str">
        <f t="shared" si="2403"/>
        <v>809</v>
      </c>
      <c r="E11094" t="str">
        <f t="shared" si="2406"/>
        <v>89301212</v>
      </c>
      <c r="F11094" t="str">
        <f>"486230409"</f>
        <v>486230409</v>
      </c>
      <c r="G11094" s="1">
        <v>44895</v>
      </c>
      <c r="H11094" t="str">
        <f>"09572"</f>
        <v>09572</v>
      </c>
      <c r="I11094">
        <v>1</v>
      </c>
      <c r="J11094">
        <v>0</v>
      </c>
      <c r="K11094">
        <v>0</v>
      </c>
      <c r="L11094">
        <v>0</v>
      </c>
    </row>
    <row r="11095" spans="1:12" x14ac:dyDescent="0.25">
      <c r="A11095" t="str">
        <f t="shared" si="2402"/>
        <v>89301000</v>
      </c>
      <c r="B11095" t="str">
        <f t="shared" si="2404"/>
        <v>95202000</v>
      </c>
      <c r="C11095" t="str">
        <f t="shared" si="2405"/>
        <v>95202511</v>
      </c>
      <c r="D11095" t="str">
        <f t="shared" si="2403"/>
        <v>809</v>
      </c>
      <c r="E11095" t="str">
        <f t="shared" si="2406"/>
        <v>89301212</v>
      </c>
      <c r="F11095" t="str">
        <f>"486230409"</f>
        <v>486230409</v>
      </c>
      <c r="G11095" s="1">
        <v>44895</v>
      </c>
      <c r="H11095" t="str">
        <f>"0022077"</f>
        <v>0022077</v>
      </c>
      <c r="I11095">
        <v>0.4</v>
      </c>
      <c r="K11095">
        <v>803.86</v>
      </c>
      <c r="L11095">
        <v>803.86</v>
      </c>
    </row>
    <row r="11096" spans="1:12" x14ac:dyDescent="0.25">
      <c r="A11096" t="str">
        <f t="shared" si="2402"/>
        <v>89301000</v>
      </c>
      <c r="B11096" t="str">
        <f t="shared" si="2404"/>
        <v>95202000</v>
      </c>
      <c r="C11096" t="str">
        <f t="shared" si="2405"/>
        <v>95202511</v>
      </c>
      <c r="D11096" t="str">
        <f t="shared" si="2403"/>
        <v>809</v>
      </c>
      <c r="E11096" t="str">
        <f t="shared" si="2406"/>
        <v>89301212</v>
      </c>
      <c r="F11096" t="str">
        <f>"486230409"</f>
        <v>486230409</v>
      </c>
      <c r="G11096" s="1">
        <v>44895</v>
      </c>
      <c r="H11096" t="str">
        <f>"0234018"</f>
        <v>0234018</v>
      </c>
      <c r="I11096">
        <v>0.01</v>
      </c>
      <c r="K11096">
        <v>2.44</v>
      </c>
      <c r="L11096">
        <v>2.44</v>
      </c>
    </row>
    <row r="11097" spans="1:12" x14ac:dyDescent="0.25">
      <c r="A11097" t="str">
        <f t="shared" si="2402"/>
        <v>89301000</v>
      </c>
      <c r="B11097" t="str">
        <f t="shared" ref="B11097:B11128" si="2407">"72077000"</f>
        <v>72077000</v>
      </c>
      <c r="C11097" t="str">
        <f t="shared" ref="C11097:C11128" si="2408">"72077001"</f>
        <v>72077001</v>
      </c>
      <c r="D11097" t="str">
        <f t="shared" ref="D11097:D11128" si="2409">"813"</f>
        <v>813</v>
      </c>
      <c r="E11097" t="str">
        <f t="shared" ref="E11097:E11128" si="2410">"89301152"</f>
        <v>89301152</v>
      </c>
      <c r="F11097" t="str">
        <f>"8155144459"</f>
        <v>8155144459</v>
      </c>
      <c r="G11097" s="1">
        <v>44881</v>
      </c>
      <c r="H11097" t="str">
        <f>"91197"</f>
        <v>91197</v>
      </c>
      <c r="I11097">
        <v>1</v>
      </c>
      <c r="J11097">
        <v>1046</v>
      </c>
      <c r="K11097">
        <v>0</v>
      </c>
      <c r="L11097">
        <v>815.88</v>
      </c>
    </row>
    <row r="11098" spans="1:12" x14ac:dyDescent="0.25">
      <c r="A11098" t="str">
        <f t="shared" si="2402"/>
        <v>89301000</v>
      </c>
      <c r="B11098" t="str">
        <f t="shared" si="2407"/>
        <v>72077000</v>
      </c>
      <c r="C11098" t="str">
        <f t="shared" si="2408"/>
        <v>72077001</v>
      </c>
      <c r="D11098" t="str">
        <f t="shared" si="2409"/>
        <v>813</v>
      </c>
      <c r="E11098" t="str">
        <f t="shared" si="2410"/>
        <v>89301152</v>
      </c>
      <c r="F11098" t="str">
        <f>"8155144459"</f>
        <v>8155144459</v>
      </c>
      <c r="G11098" s="1">
        <v>44887</v>
      </c>
      <c r="H11098" t="str">
        <f>"91465"</f>
        <v>91465</v>
      </c>
      <c r="I11098">
        <v>1</v>
      </c>
      <c r="J11098">
        <v>1404</v>
      </c>
      <c r="K11098">
        <v>0</v>
      </c>
      <c r="L11098">
        <v>1095.1199999999999</v>
      </c>
    </row>
    <row r="11099" spans="1:12" x14ac:dyDescent="0.25">
      <c r="A11099" t="str">
        <f t="shared" si="2402"/>
        <v>89301000</v>
      </c>
      <c r="B11099" t="str">
        <f t="shared" si="2407"/>
        <v>72077000</v>
      </c>
      <c r="C11099" t="str">
        <f t="shared" si="2408"/>
        <v>72077001</v>
      </c>
      <c r="D11099" t="str">
        <f t="shared" si="2409"/>
        <v>813</v>
      </c>
      <c r="E11099" t="str">
        <f t="shared" si="2410"/>
        <v>89301152</v>
      </c>
      <c r="F11099" t="str">
        <f>"9208253978"</f>
        <v>9208253978</v>
      </c>
      <c r="G11099" s="1">
        <v>44869</v>
      </c>
      <c r="H11099" t="str">
        <f>"91197"</f>
        <v>91197</v>
      </c>
      <c r="I11099">
        <v>1</v>
      </c>
      <c r="J11099">
        <v>1046</v>
      </c>
      <c r="K11099">
        <v>0</v>
      </c>
      <c r="L11099">
        <v>815.88</v>
      </c>
    </row>
    <row r="11100" spans="1:12" x14ac:dyDescent="0.25">
      <c r="A11100" t="str">
        <f t="shared" si="2402"/>
        <v>89301000</v>
      </c>
      <c r="B11100" t="str">
        <f t="shared" si="2407"/>
        <v>72077000</v>
      </c>
      <c r="C11100" t="str">
        <f t="shared" si="2408"/>
        <v>72077001</v>
      </c>
      <c r="D11100" t="str">
        <f t="shared" si="2409"/>
        <v>813</v>
      </c>
      <c r="E11100" t="str">
        <f t="shared" si="2410"/>
        <v>89301152</v>
      </c>
      <c r="F11100" t="str">
        <f>"9208253978"</f>
        <v>9208253978</v>
      </c>
      <c r="G11100" s="1">
        <v>44873</v>
      </c>
      <c r="H11100" t="str">
        <f>"91465"</f>
        <v>91465</v>
      </c>
      <c r="I11100">
        <v>1</v>
      </c>
      <c r="J11100">
        <v>1404</v>
      </c>
      <c r="K11100">
        <v>0</v>
      </c>
      <c r="L11100">
        <v>1095.1199999999999</v>
      </c>
    </row>
    <row r="11101" spans="1:12" x14ac:dyDescent="0.25">
      <c r="A11101" t="str">
        <f t="shared" si="2402"/>
        <v>89301000</v>
      </c>
      <c r="B11101" t="str">
        <f t="shared" si="2407"/>
        <v>72077000</v>
      </c>
      <c r="C11101" t="str">
        <f t="shared" si="2408"/>
        <v>72077001</v>
      </c>
      <c r="D11101" t="str">
        <f t="shared" si="2409"/>
        <v>813</v>
      </c>
      <c r="E11101" t="str">
        <f t="shared" si="2410"/>
        <v>89301152</v>
      </c>
      <c r="F11101" t="str">
        <f>"370319438"</f>
        <v>370319438</v>
      </c>
      <c r="G11101" s="1">
        <v>44866</v>
      </c>
      <c r="H11101" t="str">
        <f>"91197"</f>
        <v>91197</v>
      </c>
      <c r="I11101">
        <v>1</v>
      </c>
      <c r="J11101">
        <v>1046</v>
      </c>
      <c r="K11101">
        <v>0</v>
      </c>
      <c r="L11101">
        <v>815.88</v>
      </c>
    </row>
    <row r="11102" spans="1:12" x14ac:dyDescent="0.25">
      <c r="A11102" t="str">
        <f t="shared" si="2402"/>
        <v>89301000</v>
      </c>
      <c r="B11102" t="str">
        <f t="shared" si="2407"/>
        <v>72077000</v>
      </c>
      <c r="C11102" t="str">
        <f t="shared" si="2408"/>
        <v>72077001</v>
      </c>
      <c r="D11102" t="str">
        <f t="shared" si="2409"/>
        <v>813</v>
      </c>
      <c r="E11102" t="str">
        <f t="shared" si="2410"/>
        <v>89301152</v>
      </c>
      <c r="F11102" t="str">
        <f>"370319438"</f>
        <v>370319438</v>
      </c>
      <c r="G11102" s="1">
        <v>44866</v>
      </c>
      <c r="H11102" t="str">
        <f>"91465"</f>
        <v>91465</v>
      </c>
      <c r="I11102">
        <v>1</v>
      </c>
      <c r="J11102">
        <v>1404</v>
      </c>
      <c r="K11102">
        <v>0</v>
      </c>
      <c r="L11102">
        <v>1095.1199999999999</v>
      </c>
    </row>
    <row r="11103" spans="1:12" x14ac:dyDescent="0.25">
      <c r="A11103" t="str">
        <f t="shared" si="2402"/>
        <v>89301000</v>
      </c>
      <c r="B11103" t="str">
        <f t="shared" si="2407"/>
        <v>72077000</v>
      </c>
      <c r="C11103" t="str">
        <f t="shared" si="2408"/>
        <v>72077001</v>
      </c>
      <c r="D11103" t="str">
        <f t="shared" si="2409"/>
        <v>813</v>
      </c>
      <c r="E11103" t="str">
        <f t="shared" si="2410"/>
        <v>89301152</v>
      </c>
      <c r="F11103" t="str">
        <f>"7355095451"</f>
        <v>7355095451</v>
      </c>
      <c r="G11103" s="1">
        <v>44866</v>
      </c>
      <c r="H11103" t="str">
        <f>"91197"</f>
        <v>91197</v>
      </c>
      <c r="I11103">
        <v>1</v>
      </c>
      <c r="J11103">
        <v>1046</v>
      </c>
      <c r="K11103">
        <v>0</v>
      </c>
      <c r="L11103">
        <v>815.88</v>
      </c>
    </row>
    <row r="11104" spans="1:12" x14ac:dyDescent="0.25">
      <c r="A11104" t="str">
        <f t="shared" si="2402"/>
        <v>89301000</v>
      </c>
      <c r="B11104" t="str">
        <f t="shared" si="2407"/>
        <v>72077000</v>
      </c>
      <c r="C11104" t="str">
        <f t="shared" si="2408"/>
        <v>72077001</v>
      </c>
      <c r="D11104" t="str">
        <f t="shared" si="2409"/>
        <v>813</v>
      </c>
      <c r="E11104" t="str">
        <f t="shared" si="2410"/>
        <v>89301152</v>
      </c>
      <c r="F11104" t="str">
        <f>"7355095451"</f>
        <v>7355095451</v>
      </c>
      <c r="G11104" s="1">
        <v>44866</v>
      </c>
      <c r="H11104" t="str">
        <f>"91465"</f>
        <v>91465</v>
      </c>
      <c r="I11104">
        <v>1</v>
      </c>
      <c r="J11104">
        <v>1404</v>
      </c>
      <c r="K11104">
        <v>0</v>
      </c>
      <c r="L11104">
        <v>1095.1199999999999</v>
      </c>
    </row>
    <row r="11105" spans="1:12" x14ac:dyDescent="0.25">
      <c r="A11105" t="str">
        <f t="shared" si="2402"/>
        <v>89301000</v>
      </c>
      <c r="B11105" t="str">
        <f t="shared" si="2407"/>
        <v>72077000</v>
      </c>
      <c r="C11105" t="str">
        <f t="shared" si="2408"/>
        <v>72077001</v>
      </c>
      <c r="D11105" t="str">
        <f t="shared" si="2409"/>
        <v>813</v>
      </c>
      <c r="E11105" t="str">
        <f t="shared" si="2410"/>
        <v>89301152</v>
      </c>
      <c r="F11105" t="str">
        <f>"6461151224"</f>
        <v>6461151224</v>
      </c>
      <c r="G11105" s="1">
        <v>44866</v>
      </c>
      <c r="H11105" t="str">
        <f>"91197"</f>
        <v>91197</v>
      </c>
      <c r="I11105">
        <v>1</v>
      </c>
      <c r="J11105">
        <v>1046</v>
      </c>
      <c r="K11105">
        <v>0</v>
      </c>
      <c r="L11105">
        <v>815.88</v>
      </c>
    </row>
    <row r="11106" spans="1:12" x14ac:dyDescent="0.25">
      <c r="A11106" t="str">
        <f t="shared" si="2402"/>
        <v>89301000</v>
      </c>
      <c r="B11106" t="str">
        <f t="shared" si="2407"/>
        <v>72077000</v>
      </c>
      <c r="C11106" t="str">
        <f t="shared" si="2408"/>
        <v>72077001</v>
      </c>
      <c r="D11106" t="str">
        <f t="shared" si="2409"/>
        <v>813</v>
      </c>
      <c r="E11106" t="str">
        <f t="shared" si="2410"/>
        <v>89301152</v>
      </c>
      <c r="F11106" t="str">
        <f>"6461151224"</f>
        <v>6461151224</v>
      </c>
      <c r="G11106" s="1">
        <v>44866</v>
      </c>
      <c r="H11106" t="str">
        <f>"91465"</f>
        <v>91465</v>
      </c>
      <c r="I11106">
        <v>1</v>
      </c>
      <c r="J11106">
        <v>1404</v>
      </c>
      <c r="K11106">
        <v>0</v>
      </c>
      <c r="L11106">
        <v>1095.1199999999999</v>
      </c>
    </row>
    <row r="11107" spans="1:12" x14ac:dyDescent="0.25">
      <c r="A11107" t="str">
        <f t="shared" si="2402"/>
        <v>89301000</v>
      </c>
      <c r="B11107" t="str">
        <f t="shared" si="2407"/>
        <v>72077000</v>
      </c>
      <c r="C11107" t="str">
        <f t="shared" si="2408"/>
        <v>72077001</v>
      </c>
      <c r="D11107" t="str">
        <f t="shared" si="2409"/>
        <v>813</v>
      </c>
      <c r="E11107" t="str">
        <f t="shared" si="2410"/>
        <v>89301152</v>
      </c>
      <c r="F11107" t="str">
        <f>"5608101565"</f>
        <v>5608101565</v>
      </c>
      <c r="G11107" s="1">
        <v>44869</v>
      </c>
      <c r="H11107" t="str">
        <f>"91197"</f>
        <v>91197</v>
      </c>
      <c r="I11107">
        <v>1</v>
      </c>
      <c r="J11107">
        <v>1046</v>
      </c>
      <c r="K11107">
        <v>0</v>
      </c>
      <c r="L11107">
        <v>815.88</v>
      </c>
    </row>
    <row r="11108" spans="1:12" x14ac:dyDescent="0.25">
      <c r="A11108" t="str">
        <f t="shared" si="2402"/>
        <v>89301000</v>
      </c>
      <c r="B11108" t="str">
        <f t="shared" si="2407"/>
        <v>72077000</v>
      </c>
      <c r="C11108" t="str">
        <f t="shared" si="2408"/>
        <v>72077001</v>
      </c>
      <c r="D11108" t="str">
        <f t="shared" si="2409"/>
        <v>813</v>
      </c>
      <c r="E11108" t="str">
        <f t="shared" si="2410"/>
        <v>89301152</v>
      </c>
      <c r="F11108" t="str">
        <f>"5608101565"</f>
        <v>5608101565</v>
      </c>
      <c r="G11108" s="1">
        <v>44873</v>
      </c>
      <c r="H11108" t="str">
        <f>"91465"</f>
        <v>91465</v>
      </c>
      <c r="I11108">
        <v>1</v>
      </c>
      <c r="J11108">
        <v>1404</v>
      </c>
      <c r="K11108">
        <v>0</v>
      </c>
      <c r="L11108">
        <v>1095.1199999999999</v>
      </c>
    </row>
    <row r="11109" spans="1:12" x14ac:dyDescent="0.25">
      <c r="A11109" t="str">
        <f t="shared" si="2402"/>
        <v>89301000</v>
      </c>
      <c r="B11109" t="str">
        <f t="shared" si="2407"/>
        <v>72077000</v>
      </c>
      <c r="C11109" t="str">
        <f t="shared" si="2408"/>
        <v>72077001</v>
      </c>
      <c r="D11109" t="str">
        <f t="shared" si="2409"/>
        <v>813</v>
      </c>
      <c r="E11109" t="str">
        <f t="shared" si="2410"/>
        <v>89301152</v>
      </c>
      <c r="F11109" t="str">
        <f>"9005285707"</f>
        <v>9005285707</v>
      </c>
      <c r="G11109" s="1">
        <v>44869</v>
      </c>
      <c r="H11109" t="str">
        <f>"91197"</f>
        <v>91197</v>
      </c>
      <c r="I11109">
        <v>1</v>
      </c>
      <c r="J11109">
        <v>1046</v>
      </c>
      <c r="K11109">
        <v>0</v>
      </c>
      <c r="L11109">
        <v>815.88</v>
      </c>
    </row>
    <row r="11110" spans="1:12" x14ac:dyDescent="0.25">
      <c r="A11110" t="str">
        <f t="shared" si="2402"/>
        <v>89301000</v>
      </c>
      <c r="B11110" t="str">
        <f t="shared" si="2407"/>
        <v>72077000</v>
      </c>
      <c r="C11110" t="str">
        <f t="shared" si="2408"/>
        <v>72077001</v>
      </c>
      <c r="D11110" t="str">
        <f t="shared" si="2409"/>
        <v>813</v>
      </c>
      <c r="E11110" t="str">
        <f t="shared" si="2410"/>
        <v>89301152</v>
      </c>
      <c r="F11110" t="str">
        <f>"9005285707"</f>
        <v>9005285707</v>
      </c>
      <c r="G11110" s="1">
        <v>44873</v>
      </c>
      <c r="H11110" t="str">
        <f>"91465"</f>
        <v>91465</v>
      </c>
      <c r="I11110">
        <v>1</v>
      </c>
      <c r="J11110">
        <v>1404</v>
      </c>
      <c r="K11110">
        <v>0</v>
      </c>
      <c r="L11110">
        <v>1095.1199999999999</v>
      </c>
    </row>
    <row r="11111" spans="1:12" x14ac:dyDescent="0.25">
      <c r="A11111" t="str">
        <f t="shared" si="2402"/>
        <v>89301000</v>
      </c>
      <c r="B11111" t="str">
        <f t="shared" si="2407"/>
        <v>72077000</v>
      </c>
      <c r="C11111" t="str">
        <f t="shared" si="2408"/>
        <v>72077001</v>
      </c>
      <c r="D11111" t="str">
        <f t="shared" si="2409"/>
        <v>813</v>
      </c>
      <c r="E11111" t="str">
        <f t="shared" si="2410"/>
        <v>89301152</v>
      </c>
      <c r="F11111" t="str">
        <f>"9859035714"</f>
        <v>9859035714</v>
      </c>
      <c r="G11111" s="1">
        <v>44868</v>
      </c>
      <c r="H11111" t="str">
        <f>"91465"</f>
        <v>91465</v>
      </c>
      <c r="I11111">
        <v>1</v>
      </c>
      <c r="J11111">
        <v>1404</v>
      </c>
      <c r="K11111">
        <v>0</v>
      </c>
      <c r="L11111">
        <v>1095.1199999999999</v>
      </c>
    </row>
    <row r="11112" spans="1:12" x14ac:dyDescent="0.25">
      <c r="A11112" t="str">
        <f t="shared" si="2402"/>
        <v>89301000</v>
      </c>
      <c r="B11112" t="str">
        <f t="shared" si="2407"/>
        <v>72077000</v>
      </c>
      <c r="C11112" t="str">
        <f t="shared" si="2408"/>
        <v>72077001</v>
      </c>
      <c r="D11112" t="str">
        <f t="shared" si="2409"/>
        <v>813</v>
      </c>
      <c r="E11112" t="str">
        <f t="shared" si="2410"/>
        <v>89301152</v>
      </c>
      <c r="F11112" t="str">
        <f>"9859035714"</f>
        <v>9859035714</v>
      </c>
      <c r="G11112" s="1">
        <v>44869</v>
      </c>
      <c r="H11112" t="str">
        <f>"91197"</f>
        <v>91197</v>
      </c>
      <c r="I11112">
        <v>1</v>
      </c>
      <c r="J11112">
        <v>1046</v>
      </c>
      <c r="K11112">
        <v>0</v>
      </c>
      <c r="L11112">
        <v>815.88</v>
      </c>
    </row>
    <row r="11113" spans="1:12" x14ac:dyDescent="0.25">
      <c r="A11113" t="str">
        <f t="shared" si="2402"/>
        <v>89301000</v>
      </c>
      <c r="B11113" t="str">
        <f t="shared" si="2407"/>
        <v>72077000</v>
      </c>
      <c r="C11113" t="str">
        <f t="shared" si="2408"/>
        <v>72077001</v>
      </c>
      <c r="D11113" t="str">
        <f t="shared" si="2409"/>
        <v>813</v>
      </c>
      <c r="E11113" t="str">
        <f t="shared" si="2410"/>
        <v>89301152</v>
      </c>
      <c r="F11113" t="str">
        <f>"9653025701"</f>
        <v>9653025701</v>
      </c>
      <c r="G11113" s="1">
        <v>44868</v>
      </c>
      <c r="H11113" t="str">
        <f>"91465"</f>
        <v>91465</v>
      </c>
      <c r="I11113">
        <v>1</v>
      </c>
      <c r="J11113">
        <v>1404</v>
      </c>
      <c r="K11113">
        <v>0</v>
      </c>
      <c r="L11113">
        <v>1095.1199999999999</v>
      </c>
    </row>
    <row r="11114" spans="1:12" x14ac:dyDescent="0.25">
      <c r="A11114" t="str">
        <f t="shared" si="2402"/>
        <v>89301000</v>
      </c>
      <c r="B11114" t="str">
        <f t="shared" si="2407"/>
        <v>72077000</v>
      </c>
      <c r="C11114" t="str">
        <f t="shared" si="2408"/>
        <v>72077001</v>
      </c>
      <c r="D11114" t="str">
        <f t="shared" si="2409"/>
        <v>813</v>
      </c>
      <c r="E11114" t="str">
        <f t="shared" si="2410"/>
        <v>89301152</v>
      </c>
      <c r="F11114" t="str">
        <f>"9653025701"</f>
        <v>9653025701</v>
      </c>
      <c r="G11114" s="1">
        <v>44869</v>
      </c>
      <c r="H11114" t="str">
        <f>"91197"</f>
        <v>91197</v>
      </c>
      <c r="I11114">
        <v>1</v>
      </c>
      <c r="J11114">
        <v>1046</v>
      </c>
      <c r="K11114">
        <v>0</v>
      </c>
      <c r="L11114">
        <v>815.88</v>
      </c>
    </row>
    <row r="11115" spans="1:12" x14ac:dyDescent="0.25">
      <c r="A11115" t="str">
        <f t="shared" si="2402"/>
        <v>89301000</v>
      </c>
      <c r="B11115" t="str">
        <f t="shared" si="2407"/>
        <v>72077000</v>
      </c>
      <c r="C11115" t="str">
        <f t="shared" si="2408"/>
        <v>72077001</v>
      </c>
      <c r="D11115" t="str">
        <f t="shared" si="2409"/>
        <v>813</v>
      </c>
      <c r="E11115" t="str">
        <f t="shared" si="2410"/>
        <v>89301152</v>
      </c>
      <c r="F11115" t="str">
        <f>"7158255313"</f>
        <v>7158255313</v>
      </c>
      <c r="G11115" s="1">
        <v>44868</v>
      </c>
      <c r="H11115" t="str">
        <f>"91465"</f>
        <v>91465</v>
      </c>
      <c r="I11115">
        <v>1</v>
      </c>
      <c r="J11115">
        <v>1404</v>
      </c>
      <c r="K11115">
        <v>0</v>
      </c>
      <c r="L11115">
        <v>1095.1199999999999</v>
      </c>
    </row>
    <row r="11116" spans="1:12" x14ac:dyDescent="0.25">
      <c r="A11116" t="str">
        <f t="shared" si="2402"/>
        <v>89301000</v>
      </c>
      <c r="B11116" t="str">
        <f t="shared" si="2407"/>
        <v>72077000</v>
      </c>
      <c r="C11116" t="str">
        <f t="shared" si="2408"/>
        <v>72077001</v>
      </c>
      <c r="D11116" t="str">
        <f t="shared" si="2409"/>
        <v>813</v>
      </c>
      <c r="E11116" t="str">
        <f t="shared" si="2410"/>
        <v>89301152</v>
      </c>
      <c r="F11116" t="str">
        <f>"7158255313"</f>
        <v>7158255313</v>
      </c>
      <c r="G11116" s="1">
        <v>44869</v>
      </c>
      <c r="H11116" t="str">
        <f>"91197"</f>
        <v>91197</v>
      </c>
      <c r="I11116">
        <v>1</v>
      </c>
      <c r="J11116">
        <v>1046</v>
      </c>
      <c r="K11116">
        <v>0</v>
      </c>
      <c r="L11116">
        <v>815.88</v>
      </c>
    </row>
    <row r="11117" spans="1:12" x14ac:dyDescent="0.25">
      <c r="A11117" t="str">
        <f t="shared" si="2402"/>
        <v>89301000</v>
      </c>
      <c r="B11117" t="str">
        <f t="shared" si="2407"/>
        <v>72077000</v>
      </c>
      <c r="C11117" t="str">
        <f t="shared" si="2408"/>
        <v>72077001</v>
      </c>
      <c r="D11117" t="str">
        <f t="shared" si="2409"/>
        <v>813</v>
      </c>
      <c r="E11117" t="str">
        <f t="shared" si="2410"/>
        <v>89301152</v>
      </c>
      <c r="F11117" t="str">
        <f>"9007045729"</f>
        <v>9007045729</v>
      </c>
      <c r="G11117" s="1">
        <v>44869</v>
      </c>
      <c r="H11117" t="str">
        <f>"91197"</f>
        <v>91197</v>
      </c>
      <c r="I11117">
        <v>1</v>
      </c>
      <c r="J11117">
        <v>1046</v>
      </c>
      <c r="K11117">
        <v>0</v>
      </c>
      <c r="L11117">
        <v>815.88</v>
      </c>
    </row>
    <row r="11118" spans="1:12" x14ac:dyDescent="0.25">
      <c r="A11118" t="str">
        <f t="shared" si="2402"/>
        <v>89301000</v>
      </c>
      <c r="B11118" t="str">
        <f t="shared" si="2407"/>
        <v>72077000</v>
      </c>
      <c r="C11118" t="str">
        <f t="shared" si="2408"/>
        <v>72077001</v>
      </c>
      <c r="D11118" t="str">
        <f t="shared" si="2409"/>
        <v>813</v>
      </c>
      <c r="E11118" t="str">
        <f t="shared" si="2410"/>
        <v>89301152</v>
      </c>
      <c r="F11118" t="str">
        <f>"9007045729"</f>
        <v>9007045729</v>
      </c>
      <c r="G11118" s="1">
        <v>44873</v>
      </c>
      <c r="H11118" t="str">
        <f>"91465"</f>
        <v>91465</v>
      </c>
      <c r="I11118">
        <v>1</v>
      </c>
      <c r="J11118">
        <v>1404</v>
      </c>
      <c r="K11118">
        <v>0</v>
      </c>
      <c r="L11118">
        <v>1095.1199999999999</v>
      </c>
    </row>
    <row r="11119" spans="1:12" x14ac:dyDescent="0.25">
      <c r="A11119" t="str">
        <f t="shared" si="2402"/>
        <v>89301000</v>
      </c>
      <c r="B11119" t="str">
        <f t="shared" si="2407"/>
        <v>72077000</v>
      </c>
      <c r="C11119" t="str">
        <f t="shared" si="2408"/>
        <v>72077001</v>
      </c>
      <c r="D11119" t="str">
        <f t="shared" si="2409"/>
        <v>813</v>
      </c>
      <c r="E11119" t="str">
        <f t="shared" si="2410"/>
        <v>89301152</v>
      </c>
      <c r="F11119" t="str">
        <f>"9062108539"</f>
        <v>9062108539</v>
      </c>
      <c r="G11119" s="1">
        <v>44874</v>
      </c>
      <c r="H11119" t="str">
        <f>"91197"</f>
        <v>91197</v>
      </c>
      <c r="I11119">
        <v>1</v>
      </c>
      <c r="J11119">
        <v>1046</v>
      </c>
      <c r="K11119">
        <v>0</v>
      </c>
      <c r="L11119">
        <v>815.88</v>
      </c>
    </row>
    <row r="11120" spans="1:12" x14ac:dyDescent="0.25">
      <c r="A11120" t="str">
        <f t="shared" si="2402"/>
        <v>89301000</v>
      </c>
      <c r="B11120" t="str">
        <f t="shared" si="2407"/>
        <v>72077000</v>
      </c>
      <c r="C11120" t="str">
        <f t="shared" si="2408"/>
        <v>72077001</v>
      </c>
      <c r="D11120" t="str">
        <f t="shared" si="2409"/>
        <v>813</v>
      </c>
      <c r="E11120" t="str">
        <f t="shared" si="2410"/>
        <v>89301152</v>
      </c>
      <c r="F11120" t="str">
        <f>"9062108539"</f>
        <v>9062108539</v>
      </c>
      <c r="G11120" s="1">
        <v>44876</v>
      </c>
      <c r="H11120" t="str">
        <f>"91465"</f>
        <v>91465</v>
      </c>
      <c r="I11120">
        <v>1</v>
      </c>
      <c r="J11120">
        <v>1404</v>
      </c>
      <c r="K11120">
        <v>0</v>
      </c>
      <c r="L11120">
        <v>1095.1199999999999</v>
      </c>
    </row>
    <row r="11121" spans="1:12" x14ac:dyDescent="0.25">
      <c r="A11121" t="str">
        <f t="shared" si="2402"/>
        <v>89301000</v>
      </c>
      <c r="B11121" t="str">
        <f t="shared" si="2407"/>
        <v>72077000</v>
      </c>
      <c r="C11121" t="str">
        <f t="shared" si="2408"/>
        <v>72077001</v>
      </c>
      <c r="D11121" t="str">
        <f t="shared" si="2409"/>
        <v>813</v>
      </c>
      <c r="E11121" t="str">
        <f t="shared" si="2410"/>
        <v>89301152</v>
      </c>
      <c r="F11121" t="str">
        <f>"9356255733"</f>
        <v>9356255733</v>
      </c>
      <c r="G11121" s="1">
        <v>44874</v>
      </c>
      <c r="H11121" t="str">
        <f>"91197"</f>
        <v>91197</v>
      </c>
      <c r="I11121">
        <v>1</v>
      </c>
      <c r="J11121">
        <v>1046</v>
      </c>
      <c r="K11121">
        <v>0</v>
      </c>
      <c r="L11121">
        <v>815.88</v>
      </c>
    </row>
    <row r="11122" spans="1:12" x14ac:dyDescent="0.25">
      <c r="A11122" t="str">
        <f t="shared" si="2402"/>
        <v>89301000</v>
      </c>
      <c r="B11122" t="str">
        <f t="shared" si="2407"/>
        <v>72077000</v>
      </c>
      <c r="C11122" t="str">
        <f t="shared" si="2408"/>
        <v>72077001</v>
      </c>
      <c r="D11122" t="str">
        <f t="shared" si="2409"/>
        <v>813</v>
      </c>
      <c r="E11122" t="str">
        <f t="shared" si="2410"/>
        <v>89301152</v>
      </c>
      <c r="F11122" t="str">
        <f>"9356255733"</f>
        <v>9356255733</v>
      </c>
      <c r="G11122" s="1">
        <v>44876</v>
      </c>
      <c r="H11122" t="str">
        <f>"91465"</f>
        <v>91465</v>
      </c>
      <c r="I11122">
        <v>1</v>
      </c>
      <c r="J11122">
        <v>1404</v>
      </c>
      <c r="K11122">
        <v>0</v>
      </c>
      <c r="L11122">
        <v>1095.1199999999999</v>
      </c>
    </row>
    <row r="11123" spans="1:12" x14ac:dyDescent="0.25">
      <c r="A11123" t="str">
        <f t="shared" si="2402"/>
        <v>89301000</v>
      </c>
      <c r="B11123" t="str">
        <f t="shared" si="2407"/>
        <v>72077000</v>
      </c>
      <c r="C11123" t="str">
        <f t="shared" si="2408"/>
        <v>72077001</v>
      </c>
      <c r="D11123" t="str">
        <f t="shared" si="2409"/>
        <v>813</v>
      </c>
      <c r="E11123" t="str">
        <f t="shared" si="2410"/>
        <v>89301152</v>
      </c>
      <c r="F11123" t="str">
        <f>"9751304849"</f>
        <v>9751304849</v>
      </c>
      <c r="G11123" s="1">
        <v>44876</v>
      </c>
      <c r="H11123" t="str">
        <f>"91197"</f>
        <v>91197</v>
      </c>
      <c r="I11123">
        <v>1</v>
      </c>
      <c r="J11123">
        <v>1046</v>
      </c>
      <c r="K11123">
        <v>0</v>
      </c>
      <c r="L11123">
        <v>815.88</v>
      </c>
    </row>
    <row r="11124" spans="1:12" x14ac:dyDescent="0.25">
      <c r="A11124" t="str">
        <f t="shared" si="2402"/>
        <v>89301000</v>
      </c>
      <c r="B11124" t="str">
        <f t="shared" si="2407"/>
        <v>72077000</v>
      </c>
      <c r="C11124" t="str">
        <f t="shared" si="2408"/>
        <v>72077001</v>
      </c>
      <c r="D11124" t="str">
        <f t="shared" si="2409"/>
        <v>813</v>
      </c>
      <c r="E11124" t="str">
        <f t="shared" si="2410"/>
        <v>89301152</v>
      </c>
      <c r="F11124" t="str">
        <f>"9751304849"</f>
        <v>9751304849</v>
      </c>
      <c r="G11124" s="1">
        <v>44880</v>
      </c>
      <c r="H11124" t="str">
        <f>"91465"</f>
        <v>91465</v>
      </c>
      <c r="I11124">
        <v>1</v>
      </c>
      <c r="J11124">
        <v>1404</v>
      </c>
      <c r="K11124">
        <v>0</v>
      </c>
      <c r="L11124">
        <v>1095.1199999999999</v>
      </c>
    </row>
    <row r="11125" spans="1:12" x14ac:dyDescent="0.25">
      <c r="A11125" t="str">
        <f t="shared" si="2402"/>
        <v>89301000</v>
      </c>
      <c r="B11125" t="str">
        <f t="shared" si="2407"/>
        <v>72077000</v>
      </c>
      <c r="C11125" t="str">
        <f t="shared" si="2408"/>
        <v>72077001</v>
      </c>
      <c r="D11125" t="str">
        <f t="shared" si="2409"/>
        <v>813</v>
      </c>
      <c r="E11125" t="str">
        <f t="shared" si="2410"/>
        <v>89301152</v>
      </c>
      <c r="F11125" t="str">
        <f>"9252285570"</f>
        <v>9252285570</v>
      </c>
      <c r="G11125" s="1">
        <v>44876</v>
      </c>
      <c r="H11125" t="str">
        <f>"91197"</f>
        <v>91197</v>
      </c>
      <c r="I11125">
        <v>1</v>
      </c>
      <c r="J11125">
        <v>1046</v>
      </c>
      <c r="K11125">
        <v>0</v>
      </c>
      <c r="L11125">
        <v>815.88</v>
      </c>
    </row>
    <row r="11126" spans="1:12" x14ac:dyDescent="0.25">
      <c r="A11126" t="str">
        <f t="shared" si="2402"/>
        <v>89301000</v>
      </c>
      <c r="B11126" t="str">
        <f t="shared" si="2407"/>
        <v>72077000</v>
      </c>
      <c r="C11126" t="str">
        <f t="shared" si="2408"/>
        <v>72077001</v>
      </c>
      <c r="D11126" t="str">
        <f t="shared" si="2409"/>
        <v>813</v>
      </c>
      <c r="E11126" t="str">
        <f t="shared" si="2410"/>
        <v>89301152</v>
      </c>
      <c r="F11126" t="str">
        <f>"9252285570"</f>
        <v>9252285570</v>
      </c>
      <c r="G11126" s="1">
        <v>44880</v>
      </c>
      <c r="H11126" t="str">
        <f>"91465"</f>
        <v>91465</v>
      </c>
      <c r="I11126">
        <v>1</v>
      </c>
      <c r="J11126">
        <v>1404</v>
      </c>
      <c r="K11126">
        <v>0</v>
      </c>
      <c r="L11126">
        <v>1095.1199999999999</v>
      </c>
    </row>
    <row r="11127" spans="1:12" x14ac:dyDescent="0.25">
      <c r="A11127" t="str">
        <f t="shared" si="2402"/>
        <v>89301000</v>
      </c>
      <c r="B11127" t="str">
        <f t="shared" si="2407"/>
        <v>72077000</v>
      </c>
      <c r="C11127" t="str">
        <f t="shared" si="2408"/>
        <v>72077001</v>
      </c>
      <c r="D11127" t="str">
        <f t="shared" si="2409"/>
        <v>813</v>
      </c>
      <c r="E11127" t="str">
        <f t="shared" si="2410"/>
        <v>89301152</v>
      </c>
      <c r="F11127" t="str">
        <f>"6860240145"</f>
        <v>6860240145</v>
      </c>
      <c r="G11127" s="1">
        <v>44876</v>
      </c>
      <c r="H11127" t="str">
        <f>"91197"</f>
        <v>91197</v>
      </c>
      <c r="I11127">
        <v>1</v>
      </c>
      <c r="J11127">
        <v>1046</v>
      </c>
      <c r="K11127">
        <v>0</v>
      </c>
      <c r="L11127">
        <v>815.88</v>
      </c>
    </row>
    <row r="11128" spans="1:12" x14ac:dyDescent="0.25">
      <c r="A11128" t="str">
        <f t="shared" si="2402"/>
        <v>89301000</v>
      </c>
      <c r="B11128" t="str">
        <f t="shared" si="2407"/>
        <v>72077000</v>
      </c>
      <c r="C11128" t="str">
        <f t="shared" si="2408"/>
        <v>72077001</v>
      </c>
      <c r="D11128" t="str">
        <f t="shared" si="2409"/>
        <v>813</v>
      </c>
      <c r="E11128" t="str">
        <f t="shared" si="2410"/>
        <v>89301152</v>
      </c>
      <c r="F11128" t="str">
        <f>"6860240145"</f>
        <v>6860240145</v>
      </c>
      <c r="G11128" s="1">
        <v>44880</v>
      </c>
      <c r="H11128" t="str">
        <f>"91465"</f>
        <v>91465</v>
      </c>
      <c r="I11128">
        <v>1</v>
      </c>
      <c r="J11128">
        <v>1404</v>
      </c>
      <c r="K11128">
        <v>0</v>
      </c>
      <c r="L11128">
        <v>1095.1199999999999</v>
      </c>
    </row>
    <row r="11129" spans="1:12" x14ac:dyDescent="0.25">
      <c r="A11129" t="str">
        <f t="shared" si="2402"/>
        <v>89301000</v>
      </c>
      <c r="B11129" t="str">
        <f t="shared" ref="B11129:B11155" si="2411">"72077000"</f>
        <v>72077000</v>
      </c>
      <c r="C11129" t="str">
        <f t="shared" ref="C11129:C11155" si="2412">"72077001"</f>
        <v>72077001</v>
      </c>
      <c r="D11129" t="str">
        <f t="shared" ref="D11129:D11155" si="2413">"813"</f>
        <v>813</v>
      </c>
      <c r="E11129" t="str">
        <f t="shared" ref="E11129:E11155" si="2414">"89301152"</f>
        <v>89301152</v>
      </c>
      <c r="F11129" t="str">
        <f>"9453165733"</f>
        <v>9453165733</v>
      </c>
      <c r="G11129" s="1">
        <v>44876</v>
      </c>
      <c r="H11129" t="str">
        <f>"91197"</f>
        <v>91197</v>
      </c>
      <c r="I11129">
        <v>1</v>
      </c>
      <c r="J11129">
        <v>1046</v>
      </c>
      <c r="K11129">
        <v>0</v>
      </c>
      <c r="L11129">
        <v>815.88</v>
      </c>
    </row>
    <row r="11130" spans="1:12" x14ac:dyDescent="0.25">
      <c r="A11130" t="str">
        <f t="shared" si="2402"/>
        <v>89301000</v>
      </c>
      <c r="B11130" t="str">
        <f t="shared" si="2411"/>
        <v>72077000</v>
      </c>
      <c r="C11130" t="str">
        <f t="shared" si="2412"/>
        <v>72077001</v>
      </c>
      <c r="D11130" t="str">
        <f t="shared" si="2413"/>
        <v>813</v>
      </c>
      <c r="E11130" t="str">
        <f t="shared" si="2414"/>
        <v>89301152</v>
      </c>
      <c r="F11130" t="str">
        <f>"9453165733"</f>
        <v>9453165733</v>
      </c>
      <c r="G11130" s="1">
        <v>44880</v>
      </c>
      <c r="H11130" t="str">
        <f>"91465"</f>
        <v>91465</v>
      </c>
      <c r="I11130">
        <v>1</v>
      </c>
      <c r="J11130">
        <v>1404</v>
      </c>
      <c r="K11130">
        <v>0</v>
      </c>
      <c r="L11130">
        <v>1095.1199999999999</v>
      </c>
    </row>
    <row r="11131" spans="1:12" x14ac:dyDescent="0.25">
      <c r="A11131" t="str">
        <f t="shared" si="2402"/>
        <v>89301000</v>
      </c>
      <c r="B11131" t="str">
        <f t="shared" si="2411"/>
        <v>72077000</v>
      </c>
      <c r="C11131" t="str">
        <f t="shared" si="2412"/>
        <v>72077001</v>
      </c>
      <c r="D11131" t="str">
        <f t="shared" si="2413"/>
        <v>813</v>
      </c>
      <c r="E11131" t="str">
        <f t="shared" si="2414"/>
        <v>89301152</v>
      </c>
      <c r="F11131" t="str">
        <f>"0358066170"</f>
        <v>0358066170</v>
      </c>
      <c r="G11131" s="1">
        <v>44883</v>
      </c>
      <c r="H11131" t="str">
        <f>"91359"</f>
        <v>91359</v>
      </c>
      <c r="I11131">
        <v>1</v>
      </c>
      <c r="J11131">
        <v>198</v>
      </c>
      <c r="K11131">
        <v>0</v>
      </c>
      <c r="L11131">
        <v>154.44</v>
      </c>
    </row>
    <row r="11132" spans="1:12" x14ac:dyDescent="0.25">
      <c r="A11132" t="str">
        <f t="shared" si="2402"/>
        <v>89301000</v>
      </c>
      <c r="B11132" t="str">
        <f t="shared" si="2411"/>
        <v>72077000</v>
      </c>
      <c r="C11132" t="str">
        <f t="shared" si="2412"/>
        <v>72077001</v>
      </c>
      <c r="D11132" t="str">
        <f t="shared" si="2413"/>
        <v>813</v>
      </c>
      <c r="E11132" t="str">
        <f t="shared" si="2414"/>
        <v>89301152</v>
      </c>
      <c r="F11132" t="str">
        <f>"0358066170"</f>
        <v>0358066170</v>
      </c>
      <c r="G11132" s="1">
        <v>44883</v>
      </c>
      <c r="H11132" t="str">
        <f>"91361"</f>
        <v>91361</v>
      </c>
      <c r="I11132">
        <v>1</v>
      </c>
      <c r="J11132">
        <v>431</v>
      </c>
      <c r="K11132">
        <v>0</v>
      </c>
      <c r="L11132">
        <v>336.18</v>
      </c>
    </row>
    <row r="11133" spans="1:12" x14ac:dyDescent="0.25">
      <c r="A11133" t="str">
        <f t="shared" si="2402"/>
        <v>89301000</v>
      </c>
      <c r="B11133" t="str">
        <f t="shared" si="2411"/>
        <v>72077000</v>
      </c>
      <c r="C11133" t="str">
        <f t="shared" si="2412"/>
        <v>72077001</v>
      </c>
      <c r="D11133" t="str">
        <f t="shared" si="2413"/>
        <v>813</v>
      </c>
      <c r="E11133" t="str">
        <f t="shared" si="2414"/>
        <v>89301152</v>
      </c>
      <c r="F11133" t="str">
        <f>"0358066170"</f>
        <v>0358066170</v>
      </c>
      <c r="G11133" s="1">
        <v>44883</v>
      </c>
      <c r="H11133" t="str">
        <f>"91485"</f>
        <v>91485</v>
      </c>
      <c r="I11133">
        <v>1</v>
      </c>
      <c r="J11133">
        <v>268</v>
      </c>
      <c r="K11133">
        <v>0</v>
      </c>
      <c r="L11133">
        <v>209.04</v>
      </c>
    </row>
    <row r="11134" spans="1:12" x14ac:dyDescent="0.25">
      <c r="A11134" t="str">
        <f t="shared" si="2402"/>
        <v>89301000</v>
      </c>
      <c r="B11134" t="str">
        <f t="shared" si="2411"/>
        <v>72077000</v>
      </c>
      <c r="C11134" t="str">
        <f t="shared" si="2412"/>
        <v>72077001</v>
      </c>
      <c r="D11134" t="str">
        <f t="shared" si="2413"/>
        <v>813</v>
      </c>
      <c r="E11134" t="str">
        <f t="shared" si="2414"/>
        <v>89301152</v>
      </c>
      <c r="F11134" t="str">
        <f>"7954115334"</f>
        <v>7954115334</v>
      </c>
      <c r="G11134" s="1">
        <v>44887</v>
      </c>
      <c r="H11134" t="str">
        <f>"91219"</f>
        <v>91219</v>
      </c>
      <c r="I11134">
        <v>1</v>
      </c>
      <c r="J11134">
        <v>342</v>
      </c>
      <c r="K11134">
        <v>0</v>
      </c>
      <c r="L11134">
        <v>266.76</v>
      </c>
    </row>
    <row r="11135" spans="1:12" x14ac:dyDescent="0.25">
      <c r="A11135" t="str">
        <f t="shared" si="2402"/>
        <v>89301000</v>
      </c>
      <c r="B11135" t="str">
        <f t="shared" si="2411"/>
        <v>72077000</v>
      </c>
      <c r="C11135" t="str">
        <f t="shared" si="2412"/>
        <v>72077001</v>
      </c>
      <c r="D11135" t="str">
        <f t="shared" si="2413"/>
        <v>813</v>
      </c>
      <c r="E11135" t="str">
        <f t="shared" si="2414"/>
        <v>89301152</v>
      </c>
      <c r="F11135" t="str">
        <f>"7954115334"</f>
        <v>7954115334</v>
      </c>
      <c r="G11135" s="1">
        <v>44887</v>
      </c>
      <c r="H11135" t="str">
        <f>"91219"</f>
        <v>91219</v>
      </c>
      <c r="I11135">
        <v>1</v>
      </c>
      <c r="J11135">
        <v>342</v>
      </c>
      <c r="K11135">
        <v>0</v>
      </c>
      <c r="L11135">
        <v>266.76</v>
      </c>
    </row>
    <row r="11136" spans="1:12" x14ac:dyDescent="0.25">
      <c r="A11136" t="str">
        <f t="shared" si="2402"/>
        <v>89301000</v>
      </c>
      <c r="B11136" t="str">
        <f t="shared" si="2411"/>
        <v>72077000</v>
      </c>
      <c r="C11136" t="str">
        <f t="shared" si="2412"/>
        <v>72077001</v>
      </c>
      <c r="D11136" t="str">
        <f t="shared" si="2413"/>
        <v>813</v>
      </c>
      <c r="E11136" t="str">
        <f t="shared" si="2414"/>
        <v>89301152</v>
      </c>
      <c r="F11136" t="str">
        <f>"7954115334"</f>
        <v>7954115334</v>
      </c>
      <c r="G11136" s="1">
        <v>44887</v>
      </c>
      <c r="H11136" t="str">
        <f>"91219"</f>
        <v>91219</v>
      </c>
      <c r="I11136">
        <v>1</v>
      </c>
      <c r="J11136">
        <v>342</v>
      </c>
      <c r="K11136">
        <v>0</v>
      </c>
      <c r="L11136">
        <v>266.76</v>
      </c>
    </row>
    <row r="11137" spans="1:12" x14ac:dyDescent="0.25">
      <c r="A11137" t="str">
        <f t="shared" si="2402"/>
        <v>89301000</v>
      </c>
      <c r="B11137" t="str">
        <f t="shared" si="2411"/>
        <v>72077000</v>
      </c>
      <c r="C11137" t="str">
        <f t="shared" si="2412"/>
        <v>72077001</v>
      </c>
      <c r="D11137" t="str">
        <f t="shared" si="2413"/>
        <v>813</v>
      </c>
      <c r="E11137" t="str">
        <f t="shared" si="2414"/>
        <v>89301152</v>
      </c>
      <c r="F11137" t="str">
        <f>"7754095778"</f>
        <v>7754095778</v>
      </c>
      <c r="G11137" s="1">
        <v>44888</v>
      </c>
      <c r="H11137" t="str">
        <f>"91171"</f>
        <v>91171</v>
      </c>
      <c r="I11137">
        <v>1</v>
      </c>
      <c r="J11137">
        <v>360</v>
      </c>
      <c r="K11137">
        <v>0</v>
      </c>
      <c r="L11137">
        <v>280.8</v>
      </c>
    </row>
    <row r="11138" spans="1:12" x14ac:dyDescent="0.25">
      <c r="A11138" t="str">
        <f t="shared" ref="A11138:A11201" si="2415">"89301000"</f>
        <v>89301000</v>
      </c>
      <c r="B11138" t="str">
        <f t="shared" si="2411"/>
        <v>72077000</v>
      </c>
      <c r="C11138" t="str">
        <f t="shared" si="2412"/>
        <v>72077001</v>
      </c>
      <c r="D11138" t="str">
        <f t="shared" si="2413"/>
        <v>813</v>
      </c>
      <c r="E11138" t="str">
        <f t="shared" si="2414"/>
        <v>89301152</v>
      </c>
      <c r="F11138" t="str">
        <f>"7754095778"</f>
        <v>7754095778</v>
      </c>
      <c r="G11138" s="1">
        <v>44888</v>
      </c>
      <c r="H11138" t="str">
        <f>"91171"</f>
        <v>91171</v>
      </c>
      <c r="I11138">
        <v>1</v>
      </c>
      <c r="J11138">
        <v>360</v>
      </c>
      <c r="K11138">
        <v>0</v>
      </c>
      <c r="L11138">
        <v>280.8</v>
      </c>
    </row>
    <row r="11139" spans="1:12" x14ac:dyDescent="0.25">
      <c r="A11139" t="str">
        <f t="shared" si="2415"/>
        <v>89301000</v>
      </c>
      <c r="B11139" t="str">
        <f t="shared" si="2411"/>
        <v>72077000</v>
      </c>
      <c r="C11139" t="str">
        <f t="shared" si="2412"/>
        <v>72077001</v>
      </c>
      <c r="D11139" t="str">
        <f t="shared" si="2413"/>
        <v>813</v>
      </c>
      <c r="E11139" t="str">
        <f t="shared" si="2414"/>
        <v>89301152</v>
      </c>
      <c r="F11139" t="str">
        <f>"7754095778"</f>
        <v>7754095778</v>
      </c>
      <c r="G11139" s="1">
        <v>44889</v>
      </c>
      <c r="H11139" t="str">
        <f>"91197"</f>
        <v>91197</v>
      </c>
      <c r="I11139">
        <v>1</v>
      </c>
      <c r="J11139">
        <v>1046</v>
      </c>
      <c r="K11139">
        <v>0</v>
      </c>
      <c r="L11139">
        <v>815.88</v>
      </c>
    </row>
    <row r="11140" spans="1:12" x14ac:dyDescent="0.25">
      <c r="A11140" t="str">
        <f t="shared" si="2415"/>
        <v>89301000</v>
      </c>
      <c r="B11140" t="str">
        <f t="shared" si="2411"/>
        <v>72077000</v>
      </c>
      <c r="C11140" t="str">
        <f t="shared" si="2412"/>
        <v>72077001</v>
      </c>
      <c r="D11140" t="str">
        <f t="shared" si="2413"/>
        <v>813</v>
      </c>
      <c r="E11140" t="str">
        <f t="shared" si="2414"/>
        <v>89301152</v>
      </c>
      <c r="F11140" t="str">
        <f>"7754095778"</f>
        <v>7754095778</v>
      </c>
      <c r="G11140" s="1">
        <v>44889</v>
      </c>
      <c r="H11140" t="str">
        <f>"91465"</f>
        <v>91465</v>
      </c>
      <c r="I11140">
        <v>1</v>
      </c>
      <c r="J11140">
        <v>1404</v>
      </c>
      <c r="K11140">
        <v>0</v>
      </c>
      <c r="L11140">
        <v>1095.1199999999999</v>
      </c>
    </row>
    <row r="11141" spans="1:12" x14ac:dyDescent="0.25">
      <c r="A11141" t="str">
        <f t="shared" si="2415"/>
        <v>89301000</v>
      </c>
      <c r="B11141" t="str">
        <f t="shared" si="2411"/>
        <v>72077000</v>
      </c>
      <c r="C11141" t="str">
        <f t="shared" si="2412"/>
        <v>72077001</v>
      </c>
      <c r="D11141" t="str">
        <f t="shared" si="2413"/>
        <v>813</v>
      </c>
      <c r="E11141" t="str">
        <f t="shared" si="2414"/>
        <v>89301152</v>
      </c>
      <c r="F11141" t="str">
        <f>"0451077330"</f>
        <v>0451077330</v>
      </c>
      <c r="G11141" s="1">
        <v>44889</v>
      </c>
      <c r="H11141" t="str">
        <f>"91197"</f>
        <v>91197</v>
      </c>
      <c r="I11141">
        <v>1</v>
      </c>
      <c r="J11141">
        <v>1046</v>
      </c>
      <c r="K11141">
        <v>0</v>
      </c>
      <c r="L11141">
        <v>815.88</v>
      </c>
    </row>
    <row r="11142" spans="1:12" x14ac:dyDescent="0.25">
      <c r="A11142" t="str">
        <f t="shared" si="2415"/>
        <v>89301000</v>
      </c>
      <c r="B11142" t="str">
        <f t="shared" si="2411"/>
        <v>72077000</v>
      </c>
      <c r="C11142" t="str">
        <f t="shared" si="2412"/>
        <v>72077001</v>
      </c>
      <c r="D11142" t="str">
        <f t="shared" si="2413"/>
        <v>813</v>
      </c>
      <c r="E11142" t="str">
        <f t="shared" si="2414"/>
        <v>89301152</v>
      </c>
      <c r="F11142" t="str">
        <f>"0451077330"</f>
        <v>0451077330</v>
      </c>
      <c r="G11142" s="1">
        <v>44889</v>
      </c>
      <c r="H11142" t="str">
        <f>"91465"</f>
        <v>91465</v>
      </c>
      <c r="I11142">
        <v>1</v>
      </c>
      <c r="J11142">
        <v>1404</v>
      </c>
      <c r="K11142">
        <v>0</v>
      </c>
      <c r="L11142">
        <v>1095.1199999999999</v>
      </c>
    </row>
    <row r="11143" spans="1:12" x14ac:dyDescent="0.25">
      <c r="A11143" t="str">
        <f t="shared" si="2415"/>
        <v>89301000</v>
      </c>
      <c r="B11143" t="str">
        <f t="shared" si="2411"/>
        <v>72077000</v>
      </c>
      <c r="C11143" t="str">
        <f t="shared" si="2412"/>
        <v>72077001</v>
      </c>
      <c r="D11143" t="str">
        <f t="shared" si="2413"/>
        <v>813</v>
      </c>
      <c r="E11143" t="str">
        <f t="shared" si="2414"/>
        <v>89301152</v>
      </c>
      <c r="F11143" t="str">
        <f>"7259065308"</f>
        <v>7259065308</v>
      </c>
      <c r="G11143" s="1">
        <v>44888</v>
      </c>
      <c r="H11143" t="str">
        <f>"91361"</f>
        <v>91361</v>
      </c>
      <c r="I11143">
        <v>1</v>
      </c>
      <c r="J11143">
        <v>431</v>
      </c>
      <c r="K11143">
        <v>0</v>
      </c>
      <c r="L11143">
        <v>336.18</v>
      </c>
    </row>
    <row r="11144" spans="1:12" x14ac:dyDescent="0.25">
      <c r="A11144" t="str">
        <f t="shared" si="2415"/>
        <v>89301000</v>
      </c>
      <c r="B11144" t="str">
        <f t="shared" si="2411"/>
        <v>72077000</v>
      </c>
      <c r="C11144" t="str">
        <f t="shared" si="2412"/>
        <v>72077001</v>
      </c>
      <c r="D11144" t="str">
        <f t="shared" si="2413"/>
        <v>813</v>
      </c>
      <c r="E11144" t="str">
        <f t="shared" si="2414"/>
        <v>89301152</v>
      </c>
      <c r="F11144" t="str">
        <f>"7259065308"</f>
        <v>7259065308</v>
      </c>
      <c r="G11144" s="1">
        <v>44888</v>
      </c>
      <c r="H11144" t="str">
        <f>"91359"</f>
        <v>91359</v>
      </c>
      <c r="I11144">
        <v>1</v>
      </c>
      <c r="J11144">
        <v>198</v>
      </c>
      <c r="K11144">
        <v>0</v>
      </c>
      <c r="L11144">
        <v>154.44</v>
      </c>
    </row>
    <row r="11145" spans="1:12" x14ac:dyDescent="0.25">
      <c r="A11145" t="str">
        <f t="shared" si="2415"/>
        <v>89301000</v>
      </c>
      <c r="B11145" t="str">
        <f t="shared" si="2411"/>
        <v>72077000</v>
      </c>
      <c r="C11145" t="str">
        <f t="shared" si="2412"/>
        <v>72077001</v>
      </c>
      <c r="D11145" t="str">
        <f t="shared" si="2413"/>
        <v>813</v>
      </c>
      <c r="E11145" t="str">
        <f t="shared" si="2414"/>
        <v>89301152</v>
      </c>
      <c r="F11145" t="str">
        <f>"7259065308"</f>
        <v>7259065308</v>
      </c>
      <c r="G11145" s="1">
        <v>44888</v>
      </c>
      <c r="H11145" t="str">
        <f>"91485"</f>
        <v>91485</v>
      </c>
      <c r="I11145">
        <v>1</v>
      </c>
      <c r="J11145">
        <v>268</v>
      </c>
      <c r="K11145">
        <v>0</v>
      </c>
      <c r="L11145">
        <v>209.04</v>
      </c>
    </row>
    <row r="11146" spans="1:12" x14ac:dyDescent="0.25">
      <c r="A11146" t="str">
        <f t="shared" si="2415"/>
        <v>89301000</v>
      </c>
      <c r="B11146" t="str">
        <f t="shared" si="2411"/>
        <v>72077000</v>
      </c>
      <c r="C11146" t="str">
        <f t="shared" si="2412"/>
        <v>72077001</v>
      </c>
      <c r="D11146" t="str">
        <f t="shared" si="2413"/>
        <v>813</v>
      </c>
      <c r="E11146" t="str">
        <f t="shared" si="2414"/>
        <v>89301152</v>
      </c>
      <c r="F11146" t="str">
        <f>"7259065308"</f>
        <v>7259065308</v>
      </c>
      <c r="G11146" s="1">
        <v>44889</v>
      </c>
      <c r="H11146" t="str">
        <f>"91197"</f>
        <v>91197</v>
      </c>
      <c r="I11146">
        <v>1</v>
      </c>
      <c r="J11146">
        <v>1046</v>
      </c>
      <c r="K11146">
        <v>0</v>
      </c>
      <c r="L11146">
        <v>815.88</v>
      </c>
    </row>
    <row r="11147" spans="1:12" x14ac:dyDescent="0.25">
      <c r="A11147" t="str">
        <f t="shared" si="2415"/>
        <v>89301000</v>
      </c>
      <c r="B11147" t="str">
        <f t="shared" si="2411"/>
        <v>72077000</v>
      </c>
      <c r="C11147" t="str">
        <f t="shared" si="2412"/>
        <v>72077001</v>
      </c>
      <c r="D11147" t="str">
        <f t="shared" si="2413"/>
        <v>813</v>
      </c>
      <c r="E11147" t="str">
        <f t="shared" si="2414"/>
        <v>89301152</v>
      </c>
      <c r="F11147" t="str">
        <f>"7259065308"</f>
        <v>7259065308</v>
      </c>
      <c r="G11147" s="1">
        <v>44894</v>
      </c>
      <c r="H11147" t="str">
        <f>"91465"</f>
        <v>91465</v>
      </c>
      <c r="I11147">
        <v>1</v>
      </c>
      <c r="J11147">
        <v>1404</v>
      </c>
      <c r="K11147">
        <v>0</v>
      </c>
      <c r="L11147">
        <v>1095.1199999999999</v>
      </c>
    </row>
    <row r="11148" spans="1:12" x14ac:dyDescent="0.25">
      <c r="A11148" t="str">
        <f t="shared" si="2415"/>
        <v>89301000</v>
      </c>
      <c r="B11148" t="str">
        <f t="shared" si="2411"/>
        <v>72077000</v>
      </c>
      <c r="C11148" t="str">
        <f t="shared" si="2412"/>
        <v>72077001</v>
      </c>
      <c r="D11148" t="str">
        <f t="shared" si="2413"/>
        <v>813</v>
      </c>
      <c r="E11148" t="str">
        <f t="shared" si="2414"/>
        <v>89301152</v>
      </c>
      <c r="F11148" t="str">
        <f>"9559065747"</f>
        <v>9559065747</v>
      </c>
      <c r="G11148" s="1">
        <v>44889</v>
      </c>
      <c r="H11148" t="str">
        <f>"91197"</f>
        <v>91197</v>
      </c>
      <c r="I11148">
        <v>1</v>
      </c>
      <c r="J11148">
        <v>1046</v>
      </c>
      <c r="K11148">
        <v>0</v>
      </c>
      <c r="L11148">
        <v>815.88</v>
      </c>
    </row>
    <row r="11149" spans="1:12" x14ac:dyDescent="0.25">
      <c r="A11149" t="str">
        <f t="shared" si="2415"/>
        <v>89301000</v>
      </c>
      <c r="B11149" t="str">
        <f t="shared" si="2411"/>
        <v>72077000</v>
      </c>
      <c r="C11149" t="str">
        <f t="shared" si="2412"/>
        <v>72077001</v>
      </c>
      <c r="D11149" t="str">
        <f t="shared" si="2413"/>
        <v>813</v>
      </c>
      <c r="E11149" t="str">
        <f t="shared" si="2414"/>
        <v>89301152</v>
      </c>
      <c r="F11149" t="str">
        <f>"9559065747"</f>
        <v>9559065747</v>
      </c>
      <c r="G11149" s="1">
        <v>44889</v>
      </c>
      <c r="H11149" t="str">
        <f>"91465"</f>
        <v>91465</v>
      </c>
      <c r="I11149">
        <v>1</v>
      </c>
      <c r="J11149">
        <v>1404</v>
      </c>
      <c r="K11149">
        <v>0</v>
      </c>
      <c r="L11149">
        <v>1095.1199999999999</v>
      </c>
    </row>
    <row r="11150" spans="1:12" x14ac:dyDescent="0.25">
      <c r="A11150" t="str">
        <f t="shared" si="2415"/>
        <v>89301000</v>
      </c>
      <c r="B11150" t="str">
        <f t="shared" si="2411"/>
        <v>72077000</v>
      </c>
      <c r="C11150" t="str">
        <f t="shared" si="2412"/>
        <v>72077001</v>
      </c>
      <c r="D11150" t="str">
        <f t="shared" si="2413"/>
        <v>813</v>
      </c>
      <c r="E11150" t="str">
        <f t="shared" si="2414"/>
        <v>89301152</v>
      </c>
      <c r="F11150" t="str">
        <f>"0254125432"</f>
        <v>0254125432</v>
      </c>
      <c r="G11150" s="1">
        <v>44889</v>
      </c>
      <c r="H11150" t="str">
        <f>"91197"</f>
        <v>91197</v>
      </c>
      <c r="I11150">
        <v>1</v>
      </c>
      <c r="J11150">
        <v>1046</v>
      </c>
      <c r="K11150">
        <v>0</v>
      </c>
      <c r="L11150">
        <v>815.88</v>
      </c>
    </row>
    <row r="11151" spans="1:12" x14ac:dyDescent="0.25">
      <c r="A11151" t="str">
        <f t="shared" si="2415"/>
        <v>89301000</v>
      </c>
      <c r="B11151" t="str">
        <f t="shared" si="2411"/>
        <v>72077000</v>
      </c>
      <c r="C11151" t="str">
        <f t="shared" si="2412"/>
        <v>72077001</v>
      </c>
      <c r="D11151" t="str">
        <f t="shared" si="2413"/>
        <v>813</v>
      </c>
      <c r="E11151" t="str">
        <f t="shared" si="2414"/>
        <v>89301152</v>
      </c>
      <c r="F11151" t="str">
        <f>"0254125432"</f>
        <v>0254125432</v>
      </c>
      <c r="G11151" s="1">
        <v>44894</v>
      </c>
      <c r="H11151" t="str">
        <f>"91465"</f>
        <v>91465</v>
      </c>
      <c r="I11151">
        <v>1</v>
      </c>
      <c r="J11151">
        <v>1404</v>
      </c>
      <c r="K11151">
        <v>0</v>
      </c>
      <c r="L11151">
        <v>1095.1199999999999</v>
      </c>
    </row>
    <row r="11152" spans="1:12" x14ac:dyDescent="0.25">
      <c r="A11152" t="str">
        <f t="shared" si="2415"/>
        <v>89301000</v>
      </c>
      <c r="B11152" t="str">
        <f t="shared" si="2411"/>
        <v>72077000</v>
      </c>
      <c r="C11152" t="str">
        <f t="shared" si="2412"/>
        <v>72077001</v>
      </c>
      <c r="D11152" t="str">
        <f t="shared" si="2413"/>
        <v>813</v>
      </c>
      <c r="E11152" t="str">
        <f t="shared" si="2414"/>
        <v>89301152</v>
      </c>
      <c r="F11152" t="str">
        <f>"8801196261"</f>
        <v>8801196261</v>
      </c>
      <c r="G11152" s="1">
        <v>44894</v>
      </c>
      <c r="H11152" t="str">
        <f>"91197"</f>
        <v>91197</v>
      </c>
      <c r="I11152">
        <v>1</v>
      </c>
      <c r="J11152">
        <v>1046</v>
      </c>
      <c r="K11152">
        <v>0</v>
      </c>
      <c r="L11152">
        <v>815.88</v>
      </c>
    </row>
    <row r="11153" spans="1:12" x14ac:dyDescent="0.25">
      <c r="A11153" t="str">
        <f t="shared" si="2415"/>
        <v>89301000</v>
      </c>
      <c r="B11153" t="str">
        <f t="shared" si="2411"/>
        <v>72077000</v>
      </c>
      <c r="C11153" t="str">
        <f t="shared" si="2412"/>
        <v>72077001</v>
      </c>
      <c r="D11153" t="str">
        <f t="shared" si="2413"/>
        <v>813</v>
      </c>
      <c r="E11153" t="str">
        <f t="shared" si="2414"/>
        <v>89301152</v>
      </c>
      <c r="F11153" t="str">
        <f>"8801196261"</f>
        <v>8801196261</v>
      </c>
      <c r="G11153" s="1">
        <v>44894</v>
      </c>
      <c r="H11153" t="str">
        <f>"91465"</f>
        <v>91465</v>
      </c>
      <c r="I11153">
        <v>1</v>
      </c>
      <c r="J11153">
        <v>1404</v>
      </c>
      <c r="K11153">
        <v>0</v>
      </c>
      <c r="L11153">
        <v>1095.1199999999999</v>
      </c>
    </row>
    <row r="11154" spans="1:12" x14ac:dyDescent="0.25">
      <c r="A11154" t="str">
        <f t="shared" si="2415"/>
        <v>89301000</v>
      </c>
      <c r="B11154" t="str">
        <f t="shared" si="2411"/>
        <v>72077000</v>
      </c>
      <c r="C11154" t="str">
        <f t="shared" si="2412"/>
        <v>72077001</v>
      </c>
      <c r="D11154" t="str">
        <f t="shared" si="2413"/>
        <v>813</v>
      </c>
      <c r="E11154" t="str">
        <f t="shared" si="2414"/>
        <v>89301152</v>
      </c>
      <c r="F11154" t="str">
        <f>"9653024854"</f>
        <v>9653024854</v>
      </c>
      <c r="G11154" s="1">
        <v>44894</v>
      </c>
      <c r="H11154" t="str">
        <f>"91197"</f>
        <v>91197</v>
      </c>
      <c r="I11154">
        <v>1</v>
      </c>
      <c r="J11154">
        <v>1046</v>
      </c>
      <c r="K11154">
        <v>0</v>
      </c>
      <c r="L11154">
        <v>815.88</v>
      </c>
    </row>
    <row r="11155" spans="1:12" x14ac:dyDescent="0.25">
      <c r="A11155" t="str">
        <f t="shared" si="2415"/>
        <v>89301000</v>
      </c>
      <c r="B11155" t="str">
        <f t="shared" si="2411"/>
        <v>72077000</v>
      </c>
      <c r="C11155" t="str">
        <f t="shared" si="2412"/>
        <v>72077001</v>
      </c>
      <c r="D11155" t="str">
        <f t="shared" si="2413"/>
        <v>813</v>
      </c>
      <c r="E11155" t="str">
        <f t="shared" si="2414"/>
        <v>89301152</v>
      </c>
      <c r="F11155" t="str">
        <f>"9653024854"</f>
        <v>9653024854</v>
      </c>
      <c r="G11155" s="1">
        <v>44894</v>
      </c>
      <c r="H11155" t="str">
        <f>"91465"</f>
        <v>91465</v>
      </c>
      <c r="I11155">
        <v>1</v>
      </c>
      <c r="J11155">
        <v>1404</v>
      </c>
      <c r="K11155">
        <v>0</v>
      </c>
      <c r="L11155">
        <v>1095.1199999999999</v>
      </c>
    </row>
    <row r="11156" spans="1:12" x14ac:dyDescent="0.25">
      <c r="A11156" t="str">
        <f t="shared" si="2415"/>
        <v>89301000</v>
      </c>
      <c r="B11156" t="str">
        <f>"89148000"</f>
        <v>89148000</v>
      </c>
      <c r="C11156" t="str">
        <f>"89148212"</f>
        <v>89148212</v>
      </c>
      <c r="D11156" t="str">
        <f>"801"</f>
        <v>801</v>
      </c>
      <c r="E11156" t="str">
        <f>"89301082"</f>
        <v>89301082</v>
      </c>
      <c r="F11156" t="str">
        <f>"9356295707"</f>
        <v>9356295707</v>
      </c>
      <c r="G11156" s="1">
        <v>44867</v>
      </c>
      <c r="H11156" t="str">
        <f>"09119"</f>
        <v>09119</v>
      </c>
      <c r="I11156">
        <v>1</v>
      </c>
      <c r="J11156">
        <v>42</v>
      </c>
      <c r="K11156">
        <v>0</v>
      </c>
      <c r="L11156">
        <v>32.76</v>
      </c>
    </row>
    <row r="11157" spans="1:12" x14ac:dyDescent="0.25">
      <c r="A11157" t="str">
        <f t="shared" si="2415"/>
        <v>89301000</v>
      </c>
      <c r="B11157" t="str">
        <f>"89148000"</f>
        <v>89148000</v>
      </c>
      <c r="C11157" t="str">
        <f>"89148212"</f>
        <v>89148212</v>
      </c>
      <c r="D11157" t="str">
        <f>"801"</f>
        <v>801</v>
      </c>
      <c r="E11157" t="str">
        <f>"89301082"</f>
        <v>89301082</v>
      </c>
      <c r="F11157" t="str">
        <f>"9356295707"</f>
        <v>9356295707</v>
      </c>
      <c r="G11157" s="1">
        <v>44867</v>
      </c>
      <c r="H11157" t="str">
        <f>"93159"</f>
        <v>93159</v>
      </c>
      <c r="I11157">
        <v>1</v>
      </c>
      <c r="J11157">
        <v>195</v>
      </c>
      <c r="K11157">
        <v>0</v>
      </c>
      <c r="L11157">
        <v>152.1</v>
      </c>
    </row>
    <row r="11158" spans="1:12" x14ac:dyDescent="0.25">
      <c r="A11158" t="str">
        <f t="shared" si="2415"/>
        <v>89301000</v>
      </c>
      <c r="B11158" t="str">
        <f>"89148000"</f>
        <v>89148000</v>
      </c>
      <c r="C11158" t="str">
        <f>"89148212"</f>
        <v>89148212</v>
      </c>
      <c r="D11158" t="str">
        <f>"801"</f>
        <v>801</v>
      </c>
      <c r="E11158" t="str">
        <f>"89301082"</f>
        <v>89301082</v>
      </c>
      <c r="F11158" t="str">
        <f>"9356295707"</f>
        <v>9356295707</v>
      </c>
      <c r="G11158" s="1">
        <v>44867</v>
      </c>
      <c r="H11158" t="str">
        <f>"97111"</f>
        <v>97111</v>
      </c>
      <c r="I11158">
        <v>1</v>
      </c>
      <c r="J11158">
        <v>18</v>
      </c>
      <c r="K11158">
        <v>0</v>
      </c>
      <c r="L11158">
        <v>14.04</v>
      </c>
    </row>
    <row r="11159" spans="1:12" x14ac:dyDescent="0.25">
      <c r="A11159" t="str">
        <f t="shared" si="2415"/>
        <v>89301000</v>
      </c>
      <c r="B11159" t="str">
        <f>"93223000"</f>
        <v>93223000</v>
      </c>
      <c r="C11159" t="str">
        <f>"93223001"</f>
        <v>93223001</v>
      </c>
      <c r="D11159" t="str">
        <f>"809"</f>
        <v>809</v>
      </c>
      <c r="E11159" t="str">
        <f>"89301322"</f>
        <v>89301322</v>
      </c>
      <c r="F11159" t="str">
        <f>"460804504"</f>
        <v>460804504</v>
      </c>
      <c r="G11159" s="1">
        <v>44875</v>
      </c>
      <c r="H11159" t="str">
        <f>"89513"</f>
        <v>89513</v>
      </c>
      <c r="I11159">
        <v>1</v>
      </c>
      <c r="J11159">
        <v>371</v>
      </c>
      <c r="K11159">
        <v>0</v>
      </c>
      <c r="L11159">
        <v>519.4</v>
      </c>
    </row>
    <row r="11160" spans="1:12" x14ac:dyDescent="0.25">
      <c r="A11160" t="str">
        <f t="shared" si="2415"/>
        <v>89301000</v>
      </c>
      <c r="B11160" t="str">
        <f>"93223000"</f>
        <v>93223000</v>
      </c>
      <c r="C11160" t="str">
        <f>"93223001"</f>
        <v>93223001</v>
      </c>
      <c r="D11160" t="str">
        <f>"809"</f>
        <v>809</v>
      </c>
      <c r="E11160" t="str">
        <f>"89301322"</f>
        <v>89301322</v>
      </c>
      <c r="F11160" t="str">
        <f>"460804504"</f>
        <v>460804504</v>
      </c>
      <c r="G11160" s="1">
        <v>44875</v>
      </c>
      <c r="H11160" t="str">
        <f>"89514"</f>
        <v>89514</v>
      </c>
      <c r="I11160">
        <v>1</v>
      </c>
      <c r="J11160">
        <v>371</v>
      </c>
      <c r="K11160">
        <v>0</v>
      </c>
      <c r="L11160">
        <v>519.4</v>
      </c>
    </row>
    <row r="11161" spans="1:12" x14ac:dyDescent="0.25">
      <c r="A11161" t="str">
        <f t="shared" si="2415"/>
        <v>89301000</v>
      </c>
      <c r="B11161" t="str">
        <f>"93223000"</f>
        <v>93223000</v>
      </c>
      <c r="C11161" t="str">
        <f>"93223001"</f>
        <v>93223001</v>
      </c>
      <c r="D11161" t="str">
        <f>"809"</f>
        <v>809</v>
      </c>
      <c r="E11161" t="str">
        <f>"89301212"</f>
        <v>89301212</v>
      </c>
      <c r="F11161" t="str">
        <f>"6753312159"</f>
        <v>6753312159</v>
      </c>
      <c r="G11161" s="1">
        <v>44880</v>
      </c>
      <c r="H11161" t="str">
        <f>"89513"</f>
        <v>89513</v>
      </c>
      <c r="I11161">
        <v>1</v>
      </c>
      <c r="J11161">
        <v>371</v>
      </c>
      <c r="K11161">
        <v>0</v>
      </c>
      <c r="L11161">
        <v>519.4</v>
      </c>
    </row>
    <row r="11162" spans="1:12" x14ac:dyDescent="0.25">
      <c r="A11162" t="str">
        <f t="shared" si="2415"/>
        <v>89301000</v>
      </c>
      <c r="B11162" t="str">
        <f>"93223000"</f>
        <v>93223000</v>
      </c>
      <c r="C11162" t="str">
        <f>"93223001"</f>
        <v>93223001</v>
      </c>
      <c r="D11162" t="str">
        <f>"809"</f>
        <v>809</v>
      </c>
      <c r="E11162" t="str">
        <f>"89301212"</f>
        <v>89301212</v>
      </c>
      <c r="F11162" t="str">
        <f>"6753312159"</f>
        <v>6753312159</v>
      </c>
      <c r="G11162" s="1">
        <v>44880</v>
      </c>
      <c r="H11162" t="str">
        <f>"89514"</f>
        <v>89514</v>
      </c>
      <c r="I11162">
        <v>1</v>
      </c>
      <c r="J11162">
        <v>371</v>
      </c>
      <c r="K11162">
        <v>0</v>
      </c>
      <c r="L11162">
        <v>519.4</v>
      </c>
    </row>
    <row r="11163" spans="1:12" x14ac:dyDescent="0.25">
      <c r="A11163" t="str">
        <f t="shared" si="2415"/>
        <v>89301000</v>
      </c>
      <c r="B11163" t="str">
        <f>"85200000"</f>
        <v>85200000</v>
      </c>
      <c r="C11163" t="str">
        <f>"85200332"</f>
        <v>85200332</v>
      </c>
      <c r="D11163" t="str">
        <f>"801"</f>
        <v>801</v>
      </c>
      <c r="E11163" t="str">
        <f>"89301082"</f>
        <v>89301082</v>
      </c>
      <c r="F11163" t="str">
        <f>"8960214593"</f>
        <v>8960214593</v>
      </c>
      <c r="G11163" s="1">
        <v>44886</v>
      </c>
      <c r="H11163" t="str">
        <f>"09119"</f>
        <v>09119</v>
      </c>
      <c r="I11163">
        <v>1</v>
      </c>
      <c r="J11163">
        <v>42</v>
      </c>
      <c r="K11163">
        <v>0</v>
      </c>
      <c r="L11163">
        <v>32.76</v>
      </c>
    </row>
    <row r="11164" spans="1:12" x14ac:dyDescent="0.25">
      <c r="A11164" t="str">
        <f t="shared" si="2415"/>
        <v>89301000</v>
      </c>
      <c r="B11164" t="str">
        <f>"85200000"</f>
        <v>85200000</v>
      </c>
      <c r="C11164" t="str">
        <f>"85200332"</f>
        <v>85200332</v>
      </c>
      <c r="D11164" t="str">
        <f>"801"</f>
        <v>801</v>
      </c>
      <c r="E11164" t="str">
        <f>"89301082"</f>
        <v>89301082</v>
      </c>
      <c r="F11164" t="str">
        <f>"8960214593"</f>
        <v>8960214593</v>
      </c>
      <c r="G11164" s="1">
        <v>44886</v>
      </c>
      <c r="H11164" t="str">
        <f>"93159"</f>
        <v>93159</v>
      </c>
      <c r="I11164">
        <v>1</v>
      </c>
      <c r="J11164">
        <v>195</v>
      </c>
      <c r="K11164">
        <v>0</v>
      </c>
      <c r="L11164">
        <v>152.1</v>
      </c>
    </row>
    <row r="11165" spans="1:12" x14ac:dyDescent="0.25">
      <c r="A11165" t="str">
        <f t="shared" si="2415"/>
        <v>89301000</v>
      </c>
      <c r="B11165" t="str">
        <f>"85200000"</f>
        <v>85200000</v>
      </c>
      <c r="C11165" t="str">
        <f>"85200332"</f>
        <v>85200332</v>
      </c>
      <c r="D11165" t="str">
        <f>"801"</f>
        <v>801</v>
      </c>
      <c r="E11165" t="str">
        <f>"89301082"</f>
        <v>89301082</v>
      </c>
      <c r="F11165" t="str">
        <f>"8960214593"</f>
        <v>8960214593</v>
      </c>
      <c r="G11165" s="1">
        <v>44886</v>
      </c>
      <c r="H11165" t="str">
        <f>"97111"</f>
        <v>97111</v>
      </c>
      <c r="I11165">
        <v>1</v>
      </c>
      <c r="J11165">
        <v>18</v>
      </c>
      <c r="K11165">
        <v>0</v>
      </c>
      <c r="L11165">
        <v>14.04</v>
      </c>
    </row>
    <row r="11166" spans="1:12" x14ac:dyDescent="0.25">
      <c r="A11166" t="str">
        <f t="shared" si="2415"/>
        <v>89301000</v>
      </c>
      <c r="B11166" t="str">
        <f t="shared" ref="B11166:B11171" si="2416">"82001000"</f>
        <v>82001000</v>
      </c>
      <c r="C11166" t="str">
        <f>"82001180"</f>
        <v>82001180</v>
      </c>
      <c r="D11166" t="str">
        <f>"809"</f>
        <v>809</v>
      </c>
      <c r="E11166" t="str">
        <f>"89301132"</f>
        <v>89301132</v>
      </c>
      <c r="F11166" t="str">
        <f>"7905144137"</f>
        <v>7905144137</v>
      </c>
      <c r="G11166" s="1">
        <v>44873</v>
      </c>
      <c r="H11166" t="str">
        <f>"89615"</f>
        <v>89615</v>
      </c>
      <c r="I11166">
        <v>1</v>
      </c>
      <c r="J11166">
        <v>2170</v>
      </c>
      <c r="K11166">
        <v>0</v>
      </c>
      <c r="L11166">
        <v>1302</v>
      </c>
    </row>
    <row r="11167" spans="1:12" x14ac:dyDescent="0.25">
      <c r="A11167" t="str">
        <f t="shared" si="2415"/>
        <v>89301000</v>
      </c>
      <c r="B11167" t="str">
        <f t="shared" si="2416"/>
        <v>82001000</v>
      </c>
      <c r="C11167" t="str">
        <f>"82001848"</f>
        <v>82001848</v>
      </c>
      <c r="D11167" t="str">
        <f>"222"</f>
        <v>222</v>
      </c>
      <c r="E11167" t="str">
        <f>"89301112"</f>
        <v>89301112</v>
      </c>
      <c r="F11167" t="str">
        <f>"7362284171"</f>
        <v>7362284171</v>
      </c>
      <c r="G11167" s="1">
        <v>44866</v>
      </c>
      <c r="H11167" t="str">
        <f>"97111"</f>
        <v>97111</v>
      </c>
      <c r="I11167">
        <v>1</v>
      </c>
      <c r="J11167">
        <v>18</v>
      </c>
      <c r="K11167">
        <v>0</v>
      </c>
      <c r="L11167">
        <v>14.04</v>
      </c>
    </row>
    <row r="11168" spans="1:12" x14ac:dyDescent="0.25">
      <c r="A11168" t="str">
        <f t="shared" si="2415"/>
        <v>89301000</v>
      </c>
      <c r="B11168" t="str">
        <f t="shared" si="2416"/>
        <v>82001000</v>
      </c>
      <c r="C11168" t="str">
        <f>"82001848"</f>
        <v>82001848</v>
      </c>
      <c r="D11168" t="str">
        <f>"222"</f>
        <v>222</v>
      </c>
      <c r="E11168" t="str">
        <f>"89301112"</f>
        <v>89301112</v>
      </c>
      <c r="F11168" t="str">
        <f>"7362284171"</f>
        <v>7362284171</v>
      </c>
      <c r="G11168" s="1">
        <v>44866</v>
      </c>
      <c r="H11168" t="str">
        <f>"82075"</f>
        <v>82075</v>
      </c>
      <c r="I11168">
        <v>1</v>
      </c>
      <c r="J11168">
        <v>486</v>
      </c>
      <c r="K11168">
        <v>0</v>
      </c>
      <c r="L11168">
        <v>379.08</v>
      </c>
    </row>
    <row r="11169" spans="1:12" x14ac:dyDescent="0.25">
      <c r="A11169" t="str">
        <f t="shared" si="2415"/>
        <v>89301000</v>
      </c>
      <c r="B11169" t="str">
        <f t="shared" si="2416"/>
        <v>82001000</v>
      </c>
      <c r="C11169" t="str">
        <f>"82001848"</f>
        <v>82001848</v>
      </c>
      <c r="D11169" t="str">
        <f>"222"</f>
        <v>222</v>
      </c>
      <c r="E11169" t="str">
        <f>"89301112"</f>
        <v>89301112</v>
      </c>
      <c r="F11169" t="str">
        <f>"7362284171"</f>
        <v>7362284171</v>
      </c>
      <c r="G11169" s="1">
        <v>44866</v>
      </c>
      <c r="H11169" t="str">
        <f>"82077"</f>
        <v>82077</v>
      </c>
      <c r="I11169">
        <v>1</v>
      </c>
      <c r="J11169">
        <v>350</v>
      </c>
      <c r="K11169">
        <v>0</v>
      </c>
      <c r="L11169">
        <v>273</v>
      </c>
    </row>
    <row r="11170" spans="1:12" x14ac:dyDescent="0.25">
      <c r="A11170" t="str">
        <f t="shared" si="2415"/>
        <v>89301000</v>
      </c>
      <c r="B11170" t="str">
        <f t="shared" si="2416"/>
        <v>82001000</v>
      </c>
      <c r="C11170" t="str">
        <f>"82001848"</f>
        <v>82001848</v>
      </c>
      <c r="D11170" t="str">
        <f>"222"</f>
        <v>222</v>
      </c>
      <c r="E11170" t="str">
        <f>"89301112"</f>
        <v>89301112</v>
      </c>
      <c r="F11170" t="str">
        <f>"7362284171"</f>
        <v>7362284171</v>
      </c>
      <c r="G11170" s="1">
        <v>44866</v>
      </c>
      <c r="H11170" t="str">
        <f>"82119"</f>
        <v>82119</v>
      </c>
      <c r="I11170">
        <v>1</v>
      </c>
      <c r="J11170">
        <v>229</v>
      </c>
      <c r="K11170">
        <v>0</v>
      </c>
      <c r="L11170">
        <v>178.62</v>
      </c>
    </row>
    <row r="11171" spans="1:12" x14ac:dyDescent="0.25">
      <c r="A11171" t="str">
        <f t="shared" si="2415"/>
        <v>89301000</v>
      </c>
      <c r="B11171" t="str">
        <f t="shared" si="2416"/>
        <v>82001000</v>
      </c>
      <c r="C11171" t="str">
        <f>"82001848"</f>
        <v>82001848</v>
      </c>
      <c r="D11171" t="str">
        <f>"222"</f>
        <v>222</v>
      </c>
      <c r="E11171" t="str">
        <f>"89301112"</f>
        <v>89301112</v>
      </c>
      <c r="F11171" t="str">
        <f>"7362284171"</f>
        <v>7362284171</v>
      </c>
      <c r="G11171" s="1">
        <v>44866</v>
      </c>
      <c r="H11171" t="str">
        <f>"82079"</f>
        <v>82079</v>
      </c>
      <c r="I11171">
        <v>1</v>
      </c>
      <c r="J11171">
        <v>332</v>
      </c>
      <c r="K11171">
        <v>0</v>
      </c>
      <c r="L11171">
        <v>258.95999999999998</v>
      </c>
    </row>
    <row r="11172" spans="1:12" x14ac:dyDescent="0.25">
      <c r="A11172" t="str">
        <f t="shared" si="2415"/>
        <v>89301000</v>
      </c>
      <c r="B11172" t="str">
        <f>"85600000"</f>
        <v>85600000</v>
      </c>
      <c r="C11172" t="str">
        <f>"85600421"</f>
        <v>85600421</v>
      </c>
      <c r="D11172" t="str">
        <f>"809"</f>
        <v>809</v>
      </c>
      <c r="E11172" t="str">
        <f t="shared" ref="E11172:E11178" si="2417">"89301212"</f>
        <v>89301212</v>
      </c>
      <c r="F11172" t="str">
        <f>"475321441"</f>
        <v>475321441</v>
      </c>
      <c r="G11172" s="1">
        <v>44886</v>
      </c>
      <c r="H11172" t="str">
        <f>"89180"</f>
        <v>89180</v>
      </c>
      <c r="I11172">
        <v>1</v>
      </c>
      <c r="J11172">
        <v>376</v>
      </c>
      <c r="K11172">
        <v>0</v>
      </c>
      <c r="L11172">
        <v>526.4</v>
      </c>
    </row>
    <row r="11173" spans="1:12" x14ac:dyDescent="0.25">
      <c r="A11173" t="str">
        <f t="shared" si="2415"/>
        <v>89301000</v>
      </c>
      <c r="B11173" t="str">
        <f>"85600000"</f>
        <v>85600000</v>
      </c>
      <c r="C11173" t="str">
        <f>"85600421"</f>
        <v>85600421</v>
      </c>
      <c r="D11173" t="str">
        <f>"809"</f>
        <v>809</v>
      </c>
      <c r="E11173" t="str">
        <f t="shared" si="2417"/>
        <v>89301212</v>
      </c>
      <c r="F11173" t="str">
        <f>"475321441"</f>
        <v>475321441</v>
      </c>
      <c r="G11173" s="1">
        <v>44886</v>
      </c>
      <c r="H11173" t="str">
        <f>"89180"</f>
        <v>89180</v>
      </c>
      <c r="I11173">
        <v>1</v>
      </c>
      <c r="J11173">
        <v>376</v>
      </c>
      <c r="K11173">
        <v>0</v>
      </c>
      <c r="L11173">
        <v>526.4</v>
      </c>
    </row>
    <row r="11174" spans="1:12" x14ac:dyDescent="0.25">
      <c r="A11174" t="str">
        <f t="shared" si="2415"/>
        <v>89301000</v>
      </c>
      <c r="B11174" t="str">
        <f>"85600000"</f>
        <v>85600000</v>
      </c>
      <c r="C11174" t="str">
        <f>"85600421"</f>
        <v>85600421</v>
      </c>
      <c r="D11174" t="str">
        <f>"809"</f>
        <v>809</v>
      </c>
      <c r="E11174" t="str">
        <f t="shared" si="2417"/>
        <v>89301212</v>
      </c>
      <c r="F11174" t="str">
        <f>"475321441"</f>
        <v>475321441</v>
      </c>
      <c r="G11174" s="1">
        <v>44886</v>
      </c>
      <c r="H11174" t="str">
        <f>"89512"</f>
        <v>89512</v>
      </c>
      <c r="I11174">
        <v>1</v>
      </c>
      <c r="J11174">
        <v>277</v>
      </c>
      <c r="K11174">
        <v>0</v>
      </c>
      <c r="L11174">
        <v>387.8</v>
      </c>
    </row>
    <row r="11175" spans="1:12" x14ac:dyDescent="0.25">
      <c r="A11175" t="str">
        <f t="shared" si="2415"/>
        <v>89301000</v>
      </c>
      <c r="B11175" t="str">
        <f t="shared" ref="B11175:B11210" si="2418">"93201000"</f>
        <v>93201000</v>
      </c>
      <c r="C11175" t="str">
        <f t="shared" ref="C11175:C11195" si="2419">"93201250"</f>
        <v>93201250</v>
      </c>
      <c r="D11175" t="str">
        <f t="shared" ref="D11175:D11195" si="2420">"801"</f>
        <v>801</v>
      </c>
      <c r="E11175" t="str">
        <f t="shared" si="2417"/>
        <v>89301212</v>
      </c>
      <c r="F11175" t="str">
        <f>"520131350"</f>
        <v>520131350</v>
      </c>
      <c r="G11175" s="1">
        <v>44883</v>
      </c>
      <c r="H11175" t="str">
        <f>"97111"</f>
        <v>97111</v>
      </c>
      <c r="I11175">
        <v>1</v>
      </c>
      <c r="J11175">
        <v>18</v>
      </c>
      <c r="K11175">
        <v>0</v>
      </c>
      <c r="L11175">
        <v>14.04</v>
      </c>
    </row>
    <row r="11176" spans="1:12" x14ac:dyDescent="0.25">
      <c r="A11176" t="str">
        <f t="shared" si="2415"/>
        <v>89301000</v>
      </c>
      <c r="B11176" t="str">
        <f t="shared" si="2418"/>
        <v>93201000</v>
      </c>
      <c r="C11176" t="str">
        <f t="shared" si="2419"/>
        <v>93201250</v>
      </c>
      <c r="D11176" t="str">
        <f t="shared" si="2420"/>
        <v>801</v>
      </c>
      <c r="E11176" t="str">
        <f t="shared" si="2417"/>
        <v>89301212</v>
      </c>
      <c r="F11176" t="str">
        <f>"520131350"</f>
        <v>520131350</v>
      </c>
      <c r="G11176" s="1">
        <v>44883</v>
      </c>
      <c r="H11176" t="str">
        <f>"81469"</f>
        <v>81469</v>
      </c>
      <c r="I11176">
        <v>1</v>
      </c>
      <c r="J11176">
        <v>16</v>
      </c>
      <c r="K11176">
        <v>0</v>
      </c>
      <c r="L11176">
        <v>12.48</v>
      </c>
    </row>
    <row r="11177" spans="1:12" x14ac:dyDescent="0.25">
      <c r="A11177" t="str">
        <f t="shared" si="2415"/>
        <v>89301000</v>
      </c>
      <c r="B11177" t="str">
        <f t="shared" si="2418"/>
        <v>93201000</v>
      </c>
      <c r="C11177" t="str">
        <f t="shared" si="2419"/>
        <v>93201250</v>
      </c>
      <c r="D11177" t="str">
        <f t="shared" si="2420"/>
        <v>801</v>
      </c>
      <c r="E11177" t="str">
        <f t="shared" si="2417"/>
        <v>89301212</v>
      </c>
      <c r="F11177" t="str">
        <f>"520131350"</f>
        <v>520131350</v>
      </c>
      <c r="G11177" s="1">
        <v>44883</v>
      </c>
      <c r="H11177" t="str">
        <f>"81593"</f>
        <v>81593</v>
      </c>
      <c r="I11177">
        <v>1</v>
      </c>
      <c r="J11177">
        <v>22</v>
      </c>
      <c r="K11177">
        <v>0</v>
      </c>
      <c r="L11177">
        <v>17.16</v>
      </c>
    </row>
    <row r="11178" spans="1:12" x14ac:dyDescent="0.25">
      <c r="A11178" t="str">
        <f t="shared" si="2415"/>
        <v>89301000</v>
      </c>
      <c r="B11178" t="str">
        <f t="shared" si="2418"/>
        <v>93201000</v>
      </c>
      <c r="C11178" t="str">
        <f t="shared" si="2419"/>
        <v>93201250</v>
      </c>
      <c r="D11178" t="str">
        <f t="shared" si="2420"/>
        <v>801</v>
      </c>
      <c r="E11178" t="str">
        <f t="shared" si="2417"/>
        <v>89301212</v>
      </c>
      <c r="F11178" t="str">
        <f>"520131350"</f>
        <v>520131350</v>
      </c>
      <c r="G11178" s="1">
        <v>44883</v>
      </c>
      <c r="H11178" t="str">
        <f>"81621"</f>
        <v>81621</v>
      </c>
      <c r="I11178">
        <v>1</v>
      </c>
      <c r="J11178">
        <v>19</v>
      </c>
      <c r="K11178">
        <v>0</v>
      </c>
      <c r="L11178">
        <v>14.82</v>
      </c>
    </row>
    <row r="11179" spans="1:12" x14ac:dyDescent="0.25">
      <c r="A11179" t="str">
        <f t="shared" si="2415"/>
        <v>89301000</v>
      </c>
      <c r="B11179" t="str">
        <f t="shared" si="2418"/>
        <v>93201000</v>
      </c>
      <c r="C11179" t="str">
        <f t="shared" si="2419"/>
        <v>93201250</v>
      </c>
      <c r="D11179" t="str">
        <f t="shared" si="2420"/>
        <v>801</v>
      </c>
      <c r="E11179" t="str">
        <f t="shared" ref="E11179:E11198" si="2421">"89301167"</f>
        <v>89301167</v>
      </c>
      <c r="F11179" t="str">
        <f t="shared" ref="F11179:F11195" si="2422">"7657065790"</f>
        <v>7657065790</v>
      </c>
      <c r="G11179" s="1">
        <v>44890</v>
      </c>
      <c r="H11179" t="str">
        <f>"97111"</f>
        <v>97111</v>
      </c>
      <c r="I11179">
        <v>1</v>
      </c>
      <c r="J11179">
        <v>18</v>
      </c>
      <c r="K11179">
        <v>0</v>
      </c>
      <c r="L11179">
        <v>14.04</v>
      </c>
    </row>
    <row r="11180" spans="1:12" x14ac:dyDescent="0.25">
      <c r="A11180" t="str">
        <f t="shared" si="2415"/>
        <v>89301000</v>
      </c>
      <c r="B11180" t="str">
        <f t="shared" si="2418"/>
        <v>93201000</v>
      </c>
      <c r="C11180" t="str">
        <f t="shared" si="2419"/>
        <v>93201250</v>
      </c>
      <c r="D11180" t="str">
        <f t="shared" si="2420"/>
        <v>801</v>
      </c>
      <c r="E11180" t="str">
        <f t="shared" si="2421"/>
        <v>89301167</v>
      </c>
      <c r="F11180" t="str">
        <f t="shared" si="2422"/>
        <v>7657065790</v>
      </c>
      <c r="G11180" s="1">
        <v>44890</v>
      </c>
      <c r="H11180" t="str">
        <f>"81625"</f>
        <v>81625</v>
      </c>
      <c r="I11180">
        <v>1</v>
      </c>
      <c r="J11180">
        <v>20</v>
      </c>
      <c r="K11180">
        <v>0</v>
      </c>
      <c r="L11180">
        <v>15.6</v>
      </c>
    </row>
    <row r="11181" spans="1:12" x14ac:dyDescent="0.25">
      <c r="A11181" t="str">
        <f t="shared" si="2415"/>
        <v>89301000</v>
      </c>
      <c r="B11181" t="str">
        <f t="shared" si="2418"/>
        <v>93201000</v>
      </c>
      <c r="C11181" t="str">
        <f t="shared" si="2419"/>
        <v>93201250</v>
      </c>
      <c r="D11181" t="str">
        <f t="shared" si="2420"/>
        <v>801</v>
      </c>
      <c r="E11181" t="str">
        <f t="shared" si="2421"/>
        <v>89301167</v>
      </c>
      <c r="F11181" t="str">
        <f t="shared" si="2422"/>
        <v>7657065790</v>
      </c>
      <c r="G11181" s="1">
        <v>44890</v>
      </c>
      <c r="H11181" t="str">
        <f>"81469"</f>
        <v>81469</v>
      </c>
      <c r="I11181">
        <v>1</v>
      </c>
      <c r="J11181">
        <v>16</v>
      </c>
      <c r="K11181">
        <v>0</v>
      </c>
      <c r="L11181">
        <v>12.48</v>
      </c>
    </row>
    <row r="11182" spans="1:12" x14ac:dyDescent="0.25">
      <c r="A11182" t="str">
        <f t="shared" si="2415"/>
        <v>89301000</v>
      </c>
      <c r="B11182" t="str">
        <f t="shared" si="2418"/>
        <v>93201000</v>
      </c>
      <c r="C11182" t="str">
        <f t="shared" si="2419"/>
        <v>93201250</v>
      </c>
      <c r="D11182" t="str">
        <f t="shared" si="2420"/>
        <v>801</v>
      </c>
      <c r="E11182" t="str">
        <f t="shared" si="2421"/>
        <v>89301167</v>
      </c>
      <c r="F11182" t="str">
        <f t="shared" si="2422"/>
        <v>7657065790</v>
      </c>
      <c r="G11182" s="1">
        <v>44890</v>
      </c>
      <c r="H11182" t="str">
        <f>"81249"</f>
        <v>81249</v>
      </c>
      <c r="I11182">
        <v>1</v>
      </c>
      <c r="J11182">
        <v>333</v>
      </c>
      <c r="K11182">
        <v>0</v>
      </c>
      <c r="L11182">
        <v>259.74</v>
      </c>
    </row>
    <row r="11183" spans="1:12" x14ac:dyDescent="0.25">
      <c r="A11183" t="str">
        <f t="shared" si="2415"/>
        <v>89301000</v>
      </c>
      <c r="B11183" t="str">
        <f t="shared" si="2418"/>
        <v>93201000</v>
      </c>
      <c r="C11183" t="str">
        <f t="shared" si="2419"/>
        <v>93201250</v>
      </c>
      <c r="D11183" t="str">
        <f t="shared" si="2420"/>
        <v>801</v>
      </c>
      <c r="E11183" t="str">
        <f t="shared" si="2421"/>
        <v>89301167</v>
      </c>
      <c r="F11183" t="str">
        <f t="shared" si="2422"/>
        <v>7657065790</v>
      </c>
      <c r="G11183" s="1">
        <v>44890</v>
      </c>
      <c r="H11183" t="str">
        <f>"81393"</f>
        <v>81393</v>
      </c>
      <c r="I11183">
        <v>1</v>
      </c>
      <c r="J11183">
        <v>24</v>
      </c>
      <c r="K11183">
        <v>0</v>
      </c>
      <c r="L11183">
        <v>18.72</v>
      </c>
    </row>
    <row r="11184" spans="1:12" x14ac:dyDescent="0.25">
      <c r="A11184" t="str">
        <f t="shared" si="2415"/>
        <v>89301000</v>
      </c>
      <c r="B11184" t="str">
        <f t="shared" si="2418"/>
        <v>93201000</v>
      </c>
      <c r="C11184" t="str">
        <f t="shared" si="2419"/>
        <v>93201250</v>
      </c>
      <c r="D11184" t="str">
        <f t="shared" si="2420"/>
        <v>801</v>
      </c>
      <c r="E11184" t="str">
        <f t="shared" si="2421"/>
        <v>89301167</v>
      </c>
      <c r="F11184" t="str">
        <f t="shared" si="2422"/>
        <v>7657065790</v>
      </c>
      <c r="G11184" s="1">
        <v>44890</v>
      </c>
      <c r="H11184" t="str">
        <f>"81593"</f>
        <v>81593</v>
      </c>
      <c r="I11184">
        <v>1</v>
      </c>
      <c r="J11184">
        <v>22</v>
      </c>
      <c r="K11184">
        <v>0</v>
      </c>
      <c r="L11184">
        <v>17.16</v>
      </c>
    </row>
    <row r="11185" spans="1:12" x14ac:dyDescent="0.25">
      <c r="A11185" t="str">
        <f t="shared" si="2415"/>
        <v>89301000</v>
      </c>
      <c r="B11185" t="str">
        <f t="shared" si="2418"/>
        <v>93201000</v>
      </c>
      <c r="C11185" t="str">
        <f t="shared" si="2419"/>
        <v>93201250</v>
      </c>
      <c r="D11185" t="str">
        <f t="shared" si="2420"/>
        <v>801</v>
      </c>
      <c r="E11185" t="str">
        <f t="shared" si="2421"/>
        <v>89301167</v>
      </c>
      <c r="F11185" t="str">
        <f t="shared" si="2422"/>
        <v>7657065790</v>
      </c>
      <c r="G11185" s="1">
        <v>44890</v>
      </c>
      <c r="H11185" t="str">
        <f>"93189"</f>
        <v>93189</v>
      </c>
      <c r="I11185">
        <v>1</v>
      </c>
      <c r="J11185">
        <v>189</v>
      </c>
      <c r="K11185">
        <v>0</v>
      </c>
      <c r="L11185">
        <v>147.41999999999999</v>
      </c>
    </row>
    <row r="11186" spans="1:12" x14ac:dyDescent="0.25">
      <c r="A11186" t="str">
        <f t="shared" si="2415"/>
        <v>89301000</v>
      </c>
      <c r="B11186" t="str">
        <f t="shared" si="2418"/>
        <v>93201000</v>
      </c>
      <c r="C11186" t="str">
        <f t="shared" si="2419"/>
        <v>93201250</v>
      </c>
      <c r="D11186" t="str">
        <f t="shared" si="2420"/>
        <v>801</v>
      </c>
      <c r="E11186" t="str">
        <f t="shared" si="2421"/>
        <v>89301167</v>
      </c>
      <c r="F11186" t="str">
        <f t="shared" si="2422"/>
        <v>7657065790</v>
      </c>
      <c r="G11186" s="1">
        <v>44890</v>
      </c>
      <c r="H11186" t="str">
        <f>"93195"</f>
        <v>93195</v>
      </c>
      <c r="I11186">
        <v>1</v>
      </c>
      <c r="J11186">
        <v>181</v>
      </c>
      <c r="K11186">
        <v>0</v>
      </c>
      <c r="L11186">
        <v>141.18</v>
      </c>
    </row>
    <row r="11187" spans="1:12" x14ac:dyDescent="0.25">
      <c r="A11187" t="str">
        <f t="shared" si="2415"/>
        <v>89301000</v>
      </c>
      <c r="B11187" t="str">
        <f t="shared" si="2418"/>
        <v>93201000</v>
      </c>
      <c r="C11187" t="str">
        <f t="shared" si="2419"/>
        <v>93201250</v>
      </c>
      <c r="D11187" t="str">
        <f t="shared" si="2420"/>
        <v>801</v>
      </c>
      <c r="E11187" t="str">
        <f t="shared" si="2421"/>
        <v>89301167</v>
      </c>
      <c r="F11187" t="str">
        <f t="shared" si="2422"/>
        <v>7657065790</v>
      </c>
      <c r="G11187" s="1">
        <v>44890</v>
      </c>
      <c r="H11187" t="str">
        <f>"81329"</f>
        <v>81329</v>
      </c>
      <c r="I11187">
        <v>1</v>
      </c>
      <c r="J11187">
        <v>16</v>
      </c>
      <c r="K11187">
        <v>0</v>
      </c>
      <c r="L11187">
        <v>12.48</v>
      </c>
    </row>
    <row r="11188" spans="1:12" x14ac:dyDescent="0.25">
      <c r="A11188" t="str">
        <f t="shared" si="2415"/>
        <v>89301000</v>
      </c>
      <c r="B11188" t="str">
        <f t="shared" si="2418"/>
        <v>93201000</v>
      </c>
      <c r="C11188" t="str">
        <f t="shared" si="2419"/>
        <v>93201250</v>
      </c>
      <c r="D11188" t="str">
        <f t="shared" si="2420"/>
        <v>801</v>
      </c>
      <c r="E11188" t="str">
        <f t="shared" si="2421"/>
        <v>89301167</v>
      </c>
      <c r="F11188" t="str">
        <f t="shared" si="2422"/>
        <v>7657065790</v>
      </c>
      <c r="G11188" s="1">
        <v>44890</v>
      </c>
      <c r="H11188" t="str">
        <f>"81421"</f>
        <v>81421</v>
      </c>
      <c r="I11188">
        <v>1</v>
      </c>
      <c r="J11188">
        <v>19</v>
      </c>
      <c r="K11188">
        <v>0</v>
      </c>
      <c r="L11188">
        <v>14.82</v>
      </c>
    </row>
    <row r="11189" spans="1:12" x14ac:dyDescent="0.25">
      <c r="A11189" t="str">
        <f t="shared" si="2415"/>
        <v>89301000</v>
      </c>
      <c r="B11189" t="str">
        <f t="shared" si="2418"/>
        <v>93201000</v>
      </c>
      <c r="C11189" t="str">
        <f t="shared" si="2419"/>
        <v>93201250</v>
      </c>
      <c r="D11189" t="str">
        <f t="shared" si="2420"/>
        <v>801</v>
      </c>
      <c r="E11189" t="str">
        <f t="shared" si="2421"/>
        <v>89301167</v>
      </c>
      <c r="F11189" t="str">
        <f t="shared" si="2422"/>
        <v>7657065790</v>
      </c>
      <c r="G11189" s="1">
        <v>44890</v>
      </c>
      <c r="H11189" t="str">
        <f>"81337"</f>
        <v>81337</v>
      </c>
      <c r="I11189">
        <v>1</v>
      </c>
      <c r="J11189">
        <v>19</v>
      </c>
      <c r="K11189">
        <v>0</v>
      </c>
      <c r="L11189">
        <v>14.82</v>
      </c>
    </row>
    <row r="11190" spans="1:12" x14ac:dyDescent="0.25">
      <c r="A11190" t="str">
        <f t="shared" si="2415"/>
        <v>89301000</v>
      </c>
      <c r="B11190" t="str">
        <f t="shared" si="2418"/>
        <v>93201000</v>
      </c>
      <c r="C11190" t="str">
        <f t="shared" si="2419"/>
        <v>93201250</v>
      </c>
      <c r="D11190" t="str">
        <f t="shared" si="2420"/>
        <v>801</v>
      </c>
      <c r="E11190" t="str">
        <f t="shared" si="2421"/>
        <v>89301167</v>
      </c>
      <c r="F11190" t="str">
        <f t="shared" si="2422"/>
        <v>7657065790</v>
      </c>
      <c r="G11190" s="1">
        <v>44890</v>
      </c>
      <c r="H11190" t="str">
        <f>"81357"</f>
        <v>81357</v>
      </c>
      <c r="I11190">
        <v>1</v>
      </c>
      <c r="J11190">
        <v>19</v>
      </c>
      <c r="K11190">
        <v>0</v>
      </c>
      <c r="L11190">
        <v>14.82</v>
      </c>
    </row>
    <row r="11191" spans="1:12" x14ac:dyDescent="0.25">
      <c r="A11191" t="str">
        <f t="shared" si="2415"/>
        <v>89301000</v>
      </c>
      <c r="B11191" t="str">
        <f t="shared" si="2418"/>
        <v>93201000</v>
      </c>
      <c r="C11191" t="str">
        <f t="shared" si="2419"/>
        <v>93201250</v>
      </c>
      <c r="D11191" t="str">
        <f t="shared" si="2420"/>
        <v>801</v>
      </c>
      <c r="E11191" t="str">
        <f t="shared" si="2421"/>
        <v>89301167</v>
      </c>
      <c r="F11191" t="str">
        <f t="shared" si="2422"/>
        <v>7657065790</v>
      </c>
      <c r="G11191" s="1">
        <v>44890</v>
      </c>
      <c r="H11191" t="str">
        <f>"81439"</f>
        <v>81439</v>
      </c>
      <c r="I11191">
        <v>1</v>
      </c>
      <c r="J11191">
        <v>16</v>
      </c>
      <c r="K11191">
        <v>0</v>
      </c>
      <c r="L11191">
        <v>12.48</v>
      </c>
    </row>
    <row r="11192" spans="1:12" x14ac:dyDescent="0.25">
      <c r="A11192" t="str">
        <f t="shared" si="2415"/>
        <v>89301000</v>
      </c>
      <c r="B11192" t="str">
        <f t="shared" si="2418"/>
        <v>93201000</v>
      </c>
      <c r="C11192" t="str">
        <f t="shared" si="2419"/>
        <v>93201250</v>
      </c>
      <c r="D11192" t="str">
        <f t="shared" si="2420"/>
        <v>801</v>
      </c>
      <c r="E11192" t="str">
        <f t="shared" si="2421"/>
        <v>89301167</v>
      </c>
      <c r="F11192" t="str">
        <f t="shared" si="2422"/>
        <v>7657065790</v>
      </c>
      <c r="G11192" s="1">
        <v>44890</v>
      </c>
      <c r="H11192" t="str">
        <f>"81499"</f>
        <v>81499</v>
      </c>
      <c r="I11192">
        <v>1</v>
      </c>
      <c r="J11192">
        <v>18</v>
      </c>
      <c r="K11192">
        <v>0</v>
      </c>
      <c r="L11192">
        <v>14.04</v>
      </c>
    </row>
    <row r="11193" spans="1:12" x14ac:dyDescent="0.25">
      <c r="A11193" t="str">
        <f t="shared" si="2415"/>
        <v>89301000</v>
      </c>
      <c r="B11193" t="str">
        <f t="shared" si="2418"/>
        <v>93201000</v>
      </c>
      <c r="C11193" t="str">
        <f t="shared" si="2419"/>
        <v>93201250</v>
      </c>
      <c r="D11193" t="str">
        <f t="shared" si="2420"/>
        <v>801</v>
      </c>
      <c r="E11193" t="str">
        <f t="shared" si="2421"/>
        <v>89301167</v>
      </c>
      <c r="F11193" t="str">
        <f t="shared" si="2422"/>
        <v>7657065790</v>
      </c>
      <c r="G11193" s="1">
        <v>44890</v>
      </c>
      <c r="H11193" t="str">
        <f>"81435"</f>
        <v>81435</v>
      </c>
      <c r="I11193">
        <v>1</v>
      </c>
      <c r="J11193">
        <v>22</v>
      </c>
      <c r="K11193">
        <v>0</v>
      </c>
      <c r="L11193">
        <v>17.16</v>
      </c>
    </row>
    <row r="11194" spans="1:12" x14ac:dyDescent="0.25">
      <c r="A11194" t="str">
        <f t="shared" si="2415"/>
        <v>89301000</v>
      </c>
      <c r="B11194" t="str">
        <f t="shared" si="2418"/>
        <v>93201000</v>
      </c>
      <c r="C11194" t="str">
        <f t="shared" si="2419"/>
        <v>93201250</v>
      </c>
      <c r="D11194" t="str">
        <f t="shared" si="2420"/>
        <v>801</v>
      </c>
      <c r="E11194" t="str">
        <f t="shared" si="2421"/>
        <v>89301167</v>
      </c>
      <c r="F11194" t="str">
        <f t="shared" si="2422"/>
        <v>7657065790</v>
      </c>
      <c r="G11194" s="1">
        <v>44890</v>
      </c>
      <c r="H11194" t="str">
        <f>"81365"</f>
        <v>81365</v>
      </c>
      <c r="I11194">
        <v>1</v>
      </c>
      <c r="J11194">
        <v>16</v>
      </c>
      <c r="K11194">
        <v>0</v>
      </c>
      <c r="L11194">
        <v>12.48</v>
      </c>
    </row>
    <row r="11195" spans="1:12" x14ac:dyDescent="0.25">
      <c r="A11195" t="str">
        <f t="shared" si="2415"/>
        <v>89301000</v>
      </c>
      <c r="B11195" t="str">
        <f t="shared" si="2418"/>
        <v>93201000</v>
      </c>
      <c r="C11195" t="str">
        <f t="shared" si="2419"/>
        <v>93201250</v>
      </c>
      <c r="D11195" t="str">
        <f t="shared" si="2420"/>
        <v>801</v>
      </c>
      <c r="E11195" t="str">
        <f t="shared" si="2421"/>
        <v>89301167</v>
      </c>
      <c r="F11195" t="str">
        <f t="shared" si="2422"/>
        <v>7657065790</v>
      </c>
      <c r="G11195" s="1">
        <v>44890</v>
      </c>
      <c r="H11195" t="str">
        <f>"81621"</f>
        <v>81621</v>
      </c>
      <c r="I11195">
        <v>1</v>
      </c>
      <c r="J11195">
        <v>19</v>
      </c>
      <c r="K11195">
        <v>0</v>
      </c>
      <c r="L11195">
        <v>14.82</v>
      </c>
    </row>
    <row r="11196" spans="1:12" x14ac:dyDescent="0.25">
      <c r="A11196" t="str">
        <f t="shared" si="2415"/>
        <v>89301000</v>
      </c>
      <c r="B11196" t="str">
        <f t="shared" si="2418"/>
        <v>93201000</v>
      </c>
      <c r="C11196" t="str">
        <f>"93201130"</f>
        <v>93201130</v>
      </c>
      <c r="D11196" t="str">
        <f>"818"</f>
        <v>818</v>
      </c>
      <c r="E11196" t="str">
        <f t="shared" si="2421"/>
        <v>89301167</v>
      </c>
      <c r="F11196" t="str">
        <f>"6003120068"</f>
        <v>6003120068</v>
      </c>
      <c r="G11196" s="1">
        <v>44872</v>
      </c>
      <c r="H11196" t="str">
        <f>"96167"</f>
        <v>96167</v>
      </c>
      <c r="I11196">
        <v>1</v>
      </c>
      <c r="J11196">
        <v>67</v>
      </c>
      <c r="K11196">
        <v>0</v>
      </c>
      <c r="L11196">
        <v>60.97</v>
      </c>
    </row>
    <row r="11197" spans="1:12" x14ac:dyDescent="0.25">
      <c r="A11197" t="str">
        <f t="shared" si="2415"/>
        <v>89301000</v>
      </c>
      <c r="B11197" t="str">
        <f t="shared" si="2418"/>
        <v>93201000</v>
      </c>
      <c r="C11197" t="str">
        <f>"93201130"</f>
        <v>93201130</v>
      </c>
      <c r="D11197" t="str">
        <f>"818"</f>
        <v>818</v>
      </c>
      <c r="E11197" t="str">
        <f t="shared" si="2421"/>
        <v>89301167</v>
      </c>
      <c r="F11197" t="str">
        <f>"7657065790"</f>
        <v>7657065790</v>
      </c>
      <c r="G11197" s="1">
        <v>44890</v>
      </c>
      <c r="H11197" t="str">
        <f>"96167"</f>
        <v>96167</v>
      </c>
      <c r="I11197">
        <v>1</v>
      </c>
      <c r="J11197">
        <v>67</v>
      </c>
      <c r="K11197">
        <v>0</v>
      </c>
      <c r="L11197">
        <v>60.97</v>
      </c>
    </row>
    <row r="11198" spans="1:12" x14ac:dyDescent="0.25">
      <c r="A11198" t="str">
        <f t="shared" si="2415"/>
        <v>89301000</v>
      </c>
      <c r="B11198" t="str">
        <f t="shared" si="2418"/>
        <v>93201000</v>
      </c>
      <c r="C11198" t="str">
        <f>"93201012"</f>
        <v>93201012</v>
      </c>
      <c r="D11198" t="str">
        <f>"813"</f>
        <v>813</v>
      </c>
      <c r="E11198" t="str">
        <f t="shared" si="2421"/>
        <v>89301167</v>
      </c>
      <c r="F11198" t="str">
        <f>"7657065790"</f>
        <v>7657065790</v>
      </c>
      <c r="G11198" s="1">
        <v>44890</v>
      </c>
      <c r="H11198" t="str">
        <f>"91153"</f>
        <v>91153</v>
      </c>
      <c r="I11198">
        <v>1</v>
      </c>
      <c r="J11198">
        <v>152</v>
      </c>
      <c r="K11198">
        <v>0</v>
      </c>
      <c r="L11198">
        <v>118.56</v>
      </c>
    </row>
    <row r="11199" spans="1:12" x14ac:dyDescent="0.25">
      <c r="A11199" t="str">
        <f t="shared" si="2415"/>
        <v>89301000</v>
      </c>
      <c r="B11199" t="str">
        <f t="shared" si="2418"/>
        <v>93201000</v>
      </c>
      <c r="C11199" t="str">
        <f t="shared" ref="C11199:C11207" si="2423">"93201350"</f>
        <v>93201350</v>
      </c>
      <c r="D11199" t="str">
        <f t="shared" ref="D11199:D11207" si="2424">"809"</f>
        <v>809</v>
      </c>
      <c r="E11199" t="str">
        <f>"89301036"</f>
        <v>89301036</v>
      </c>
      <c r="F11199" t="str">
        <f>"8656305823"</f>
        <v>8656305823</v>
      </c>
      <c r="G11199" s="1">
        <v>44889</v>
      </c>
      <c r="H11199" t="str">
        <f>"89517"</f>
        <v>89517</v>
      </c>
      <c r="I11199">
        <v>1</v>
      </c>
      <c r="J11199">
        <v>970</v>
      </c>
      <c r="K11199">
        <v>0</v>
      </c>
      <c r="L11199">
        <v>1358</v>
      </c>
    </row>
    <row r="11200" spans="1:12" x14ac:dyDescent="0.25">
      <c r="A11200" t="str">
        <f t="shared" si="2415"/>
        <v>89301000</v>
      </c>
      <c r="B11200" t="str">
        <f t="shared" si="2418"/>
        <v>93201000</v>
      </c>
      <c r="C11200" t="str">
        <f t="shared" si="2423"/>
        <v>93201350</v>
      </c>
      <c r="D11200" t="str">
        <f t="shared" si="2424"/>
        <v>809</v>
      </c>
      <c r="E11200" t="str">
        <f>"89301132"</f>
        <v>89301132</v>
      </c>
      <c r="F11200" t="str">
        <f>"6054140884"</f>
        <v>6054140884</v>
      </c>
      <c r="G11200" s="1">
        <v>44880</v>
      </c>
      <c r="H11200" t="str">
        <f>"89615"</f>
        <v>89615</v>
      </c>
      <c r="I11200">
        <v>1</v>
      </c>
      <c r="J11200">
        <v>2170</v>
      </c>
      <c r="K11200">
        <v>0</v>
      </c>
      <c r="L11200">
        <v>1302</v>
      </c>
    </row>
    <row r="11201" spans="1:12" x14ac:dyDescent="0.25">
      <c r="A11201" t="str">
        <f t="shared" si="2415"/>
        <v>89301000</v>
      </c>
      <c r="B11201" t="str">
        <f t="shared" si="2418"/>
        <v>93201000</v>
      </c>
      <c r="C11201" t="str">
        <f t="shared" si="2423"/>
        <v>93201350</v>
      </c>
      <c r="D11201" t="str">
        <f t="shared" si="2424"/>
        <v>809</v>
      </c>
      <c r="E11201" t="str">
        <f t="shared" ref="E11201:E11206" si="2425">"89301212"</f>
        <v>89301212</v>
      </c>
      <c r="F11201" t="str">
        <f>"415513460"</f>
        <v>415513460</v>
      </c>
      <c r="G11201" s="1">
        <v>44876</v>
      </c>
      <c r="H11201" t="str">
        <f>"89617"</f>
        <v>89617</v>
      </c>
      <c r="I11201">
        <v>1</v>
      </c>
      <c r="J11201">
        <v>1332</v>
      </c>
      <c r="K11201">
        <v>0</v>
      </c>
      <c r="L11201">
        <v>799.2</v>
      </c>
    </row>
    <row r="11202" spans="1:12" x14ac:dyDescent="0.25">
      <c r="A11202" t="str">
        <f t="shared" ref="A11202:A11265" si="2426">"89301000"</f>
        <v>89301000</v>
      </c>
      <c r="B11202" t="str">
        <f t="shared" si="2418"/>
        <v>93201000</v>
      </c>
      <c r="C11202" t="str">
        <f t="shared" si="2423"/>
        <v>93201350</v>
      </c>
      <c r="D11202" t="str">
        <f t="shared" si="2424"/>
        <v>809</v>
      </c>
      <c r="E11202" t="str">
        <f t="shared" si="2425"/>
        <v>89301212</v>
      </c>
      <c r="F11202" t="str">
        <f>"415513460"</f>
        <v>415513460</v>
      </c>
      <c r="G11202" s="1">
        <v>44876</v>
      </c>
      <c r="H11202" t="str">
        <f>"89619"</f>
        <v>89619</v>
      </c>
      <c r="I11202">
        <v>1</v>
      </c>
      <c r="J11202">
        <v>1210</v>
      </c>
      <c r="K11202">
        <v>0</v>
      </c>
      <c r="L11202">
        <v>726</v>
      </c>
    </row>
    <row r="11203" spans="1:12" x14ac:dyDescent="0.25">
      <c r="A11203" t="str">
        <f t="shared" si="2426"/>
        <v>89301000</v>
      </c>
      <c r="B11203" t="str">
        <f t="shared" si="2418"/>
        <v>93201000</v>
      </c>
      <c r="C11203" t="str">
        <f t="shared" si="2423"/>
        <v>93201350</v>
      </c>
      <c r="D11203" t="str">
        <f t="shared" si="2424"/>
        <v>809</v>
      </c>
      <c r="E11203" t="str">
        <f t="shared" si="2425"/>
        <v>89301212</v>
      </c>
      <c r="F11203" t="str">
        <f>"415513460"</f>
        <v>415513460</v>
      </c>
      <c r="G11203" s="1">
        <v>44876</v>
      </c>
      <c r="H11203" t="str">
        <f>"0096278"</f>
        <v>0096278</v>
      </c>
      <c r="I11203">
        <v>3.2000000000000001E-2</v>
      </c>
      <c r="K11203">
        <v>622.25</v>
      </c>
      <c r="L11203">
        <v>622.25</v>
      </c>
    </row>
    <row r="11204" spans="1:12" x14ac:dyDescent="0.25">
      <c r="A11204" t="str">
        <f t="shared" si="2426"/>
        <v>89301000</v>
      </c>
      <c r="B11204" t="str">
        <f t="shared" si="2418"/>
        <v>93201000</v>
      </c>
      <c r="C11204" t="str">
        <f t="shared" si="2423"/>
        <v>93201350</v>
      </c>
      <c r="D11204" t="str">
        <f t="shared" si="2424"/>
        <v>809</v>
      </c>
      <c r="E11204" t="str">
        <f t="shared" si="2425"/>
        <v>89301212</v>
      </c>
      <c r="F11204" t="str">
        <f>"475822490"</f>
        <v>475822490</v>
      </c>
      <c r="G11204" s="1">
        <v>44890</v>
      </c>
      <c r="H11204" t="str">
        <f>"89512"</f>
        <v>89512</v>
      </c>
      <c r="I11204">
        <v>1</v>
      </c>
      <c r="J11204">
        <v>277</v>
      </c>
      <c r="K11204">
        <v>0</v>
      </c>
      <c r="L11204">
        <v>387.8</v>
      </c>
    </row>
    <row r="11205" spans="1:12" x14ac:dyDescent="0.25">
      <c r="A11205" t="str">
        <f t="shared" si="2426"/>
        <v>89301000</v>
      </c>
      <c r="B11205" t="str">
        <f t="shared" si="2418"/>
        <v>93201000</v>
      </c>
      <c r="C11205" t="str">
        <f t="shared" si="2423"/>
        <v>93201350</v>
      </c>
      <c r="D11205" t="str">
        <f t="shared" si="2424"/>
        <v>809</v>
      </c>
      <c r="E11205" t="str">
        <f t="shared" si="2425"/>
        <v>89301212</v>
      </c>
      <c r="F11205" t="str">
        <f>"475822490"</f>
        <v>475822490</v>
      </c>
      <c r="G11205" s="1">
        <v>44890</v>
      </c>
      <c r="H11205" t="str">
        <f>"89180"</f>
        <v>89180</v>
      </c>
      <c r="I11205">
        <v>2</v>
      </c>
      <c r="J11205">
        <v>752</v>
      </c>
      <c r="K11205">
        <v>0</v>
      </c>
      <c r="L11205">
        <v>1052.8</v>
      </c>
    </row>
    <row r="11206" spans="1:12" x14ac:dyDescent="0.25">
      <c r="A11206" t="str">
        <f t="shared" si="2426"/>
        <v>89301000</v>
      </c>
      <c r="B11206" t="str">
        <f t="shared" si="2418"/>
        <v>93201000</v>
      </c>
      <c r="C11206" t="str">
        <f t="shared" si="2423"/>
        <v>93201350</v>
      </c>
      <c r="D11206" t="str">
        <f t="shared" si="2424"/>
        <v>809</v>
      </c>
      <c r="E11206" t="str">
        <f t="shared" si="2425"/>
        <v>89301212</v>
      </c>
      <c r="F11206" t="str">
        <f>"7253095773"</f>
        <v>7253095773</v>
      </c>
      <c r="G11206" s="1">
        <v>44883</v>
      </c>
      <c r="H11206" t="str">
        <f>"89512"</f>
        <v>89512</v>
      </c>
      <c r="I11206">
        <v>1</v>
      </c>
      <c r="J11206">
        <v>277</v>
      </c>
      <c r="K11206">
        <v>0</v>
      </c>
      <c r="L11206">
        <v>387.8</v>
      </c>
    </row>
    <row r="11207" spans="1:12" x14ac:dyDescent="0.25">
      <c r="A11207" t="str">
        <f t="shared" si="2426"/>
        <v>89301000</v>
      </c>
      <c r="B11207" t="str">
        <f t="shared" si="2418"/>
        <v>93201000</v>
      </c>
      <c r="C11207" t="str">
        <f t="shared" si="2423"/>
        <v>93201350</v>
      </c>
      <c r="D11207" t="str">
        <f t="shared" si="2424"/>
        <v>809</v>
      </c>
      <c r="E11207" t="str">
        <f>"89301215"</f>
        <v>89301215</v>
      </c>
      <c r="F11207" t="str">
        <f>"7555215767"</f>
        <v>7555215767</v>
      </c>
      <c r="G11207" s="1">
        <v>44874</v>
      </c>
      <c r="H11207" t="str">
        <f>"89180"</f>
        <v>89180</v>
      </c>
      <c r="I11207">
        <v>2</v>
      </c>
      <c r="J11207">
        <v>752</v>
      </c>
      <c r="K11207">
        <v>0</v>
      </c>
      <c r="L11207">
        <v>1052.8</v>
      </c>
    </row>
    <row r="11208" spans="1:12" x14ac:dyDescent="0.25">
      <c r="A11208" t="str">
        <f t="shared" si="2426"/>
        <v>89301000</v>
      </c>
      <c r="B11208" t="str">
        <f t="shared" si="2418"/>
        <v>93201000</v>
      </c>
      <c r="C11208" t="str">
        <f>"93201355"</f>
        <v>93201355</v>
      </c>
      <c r="D11208" t="str">
        <f t="shared" ref="D11208:D11214" si="2427">"810"</f>
        <v>810</v>
      </c>
      <c r="E11208" t="str">
        <f>"89301062"</f>
        <v>89301062</v>
      </c>
      <c r="F11208" t="str">
        <f>"9256176171"</f>
        <v>9256176171</v>
      </c>
      <c r="G11208" s="1">
        <v>44890</v>
      </c>
      <c r="H11208" t="str">
        <f>"89713"</f>
        <v>89713</v>
      </c>
      <c r="I11208">
        <v>1</v>
      </c>
      <c r="J11208">
        <v>5362</v>
      </c>
      <c r="K11208">
        <v>0</v>
      </c>
      <c r="L11208">
        <v>3217.2</v>
      </c>
    </row>
    <row r="11209" spans="1:12" x14ac:dyDescent="0.25">
      <c r="A11209" t="str">
        <f t="shared" si="2426"/>
        <v>89301000</v>
      </c>
      <c r="B11209" t="str">
        <f t="shared" si="2418"/>
        <v>93201000</v>
      </c>
      <c r="C11209" t="str">
        <f>"93201355"</f>
        <v>93201355</v>
      </c>
      <c r="D11209" t="str">
        <f t="shared" si="2427"/>
        <v>810</v>
      </c>
      <c r="E11209" t="str">
        <f>"89301062"</f>
        <v>89301062</v>
      </c>
      <c r="F11209" t="str">
        <f>"0404106142"</f>
        <v>0404106142</v>
      </c>
      <c r="G11209" s="1">
        <v>44868</v>
      </c>
      <c r="H11209" t="str">
        <f>"89713"</f>
        <v>89713</v>
      </c>
      <c r="I11209">
        <v>1</v>
      </c>
      <c r="J11209">
        <v>5362</v>
      </c>
      <c r="K11209">
        <v>0</v>
      </c>
      <c r="L11209">
        <v>3217.2</v>
      </c>
    </row>
    <row r="11210" spans="1:12" x14ac:dyDescent="0.25">
      <c r="A11210" t="str">
        <f t="shared" si="2426"/>
        <v>89301000</v>
      </c>
      <c r="B11210" t="str">
        <f t="shared" si="2418"/>
        <v>93201000</v>
      </c>
      <c r="C11210" t="str">
        <f>"93201355"</f>
        <v>93201355</v>
      </c>
      <c r="D11210" t="str">
        <f t="shared" si="2427"/>
        <v>810</v>
      </c>
      <c r="E11210" t="str">
        <f>"89301062"</f>
        <v>89301062</v>
      </c>
      <c r="F11210" t="str">
        <f>"8455025755"</f>
        <v>8455025755</v>
      </c>
      <c r="G11210" s="1">
        <v>44887</v>
      </c>
      <c r="H11210" t="str">
        <f>"89713"</f>
        <v>89713</v>
      </c>
      <c r="I11210">
        <v>1</v>
      </c>
      <c r="J11210">
        <v>5362</v>
      </c>
      <c r="K11210">
        <v>0</v>
      </c>
      <c r="L11210">
        <v>3217.2</v>
      </c>
    </row>
    <row r="11211" spans="1:12" x14ac:dyDescent="0.25">
      <c r="A11211" t="str">
        <f t="shared" si="2426"/>
        <v>89301000</v>
      </c>
      <c r="B11211" t="str">
        <f>"94102000"</f>
        <v>94102000</v>
      </c>
      <c r="C11211" t="str">
        <f>"94102834"</f>
        <v>94102834</v>
      </c>
      <c r="D11211" t="str">
        <f t="shared" si="2427"/>
        <v>810</v>
      </c>
      <c r="E11211" t="str">
        <f>"89301172"</f>
        <v>89301172</v>
      </c>
      <c r="F11211" t="str">
        <f>"6161181400"</f>
        <v>6161181400</v>
      </c>
      <c r="G11211" s="1">
        <v>44875</v>
      </c>
      <c r="H11211" t="str">
        <f>"89713"</f>
        <v>89713</v>
      </c>
      <c r="I11211">
        <v>1</v>
      </c>
      <c r="J11211">
        <v>5362</v>
      </c>
      <c r="K11211">
        <v>0</v>
      </c>
      <c r="L11211">
        <v>3217.2</v>
      </c>
    </row>
    <row r="11212" spans="1:12" x14ac:dyDescent="0.25">
      <c r="A11212" t="str">
        <f t="shared" si="2426"/>
        <v>89301000</v>
      </c>
      <c r="B11212" t="str">
        <f>"94102000"</f>
        <v>94102000</v>
      </c>
      <c r="C11212" t="str">
        <f>"94102834"</f>
        <v>94102834</v>
      </c>
      <c r="D11212" t="str">
        <f t="shared" si="2427"/>
        <v>810</v>
      </c>
      <c r="E11212" t="str">
        <f>"89301172"</f>
        <v>89301172</v>
      </c>
      <c r="F11212" t="str">
        <f>"6161181400"</f>
        <v>6161181400</v>
      </c>
      <c r="G11212" s="1">
        <v>44875</v>
      </c>
      <c r="H11212" t="str">
        <f>"89725"</f>
        <v>89725</v>
      </c>
      <c r="I11212">
        <v>1</v>
      </c>
      <c r="J11212">
        <v>2839</v>
      </c>
      <c r="K11212">
        <v>0</v>
      </c>
      <c r="L11212">
        <v>1703.4</v>
      </c>
    </row>
    <row r="11213" spans="1:12" x14ac:dyDescent="0.25">
      <c r="A11213" t="str">
        <f t="shared" si="2426"/>
        <v>89301000</v>
      </c>
      <c r="B11213" t="str">
        <f>"94102000"</f>
        <v>94102000</v>
      </c>
      <c r="C11213" t="str">
        <f>"94102834"</f>
        <v>94102834</v>
      </c>
      <c r="D11213" t="str">
        <f t="shared" si="2427"/>
        <v>810</v>
      </c>
      <c r="E11213" t="str">
        <f>"89301172"</f>
        <v>89301172</v>
      </c>
      <c r="F11213" t="str">
        <f>"6161181400"</f>
        <v>6161181400</v>
      </c>
      <c r="G11213" s="1">
        <v>44875</v>
      </c>
      <c r="H11213" t="str">
        <f>"0207746"</f>
        <v>0207746</v>
      </c>
      <c r="I11213">
        <v>0.2</v>
      </c>
      <c r="K11213">
        <v>1727.02</v>
      </c>
      <c r="L11213">
        <v>1727.02</v>
      </c>
    </row>
    <row r="11214" spans="1:12" x14ac:dyDescent="0.25">
      <c r="A11214" t="str">
        <f t="shared" si="2426"/>
        <v>89301000</v>
      </c>
      <c r="B11214" t="str">
        <f>"77001000"</f>
        <v>77001000</v>
      </c>
      <c r="C11214" t="str">
        <f>"77001073"</f>
        <v>77001073</v>
      </c>
      <c r="D11214" t="str">
        <f t="shared" si="2427"/>
        <v>810</v>
      </c>
      <c r="E11214" t="str">
        <f>"89301112"</f>
        <v>89301112</v>
      </c>
      <c r="F11214" t="str">
        <f>"7454034159"</f>
        <v>7454034159</v>
      </c>
      <c r="G11214" s="1">
        <v>44880</v>
      </c>
      <c r="H11214" t="str">
        <f>"89713"</f>
        <v>89713</v>
      </c>
      <c r="I11214">
        <v>1</v>
      </c>
      <c r="J11214">
        <v>5362</v>
      </c>
      <c r="K11214">
        <v>0</v>
      </c>
      <c r="L11214">
        <v>3217.2</v>
      </c>
    </row>
    <row r="11215" spans="1:12" x14ac:dyDescent="0.25">
      <c r="A11215" t="str">
        <f t="shared" si="2426"/>
        <v>89301000</v>
      </c>
      <c r="B11215" t="str">
        <f>"86102000"</f>
        <v>86102000</v>
      </c>
      <c r="C11215" t="str">
        <f>"86102476"</f>
        <v>86102476</v>
      </c>
      <c r="D11215" t="str">
        <f>"801"</f>
        <v>801</v>
      </c>
      <c r="E11215" t="str">
        <f>"89301082"</f>
        <v>89301082</v>
      </c>
      <c r="F11215" t="str">
        <f>"9360255410"</f>
        <v>9360255410</v>
      </c>
      <c r="G11215" s="1">
        <v>44876</v>
      </c>
      <c r="H11215" t="str">
        <f>"09119"</f>
        <v>09119</v>
      </c>
      <c r="I11215">
        <v>1</v>
      </c>
      <c r="J11215">
        <v>42</v>
      </c>
      <c r="K11215">
        <v>0</v>
      </c>
      <c r="L11215">
        <v>32.76</v>
      </c>
    </row>
    <row r="11216" spans="1:12" x14ac:dyDescent="0.25">
      <c r="A11216" t="str">
        <f t="shared" si="2426"/>
        <v>89301000</v>
      </c>
      <c r="B11216" t="str">
        <f>"86102000"</f>
        <v>86102000</v>
      </c>
      <c r="C11216" t="str">
        <f>"86102476"</f>
        <v>86102476</v>
      </c>
      <c r="D11216" t="str">
        <f>"801"</f>
        <v>801</v>
      </c>
      <c r="E11216" t="str">
        <f>"89301082"</f>
        <v>89301082</v>
      </c>
      <c r="F11216" t="str">
        <f>"9360255410"</f>
        <v>9360255410</v>
      </c>
      <c r="G11216" s="1">
        <v>44876</v>
      </c>
      <c r="H11216" t="str">
        <f>"93177"</f>
        <v>93177</v>
      </c>
      <c r="I11216">
        <v>1</v>
      </c>
      <c r="J11216">
        <v>178</v>
      </c>
      <c r="K11216">
        <v>0</v>
      </c>
      <c r="L11216">
        <v>138.84</v>
      </c>
    </row>
    <row r="11217" spans="1:12" x14ac:dyDescent="0.25">
      <c r="A11217" t="str">
        <f t="shared" si="2426"/>
        <v>89301000</v>
      </c>
      <c r="B11217" t="str">
        <f>"86102000"</f>
        <v>86102000</v>
      </c>
      <c r="C11217" t="str">
        <f>"86102476"</f>
        <v>86102476</v>
      </c>
      <c r="D11217" t="str">
        <f>"801"</f>
        <v>801</v>
      </c>
      <c r="E11217" t="str">
        <f>"89301082"</f>
        <v>89301082</v>
      </c>
      <c r="F11217" t="str">
        <f>"9360255410"</f>
        <v>9360255410</v>
      </c>
      <c r="G11217" s="1">
        <v>44876</v>
      </c>
      <c r="H11217" t="str">
        <f>"97111"</f>
        <v>97111</v>
      </c>
      <c r="I11217">
        <v>1</v>
      </c>
      <c r="J11217">
        <v>18</v>
      </c>
      <c r="K11217">
        <v>0</v>
      </c>
      <c r="L11217">
        <v>14.04</v>
      </c>
    </row>
    <row r="11218" spans="1:12" x14ac:dyDescent="0.25">
      <c r="A11218" t="str">
        <f t="shared" si="2426"/>
        <v>89301000</v>
      </c>
      <c r="B11218" t="str">
        <f t="shared" ref="B11218:B11265" si="2428">"10510000"</f>
        <v>10510000</v>
      </c>
      <c r="C11218" t="str">
        <f t="shared" ref="C11218:C11265" si="2429">"10510001"</f>
        <v>10510001</v>
      </c>
      <c r="D11218" t="str">
        <f t="shared" ref="D11218:D11265" si="2430">"802"</f>
        <v>802</v>
      </c>
      <c r="E11218" t="str">
        <f t="shared" ref="E11218:E11238" si="2431">"89301202"</f>
        <v>89301202</v>
      </c>
      <c r="F11218" t="str">
        <f>"2204270750"</f>
        <v>2204270750</v>
      </c>
      <c r="G11218" s="1">
        <v>44868</v>
      </c>
      <c r="H11218" t="str">
        <f>"97111"</f>
        <v>97111</v>
      </c>
      <c r="I11218">
        <v>1</v>
      </c>
      <c r="J11218">
        <v>18</v>
      </c>
      <c r="K11218">
        <v>0</v>
      </c>
      <c r="L11218">
        <v>16.38</v>
      </c>
    </row>
    <row r="11219" spans="1:12" x14ac:dyDescent="0.25">
      <c r="A11219" t="str">
        <f t="shared" si="2426"/>
        <v>89301000</v>
      </c>
      <c r="B11219" t="str">
        <f t="shared" si="2428"/>
        <v>10510000</v>
      </c>
      <c r="C11219" t="str">
        <f t="shared" si="2429"/>
        <v>10510001</v>
      </c>
      <c r="D11219" t="str">
        <f t="shared" si="2430"/>
        <v>802</v>
      </c>
      <c r="E11219" t="str">
        <f t="shared" si="2431"/>
        <v>89301202</v>
      </c>
      <c r="F11219" t="str">
        <f>"2204270750"</f>
        <v>2204270750</v>
      </c>
      <c r="G11219" s="1">
        <v>44869</v>
      </c>
      <c r="H11219" t="str">
        <f>"82113"</f>
        <v>82113</v>
      </c>
      <c r="I11219">
        <v>1</v>
      </c>
      <c r="J11219">
        <v>362</v>
      </c>
      <c r="K11219">
        <v>0</v>
      </c>
      <c r="L11219">
        <v>329.42</v>
      </c>
    </row>
    <row r="11220" spans="1:12" x14ac:dyDescent="0.25">
      <c r="A11220" t="str">
        <f t="shared" si="2426"/>
        <v>89301000</v>
      </c>
      <c r="B11220" t="str">
        <f t="shared" si="2428"/>
        <v>10510000</v>
      </c>
      <c r="C11220" t="str">
        <f t="shared" si="2429"/>
        <v>10510001</v>
      </c>
      <c r="D11220" t="str">
        <f t="shared" si="2430"/>
        <v>802</v>
      </c>
      <c r="E11220" t="str">
        <f t="shared" si="2431"/>
        <v>89301202</v>
      </c>
      <c r="F11220" t="str">
        <f>"2204270750"</f>
        <v>2204270750</v>
      </c>
      <c r="G11220" s="1">
        <v>44869</v>
      </c>
      <c r="H11220" t="str">
        <f>"82079"</f>
        <v>82079</v>
      </c>
      <c r="I11220">
        <v>1</v>
      </c>
      <c r="J11220">
        <v>332</v>
      </c>
      <c r="K11220">
        <v>0</v>
      </c>
      <c r="L11220">
        <v>302.12</v>
      </c>
    </row>
    <row r="11221" spans="1:12" x14ac:dyDescent="0.25">
      <c r="A11221" t="str">
        <f t="shared" si="2426"/>
        <v>89301000</v>
      </c>
      <c r="B11221" t="str">
        <f t="shared" si="2428"/>
        <v>10510000</v>
      </c>
      <c r="C11221" t="str">
        <f t="shared" si="2429"/>
        <v>10510001</v>
      </c>
      <c r="D11221" t="str">
        <f t="shared" si="2430"/>
        <v>802</v>
      </c>
      <c r="E11221" t="str">
        <f t="shared" si="2431"/>
        <v>89301202</v>
      </c>
      <c r="F11221" t="str">
        <f>"2204270750"</f>
        <v>2204270750</v>
      </c>
      <c r="G11221" s="1">
        <v>44869</v>
      </c>
      <c r="H11221" t="str">
        <f>"82145"</f>
        <v>82145</v>
      </c>
      <c r="I11221">
        <v>1</v>
      </c>
      <c r="J11221">
        <v>57</v>
      </c>
      <c r="K11221">
        <v>0</v>
      </c>
      <c r="L11221">
        <v>51.87</v>
      </c>
    </row>
    <row r="11222" spans="1:12" x14ac:dyDescent="0.25">
      <c r="A11222" t="str">
        <f t="shared" si="2426"/>
        <v>89301000</v>
      </c>
      <c r="B11222" t="str">
        <f t="shared" si="2428"/>
        <v>10510000</v>
      </c>
      <c r="C11222" t="str">
        <f t="shared" si="2429"/>
        <v>10510001</v>
      </c>
      <c r="D11222" t="str">
        <f t="shared" si="2430"/>
        <v>802</v>
      </c>
      <c r="E11222" t="str">
        <f t="shared" si="2431"/>
        <v>89301202</v>
      </c>
      <c r="F11222" t="str">
        <f>"2204270750"</f>
        <v>2204270750</v>
      </c>
      <c r="G11222" s="1">
        <v>44869</v>
      </c>
      <c r="H11222" t="str">
        <f>"82111"</f>
        <v>82111</v>
      </c>
      <c r="I11222">
        <v>1</v>
      </c>
      <c r="J11222">
        <v>36</v>
      </c>
      <c r="K11222">
        <v>0</v>
      </c>
      <c r="L11222">
        <v>32.76</v>
      </c>
    </row>
    <row r="11223" spans="1:12" x14ac:dyDescent="0.25">
      <c r="A11223" t="str">
        <f t="shared" si="2426"/>
        <v>89301000</v>
      </c>
      <c r="B11223" t="str">
        <f t="shared" si="2428"/>
        <v>10510000</v>
      </c>
      <c r="C11223" t="str">
        <f t="shared" si="2429"/>
        <v>10510001</v>
      </c>
      <c r="D11223" t="str">
        <f t="shared" si="2430"/>
        <v>802</v>
      </c>
      <c r="E11223" t="str">
        <f t="shared" si="2431"/>
        <v>89301202</v>
      </c>
      <c r="F11223" t="str">
        <f>"2254121870"</f>
        <v>2254121870</v>
      </c>
      <c r="G11223" s="1">
        <v>44869</v>
      </c>
      <c r="H11223" t="str">
        <f>"97111"</f>
        <v>97111</v>
      </c>
      <c r="I11223">
        <v>1</v>
      </c>
      <c r="J11223">
        <v>18</v>
      </c>
      <c r="K11223">
        <v>0</v>
      </c>
      <c r="L11223">
        <v>16.38</v>
      </c>
    </row>
    <row r="11224" spans="1:12" x14ac:dyDescent="0.25">
      <c r="A11224" t="str">
        <f t="shared" si="2426"/>
        <v>89301000</v>
      </c>
      <c r="B11224" t="str">
        <f t="shared" si="2428"/>
        <v>10510000</v>
      </c>
      <c r="C11224" t="str">
        <f t="shared" si="2429"/>
        <v>10510001</v>
      </c>
      <c r="D11224" t="str">
        <f t="shared" si="2430"/>
        <v>802</v>
      </c>
      <c r="E11224" t="str">
        <f t="shared" si="2431"/>
        <v>89301202</v>
      </c>
      <c r="F11224" t="str">
        <f>"2254121870"</f>
        <v>2254121870</v>
      </c>
      <c r="G11224" s="1">
        <v>44872</v>
      </c>
      <c r="H11224" t="str">
        <f>"82113"</f>
        <v>82113</v>
      </c>
      <c r="I11224">
        <v>1</v>
      </c>
      <c r="J11224">
        <v>362</v>
      </c>
      <c r="K11224">
        <v>0</v>
      </c>
      <c r="L11224">
        <v>329.42</v>
      </c>
    </row>
    <row r="11225" spans="1:12" x14ac:dyDescent="0.25">
      <c r="A11225" t="str">
        <f t="shared" si="2426"/>
        <v>89301000</v>
      </c>
      <c r="B11225" t="str">
        <f t="shared" si="2428"/>
        <v>10510000</v>
      </c>
      <c r="C11225" t="str">
        <f t="shared" si="2429"/>
        <v>10510001</v>
      </c>
      <c r="D11225" t="str">
        <f t="shared" si="2430"/>
        <v>802</v>
      </c>
      <c r="E11225" t="str">
        <f t="shared" si="2431"/>
        <v>89301202</v>
      </c>
      <c r="F11225" t="str">
        <f>"2254121870"</f>
        <v>2254121870</v>
      </c>
      <c r="G11225" s="1">
        <v>44872</v>
      </c>
      <c r="H11225" t="str">
        <f>"82079"</f>
        <v>82079</v>
      </c>
      <c r="I11225">
        <v>1</v>
      </c>
      <c r="J11225">
        <v>332</v>
      </c>
      <c r="K11225">
        <v>0</v>
      </c>
      <c r="L11225">
        <v>302.12</v>
      </c>
    </row>
    <row r="11226" spans="1:12" x14ac:dyDescent="0.25">
      <c r="A11226" t="str">
        <f t="shared" si="2426"/>
        <v>89301000</v>
      </c>
      <c r="B11226" t="str">
        <f t="shared" si="2428"/>
        <v>10510000</v>
      </c>
      <c r="C11226" t="str">
        <f t="shared" si="2429"/>
        <v>10510001</v>
      </c>
      <c r="D11226" t="str">
        <f t="shared" si="2430"/>
        <v>802</v>
      </c>
      <c r="E11226" t="str">
        <f t="shared" si="2431"/>
        <v>89301202</v>
      </c>
      <c r="F11226" t="str">
        <f>"2254121870"</f>
        <v>2254121870</v>
      </c>
      <c r="G11226" s="1">
        <v>44872</v>
      </c>
      <c r="H11226" t="str">
        <f>"82145"</f>
        <v>82145</v>
      </c>
      <c r="I11226">
        <v>1</v>
      </c>
      <c r="J11226">
        <v>57</v>
      </c>
      <c r="K11226">
        <v>0</v>
      </c>
      <c r="L11226">
        <v>51.87</v>
      </c>
    </row>
    <row r="11227" spans="1:12" x14ac:dyDescent="0.25">
      <c r="A11227" t="str">
        <f t="shared" si="2426"/>
        <v>89301000</v>
      </c>
      <c r="B11227" t="str">
        <f t="shared" si="2428"/>
        <v>10510000</v>
      </c>
      <c r="C11227" t="str">
        <f t="shared" si="2429"/>
        <v>10510001</v>
      </c>
      <c r="D11227" t="str">
        <f t="shared" si="2430"/>
        <v>802</v>
      </c>
      <c r="E11227" t="str">
        <f t="shared" si="2431"/>
        <v>89301202</v>
      </c>
      <c r="F11227" t="str">
        <f>"2254121870"</f>
        <v>2254121870</v>
      </c>
      <c r="G11227" s="1">
        <v>44872</v>
      </c>
      <c r="H11227" t="str">
        <f>"82111"</f>
        <v>82111</v>
      </c>
      <c r="I11227">
        <v>1</v>
      </c>
      <c r="J11227">
        <v>36</v>
      </c>
      <c r="K11227">
        <v>0</v>
      </c>
      <c r="L11227">
        <v>32.76</v>
      </c>
    </row>
    <row r="11228" spans="1:12" x14ac:dyDescent="0.25">
      <c r="A11228" t="str">
        <f t="shared" si="2426"/>
        <v>89301000</v>
      </c>
      <c r="B11228" t="str">
        <f t="shared" si="2428"/>
        <v>10510000</v>
      </c>
      <c r="C11228" t="str">
        <f t="shared" si="2429"/>
        <v>10510001</v>
      </c>
      <c r="D11228" t="str">
        <f t="shared" si="2430"/>
        <v>802</v>
      </c>
      <c r="E11228" t="str">
        <f t="shared" si="2431"/>
        <v>89301202</v>
      </c>
      <c r="F11228" t="str">
        <f t="shared" ref="F11228:F11233" si="2432">"8711171524"</f>
        <v>8711171524</v>
      </c>
      <c r="G11228" s="1">
        <v>44874</v>
      </c>
      <c r="H11228" t="str">
        <f>"82145"</f>
        <v>82145</v>
      </c>
      <c r="I11228">
        <v>6</v>
      </c>
      <c r="J11228">
        <v>342</v>
      </c>
      <c r="K11228">
        <v>0</v>
      </c>
      <c r="L11228">
        <v>311.22000000000003</v>
      </c>
    </row>
    <row r="11229" spans="1:12" x14ac:dyDescent="0.25">
      <c r="A11229" t="str">
        <f t="shared" si="2426"/>
        <v>89301000</v>
      </c>
      <c r="B11229" t="str">
        <f t="shared" si="2428"/>
        <v>10510000</v>
      </c>
      <c r="C11229" t="str">
        <f t="shared" si="2429"/>
        <v>10510001</v>
      </c>
      <c r="D11229" t="str">
        <f t="shared" si="2430"/>
        <v>802</v>
      </c>
      <c r="E11229" t="str">
        <f t="shared" si="2431"/>
        <v>89301202</v>
      </c>
      <c r="F11229" t="str">
        <f t="shared" si="2432"/>
        <v>8711171524</v>
      </c>
      <c r="G11229" s="1">
        <v>44874</v>
      </c>
      <c r="H11229" t="str">
        <f>"82079"</f>
        <v>82079</v>
      </c>
      <c r="I11229">
        <v>1</v>
      </c>
      <c r="J11229">
        <v>332</v>
      </c>
      <c r="K11229">
        <v>0</v>
      </c>
      <c r="L11229">
        <v>302.12</v>
      </c>
    </row>
    <row r="11230" spans="1:12" x14ac:dyDescent="0.25">
      <c r="A11230" t="str">
        <f t="shared" si="2426"/>
        <v>89301000</v>
      </c>
      <c r="B11230" t="str">
        <f t="shared" si="2428"/>
        <v>10510000</v>
      </c>
      <c r="C11230" t="str">
        <f t="shared" si="2429"/>
        <v>10510001</v>
      </c>
      <c r="D11230" t="str">
        <f t="shared" si="2430"/>
        <v>802</v>
      </c>
      <c r="E11230" t="str">
        <f t="shared" si="2431"/>
        <v>89301202</v>
      </c>
      <c r="F11230" t="str">
        <f t="shared" si="2432"/>
        <v>8711171524</v>
      </c>
      <c r="G11230" s="1">
        <v>44874</v>
      </c>
      <c r="H11230" t="str">
        <f>"82111"</f>
        <v>82111</v>
      </c>
      <c r="I11230">
        <v>1</v>
      </c>
      <c r="J11230">
        <v>36</v>
      </c>
      <c r="K11230">
        <v>0</v>
      </c>
      <c r="L11230">
        <v>32.76</v>
      </c>
    </row>
    <row r="11231" spans="1:12" x14ac:dyDescent="0.25">
      <c r="A11231" t="str">
        <f t="shared" si="2426"/>
        <v>89301000</v>
      </c>
      <c r="B11231" t="str">
        <f t="shared" si="2428"/>
        <v>10510000</v>
      </c>
      <c r="C11231" t="str">
        <f t="shared" si="2429"/>
        <v>10510001</v>
      </c>
      <c r="D11231" t="str">
        <f t="shared" si="2430"/>
        <v>802</v>
      </c>
      <c r="E11231" t="str">
        <f t="shared" si="2431"/>
        <v>89301202</v>
      </c>
      <c r="F11231" t="str">
        <f t="shared" si="2432"/>
        <v>8711171524</v>
      </c>
      <c r="G11231" s="1">
        <v>44874</v>
      </c>
      <c r="H11231" t="str">
        <f>"82113"</f>
        <v>82113</v>
      </c>
      <c r="I11231">
        <v>1</v>
      </c>
      <c r="J11231">
        <v>362</v>
      </c>
      <c r="K11231">
        <v>0</v>
      </c>
      <c r="L11231">
        <v>329.42</v>
      </c>
    </row>
    <row r="11232" spans="1:12" x14ac:dyDescent="0.25">
      <c r="A11232" t="str">
        <f t="shared" si="2426"/>
        <v>89301000</v>
      </c>
      <c r="B11232" t="str">
        <f t="shared" si="2428"/>
        <v>10510000</v>
      </c>
      <c r="C11232" t="str">
        <f t="shared" si="2429"/>
        <v>10510001</v>
      </c>
      <c r="D11232" t="str">
        <f t="shared" si="2430"/>
        <v>802</v>
      </c>
      <c r="E11232" t="str">
        <f t="shared" si="2431"/>
        <v>89301202</v>
      </c>
      <c r="F11232" t="str">
        <f t="shared" si="2432"/>
        <v>8711171524</v>
      </c>
      <c r="G11232" s="1">
        <v>44874</v>
      </c>
      <c r="H11232" t="str">
        <f>"82113"</f>
        <v>82113</v>
      </c>
      <c r="I11232">
        <v>1</v>
      </c>
      <c r="J11232">
        <v>362</v>
      </c>
      <c r="K11232">
        <v>0</v>
      </c>
      <c r="L11232">
        <v>329.42</v>
      </c>
    </row>
    <row r="11233" spans="1:12" x14ac:dyDescent="0.25">
      <c r="A11233" t="str">
        <f t="shared" si="2426"/>
        <v>89301000</v>
      </c>
      <c r="B11233" t="str">
        <f t="shared" si="2428"/>
        <v>10510000</v>
      </c>
      <c r="C11233" t="str">
        <f t="shared" si="2429"/>
        <v>10510001</v>
      </c>
      <c r="D11233" t="str">
        <f t="shared" si="2430"/>
        <v>802</v>
      </c>
      <c r="E11233" t="str">
        <f t="shared" si="2431"/>
        <v>89301202</v>
      </c>
      <c r="F11233" t="str">
        <f t="shared" si="2432"/>
        <v>8711171524</v>
      </c>
      <c r="G11233" s="1">
        <v>44873</v>
      </c>
      <c r="H11233" t="str">
        <f>"97111"</f>
        <v>97111</v>
      </c>
      <c r="I11233">
        <v>1</v>
      </c>
      <c r="J11233">
        <v>18</v>
      </c>
      <c r="K11233">
        <v>0</v>
      </c>
      <c r="L11233">
        <v>16.38</v>
      </c>
    </row>
    <row r="11234" spans="1:12" x14ac:dyDescent="0.25">
      <c r="A11234" t="str">
        <f t="shared" si="2426"/>
        <v>89301000</v>
      </c>
      <c r="B11234" t="str">
        <f t="shared" si="2428"/>
        <v>10510000</v>
      </c>
      <c r="C11234" t="str">
        <f t="shared" si="2429"/>
        <v>10510001</v>
      </c>
      <c r="D11234" t="str">
        <f t="shared" si="2430"/>
        <v>802</v>
      </c>
      <c r="E11234" t="str">
        <f t="shared" si="2431"/>
        <v>89301202</v>
      </c>
      <c r="F11234" t="str">
        <f>"2256101804"</f>
        <v>2256101804</v>
      </c>
      <c r="G11234" s="1">
        <v>44893</v>
      </c>
      <c r="H11234" t="str">
        <f>"97111"</f>
        <v>97111</v>
      </c>
      <c r="I11234">
        <v>1</v>
      </c>
      <c r="J11234">
        <v>18</v>
      </c>
      <c r="K11234">
        <v>0</v>
      </c>
      <c r="L11234">
        <v>16.38</v>
      </c>
    </row>
    <row r="11235" spans="1:12" x14ac:dyDescent="0.25">
      <c r="A11235" t="str">
        <f t="shared" si="2426"/>
        <v>89301000</v>
      </c>
      <c r="B11235" t="str">
        <f t="shared" si="2428"/>
        <v>10510000</v>
      </c>
      <c r="C11235" t="str">
        <f t="shared" si="2429"/>
        <v>10510001</v>
      </c>
      <c r="D11235" t="str">
        <f t="shared" si="2430"/>
        <v>802</v>
      </c>
      <c r="E11235" t="str">
        <f t="shared" si="2431"/>
        <v>89301202</v>
      </c>
      <c r="F11235" t="str">
        <f>"2256101804"</f>
        <v>2256101804</v>
      </c>
      <c r="G11235" s="1">
        <v>44894</v>
      </c>
      <c r="H11235" t="str">
        <f>"82113"</f>
        <v>82113</v>
      </c>
      <c r="I11235">
        <v>1</v>
      </c>
      <c r="J11235">
        <v>362</v>
      </c>
      <c r="K11235">
        <v>0</v>
      </c>
      <c r="L11235">
        <v>329.42</v>
      </c>
    </row>
    <row r="11236" spans="1:12" x14ac:dyDescent="0.25">
      <c r="A11236" t="str">
        <f t="shared" si="2426"/>
        <v>89301000</v>
      </c>
      <c r="B11236" t="str">
        <f t="shared" si="2428"/>
        <v>10510000</v>
      </c>
      <c r="C11236" t="str">
        <f t="shared" si="2429"/>
        <v>10510001</v>
      </c>
      <c r="D11236" t="str">
        <f t="shared" si="2430"/>
        <v>802</v>
      </c>
      <c r="E11236" t="str">
        <f t="shared" si="2431"/>
        <v>89301202</v>
      </c>
      <c r="F11236" t="str">
        <f>"2256101804"</f>
        <v>2256101804</v>
      </c>
      <c r="G11236" s="1">
        <v>44894</v>
      </c>
      <c r="H11236" t="str">
        <f>"82079"</f>
        <v>82079</v>
      </c>
      <c r="I11236">
        <v>1</v>
      </c>
      <c r="J11236">
        <v>332</v>
      </c>
      <c r="K11236">
        <v>0</v>
      </c>
      <c r="L11236">
        <v>302.12</v>
      </c>
    </row>
    <row r="11237" spans="1:12" x14ac:dyDescent="0.25">
      <c r="A11237" t="str">
        <f t="shared" si="2426"/>
        <v>89301000</v>
      </c>
      <c r="B11237" t="str">
        <f t="shared" si="2428"/>
        <v>10510000</v>
      </c>
      <c r="C11237" t="str">
        <f t="shared" si="2429"/>
        <v>10510001</v>
      </c>
      <c r="D11237" t="str">
        <f t="shared" si="2430"/>
        <v>802</v>
      </c>
      <c r="E11237" t="str">
        <f t="shared" si="2431"/>
        <v>89301202</v>
      </c>
      <c r="F11237" t="str">
        <f>"2256101804"</f>
        <v>2256101804</v>
      </c>
      <c r="G11237" s="1">
        <v>44894</v>
      </c>
      <c r="H11237" t="str">
        <f>"82111"</f>
        <v>82111</v>
      </c>
      <c r="I11237">
        <v>1</v>
      </c>
      <c r="J11237">
        <v>36</v>
      </c>
      <c r="K11237">
        <v>0</v>
      </c>
      <c r="L11237">
        <v>32.76</v>
      </c>
    </row>
    <row r="11238" spans="1:12" x14ac:dyDescent="0.25">
      <c r="A11238" t="str">
        <f t="shared" si="2426"/>
        <v>89301000</v>
      </c>
      <c r="B11238" t="str">
        <f t="shared" si="2428"/>
        <v>10510000</v>
      </c>
      <c r="C11238" t="str">
        <f t="shared" si="2429"/>
        <v>10510001</v>
      </c>
      <c r="D11238" t="str">
        <f t="shared" si="2430"/>
        <v>802</v>
      </c>
      <c r="E11238" t="str">
        <f t="shared" si="2431"/>
        <v>89301202</v>
      </c>
      <c r="F11238" t="str">
        <f>"2256101804"</f>
        <v>2256101804</v>
      </c>
      <c r="G11238" s="1">
        <v>44894</v>
      </c>
      <c r="H11238" t="str">
        <f>"82145"</f>
        <v>82145</v>
      </c>
      <c r="I11238">
        <v>1</v>
      </c>
      <c r="J11238">
        <v>57</v>
      </c>
      <c r="K11238">
        <v>0</v>
      </c>
      <c r="L11238">
        <v>51.87</v>
      </c>
    </row>
    <row r="11239" spans="1:12" x14ac:dyDescent="0.25">
      <c r="A11239" t="str">
        <f t="shared" si="2426"/>
        <v>89301000</v>
      </c>
      <c r="B11239" t="str">
        <f t="shared" si="2428"/>
        <v>10510000</v>
      </c>
      <c r="C11239" t="str">
        <f t="shared" si="2429"/>
        <v>10510001</v>
      </c>
      <c r="D11239" t="str">
        <f t="shared" si="2430"/>
        <v>802</v>
      </c>
      <c r="E11239" t="str">
        <f t="shared" ref="E11239:E11265" si="2433">"89301171"</f>
        <v>89301171</v>
      </c>
      <c r="F11239" t="str">
        <f>"8352124055"</f>
        <v>8352124055</v>
      </c>
      <c r="G11239" s="1">
        <v>44866</v>
      </c>
      <c r="H11239" t="str">
        <f>"82034"</f>
        <v>82034</v>
      </c>
      <c r="I11239">
        <v>1</v>
      </c>
      <c r="J11239">
        <v>348</v>
      </c>
      <c r="K11239">
        <v>0</v>
      </c>
      <c r="L11239">
        <v>316.68</v>
      </c>
    </row>
    <row r="11240" spans="1:12" x14ac:dyDescent="0.25">
      <c r="A11240" t="str">
        <f t="shared" si="2426"/>
        <v>89301000</v>
      </c>
      <c r="B11240" t="str">
        <f t="shared" si="2428"/>
        <v>10510000</v>
      </c>
      <c r="C11240" t="str">
        <f t="shared" si="2429"/>
        <v>10510001</v>
      </c>
      <c r="D11240" t="str">
        <f t="shared" si="2430"/>
        <v>802</v>
      </c>
      <c r="E11240" t="str">
        <f t="shared" si="2433"/>
        <v>89301171</v>
      </c>
      <c r="F11240" t="str">
        <f>"8352124055"</f>
        <v>8352124055</v>
      </c>
      <c r="G11240" s="1">
        <v>44866</v>
      </c>
      <c r="H11240" t="str">
        <f>"82041"</f>
        <v>82041</v>
      </c>
      <c r="I11240">
        <v>1</v>
      </c>
      <c r="J11240">
        <v>1090</v>
      </c>
      <c r="K11240">
        <v>0</v>
      </c>
      <c r="L11240">
        <v>991.9</v>
      </c>
    </row>
    <row r="11241" spans="1:12" x14ac:dyDescent="0.25">
      <c r="A11241" t="str">
        <f t="shared" si="2426"/>
        <v>89301000</v>
      </c>
      <c r="B11241" t="str">
        <f t="shared" si="2428"/>
        <v>10510000</v>
      </c>
      <c r="C11241" t="str">
        <f t="shared" si="2429"/>
        <v>10510001</v>
      </c>
      <c r="D11241" t="str">
        <f t="shared" si="2430"/>
        <v>802</v>
      </c>
      <c r="E11241" t="str">
        <f t="shared" si="2433"/>
        <v>89301171</v>
      </c>
      <c r="F11241" t="str">
        <f>"8352124055"</f>
        <v>8352124055</v>
      </c>
      <c r="G11241" s="1">
        <v>44866</v>
      </c>
      <c r="H11241" t="str">
        <f>"82041"</f>
        <v>82041</v>
      </c>
      <c r="I11241">
        <v>1</v>
      </c>
      <c r="J11241">
        <v>1090</v>
      </c>
      <c r="K11241">
        <v>0</v>
      </c>
      <c r="L11241">
        <v>991.9</v>
      </c>
    </row>
    <row r="11242" spans="1:12" x14ac:dyDescent="0.25">
      <c r="A11242" t="str">
        <f t="shared" si="2426"/>
        <v>89301000</v>
      </c>
      <c r="B11242" t="str">
        <f t="shared" si="2428"/>
        <v>10510000</v>
      </c>
      <c r="C11242" t="str">
        <f t="shared" si="2429"/>
        <v>10510001</v>
      </c>
      <c r="D11242" t="str">
        <f t="shared" si="2430"/>
        <v>802</v>
      </c>
      <c r="E11242" t="str">
        <f t="shared" si="2433"/>
        <v>89301171</v>
      </c>
      <c r="F11242" t="str">
        <f>"490807112"</f>
        <v>490807112</v>
      </c>
      <c r="G11242" s="1">
        <v>44866</v>
      </c>
      <c r="H11242" t="str">
        <f>"82041"</f>
        <v>82041</v>
      </c>
      <c r="I11242">
        <v>1</v>
      </c>
      <c r="J11242">
        <v>1090</v>
      </c>
      <c r="K11242">
        <v>0</v>
      </c>
      <c r="L11242">
        <v>991.9</v>
      </c>
    </row>
    <row r="11243" spans="1:12" x14ac:dyDescent="0.25">
      <c r="A11243" t="str">
        <f t="shared" si="2426"/>
        <v>89301000</v>
      </c>
      <c r="B11243" t="str">
        <f t="shared" si="2428"/>
        <v>10510000</v>
      </c>
      <c r="C11243" t="str">
        <f t="shared" si="2429"/>
        <v>10510001</v>
      </c>
      <c r="D11243" t="str">
        <f t="shared" si="2430"/>
        <v>802</v>
      </c>
      <c r="E11243" t="str">
        <f t="shared" si="2433"/>
        <v>89301171</v>
      </c>
      <c r="F11243" t="str">
        <f>"490807112"</f>
        <v>490807112</v>
      </c>
      <c r="G11243" s="1">
        <v>44866</v>
      </c>
      <c r="H11243" t="str">
        <f>"82041"</f>
        <v>82041</v>
      </c>
      <c r="I11243">
        <v>1</v>
      </c>
      <c r="J11243">
        <v>1090</v>
      </c>
      <c r="K11243">
        <v>0</v>
      </c>
      <c r="L11243">
        <v>991.9</v>
      </c>
    </row>
    <row r="11244" spans="1:12" x14ac:dyDescent="0.25">
      <c r="A11244" t="str">
        <f t="shared" si="2426"/>
        <v>89301000</v>
      </c>
      <c r="B11244" t="str">
        <f t="shared" si="2428"/>
        <v>10510000</v>
      </c>
      <c r="C11244" t="str">
        <f t="shared" si="2429"/>
        <v>10510001</v>
      </c>
      <c r="D11244" t="str">
        <f t="shared" si="2430"/>
        <v>802</v>
      </c>
      <c r="E11244" t="str">
        <f t="shared" si="2433"/>
        <v>89301171</v>
      </c>
      <c r="F11244" t="str">
        <f>"490807112"</f>
        <v>490807112</v>
      </c>
      <c r="G11244" s="1">
        <v>44866</v>
      </c>
      <c r="H11244" t="str">
        <f>"82034"</f>
        <v>82034</v>
      </c>
      <c r="I11244">
        <v>1</v>
      </c>
      <c r="J11244">
        <v>348</v>
      </c>
      <c r="K11244">
        <v>0</v>
      </c>
      <c r="L11244">
        <v>316.68</v>
      </c>
    </row>
    <row r="11245" spans="1:12" x14ac:dyDescent="0.25">
      <c r="A11245" t="str">
        <f t="shared" si="2426"/>
        <v>89301000</v>
      </c>
      <c r="B11245" t="str">
        <f t="shared" si="2428"/>
        <v>10510000</v>
      </c>
      <c r="C11245" t="str">
        <f t="shared" si="2429"/>
        <v>10510001</v>
      </c>
      <c r="D11245" t="str">
        <f t="shared" si="2430"/>
        <v>802</v>
      </c>
      <c r="E11245" t="str">
        <f t="shared" si="2433"/>
        <v>89301171</v>
      </c>
      <c r="F11245" t="str">
        <f>"7356195352"</f>
        <v>7356195352</v>
      </c>
      <c r="G11245" s="1">
        <v>44866</v>
      </c>
      <c r="H11245" t="str">
        <f>"82034"</f>
        <v>82034</v>
      </c>
      <c r="I11245">
        <v>1</v>
      </c>
      <c r="J11245">
        <v>348</v>
      </c>
      <c r="K11245">
        <v>0</v>
      </c>
      <c r="L11245">
        <v>316.68</v>
      </c>
    </row>
    <row r="11246" spans="1:12" x14ac:dyDescent="0.25">
      <c r="A11246" t="str">
        <f t="shared" si="2426"/>
        <v>89301000</v>
      </c>
      <c r="B11246" t="str">
        <f t="shared" si="2428"/>
        <v>10510000</v>
      </c>
      <c r="C11246" t="str">
        <f t="shared" si="2429"/>
        <v>10510001</v>
      </c>
      <c r="D11246" t="str">
        <f t="shared" si="2430"/>
        <v>802</v>
      </c>
      <c r="E11246" t="str">
        <f t="shared" si="2433"/>
        <v>89301171</v>
      </c>
      <c r="F11246" t="str">
        <f>"7356195352"</f>
        <v>7356195352</v>
      </c>
      <c r="G11246" s="1">
        <v>44866</v>
      </c>
      <c r="H11246" t="str">
        <f>"82041"</f>
        <v>82041</v>
      </c>
      <c r="I11246">
        <v>1</v>
      </c>
      <c r="J11246">
        <v>1090</v>
      </c>
      <c r="K11246">
        <v>0</v>
      </c>
      <c r="L11246">
        <v>991.9</v>
      </c>
    </row>
    <row r="11247" spans="1:12" x14ac:dyDescent="0.25">
      <c r="A11247" t="str">
        <f t="shared" si="2426"/>
        <v>89301000</v>
      </c>
      <c r="B11247" t="str">
        <f t="shared" si="2428"/>
        <v>10510000</v>
      </c>
      <c r="C11247" t="str">
        <f t="shared" si="2429"/>
        <v>10510001</v>
      </c>
      <c r="D11247" t="str">
        <f t="shared" si="2430"/>
        <v>802</v>
      </c>
      <c r="E11247" t="str">
        <f t="shared" si="2433"/>
        <v>89301171</v>
      </c>
      <c r="F11247" t="str">
        <f>"7356195352"</f>
        <v>7356195352</v>
      </c>
      <c r="G11247" s="1">
        <v>44866</v>
      </c>
      <c r="H11247" t="str">
        <f>"82041"</f>
        <v>82041</v>
      </c>
      <c r="I11247">
        <v>1</v>
      </c>
      <c r="J11247">
        <v>1090</v>
      </c>
      <c r="K11247">
        <v>0</v>
      </c>
      <c r="L11247">
        <v>991.9</v>
      </c>
    </row>
    <row r="11248" spans="1:12" x14ac:dyDescent="0.25">
      <c r="A11248" t="str">
        <f t="shared" si="2426"/>
        <v>89301000</v>
      </c>
      <c r="B11248" t="str">
        <f t="shared" si="2428"/>
        <v>10510000</v>
      </c>
      <c r="C11248" t="str">
        <f t="shared" si="2429"/>
        <v>10510001</v>
      </c>
      <c r="D11248" t="str">
        <f t="shared" si="2430"/>
        <v>802</v>
      </c>
      <c r="E11248" t="str">
        <f t="shared" si="2433"/>
        <v>89301171</v>
      </c>
      <c r="F11248" t="str">
        <f>"8356014876"</f>
        <v>8356014876</v>
      </c>
      <c r="G11248" s="1">
        <v>44874</v>
      </c>
      <c r="H11248" t="str">
        <f>"82034"</f>
        <v>82034</v>
      </c>
      <c r="I11248">
        <v>1</v>
      </c>
      <c r="J11248">
        <v>348</v>
      </c>
      <c r="K11248">
        <v>0</v>
      </c>
      <c r="L11248">
        <v>316.68</v>
      </c>
    </row>
    <row r="11249" spans="1:12" x14ac:dyDescent="0.25">
      <c r="A11249" t="str">
        <f t="shared" si="2426"/>
        <v>89301000</v>
      </c>
      <c r="B11249" t="str">
        <f t="shared" si="2428"/>
        <v>10510000</v>
      </c>
      <c r="C11249" t="str">
        <f t="shared" si="2429"/>
        <v>10510001</v>
      </c>
      <c r="D11249" t="str">
        <f t="shared" si="2430"/>
        <v>802</v>
      </c>
      <c r="E11249" t="str">
        <f t="shared" si="2433"/>
        <v>89301171</v>
      </c>
      <c r="F11249" t="str">
        <f>"8356014876"</f>
        <v>8356014876</v>
      </c>
      <c r="G11249" s="1">
        <v>44874</v>
      </c>
      <c r="H11249" t="str">
        <f>"82041"</f>
        <v>82041</v>
      </c>
      <c r="I11249">
        <v>1</v>
      </c>
      <c r="J11249">
        <v>1090</v>
      </c>
      <c r="K11249">
        <v>0</v>
      </c>
      <c r="L11249">
        <v>991.9</v>
      </c>
    </row>
    <row r="11250" spans="1:12" x14ac:dyDescent="0.25">
      <c r="A11250" t="str">
        <f t="shared" si="2426"/>
        <v>89301000</v>
      </c>
      <c r="B11250" t="str">
        <f t="shared" si="2428"/>
        <v>10510000</v>
      </c>
      <c r="C11250" t="str">
        <f t="shared" si="2429"/>
        <v>10510001</v>
      </c>
      <c r="D11250" t="str">
        <f t="shared" si="2430"/>
        <v>802</v>
      </c>
      <c r="E11250" t="str">
        <f t="shared" si="2433"/>
        <v>89301171</v>
      </c>
      <c r="F11250" t="str">
        <f>"8356014876"</f>
        <v>8356014876</v>
      </c>
      <c r="G11250" s="1">
        <v>44874</v>
      </c>
      <c r="H11250" t="str">
        <f>"82041"</f>
        <v>82041</v>
      </c>
      <c r="I11250">
        <v>1</v>
      </c>
      <c r="J11250">
        <v>1090</v>
      </c>
      <c r="K11250">
        <v>0</v>
      </c>
      <c r="L11250">
        <v>991.9</v>
      </c>
    </row>
    <row r="11251" spans="1:12" x14ac:dyDescent="0.25">
      <c r="A11251" t="str">
        <f t="shared" si="2426"/>
        <v>89301000</v>
      </c>
      <c r="B11251" t="str">
        <f t="shared" si="2428"/>
        <v>10510000</v>
      </c>
      <c r="C11251" t="str">
        <f t="shared" si="2429"/>
        <v>10510001</v>
      </c>
      <c r="D11251" t="str">
        <f t="shared" si="2430"/>
        <v>802</v>
      </c>
      <c r="E11251" t="str">
        <f t="shared" si="2433"/>
        <v>89301171</v>
      </c>
      <c r="F11251" t="str">
        <f>"7062185339"</f>
        <v>7062185339</v>
      </c>
      <c r="G11251" s="1">
        <v>44874</v>
      </c>
      <c r="H11251" t="str">
        <f>"82034"</f>
        <v>82034</v>
      </c>
      <c r="I11251">
        <v>1</v>
      </c>
      <c r="J11251">
        <v>348</v>
      </c>
      <c r="K11251">
        <v>0</v>
      </c>
      <c r="L11251">
        <v>316.68</v>
      </c>
    </row>
    <row r="11252" spans="1:12" x14ac:dyDescent="0.25">
      <c r="A11252" t="str">
        <f t="shared" si="2426"/>
        <v>89301000</v>
      </c>
      <c r="B11252" t="str">
        <f t="shared" si="2428"/>
        <v>10510000</v>
      </c>
      <c r="C11252" t="str">
        <f t="shared" si="2429"/>
        <v>10510001</v>
      </c>
      <c r="D11252" t="str">
        <f t="shared" si="2430"/>
        <v>802</v>
      </c>
      <c r="E11252" t="str">
        <f t="shared" si="2433"/>
        <v>89301171</v>
      </c>
      <c r="F11252" t="str">
        <f>"7062185339"</f>
        <v>7062185339</v>
      </c>
      <c r="G11252" s="1">
        <v>44874</v>
      </c>
      <c r="H11252" t="str">
        <f>"82041"</f>
        <v>82041</v>
      </c>
      <c r="I11252">
        <v>1</v>
      </c>
      <c r="J11252">
        <v>1090</v>
      </c>
      <c r="K11252">
        <v>0</v>
      </c>
      <c r="L11252">
        <v>991.9</v>
      </c>
    </row>
    <row r="11253" spans="1:12" x14ac:dyDescent="0.25">
      <c r="A11253" t="str">
        <f t="shared" si="2426"/>
        <v>89301000</v>
      </c>
      <c r="B11253" t="str">
        <f t="shared" si="2428"/>
        <v>10510000</v>
      </c>
      <c r="C11253" t="str">
        <f t="shared" si="2429"/>
        <v>10510001</v>
      </c>
      <c r="D11253" t="str">
        <f t="shared" si="2430"/>
        <v>802</v>
      </c>
      <c r="E11253" t="str">
        <f t="shared" si="2433"/>
        <v>89301171</v>
      </c>
      <c r="F11253" t="str">
        <f>"7062185339"</f>
        <v>7062185339</v>
      </c>
      <c r="G11253" s="1">
        <v>44874</v>
      </c>
      <c r="H11253" t="str">
        <f>"82041"</f>
        <v>82041</v>
      </c>
      <c r="I11253">
        <v>1</v>
      </c>
      <c r="J11253">
        <v>1090</v>
      </c>
      <c r="K11253">
        <v>0</v>
      </c>
      <c r="L11253">
        <v>991.9</v>
      </c>
    </row>
    <row r="11254" spans="1:12" x14ac:dyDescent="0.25">
      <c r="A11254" t="str">
        <f t="shared" si="2426"/>
        <v>89301000</v>
      </c>
      <c r="B11254" t="str">
        <f t="shared" si="2428"/>
        <v>10510000</v>
      </c>
      <c r="C11254" t="str">
        <f t="shared" si="2429"/>
        <v>10510001</v>
      </c>
      <c r="D11254" t="str">
        <f t="shared" si="2430"/>
        <v>802</v>
      </c>
      <c r="E11254" t="str">
        <f t="shared" si="2433"/>
        <v>89301171</v>
      </c>
      <c r="F11254" t="str">
        <f>"7153235595"</f>
        <v>7153235595</v>
      </c>
      <c r="G11254" s="1">
        <v>44881</v>
      </c>
      <c r="H11254" t="str">
        <f>"82041"</f>
        <v>82041</v>
      </c>
      <c r="I11254">
        <v>1</v>
      </c>
      <c r="J11254">
        <v>1090</v>
      </c>
      <c r="K11254">
        <v>0</v>
      </c>
      <c r="L11254">
        <v>991.9</v>
      </c>
    </row>
    <row r="11255" spans="1:12" x14ac:dyDescent="0.25">
      <c r="A11255" t="str">
        <f t="shared" si="2426"/>
        <v>89301000</v>
      </c>
      <c r="B11255" t="str">
        <f t="shared" si="2428"/>
        <v>10510000</v>
      </c>
      <c r="C11255" t="str">
        <f t="shared" si="2429"/>
        <v>10510001</v>
      </c>
      <c r="D11255" t="str">
        <f t="shared" si="2430"/>
        <v>802</v>
      </c>
      <c r="E11255" t="str">
        <f t="shared" si="2433"/>
        <v>89301171</v>
      </c>
      <c r="F11255" t="str">
        <f>"7153235595"</f>
        <v>7153235595</v>
      </c>
      <c r="G11255" s="1">
        <v>44881</v>
      </c>
      <c r="H11255" t="str">
        <f>"82041"</f>
        <v>82041</v>
      </c>
      <c r="I11255">
        <v>1</v>
      </c>
      <c r="J11255">
        <v>1090</v>
      </c>
      <c r="K11255">
        <v>0</v>
      </c>
      <c r="L11255">
        <v>991.9</v>
      </c>
    </row>
    <row r="11256" spans="1:12" x14ac:dyDescent="0.25">
      <c r="A11256" t="str">
        <f t="shared" si="2426"/>
        <v>89301000</v>
      </c>
      <c r="B11256" t="str">
        <f t="shared" si="2428"/>
        <v>10510000</v>
      </c>
      <c r="C11256" t="str">
        <f t="shared" si="2429"/>
        <v>10510001</v>
      </c>
      <c r="D11256" t="str">
        <f t="shared" si="2430"/>
        <v>802</v>
      </c>
      <c r="E11256" t="str">
        <f t="shared" si="2433"/>
        <v>89301171</v>
      </c>
      <c r="F11256" t="str">
        <f>"7153235595"</f>
        <v>7153235595</v>
      </c>
      <c r="G11256" s="1">
        <v>44881</v>
      </c>
      <c r="H11256" t="str">
        <f>"82034"</f>
        <v>82034</v>
      </c>
      <c r="I11256">
        <v>1</v>
      </c>
      <c r="J11256">
        <v>348</v>
      </c>
      <c r="K11256">
        <v>0</v>
      </c>
      <c r="L11256">
        <v>316.68</v>
      </c>
    </row>
    <row r="11257" spans="1:12" x14ac:dyDescent="0.25">
      <c r="A11257" t="str">
        <f t="shared" si="2426"/>
        <v>89301000</v>
      </c>
      <c r="B11257" t="str">
        <f t="shared" si="2428"/>
        <v>10510000</v>
      </c>
      <c r="C11257" t="str">
        <f t="shared" si="2429"/>
        <v>10510001</v>
      </c>
      <c r="D11257" t="str">
        <f t="shared" si="2430"/>
        <v>802</v>
      </c>
      <c r="E11257" t="str">
        <f t="shared" si="2433"/>
        <v>89301171</v>
      </c>
      <c r="F11257" t="str">
        <f>"9811214017"</f>
        <v>9811214017</v>
      </c>
      <c r="G11257" s="1">
        <v>44881</v>
      </c>
      <c r="H11257" t="str">
        <f>"82041"</f>
        <v>82041</v>
      </c>
      <c r="I11257">
        <v>1</v>
      </c>
      <c r="J11257">
        <v>1090</v>
      </c>
      <c r="K11257">
        <v>0</v>
      </c>
      <c r="L11257">
        <v>991.9</v>
      </c>
    </row>
    <row r="11258" spans="1:12" x14ac:dyDescent="0.25">
      <c r="A11258" t="str">
        <f t="shared" si="2426"/>
        <v>89301000</v>
      </c>
      <c r="B11258" t="str">
        <f t="shared" si="2428"/>
        <v>10510000</v>
      </c>
      <c r="C11258" t="str">
        <f t="shared" si="2429"/>
        <v>10510001</v>
      </c>
      <c r="D11258" t="str">
        <f t="shared" si="2430"/>
        <v>802</v>
      </c>
      <c r="E11258" t="str">
        <f t="shared" si="2433"/>
        <v>89301171</v>
      </c>
      <c r="F11258" t="str">
        <f>"9811214017"</f>
        <v>9811214017</v>
      </c>
      <c r="G11258" s="1">
        <v>44881</v>
      </c>
      <c r="H11258" t="str">
        <f>"82041"</f>
        <v>82041</v>
      </c>
      <c r="I11258">
        <v>1</v>
      </c>
      <c r="J11258">
        <v>1090</v>
      </c>
      <c r="K11258">
        <v>0</v>
      </c>
      <c r="L11258">
        <v>991.9</v>
      </c>
    </row>
    <row r="11259" spans="1:12" x14ac:dyDescent="0.25">
      <c r="A11259" t="str">
        <f t="shared" si="2426"/>
        <v>89301000</v>
      </c>
      <c r="B11259" t="str">
        <f t="shared" si="2428"/>
        <v>10510000</v>
      </c>
      <c r="C11259" t="str">
        <f t="shared" si="2429"/>
        <v>10510001</v>
      </c>
      <c r="D11259" t="str">
        <f t="shared" si="2430"/>
        <v>802</v>
      </c>
      <c r="E11259" t="str">
        <f t="shared" si="2433"/>
        <v>89301171</v>
      </c>
      <c r="F11259" t="str">
        <f>"9811214017"</f>
        <v>9811214017</v>
      </c>
      <c r="G11259" s="1">
        <v>44881</v>
      </c>
      <c r="H11259" t="str">
        <f>"82034"</f>
        <v>82034</v>
      </c>
      <c r="I11259">
        <v>1</v>
      </c>
      <c r="J11259">
        <v>348</v>
      </c>
      <c r="K11259">
        <v>0</v>
      </c>
      <c r="L11259">
        <v>316.68</v>
      </c>
    </row>
    <row r="11260" spans="1:12" x14ac:dyDescent="0.25">
      <c r="A11260" t="str">
        <f t="shared" si="2426"/>
        <v>89301000</v>
      </c>
      <c r="B11260" t="str">
        <f t="shared" si="2428"/>
        <v>10510000</v>
      </c>
      <c r="C11260" t="str">
        <f t="shared" si="2429"/>
        <v>10510001</v>
      </c>
      <c r="D11260" t="str">
        <f t="shared" si="2430"/>
        <v>802</v>
      </c>
      <c r="E11260" t="str">
        <f t="shared" si="2433"/>
        <v>89301171</v>
      </c>
      <c r="F11260" t="str">
        <f>"7802250896"</f>
        <v>7802250896</v>
      </c>
      <c r="G11260" s="1">
        <v>44887</v>
      </c>
      <c r="H11260" t="str">
        <f>"82041"</f>
        <v>82041</v>
      </c>
      <c r="I11260">
        <v>1</v>
      </c>
      <c r="J11260">
        <v>1090</v>
      </c>
      <c r="K11260">
        <v>0</v>
      </c>
      <c r="L11260">
        <v>991.9</v>
      </c>
    </row>
    <row r="11261" spans="1:12" x14ac:dyDescent="0.25">
      <c r="A11261" t="str">
        <f t="shared" si="2426"/>
        <v>89301000</v>
      </c>
      <c r="B11261" t="str">
        <f t="shared" si="2428"/>
        <v>10510000</v>
      </c>
      <c r="C11261" t="str">
        <f t="shared" si="2429"/>
        <v>10510001</v>
      </c>
      <c r="D11261" t="str">
        <f t="shared" si="2430"/>
        <v>802</v>
      </c>
      <c r="E11261" t="str">
        <f t="shared" si="2433"/>
        <v>89301171</v>
      </c>
      <c r="F11261" t="str">
        <f>"7802250896"</f>
        <v>7802250896</v>
      </c>
      <c r="G11261" s="1">
        <v>44887</v>
      </c>
      <c r="H11261" t="str">
        <f>"82041"</f>
        <v>82041</v>
      </c>
      <c r="I11261">
        <v>1</v>
      </c>
      <c r="J11261">
        <v>1090</v>
      </c>
      <c r="K11261">
        <v>0</v>
      </c>
      <c r="L11261">
        <v>991.9</v>
      </c>
    </row>
    <row r="11262" spans="1:12" x14ac:dyDescent="0.25">
      <c r="A11262" t="str">
        <f t="shared" si="2426"/>
        <v>89301000</v>
      </c>
      <c r="B11262" t="str">
        <f t="shared" si="2428"/>
        <v>10510000</v>
      </c>
      <c r="C11262" t="str">
        <f t="shared" si="2429"/>
        <v>10510001</v>
      </c>
      <c r="D11262" t="str">
        <f t="shared" si="2430"/>
        <v>802</v>
      </c>
      <c r="E11262" t="str">
        <f t="shared" si="2433"/>
        <v>89301171</v>
      </c>
      <c r="F11262" t="str">
        <f>"7802250896"</f>
        <v>7802250896</v>
      </c>
      <c r="G11262" s="1">
        <v>44887</v>
      </c>
      <c r="H11262" t="str">
        <f>"82034"</f>
        <v>82034</v>
      </c>
      <c r="I11262">
        <v>1</v>
      </c>
      <c r="J11262">
        <v>348</v>
      </c>
      <c r="K11262">
        <v>0</v>
      </c>
      <c r="L11262">
        <v>316.68</v>
      </c>
    </row>
    <row r="11263" spans="1:12" x14ac:dyDescent="0.25">
      <c r="A11263" t="str">
        <f t="shared" si="2426"/>
        <v>89301000</v>
      </c>
      <c r="B11263" t="str">
        <f t="shared" si="2428"/>
        <v>10510000</v>
      </c>
      <c r="C11263" t="str">
        <f t="shared" si="2429"/>
        <v>10510001</v>
      </c>
      <c r="D11263" t="str">
        <f t="shared" si="2430"/>
        <v>802</v>
      </c>
      <c r="E11263" t="str">
        <f t="shared" si="2433"/>
        <v>89301171</v>
      </c>
      <c r="F11263" t="str">
        <f>"6410221543"</f>
        <v>6410221543</v>
      </c>
      <c r="G11263" s="1">
        <v>44887</v>
      </c>
      <c r="H11263" t="str">
        <f>"82041"</f>
        <v>82041</v>
      </c>
      <c r="I11263">
        <v>1</v>
      </c>
      <c r="J11263">
        <v>1090</v>
      </c>
      <c r="K11263">
        <v>0</v>
      </c>
      <c r="L11263">
        <v>991.9</v>
      </c>
    </row>
    <row r="11264" spans="1:12" x14ac:dyDescent="0.25">
      <c r="A11264" t="str">
        <f t="shared" si="2426"/>
        <v>89301000</v>
      </c>
      <c r="B11264" t="str">
        <f t="shared" si="2428"/>
        <v>10510000</v>
      </c>
      <c r="C11264" t="str">
        <f t="shared" si="2429"/>
        <v>10510001</v>
      </c>
      <c r="D11264" t="str">
        <f t="shared" si="2430"/>
        <v>802</v>
      </c>
      <c r="E11264" t="str">
        <f t="shared" si="2433"/>
        <v>89301171</v>
      </c>
      <c r="F11264" t="str">
        <f>"6410221543"</f>
        <v>6410221543</v>
      </c>
      <c r="G11264" s="1">
        <v>44887</v>
      </c>
      <c r="H11264" t="str">
        <f>"82041"</f>
        <v>82041</v>
      </c>
      <c r="I11264">
        <v>1</v>
      </c>
      <c r="J11264">
        <v>1090</v>
      </c>
      <c r="K11264">
        <v>0</v>
      </c>
      <c r="L11264">
        <v>991.9</v>
      </c>
    </row>
    <row r="11265" spans="1:12" x14ac:dyDescent="0.25">
      <c r="A11265" t="str">
        <f t="shared" si="2426"/>
        <v>89301000</v>
      </c>
      <c r="B11265" t="str">
        <f t="shared" si="2428"/>
        <v>10510000</v>
      </c>
      <c r="C11265" t="str">
        <f t="shared" si="2429"/>
        <v>10510001</v>
      </c>
      <c r="D11265" t="str">
        <f t="shared" si="2430"/>
        <v>802</v>
      </c>
      <c r="E11265" t="str">
        <f t="shared" si="2433"/>
        <v>89301171</v>
      </c>
      <c r="F11265" t="str">
        <f>"6410221543"</f>
        <v>6410221543</v>
      </c>
      <c r="G11265" s="1">
        <v>44887</v>
      </c>
      <c r="H11265" t="str">
        <f>"82034"</f>
        <v>82034</v>
      </c>
      <c r="I11265">
        <v>1</v>
      </c>
      <c r="J11265">
        <v>348</v>
      </c>
      <c r="K11265">
        <v>0</v>
      </c>
      <c r="L11265">
        <v>316.68</v>
      </c>
    </row>
    <row r="11266" spans="1:12" x14ac:dyDescent="0.25">
      <c r="A11266" t="str">
        <f t="shared" ref="A11266:A11329" si="2434">"89301000"</f>
        <v>89301000</v>
      </c>
      <c r="B11266" t="str">
        <f t="shared" ref="B11266:B11297" si="2435">"72100000"</f>
        <v>72100000</v>
      </c>
      <c r="C11266" t="str">
        <f t="shared" ref="C11266:C11297" si="2436">"72100632"</f>
        <v>72100632</v>
      </c>
      <c r="D11266" t="str">
        <f t="shared" ref="D11266:D11297" si="2437">"816"</f>
        <v>816</v>
      </c>
      <c r="E11266" t="str">
        <f>"89301091"</f>
        <v>89301091</v>
      </c>
      <c r="F11266" t="str">
        <f>"8554225790"</f>
        <v>8554225790</v>
      </c>
      <c r="G11266" s="1">
        <v>44834</v>
      </c>
      <c r="H11266" t="str">
        <f>"94297"</f>
        <v>94297</v>
      </c>
      <c r="I11266">
        <v>1</v>
      </c>
      <c r="J11266">
        <v>298</v>
      </c>
      <c r="K11266">
        <v>0</v>
      </c>
      <c r="L11266">
        <v>366.54</v>
      </c>
    </row>
    <row r="11267" spans="1:12" x14ac:dyDescent="0.25">
      <c r="A11267" t="str">
        <f t="shared" si="2434"/>
        <v>89301000</v>
      </c>
      <c r="B11267" t="str">
        <f t="shared" si="2435"/>
        <v>72100000</v>
      </c>
      <c r="C11267" t="str">
        <f t="shared" si="2436"/>
        <v>72100632</v>
      </c>
      <c r="D11267" t="str">
        <f t="shared" si="2437"/>
        <v>816</v>
      </c>
      <c r="E11267" t="str">
        <f>"89301091"</f>
        <v>89301091</v>
      </c>
      <c r="F11267" t="str">
        <f>"8161137919"</f>
        <v>8161137919</v>
      </c>
      <c r="G11267" s="1">
        <v>44834</v>
      </c>
      <c r="H11267" t="str">
        <f>"94297"</f>
        <v>94297</v>
      </c>
      <c r="I11267">
        <v>1</v>
      </c>
      <c r="J11267">
        <v>298</v>
      </c>
      <c r="K11267">
        <v>0</v>
      </c>
      <c r="L11267">
        <v>366.54</v>
      </c>
    </row>
    <row r="11268" spans="1:12" x14ac:dyDescent="0.25">
      <c r="A11268" t="str">
        <f t="shared" si="2434"/>
        <v>89301000</v>
      </c>
      <c r="B11268" t="str">
        <f t="shared" si="2435"/>
        <v>72100000</v>
      </c>
      <c r="C11268" t="str">
        <f t="shared" si="2436"/>
        <v>72100632</v>
      </c>
      <c r="D11268" t="str">
        <f t="shared" si="2437"/>
        <v>816</v>
      </c>
      <c r="E11268" t="str">
        <f>"89301091"</f>
        <v>89301091</v>
      </c>
      <c r="F11268" t="str">
        <f>"9860255856"</f>
        <v>9860255856</v>
      </c>
      <c r="G11268" s="1">
        <v>44834</v>
      </c>
      <c r="H11268" t="str">
        <f>"94297"</f>
        <v>94297</v>
      </c>
      <c r="I11268">
        <v>1</v>
      </c>
      <c r="J11268">
        <v>298</v>
      </c>
      <c r="K11268">
        <v>0</v>
      </c>
      <c r="L11268">
        <v>366.54</v>
      </c>
    </row>
    <row r="11269" spans="1:12" x14ac:dyDescent="0.25">
      <c r="A11269" t="str">
        <f t="shared" si="2434"/>
        <v>89301000</v>
      </c>
      <c r="B11269" t="str">
        <f t="shared" si="2435"/>
        <v>72100000</v>
      </c>
      <c r="C11269" t="str">
        <f t="shared" si="2436"/>
        <v>72100632</v>
      </c>
      <c r="D11269" t="str">
        <f t="shared" si="2437"/>
        <v>816</v>
      </c>
      <c r="E11269" t="str">
        <f>"89301282"</f>
        <v>89301282</v>
      </c>
      <c r="F11269" t="str">
        <f>"461225177"</f>
        <v>461225177</v>
      </c>
      <c r="G11269" s="1">
        <v>44831</v>
      </c>
      <c r="H11269" t="str">
        <f>"94221"</f>
        <v>94221</v>
      </c>
      <c r="I11269">
        <v>1</v>
      </c>
      <c r="J11269">
        <v>2453</v>
      </c>
      <c r="K11269">
        <v>0</v>
      </c>
      <c r="L11269">
        <v>2085.0500000000002</v>
      </c>
    </row>
    <row r="11270" spans="1:12" x14ac:dyDescent="0.25">
      <c r="A11270" t="str">
        <f t="shared" si="2434"/>
        <v>89301000</v>
      </c>
      <c r="B11270" t="str">
        <f t="shared" si="2435"/>
        <v>72100000</v>
      </c>
      <c r="C11270" t="str">
        <f t="shared" si="2436"/>
        <v>72100632</v>
      </c>
      <c r="D11270" t="str">
        <f t="shared" si="2437"/>
        <v>816</v>
      </c>
      <c r="E11270" t="str">
        <f>"89301282"</f>
        <v>89301282</v>
      </c>
      <c r="F11270" t="str">
        <f>"461225177"</f>
        <v>461225177</v>
      </c>
      <c r="G11270" s="1">
        <v>44831</v>
      </c>
      <c r="H11270" t="str">
        <f>"94221"</f>
        <v>94221</v>
      </c>
      <c r="I11270">
        <v>1</v>
      </c>
      <c r="J11270">
        <v>2453</v>
      </c>
      <c r="K11270">
        <v>0</v>
      </c>
      <c r="L11270">
        <v>2085.0500000000002</v>
      </c>
    </row>
    <row r="11271" spans="1:12" x14ac:dyDescent="0.25">
      <c r="A11271" t="str">
        <f t="shared" si="2434"/>
        <v>89301000</v>
      </c>
      <c r="B11271" t="str">
        <f t="shared" si="2435"/>
        <v>72100000</v>
      </c>
      <c r="C11271" t="str">
        <f t="shared" si="2436"/>
        <v>72100632</v>
      </c>
      <c r="D11271" t="str">
        <f t="shared" si="2437"/>
        <v>816</v>
      </c>
      <c r="E11271" t="str">
        <f t="shared" ref="E11271:E11316" si="2438">"89301091"</f>
        <v>89301091</v>
      </c>
      <c r="F11271" t="str">
        <f>"2209250362"</f>
        <v>2209250362</v>
      </c>
      <c r="G11271" s="1">
        <v>44837</v>
      </c>
      <c r="H11271" t="str">
        <f t="shared" ref="H11271:H11316" si="2439">"94297"</f>
        <v>94297</v>
      </c>
      <c r="I11271">
        <v>1</v>
      </c>
      <c r="J11271">
        <v>298</v>
      </c>
      <c r="K11271">
        <v>0</v>
      </c>
      <c r="L11271">
        <v>366.54</v>
      </c>
    </row>
    <row r="11272" spans="1:12" x14ac:dyDescent="0.25">
      <c r="A11272" t="str">
        <f t="shared" si="2434"/>
        <v>89301000</v>
      </c>
      <c r="B11272" t="str">
        <f t="shared" si="2435"/>
        <v>72100000</v>
      </c>
      <c r="C11272" t="str">
        <f t="shared" si="2436"/>
        <v>72100632</v>
      </c>
      <c r="D11272" t="str">
        <f t="shared" si="2437"/>
        <v>816</v>
      </c>
      <c r="E11272" t="str">
        <f t="shared" si="2438"/>
        <v>89301091</v>
      </c>
      <c r="F11272" t="str">
        <f>"2209260526"</f>
        <v>2209260526</v>
      </c>
      <c r="G11272" s="1">
        <v>44837</v>
      </c>
      <c r="H11272" t="str">
        <f t="shared" si="2439"/>
        <v>94297</v>
      </c>
      <c r="I11272">
        <v>1</v>
      </c>
      <c r="J11272">
        <v>298</v>
      </c>
      <c r="K11272">
        <v>0</v>
      </c>
      <c r="L11272">
        <v>366.54</v>
      </c>
    </row>
    <row r="11273" spans="1:12" x14ac:dyDescent="0.25">
      <c r="A11273" t="str">
        <f t="shared" si="2434"/>
        <v>89301000</v>
      </c>
      <c r="B11273" t="str">
        <f t="shared" si="2435"/>
        <v>72100000</v>
      </c>
      <c r="C11273" t="str">
        <f t="shared" si="2436"/>
        <v>72100632</v>
      </c>
      <c r="D11273" t="str">
        <f t="shared" si="2437"/>
        <v>816</v>
      </c>
      <c r="E11273" t="str">
        <f t="shared" si="2438"/>
        <v>89301091</v>
      </c>
      <c r="F11273" t="str">
        <f>"2209260570"</f>
        <v>2209260570</v>
      </c>
      <c r="G11273" s="1">
        <v>44837</v>
      </c>
      <c r="H11273" t="str">
        <f t="shared" si="2439"/>
        <v>94297</v>
      </c>
      <c r="I11273">
        <v>1</v>
      </c>
      <c r="J11273">
        <v>298</v>
      </c>
      <c r="K11273">
        <v>0</v>
      </c>
      <c r="L11273">
        <v>366.54</v>
      </c>
    </row>
    <row r="11274" spans="1:12" x14ac:dyDescent="0.25">
      <c r="A11274" t="str">
        <f t="shared" si="2434"/>
        <v>89301000</v>
      </c>
      <c r="B11274" t="str">
        <f t="shared" si="2435"/>
        <v>72100000</v>
      </c>
      <c r="C11274" t="str">
        <f t="shared" si="2436"/>
        <v>72100632</v>
      </c>
      <c r="D11274" t="str">
        <f t="shared" si="2437"/>
        <v>816</v>
      </c>
      <c r="E11274" t="str">
        <f t="shared" si="2438"/>
        <v>89301091</v>
      </c>
      <c r="F11274" t="str">
        <f>"2209260581"</f>
        <v>2209260581</v>
      </c>
      <c r="G11274" s="1">
        <v>44837</v>
      </c>
      <c r="H11274" t="str">
        <f t="shared" si="2439"/>
        <v>94297</v>
      </c>
      <c r="I11274">
        <v>1</v>
      </c>
      <c r="J11274">
        <v>298</v>
      </c>
      <c r="K11274">
        <v>0</v>
      </c>
      <c r="L11274">
        <v>366.54</v>
      </c>
    </row>
    <row r="11275" spans="1:12" x14ac:dyDescent="0.25">
      <c r="A11275" t="str">
        <f t="shared" si="2434"/>
        <v>89301000</v>
      </c>
      <c r="B11275" t="str">
        <f t="shared" si="2435"/>
        <v>72100000</v>
      </c>
      <c r="C11275" t="str">
        <f t="shared" si="2436"/>
        <v>72100632</v>
      </c>
      <c r="D11275" t="str">
        <f t="shared" si="2437"/>
        <v>816</v>
      </c>
      <c r="E11275" t="str">
        <f t="shared" si="2438"/>
        <v>89301091</v>
      </c>
      <c r="F11275" t="str">
        <f>"2209270679"</f>
        <v>2209270679</v>
      </c>
      <c r="G11275" s="1">
        <v>44838</v>
      </c>
      <c r="H11275" t="str">
        <f t="shared" si="2439"/>
        <v>94297</v>
      </c>
      <c r="I11275">
        <v>1</v>
      </c>
      <c r="J11275">
        <v>298</v>
      </c>
      <c r="K11275">
        <v>0</v>
      </c>
      <c r="L11275">
        <v>366.54</v>
      </c>
    </row>
    <row r="11276" spans="1:12" x14ac:dyDescent="0.25">
      <c r="A11276" t="str">
        <f t="shared" si="2434"/>
        <v>89301000</v>
      </c>
      <c r="B11276" t="str">
        <f t="shared" si="2435"/>
        <v>72100000</v>
      </c>
      <c r="C11276" t="str">
        <f t="shared" si="2436"/>
        <v>72100632</v>
      </c>
      <c r="D11276" t="str">
        <f t="shared" si="2437"/>
        <v>816</v>
      </c>
      <c r="E11276" t="str">
        <f t="shared" si="2438"/>
        <v>89301091</v>
      </c>
      <c r="F11276" t="str">
        <f>"2259290627"</f>
        <v>2259290627</v>
      </c>
      <c r="G11276" s="1">
        <v>44839</v>
      </c>
      <c r="H11276" t="str">
        <f t="shared" si="2439"/>
        <v>94297</v>
      </c>
      <c r="I11276">
        <v>1</v>
      </c>
      <c r="J11276">
        <v>298</v>
      </c>
      <c r="K11276">
        <v>0</v>
      </c>
      <c r="L11276">
        <v>366.54</v>
      </c>
    </row>
    <row r="11277" spans="1:12" x14ac:dyDescent="0.25">
      <c r="A11277" t="str">
        <f t="shared" si="2434"/>
        <v>89301000</v>
      </c>
      <c r="B11277" t="str">
        <f t="shared" si="2435"/>
        <v>72100000</v>
      </c>
      <c r="C11277" t="str">
        <f t="shared" si="2436"/>
        <v>72100632</v>
      </c>
      <c r="D11277" t="str">
        <f t="shared" si="2437"/>
        <v>816</v>
      </c>
      <c r="E11277" t="str">
        <f t="shared" si="2438"/>
        <v>89301091</v>
      </c>
      <c r="F11277" t="str">
        <f>"2259290671"</f>
        <v>2259290671</v>
      </c>
      <c r="G11277" s="1">
        <v>44839</v>
      </c>
      <c r="H11277" t="str">
        <f t="shared" si="2439"/>
        <v>94297</v>
      </c>
      <c r="I11277">
        <v>1</v>
      </c>
      <c r="J11277">
        <v>298</v>
      </c>
      <c r="K11277">
        <v>0</v>
      </c>
      <c r="L11277">
        <v>366.54</v>
      </c>
    </row>
    <row r="11278" spans="1:12" x14ac:dyDescent="0.25">
      <c r="A11278" t="str">
        <f t="shared" si="2434"/>
        <v>89301000</v>
      </c>
      <c r="B11278" t="str">
        <f t="shared" si="2435"/>
        <v>72100000</v>
      </c>
      <c r="C11278" t="str">
        <f t="shared" si="2436"/>
        <v>72100632</v>
      </c>
      <c r="D11278" t="str">
        <f t="shared" si="2437"/>
        <v>816</v>
      </c>
      <c r="E11278" t="str">
        <f t="shared" si="2438"/>
        <v>89301091</v>
      </c>
      <c r="F11278" t="str">
        <f>"2259290682"</f>
        <v>2259290682</v>
      </c>
      <c r="G11278" s="1">
        <v>44839</v>
      </c>
      <c r="H11278" t="str">
        <f t="shared" si="2439"/>
        <v>94297</v>
      </c>
      <c r="I11278">
        <v>1</v>
      </c>
      <c r="J11278">
        <v>298</v>
      </c>
      <c r="K11278">
        <v>0</v>
      </c>
      <c r="L11278">
        <v>366.54</v>
      </c>
    </row>
    <row r="11279" spans="1:12" x14ac:dyDescent="0.25">
      <c r="A11279" t="str">
        <f t="shared" si="2434"/>
        <v>89301000</v>
      </c>
      <c r="B11279" t="str">
        <f t="shared" si="2435"/>
        <v>72100000</v>
      </c>
      <c r="C11279" t="str">
        <f t="shared" si="2436"/>
        <v>72100632</v>
      </c>
      <c r="D11279" t="str">
        <f t="shared" si="2437"/>
        <v>816</v>
      </c>
      <c r="E11279" t="str">
        <f t="shared" si="2438"/>
        <v>89301091</v>
      </c>
      <c r="F11279" t="str">
        <f>"9361305723"</f>
        <v>9361305723</v>
      </c>
      <c r="G11279" s="1">
        <v>44839</v>
      </c>
      <c r="H11279" t="str">
        <f t="shared" si="2439"/>
        <v>94297</v>
      </c>
      <c r="I11279">
        <v>1</v>
      </c>
      <c r="J11279">
        <v>298</v>
      </c>
      <c r="K11279">
        <v>0</v>
      </c>
      <c r="L11279">
        <v>366.54</v>
      </c>
    </row>
    <row r="11280" spans="1:12" x14ac:dyDescent="0.25">
      <c r="A11280" t="str">
        <f t="shared" si="2434"/>
        <v>89301000</v>
      </c>
      <c r="B11280" t="str">
        <f t="shared" si="2435"/>
        <v>72100000</v>
      </c>
      <c r="C11280" t="str">
        <f t="shared" si="2436"/>
        <v>72100632</v>
      </c>
      <c r="D11280" t="str">
        <f t="shared" si="2437"/>
        <v>816</v>
      </c>
      <c r="E11280" t="str">
        <f t="shared" si="2438"/>
        <v>89301091</v>
      </c>
      <c r="F11280" t="str">
        <f>"8854306230"</f>
        <v>8854306230</v>
      </c>
      <c r="G11280" s="1">
        <v>44839</v>
      </c>
      <c r="H11280" t="str">
        <f t="shared" si="2439"/>
        <v>94297</v>
      </c>
      <c r="I11280">
        <v>1</v>
      </c>
      <c r="J11280">
        <v>298</v>
      </c>
      <c r="K11280">
        <v>0</v>
      </c>
      <c r="L11280">
        <v>366.54</v>
      </c>
    </row>
    <row r="11281" spans="1:12" x14ac:dyDescent="0.25">
      <c r="A11281" t="str">
        <f t="shared" si="2434"/>
        <v>89301000</v>
      </c>
      <c r="B11281" t="str">
        <f t="shared" si="2435"/>
        <v>72100000</v>
      </c>
      <c r="C11281" t="str">
        <f t="shared" si="2436"/>
        <v>72100632</v>
      </c>
      <c r="D11281" t="str">
        <f t="shared" si="2437"/>
        <v>816</v>
      </c>
      <c r="E11281" t="str">
        <f t="shared" si="2438"/>
        <v>89301091</v>
      </c>
      <c r="F11281" t="str">
        <f>"8362315313"</f>
        <v>8362315313</v>
      </c>
      <c r="G11281" s="1">
        <v>44839</v>
      </c>
      <c r="H11281" t="str">
        <f t="shared" si="2439"/>
        <v>94297</v>
      </c>
      <c r="I11281">
        <v>1</v>
      </c>
      <c r="J11281">
        <v>298</v>
      </c>
      <c r="K11281">
        <v>0</v>
      </c>
      <c r="L11281">
        <v>366.54</v>
      </c>
    </row>
    <row r="11282" spans="1:12" x14ac:dyDescent="0.25">
      <c r="A11282" t="str">
        <f t="shared" si="2434"/>
        <v>89301000</v>
      </c>
      <c r="B11282" t="str">
        <f t="shared" si="2435"/>
        <v>72100000</v>
      </c>
      <c r="C11282" t="str">
        <f t="shared" si="2436"/>
        <v>72100632</v>
      </c>
      <c r="D11282" t="str">
        <f t="shared" si="2437"/>
        <v>816</v>
      </c>
      <c r="E11282" t="str">
        <f t="shared" si="2438"/>
        <v>89301091</v>
      </c>
      <c r="F11282" t="str">
        <f>"8962245633"</f>
        <v>8962245633</v>
      </c>
      <c r="G11282" s="1">
        <v>44840</v>
      </c>
      <c r="H11282" t="str">
        <f t="shared" si="2439"/>
        <v>94297</v>
      </c>
      <c r="I11282">
        <v>1</v>
      </c>
      <c r="J11282">
        <v>298</v>
      </c>
      <c r="K11282">
        <v>0</v>
      </c>
      <c r="L11282">
        <v>366.54</v>
      </c>
    </row>
    <row r="11283" spans="1:12" x14ac:dyDescent="0.25">
      <c r="A11283" t="str">
        <f t="shared" si="2434"/>
        <v>89301000</v>
      </c>
      <c r="B11283" t="str">
        <f t="shared" si="2435"/>
        <v>72100000</v>
      </c>
      <c r="C11283" t="str">
        <f t="shared" si="2436"/>
        <v>72100632</v>
      </c>
      <c r="D11283" t="str">
        <f t="shared" si="2437"/>
        <v>816</v>
      </c>
      <c r="E11283" t="str">
        <f t="shared" si="2438"/>
        <v>89301091</v>
      </c>
      <c r="F11283" t="str">
        <f>"9158045699"</f>
        <v>9158045699</v>
      </c>
      <c r="G11283" s="1">
        <v>44840</v>
      </c>
      <c r="H11283" t="str">
        <f t="shared" si="2439"/>
        <v>94297</v>
      </c>
      <c r="I11283">
        <v>1</v>
      </c>
      <c r="J11283">
        <v>298</v>
      </c>
      <c r="K11283">
        <v>0</v>
      </c>
      <c r="L11283">
        <v>366.54</v>
      </c>
    </row>
    <row r="11284" spans="1:12" x14ac:dyDescent="0.25">
      <c r="A11284" t="str">
        <f t="shared" si="2434"/>
        <v>89301000</v>
      </c>
      <c r="B11284" t="str">
        <f t="shared" si="2435"/>
        <v>72100000</v>
      </c>
      <c r="C11284" t="str">
        <f t="shared" si="2436"/>
        <v>72100632</v>
      </c>
      <c r="D11284" t="str">
        <f t="shared" si="2437"/>
        <v>816</v>
      </c>
      <c r="E11284" t="str">
        <f t="shared" si="2438"/>
        <v>89301091</v>
      </c>
      <c r="F11284" t="str">
        <f>"9057167856"</f>
        <v>9057167856</v>
      </c>
      <c r="G11284" s="1">
        <v>44841</v>
      </c>
      <c r="H11284" t="str">
        <f t="shared" si="2439"/>
        <v>94297</v>
      </c>
      <c r="I11284">
        <v>1</v>
      </c>
      <c r="J11284">
        <v>298</v>
      </c>
      <c r="K11284">
        <v>0</v>
      </c>
      <c r="L11284">
        <v>366.54</v>
      </c>
    </row>
    <row r="11285" spans="1:12" x14ac:dyDescent="0.25">
      <c r="A11285" t="str">
        <f t="shared" si="2434"/>
        <v>89301000</v>
      </c>
      <c r="B11285" t="str">
        <f t="shared" si="2435"/>
        <v>72100000</v>
      </c>
      <c r="C11285" t="str">
        <f t="shared" si="2436"/>
        <v>72100632</v>
      </c>
      <c r="D11285" t="str">
        <f t="shared" si="2437"/>
        <v>816</v>
      </c>
      <c r="E11285" t="str">
        <f t="shared" si="2438"/>
        <v>89301091</v>
      </c>
      <c r="F11285" t="str">
        <f>"2210030581"</f>
        <v>2210030581</v>
      </c>
      <c r="G11285" s="1">
        <v>44844</v>
      </c>
      <c r="H11285" t="str">
        <f t="shared" si="2439"/>
        <v>94297</v>
      </c>
      <c r="I11285">
        <v>1</v>
      </c>
      <c r="J11285">
        <v>298</v>
      </c>
      <c r="K11285">
        <v>0</v>
      </c>
      <c r="L11285">
        <v>366.54</v>
      </c>
    </row>
    <row r="11286" spans="1:12" x14ac:dyDescent="0.25">
      <c r="A11286" t="str">
        <f t="shared" si="2434"/>
        <v>89301000</v>
      </c>
      <c r="B11286" t="str">
        <f t="shared" si="2435"/>
        <v>72100000</v>
      </c>
      <c r="C11286" t="str">
        <f t="shared" si="2436"/>
        <v>72100632</v>
      </c>
      <c r="D11286" t="str">
        <f t="shared" si="2437"/>
        <v>816</v>
      </c>
      <c r="E11286" t="str">
        <f t="shared" si="2438"/>
        <v>89301091</v>
      </c>
      <c r="F11286" t="str">
        <f>"2210030592"</f>
        <v>2210030592</v>
      </c>
      <c r="G11286" s="1">
        <v>44844</v>
      </c>
      <c r="H11286" t="str">
        <f t="shared" si="2439"/>
        <v>94297</v>
      </c>
      <c r="I11286">
        <v>1</v>
      </c>
      <c r="J11286">
        <v>298</v>
      </c>
      <c r="K11286">
        <v>0</v>
      </c>
      <c r="L11286">
        <v>366.54</v>
      </c>
    </row>
    <row r="11287" spans="1:12" x14ac:dyDescent="0.25">
      <c r="A11287" t="str">
        <f t="shared" si="2434"/>
        <v>89301000</v>
      </c>
      <c r="B11287" t="str">
        <f t="shared" si="2435"/>
        <v>72100000</v>
      </c>
      <c r="C11287" t="str">
        <f t="shared" si="2436"/>
        <v>72100632</v>
      </c>
      <c r="D11287" t="str">
        <f t="shared" si="2437"/>
        <v>816</v>
      </c>
      <c r="E11287" t="str">
        <f t="shared" si="2438"/>
        <v>89301091</v>
      </c>
      <c r="F11287" t="str">
        <f>"2210050073"</f>
        <v>2210050073</v>
      </c>
      <c r="G11287" s="1">
        <v>44846</v>
      </c>
      <c r="H11287" t="str">
        <f t="shared" si="2439"/>
        <v>94297</v>
      </c>
      <c r="I11287">
        <v>1</v>
      </c>
      <c r="J11287">
        <v>298</v>
      </c>
      <c r="K11287">
        <v>0</v>
      </c>
      <c r="L11287">
        <v>366.54</v>
      </c>
    </row>
    <row r="11288" spans="1:12" x14ac:dyDescent="0.25">
      <c r="A11288" t="str">
        <f t="shared" si="2434"/>
        <v>89301000</v>
      </c>
      <c r="B11288" t="str">
        <f t="shared" si="2435"/>
        <v>72100000</v>
      </c>
      <c r="C11288" t="str">
        <f t="shared" si="2436"/>
        <v>72100632</v>
      </c>
      <c r="D11288" t="str">
        <f t="shared" si="2437"/>
        <v>816</v>
      </c>
      <c r="E11288" t="str">
        <f t="shared" si="2438"/>
        <v>89301091</v>
      </c>
      <c r="F11288" t="str">
        <f>"2210050601"</f>
        <v>2210050601</v>
      </c>
      <c r="G11288" s="1">
        <v>44846</v>
      </c>
      <c r="H11288" t="str">
        <f t="shared" si="2439"/>
        <v>94297</v>
      </c>
      <c r="I11288">
        <v>1</v>
      </c>
      <c r="J11288">
        <v>298</v>
      </c>
      <c r="K11288">
        <v>0</v>
      </c>
      <c r="L11288">
        <v>366.54</v>
      </c>
    </row>
    <row r="11289" spans="1:12" x14ac:dyDescent="0.25">
      <c r="A11289" t="str">
        <f t="shared" si="2434"/>
        <v>89301000</v>
      </c>
      <c r="B11289" t="str">
        <f t="shared" si="2435"/>
        <v>72100000</v>
      </c>
      <c r="C11289" t="str">
        <f t="shared" si="2436"/>
        <v>72100632</v>
      </c>
      <c r="D11289" t="str">
        <f t="shared" si="2437"/>
        <v>816</v>
      </c>
      <c r="E11289" t="str">
        <f t="shared" si="2438"/>
        <v>89301091</v>
      </c>
      <c r="F11289" t="str">
        <f>"2260060682"</f>
        <v>2260060682</v>
      </c>
      <c r="G11289" s="1">
        <v>44846</v>
      </c>
      <c r="H11289" t="str">
        <f t="shared" si="2439"/>
        <v>94297</v>
      </c>
      <c r="I11289">
        <v>1</v>
      </c>
      <c r="J11289">
        <v>298</v>
      </c>
      <c r="K11289">
        <v>0</v>
      </c>
      <c r="L11289">
        <v>366.54</v>
      </c>
    </row>
    <row r="11290" spans="1:12" x14ac:dyDescent="0.25">
      <c r="A11290" t="str">
        <f t="shared" si="2434"/>
        <v>89301000</v>
      </c>
      <c r="B11290" t="str">
        <f t="shared" si="2435"/>
        <v>72100000</v>
      </c>
      <c r="C11290" t="str">
        <f t="shared" si="2436"/>
        <v>72100632</v>
      </c>
      <c r="D11290" t="str">
        <f t="shared" si="2437"/>
        <v>816</v>
      </c>
      <c r="E11290" t="str">
        <f t="shared" si="2438"/>
        <v>89301091</v>
      </c>
      <c r="F11290" t="str">
        <f>"8555255775"</f>
        <v>8555255775</v>
      </c>
      <c r="G11290" s="1">
        <v>44846</v>
      </c>
      <c r="H11290" t="str">
        <f t="shared" si="2439"/>
        <v>94297</v>
      </c>
      <c r="I11290">
        <v>1</v>
      </c>
      <c r="J11290">
        <v>298</v>
      </c>
      <c r="K11290">
        <v>0</v>
      </c>
      <c r="L11290">
        <v>366.54</v>
      </c>
    </row>
    <row r="11291" spans="1:12" x14ac:dyDescent="0.25">
      <c r="A11291" t="str">
        <f t="shared" si="2434"/>
        <v>89301000</v>
      </c>
      <c r="B11291" t="str">
        <f t="shared" si="2435"/>
        <v>72100000</v>
      </c>
      <c r="C11291" t="str">
        <f t="shared" si="2436"/>
        <v>72100632</v>
      </c>
      <c r="D11291" t="str">
        <f t="shared" si="2437"/>
        <v>816</v>
      </c>
      <c r="E11291" t="str">
        <f t="shared" si="2438"/>
        <v>89301091</v>
      </c>
      <c r="F11291" t="str">
        <f>"8959175577"</f>
        <v>8959175577</v>
      </c>
      <c r="G11291" s="1">
        <v>44846</v>
      </c>
      <c r="H11291" t="str">
        <f t="shared" si="2439"/>
        <v>94297</v>
      </c>
      <c r="I11291">
        <v>1</v>
      </c>
      <c r="J11291">
        <v>298</v>
      </c>
      <c r="K11291">
        <v>0</v>
      </c>
      <c r="L11291">
        <v>366.54</v>
      </c>
    </row>
    <row r="11292" spans="1:12" x14ac:dyDescent="0.25">
      <c r="A11292" t="str">
        <f t="shared" si="2434"/>
        <v>89301000</v>
      </c>
      <c r="B11292" t="str">
        <f t="shared" si="2435"/>
        <v>72100000</v>
      </c>
      <c r="C11292" t="str">
        <f t="shared" si="2436"/>
        <v>72100632</v>
      </c>
      <c r="D11292" t="str">
        <f t="shared" si="2437"/>
        <v>816</v>
      </c>
      <c r="E11292" t="str">
        <f t="shared" si="2438"/>
        <v>89301091</v>
      </c>
      <c r="F11292" t="str">
        <f>"8651025779"</f>
        <v>8651025779</v>
      </c>
      <c r="G11292" s="1">
        <v>44847</v>
      </c>
      <c r="H11292" t="str">
        <f t="shared" si="2439"/>
        <v>94297</v>
      </c>
      <c r="I11292">
        <v>1</v>
      </c>
      <c r="J11292">
        <v>298</v>
      </c>
      <c r="K11292">
        <v>0</v>
      </c>
      <c r="L11292">
        <v>366.54</v>
      </c>
    </row>
    <row r="11293" spans="1:12" x14ac:dyDescent="0.25">
      <c r="A11293" t="str">
        <f t="shared" si="2434"/>
        <v>89301000</v>
      </c>
      <c r="B11293" t="str">
        <f t="shared" si="2435"/>
        <v>72100000</v>
      </c>
      <c r="C11293" t="str">
        <f t="shared" si="2436"/>
        <v>72100632</v>
      </c>
      <c r="D11293" t="str">
        <f t="shared" si="2437"/>
        <v>816</v>
      </c>
      <c r="E11293" t="str">
        <f t="shared" si="2438"/>
        <v>89301091</v>
      </c>
      <c r="F11293" t="str">
        <f>"2260090404"</f>
        <v>2260090404</v>
      </c>
      <c r="G11293" s="1">
        <v>44848</v>
      </c>
      <c r="H11293" t="str">
        <f t="shared" si="2439"/>
        <v>94297</v>
      </c>
      <c r="I11293">
        <v>1</v>
      </c>
      <c r="J11293">
        <v>298</v>
      </c>
      <c r="K11293">
        <v>0</v>
      </c>
      <c r="L11293">
        <v>366.54</v>
      </c>
    </row>
    <row r="11294" spans="1:12" x14ac:dyDescent="0.25">
      <c r="A11294" t="str">
        <f t="shared" si="2434"/>
        <v>89301000</v>
      </c>
      <c r="B11294" t="str">
        <f t="shared" si="2435"/>
        <v>72100000</v>
      </c>
      <c r="C11294" t="str">
        <f t="shared" si="2436"/>
        <v>72100632</v>
      </c>
      <c r="D11294" t="str">
        <f t="shared" si="2437"/>
        <v>816</v>
      </c>
      <c r="E11294" t="str">
        <f t="shared" si="2438"/>
        <v>89301091</v>
      </c>
      <c r="F11294" t="str">
        <f>"9960056161"</f>
        <v>9960056161</v>
      </c>
      <c r="G11294" s="1">
        <v>44851</v>
      </c>
      <c r="H11294" t="str">
        <f t="shared" si="2439"/>
        <v>94297</v>
      </c>
      <c r="I11294">
        <v>1</v>
      </c>
      <c r="J11294">
        <v>298</v>
      </c>
      <c r="K11294">
        <v>0</v>
      </c>
      <c r="L11294">
        <v>366.54</v>
      </c>
    </row>
    <row r="11295" spans="1:12" x14ac:dyDescent="0.25">
      <c r="A11295" t="str">
        <f t="shared" si="2434"/>
        <v>89301000</v>
      </c>
      <c r="B11295" t="str">
        <f t="shared" si="2435"/>
        <v>72100000</v>
      </c>
      <c r="C11295" t="str">
        <f t="shared" si="2436"/>
        <v>72100632</v>
      </c>
      <c r="D11295" t="str">
        <f t="shared" si="2437"/>
        <v>816</v>
      </c>
      <c r="E11295" t="str">
        <f t="shared" si="2438"/>
        <v>89301091</v>
      </c>
      <c r="F11295" t="str">
        <f>"2260100095"</f>
        <v>2260100095</v>
      </c>
      <c r="G11295" s="1">
        <v>44851</v>
      </c>
      <c r="H11295" t="str">
        <f t="shared" si="2439"/>
        <v>94297</v>
      </c>
      <c r="I11295">
        <v>1</v>
      </c>
      <c r="J11295">
        <v>298</v>
      </c>
      <c r="K11295">
        <v>0</v>
      </c>
      <c r="L11295">
        <v>366.54</v>
      </c>
    </row>
    <row r="11296" spans="1:12" x14ac:dyDescent="0.25">
      <c r="A11296" t="str">
        <f t="shared" si="2434"/>
        <v>89301000</v>
      </c>
      <c r="B11296" t="str">
        <f t="shared" si="2435"/>
        <v>72100000</v>
      </c>
      <c r="C11296" t="str">
        <f t="shared" si="2436"/>
        <v>72100632</v>
      </c>
      <c r="D11296" t="str">
        <f t="shared" si="2437"/>
        <v>816</v>
      </c>
      <c r="E11296" t="str">
        <f t="shared" si="2438"/>
        <v>89301091</v>
      </c>
      <c r="F11296" t="str">
        <f>"2260100106"</f>
        <v>2260100106</v>
      </c>
      <c r="G11296" s="1">
        <v>44851</v>
      </c>
      <c r="H11296" t="str">
        <f t="shared" si="2439"/>
        <v>94297</v>
      </c>
      <c r="I11296">
        <v>1</v>
      </c>
      <c r="J11296">
        <v>298</v>
      </c>
      <c r="K11296">
        <v>0</v>
      </c>
      <c r="L11296">
        <v>366.54</v>
      </c>
    </row>
    <row r="11297" spans="1:12" x14ac:dyDescent="0.25">
      <c r="A11297" t="str">
        <f t="shared" si="2434"/>
        <v>89301000</v>
      </c>
      <c r="B11297" t="str">
        <f t="shared" si="2435"/>
        <v>72100000</v>
      </c>
      <c r="C11297" t="str">
        <f t="shared" si="2436"/>
        <v>72100632</v>
      </c>
      <c r="D11297" t="str">
        <f t="shared" si="2437"/>
        <v>816</v>
      </c>
      <c r="E11297" t="str">
        <f t="shared" si="2438"/>
        <v>89301091</v>
      </c>
      <c r="F11297" t="str">
        <f>"2260100524"</f>
        <v>2260100524</v>
      </c>
      <c r="G11297" s="1">
        <v>44851</v>
      </c>
      <c r="H11297" t="str">
        <f t="shared" si="2439"/>
        <v>94297</v>
      </c>
      <c r="I11297">
        <v>1</v>
      </c>
      <c r="J11297">
        <v>298</v>
      </c>
      <c r="K11297">
        <v>0</v>
      </c>
      <c r="L11297">
        <v>366.54</v>
      </c>
    </row>
    <row r="11298" spans="1:12" x14ac:dyDescent="0.25">
      <c r="A11298" t="str">
        <f t="shared" si="2434"/>
        <v>89301000</v>
      </c>
      <c r="B11298" t="str">
        <f t="shared" ref="B11298:B11316" si="2440">"72100000"</f>
        <v>72100000</v>
      </c>
      <c r="C11298" t="str">
        <f t="shared" ref="C11298:C11316" si="2441">"72100632"</f>
        <v>72100632</v>
      </c>
      <c r="D11298" t="str">
        <f t="shared" ref="D11298:D11316" si="2442">"816"</f>
        <v>816</v>
      </c>
      <c r="E11298" t="str">
        <f t="shared" si="2438"/>
        <v>89301091</v>
      </c>
      <c r="F11298" t="str">
        <f>"2210100497"</f>
        <v>2210100497</v>
      </c>
      <c r="G11298" s="1">
        <v>44851</v>
      </c>
      <c r="H11298" t="str">
        <f t="shared" si="2439"/>
        <v>94297</v>
      </c>
      <c r="I11298">
        <v>1</v>
      </c>
      <c r="J11298">
        <v>298</v>
      </c>
      <c r="K11298">
        <v>0</v>
      </c>
      <c r="L11298">
        <v>366.54</v>
      </c>
    </row>
    <row r="11299" spans="1:12" x14ac:dyDescent="0.25">
      <c r="A11299" t="str">
        <f t="shared" si="2434"/>
        <v>89301000</v>
      </c>
      <c r="B11299" t="str">
        <f t="shared" si="2440"/>
        <v>72100000</v>
      </c>
      <c r="C11299" t="str">
        <f t="shared" si="2441"/>
        <v>72100632</v>
      </c>
      <c r="D11299" t="str">
        <f t="shared" si="2442"/>
        <v>816</v>
      </c>
      <c r="E11299" t="str">
        <f t="shared" si="2438"/>
        <v>89301091</v>
      </c>
      <c r="F11299" t="str">
        <f>"2260110061"</f>
        <v>2260110061</v>
      </c>
      <c r="G11299" s="1">
        <v>44852</v>
      </c>
      <c r="H11299" t="str">
        <f t="shared" si="2439"/>
        <v>94297</v>
      </c>
      <c r="I11299">
        <v>1</v>
      </c>
      <c r="J11299">
        <v>298</v>
      </c>
      <c r="K11299">
        <v>0</v>
      </c>
      <c r="L11299">
        <v>366.54</v>
      </c>
    </row>
    <row r="11300" spans="1:12" x14ac:dyDescent="0.25">
      <c r="A11300" t="str">
        <f t="shared" si="2434"/>
        <v>89301000</v>
      </c>
      <c r="B11300" t="str">
        <f t="shared" si="2440"/>
        <v>72100000</v>
      </c>
      <c r="C11300" t="str">
        <f t="shared" si="2441"/>
        <v>72100632</v>
      </c>
      <c r="D11300" t="str">
        <f t="shared" si="2442"/>
        <v>816</v>
      </c>
      <c r="E11300" t="str">
        <f t="shared" si="2438"/>
        <v>89301091</v>
      </c>
      <c r="F11300" t="str">
        <f>"2260110655"</f>
        <v>2260110655</v>
      </c>
      <c r="G11300" s="1">
        <v>44852</v>
      </c>
      <c r="H11300" t="str">
        <f t="shared" si="2439"/>
        <v>94297</v>
      </c>
      <c r="I11300">
        <v>1</v>
      </c>
      <c r="J11300">
        <v>298</v>
      </c>
      <c r="K11300">
        <v>0</v>
      </c>
      <c r="L11300">
        <v>366.54</v>
      </c>
    </row>
    <row r="11301" spans="1:12" x14ac:dyDescent="0.25">
      <c r="A11301" t="str">
        <f t="shared" si="2434"/>
        <v>89301000</v>
      </c>
      <c r="B11301" t="str">
        <f t="shared" si="2440"/>
        <v>72100000</v>
      </c>
      <c r="C11301" t="str">
        <f t="shared" si="2441"/>
        <v>72100632</v>
      </c>
      <c r="D11301" t="str">
        <f t="shared" si="2442"/>
        <v>816</v>
      </c>
      <c r="E11301" t="str">
        <f t="shared" si="2438"/>
        <v>89301091</v>
      </c>
      <c r="F11301" t="str">
        <f>"2210110584"</f>
        <v>2210110584</v>
      </c>
      <c r="G11301" s="1">
        <v>44852</v>
      </c>
      <c r="H11301" t="str">
        <f t="shared" si="2439"/>
        <v>94297</v>
      </c>
      <c r="I11301">
        <v>1</v>
      </c>
      <c r="J11301">
        <v>298</v>
      </c>
      <c r="K11301">
        <v>0</v>
      </c>
      <c r="L11301">
        <v>366.54</v>
      </c>
    </row>
    <row r="11302" spans="1:12" x14ac:dyDescent="0.25">
      <c r="A11302" t="str">
        <f t="shared" si="2434"/>
        <v>89301000</v>
      </c>
      <c r="B11302" t="str">
        <f t="shared" si="2440"/>
        <v>72100000</v>
      </c>
      <c r="C11302" t="str">
        <f t="shared" si="2441"/>
        <v>72100632</v>
      </c>
      <c r="D11302" t="str">
        <f t="shared" si="2442"/>
        <v>816</v>
      </c>
      <c r="E11302" t="str">
        <f t="shared" si="2438"/>
        <v>89301091</v>
      </c>
      <c r="F11302" t="str">
        <f>"2210120726"</f>
        <v>2210120726</v>
      </c>
      <c r="G11302" s="1">
        <v>44853</v>
      </c>
      <c r="H11302" t="str">
        <f t="shared" si="2439"/>
        <v>94297</v>
      </c>
      <c r="I11302">
        <v>1</v>
      </c>
      <c r="J11302">
        <v>298</v>
      </c>
      <c r="K11302">
        <v>0</v>
      </c>
      <c r="L11302">
        <v>366.54</v>
      </c>
    </row>
    <row r="11303" spans="1:12" x14ac:dyDescent="0.25">
      <c r="A11303" t="str">
        <f t="shared" si="2434"/>
        <v>89301000</v>
      </c>
      <c r="B11303" t="str">
        <f t="shared" si="2440"/>
        <v>72100000</v>
      </c>
      <c r="C11303" t="str">
        <f t="shared" si="2441"/>
        <v>72100632</v>
      </c>
      <c r="D11303" t="str">
        <f t="shared" si="2442"/>
        <v>816</v>
      </c>
      <c r="E11303" t="str">
        <f t="shared" si="2438"/>
        <v>89301091</v>
      </c>
      <c r="F11303" t="str">
        <f>"2260120544"</f>
        <v>2260120544</v>
      </c>
      <c r="G11303" s="1">
        <v>44853</v>
      </c>
      <c r="H11303" t="str">
        <f t="shared" si="2439"/>
        <v>94297</v>
      </c>
      <c r="I11303">
        <v>1</v>
      </c>
      <c r="J11303">
        <v>298</v>
      </c>
      <c r="K11303">
        <v>0</v>
      </c>
      <c r="L11303">
        <v>366.54</v>
      </c>
    </row>
    <row r="11304" spans="1:12" x14ac:dyDescent="0.25">
      <c r="A11304" t="str">
        <f t="shared" si="2434"/>
        <v>89301000</v>
      </c>
      <c r="B11304" t="str">
        <f t="shared" si="2440"/>
        <v>72100000</v>
      </c>
      <c r="C11304" t="str">
        <f t="shared" si="2441"/>
        <v>72100632</v>
      </c>
      <c r="D11304" t="str">
        <f t="shared" si="2442"/>
        <v>816</v>
      </c>
      <c r="E11304" t="str">
        <f t="shared" si="2438"/>
        <v>89301091</v>
      </c>
      <c r="F11304" t="str">
        <f>"2210130076"</f>
        <v>2210130076</v>
      </c>
      <c r="G11304" s="1">
        <v>44853</v>
      </c>
      <c r="H11304" t="str">
        <f t="shared" si="2439"/>
        <v>94297</v>
      </c>
      <c r="I11304">
        <v>1</v>
      </c>
      <c r="J11304">
        <v>298</v>
      </c>
      <c r="K11304">
        <v>0</v>
      </c>
      <c r="L11304">
        <v>366.54</v>
      </c>
    </row>
    <row r="11305" spans="1:12" x14ac:dyDescent="0.25">
      <c r="A11305" t="str">
        <f t="shared" si="2434"/>
        <v>89301000</v>
      </c>
      <c r="B11305" t="str">
        <f t="shared" si="2440"/>
        <v>72100000</v>
      </c>
      <c r="C11305" t="str">
        <f t="shared" si="2441"/>
        <v>72100632</v>
      </c>
      <c r="D11305" t="str">
        <f t="shared" si="2442"/>
        <v>816</v>
      </c>
      <c r="E11305" t="str">
        <f t="shared" si="2438"/>
        <v>89301091</v>
      </c>
      <c r="F11305" t="str">
        <f>"2210130637"</f>
        <v>2210130637</v>
      </c>
      <c r="G11305" s="1">
        <v>44853</v>
      </c>
      <c r="H11305" t="str">
        <f t="shared" si="2439"/>
        <v>94297</v>
      </c>
      <c r="I11305">
        <v>1</v>
      </c>
      <c r="J11305">
        <v>298</v>
      </c>
      <c r="K11305">
        <v>0</v>
      </c>
      <c r="L11305">
        <v>366.54</v>
      </c>
    </row>
    <row r="11306" spans="1:12" x14ac:dyDescent="0.25">
      <c r="A11306" t="str">
        <f t="shared" si="2434"/>
        <v>89301000</v>
      </c>
      <c r="B11306" t="str">
        <f t="shared" si="2440"/>
        <v>72100000</v>
      </c>
      <c r="C11306" t="str">
        <f t="shared" si="2441"/>
        <v>72100632</v>
      </c>
      <c r="D11306" t="str">
        <f t="shared" si="2442"/>
        <v>816</v>
      </c>
      <c r="E11306" t="str">
        <f t="shared" si="2438"/>
        <v>89301091</v>
      </c>
      <c r="F11306" t="str">
        <f>"2260130675"</f>
        <v>2260130675</v>
      </c>
      <c r="G11306" s="1">
        <v>44853</v>
      </c>
      <c r="H11306" t="str">
        <f t="shared" si="2439"/>
        <v>94297</v>
      </c>
      <c r="I11306">
        <v>1</v>
      </c>
      <c r="J11306">
        <v>298</v>
      </c>
      <c r="K11306">
        <v>0</v>
      </c>
      <c r="L11306">
        <v>366.54</v>
      </c>
    </row>
    <row r="11307" spans="1:12" x14ac:dyDescent="0.25">
      <c r="A11307" t="str">
        <f t="shared" si="2434"/>
        <v>89301000</v>
      </c>
      <c r="B11307" t="str">
        <f t="shared" si="2440"/>
        <v>72100000</v>
      </c>
      <c r="C11307" t="str">
        <f t="shared" si="2441"/>
        <v>72100632</v>
      </c>
      <c r="D11307" t="str">
        <f t="shared" si="2442"/>
        <v>816</v>
      </c>
      <c r="E11307" t="str">
        <f t="shared" si="2438"/>
        <v>89301091</v>
      </c>
      <c r="F11307" t="str">
        <f>"8958205652"</f>
        <v>8958205652</v>
      </c>
      <c r="G11307" s="1">
        <v>44853</v>
      </c>
      <c r="H11307" t="str">
        <f t="shared" si="2439"/>
        <v>94297</v>
      </c>
      <c r="I11307">
        <v>1</v>
      </c>
      <c r="J11307">
        <v>298</v>
      </c>
      <c r="K11307">
        <v>0</v>
      </c>
      <c r="L11307">
        <v>366.54</v>
      </c>
    </row>
    <row r="11308" spans="1:12" x14ac:dyDescent="0.25">
      <c r="A11308" t="str">
        <f t="shared" si="2434"/>
        <v>89301000</v>
      </c>
      <c r="B11308" t="str">
        <f t="shared" si="2440"/>
        <v>72100000</v>
      </c>
      <c r="C11308" t="str">
        <f t="shared" si="2441"/>
        <v>72100632</v>
      </c>
      <c r="D11308" t="str">
        <f t="shared" si="2442"/>
        <v>816</v>
      </c>
      <c r="E11308" t="str">
        <f t="shared" si="2438"/>
        <v>89301091</v>
      </c>
      <c r="F11308" t="str">
        <f>"9653115703"</f>
        <v>9653115703</v>
      </c>
      <c r="G11308" s="1">
        <v>44853</v>
      </c>
      <c r="H11308" t="str">
        <f t="shared" si="2439"/>
        <v>94297</v>
      </c>
      <c r="I11308">
        <v>1</v>
      </c>
      <c r="J11308">
        <v>298</v>
      </c>
      <c r="K11308">
        <v>0</v>
      </c>
      <c r="L11308">
        <v>366.54</v>
      </c>
    </row>
    <row r="11309" spans="1:12" x14ac:dyDescent="0.25">
      <c r="A11309" t="str">
        <f t="shared" si="2434"/>
        <v>89301000</v>
      </c>
      <c r="B11309" t="str">
        <f t="shared" si="2440"/>
        <v>72100000</v>
      </c>
      <c r="C11309" t="str">
        <f t="shared" si="2441"/>
        <v>72100632</v>
      </c>
      <c r="D11309" t="str">
        <f t="shared" si="2442"/>
        <v>816</v>
      </c>
      <c r="E11309" t="str">
        <f t="shared" si="2438"/>
        <v>89301091</v>
      </c>
      <c r="F11309" t="str">
        <f>"9058195949"</f>
        <v>9058195949</v>
      </c>
      <c r="G11309" s="1">
        <v>44853</v>
      </c>
      <c r="H11309" t="str">
        <f t="shared" si="2439"/>
        <v>94297</v>
      </c>
      <c r="I11309">
        <v>1</v>
      </c>
      <c r="J11309">
        <v>298</v>
      </c>
      <c r="K11309">
        <v>0</v>
      </c>
      <c r="L11309">
        <v>366.54</v>
      </c>
    </row>
    <row r="11310" spans="1:12" x14ac:dyDescent="0.25">
      <c r="A11310" t="str">
        <f t="shared" si="2434"/>
        <v>89301000</v>
      </c>
      <c r="B11310" t="str">
        <f t="shared" si="2440"/>
        <v>72100000</v>
      </c>
      <c r="C11310" t="str">
        <f t="shared" si="2441"/>
        <v>72100632</v>
      </c>
      <c r="D11310" t="str">
        <f t="shared" si="2442"/>
        <v>816</v>
      </c>
      <c r="E11310" t="str">
        <f t="shared" si="2438"/>
        <v>89301091</v>
      </c>
      <c r="F11310" t="str">
        <f>"2260120060"</f>
        <v>2260120060</v>
      </c>
      <c r="G11310" s="1">
        <v>44854</v>
      </c>
      <c r="H11310" t="str">
        <f t="shared" si="2439"/>
        <v>94297</v>
      </c>
      <c r="I11310">
        <v>1</v>
      </c>
      <c r="J11310">
        <v>298</v>
      </c>
      <c r="K11310">
        <v>0</v>
      </c>
      <c r="L11310">
        <v>366.54</v>
      </c>
    </row>
    <row r="11311" spans="1:12" x14ac:dyDescent="0.25">
      <c r="A11311" t="str">
        <f t="shared" si="2434"/>
        <v>89301000</v>
      </c>
      <c r="B11311" t="str">
        <f t="shared" si="2440"/>
        <v>72100000</v>
      </c>
      <c r="C11311" t="str">
        <f t="shared" si="2441"/>
        <v>72100632</v>
      </c>
      <c r="D11311" t="str">
        <f t="shared" si="2442"/>
        <v>816</v>
      </c>
      <c r="E11311" t="str">
        <f t="shared" si="2438"/>
        <v>89301091</v>
      </c>
      <c r="F11311" t="str">
        <f>"9153265737"</f>
        <v>9153265737</v>
      </c>
      <c r="G11311" s="1">
        <v>44854</v>
      </c>
      <c r="H11311" t="str">
        <f t="shared" si="2439"/>
        <v>94297</v>
      </c>
      <c r="I11311">
        <v>1</v>
      </c>
      <c r="J11311">
        <v>298</v>
      </c>
      <c r="K11311">
        <v>0</v>
      </c>
      <c r="L11311">
        <v>366.54</v>
      </c>
    </row>
    <row r="11312" spans="1:12" x14ac:dyDescent="0.25">
      <c r="A11312" t="str">
        <f t="shared" si="2434"/>
        <v>89301000</v>
      </c>
      <c r="B11312" t="str">
        <f t="shared" si="2440"/>
        <v>72100000</v>
      </c>
      <c r="C11312" t="str">
        <f t="shared" si="2441"/>
        <v>72100632</v>
      </c>
      <c r="D11312" t="str">
        <f t="shared" si="2442"/>
        <v>816</v>
      </c>
      <c r="E11312" t="str">
        <f t="shared" si="2438"/>
        <v>89301091</v>
      </c>
      <c r="F11312" t="str">
        <f>"2260160298"</f>
        <v>2260160298</v>
      </c>
      <c r="G11312" s="1">
        <v>44855</v>
      </c>
      <c r="H11312" t="str">
        <f t="shared" si="2439"/>
        <v>94297</v>
      </c>
      <c r="I11312">
        <v>1</v>
      </c>
      <c r="J11312">
        <v>298</v>
      </c>
      <c r="K11312">
        <v>0</v>
      </c>
      <c r="L11312">
        <v>366.54</v>
      </c>
    </row>
    <row r="11313" spans="1:12" x14ac:dyDescent="0.25">
      <c r="A11313" t="str">
        <f t="shared" si="2434"/>
        <v>89301000</v>
      </c>
      <c r="B11313" t="str">
        <f t="shared" si="2440"/>
        <v>72100000</v>
      </c>
      <c r="C11313" t="str">
        <f t="shared" si="2441"/>
        <v>72100632</v>
      </c>
      <c r="D11313" t="str">
        <f t="shared" si="2442"/>
        <v>816</v>
      </c>
      <c r="E11313" t="str">
        <f t="shared" si="2438"/>
        <v>89301091</v>
      </c>
      <c r="F11313" t="str">
        <f>"2260160320"</f>
        <v>2260160320</v>
      </c>
      <c r="G11313" s="1">
        <v>44855</v>
      </c>
      <c r="H11313" t="str">
        <f t="shared" si="2439"/>
        <v>94297</v>
      </c>
      <c r="I11313">
        <v>1</v>
      </c>
      <c r="J11313">
        <v>298</v>
      </c>
      <c r="K11313">
        <v>0</v>
      </c>
      <c r="L11313">
        <v>366.54</v>
      </c>
    </row>
    <row r="11314" spans="1:12" x14ac:dyDescent="0.25">
      <c r="A11314" t="str">
        <f t="shared" si="2434"/>
        <v>89301000</v>
      </c>
      <c r="B11314" t="str">
        <f t="shared" si="2440"/>
        <v>72100000</v>
      </c>
      <c r="C11314" t="str">
        <f t="shared" si="2441"/>
        <v>72100632</v>
      </c>
      <c r="D11314" t="str">
        <f t="shared" si="2442"/>
        <v>816</v>
      </c>
      <c r="E11314" t="str">
        <f t="shared" si="2438"/>
        <v>89301091</v>
      </c>
      <c r="F11314" t="str">
        <f>"2210170545"</f>
        <v>2210170545</v>
      </c>
      <c r="G11314" s="1">
        <v>44858</v>
      </c>
      <c r="H11314" t="str">
        <f t="shared" si="2439"/>
        <v>94297</v>
      </c>
      <c r="I11314">
        <v>1</v>
      </c>
      <c r="J11314">
        <v>298</v>
      </c>
      <c r="K11314">
        <v>0</v>
      </c>
      <c r="L11314">
        <v>366.54</v>
      </c>
    </row>
    <row r="11315" spans="1:12" x14ac:dyDescent="0.25">
      <c r="A11315" t="str">
        <f t="shared" si="2434"/>
        <v>89301000</v>
      </c>
      <c r="B11315" t="str">
        <f t="shared" si="2440"/>
        <v>72100000</v>
      </c>
      <c r="C11315" t="str">
        <f t="shared" si="2441"/>
        <v>72100632</v>
      </c>
      <c r="D11315" t="str">
        <f t="shared" si="2442"/>
        <v>816</v>
      </c>
      <c r="E11315" t="str">
        <f t="shared" si="2438"/>
        <v>89301091</v>
      </c>
      <c r="F11315" t="str">
        <f>"2210180478"</f>
        <v>2210180478</v>
      </c>
      <c r="G11315" s="1">
        <v>44859</v>
      </c>
      <c r="H11315" t="str">
        <f t="shared" si="2439"/>
        <v>94297</v>
      </c>
      <c r="I11315">
        <v>1</v>
      </c>
      <c r="J11315">
        <v>298</v>
      </c>
      <c r="K11315">
        <v>0</v>
      </c>
      <c r="L11315">
        <v>366.54</v>
      </c>
    </row>
    <row r="11316" spans="1:12" x14ac:dyDescent="0.25">
      <c r="A11316" t="str">
        <f t="shared" si="2434"/>
        <v>89301000</v>
      </c>
      <c r="B11316" t="str">
        <f t="shared" si="2440"/>
        <v>72100000</v>
      </c>
      <c r="C11316" t="str">
        <f t="shared" si="2441"/>
        <v>72100632</v>
      </c>
      <c r="D11316" t="str">
        <f t="shared" si="2442"/>
        <v>816</v>
      </c>
      <c r="E11316" t="str">
        <f t="shared" si="2438"/>
        <v>89301091</v>
      </c>
      <c r="F11316" t="str">
        <f>"2210180511"</f>
        <v>2210180511</v>
      </c>
      <c r="G11316" s="1">
        <v>44859</v>
      </c>
      <c r="H11316" t="str">
        <f t="shared" si="2439"/>
        <v>94297</v>
      </c>
      <c r="I11316">
        <v>1</v>
      </c>
      <c r="J11316">
        <v>298</v>
      </c>
      <c r="K11316">
        <v>0</v>
      </c>
      <c r="L11316">
        <v>366.54</v>
      </c>
    </row>
    <row r="11317" spans="1:12" x14ac:dyDescent="0.25">
      <c r="A11317" t="str">
        <f t="shared" si="2434"/>
        <v>89301000</v>
      </c>
      <c r="B11317" t="str">
        <f t="shared" ref="B11317:B11330" si="2443">"89903000"</f>
        <v>89903000</v>
      </c>
      <c r="C11317" t="str">
        <f t="shared" ref="C11317:C11330" si="2444">"89903503"</f>
        <v>89903503</v>
      </c>
      <c r="D11317" t="str">
        <f t="shared" ref="D11317:D11330" si="2445">"809"</f>
        <v>809</v>
      </c>
      <c r="E11317" t="str">
        <f t="shared" ref="E11317:E11330" si="2446">"89301062"</f>
        <v>89301062</v>
      </c>
      <c r="F11317" t="str">
        <f t="shared" ref="F11317:F11326" si="2447">"6156091183"</f>
        <v>6156091183</v>
      </c>
      <c r="G11317" s="1">
        <v>44866</v>
      </c>
      <c r="H11317" t="str">
        <f>"09233"</f>
        <v>09233</v>
      </c>
      <c r="I11317">
        <v>1</v>
      </c>
      <c r="J11317">
        <v>99</v>
      </c>
      <c r="K11317">
        <v>0</v>
      </c>
      <c r="L11317">
        <v>138.6</v>
      </c>
    </row>
    <row r="11318" spans="1:12" x14ac:dyDescent="0.25">
      <c r="A11318" t="str">
        <f t="shared" si="2434"/>
        <v>89301000</v>
      </c>
      <c r="B11318" t="str">
        <f t="shared" si="2443"/>
        <v>89903000</v>
      </c>
      <c r="C11318" t="str">
        <f t="shared" si="2444"/>
        <v>89903503</v>
      </c>
      <c r="D11318" t="str">
        <f t="shared" si="2445"/>
        <v>809</v>
      </c>
      <c r="E11318" t="str">
        <f t="shared" si="2446"/>
        <v>89301062</v>
      </c>
      <c r="F11318" t="str">
        <f t="shared" si="2447"/>
        <v>6156091183</v>
      </c>
      <c r="G11318" s="1">
        <v>44866</v>
      </c>
      <c r="H11318" t="str">
        <f>"89311"</f>
        <v>89311</v>
      </c>
      <c r="I11318">
        <v>1</v>
      </c>
      <c r="J11318">
        <v>936</v>
      </c>
      <c r="K11318">
        <v>0</v>
      </c>
      <c r="L11318">
        <v>1310.4000000000001</v>
      </c>
    </row>
    <row r="11319" spans="1:12" x14ac:dyDescent="0.25">
      <c r="A11319" t="str">
        <f t="shared" si="2434"/>
        <v>89301000</v>
      </c>
      <c r="B11319" t="str">
        <f t="shared" si="2443"/>
        <v>89903000</v>
      </c>
      <c r="C11319" t="str">
        <f t="shared" si="2444"/>
        <v>89903503</v>
      </c>
      <c r="D11319" t="str">
        <f t="shared" si="2445"/>
        <v>809</v>
      </c>
      <c r="E11319" t="str">
        <f t="shared" si="2446"/>
        <v>89301062</v>
      </c>
      <c r="F11319" t="str">
        <f t="shared" si="2447"/>
        <v>6156091183</v>
      </c>
      <c r="G11319" s="1">
        <v>44866</v>
      </c>
      <c r="H11319" t="str">
        <f>"89615"</f>
        <v>89615</v>
      </c>
      <c r="I11319">
        <v>1</v>
      </c>
      <c r="J11319">
        <v>2170</v>
      </c>
      <c r="K11319">
        <v>0</v>
      </c>
      <c r="L11319">
        <v>1302</v>
      </c>
    </row>
    <row r="11320" spans="1:12" x14ac:dyDescent="0.25">
      <c r="A11320" t="str">
        <f t="shared" si="2434"/>
        <v>89301000</v>
      </c>
      <c r="B11320" t="str">
        <f t="shared" si="2443"/>
        <v>89903000</v>
      </c>
      <c r="C11320" t="str">
        <f t="shared" si="2444"/>
        <v>89903503</v>
      </c>
      <c r="D11320" t="str">
        <f t="shared" si="2445"/>
        <v>809</v>
      </c>
      <c r="E11320" t="str">
        <f t="shared" si="2446"/>
        <v>89301062</v>
      </c>
      <c r="F11320" t="str">
        <f t="shared" si="2447"/>
        <v>6156091183</v>
      </c>
      <c r="G11320" s="1">
        <v>44866</v>
      </c>
      <c r="H11320" t="str">
        <f>"0000502"</f>
        <v>0000502</v>
      </c>
      <c r="I11320">
        <v>0.1</v>
      </c>
      <c r="K11320">
        <v>6.97</v>
      </c>
      <c r="L11320">
        <v>6.97</v>
      </c>
    </row>
    <row r="11321" spans="1:12" x14ac:dyDescent="0.25">
      <c r="A11321" t="str">
        <f t="shared" si="2434"/>
        <v>89301000</v>
      </c>
      <c r="B11321" t="str">
        <f t="shared" si="2443"/>
        <v>89903000</v>
      </c>
      <c r="C11321" t="str">
        <f t="shared" si="2444"/>
        <v>89903503</v>
      </c>
      <c r="D11321" t="str">
        <f t="shared" si="2445"/>
        <v>809</v>
      </c>
      <c r="E11321" t="str">
        <f t="shared" si="2446"/>
        <v>89301062</v>
      </c>
      <c r="F11321" t="str">
        <f t="shared" si="2447"/>
        <v>6156091183</v>
      </c>
      <c r="G11321" s="1">
        <v>44866</v>
      </c>
      <c r="H11321" t="str">
        <f>"0096251"</f>
        <v>0096251</v>
      </c>
      <c r="I11321">
        <v>8.0000000000000002E-3</v>
      </c>
      <c r="K11321">
        <v>9.36</v>
      </c>
      <c r="L11321">
        <v>9.36</v>
      </c>
    </row>
    <row r="11322" spans="1:12" x14ac:dyDescent="0.25">
      <c r="A11322" t="str">
        <f t="shared" si="2434"/>
        <v>89301000</v>
      </c>
      <c r="B11322" t="str">
        <f t="shared" si="2443"/>
        <v>89903000</v>
      </c>
      <c r="C11322" t="str">
        <f t="shared" si="2444"/>
        <v>89903503</v>
      </c>
      <c r="D11322" t="str">
        <f t="shared" si="2445"/>
        <v>809</v>
      </c>
      <c r="E11322" t="str">
        <f t="shared" si="2446"/>
        <v>89301062</v>
      </c>
      <c r="F11322" t="str">
        <f t="shared" si="2447"/>
        <v>6156091183</v>
      </c>
      <c r="G11322" s="1">
        <v>44866</v>
      </c>
      <c r="H11322" t="str">
        <f>"0225891"</f>
        <v>0225891</v>
      </c>
      <c r="I11322">
        <v>0.05</v>
      </c>
      <c r="K11322">
        <v>18.39</v>
      </c>
      <c r="L11322">
        <v>18.39</v>
      </c>
    </row>
    <row r="11323" spans="1:12" x14ac:dyDescent="0.25">
      <c r="A11323" t="str">
        <f t="shared" si="2434"/>
        <v>89301000</v>
      </c>
      <c r="B11323" t="str">
        <f t="shared" si="2443"/>
        <v>89903000</v>
      </c>
      <c r="C11323" t="str">
        <f t="shared" si="2444"/>
        <v>89903503</v>
      </c>
      <c r="D11323" t="str">
        <f t="shared" si="2445"/>
        <v>809</v>
      </c>
      <c r="E11323" t="str">
        <f t="shared" si="2446"/>
        <v>89301062</v>
      </c>
      <c r="F11323" t="str">
        <f t="shared" si="2447"/>
        <v>6156091183</v>
      </c>
      <c r="G11323" s="1">
        <v>44880</v>
      </c>
      <c r="H11323" t="str">
        <f>"09233"</f>
        <v>09233</v>
      </c>
      <c r="I11323">
        <v>1</v>
      </c>
      <c r="J11323">
        <v>99</v>
      </c>
      <c r="K11323">
        <v>0</v>
      </c>
      <c r="L11323">
        <v>138.6</v>
      </c>
    </row>
    <row r="11324" spans="1:12" x14ac:dyDescent="0.25">
      <c r="A11324" t="str">
        <f t="shared" si="2434"/>
        <v>89301000</v>
      </c>
      <c r="B11324" t="str">
        <f t="shared" si="2443"/>
        <v>89903000</v>
      </c>
      <c r="C11324" t="str">
        <f t="shared" si="2444"/>
        <v>89903503</v>
      </c>
      <c r="D11324" t="str">
        <f t="shared" si="2445"/>
        <v>809</v>
      </c>
      <c r="E11324" t="str">
        <f t="shared" si="2446"/>
        <v>89301062</v>
      </c>
      <c r="F11324" t="str">
        <f t="shared" si="2447"/>
        <v>6156091183</v>
      </c>
      <c r="G11324" s="1">
        <v>44880</v>
      </c>
      <c r="H11324" t="str">
        <f>"89311"</f>
        <v>89311</v>
      </c>
      <c r="I11324">
        <v>1</v>
      </c>
      <c r="J11324">
        <v>936</v>
      </c>
      <c r="K11324">
        <v>0</v>
      </c>
      <c r="L11324">
        <v>1310.4000000000001</v>
      </c>
    </row>
    <row r="11325" spans="1:12" x14ac:dyDescent="0.25">
      <c r="A11325" t="str">
        <f t="shared" si="2434"/>
        <v>89301000</v>
      </c>
      <c r="B11325" t="str">
        <f t="shared" si="2443"/>
        <v>89903000</v>
      </c>
      <c r="C11325" t="str">
        <f t="shared" si="2444"/>
        <v>89903503</v>
      </c>
      <c r="D11325" t="str">
        <f t="shared" si="2445"/>
        <v>809</v>
      </c>
      <c r="E11325" t="str">
        <f t="shared" si="2446"/>
        <v>89301062</v>
      </c>
      <c r="F11325" t="str">
        <f t="shared" si="2447"/>
        <v>6156091183</v>
      </c>
      <c r="G11325" s="1">
        <v>44880</v>
      </c>
      <c r="H11325" t="str">
        <f>"89615"</f>
        <v>89615</v>
      </c>
      <c r="I11325">
        <v>1</v>
      </c>
      <c r="J11325">
        <v>2170</v>
      </c>
      <c r="K11325">
        <v>0</v>
      </c>
      <c r="L11325">
        <v>1302</v>
      </c>
    </row>
    <row r="11326" spans="1:12" x14ac:dyDescent="0.25">
      <c r="A11326" t="str">
        <f t="shared" si="2434"/>
        <v>89301000</v>
      </c>
      <c r="B11326" t="str">
        <f t="shared" si="2443"/>
        <v>89903000</v>
      </c>
      <c r="C11326" t="str">
        <f t="shared" si="2444"/>
        <v>89903503</v>
      </c>
      <c r="D11326" t="str">
        <f t="shared" si="2445"/>
        <v>809</v>
      </c>
      <c r="E11326" t="str">
        <f t="shared" si="2446"/>
        <v>89301062</v>
      </c>
      <c r="F11326" t="str">
        <f t="shared" si="2447"/>
        <v>6156091183</v>
      </c>
      <c r="G11326" s="1">
        <v>44880</v>
      </c>
      <c r="H11326" t="str">
        <f>"0084090"</f>
        <v>0084090</v>
      </c>
      <c r="I11326">
        <v>0.2</v>
      </c>
      <c r="K11326">
        <v>17.03</v>
      </c>
      <c r="L11326">
        <v>17.03</v>
      </c>
    </row>
    <row r="11327" spans="1:12" x14ac:dyDescent="0.25">
      <c r="A11327" t="str">
        <f t="shared" si="2434"/>
        <v>89301000</v>
      </c>
      <c r="B11327" t="str">
        <f t="shared" si="2443"/>
        <v>89903000</v>
      </c>
      <c r="C11327" t="str">
        <f t="shared" si="2444"/>
        <v>89903503</v>
      </c>
      <c r="D11327" t="str">
        <f t="shared" si="2445"/>
        <v>809</v>
      </c>
      <c r="E11327" t="str">
        <f t="shared" si="2446"/>
        <v>89301062</v>
      </c>
      <c r="F11327" t="str">
        <f>"521227010"</f>
        <v>521227010</v>
      </c>
      <c r="G11327" s="1">
        <v>44831</v>
      </c>
      <c r="H11327" t="str">
        <f>"09233"</f>
        <v>09233</v>
      </c>
      <c r="I11327">
        <v>1</v>
      </c>
      <c r="J11327">
        <v>99</v>
      </c>
      <c r="K11327">
        <v>0</v>
      </c>
      <c r="L11327">
        <v>138.6</v>
      </c>
    </row>
    <row r="11328" spans="1:12" x14ac:dyDescent="0.25">
      <c r="A11328" t="str">
        <f t="shared" si="2434"/>
        <v>89301000</v>
      </c>
      <c r="B11328" t="str">
        <f t="shared" si="2443"/>
        <v>89903000</v>
      </c>
      <c r="C11328" t="str">
        <f t="shared" si="2444"/>
        <v>89903503</v>
      </c>
      <c r="D11328" t="str">
        <f t="shared" si="2445"/>
        <v>809</v>
      </c>
      <c r="E11328" t="str">
        <f t="shared" si="2446"/>
        <v>89301062</v>
      </c>
      <c r="F11328" t="str">
        <f>"521227010"</f>
        <v>521227010</v>
      </c>
      <c r="G11328" s="1">
        <v>44831</v>
      </c>
      <c r="H11328" t="str">
        <f>"89311"</f>
        <v>89311</v>
      </c>
      <c r="I11328">
        <v>1</v>
      </c>
      <c r="J11328">
        <v>936</v>
      </c>
      <c r="K11328">
        <v>0</v>
      </c>
      <c r="L11328">
        <v>1310.4000000000001</v>
      </c>
    </row>
    <row r="11329" spans="1:12" x14ac:dyDescent="0.25">
      <c r="A11329" t="str">
        <f t="shared" si="2434"/>
        <v>89301000</v>
      </c>
      <c r="B11329" t="str">
        <f t="shared" si="2443"/>
        <v>89903000</v>
      </c>
      <c r="C11329" t="str">
        <f t="shared" si="2444"/>
        <v>89903503</v>
      </c>
      <c r="D11329" t="str">
        <f t="shared" si="2445"/>
        <v>809</v>
      </c>
      <c r="E11329" t="str">
        <f t="shared" si="2446"/>
        <v>89301062</v>
      </c>
      <c r="F11329" t="str">
        <f>"521227010"</f>
        <v>521227010</v>
      </c>
      <c r="G11329" s="1">
        <v>44831</v>
      </c>
      <c r="H11329" t="str">
        <f>"89615"</f>
        <v>89615</v>
      </c>
      <c r="I11329">
        <v>1</v>
      </c>
      <c r="J11329">
        <v>2170</v>
      </c>
      <c r="K11329">
        <v>0</v>
      </c>
      <c r="L11329">
        <v>1302</v>
      </c>
    </row>
    <row r="11330" spans="1:12" x14ac:dyDescent="0.25">
      <c r="A11330" t="str">
        <f t="shared" ref="A11330:A11393" si="2448">"89301000"</f>
        <v>89301000</v>
      </c>
      <c r="B11330" t="str">
        <f t="shared" si="2443"/>
        <v>89903000</v>
      </c>
      <c r="C11330" t="str">
        <f t="shared" si="2444"/>
        <v>89903503</v>
      </c>
      <c r="D11330" t="str">
        <f t="shared" si="2445"/>
        <v>809</v>
      </c>
      <c r="E11330" t="str">
        <f t="shared" si="2446"/>
        <v>89301062</v>
      </c>
      <c r="F11330" t="str">
        <f>"521227010"</f>
        <v>521227010</v>
      </c>
      <c r="G11330" s="1">
        <v>44831</v>
      </c>
      <c r="H11330" t="str">
        <f>"0084090"</f>
        <v>0084090</v>
      </c>
      <c r="I11330">
        <v>0.2</v>
      </c>
      <c r="K11330">
        <v>17.03</v>
      </c>
      <c r="L11330">
        <v>17.03</v>
      </c>
    </row>
    <row r="11331" spans="1:12" x14ac:dyDescent="0.25">
      <c r="A11331" t="str">
        <f t="shared" si="2448"/>
        <v>89301000</v>
      </c>
      <c r="B11331" t="str">
        <f t="shared" ref="B11331:B11394" si="2449">"06539000"</f>
        <v>06539000</v>
      </c>
      <c r="C11331" t="str">
        <f>"06539001"</f>
        <v>06539001</v>
      </c>
      <c r="D11331" t="str">
        <f>"801"</f>
        <v>801</v>
      </c>
      <c r="E11331" t="str">
        <f t="shared" ref="E11331:E11394" si="2450">"89301171"</f>
        <v>89301171</v>
      </c>
      <c r="F11331" t="str">
        <f t="shared" ref="F11331:F11359" si="2451">"9852196167"</f>
        <v>9852196167</v>
      </c>
      <c r="G11331" s="1">
        <v>44848</v>
      </c>
      <c r="H11331" t="str">
        <f>"81329"</f>
        <v>81329</v>
      </c>
      <c r="I11331">
        <v>1</v>
      </c>
      <c r="J11331">
        <v>16</v>
      </c>
      <c r="K11331">
        <v>0</v>
      </c>
      <c r="L11331">
        <v>12.48</v>
      </c>
    </row>
    <row r="11332" spans="1:12" x14ac:dyDescent="0.25">
      <c r="A11332" t="str">
        <f t="shared" si="2448"/>
        <v>89301000</v>
      </c>
      <c r="B11332" t="str">
        <f t="shared" si="2449"/>
        <v>06539000</v>
      </c>
      <c r="C11332" t="str">
        <f>"06539001"</f>
        <v>06539001</v>
      </c>
      <c r="D11332" t="str">
        <f>"801"</f>
        <v>801</v>
      </c>
      <c r="E11332" t="str">
        <f t="shared" si="2450"/>
        <v>89301171</v>
      </c>
      <c r="F11332" t="str">
        <f t="shared" si="2451"/>
        <v>9852196167</v>
      </c>
      <c r="G11332" s="1">
        <v>44848</v>
      </c>
      <c r="H11332" t="str">
        <f>"81331"</f>
        <v>81331</v>
      </c>
      <c r="I11332">
        <v>1</v>
      </c>
      <c r="J11332">
        <v>193</v>
      </c>
      <c r="K11332">
        <v>0</v>
      </c>
      <c r="L11332">
        <v>150.54</v>
      </c>
    </row>
    <row r="11333" spans="1:12" x14ac:dyDescent="0.25">
      <c r="A11333" t="str">
        <f t="shared" si="2448"/>
        <v>89301000</v>
      </c>
      <c r="B11333" t="str">
        <f t="shared" si="2449"/>
        <v>06539000</v>
      </c>
      <c r="C11333" t="str">
        <f t="shared" ref="C11333:C11359" si="2452">"06539003"</f>
        <v>06539003</v>
      </c>
      <c r="D11333" t="str">
        <f t="shared" ref="D11333:D11359" si="2453">"813"</f>
        <v>813</v>
      </c>
      <c r="E11333" t="str">
        <f t="shared" si="2450"/>
        <v>89301171</v>
      </c>
      <c r="F11333" t="str">
        <f t="shared" si="2451"/>
        <v>9852196167</v>
      </c>
      <c r="G11333" s="1">
        <v>44853</v>
      </c>
      <c r="H11333" t="str">
        <f t="shared" ref="H11333:H11342" si="2454">"91413"</f>
        <v>91413</v>
      </c>
      <c r="I11333">
        <v>1</v>
      </c>
      <c r="J11333">
        <v>853</v>
      </c>
      <c r="K11333">
        <v>0</v>
      </c>
      <c r="L11333">
        <v>665.34</v>
      </c>
    </row>
    <row r="11334" spans="1:12" x14ac:dyDescent="0.25">
      <c r="A11334" t="str">
        <f t="shared" si="2448"/>
        <v>89301000</v>
      </c>
      <c r="B11334" t="str">
        <f t="shared" si="2449"/>
        <v>06539000</v>
      </c>
      <c r="C11334" t="str">
        <f t="shared" si="2452"/>
        <v>06539003</v>
      </c>
      <c r="D11334" t="str">
        <f t="shared" si="2453"/>
        <v>813</v>
      </c>
      <c r="E11334" t="str">
        <f t="shared" si="2450"/>
        <v>89301171</v>
      </c>
      <c r="F11334" t="str">
        <f t="shared" si="2451"/>
        <v>9852196167</v>
      </c>
      <c r="G11334" s="1">
        <v>44853</v>
      </c>
      <c r="H11334" t="str">
        <f t="shared" si="2454"/>
        <v>91413</v>
      </c>
      <c r="I11334">
        <v>1</v>
      </c>
      <c r="J11334">
        <v>853</v>
      </c>
      <c r="K11334">
        <v>0</v>
      </c>
      <c r="L11334">
        <v>665.34</v>
      </c>
    </row>
    <row r="11335" spans="1:12" x14ac:dyDescent="0.25">
      <c r="A11335" t="str">
        <f t="shared" si="2448"/>
        <v>89301000</v>
      </c>
      <c r="B11335" t="str">
        <f t="shared" si="2449"/>
        <v>06539000</v>
      </c>
      <c r="C11335" t="str">
        <f t="shared" si="2452"/>
        <v>06539003</v>
      </c>
      <c r="D11335" t="str">
        <f t="shared" si="2453"/>
        <v>813</v>
      </c>
      <c r="E11335" t="str">
        <f t="shared" si="2450"/>
        <v>89301171</v>
      </c>
      <c r="F11335" t="str">
        <f t="shared" si="2451"/>
        <v>9852196167</v>
      </c>
      <c r="G11335" s="1">
        <v>44866</v>
      </c>
      <c r="H11335" t="str">
        <f t="shared" si="2454"/>
        <v>91413</v>
      </c>
      <c r="I11335">
        <v>1</v>
      </c>
      <c r="J11335">
        <v>853</v>
      </c>
      <c r="K11335">
        <v>0</v>
      </c>
      <c r="L11335">
        <v>665.34</v>
      </c>
    </row>
    <row r="11336" spans="1:12" x14ac:dyDescent="0.25">
      <c r="A11336" t="str">
        <f t="shared" si="2448"/>
        <v>89301000</v>
      </c>
      <c r="B11336" t="str">
        <f t="shared" si="2449"/>
        <v>06539000</v>
      </c>
      <c r="C11336" t="str">
        <f t="shared" si="2452"/>
        <v>06539003</v>
      </c>
      <c r="D11336" t="str">
        <f t="shared" si="2453"/>
        <v>813</v>
      </c>
      <c r="E11336" t="str">
        <f t="shared" si="2450"/>
        <v>89301171</v>
      </c>
      <c r="F11336" t="str">
        <f t="shared" si="2451"/>
        <v>9852196167</v>
      </c>
      <c r="G11336" s="1">
        <v>44866</v>
      </c>
      <c r="H11336" t="str">
        <f t="shared" si="2454"/>
        <v>91413</v>
      </c>
      <c r="I11336">
        <v>1</v>
      </c>
      <c r="J11336">
        <v>853</v>
      </c>
      <c r="K11336">
        <v>0</v>
      </c>
      <c r="L11336">
        <v>665.34</v>
      </c>
    </row>
    <row r="11337" spans="1:12" x14ac:dyDescent="0.25">
      <c r="A11337" t="str">
        <f t="shared" si="2448"/>
        <v>89301000</v>
      </c>
      <c r="B11337" t="str">
        <f t="shared" si="2449"/>
        <v>06539000</v>
      </c>
      <c r="C11337" t="str">
        <f t="shared" si="2452"/>
        <v>06539003</v>
      </c>
      <c r="D11337" t="str">
        <f t="shared" si="2453"/>
        <v>813</v>
      </c>
      <c r="E11337" t="str">
        <f t="shared" si="2450"/>
        <v>89301171</v>
      </c>
      <c r="F11337" t="str">
        <f t="shared" si="2451"/>
        <v>9852196167</v>
      </c>
      <c r="G11337" s="1">
        <v>44867</v>
      </c>
      <c r="H11337" t="str">
        <f t="shared" si="2454"/>
        <v>91413</v>
      </c>
      <c r="I11337">
        <v>1</v>
      </c>
      <c r="J11337">
        <v>853</v>
      </c>
      <c r="K11337">
        <v>0</v>
      </c>
      <c r="L11337">
        <v>665.34</v>
      </c>
    </row>
    <row r="11338" spans="1:12" x14ac:dyDescent="0.25">
      <c r="A11338" t="str">
        <f t="shared" si="2448"/>
        <v>89301000</v>
      </c>
      <c r="B11338" t="str">
        <f t="shared" si="2449"/>
        <v>06539000</v>
      </c>
      <c r="C11338" t="str">
        <f t="shared" si="2452"/>
        <v>06539003</v>
      </c>
      <c r="D11338" t="str">
        <f t="shared" si="2453"/>
        <v>813</v>
      </c>
      <c r="E11338" t="str">
        <f t="shared" si="2450"/>
        <v>89301171</v>
      </c>
      <c r="F11338" t="str">
        <f t="shared" si="2451"/>
        <v>9852196167</v>
      </c>
      <c r="G11338" s="1">
        <v>44867</v>
      </c>
      <c r="H11338" t="str">
        <f t="shared" si="2454"/>
        <v>91413</v>
      </c>
      <c r="I11338">
        <v>1</v>
      </c>
      <c r="J11338">
        <v>853</v>
      </c>
      <c r="K11338">
        <v>0</v>
      </c>
      <c r="L11338">
        <v>665.34</v>
      </c>
    </row>
    <row r="11339" spans="1:12" x14ac:dyDescent="0.25">
      <c r="A11339" t="str">
        <f t="shared" si="2448"/>
        <v>89301000</v>
      </c>
      <c r="B11339" t="str">
        <f t="shared" si="2449"/>
        <v>06539000</v>
      </c>
      <c r="C11339" t="str">
        <f t="shared" si="2452"/>
        <v>06539003</v>
      </c>
      <c r="D11339" t="str">
        <f t="shared" si="2453"/>
        <v>813</v>
      </c>
      <c r="E11339" t="str">
        <f t="shared" si="2450"/>
        <v>89301171</v>
      </c>
      <c r="F11339" t="str">
        <f t="shared" si="2451"/>
        <v>9852196167</v>
      </c>
      <c r="G11339" s="1">
        <v>44866</v>
      </c>
      <c r="H11339" t="str">
        <f t="shared" si="2454"/>
        <v>91413</v>
      </c>
      <c r="I11339">
        <v>1</v>
      </c>
      <c r="J11339">
        <v>853</v>
      </c>
      <c r="K11339">
        <v>0</v>
      </c>
      <c r="L11339">
        <v>665.34</v>
      </c>
    </row>
    <row r="11340" spans="1:12" x14ac:dyDescent="0.25">
      <c r="A11340" t="str">
        <f t="shared" si="2448"/>
        <v>89301000</v>
      </c>
      <c r="B11340" t="str">
        <f t="shared" si="2449"/>
        <v>06539000</v>
      </c>
      <c r="C11340" t="str">
        <f t="shared" si="2452"/>
        <v>06539003</v>
      </c>
      <c r="D11340" t="str">
        <f t="shared" si="2453"/>
        <v>813</v>
      </c>
      <c r="E11340" t="str">
        <f t="shared" si="2450"/>
        <v>89301171</v>
      </c>
      <c r="F11340" t="str">
        <f t="shared" si="2451"/>
        <v>9852196167</v>
      </c>
      <c r="G11340" s="1">
        <v>44866</v>
      </c>
      <c r="H11340" t="str">
        <f t="shared" si="2454"/>
        <v>91413</v>
      </c>
      <c r="I11340">
        <v>1</v>
      </c>
      <c r="J11340">
        <v>853</v>
      </c>
      <c r="K11340">
        <v>0</v>
      </c>
      <c r="L11340">
        <v>665.34</v>
      </c>
    </row>
    <row r="11341" spans="1:12" x14ac:dyDescent="0.25">
      <c r="A11341" t="str">
        <f t="shared" si="2448"/>
        <v>89301000</v>
      </c>
      <c r="B11341" t="str">
        <f t="shared" si="2449"/>
        <v>06539000</v>
      </c>
      <c r="C11341" t="str">
        <f t="shared" si="2452"/>
        <v>06539003</v>
      </c>
      <c r="D11341" t="str">
        <f t="shared" si="2453"/>
        <v>813</v>
      </c>
      <c r="E11341" t="str">
        <f t="shared" si="2450"/>
        <v>89301171</v>
      </c>
      <c r="F11341" t="str">
        <f t="shared" si="2451"/>
        <v>9852196167</v>
      </c>
      <c r="G11341" s="1">
        <v>44866</v>
      </c>
      <c r="H11341" t="str">
        <f t="shared" si="2454"/>
        <v>91413</v>
      </c>
      <c r="I11341">
        <v>1</v>
      </c>
      <c r="J11341">
        <v>853</v>
      </c>
      <c r="K11341">
        <v>0</v>
      </c>
      <c r="L11341">
        <v>665.34</v>
      </c>
    </row>
    <row r="11342" spans="1:12" x14ac:dyDescent="0.25">
      <c r="A11342" t="str">
        <f t="shared" si="2448"/>
        <v>89301000</v>
      </c>
      <c r="B11342" t="str">
        <f t="shared" si="2449"/>
        <v>06539000</v>
      </c>
      <c r="C11342" t="str">
        <f t="shared" si="2452"/>
        <v>06539003</v>
      </c>
      <c r="D11342" t="str">
        <f t="shared" si="2453"/>
        <v>813</v>
      </c>
      <c r="E11342" t="str">
        <f t="shared" si="2450"/>
        <v>89301171</v>
      </c>
      <c r="F11342" t="str">
        <f t="shared" si="2451"/>
        <v>9852196167</v>
      </c>
      <c r="G11342" s="1">
        <v>44866</v>
      </c>
      <c r="H11342" t="str">
        <f t="shared" si="2454"/>
        <v>91413</v>
      </c>
      <c r="I11342">
        <v>1</v>
      </c>
      <c r="J11342">
        <v>853</v>
      </c>
      <c r="K11342">
        <v>0</v>
      </c>
      <c r="L11342">
        <v>665.34</v>
      </c>
    </row>
    <row r="11343" spans="1:12" x14ac:dyDescent="0.25">
      <c r="A11343" t="str">
        <f t="shared" si="2448"/>
        <v>89301000</v>
      </c>
      <c r="B11343" t="str">
        <f t="shared" si="2449"/>
        <v>06539000</v>
      </c>
      <c r="C11343" t="str">
        <f t="shared" si="2452"/>
        <v>06539003</v>
      </c>
      <c r="D11343" t="str">
        <f t="shared" si="2453"/>
        <v>813</v>
      </c>
      <c r="E11343" t="str">
        <f t="shared" si="2450"/>
        <v>89301171</v>
      </c>
      <c r="F11343" t="str">
        <f t="shared" si="2451"/>
        <v>9852196167</v>
      </c>
      <c r="G11343" s="1">
        <v>44848</v>
      </c>
      <c r="H11343" t="str">
        <f t="shared" ref="H11343:H11348" si="2455">"91197"</f>
        <v>91197</v>
      </c>
      <c r="I11343">
        <v>1</v>
      </c>
      <c r="J11343">
        <v>1046</v>
      </c>
      <c r="K11343">
        <v>0</v>
      </c>
      <c r="L11343">
        <v>815.88</v>
      </c>
    </row>
    <row r="11344" spans="1:12" x14ac:dyDescent="0.25">
      <c r="A11344" t="str">
        <f t="shared" si="2448"/>
        <v>89301000</v>
      </c>
      <c r="B11344" t="str">
        <f t="shared" si="2449"/>
        <v>06539000</v>
      </c>
      <c r="C11344" t="str">
        <f t="shared" si="2452"/>
        <v>06539003</v>
      </c>
      <c r="D11344" t="str">
        <f t="shared" si="2453"/>
        <v>813</v>
      </c>
      <c r="E11344" t="str">
        <f t="shared" si="2450"/>
        <v>89301171</v>
      </c>
      <c r="F11344" t="str">
        <f t="shared" si="2451"/>
        <v>9852196167</v>
      </c>
      <c r="G11344" s="1">
        <v>44850</v>
      </c>
      <c r="H11344" t="str">
        <f t="shared" si="2455"/>
        <v>91197</v>
      </c>
      <c r="I11344">
        <v>1</v>
      </c>
      <c r="J11344">
        <v>1046</v>
      </c>
      <c r="K11344">
        <v>0</v>
      </c>
      <c r="L11344">
        <v>815.88</v>
      </c>
    </row>
    <row r="11345" spans="1:12" x14ac:dyDescent="0.25">
      <c r="A11345" t="str">
        <f t="shared" si="2448"/>
        <v>89301000</v>
      </c>
      <c r="B11345" t="str">
        <f t="shared" si="2449"/>
        <v>06539000</v>
      </c>
      <c r="C11345" t="str">
        <f t="shared" si="2452"/>
        <v>06539003</v>
      </c>
      <c r="D11345" t="str">
        <f t="shared" si="2453"/>
        <v>813</v>
      </c>
      <c r="E11345" t="str">
        <f t="shared" si="2450"/>
        <v>89301171</v>
      </c>
      <c r="F11345" t="str">
        <f t="shared" si="2451"/>
        <v>9852196167</v>
      </c>
      <c r="G11345" s="1">
        <v>44850</v>
      </c>
      <c r="H11345" t="str">
        <f t="shared" si="2455"/>
        <v>91197</v>
      </c>
      <c r="I11345">
        <v>1</v>
      </c>
      <c r="J11345">
        <v>1046</v>
      </c>
      <c r="K11345">
        <v>0</v>
      </c>
      <c r="L11345">
        <v>815.88</v>
      </c>
    </row>
    <row r="11346" spans="1:12" x14ac:dyDescent="0.25">
      <c r="A11346" t="str">
        <f t="shared" si="2448"/>
        <v>89301000</v>
      </c>
      <c r="B11346" t="str">
        <f t="shared" si="2449"/>
        <v>06539000</v>
      </c>
      <c r="C11346" t="str">
        <f t="shared" si="2452"/>
        <v>06539003</v>
      </c>
      <c r="D11346" t="str">
        <f t="shared" si="2453"/>
        <v>813</v>
      </c>
      <c r="E11346" t="str">
        <f t="shared" si="2450"/>
        <v>89301171</v>
      </c>
      <c r="F11346" t="str">
        <f t="shared" si="2451"/>
        <v>9852196167</v>
      </c>
      <c r="G11346" s="1">
        <v>44849</v>
      </c>
      <c r="H11346" t="str">
        <f t="shared" si="2455"/>
        <v>91197</v>
      </c>
      <c r="I11346">
        <v>1</v>
      </c>
      <c r="J11346">
        <v>1046</v>
      </c>
      <c r="K11346">
        <v>0</v>
      </c>
      <c r="L11346">
        <v>815.88</v>
      </c>
    </row>
    <row r="11347" spans="1:12" x14ac:dyDescent="0.25">
      <c r="A11347" t="str">
        <f t="shared" si="2448"/>
        <v>89301000</v>
      </c>
      <c r="B11347" t="str">
        <f t="shared" si="2449"/>
        <v>06539000</v>
      </c>
      <c r="C11347" t="str">
        <f t="shared" si="2452"/>
        <v>06539003</v>
      </c>
      <c r="D11347" t="str">
        <f t="shared" si="2453"/>
        <v>813</v>
      </c>
      <c r="E11347" t="str">
        <f t="shared" si="2450"/>
        <v>89301171</v>
      </c>
      <c r="F11347" t="str">
        <f t="shared" si="2451"/>
        <v>9852196167</v>
      </c>
      <c r="G11347" s="1">
        <v>44849</v>
      </c>
      <c r="H11347" t="str">
        <f t="shared" si="2455"/>
        <v>91197</v>
      </c>
      <c r="I11347">
        <v>1</v>
      </c>
      <c r="J11347">
        <v>1046</v>
      </c>
      <c r="K11347">
        <v>0</v>
      </c>
      <c r="L11347">
        <v>815.88</v>
      </c>
    </row>
    <row r="11348" spans="1:12" x14ac:dyDescent="0.25">
      <c r="A11348" t="str">
        <f t="shared" si="2448"/>
        <v>89301000</v>
      </c>
      <c r="B11348" t="str">
        <f t="shared" si="2449"/>
        <v>06539000</v>
      </c>
      <c r="C11348" t="str">
        <f t="shared" si="2452"/>
        <v>06539003</v>
      </c>
      <c r="D11348" t="str">
        <f t="shared" si="2453"/>
        <v>813</v>
      </c>
      <c r="E11348" t="str">
        <f t="shared" si="2450"/>
        <v>89301171</v>
      </c>
      <c r="F11348" t="str">
        <f t="shared" si="2451"/>
        <v>9852196167</v>
      </c>
      <c r="G11348" s="1">
        <v>44848</v>
      </c>
      <c r="H11348" t="str">
        <f t="shared" si="2455"/>
        <v>91197</v>
      </c>
      <c r="I11348">
        <v>1</v>
      </c>
      <c r="J11348">
        <v>1046</v>
      </c>
      <c r="K11348">
        <v>0</v>
      </c>
      <c r="L11348">
        <v>815.88</v>
      </c>
    </row>
    <row r="11349" spans="1:12" x14ac:dyDescent="0.25">
      <c r="A11349" t="str">
        <f t="shared" si="2448"/>
        <v>89301000</v>
      </c>
      <c r="B11349" t="str">
        <f t="shared" si="2449"/>
        <v>06539000</v>
      </c>
      <c r="C11349" t="str">
        <f t="shared" si="2452"/>
        <v>06539003</v>
      </c>
      <c r="D11349" t="str">
        <f t="shared" si="2453"/>
        <v>813</v>
      </c>
      <c r="E11349" t="str">
        <f t="shared" si="2450"/>
        <v>89301171</v>
      </c>
      <c r="F11349" t="str">
        <f t="shared" si="2451"/>
        <v>9852196167</v>
      </c>
      <c r="G11349" s="1">
        <v>44851</v>
      </c>
      <c r="H11349" t="str">
        <f>"91129"</f>
        <v>91129</v>
      </c>
      <c r="I11349">
        <v>1</v>
      </c>
      <c r="J11349">
        <v>174</v>
      </c>
      <c r="K11349">
        <v>0</v>
      </c>
      <c r="L11349">
        <v>135.72</v>
      </c>
    </row>
    <row r="11350" spans="1:12" x14ac:dyDescent="0.25">
      <c r="A11350" t="str">
        <f t="shared" si="2448"/>
        <v>89301000</v>
      </c>
      <c r="B11350" t="str">
        <f t="shared" si="2449"/>
        <v>06539000</v>
      </c>
      <c r="C11350" t="str">
        <f t="shared" si="2452"/>
        <v>06539003</v>
      </c>
      <c r="D11350" t="str">
        <f t="shared" si="2453"/>
        <v>813</v>
      </c>
      <c r="E11350" t="str">
        <f t="shared" si="2450"/>
        <v>89301171</v>
      </c>
      <c r="F11350" t="str">
        <f t="shared" si="2451"/>
        <v>9852196167</v>
      </c>
      <c r="G11350" s="1">
        <v>44851</v>
      </c>
      <c r="H11350" t="str">
        <f>"91131"</f>
        <v>91131</v>
      </c>
      <c r="I11350">
        <v>1</v>
      </c>
      <c r="J11350">
        <v>171</v>
      </c>
      <c r="K11350">
        <v>0</v>
      </c>
      <c r="L11350">
        <v>133.38</v>
      </c>
    </row>
    <row r="11351" spans="1:12" x14ac:dyDescent="0.25">
      <c r="A11351" t="str">
        <f t="shared" si="2448"/>
        <v>89301000</v>
      </c>
      <c r="B11351" t="str">
        <f t="shared" si="2449"/>
        <v>06539000</v>
      </c>
      <c r="C11351" t="str">
        <f t="shared" si="2452"/>
        <v>06539003</v>
      </c>
      <c r="D11351" t="str">
        <f t="shared" si="2453"/>
        <v>813</v>
      </c>
      <c r="E11351" t="str">
        <f t="shared" si="2450"/>
        <v>89301171</v>
      </c>
      <c r="F11351" t="str">
        <f t="shared" si="2451"/>
        <v>9852196167</v>
      </c>
      <c r="G11351" s="1">
        <v>44851</v>
      </c>
      <c r="H11351" t="str">
        <f>"91133"</f>
        <v>91133</v>
      </c>
      <c r="I11351">
        <v>1</v>
      </c>
      <c r="J11351">
        <v>176</v>
      </c>
      <c r="K11351">
        <v>0</v>
      </c>
      <c r="L11351">
        <v>137.28</v>
      </c>
    </row>
    <row r="11352" spans="1:12" x14ac:dyDescent="0.25">
      <c r="A11352" t="str">
        <f t="shared" si="2448"/>
        <v>89301000</v>
      </c>
      <c r="B11352" t="str">
        <f t="shared" si="2449"/>
        <v>06539000</v>
      </c>
      <c r="C11352" t="str">
        <f t="shared" si="2452"/>
        <v>06539003</v>
      </c>
      <c r="D11352" t="str">
        <f t="shared" si="2453"/>
        <v>813</v>
      </c>
      <c r="E11352" t="str">
        <f t="shared" si="2450"/>
        <v>89301171</v>
      </c>
      <c r="F11352" t="str">
        <f t="shared" si="2451"/>
        <v>9852196167</v>
      </c>
      <c r="G11352" s="1">
        <v>44851</v>
      </c>
      <c r="H11352" t="str">
        <f>"91171"</f>
        <v>91171</v>
      </c>
      <c r="I11352">
        <v>1</v>
      </c>
      <c r="J11352">
        <v>360</v>
      </c>
      <c r="K11352">
        <v>0</v>
      </c>
      <c r="L11352">
        <v>280.8</v>
      </c>
    </row>
    <row r="11353" spans="1:12" x14ac:dyDescent="0.25">
      <c r="A11353" t="str">
        <f t="shared" si="2448"/>
        <v>89301000</v>
      </c>
      <c r="B11353" t="str">
        <f t="shared" si="2449"/>
        <v>06539000</v>
      </c>
      <c r="C11353" t="str">
        <f t="shared" si="2452"/>
        <v>06539003</v>
      </c>
      <c r="D11353" t="str">
        <f t="shared" si="2453"/>
        <v>813</v>
      </c>
      <c r="E11353" t="str">
        <f t="shared" si="2450"/>
        <v>89301171</v>
      </c>
      <c r="F11353" t="str">
        <f t="shared" si="2451"/>
        <v>9852196167</v>
      </c>
      <c r="G11353" s="1">
        <v>44848</v>
      </c>
      <c r="H11353" t="str">
        <f>"91173"</f>
        <v>91173</v>
      </c>
      <c r="I11353">
        <v>1</v>
      </c>
      <c r="J11353">
        <v>335</v>
      </c>
      <c r="K11353">
        <v>0</v>
      </c>
      <c r="L11353">
        <v>261.3</v>
      </c>
    </row>
    <row r="11354" spans="1:12" x14ac:dyDescent="0.25">
      <c r="A11354" t="str">
        <f t="shared" si="2448"/>
        <v>89301000</v>
      </c>
      <c r="B11354" t="str">
        <f t="shared" si="2449"/>
        <v>06539000</v>
      </c>
      <c r="C11354" t="str">
        <f t="shared" si="2452"/>
        <v>06539003</v>
      </c>
      <c r="D11354" t="str">
        <f t="shared" si="2453"/>
        <v>813</v>
      </c>
      <c r="E11354" t="str">
        <f t="shared" si="2450"/>
        <v>89301171</v>
      </c>
      <c r="F11354" t="str">
        <f t="shared" si="2451"/>
        <v>9852196167</v>
      </c>
      <c r="G11354" s="1">
        <v>44851</v>
      </c>
      <c r="H11354" t="str">
        <f>"91175"</f>
        <v>91175</v>
      </c>
      <c r="I11354">
        <v>1</v>
      </c>
      <c r="J11354">
        <v>360</v>
      </c>
      <c r="K11354">
        <v>0</v>
      </c>
      <c r="L11354">
        <v>280.8</v>
      </c>
    </row>
    <row r="11355" spans="1:12" x14ac:dyDescent="0.25">
      <c r="A11355" t="str">
        <f t="shared" si="2448"/>
        <v>89301000</v>
      </c>
      <c r="B11355" t="str">
        <f t="shared" si="2449"/>
        <v>06539000</v>
      </c>
      <c r="C11355" t="str">
        <f t="shared" si="2452"/>
        <v>06539003</v>
      </c>
      <c r="D11355" t="str">
        <f t="shared" si="2453"/>
        <v>813</v>
      </c>
      <c r="E11355" t="str">
        <f t="shared" si="2450"/>
        <v>89301171</v>
      </c>
      <c r="F11355" t="str">
        <f t="shared" si="2451"/>
        <v>9852196167</v>
      </c>
      <c r="G11355" s="1">
        <v>44849</v>
      </c>
      <c r="H11355" t="str">
        <f>"91167"</f>
        <v>91167</v>
      </c>
      <c r="I11355">
        <v>1</v>
      </c>
      <c r="J11355">
        <v>425</v>
      </c>
      <c r="K11355">
        <v>0</v>
      </c>
      <c r="L11355">
        <v>331.5</v>
      </c>
    </row>
    <row r="11356" spans="1:12" x14ac:dyDescent="0.25">
      <c r="A11356" t="str">
        <f t="shared" si="2448"/>
        <v>89301000</v>
      </c>
      <c r="B11356" t="str">
        <f t="shared" si="2449"/>
        <v>06539000</v>
      </c>
      <c r="C11356" t="str">
        <f t="shared" si="2452"/>
        <v>06539003</v>
      </c>
      <c r="D11356" t="str">
        <f t="shared" si="2453"/>
        <v>813</v>
      </c>
      <c r="E11356" t="str">
        <f t="shared" si="2450"/>
        <v>89301171</v>
      </c>
      <c r="F11356" t="str">
        <f t="shared" si="2451"/>
        <v>9852196167</v>
      </c>
      <c r="G11356" s="1">
        <v>44849</v>
      </c>
      <c r="H11356" t="str">
        <f>"91169"</f>
        <v>91169</v>
      </c>
      <c r="I11356">
        <v>1</v>
      </c>
      <c r="J11356">
        <v>425</v>
      </c>
      <c r="K11356">
        <v>0</v>
      </c>
      <c r="L11356">
        <v>331.5</v>
      </c>
    </row>
    <row r="11357" spans="1:12" x14ac:dyDescent="0.25">
      <c r="A11357" t="str">
        <f t="shared" si="2448"/>
        <v>89301000</v>
      </c>
      <c r="B11357" t="str">
        <f t="shared" si="2449"/>
        <v>06539000</v>
      </c>
      <c r="C11357" t="str">
        <f t="shared" si="2452"/>
        <v>06539003</v>
      </c>
      <c r="D11357" t="str">
        <f t="shared" si="2453"/>
        <v>813</v>
      </c>
      <c r="E11357" t="str">
        <f t="shared" si="2450"/>
        <v>89301171</v>
      </c>
      <c r="F11357" t="str">
        <f t="shared" si="2451"/>
        <v>9852196167</v>
      </c>
      <c r="G11357" s="1">
        <v>44848</v>
      </c>
      <c r="H11357" t="str">
        <f>"91167"</f>
        <v>91167</v>
      </c>
      <c r="I11357">
        <v>1</v>
      </c>
      <c r="J11357">
        <v>425</v>
      </c>
      <c r="K11357">
        <v>0</v>
      </c>
      <c r="L11357">
        <v>331.5</v>
      </c>
    </row>
    <row r="11358" spans="1:12" x14ac:dyDescent="0.25">
      <c r="A11358" t="str">
        <f t="shared" si="2448"/>
        <v>89301000</v>
      </c>
      <c r="B11358" t="str">
        <f t="shared" si="2449"/>
        <v>06539000</v>
      </c>
      <c r="C11358" t="str">
        <f t="shared" si="2452"/>
        <v>06539003</v>
      </c>
      <c r="D11358" t="str">
        <f t="shared" si="2453"/>
        <v>813</v>
      </c>
      <c r="E11358" t="str">
        <f t="shared" si="2450"/>
        <v>89301171</v>
      </c>
      <c r="F11358" t="str">
        <f t="shared" si="2451"/>
        <v>9852196167</v>
      </c>
      <c r="G11358" s="1">
        <v>44848</v>
      </c>
      <c r="H11358" t="str">
        <f>"91169"</f>
        <v>91169</v>
      </c>
      <c r="I11358">
        <v>1</v>
      </c>
      <c r="J11358">
        <v>425</v>
      </c>
      <c r="K11358">
        <v>0</v>
      </c>
      <c r="L11358">
        <v>331.5</v>
      </c>
    </row>
    <row r="11359" spans="1:12" x14ac:dyDescent="0.25">
      <c r="A11359" t="str">
        <f t="shared" si="2448"/>
        <v>89301000</v>
      </c>
      <c r="B11359" t="str">
        <f t="shared" si="2449"/>
        <v>06539000</v>
      </c>
      <c r="C11359" t="str">
        <f t="shared" si="2452"/>
        <v>06539003</v>
      </c>
      <c r="D11359" t="str">
        <f t="shared" si="2453"/>
        <v>813</v>
      </c>
      <c r="E11359" t="str">
        <f t="shared" si="2450"/>
        <v>89301171</v>
      </c>
      <c r="F11359" t="str">
        <f t="shared" si="2451"/>
        <v>9852196167</v>
      </c>
      <c r="G11359" s="1">
        <v>44867</v>
      </c>
      <c r="H11359" t="str">
        <f>"91475"</f>
        <v>91475</v>
      </c>
      <c r="I11359">
        <v>1</v>
      </c>
      <c r="J11359">
        <v>206</v>
      </c>
      <c r="K11359">
        <v>0</v>
      </c>
      <c r="L11359">
        <v>160.68</v>
      </c>
    </row>
    <row r="11360" spans="1:12" x14ac:dyDescent="0.25">
      <c r="A11360" t="str">
        <f t="shared" si="2448"/>
        <v>89301000</v>
      </c>
      <c r="B11360" t="str">
        <f t="shared" si="2449"/>
        <v>06539000</v>
      </c>
      <c r="C11360" t="str">
        <f>"06539001"</f>
        <v>06539001</v>
      </c>
      <c r="D11360" t="str">
        <f>"801"</f>
        <v>801</v>
      </c>
      <c r="E11360" t="str">
        <f t="shared" si="2450"/>
        <v>89301171</v>
      </c>
      <c r="F11360" t="str">
        <f t="shared" ref="F11360:F11388" si="2456">"5407302153"</f>
        <v>5407302153</v>
      </c>
      <c r="G11360" s="1">
        <v>44848</v>
      </c>
      <c r="H11360" t="str">
        <f>"81329"</f>
        <v>81329</v>
      </c>
      <c r="I11360">
        <v>1</v>
      </c>
      <c r="J11360">
        <v>16</v>
      </c>
      <c r="K11360">
        <v>0</v>
      </c>
      <c r="L11360">
        <v>12.48</v>
      </c>
    </row>
    <row r="11361" spans="1:12" x14ac:dyDescent="0.25">
      <c r="A11361" t="str">
        <f t="shared" si="2448"/>
        <v>89301000</v>
      </c>
      <c r="B11361" t="str">
        <f t="shared" si="2449"/>
        <v>06539000</v>
      </c>
      <c r="C11361" t="str">
        <f>"06539001"</f>
        <v>06539001</v>
      </c>
      <c r="D11361" t="str">
        <f>"801"</f>
        <v>801</v>
      </c>
      <c r="E11361" t="str">
        <f t="shared" si="2450"/>
        <v>89301171</v>
      </c>
      <c r="F11361" t="str">
        <f t="shared" si="2456"/>
        <v>5407302153</v>
      </c>
      <c r="G11361" s="1">
        <v>44848</v>
      </c>
      <c r="H11361" t="str">
        <f>"81331"</f>
        <v>81331</v>
      </c>
      <c r="I11361">
        <v>1</v>
      </c>
      <c r="J11361">
        <v>193</v>
      </c>
      <c r="K11361">
        <v>0</v>
      </c>
      <c r="L11361">
        <v>150.54</v>
      </c>
    </row>
    <row r="11362" spans="1:12" x14ac:dyDescent="0.25">
      <c r="A11362" t="str">
        <f t="shared" si="2448"/>
        <v>89301000</v>
      </c>
      <c r="B11362" t="str">
        <f t="shared" si="2449"/>
        <v>06539000</v>
      </c>
      <c r="C11362" t="str">
        <f t="shared" ref="C11362:C11393" si="2457">"06539003"</f>
        <v>06539003</v>
      </c>
      <c r="D11362" t="str">
        <f t="shared" ref="D11362:D11393" si="2458">"813"</f>
        <v>813</v>
      </c>
      <c r="E11362" t="str">
        <f t="shared" si="2450"/>
        <v>89301171</v>
      </c>
      <c r="F11362" t="str">
        <f t="shared" si="2456"/>
        <v>5407302153</v>
      </c>
      <c r="G11362" s="1">
        <v>44853</v>
      </c>
      <c r="H11362" t="str">
        <f t="shared" ref="H11362:H11371" si="2459">"91413"</f>
        <v>91413</v>
      </c>
      <c r="I11362">
        <v>1</v>
      </c>
      <c r="J11362">
        <v>853</v>
      </c>
      <c r="K11362">
        <v>0</v>
      </c>
      <c r="L11362">
        <v>665.34</v>
      </c>
    </row>
    <row r="11363" spans="1:12" x14ac:dyDescent="0.25">
      <c r="A11363" t="str">
        <f t="shared" si="2448"/>
        <v>89301000</v>
      </c>
      <c r="B11363" t="str">
        <f t="shared" si="2449"/>
        <v>06539000</v>
      </c>
      <c r="C11363" t="str">
        <f t="shared" si="2457"/>
        <v>06539003</v>
      </c>
      <c r="D11363" t="str">
        <f t="shared" si="2458"/>
        <v>813</v>
      </c>
      <c r="E11363" t="str">
        <f t="shared" si="2450"/>
        <v>89301171</v>
      </c>
      <c r="F11363" t="str">
        <f t="shared" si="2456"/>
        <v>5407302153</v>
      </c>
      <c r="G11363" s="1">
        <v>44853</v>
      </c>
      <c r="H11363" t="str">
        <f t="shared" si="2459"/>
        <v>91413</v>
      </c>
      <c r="I11363">
        <v>1</v>
      </c>
      <c r="J11363">
        <v>853</v>
      </c>
      <c r="K11363">
        <v>0</v>
      </c>
      <c r="L11363">
        <v>665.34</v>
      </c>
    </row>
    <row r="11364" spans="1:12" x14ac:dyDescent="0.25">
      <c r="A11364" t="str">
        <f t="shared" si="2448"/>
        <v>89301000</v>
      </c>
      <c r="B11364" t="str">
        <f t="shared" si="2449"/>
        <v>06539000</v>
      </c>
      <c r="C11364" t="str">
        <f t="shared" si="2457"/>
        <v>06539003</v>
      </c>
      <c r="D11364" t="str">
        <f t="shared" si="2458"/>
        <v>813</v>
      </c>
      <c r="E11364" t="str">
        <f t="shared" si="2450"/>
        <v>89301171</v>
      </c>
      <c r="F11364" t="str">
        <f t="shared" si="2456"/>
        <v>5407302153</v>
      </c>
      <c r="G11364" s="1">
        <v>44866</v>
      </c>
      <c r="H11364" t="str">
        <f t="shared" si="2459"/>
        <v>91413</v>
      </c>
      <c r="I11364">
        <v>1</v>
      </c>
      <c r="J11364">
        <v>853</v>
      </c>
      <c r="K11364">
        <v>0</v>
      </c>
      <c r="L11364">
        <v>665.34</v>
      </c>
    </row>
    <row r="11365" spans="1:12" x14ac:dyDescent="0.25">
      <c r="A11365" t="str">
        <f t="shared" si="2448"/>
        <v>89301000</v>
      </c>
      <c r="B11365" t="str">
        <f t="shared" si="2449"/>
        <v>06539000</v>
      </c>
      <c r="C11365" t="str">
        <f t="shared" si="2457"/>
        <v>06539003</v>
      </c>
      <c r="D11365" t="str">
        <f t="shared" si="2458"/>
        <v>813</v>
      </c>
      <c r="E11365" t="str">
        <f t="shared" si="2450"/>
        <v>89301171</v>
      </c>
      <c r="F11365" t="str">
        <f t="shared" si="2456"/>
        <v>5407302153</v>
      </c>
      <c r="G11365" s="1">
        <v>44866</v>
      </c>
      <c r="H11365" t="str">
        <f t="shared" si="2459"/>
        <v>91413</v>
      </c>
      <c r="I11365">
        <v>1</v>
      </c>
      <c r="J11365">
        <v>853</v>
      </c>
      <c r="K11365">
        <v>0</v>
      </c>
      <c r="L11365">
        <v>665.34</v>
      </c>
    </row>
    <row r="11366" spans="1:12" x14ac:dyDescent="0.25">
      <c r="A11366" t="str">
        <f t="shared" si="2448"/>
        <v>89301000</v>
      </c>
      <c r="B11366" t="str">
        <f t="shared" si="2449"/>
        <v>06539000</v>
      </c>
      <c r="C11366" t="str">
        <f t="shared" si="2457"/>
        <v>06539003</v>
      </c>
      <c r="D11366" t="str">
        <f t="shared" si="2458"/>
        <v>813</v>
      </c>
      <c r="E11366" t="str">
        <f t="shared" si="2450"/>
        <v>89301171</v>
      </c>
      <c r="F11366" t="str">
        <f t="shared" si="2456"/>
        <v>5407302153</v>
      </c>
      <c r="G11366" s="1">
        <v>44867</v>
      </c>
      <c r="H11366" t="str">
        <f t="shared" si="2459"/>
        <v>91413</v>
      </c>
      <c r="I11366">
        <v>1</v>
      </c>
      <c r="J11366">
        <v>853</v>
      </c>
      <c r="K11366">
        <v>0</v>
      </c>
      <c r="L11366">
        <v>665.34</v>
      </c>
    </row>
    <row r="11367" spans="1:12" x14ac:dyDescent="0.25">
      <c r="A11367" t="str">
        <f t="shared" si="2448"/>
        <v>89301000</v>
      </c>
      <c r="B11367" t="str">
        <f t="shared" si="2449"/>
        <v>06539000</v>
      </c>
      <c r="C11367" t="str">
        <f t="shared" si="2457"/>
        <v>06539003</v>
      </c>
      <c r="D11367" t="str">
        <f t="shared" si="2458"/>
        <v>813</v>
      </c>
      <c r="E11367" t="str">
        <f t="shared" si="2450"/>
        <v>89301171</v>
      </c>
      <c r="F11367" t="str">
        <f t="shared" si="2456"/>
        <v>5407302153</v>
      </c>
      <c r="G11367" s="1">
        <v>44867</v>
      </c>
      <c r="H11367" t="str">
        <f t="shared" si="2459"/>
        <v>91413</v>
      </c>
      <c r="I11367">
        <v>1</v>
      </c>
      <c r="J11367">
        <v>853</v>
      </c>
      <c r="K11367">
        <v>0</v>
      </c>
      <c r="L11367">
        <v>665.34</v>
      </c>
    </row>
    <row r="11368" spans="1:12" x14ac:dyDescent="0.25">
      <c r="A11368" t="str">
        <f t="shared" si="2448"/>
        <v>89301000</v>
      </c>
      <c r="B11368" t="str">
        <f t="shared" si="2449"/>
        <v>06539000</v>
      </c>
      <c r="C11368" t="str">
        <f t="shared" si="2457"/>
        <v>06539003</v>
      </c>
      <c r="D11368" t="str">
        <f t="shared" si="2458"/>
        <v>813</v>
      </c>
      <c r="E11368" t="str">
        <f t="shared" si="2450"/>
        <v>89301171</v>
      </c>
      <c r="F11368" t="str">
        <f t="shared" si="2456"/>
        <v>5407302153</v>
      </c>
      <c r="G11368" s="1">
        <v>44866</v>
      </c>
      <c r="H11368" t="str">
        <f t="shared" si="2459"/>
        <v>91413</v>
      </c>
      <c r="I11368">
        <v>1</v>
      </c>
      <c r="J11368">
        <v>853</v>
      </c>
      <c r="K11368">
        <v>0</v>
      </c>
      <c r="L11368">
        <v>665.34</v>
      </c>
    </row>
    <row r="11369" spans="1:12" x14ac:dyDescent="0.25">
      <c r="A11369" t="str">
        <f t="shared" si="2448"/>
        <v>89301000</v>
      </c>
      <c r="B11369" t="str">
        <f t="shared" si="2449"/>
        <v>06539000</v>
      </c>
      <c r="C11369" t="str">
        <f t="shared" si="2457"/>
        <v>06539003</v>
      </c>
      <c r="D11369" t="str">
        <f t="shared" si="2458"/>
        <v>813</v>
      </c>
      <c r="E11369" t="str">
        <f t="shared" si="2450"/>
        <v>89301171</v>
      </c>
      <c r="F11369" t="str">
        <f t="shared" si="2456"/>
        <v>5407302153</v>
      </c>
      <c r="G11369" s="1">
        <v>44866</v>
      </c>
      <c r="H11369" t="str">
        <f t="shared" si="2459"/>
        <v>91413</v>
      </c>
      <c r="I11369">
        <v>1</v>
      </c>
      <c r="J11369">
        <v>853</v>
      </c>
      <c r="K11369">
        <v>0</v>
      </c>
      <c r="L11369">
        <v>665.34</v>
      </c>
    </row>
    <row r="11370" spans="1:12" x14ac:dyDescent="0.25">
      <c r="A11370" t="str">
        <f t="shared" si="2448"/>
        <v>89301000</v>
      </c>
      <c r="B11370" t="str">
        <f t="shared" si="2449"/>
        <v>06539000</v>
      </c>
      <c r="C11370" t="str">
        <f t="shared" si="2457"/>
        <v>06539003</v>
      </c>
      <c r="D11370" t="str">
        <f t="shared" si="2458"/>
        <v>813</v>
      </c>
      <c r="E11370" t="str">
        <f t="shared" si="2450"/>
        <v>89301171</v>
      </c>
      <c r="F11370" t="str">
        <f t="shared" si="2456"/>
        <v>5407302153</v>
      </c>
      <c r="G11370" s="1">
        <v>44866</v>
      </c>
      <c r="H11370" t="str">
        <f t="shared" si="2459"/>
        <v>91413</v>
      </c>
      <c r="I11370">
        <v>1</v>
      </c>
      <c r="J11370">
        <v>853</v>
      </c>
      <c r="K11370">
        <v>0</v>
      </c>
      <c r="L11370">
        <v>665.34</v>
      </c>
    </row>
    <row r="11371" spans="1:12" x14ac:dyDescent="0.25">
      <c r="A11371" t="str">
        <f t="shared" si="2448"/>
        <v>89301000</v>
      </c>
      <c r="B11371" t="str">
        <f t="shared" si="2449"/>
        <v>06539000</v>
      </c>
      <c r="C11371" t="str">
        <f t="shared" si="2457"/>
        <v>06539003</v>
      </c>
      <c r="D11371" t="str">
        <f t="shared" si="2458"/>
        <v>813</v>
      </c>
      <c r="E11371" t="str">
        <f t="shared" si="2450"/>
        <v>89301171</v>
      </c>
      <c r="F11371" t="str">
        <f t="shared" si="2456"/>
        <v>5407302153</v>
      </c>
      <c r="G11371" s="1">
        <v>44866</v>
      </c>
      <c r="H11371" t="str">
        <f t="shared" si="2459"/>
        <v>91413</v>
      </c>
      <c r="I11371">
        <v>1</v>
      </c>
      <c r="J11371">
        <v>853</v>
      </c>
      <c r="K11371">
        <v>0</v>
      </c>
      <c r="L11371">
        <v>665.34</v>
      </c>
    </row>
    <row r="11372" spans="1:12" x14ac:dyDescent="0.25">
      <c r="A11372" t="str">
        <f t="shared" si="2448"/>
        <v>89301000</v>
      </c>
      <c r="B11372" t="str">
        <f t="shared" si="2449"/>
        <v>06539000</v>
      </c>
      <c r="C11372" t="str">
        <f t="shared" si="2457"/>
        <v>06539003</v>
      </c>
      <c r="D11372" t="str">
        <f t="shared" si="2458"/>
        <v>813</v>
      </c>
      <c r="E11372" t="str">
        <f t="shared" si="2450"/>
        <v>89301171</v>
      </c>
      <c r="F11372" t="str">
        <f t="shared" si="2456"/>
        <v>5407302153</v>
      </c>
      <c r="G11372" s="1">
        <v>44848</v>
      </c>
      <c r="H11372" t="str">
        <f t="shared" ref="H11372:H11377" si="2460">"91197"</f>
        <v>91197</v>
      </c>
      <c r="I11372">
        <v>1</v>
      </c>
      <c r="J11372">
        <v>1046</v>
      </c>
      <c r="K11372">
        <v>0</v>
      </c>
      <c r="L11372">
        <v>815.88</v>
      </c>
    </row>
    <row r="11373" spans="1:12" x14ac:dyDescent="0.25">
      <c r="A11373" t="str">
        <f t="shared" si="2448"/>
        <v>89301000</v>
      </c>
      <c r="B11373" t="str">
        <f t="shared" si="2449"/>
        <v>06539000</v>
      </c>
      <c r="C11373" t="str">
        <f t="shared" si="2457"/>
        <v>06539003</v>
      </c>
      <c r="D11373" t="str">
        <f t="shared" si="2458"/>
        <v>813</v>
      </c>
      <c r="E11373" t="str">
        <f t="shared" si="2450"/>
        <v>89301171</v>
      </c>
      <c r="F11373" t="str">
        <f t="shared" si="2456"/>
        <v>5407302153</v>
      </c>
      <c r="G11373" s="1">
        <v>44850</v>
      </c>
      <c r="H11373" t="str">
        <f t="shared" si="2460"/>
        <v>91197</v>
      </c>
      <c r="I11373">
        <v>1</v>
      </c>
      <c r="J11373">
        <v>1046</v>
      </c>
      <c r="K11373">
        <v>0</v>
      </c>
      <c r="L11373">
        <v>815.88</v>
      </c>
    </row>
    <row r="11374" spans="1:12" x14ac:dyDescent="0.25">
      <c r="A11374" t="str">
        <f t="shared" si="2448"/>
        <v>89301000</v>
      </c>
      <c r="B11374" t="str">
        <f t="shared" si="2449"/>
        <v>06539000</v>
      </c>
      <c r="C11374" t="str">
        <f t="shared" si="2457"/>
        <v>06539003</v>
      </c>
      <c r="D11374" t="str">
        <f t="shared" si="2458"/>
        <v>813</v>
      </c>
      <c r="E11374" t="str">
        <f t="shared" si="2450"/>
        <v>89301171</v>
      </c>
      <c r="F11374" t="str">
        <f t="shared" si="2456"/>
        <v>5407302153</v>
      </c>
      <c r="G11374" s="1">
        <v>44850</v>
      </c>
      <c r="H11374" t="str">
        <f t="shared" si="2460"/>
        <v>91197</v>
      </c>
      <c r="I11374">
        <v>1</v>
      </c>
      <c r="J11374">
        <v>1046</v>
      </c>
      <c r="K11374">
        <v>0</v>
      </c>
      <c r="L11374">
        <v>815.88</v>
      </c>
    </row>
    <row r="11375" spans="1:12" x14ac:dyDescent="0.25">
      <c r="A11375" t="str">
        <f t="shared" si="2448"/>
        <v>89301000</v>
      </c>
      <c r="B11375" t="str">
        <f t="shared" si="2449"/>
        <v>06539000</v>
      </c>
      <c r="C11375" t="str">
        <f t="shared" si="2457"/>
        <v>06539003</v>
      </c>
      <c r="D11375" t="str">
        <f t="shared" si="2458"/>
        <v>813</v>
      </c>
      <c r="E11375" t="str">
        <f t="shared" si="2450"/>
        <v>89301171</v>
      </c>
      <c r="F11375" t="str">
        <f t="shared" si="2456"/>
        <v>5407302153</v>
      </c>
      <c r="G11375" s="1">
        <v>44849</v>
      </c>
      <c r="H11375" t="str">
        <f t="shared" si="2460"/>
        <v>91197</v>
      </c>
      <c r="I11375">
        <v>1</v>
      </c>
      <c r="J11375">
        <v>1046</v>
      </c>
      <c r="K11375">
        <v>0</v>
      </c>
      <c r="L11375">
        <v>815.88</v>
      </c>
    </row>
    <row r="11376" spans="1:12" x14ac:dyDescent="0.25">
      <c r="A11376" t="str">
        <f t="shared" si="2448"/>
        <v>89301000</v>
      </c>
      <c r="B11376" t="str">
        <f t="shared" si="2449"/>
        <v>06539000</v>
      </c>
      <c r="C11376" t="str">
        <f t="shared" si="2457"/>
        <v>06539003</v>
      </c>
      <c r="D11376" t="str">
        <f t="shared" si="2458"/>
        <v>813</v>
      </c>
      <c r="E11376" t="str">
        <f t="shared" si="2450"/>
        <v>89301171</v>
      </c>
      <c r="F11376" t="str">
        <f t="shared" si="2456"/>
        <v>5407302153</v>
      </c>
      <c r="G11376" s="1">
        <v>44849</v>
      </c>
      <c r="H11376" t="str">
        <f t="shared" si="2460"/>
        <v>91197</v>
      </c>
      <c r="I11376">
        <v>1</v>
      </c>
      <c r="J11376">
        <v>1046</v>
      </c>
      <c r="K11376">
        <v>0</v>
      </c>
      <c r="L11376">
        <v>815.88</v>
      </c>
    </row>
    <row r="11377" spans="1:12" x14ac:dyDescent="0.25">
      <c r="A11377" t="str">
        <f t="shared" si="2448"/>
        <v>89301000</v>
      </c>
      <c r="B11377" t="str">
        <f t="shared" si="2449"/>
        <v>06539000</v>
      </c>
      <c r="C11377" t="str">
        <f t="shared" si="2457"/>
        <v>06539003</v>
      </c>
      <c r="D11377" t="str">
        <f t="shared" si="2458"/>
        <v>813</v>
      </c>
      <c r="E11377" t="str">
        <f t="shared" si="2450"/>
        <v>89301171</v>
      </c>
      <c r="F11377" t="str">
        <f t="shared" si="2456"/>
        <v>5407302153</v>
      </c>
      <c r="G11377" s="1">
        <v>44848</v>
      </c>
      <c r="H11377" t="str">
        <f t="shared" si="2460"/>
        <v>91197</v>
      </c>
      <c r="I11377">
        <v>1</v>
      </c>
      <c r="J11377">
        <v>1046</v>
      </c>
      <c r="K11377">
        <v>0</v>
      </c>
      <c r="L11377">
        <v>815.88</v>
      </c>
    </row>
    <row r="11378" spans="1:12" x14ac:dyDescent="0.25">
      <c r="A11378" t="str">
        <f t="shared" si="2448"/>
        <v>89301000</v>
      </c>
      <c r="B11378" t="str">
        <f t="shared" si="2449"/>
        <v>06539000</v>
      </c>
      <c r="C11378" t="str">
        <f t="shared" si="2457"/>
        <v>06539003</v>
      </c>
      <c r="D11378" t="str">
        <f t="shared" si="2458"/>
        <v>813</v>
      </c>
      <c r="E11378" t="str">
        <f t="shared" si="2450"/>
        <v>89301171</v>
      </c>
      <c r="F11378" t="str">
        <f t="shared" si="2456"/>
        <v>5407302153</v>
      </c>
      <c r="G11378" s="1">
        <v>44851</v>
      </c>
      <c r="H11378" t="str">
        <f>"91129"</f>
        <v>91129</v>
      </c>
      <c r="I11378">
        <v>1</v>
      </c>
      <c r="J11378">
        <v>174</v>
      </c>
      <c r="K11378">
        <v>0</v>
      </c>
      <c r="L11378">
        <v>135.72</v>
      </c>
    </row>
    <row r="11379" spans="1:12" x14ac:dyDescent="0.25">
      <c r="A11379" t="str">
        <f t="shared" si="2448"/>
        <v>89301000</v>
      </c>
      <c r="B11379" t="str">
        <f t="shared" si="2449"/>
        <v>06539000</v>
      </c>
      <c r="C11379" t="str">
        <f t="shared" si="2457"/>
        <v>06539003</v>
      </c>
      <c r="D11379" t="str">
        <f t="shared" si="2458"/>
        <v>813</v>
      </c>
      <c r="E11379" t="str">
        <f t="shared" si="2450"/>
        <v>89301171</v>
      </c>
      <c r="F11379" t="str">
        <f t="shared" si="2456"/>
        <v>5407302153</v>
      </c>
      <c r="G11379" s="1">
        <v>44851</v>
      </c>
      <c r="H11379" t="str">
        <f>"91131"</f>
        <v>91131</v>
      </c>
      <c r="I11379">
        <v>1</v>
      </c>
      <c r="J11379">
        <v>171</v>
      </c>
      <c r="K11379">
        <v>0</v>
      </c>
      <c r="L11379">
        <v>133.38</v>
      </c>
    </row>
    <row r="11380" spans="1:12" x14ac:dyDescent="0.25">
      <c r="A11380" t="str">
        <f t="shared" si="2448"/>
        <v>89301000</v>
      </c>
      <c r="B11380" t="str">
        <f t="shared" si="2449"/>
        <v>06539000</v>
      </c>
      <c r="C11380" t="str">
        <f t="shared" si="2457"/>
        <v>06539003</v>
      </c>
      <c r="D11380" t="str">
        <f t="shared" si="2458"/>
        <v>813</v>
      </c>
      <c r="E11380" t="str">
        <f t="shared" si="2450"/>
        <v>89301171</v>
      </c>
      <c r="F11380" t="str">
        <f t="shared" si="2456"/>
        <v>5407302153</v>
      </c>
      <c r="G11380" s="1">
        <v>44851</v>
      </c>
      <c r="H11380" t="str">
        <f>"91133"</f>
        <v>91133</v>
      </c>
      <c r="I11380">
        <v>1</v>
      </c>
      <c r="J11380">
        <v>176</v>
      </c>
      <c r="K11380">
        <v>0</v>
      </c>
      <c r="L11380">
        <v>137.28</v>
      </c>
    </row>
    <row r="11381" spans="1:12" x14ac:dyDescent="0.25">
      <c r="A11381" t="str">
        <f t="shared" si="2448"/>
        <v>89301000</v>
      </c>
      <c r="B11381" t="str">
        <f t="shared" si="2449"/>
        <v>06539000</v>
      </c>
      <c r="C11381" t="str">
        <f t="shared" si="2457"/>
        <v>06539003</v>
      </c>
      <c r="D11381" t="str">
        <f t="shared" si="2458"/>
        <v>813</v>
      </c>
      <c r="E11381" t="str">
        <f t="shared" si="2450"/>
        <v>89301171</v>
      </c>
      <c r="F11381" t="str">
        <f t="shared" si="2456"/>
        <v>5407302153</v>
      </c>
      <c r="G11381" s="1">
        <v>44851</v>
      </c>
      <c r="H11381" t="str">
        <f>"91171"</f>
        <v>91171</v>
      </c>
      <c r="I11381">
        <v>1</v>
      </c>
      <c r="J11381">
        <v>360</v>
      </c>
      <c r="K11381">
        <v>0</v>
      </c>
      <c r="L11381">
        <v>280.8</v>
      </c>
    </row>
    <row r="11382" spans="1:12" x14ac:dyDescent="0.25">
      <c r="A11382" t="str">
        <f t="shared" si="2448"/>
        <v>89301000</v>
      </c>
      <c r="B11382" t="str">
        <f t="shared" si="2449"/>
        <v>06539000</v>
      </c>
      <c r="C11382" t="str">
        <f t="shared" si="2457"/>
        <v>06539003</v>
      </c>
      <c r="D11382" t="str">
        <f t="shared" si="2458"/>
        <v>813</v>
      </c>
      <c r="E11382" t="str">
        <f t="shared" si="2450"/>
        <v>89301171</v>
      </c>
      <c r="F11382" t="str">
        <f t="shared" si="2456"/>
        <v>5407302153</v>
      </c>
      <c r="G11382" s="1">
        <v>44848</v>
      </c>
      <c r="H11382" t="str">
        <f>"91173"</f>
        <v>91173</v>
      </c>
      <c r="I11382">
        <v>1</v>
      </c>
      <c r="J11382">
        <v>335</v>
      </c>
      <c r="K11382">
        <v>0</v>
      </c>
      <c r="L11382">
        <v>261.3</v>
      </c>
    </row>
    <row r="11383" spans="1:12" x14ac:dyDescent="0.25">
      <c r="A11383" t="str">
        <f t="shared" si="2448"/>
        <v>89301000</v>
      </c>
      <c r="B11383" t="str">
        <f t="shared" si="2449"/>
        <v>06539000</v>
      </c>
      <c r="C11383" t="str">
        <f t="shared" si="2457"/>
        <v>06539003</v>
      </c>
      <c r="D11383" t="str">
        <f t="shared" si="2458"/>
        <v>813</v>
      </c>
      <c r="E11383" t="str">
        <f t="shared" si="2450"/>
        <v>89301171</v>
      </c>
      <c r="F11383" t="str">
        <f t="shared" si="2456"/>
        <v>5407302153</v>
      </c>
      <c r="G11383" s="1">
        <v>44851</v>
      </c>
      <c r="H11383" t="str">
        <f>"91175"</f>
        <v>91175</v>
      </c>
      <c r="I11383">
        <v>1</v>
      </c>
      <c r="J11383">
        <v>360</v>
      </c>
      <c r="K11383">
        <v>0</v>
      </c>
      <c r="L11383">
        <v>280.8</v>
      </c>
    </row>
    <row r="11384" spans="1:12" x14ac:dyDescent="0.25">
      <c r="A11384" t="str">
        <f t="shared" si="2448"/>
        <v>89301000</v>
      </c>
      <c r="B11384" t="str">
        <f t="shared" si="2449"/>
        <v>06539000</v>
      </c>
      <c r="C11384" t="str">
        <f t="shared" si="2457"/>
        <v>06539003</v>
      </c>
      <c r="D11384" t="str">
        <f t="shared" si="2458"/>
        <v>813</v>
      </c>
      <c r="E11384" t="str">
        <f t="shared" si="2450"/>
        <v>89301171</v>
      </c>
      <c r="F11384" t="str">
        <f t="shared" si="2456"/>
        <v>5407302153</v>
      </c>
      <c r="G11384" s="1">
        <v>44849</v>
      </c>
      <c r="H11384" t="str">
        <f>"91167"</f>
        <v>91167</v>
      </c>
      <c r="I11384">
        <v>1</v>
      </c>
      <c r="J11384">
        <v>425</v>
      </c>
      <c r="K11384">
        <v>0</v>
      </c>
      <c r="L11384">
        <v>331.5</v>
      </c>
    </row>
    <row r="11385" spans="1:12" x14ac:dyDescent="0.25">
      <c r="A11385" t="str">
        <f t="shared" si="2448"/>
        <v>89301000</v>
      </c>
      <c r="B11385" t="str">
        <f t="shared" si="2449"/>
        <v>06539000</v>
      </c>
      <c r="C11385" t="str">
        <f t="shared" si="2457"/>
        <v>06539003</v>
      </c>
      <c r="D11385" t="str">
        <f t="shared" si="2458"/>
        <v>813</v>
      </c>
      <c r="E11385" t="str">
        <f t="shared" si="2450"/>
        <v>89301171</v>
      </c>
      <c r="F11385" t="str">
        <f t="shared" si="2456"/>
        <v>5407302153</v>
      </c>
      <c r="G11385" s="1">
        <v>44849</v>
      </c>
      <c r="H11385" t="str">
        <f>"91169"</f>
        <v>91169</v>
      </c>
      <c r="I11385">
        <v>1</v>
      </c>
      <c r="J11385">
        <v>425</v>
      </c>
      <c r="K11385">
        <v>0</v>
      </c>
      <c r="L11385">
        <v>331.5</v>
      </c>
    </row>
    <row r="11386" spans="1:12" x14ac:dyDescent="0.25">
      <c r="A11386" t="str">
        <f t="shared" si="2448"/>
        <v>89301000</v>
      </c>
      <c r="B11386" t="str">
        <f t="shared" si="2449"/>
        <v>06539000</v>
      </c>
      <c r="C11386" t="str">
        <f t="shared" si="2457"/>
        <v>06539003</v>
      </c>
      <c r="D11386" t="str">
        <f t="shared" si="2458"/>
        <v>813</v>
      </c>
      <c r="E11386" t="str">
        <f t="shared" si="2450"/>
        <v>89301171</v>
      </c>
      <c r="F11386" t="str">
        <f t="shared" si="2456"/>
        <v>5407302153</v>
      </c>
      <c r="G11386" s="1">
        <v>44848</v>
      </c>
      <c r="H11386" t="str">
        <f>"91167"</f>
        <v>91167</v>
      </c>
      <c r="I11386">
        <v>1</v>
      </c>
      <c r="J11386">
        <v>425</v>
      </c>
      <c r="K11386">
        <v>0</v>
      </c>
      <c r="L11386">
        <v>331.5</v>
      </c>
    </row>
    <row r="11387" spans="1:12" x14ac:dyDescent="0.25">
      <c r="A11387" t="str">
        <f t="shared" si="2448"/>
        <v>89301000</v>
      </c>
      <c r="B11387" t="str">
        <f t="shared" si="2449"/>
        <v>06539000</v>
      </c>
      <c r="C11387" t="str">
        <f t="shared" si="2457"/>
        <v>06539003</v>
      </c>
      <c r="D11387" t="str">
        <f t="shared" si="2458"/>
        <v>813</v>
      </c>
      <c r="E11387" t="str">
        <f t="shared" si="2450"/>
        <v>89301171</v>
      </c>
      <c r="F11387" t="str">
        <f t="shared" si="2456"/>
        <v>5407302153</v>
      </c>
      <c r="G11387" s="1">
        <v>44848</v>
      </c>
      <c r="H11387" t="str">
        <f>"91169"</f>
        <v>91169</v>
      </c>
      <c r="I11387">
        <v>1</v>
      </c>
      <c r="J11387">
        <v>425</v>
      </c>
      <c r="K11387">
        <v>0</v>
      </c>
      <c r="L11387">
        <v>331.5</v>
      </c>
    </row>
    <row r="11388" spans="1:12" x14ac:dyDescent="0.25">
      <c r="A11388" t="str">
        <f t="shared" si="2448"/>
        <v>89301000</v>
      </c>
      <c r="B11388" t="str">
        <f t="shared" si="2449"/>
        <v>06539000</v>
      </c>
      <c r="C11388" t="str">
        <f t="shared" si="2457"/>
        <v>06539003</v>
      </c>
      <c r="D11388" t="str">
        <f t="shared" si="2458"/>
        <v>813</v>
      </c>
      <c r="E11388" t="str">
        <f t="shared" si="2450"/>
        <v>89301171</v>
      </c>
      <c r="F11388" t="str">
        <f t="shared" si="2456"/>
        <v>5407302153</v>
      </c>
      <c r="G11388" s="1">
        <v>44853</v>
      </c>
      <c r="H11388" t="str">
        <f>"91475"</f>
        <v>91475</v>
      </c>
      <c r="I11388">
        <v>1</v>
      </c>
      <c r="J11388">
        <v>206</v>
      </c>
      <c r="K11388">
        <v>0</v>
      </c>
      <c r="L11388">
        <v>160.68</v>
      </c>
    </row>
    <row r="11389" spans="1:12" x14ac:dyDescent="0.25">
      <c r="A11389" t="str">
        <f t="shared" si="2448"/>
        <v>89301000</v>
      </c>
      <c r="B11389" t="str">
        <f t="shared" si="2449"/>
        <v>06539000</v>
      </c>
      <c r="C11389" t="str">
        <f t="shared" si="2457"/>
        <v>06539003</v>
      </c>
      <c r="D11389" t="str">
        <f t="shared" si="2458"/>
        <v>813</v>
      </c>
      <c r="E11389" t="str">
        <f t="shared" si="2450"/>
        <v>89301171</v>
      </c>
      <c r="F11389" t="str">
        <f t="shared" ref="F11389:F11396" si="2461">"475202456"</f>
        <v>475202456</v>
      </c>
      <c r="G11389" s="1">
        <v>44874</v>
      </c>
      <c r="H11389" t="str">
        <f t="shared" ref="H11389:H11406" si="2462">"91413"</f>
        <v>91413</v>
      </c>
      <c r="I11389">
        <v>1</v>
      </c>
      <c r="J11389">
        <v>853</v>
      </c>
      <c r="K11389">
        <v>0</v>
      </c>
      <c r="L11389">
        <v>665.34</v>
      </c>
    </row>
    <row r="11390" spans="1:12" x14ac:dyDescent="0.25">
      <c r="A11390" t="str">
        <f t="shared" si="2448"/>
        <v>89301000</v>
      </c>
      <c r="B11390" t="str">
        <f t="shared" si="2449"/>
        <v>06539000</v>
      </c>
      <c r="C11390" t="str">
        <f t="shared" si="2457"/>
        <v>06539003</v>
      </c>
      <c r="D11390" t="str">
        <f t="shared" si="2458"/>
        <v>813</v>
      </c>
      <c r="E11390" t="str">
        <f t="shared" si="2450"/>
        <v>89301171</v>
      </c>
      <c r="F11390" t="str">
        <f t="shared" si="2461"/>
        <v>475202456</v>
      </c>
      <c r="G11390" s="1">
        <v>44874</v>
      </c>
      <c r="H11390" t="str">
        <f t="shared" si="2462"/>
        <v>91413</v>
      </c>
      <c r="I11390">
        <v>1</v>
      </c>
      <c r="J11390">
        <v>853</v>
      </c>
      <c r="K11390">
        <v>0</v>
      </c>
      <c r="L11390">
        <v>665.34</v>
      </c>
    </row>
    <row r="11391" spans="1:12" x14ac:dyDescent="0.25">
      <c r="A11391" t="str">
        <f t="shared" si="2448"/>
        <v>89301000</v>
      </c>
      <c r="B11391" t="str">
        <f t="shared" si="2449"/>
        <v>06539000</v>
      </c>
      <c r="C11391" t="str">
        <f t="shared" si="2457"/>
        <v>06539003</v>
      </c>
      <c r="D11391" t="str">
        <f t="shared" si="2458"/>
        <v>813</v>
      </c>
      <c r="E11391" t="str">
        <f t="shared" si="2450"/>
        <v>89301171</v>
      </c>
      <c r="F11391" t="str">
        <f t="shared" si="2461"/>
        <v>475202456</v>
      </c>
      <c r="G11391" s="1">
        <v>44872</v>
      </c>
      <c r="H11391" t="str">
        <f t="shared" si="2462"/>
        <v>91413</v>
      </c>
      <c r="I11391">
        <v>1</v>
      </c>
      <c r="J11391">
        <v>853</v>
      </c>
      <c r="K11391">
        <v>0</v>
      </c>
      <c r="L11391">
        <v>665.34</v>
      </c>
    </row>
    <row r="11392" spans="1:12" x14ac:dyDescent="0.25">
      <c r="A11392" t="str">
        <f t="shared" si="2448"/>
        <v>89301000</v>
      </c>
      <c r="B11392" t="str">
        <f t="shared" si="2449"/>
        <v>06539000</v>
      </c>
      <c r="C11392" t="str">
        <f t="shared" si="2457"/>
        <v>06539003</v>
      </c>
      <c r="D11392" t="str">
        <f t="shared" si="2458"/>
        <v>813</v>
      </c>
      <c r="E11392" t="str">
        <f t="shared" si="2450"/>
        <v>89301171</v>
      </c>
      <c r="F11392" t="str">
        <f t="shared" si="2461"/>
        <v>475202456</v>
      </c>
      <c r="G11392" s="1">
        <v>44872</v>
      </c>
      <c r="H11392" t="str">
        <f t="shared" si="2462"/>
        <v>91413</v>
      </c>
      <c r="I11392">
        <v>1</v>
      </c>
      <c r="J11392">
        <v>853</v>
      </c>
      <c r="K11392">
        <v>0</v>
      </c>
      <c r="L11392">
        <v>665.34</v>
      </c>
    </row>
    <row r="11393" spans="1:12" x14ac:dyDescent="0.25">
      <c r="A11393" t="str">
        <f t="shared" si="2448"/>
        <v>89301000</v>
      </c>
      <c r="B11393" t="str">
        <f t="shared" si="2449"/>
        <v>06539000</v>
      </c>
      <c r="C11393" t="str">
        <f t="shared" si="2457"/>
        <v>06539003</v>
      </c>
      <c r="D11393" t="str">
        <f t="shared" si="2458"/>
        <v>813</v>
      </c>
      <c r="E11393" t="str">
        <f t="shared" si="2450"/>
        <v>89301171</v>
      </c>
      <c r="F11393" t="str">
        <f t="shared" si="2461"/>
        <v>475202456</v>
      </c>
      <c r="G11393" s="1">
        <v>44874</v>
      </c>
      <c r="H11393" t="str">
        <f t="shared" si="2462"/>
        <v>91413</v>
      </c>
      <c r="I11393">
        <v>1</v>
      </c>
      <c r="J11393">
        <v>853</v>
      </c>
      <c r="K11393">
        <v>0</v>
      </c>
      <c r="L11393">
        <v>665.34</v>
      </c>
    </row>
    <row r="11394" spans="1:12" x14ac:dyDescent="0.25">
      <c r="A11394" t="str">
        <f t="shared" ref="A11394:A11457" si="2463">"89301000"</f>
        <v>89301000</v>
      </c>
      <c r="B11394" t="str">
        <f t="shared" si="2449"/>
        <v>06539000</v>
      </c>
      <c r="C11394" t="str">
        <f t="shared" ref="C11394:C11425" si="2464">"06539003"</f>
        <v>06539003</v>
      </c>
      <c r="D11394" t="str">
        <f t="shared" ref="D11394:D11425" si="2465">"813"</f>
        <v>813</v>
      </c>
      <c r="E11394" t="str">
        <f t="shared" si="2450"/>
        <v>89301171</v>
      </c>
      <c r="F11394" t="str">
        <f t="shared" si="2461"/>
        <v>475202456</v>
      </c>
      <c r="G11394" s="1">
        <v>44874</v>
      </c>
      <c r="H11394" t="str">
        <f t="shared" si="2462"/>
        <v>91413</v>
      </c>
      <c r="I11394">
        <v>1</v>
      </c>
      <c r="J11394">
        <v>853</v>
      </c>
      <c r="K11394">
        <v>0</v>
      </c>
      <c r="L11394">
        <v>665.34</v>
      </c>
    </row>
    <row r="11395" spans="1:12" x14ac:dyDescent="0.25">
      <c r="A11395" t="str">
        <f t="shared" si="2463"/>
        <v>89301000</v>
      </c>
      <c r="B11395" t="str">
        <f t="shared" ref="B11395:B11458" si="2466">"06539000"</f>
        <v>06539000</v>
      </c>
      <c r="C11395" t="str">
        <f t="shared" si="2464"/>
        <v>06539003</v>
      </c>
      <c r="D11395" t="str">
        <f t="shared" si="2465"/>
        <v>813</v>
      </c>
      <c r="E11395" t="str">
        <f t="shared" ref="E11395:E11458" si="2467">"89301171"</f>
        <v>89301171</v>
      </c>
      <c r="F11395" t="str">
        <f t="shared" si="2461"/>
        <v>475202456</v>
      </c>
      <c r="G11395" s="1">
        <v>44874</v>
      </c>
      <c r="H11395" t="str">
        <f t="shared" si="2462"/>
        <v>91413</v>
      </c>
      <c r="I11395">
        <v>1</v>
      </c>
      <c r="J11395">
        <v>853</v>
      </c>
      <c r="K11395">
        <v>0</v>
      </c>
      <c r="L11395">
        <v>665.34</v>
      </c>
    </row>
    <row r="11396" spans="1:12" x14ac:dyDescent="0.25">
      <c r="A11396" t="str">
        <f t="shared" si="2463"/>
        <v>89301000</v>
      </c>
      <c r="B11396" t="str">
        <f t="shared" si="2466"/>
        <v>06539000</v>
      </c>
      <c r="C11396" t="str">
        <f t="shared" si="2464"/>
        <v>06539003</v>
      </c>
      <c r="D11396" t="str">
        <f t="shared" si="2465"/>
        <v>813</v>
      </c>
      <c r="E11396" t="str">
        <f t="shared" si="2467"/>
        <v>89301171</v>
      </c>
      <c r="F11396" t="str">
        <f t="shared" si="2461"/>
        <v>475202456</v>
      </c>
      <c r="G11396" s="1">
        <v>44874</v>
      </c>
      <c r="H11396" t="str">
        <f t="shared" si="2462"/>
        <v>91413</v>
      </c>
      <c r="I11396">
        <v>1</v>
      </c>
      <c r="J11396">
        <v>853</v>
      </c>
      <c r="K11396">
        <v>0</v>
      </c>
      <c r="L11396">
        <v>665.34</v>
      </c>
    </row>
    <row r="11397" spans="1:12" x14ac:dyDescent="0.25">
      <c r="A11397" t="str">
        <f t="shared" si="2463"/>
        <v>89301000</v>
      </c>
      <c r="B11397" t="str">
        <f t="shared" si="2466"/>
        <v>06539000</v>
      </c>
      <c r="C11397" t="str">
        <f t="shared" si="2464"/>
        <v>06539003</v>
      </c>
      <c r="D11397" t="str">
        <f t="shared" si="2465"/>
        <v>813</v>
      </c>
      <c r="E11397" t="str">
        <f t="shared" si="2467"/>
        <v>89301171</v>
      </c>
      <c r="F11397" t="str">
        <f t="shared" ref="F11397:F11407" si="2468">"490808125"</f>
        <v>490808125</v>
      </c>
      <c r="G11397" s="1">
        <v>44860</v>
      </c>
      <c r="H11397" t="str">
        <f t="shared" si="2462"/>
        <v>91413</v>
      </c>
      <c r="I11397">
        <v>1</v>
      </c>
      <c r="J11397">
        <v>853</v>
      </c>
      <c r="K11397">
        <v>0</v>
      </c>
      <c r="L11397">
        <v>665.34</v>
      </c>
    </row>
    <row r="11398" spans="1:12" x14ac:dyDescent="0.25">
      <c r="A11398" t="str">
        <f t="shared" si="2463"/>
        <v>89301000</v>
      </c>
      <c r="B11398" t="str">
        <f t="shared" si="2466"/>
        <v>06539000</v>
      </c>
      <c r="C11398" t="str">
        <f t="shared" si="2464"/>
        <v>06539003</v>
      </c>
      <c r="D11398" t="str">
        <f t="shared" si="2465"/>
        <v>813</v>
      </c>
      <c r="E11398" t="str">
        <f t="shared" si="2467"/>
        <v>89301171</v>
      </c>
      <c r="F11398" t="str">
        <f t="shared" si="2468"/>
        <v>490808125</v>
      </c>
      <c r="G11398" s="1">
        <v>44860</v>
      </c>
      <c r="H11398" t="str">
        <f t="shared" si="2462"/>
        <v>91413</v>
      </c>
      <c r="I11398">
        <v>1</v>
      </c>
      <c r="J11398">
        <v>853</v>
      </c>
      <c r="K11398">
        <v>0</v>
      </c>
      <c r="L11398">
        <v>665.34</v>
      </c>
    </row>
    <row r="11399" spans="1:12" x14ac:dyDescent="0.25">
      <c r="A11399" t="str">
        <f t="shared" si="2463"/>
        <v>89301000</v>
      </c>
      <c r="B11399" t="str">
        <f t="shared" si="2466"/>
        <v>06539000</v>
      </c>
      <c r="C11399" t="str">
        <f t="shared" si="2464"/>
        <v>06539003</v>
      </c>
      <c r="D11399" t="str">
        <f t="shared" si="2465"/>
        <v>813</v>
      </c>
      <c r="E11399" t="str">
        <f t="shared" si="2467"/>
        <v>89301171</v>
      </c>
      <c r="F11399" t="str">
        <f t="shared" si="2468"/>
        <v>490808125</v>
      </c>
      <c r="G11399" s="1">
        <v>44874</v>
      </c>
      <c r="H11399" t="str">
        <f t="shared" si="2462"/>
        <v>91413</v>
      </c>
      <c r="I11399">
        <v>1</v>
      </c>
      <c r="J11399">
        <v>853</v>
      </c>
      <c r="K11399">
        <v>0</v>
      </c>
      <c r="L11399">
        <v>665.34</v>
      </c>
    </row>
    <row r="11400" spans="1:12" x14ac:dyDescent="0.25">
      <c r="A11400" t="str">
        <f t="shared" si="2463"/>
        <v>89301000</v>
      </c>
      <c r="B11400" t="str">
        <f t="shared" si="2466"/>
        <v>06539000</v>
      </c>
      <c r="C11400" t="str">
        <f t="shared" si="2464"/>
        <v>06539003</v>
      </c>
      <c r="D11400" t="str">
        <f t="shared" si="2465"/>
        <v>813</v>
      </c>
      <c r="E11400" t="str">
        <f t="shared" si="2467"/>
        <v>89301171</v>
      </c>
      <c r="F11400" t="str">
        <f t="shared" si="2468"/>
        <v>490808125</v>
      </c>
      <c r="G11400" s="1">
        <v>44874</v>
      </c>
      <c r="H11400" t="str">
        <f t="shared" si="2462"/>
        <v>91413</v>
      </c>
      <c r="I11400">
        <v>1</v>
      </c>
      <c r="J11400">
        <v>853</v>
      </c>
      <c r="K11400">
        <v>0</v>
      </c>
      <c r="L11400">
        <v>665.34</v>
      </c>
    </row>
    <row r="11401" spans="1:12" x14ac:dyDescent="0.25">
      <c r="A11401" t="str">
        <f t="shared" si="2463"/>
        <v>89301000</v>
      </c>
      <c r="B11401" t="str">
        <f t="shared" si="2466"/>
        <v>06539000</v>
      </c>
      <c r="C11401" t="str">
        <f t="shared" si="2464"/>
        <v>06539003</v>
      </c>
      <c r="D11401" t="str">
        <f t="shared" si="2465"/>
        <v>813</v>
      </c>
      <c r="E11401" t="str">
        <f t="shared" si="2467"/>
        <v>89301171</v>
      </c>
      <c r="F11401" t="str">
        <f t="shared" si="2468"/>
        <v>490808125</v>
      </c>
      <c r="G11401" s="1">
        <v>44872</v>
      </c>
      <c r="H11401" t="str">
        <f t="shared" si="2462"/>
        <v>91413</v>
      </c>
      <c r="I11401">
        <v>1</v>
      </c>
      <c r="J11401">
        <v>853</v>
      </c>
      <c r="K11401">
        <v>0</v>
      </c>
      <c r="L11401">
        <v>665.34</v>
      </c>
    </row>
    <row r="11402" spans="1:12" x14ac:dyDescent="0.25">
      <c r="A11402" t="str">
        <f t="shared" si="2463"/>
        <v>89301000</v>
      </c>
      <c r="B11402" t="str">
        <f t="shared" si="2466"/>
        <v>06539000</v>
      </c>
      <c r="C11402" t="str">
        <f t="shared" si="2464"/>
        <v>06539003</v>
      </c>
      <c r="D11402" t="str">
        <f t="shared" si="2465"/>
        <v>813</v>
      </c>
      <c r="E11402" t="str">
        <f t="shared" si="2467"/>
        <v>89301171</v>
      </c>
      <c r="F11402" t="str">
        <f t="shared" si="2468"/>
        <v>490808125</v>
      </c>
      <c r="G11402" s="1">
        <v>44872</v>
      </c>
      <c r="H11402" t="str">
        <f t="shared" si="2462"/>
        <v>91413</v>
      </c>
      <c r="I11402">
        <v>1</v>
      </c>
      <c r="J11402">
        <v>853</v>
      </c>
      <c r="K11402">
        <v>0</v>
      </c>
      <c r="L11402">
        <v>665.34</v>
      </c>
    </row>
    <row r="11403" spans="1:12" x14ac:dyDescent="0.25">
      <c r="A11403" t="str">
        <f t="shared" si="2463"/>
        <v>89301000</v>
      </c>
      <c r="B11403" t="str">
        <f t="shared" si="2466"/>
        <v>06539000</v>
      </c>
      <c r="C11403" t="str">
        <f t="shared" si="2464"/>
        <v>06539003</v>
      </c>
      <c r="D11403" t="str">
        <f t="shared" si="2465"/>
        <v>813</v>
      </c>
      <c r="E11403" t="str">
        <f t="shared" si="2467"/>
        <v>89301171</v>
      </c>
      <c r="F11403" t="str">
        <f t="shared" si="2468"/>
        <v>490808125</v>
      </c>
      <c r="G11403" s="1">
        <v>44874</v>
      </c>
      <c r="H11403" t="str">
        <f t="shared" si="2462"/>
        <v>91413</v>
      </c>
      <c r="I11403">
        <v>1</v>
      </c>
      <c r="J11403">
        <v>853</v>
      </c>
      <c r="K11403">
        <v>0</v>
      </c>
      <c r="L11403">
        <v>665.34</v>
      </c>
    </row>
    <row r="11404" spans="1:12" x14ac:dyDescent="0.25">
      <c r="A11404" t="str">
        <f t="shared" si="2463"/>
        <v>89301000</v>
      </c>
      <c r="B11404" t="str">
        <f t="shared" si="2466"/>
        <v>06539000</v>
      </c>
      <c r="C11404" t="str">
        <f t="shared" si="2464"/>
        <v>06539003</v>
      </c>
      <c r="D11404" t="str">
        <f t="shared" si="2465"/>
        <v>813</v>
      </c>
      <c r="E11404" t="str">
        <f t="shared" si="2467"/>
        <v>89301171</v>
      </c>
      <c r="F11404" t="str">
        <f t="shared" si="2468"/>
        <v>490808125</v>
      </c>
      <c r="G11404" s="1">
        <v>44874</v>
      </c>
      <c r="H11404" t="str">
        <f t="shared" si="2462"/>
        <v>91413</v>
      </c>
      <c r="I11404">
        <v>1</v>
      </c>
      <c r="J11404">
        <v>853</v>
      </c>
      <c r="K11404">
        <v>0</v>
      </c>
      <c r="L11404">
        <v>665.34</v>
      </c>
    </row>
    <row r="11405" spans="1:12" x14ac:dyDescent="0.25">
      <c r="A11405" t="str">
        <f t="shared" si="2463"/>
        <v>89301000</v>
      </c>
      <c r="B11405" t="str">
        <f t="shared" si="2466"/>
        <v>06539000</v>
      </c>
      <c r="C11405" t="str">
        <f t="shared" si="2464"/>
        <v>06539003</v>
      </c>
      <c r="D11405" t="str">
        <f t="shared" si="2465"/>
        <v>813</v>
      </c>
      <c r="E11405" t="str">
        <f t="shared" si="2467"/>
        <v>89301171</v>
      </c>
      <c r="F11405" t="str">
        <f t="shared" si="2468"/>
        <v>490808125</v>
      </c>
      <c r="G11405" s="1">
        <v>44874</v>
      </c>
      <c r="H11405" t="str">
        <f t="shared" si="2462"/>
        <v>91413</v>
      </c>
      <c r="I11405">
        <v>1</v>
      </c>
      <c r="J11405">
        <v>853</v>
      </c>
      <c r="K11405">
        <v>0</v>
      </c>
      <c r="L11405">
        <v>665.34</v>
      </c>
    </row>
    <row r="11406" spans="1:12" x14ac:dyDescent="0.25">
      <c r="A11406" t="str">
        <f t="shared" si="2463"/>
        <v>89301000</v>
      </c>
      <c r="B11406" t="str">
        <f t="shared" si="2466"/>
        <v>06539000</v>
      </c>
      <c r="C11406" t="str">
        <f t="shared" si="2464"/>
        <v>06539003</v>
      </c>
      <c r="D11406" t="str">
        <f t="shared" si="2465"/>
        <v>813</v>
      </c>
      <c r="E11406" t="str">
        <f t="shared" si="2467"/>
        <v>89301171</v>
      </c>
      <c r="F11406" t="str">
        <f t="shared" si="2468"/>
        <v>490808125</v>
      </c>
      <c r="G11406" s="1">
        <v>44874</v>
      </c>
      <c r="H11406" t="str">
        <f t="shared" si="2462"/>
        <v>91413</v>
      </c>
      <c r="I11406">
        <v>1</v>
      </c>
      <c r="J11406">
        <v>853</v>
      </c>
      <c r="K11406">
        <v>0</v>
      </c>
      <c r="L11406">
        <v>665.34</v>
      </c>
    </row>
    <row r="11407" spans="1:12" x14ac:dyDescent="0.25">
      <c r="A11407" t="str">
        <f t="shared" si="2463"/>
        <v>89301000</v>
      </c>
      <c r="B11407" t="str">
        <f t="shared" si="2466"/>
        <v>06539000</v>
      </c>
      <c r="C11407" t="str">
        <f t="shared" si="2464"/>
        <v>06539003</v>
      </c>
      <c r="D11407" t="str">
        <f t="shared" si="2465"/>
        <v>813</v>
      </c>
      <c r="E11407" t="str">
        <f t="shared" si="2467"/>
        <v>89301171</v>
      </c>
      <c r="F11407" t="str">
        <f t="shared" si="2468"/>
        <v>490808125</v>
      </c>
      <c r="G11407" s="1">
        <v>44860</v>
      </c>
      <c r="H11407" t="str">
        <f>"91475"</f>
        <v>91475</v>
      </c>
      <c r="I11407">
        <v>1</v>
      </c>
      <c r="J11407">
        <v>206</v>
      </c>
      <c r="K11407">
        <v>0</v>
      </c>
      <c r="L11407">
        <v>160.68</v>
      </c>
    </row>
    <row r="11408" spans="1:12" x14ac:dyDescent="0.25">
      <c r="A11408" t="str">
        <f t="shared" si="2463"/>
        <v>89301000</v>
      </c>
      <c r="B11408" t="str">
        <f t="shared" si="2466"/>
        <v>06539000</v>
      </c>
      <c r="C11408" t="str">
        <f t="shared" si="2464"/>
        <v>06539003</v>
      </c>
      <c r="D11408" t="str">
        <f t="shared" si="2465"/>
        <v>813</v>
      </c>
      <c r="E11408" t="str">
        <f t="shared" si="2467"/>
        <v>89301171</v>
      </c>
      <c r="F11408" t="str">
        <f t="shared" ref="F11408:F11424" si="2469">"525321223"</f>
        <v>525321223</v>
      </c>
      <c r="G11408" s="1">
        <v>44860</v>
      </c>
      <c r="H11408" t="str">
        <f t="shared" ref="H11408:H11417" si="2470">"91413"</f>
        <v>91413</v>
      </c>
      <c r="I11408">
        <v>1</v>
      </c>
      <c r="J11408">
        <v>853</v>
      </c>
      <c r="K11408">
        <v>0</v>
      </c>
      <c r="L11408">
        <v>665.34</v>
      </c>
    </row>
    <row r="11409" spans="1:12" x14ac:dyDescent="0.25">
      <c r="A11409" t="str">
        <f t="shared" si="2463"/>
        <v>89301000</v>
      </c>
      <c r="B11409" t="str">
        <f t="shared" si="2466"/>
        <v>06539000</v>
      </c>
      <c r="C11409" t="str">
        <f t="shared" si="2464"/>
        <v>06539003</v>
      </c>
      <c r="D11409" t="str">
        <f t="shared" si="2465"/>
        <v>813</v>
      </c>
      <c r="E11409" t="str">
        <f t="shared" si="2467"/>
        <v>89301171</v>
      </c>
      <c r="F11409" t="str">
        <f t="shared" si="2469"/>
        <v>525321223</v>
      </c>
      <c r="G11409" s="1">
        <v>44860</v>
      </c>
      <c r="H11409" t="str">
        <f t="shared" si="2470"/>
        <v>91413</v>
      </c>
      <c r="I11409">
        <v>1</v>
      </c>
      <c r="J11409">
        <v>853</v>
      </c>
      <c r="K11409">
        <v>0</v>
      </c>
      <c r="L11409">
        <v>665.34</v>
      </c>
    </row>
    <row r="11410" spans="1:12" x14ac:dyDescent="0.25">
      <c r="A11410" t="str">
        <f t="shared" si="2463"/>
        <v>89301000</v>
      </c>
      <c r="B11410" t="str">
        <f t="shared" si="2466"/>
        <v>06539000</v>
      </c>
      <c r="C11410" t="str">
        <f t="shared" si="2464"/>
        <v>06539003</v>
      </c>
      <c r="D11410" t="str">
        <f t="shared" si="2465"/>
        <v>813</v>
      </c>
      <c r="E11410" t="str">
        <f t="shared" si="2467"/>
        <v>89301171</v>
      </c>
      <c r="F11410" t="str">
        <f t="shared" si="2469"/>
        <v>525321223</v>
      </c>
      <c r="G11410" s="1">
        <v>44874</v>
      </c>
      <c r="H11410" t="str">
        <f t="shared" si="2470"/>
        <v>91413</v>
      </c>
      <c r="I11410">
        <v>1</v>
      </c>
      <c r="J11410">
        <v>853</v>
      </c>
      <c r="K11410">
        <v>0</v>
      </c>
      <c r="L11410">
        <v>665.34</v>
      </c>
    </row>
    <row r="11411" spans="1:12" x14ac:dyDescent="0.25">
      <c r="A11411" t="str">
        <f t="shared" si="2463"/>
        <v>89301000</v>
      </c>
      <c r="B11411" t="str">
        <f t="shared" si="2466"/>
        <v>06539000</v>
      </c>
      <c r="C11411" t="str">
        <f t="shared" si="2464"/>
        <v>06539003</v>
      </c>
      <c r="D11411" t="str">
        <f t="shared" si="2465"/>
        <v>813</v>
      </c>
      <c r="E11411" t="str">
        <f t="shared" si="2467"/>
        <v>89301171</v>
      </c>
      <c r="F11411" t="str">
        <f t="shared" si="2469"/>
        <v>525321223</v>
      </c>
      <c r="G11411" s="1">
        <v>44874</v>
      </c>
      <c r="H11411" t="str">
        <f t="shared" si="2470"/>
        <v>91413</v>
      </c>
      <c r="I11411">
        <v>1</v>
      </c>
      <c r="J11411">
        <v>853</v>
      </c>
      <c r="K11411">
        <v>0</v>
      </c>
      <c r="L11411">
        <v>665.34</v>
      </c>
    </row>
    <row r="11412" spans="1:12" x14ac:dyDescent="0.25">
      <c r="A11412" t="str">
        <f t="shared" si="2463"/>
        <v>89301000</v>
      </c>
      <c r="B11412" t="str">
        <f t="shared" si="2466"/>
        <v>06539000</v>
      </c>
      <c r="C11412" t="str">
        <f t="shared" si="2464"/>
        <v>06539003</v>
      </c>
      <c r="D11412" t="str">
        <f t="shared" si="2465"/>
        <v>813</v>
      </c>
      <c r="E11412" t="str">
        <f t="shared" si="2467"/>
        <v>89301171</v>
      </c>
      <c r="F11412" t="str">
        <f t="shared" si="2469"/>
        <v>525321223</v>
      </c>
      <c r="G11412" s="1">
        <v>44872</v>
      </c>
      <c r="H11412" t="str">
        <f t="shared" si="2470"/>
        <v>91413</v>
      </c>
      <c r="I11412">
        <v>1</v>
      </c>
      <c r="J11412">
        <v>853</v>
      </c>
      <c r="K11412">
        <v>0</v>
      </c>
      <c r="L11412">
        <v>665.34</v>
      </c>
    </row>
    <row r="11413" spans="1:12" x14ac:dyDescent="0.25">
      <c r="A11413" t="str">
        <f t="shared" si="2463"/>
        <v>89301000</v>
      </c>
      <c r="B11413" t="str">
        <f t="shared" si="2466"/>
        <v>06539000</v>
      </c>
      <c r="C11413" t="str">
        <f t="shared" si="2464"/>
        <v>06539003</v>
      </c>
      <c r="D11413" t="str">
        <f t="shared" si="2465"/>
        <v>813</v>
      </c>
      <c r="E11413" t="str">
        <f t="shared" si="2467"/>
        <v>89301171</v>
      </c>
      <c r="F11413" t="str">
        <f t="shared" si="2469"/>
        <v>525321223</v>
      </c>
      <c r="G11413" s="1">
        <v>44872</v>
      </c>
      <c r="H11413" t="str">
        <f t="shared" si="2470"/>
        <v>91413</v>
      </c>
      <c r="I11413">
        <v>1</v>
      </c>
      <c r="J11413">
        <v>853</v>
      </c>
      <c r="K11413">
        <v>0</v>
      </c>
      <c r="L11413">
        <v>665.34</v>
      </c>
    </row>
    <row r="11414" spans="1:12" x14ac:dyDescent="0.25">
      <c r="A11414" t="str">
        <f t="shared" si="2463"/>
        <v>89301000</v>
      </c>
      <c r="B11414" t="str">
        <f t="shared" si="2466"/>
        <v>06539000</v>
      </c>
      <c r="C11414" t="str">
        <f t="shared" si="2464"/>
        <v>06539003</v>
      </c>
      <c r="D11414" t="str">
        <f t="shared" si="2465"/>
        <v>813</v>
      </c>
      <c r="E11414" t="str">
        <f t="shared" si="2467"/>
        <v>89301171</v>
      </c>
      <c r="F11414" t="str">
        <f t="shared" si="2469"/>
        <v>525321223</v>
      </c>
      <c r="G11414" s="1">
        <v>44874</v>
      </c>
      <c r="H11414" t="str">
        <f t="shared" si="2470"/>
        <v>91413</v>
      </c>
      <c r="I11414">
        <v>1</v>
      </c>
      <c r="J11414">
        <v>853</v>
      </c>
      <c r="K11414">
        <v>0</v>
      </c>
      <c r="L11414">
        <v>665.34</v>
      </c>
    </row>
    <row r="11415" spans="1:12" x14ac:dyDescent="0.25">
      <c r="A11415" t="str">
        <f t="shared" si="2463"/>
        <v>89301000</v>
      </c>
      <c r="B11415" t="str">
        <f t="shared" si="2466"/>
        <v>06539000</v>
      </c>
      <c r="C11415" t="str">
        <f t="shared" si="2464"/>
        <v>06539003</v>
      </c>
      <c r="D11415" t="str">
        <f t="shared" si="2465"/>
        <v>813</v>
      </c>
      <c r="E11415" t="str">
        <f t="shared" si="2467"/>
        <v>89301171</v>
      </c>
      <c r="F11415" t="str">
        <f t="shared" si="2469"/>
        <v>525321223</v>
      </c>
      <c r="G11415" s="1">
        <v>44874</v>
      </c>
      <c r="H11415" t="str">
        <f t="shared" si="2470"/>
        <v>91413</v>
      </c>
      <c r="I11415">
        <v>1</v>
      </c>
      <c r="J11415">
        <v>853</v>
      </c>
      <c r="K11415">
        <v>0</v>
      </c>
      <c r="L11415">
        <v>665.34</v>
      </c>
    </row>
    <row r="11416" spans="1:12" x14ac:dyDescent="0.25">
      <c r="A11416" t="str">
        <f t="shared" si="2463"/>
        <v>89301000</v>
      </c>
      <c r="B11416" t="str">
        <f t="shared" si="2466"/>
        <v>06539000</v>
      </c>
      <c r="C11416" t="str">
        <f t="shared" si="2464"/>
        <v>06539003</v>
      </c>
      <c r="D11416" t="str">
        <f t="shared" si="2465"/>
        <v>813</v>
      </c>
      <c r="E11416" t="str">
        <f t="shared" si="2467"/>
        <v>89301171</v>
      </c>
      <c r="F11416" t="str">
        <f t="shared" si="2469"/>
        <v>525321223</v>
      </c>
      <c r="G11416" s="1">
        <v>44874</v>
      </c>
      <c r="H11416" t="str">
        <f t="shared" si="2470"/>
        <v>91413</v>
      </c>
      <c r="I11416">
        <v>1</v>
      </c>
      <c r="J11416">
        <v>853</v>
      </c>
      <c r="K11416">
        <v>0</v>
      </c>
      <c r="L11416">
        <v>665.34</v>
      </c>
    </row>
    <row r="11417" spans="1:12" x14ac:dyDescent="0.25">
      <c r="A11417" t="str">
        <f t="shared" si="2463"/>
        <v>89301000</v>
      </c>
      <c r="B11417" t="str">
        <f t="shared" si="2466"/>
        <v>06539000</v>
      </c>
      <c r="C11417" t="str">
        <f t="shared" si="2464"/>
        <v>06539003</v>
      </c>
      <c r="D11417" t="str">
        <f t="shared" si="2465"/>
        <v>813</v>
      </c>
      <c r="E11417" t="str">
        <f t="shared" si="2467"/>
        <v>89301171</v>
      </c>
      <c r="F11417" t="str">
        <f t="shared" si="2469"/>
        <v>525321223</v>
      </c>
      <c r="G11417" s="1">
        <v>44874</v>
      </c>
      <c r="H11417" t="str">
        <f t="shared" si="2470"/>
        <v>91413</v>
      </c>
      <c r="I11417">
        <v>1</v>
      </c>
      <c r="J11417">
        <v>853</v>
      </c>
      <c r="K11417">
        <v>0</v>
      </c>
      <c r="L11417">
        <v>665.34</v>
      </c>
    </row>
    <row r="11418" spans="1:12" x14ac:dyDescent="0.25">
      <c r="A11418" t="str">
        <f t="shared" si="2463"/>
        <v>89301000</v>
      </c>
      <c r="B11418" t="str">
        <f t="shared" si="2466"/>
        <v>06539000</v>
      </c>
      <c r="C11418" t="str">
        <f t="shared" si="2464"/>
        <v>06539003</v>
      </c>
      <c r="D11418" t="str">
        <f t="shared" si="2465"/>
        <v>813</v>
      </c>
      <c r="E11418" t="str">
        <f t="shared" si="2467"/>
        <v>89301171</v>
      </c>
      <c r="F11418" t="str">
        <f t="shared" si="2469"/>
        <v>525321223</v>
      </c>
      <c r="G11418" s="1">
        <v>44857</v>
      </c>
      <c r="H11418" t="str">
        <f>"91197"</f>
        <v>91197</v>
      </c>
      <c r="I11418">
        <v>1</v>
      </c>
      <c r="J11418">
        <v>1046</v>
      </c>
      <c r="K11418">
        <v>0</v>
      </c>
      <c r="L11418">
        <v>815.88</v>
      </c>
    </row>
    <row r="11419" spans="1:12" x14ac:dyDescent="0.25">
      <c r="A11419" t="str">
        <f t="shared" si="2463"/>
        <v>89301000</v>
      </c>
      <c r="B11419" t="str">
        <f t="shared" si="2466"/>
        <v>06539000</v>
      </c>
      <c r="C11419" t="str">
        <f t="shared" si="2464"/>
        <v>06539003</v>
      </c>
      <c r="D11419" t="str">
        <f t="shared" si="2465"/>
        <v>813</v>
      </c>
      <c r="E11419" t="str">
        <f t="shared" si="2467"/>
        <v>89301171</v>
      </c>
      <c r="F11419" t="str">
        <f t="shared" si="2469"/>
        <v>525321223</v>
      </c>
      <c r="G11419" s="1">
        <v>44857</v>
      </c>
      <c r="H11419" t="str">
        <f>"91197"</f>
        <v>91197</v>
      </c>
      <c r="I11419">
        <v>1</v>
      </c>
      <c r="J11419">
        <v>1046</v>
      </c>
      <c r="K11419">
        <v>0</v>
      </c>
      <c r="L11419">
        <v>815.88</v>
      </c>
    </row>
    <row r="11420" spans="1:12" x14ac:dyDescent="0.25">
      <c r="A11420" t="str">
        <f t="shared" si="2463"/>
        <v>89301000</v>
      </c>
      <c r="B11420" t="str">
        <f t="shared" si="2466"/>
        <v>06539000</v>
      </c>
      <c r="C11420" t="str">
        <f t="shared" si="2464"/>
        <v>06539003</v>
      </c>
      <c r="D11420" t="str">
        <f t="shared" si="2465"/>
        <v>813</v>
      </c>
      <c r="E11420" t="str">
        <f t="shared" si="2467"/>
        <v>89301171</v>
      </c>
      <c r="F11420" t="str">
        <f t="shared" si="2469"/>
        <v>525321223</v>
      </c>
      <c r="G11420" s="1">
        <v>44856</v>
      </c>
      <c r="H11420" t="str">
        <f>"91197"</f>
        <v>91197</v>
      </c>
      <c r="I11420">
        <v>1</v>
      </c>
      <c r="J11420">
        <v>1046</v>
      </c>
      <c r="K11420">
        <v>0</v>
      </c>
      <c r="L11420">
        <v>815.88</v>
      </c>
    </row>
    <row r="11421" spans="1:12" x14ac:dyDescent="0.25">
      <c r="A11421" t="str">
        <f t="shared" si="2463"/>
        <v>89301000</v>
      </c>
      <c r="B11421" t="str">
        <f t="shared" si="2466"/>
        <v>06539000</v>
      </c>
      <c r="C11421" t="str">
        <f t="shared" si="2464"/>
        <v>06539003</v>
      </c>
      <c r="D11421" t="str">
        <f t="shared" si="2465"/>
        <v>813</v>
      </c>
      <c r="E11421" t="str">
        <f t="shared" si="2467"/>
        <v>89301171</v>
      </c>
      <c r="F11421" t="str">
        <f t="shared" si="2469"/>
        <v>525321223</v>
      </c>
      <c r="G11421" s="1">
        <v>44856</v>
      </c>
      <c r="H11421" t="str">
        <f>"91197"</f>
        <v>91197</v>
      </c>
      <c r="I11421">
        <v>1</v>
      </c>
      <c r="J11421">
        <v>1046</v>
      </c>
      <c r="K11421">
        <v>0</v>
      </c>
      <c r="L11421">
        <v>815.88</v>
      </c>
    </row>
    <row r="11422" spans="1:12" x14ac:dyDescent="0.25">
      <c r="A11422" t="str">
        <f t="shared" si="2463"/>
        <v>89301000</v>
      </c>
      <c r="B11422" t="str">
        <f t="shared" si="2466"/>
        <v>06539000</v>
      </c>
      <c r="C11422" t="str">
        <f t="shared" si="2464"/>
        <v>06539003</v>
      </c>
      <c r="D11422" t="str">
        <f t="shared" si="2465"/>
        <v>813</v>
      </c>
      <c r="E11422" t="str">
        <f t="shared" si="2467"/>
        <v>89301171</v>
      </c>
      <c r="F11422" t="str">
        <f t="shared" si="2469"/>
        <v>525321223</v>
      </c>
      <c r="G11422" s="1">
        <v>44856</v>
      </c>
      <c r="H11422" t="str">
        <f>"91167"</f>
        <v>91167</v>
      </c>
      <c r="I11422">
        <v>1</v>
      </c>
      <c r="J11422">
        <v>425</v>
      </c>
      <c r="K11422">
        <v>0</v>
      </c>
      <c r="L11422">
        <v>331.5</v>
      </c>
    </row>
    <row r="11423" spans="1:12" x14ac:dyDescent="0.25">
      <c r="A11423" t="str">
        <f t="shared" si="2463"/>
        <v>89301000</v>
      </c>
      <c r="B11423" t="str">
        <f t="shared" si="2466"/>
        <v>06539000</v>
      </c>
      <c r="C11423" t="str">
        <f t="shared" si="2464"/>
        <v>06539003</v>
      </c>
      <c r="D11423" t="str">
        <f t="shared" si="2465"/>
        <v>813</v>
      </c>
      <c r="E11423" t="str">
        <f t="shared" si="2467"/>
        <v>89301171</v>
      </c>
      <c r="F11423" t="str">
        <f t="shared" si="2469"/>
        <v>525321223</v>
      </c>
      <c r="G11423" s="1">
        <v>44856</v>
      </c>
      <c r="H11423" t="str">
        <f>"91169"</f>
        <v>91169</v>
      </c>
      <c r="I11423">
        <v>1</v>
      </c>
      <c r="J11423">
        <v>425</v>
      </c>
      <c r="K11423">
        <v>0</v>
      </c>
      <c r="L11423">
        <v>331.5</v>
      </c>
    </row>
    <row r="11424" spans="1:12" x14ac:dyDescent="0.25">
      <c r="A11424" t="str">
        <f t="shared" si="2463"/>
        <v>89301000</v>
      </c>
      <c r="B11424" t="str">
        <f t="shared" si="2466"/>
        <v>06539000</v>
      </c>
      <c r="C11424" t="str">
        <f t="shared" si="2464"/>
        <v>06539003</v>
      </c>
      <c r="D11424" t="str">
        <f t="shared" si="2465"/>
        <v>813</v>
      </c>
      <c r="E11424" t="str">
        <f t="shared" si="2467"/>
        <v>89301171</v>
      </c>
      <c r="F11424" t="str">
        <f t="shared" si="2469"/>
        <v>525321223</v>
      </c>
      <c r="G11424" s="1">
        <v>44860</v>
      </c>
      <c r="H11424" t="str">
        <f>"91475"</f>
        <v>91475</v>
      </c>
      <c r="I11424">
        <v>1</v>
      </c>
      <c r="J11424">
        <v>206</v>
      </c>
      <c r="K11424">
        <v>0</v>
      </c>
      <c r="L11424">
        <v>160.68</v>
      </c>
    </row>
    <row r="11425" spans="1:12" x14ac:dyDescent="0.25">
      <c r="A11425" t="str">
        <f t="shared" si="2463"/>
        <v>89301000</v>
      </c>
      <c r="B11425" t="str">
        <f t="shared" si="2466"/>
        <v>06539000</v>
      </c>
      <c r="C11425" t="str">
        <f t="shared" si="2464"/>
        <v>06539003</v>
      </c>
      <c r="D11425" t="str">
        <f t="shared" si="2465"/>
        <v>813</v>
      </c>
      <c r="E11425" t="str">
        <f t="shared" si="2467"/>
        <v>89301171</v>
      </c>
      <c r="F11425" t="str">
        <f t="shared" ref="F11425:F11447" si="2471">"8455315341"</f>
        <v>8455315341</v>
      </c>
      <c r="G11425" s="1">
        <v>44860</v>
      </c>
      <c r="H11425" t="str">
        <f t="shared" ref="H11425:H11434" si="2472">"91413"</f>
        <v>91413</v>
      </c>
      <c r="I11425">
        <v>1</v>
      </c>
      <c r="J11425">
        <v>853</v>
      </c>
      <c r="K11425">
        <v>0</v>
      </c>
      <c r="L11425">
        <v>665.34</v>
      </c>
    </row>
    <row r="11426" spans="1:12" x14ac:dyDescent="0.25">
      <c r="A11426" t="str">
        <f t="shared" si="2463"/>
        <v>89301000</v>
      </c>
      <c r="B11426" t="str">
        <f t="shared" si="2466"/>
        <v>06539000</v>
      </c>
      <c r="C11426" t="str">
        <f t="shared" ref="C11426:C11457" si="2473">"06539003"</f>
        <v>06539003</v>
      </c>
      <c r="D11426" t="str">
        <f t="shared" ref="D11426:D11457" si="2474">"813"</f>
        <v>813</v>
      </c>
      <c r="E11426" t="str">
        <f t="shared" si="2467"/>
        <v>89301171</v>
      </c>
      <c r="F11426" t="str">
        <f t="shared" si="2471"/>
        <v>8455315341</v>
      </c>
      <c r="G11426" s="1">
        <v>44860</v>
      </c>
      <c r="H11426" t="str">
        <f t="shared" si="2472"/>
        <v>91413</v>
      </c>
      <c r="I11426">
        <v>1</v>
      </c>
      <c r="J11426">
        <v>853</v>
      </c>
      <c r="K11426">
        <v>0</v>
      </c>
      <c r="L11426">
        <v>665.34</v>
      </c>
    </row>
    <row r="11427" spans="1:12" x14ac:dyDescent="0.25">
      <c r="A11427" t="str">
        <f t="shared" si="2463"/>
        <v>89301000</v>
      </c>
      <c r="B11427" t="str">
        <f t="shared" si="2466"/>
        <v>06539000</v>
      </c>
      <c r="C11427" t="str">
        <f t="shared" si="2473"/>
        <v>06539003</v>
      </c>
      <c r="D11427" t="str">
        <f t="shared" si="2474"/>
        <v>813</v>
      </c>
      <c r="E11427" t="str">
        <f t="shared" si="2467"/>
        <v>89301171</v>
      </c>
      <c r="F11427" t="str">
        <f t="shared" si="2471"/>
        <v>8455315341</v>
      </c>
      <c r="G11427" s="1">
        <v>44874</v>
      </c>
      <c r="H11427" t="str">
        <f t="shared" si="2472"/>
        <v>91413</v>
      </c>
      <c r="I11427">
        <v>1</v>
      </c>
      <c r="J11427">
        <v>853</v>
      </c>
      <c r="K11427">
        <v>0</v>
      </c>
      <c r="L11427">
        <v>665.34</v>
      </c>
    </row>
    <row r="11428" spans="1:12" x14ac:dyDescent="0.25">
      <c r="A11428" t="str">
        <f t="shared" si="2463"/>
        <v>89301000</v>
      </c>
      <c r="B11428" t="str">
        <f t="shared" si="2466"/>
        <v>06539000</v>
      </c>
      <c r="C11428" t="str">
        <f t="shared" si="2473"/>
        <v>06539003</v>
      </c>
      <c r="D11428" t="str">
        <f t="shared" si="2474"/>
        <v>813</v>
      </c>
      <c r="E11428" t="str">
        <f t="shared" si="2467"/>
        <v>89301171</v>
      </c>
      <c r="F11428" t="str">
        <f t="shared" si="2471"/>
        <v>8455315341</v>
      </c>
      <c r="G11428" s="1">
        <v>44874</v>
      </c>
      <c r="H11428" t="str">
        <f t="shared" si="2472"/>
        <v>91413</v>
      </c>
      <c r="I11428">
        <v>1</v>
      </c>
      <c r="J11428">
        <v>853</v>
      </c>
      <c r="K11428">
        <v>0</v>
      </c>
      <c r="L11428">
        <v>665.34</v>
      </c>
    </row>
    <row r="11429" spans="1:12" x14ac:dyDescent="0.25">
      <c r="A11429" t="str">
        <f t="shared" si="2463"/>
        <v>89301000</v>
      </c>
      <c r="B11429" t="str">
        <f t="shared" si="2466"/>
        <v>06539000</v>
      </c>
      <c r="C11429" t="str">
        <f t="shared" si="2473"/>
        <v>06539003</v>
      </c>
      <c r="D11429" t="str">
        <f t="shared" si="2474"/>
        <v>813</v>
      </c>
      <c r="E11429" t="str">
        <f t="shared" si="2467"/>
        <v>89301171</v>
      </c>
      <c r="F11429" t="str">
        <f t="shared" si="2471"/>
        <v>8455315341</v>
      </c>
      <c r="G11429" s="1">
        <v>44872</v>
      </c>
      <c r="H11429" t="str">
        <f t="shared" si="2472"/>
        <v>91413</v>
      </c>
      <c r="I11429">
        <v>1</v>
      </c>
      <c r="J11429">
        <v>853</v>
      </c>
      <c r="K11429">
        <v>0</v>
      </c>
      <c r="L11429">
        <v>665.34</v>
      </c>
    </row>
    <row r="11430" spans="1:12" x14ac:dyDescent="0.25">
      <c r="A11430" t="str">
        <f t="shared" si="2463"/>
        <v>89301000</v>
      </c>
      <c r="B11430" t="str">
        <f t="shared" si="2466"/>
        <v>06539000</v>
      </c>
      <c r="C11430" t="str">
        <f t="shared" si="2473"/>
        <v>06539003</v>
      </c>
      <c r="D11430" t="str">
        <f t="shared" si="2474"/>
        <v>813</v>
      </c>
      <c r="E11430" t="str">
        <f t="shared" si="2467"/>
        <v>89301171</v>
      </c>
      <c r="F11430" t="str">
        <f t="shared" si="2471"/>
        <v>8455315341</v>
      </c>
      <c r="G11430" s="1">
        <v>44872</v>
      </c>
      <c r="H11430" t="str">
        <f t="shared" si="2472"/>
        <v>91413</v>
      </c>
      <c r="I11430">
        <v>1</v>
      </c>
      <c r="J11430">
        <v>853</v>
      </c>
      <c r="K11430">
        <v>0</v>
      </c>
      <c r="L11430">
        <v>665.34</v>
      </c>
    </row>
    <row r="11431" spans="1:12" x14ac:dyDescent="0.25">
      <c r="A11431" t="str">
        <f t="shared" si="2463"/>
        <v>89301000</v>
      </c>
      <c r="B11431" t="str">
        <f t="shared" si="2466"/>
        <v>06539000</v>
      </c>
      <c r="C11431" t="str">
        <f t="shared" si="2473"/>
        <v>06539003</v>
      </c>
      <c r="D11431" t="str">
        <f t="shared" si="2474"/>
        <v>813</v>
      </c>
      <c r="E11431" t="str">
        <f t="shared" si="2467"/>
        <v>89301171</v>
      </c>
      <c r="F11431" t="str">
        <f t="shared" si="2471"/>
        <v>8455315341</v>
      </c>
      <c r="G11431" s="1">
        <v>44874</v>
      </c>
      <c r="H11431" t="str">
        <f t="shared" si="2472"/>
        <v>91413</v>
      </c>
      <c r="I11431">
        <v>1</v>
      </c>
      <c r="J11431">
        <v>853</v>
      </c>
      <c r="K11431">
        <v>0</v>
      </c>
      <c r="L11431">
        <v>665.34</v>
      </c>
    </row>
    <row r="11432" spans="1:12" x14ac:dyDescent="0.25">
      <c r="A11432" t="str">
        <f t="shared" si="2463"/>
        <v>89301000</v>
      </c>
      <c r="B11432" t="str">
        <f t="shared" si="2466"/>
        <v>06539000</v>
      </c>
      <c r="C11432" t="str">
        <f t="shared" si="2473"/>
        <v>06539003</v>
      </c>
      <c r="D11432" t="str">
        <f t="shared" si="2474"/>
        <v>813</v>
      </c>
      <c r="E11432" t="str">
        <f t="shared" si="2467"/>
        <v>89301171</v>
      </c>
      <c r="F11432" t="str">
        <f t="shared" si="2471"/>
        <v>8455315341</v>
      </c>
      <c r="G11432" s="1">
        <v>44874</v>
      </c>
      <c r="H11432" t="str">
        <f t="shared" si="2472"/>
        <v>91413</v>
      </c>
      <c r="I11432">
        <v>1</v>
      </c>
      <c r="J11432">
        <v>853</v>
      </c>
      <c r="K11432">
        <v>0</v>
      </c>
      <c r="L11432">
        <v>665.34</v>
      </c>
    </row>
    <row r="11433" spans="1:12" x14ac:dyDescent="0.25">
      <c r="A11433" t="str">
        <f t="shared" si="2463"/>
        <v>89301000</v>
      </c>
      <c r="B11433" t="str">
        <f t="shared" si="2466"/>
        <v>06539000</v>
      </c>
      <c r="C11433" t="str">
        <f t="shared" si="2473"/>
        <v>06539003</v>
      </c>
      <c r="D11433" t="str">
        <f t="shared" si="2474"/>
        <v>813</v>
      </c>
      <c r="E11433" t="str">
        <f t="shared" si="2467"/>
        <v>89301171</v>
      </c>
      <c r="F11433" t="str">
        <f t="shared" si="2471"/>
        <v>8455315341</v>
      </c>
      <c r="G11433" s="1">
        <v>44874</v>
      </c>
      <c r="H11433" t="str">
        <f t="shared" si="2472"/>
        <v>91413</v>
      </c>
      <c r="I11433">
        <v>1</v>
      </c>
      <c r="J11433">
        <v>853</v>
      </c>
      <c r="K11433">
        <v>0</v>
      </c>
      <c r="L11433">
        <v>665.34</v>
      </c>
    </row>
    <row r="11434" spans="1:12" x14ac:dyDescent="0.25">
      <c r="A11434" t="str">
        <f t="shared" si="2463"/>
        <v>89301000</v>
      </c>
      <c r="B11434" t="str">
        <f t="shared" si="2466"/>
        <v>06539000</v>
      </c>
      <c r="C11434" t="str">
        <f t="shared" si="2473"/>
        <v>06539003</v>
      </c>
      <c r="D11434" t="str">
        <f t="shared" si="2474"/>
        <v>813</v>
      </c>
      <c r="E11434" t="str">
        <f t="shared" si="2467"/>
        <v>89301171</v>
      </c>
      <c r="F11434" t="str">
        <f t="shared" si="2471"/>
        <v>8455315341</v>
      </c>
      <c r="G11434" s="1">
        <v>44874</v>
      </c>
      <c r="H11434" t="str">
        <f t="shared" si="2472"/>
        <v>91413</v>
      </c>
      <c r="I11434">
        <v>1</v>
      </c>
      <c r="J11434">
        <v>853</v>
      </c>
      <c r="K11434">
        <v>0</v>
      </c>
      <c r="L11434">
        <v>665.34</v>
      </c>
    </row>
    <row r="11435" spans="1:12" x14ac:dyDescent="0.25">
      <c r="A11435" t="str">
        <f t="shared" si="2463"/>
        <v>89301000</v>
      </c>
      <c r="B11435" t="str">
        <f t="shared" si="2466"/>
        <v>06539000</v>
      </c>
      <c r="C11435" t="str">
        <f t="shared" si="2473"/>
        <v>06539003</v>
      </c>
      <c r="D11435" t="str">
        <f t="shared" si="2474"/>
        <v>813</v>
      </c>
      <c r="E11435" t="str">
        <f t="shared" si="2467"/>
        <v>89301171</v>
      </c>
      <c r="F11435" t="str">
        <f t="shared" si="2471"/>
        <v>8455315341</v>
      </c>
      <c r="G11435" s="1">
        <v>44858</v>
      </c>
      <c r="H11435" t="str">
        <f t="shared" ref="H11435:H11440" si="2475">"91197"</f>
        <v>91197</v>
      </c>
      <c r="I11435">
        <v>1</v>
      </c>
      <c r="J11435">
        <v>1046</v>
      </c>
      <c r="K11435">
        <v>0</v>
      </c>
      <c r="L11435">
        <v>815.88</v>
      </c>
    </row>
    <row r="11436" spans="1:12" x14ac:dyDescent="0.25">
      <c r="A11436" t="str">
        <f t="shared" si="2463"/>
        <v>89301000</v>
      </c>
      <c r="B11436" t="str">
        <f t="shared" si="2466"/>
        <v>06539000</v>
      </c>
      <c r="C11436" t="str">
        <f t="shared" si="2473"/>
        <v>06539003</v>
      </c>
      <c r="D11436" t="str">
        <f t="shared" si="2474"/>
        <v>813</v>
      </c>
      <c r="E11436" t="str">
        <f t="shared" si="2467"/>
        <v>89301171</v>
      </c>
      <c r="F11436" t="str">
        <f t="shared" si="2471"/>
        <v>8455315341</v>
      </c>
      <c r="G11436" s="1">
        <v>44858</v>
      </c>
      <c r="H11436" t="str">
        <f t="shared" si="2475"/>
        <v>91197</v>
      </c>
      <c r="I11436">
        <v>1</v>
      </c>
      <c r="J11436">
        <v>1046</v>
      </c>
      <c r="K11436">
        <v>0</v>
      </c>
      <c r="L11436">
        <v>815.88</v>
      </c>
    </row>
    <row r="11437" spans="1:12" x14ac:dyDescent="0.25">
      <c r="A11437" t="str">
        <f t="shared" si="2463"/>
        <v>89301000</v>
      </c>
      <c r="B11437" t="str">
        <f t="shared" si="2466"/>
        <v>06539000</v>
      </c>
      <c r="C11437" t="str">
        <f t="shared" si="2473"/>
        <v>06539003</v>
      </c>
      <c r="D11437" t="str">
        <f t="shared" si="2474"/>
        <v>813</v>
      </c>
      <c r="E11437" t="str">
        <f t="shared" si="2467"/>
        <v>89301171</v>
      </c>
      <c r="F11437" t="str">
        <f t="shared" si="2471"/>
        <v>8455315341</v>
      </c>
      <c r="G11437" s="1">
        <v>44857</v>
      </c>
      <c r="H11437" t="str">
        <f t="shared" si="2475"/>
        <v>91197</v>
      </c>
      <c r="I11437">
        <v>1</v>
      </c>
      <c r="J11437">
        <v>1046</v>
      </c>
      <c r="K11437">
        <v>0</v>
      </c>
      <c r="L11437">
        <v>815.88</v>
      </c>
    </row>
    <row r="11438" spans="1:12" x14ac:dyDescent="0.25">
      <c r="A11438" t="str">
        <f t="shared" si="2463"/>
        <v>89301000</v>
      </c>
      <c r="B11438" t="str">
        <f t="shared" si="2466"/>
        <v>06539000</v>
      </c>
      <c r="C11438" t="str">
        <f t="shared" si="2473"/>
        <v>06539003</v>
      </c>
      <c r="D11438" t="str">
        <f t="shared" si="2474"/>
        <v>813</v>
      </c>
      <c r="E11438" t="str">
        <f t="shared" si="2467"/>
        <v>89301171</v>
      </c>
      <c r="F11438" t="str">
        <f t="shared" si="2471"/>
        <v>8455315341</v>
      </c>
      <c r="G11438" s="1">
        <v>44857</v>
      </c>
      <c r="H11438" t="str">
        <f t="shared" si="2475"/>
        <v>91197</v>
      </c>
      <c r="I11438">
        <v>1</v>
      </c>
      <c r="J11438">
        <v>1046</v>
      </c>
      <c r="K11438">
        <v>0</v>
      </c>
      <c r="L11438">
        <v>815.88</v>
      </c>
    </row>
    <row r="11439" spans="1:12" x14ac:dyDescent="0.25">
      <c r="A11439" t="str">
        <f t="shared" si="2463"/>
        <v>89301000</v>
      </c>
      <c r="B11439" t="str">
        <f t="shared" si="2466"/>
        <v>06539000</v>
      </c>
      <c r="C11439" t="str">
        <f t="shared" si="2473"/>
        <v>06539003</v>
      </c>
      <c r="D11439" t="str">
        <f t="shared" si="2474"/>
        <v>813</v>
      </c>
      <c r="E11439" t="str">
        <f t="shared" si="2467"/>
        <v>89301171</v>
      </c>
      <c r="F11439" t="str">
        <f t="shared" si="2471"/>
        <v>8455315341</v>
      </c>
      <c r="G11439" s="1">
        <v>44856</v>
      </c>
      <c r="H11439" t="str">
        <f t="shared" si="2475"/>
        <v>91197</v>
      </c>
      <c r="I11439">
        <v>1</v>
      </c>
      <c r="J11439">
        <v>1046</v>
      </c>
      <c r="K11439">
        <v>0</v>
      </c>
      <c r="L11439">
        <v>815.88</v>
      </c>
    </row>
    <row r="11440" spans="1:12" x14ac:dyDescent="0.25">
      <c r="A11440" t="str">
        <f t="shared" si="2463"/>
        <v>89301000</v>
      </c>
      <c r="B11440" t="str">
        <f t="shared" si="2466"/>
        <v>06539000</v>
      </c>
      <c r="C11440" t="str">
        <f t="shared" si="2473"/>
        <v>06539003</v>
      </c>
      <c r="D11440" t="str">
        <f t="shared" si="2474"/>
        <v>813</v>
      </c>
      <c r="E11440" t="str">
        <f t="shared" si="2467"/>
        <v>89301171</v>
      </c>
      <c r="F11440" t="str">
        <f t="shared" si="2471"/>
        <v>8455315341</v>
      </c>
      <c r="G11440" s="1">
        <v>44856</v>
      </c>
      <c r="H11440" t="str">
        <f t="shared" si="2475"/>
        <v>91197</v>
      </c>
      <c r="I11440">
        <v>1</v>
      </c>
      <c r="J11440">
        <v>1046</v>
      </c>
      <c r="K11440">
        <v>0</v>
      </c>
      <c r="L11440">
        <v>815.88</v>
      </c>
    </row>
    <row r="11441" spans="1:12" x14ac:dyDescent="0.25">
      <c r="A11441" t="str">
        <f t="shared" si="2463"/>
        <v>89301000</v>
      </c>
      <c r="B11441" t="str">
        <f t="shared" si="2466"/>
        <v>06539000</v>
      </c>
      <c r="C11441" t="str">
        <f t="shared" si="2473"/>
        <v>06539003</v>
      </c>
      <c r="D11441" t="str">
        <f t="shared" si="2474"/>
        <v>813</v>
      </c>
      <c r="E11441" t="str">
        <f t="shared" si="2467"/>
        <v>89301171</v>
      </c>
      <c r="F11441" t="str">
        <f t="shared" si="2471"/>
        <v>8455315341</v>
      </c>
      <c r="G11441" s="1">
        <v>44874</v>
      </c>
      <c r="H11441" t="str">
        <f>"91329"</f>
        <v>91329</v>
      </c>
      <c r="I11441">
        <v>2</v>
      </c>
      <c r="J11441">
        <v>428</v>
      </c>
      <c r="K11441">
        <v>0</v>
      </c>
      <c r="L11441">
        <v>333.84</v>
      </c>
    </row>
    <row r="11442" spans="1:12" x14ac:dyDescent="0.25">
      <c r="A11442" t="str">
        <f t="shared" si="2463"/>
        <v>89301000</v>
      </c>
      <c r="B11442" t="str">
        <f t="shared" si="2466"/>
        <v>06539000</v>
      </c>
      <c r="C11442" t="str">
        <f t="shared" si="2473"/>
        <v>06539003</v>
      </c>
      <c r="D11442" t="str">
        <f t="shared" si="2474"/>
        <v>813</v>
      </c>
      <c r="E11442" t="str">
        <f t="shared" si="2467"/>
        <v>89301171</v>
      </c>
      <c r="F11442" t="str">
        <f t="shared" si="2471"/>
        <v>8455315341</v>
      </c>
      <c r="G11442" s="1">
        <v>44874</v>
      </c>
      <c r="H11442" t="str">
        <f>"91329"</f>
        <v>91329</v>
      </c>
      <c r="I11442">
        <v>2</v>
      </c>
      <c r="J11442">
        <v>428</v>
      </c>
      <c r="K11442">
        <v>0</v>
      </c>
      <c r="L11442">
        <v>333.84</v>
      </c>
    </row>
    <row r="11443" spans="1:12" x14ac:dyDescent="0.25">
      <c r="A11443" t="str">
        <f t="shared" si="2463"/>
        <v>89301000</v>
      </c>
      <c r="B11443" t="str">
        <f t="shared" si="2466"/>
        <v>06539000</v>
      </c>
      <c r="C11443" t="str">
        <f t="shared" si="2473"/>
        <v>06539003</v>
      </c>
      <c r="D11443" t="str">
        <f t="shared" si="2474"/>
        <v>813</v>
      </c>
      <c r="E11443" t="str">
        <f t="shared" si="2467"/>
        <v>89301171</v>
      </c>
      <c r="F11443" t="str">
        <f t="shared" si="2471"/>
        <v>8455315341</v>
      </c>
      <c r="G11443" s="1">
        <v>44874</v>
      </c>
      <c r="H11443" t="str">
        <f>"91329"</f>
        <v>91329</v>
      </c>
      <c r="I11443">
        <v>2</v>
      </c>
      <c r="J11443">
        <v>428</v>
      </c>
      <c r="K11443">
        <v>0</v>
      </c>
      <c r="L11443">
        <v>333.84</v>
      </c>
    </row>
    <row r="11444" spans="1:12" x14ac:dyDescent="0.25">
      <c r="A11444" t="str">
        <f t="shared" si="2463"/>
        <v>89301000</v>
      </c>
      <c r="B11444" t="str">
        <f t="shared" si="2466"/>
        <v>06539000</v>
      </c>
      <c r="C11444" t="str">
        <f t="shared" si="2473"/>
        <v>06539003</v>
      </c>
      <c r="D11444" t="str">
        <f t="shared" si="2474"/>
        <v>813</v>
      </c>
      <c r="E11444" t="str">
        <f t="shared" si="2467"/>
        <v>89301171</v>
      </c>
      <c r="F11444" t="str">
        <f t="shared" si="2471"/>
        <v>8455315341</v>
      </c>
      <c r="G11444" s="1">
        <v>44874</v>
      </c>
      <c r="H11444" t="str">
        <f>"91329"</f>
        <v>91329</v>
      </c>
      <c r="I11444">
        <v>2</v>
      </c>
      <c r="J11444">
        <v>428</v>
      </c>
      <c r="K11444">
        <v>0</v>
      </c>
      <c r="L11444">
        <v>333.84</v>
      </c>
    </row>
    <row r="11445" spans="1:12" x14ac:dyDescent="0.25">
      <c r="A11445" t="str">
        <f t="shared" si="2463"/>
        <v>89301000</v>
      </c>
      <c r="B11445" t="str">
        <f t="shared" si="2466"/>
        <v>06539000</v>
      </c>
      <c r="C11445" t="str">
        <f t="shared" si="2473"/>
        <v>06539003</v>
      </c>
      <c r="D11445" t="str">
        <f t="shared" si="2474"/>
        <v>813</v>
      </c>
      <c r="E11445" t="str">
        <f t="shared" si="2467"/>
        <v>89301171</v>
      </c>
      <c r="F11445" t="str">
        <f t="shared" si="2471"/>
        <v>8455315341</v>
      </c>
      <c r="G11445" s="1">
        <v>44856</v>
      </c>
      <c r="H11445" t="str">
        <f>"91167"</f>
        <v>91167</v>
      </c>
      <c r="I11445">
        <v>1</v>
      </c>
      <c r="J11445">
        <v>425</v>
      </c>
      <c r="K11445">
        <v>0</v>
      </c>
      <c r="L11445">
        <v>331.5</v>
      </c>
    </row>
    <row r="11446" spans="1:12" x14ac:dyDescent="0.25">
      <c r="A11446" t="str">
        <f t="shared" si="2463"/>
        <v>89301000</v>
      </c>
      <c r="B11446" t="str">
        <f t="shared" si="2466"/>
        <v>06539000</v>
      </c>
      <c r="C11446" t="str">
        <f t="shared" si="2473"/>
        <v>06539003</v>
      </c>
      <c r="D11446" t="str">
        <f t="shared" si="2474"/>
        <v>813</v>
      </c>
      <c r="E11446" t="str">
        <f t="shared" si="2467"/>
        <v>89301171</v>
      </c>
      <c r="F11446" t="str">
        <f t="shared" si="2471"/>
        <v>8455315341</v>
      </c>
      <c r="G11446" s="1">
        <v>44856</v>
      </c>
      <c r="H11446" t="str">
        <f>"91169"</f>
        <v>91169</v>
      </c>
      <c r="I11446">
        <v>1</v>
      </c>
      <c r="J11446">
        <v>425</v>
      </c>
      <c r="K11446">
        <v>0</v>
      </c>
      <c r="L11446">
        <v>331.5</v>
      </c>
    </row>
    <row r="11447" spans="1:12" x14ac:dyDescent="0.25">
      <c r="A11447" t="str">
        <f t="shared" si="2463"/>
        <v>89301000</v>
      </c>
      <c r="B11447" t="str">
        <f t="shared" si="2466"/>
        <v>06539000</v>
      </c>
      <c r="C11447" t="str">
        <f t="shared" si="2473"/>
        <v>06539003</v>
      </c>
      <c r="D11447" t="str">
        <f t="shared" si="2474"/>
        <v>813</v>
      </c>
      <c r="E11447" t="str">
        <f t="shared" si="2467"/>
        <v>89301171</v>
      </c>
      <c r="F11447" t="str">
        <f t="shared" si="2471"/>
        <v>8455315341</v>
      </c>
      <c r="G11447" s="1">
        <v>44860</v>
      </c>
      <c r="H11447" t="str">
        <f>"91475"</f>
        <v>91475</v>
      </c>
      <c r="I11447">
        <v>1</v>
      </c>
      <c r="J11447">
        <v>206</v>
      </c>
      <c r="K11447">
        <v>0</v>
      </c>
      <c r="L11447">
        <v>160.68</v>
      </c>
    </row>
    <row r="11448" spans="1:12" x14ac:dyDescent="0.25">
      <c r="A11448" t="str">
        <f t="shared" si="2463"/>
        <v>89301000</v>
      </c>
      <c r="B11448" t="str">
        <f t="shared" si="2466"/>
        <v>06539000</v>
      </c>
      <c r="C11448" t="str">
        <f t="shared" si="2473"/>
        <v>06539003</v>
      </c>
      <c r="D11448" t="str">
        <f t="shared" si="2474"/>
        <v>813</v>
      </c>
      <c r="E11448" t="str">
        <f t="shared" si="2467"/>
        <v>89301171</v>
      </c>
      <c r="F11448" t="str">
        <f t="shared" ref="F11448:F11470" si="2476">"7207205324"</f>
        <v>7207205324</v>
      </c>
      <c r="G11448" s="1">
        <v>44860</v>
      </c>
      <c r="H11448" t="str">
        <f t="shared" ref="H11448:H11457" si="2477">"91413"</f>
        <v>91413</v>
      </c>
      <c r="I11448">
        <v>1</v>
      </c>
      <c r="J11448">
        <v>853</v>
      </c>
      <c r="K11448">
        <v>0</v>
      </c>
      <c r="L11448">
        <v>665.34</v>
      </c>
    </row>
    <row r="11449" spans="1:12" x14ac:dyDescent="0.25">
      <c r="A11449" t="str">
        <f t="shared" si="2463"/>
        <v>89301000</v>
      </c>
      <c r="B11449" t="str">
        <f t="shared" si="2466"/>
        <v>06539000</v>
      </c>
      <c r="C11449" t="str">
        <f t="shared" si="2473"/>
        <v>06539003</v>
      </c>
      <c r="D11449" t="str">
        <f t="shared" si="2474"/>
        <v>813</v>
      </c>
      <c r="E11449" t="str">
        <f t="shared" si="2467"/>
        <v>89301171</v>
      </c>
      <c r="F11449" t="str">
        <f t="shared" si="2476"/>
        <v>7207205324</v>
      </c>
      <c r="G11449" s="1">
        <v>44860</v>
      </c>
      <c r="H11449" t="str">
        <f t="shared" si="2477"/>
        <v>91413</v>
      </c>
      <c r="I11449">
        <v>1</v>
      </c>
      <c r="J11449">
        <v>853</v>
      </c>
      <c r="K11449">
        <v>0</v>
      </c>
      <c r="L11449">
        <v>665.34</v>
      </c>
    </row>
    <row r="11450" spans="1:12" x14ac:dyDescent="0.25">
      <c r="A11450" t="str">
        <f t="shared" si="2463"/>
        <v>89301000</v>
      </c>
      <c r="B11450" t="str">
        <f t="shared" si="2466"/>
        <v>06539000</v>
      </c>
      <c r="C11450" t="str">
        <f t="shared" si="2473"/>
        <v>06539003</v>
      </c>
      <c r="D11450" t="str">
        <f t="shared" si="2474"/>
        <v>813</v>
      </c>
      <c r="E11450" t="str">
        <f t="shared" si="2467"/>
        <v>89301171</v>
      </c>
      <c r="F11450" t="str">
        <f t="shared" si="2476"/>
        <v>7207205324</v>
      </c>
      <c r="G11450" s="1">
        <v>44874</v>
      </c>
      <c r="H11450" t="str">
        <f t="shared" si="2477"/>
        <v>91413</v>
      </c>
      <c r="I11450">
        <v>1</v>
      </c>
      <c r="J11450">
        <v>853</v>
      </c>
      <c r="K11450">
        <v>0</v>
      </c>
      <c r="L11450">
        <v>665.34</v>
      </c>
    </row>
    <row r="11451" spans="1:12" x14ac:dyDescent="0.25">
      <c r="A11451" t="str">
        <f t="shared" si="2463"/>
        <v>89301000</v>
      </c>
      <c r="B11451" t="str">
        <f t="shared" si="2466"/>
        <v>06539000</v>
      </c>
      <c r="C11451" t="str">
        <f t="shared" si="2473"/>
        <v>06539003</v>
      </c>
      <c r="D11451" t="str">
        <f t="shared" si="2474"/>
        <v>813</v>
      </c>
      <c r="E11451" t="str">
        <f t="shared" si="2467"/>
        <v>89301171</v>
      </c>
      <c r="F11451" t="str">
        <f t="shared" si="2476"/>
        <v>7207205324</v>
      </c>
      <c r="G11451" s="1">
        <v>44874</v>
      </c>
      <c r="H11451" t="str">
        <f t="shared" si="2477"/>
        <v>91413</v>
      </c>
      <c r="I11451">
        <v>1</v>
      </c>
      <c r="J11451">
        <v>853</v>
      </c>
      <c r="K11451">
        <v>0</v>
      </c>
      <c r="L11451">
        <v>665.34</v>
      </c>
    </row>
    <row r="11452" spans="1:12" x14ac:dyDescent="0.25">
      <c r="A11452" t="str">
        <f t="shared" si="2463"/>
        <v>89301000</v>
      </c>
      <c r="B11452" t="str">
        <f t="shared" si="2466"/>
        <v>06539000</v>
      </c>
      <c r="C11452" t="str">
        <f t="shared" si="2473"/>
        <v>06539003</v>
      </c>
      <c r="D11452" t="str">
        <f t="shared" si="2474"/>
        <v>813</v>
      </c>
      <c r="E11452" t="str">
        <f t="shared" si="2467"/>
        <v>89301171</v>
      </c>
      <c r="F11452" t="str">
        <f t="shared" si="2476"/>
        <v>7207205324</v>
      </c>
      <c r="G11452" s="1">
        <v>44872</v>
      </c>
      <c r="H11452" t="str">
        <f t="shared" si="2477"/>
        <v>91413</v>
      </c>
      <c r="I11452">
        <v>1</v>
      </c>
      <c r="J11452">
        <v>853</v>
      </c>
      <c r="K11452">
        <v>0</v>
      </c>
      <c r="L11452">
        <v>665.34</v>
      </c>
    </row>
    <row r="11453" spans="1:12" x14ac:dyDescent="0.25">
      <c r="A11453" t="str">
        <f t="shared" si="2463"/>
        <v>89301000</v>
      </c>
      <c r="B11453" t="str">
        <f t="shared" si="2466"/>
        <v>06539000</v>
      </c>
      <c r="C11453" t="str">
        <f t="shared" si="2473"/>
        <v>06539003</v>
      </c>
      <c r="D11453" t="str">
        <f t="shared" si="2474"/>
        <v>813</v>
      </c>
      <c r="E11453" t="str">
        <f t="shared" si="2467"/>
        <v>89301171</v>
      </c>
      <c r="F11453" t="str">
        <f t="shared" si="2476"/>
        <v>7207205324</v>
      </c>
      <c r="G11453" s="1">
        <v>44872</v>
      </c>
      <c r="H11453" t="str">
        <f t="shared" si="2477"/>
        <v>91413</v>
      </c>
      <c r="I11453">
        <v>1</v>
      </c>
      <c r="J11453">
        <v>853</v>
      </c>
      <c r="K11453">
        <v>0</v>
      </c>
      <c r="L11453">
        <v>665.34</v>
      </c>
    </row>
    <row r="11454" spans="1:12" x14ac:dyDescent="0.25">
      <c r="A11454" t="str">
        <f t="shared" si="2463"/>
        <v>89301000</v>
      </c>
      <c r="B11454" t="str">
        <f t="shared" si="2466"/>
        <v>06539000</v>
      </c>
      <c r="C11454" t="str">
        <f t="shared" si="2473"/>
        <v>06539003</v>
      </c>
      <c r="D11454" t="str">
        <f t="shared" si="2474"/>
        <v>813</v>
      </c>
      <c r="E11454" t="str">
        <f t="shared" si="2467"/>
        <v>89301171</v>
      </c>
      <c r="F11454" t="str">
        <f t="shared" si="2476"/>
        <v>7207205324</v>
      </c>
      <c r="G11454" s="1">
        <v>44874</v>
      </c>
      <c r="H11454" t="str">
        <f t="shared" si="2477"/>
        <v>91413</v>
      </c>
      <c r="I11454">
        <v>1</v>
      </c>
      <c r="J11454">
        <v>853</v>
      </c>
      <c r="K11454">
        <v>0</v>
      </c>
      <c r="L11454">
        <v>665.34</v>
      </c>
    </row>
    <row r="11455" spans="1:12" x14ac:dyDescent="0.25">
      <c r="A11455" t="str">
        <f t="shared" si="2463"/>
        <v>89301000</v>
      </c>
      <c r="B11455" t="str">
        <f t="shared" si="2466"/>
        <v>06539000</v>
      </c>
      <c r="C11455" t="str">
        <f t="shared" si="2473"/>
        <v>06539003</v>
      </c>
      <c r="D11455" t="str">
        <f t="shared" si="2474"/>
        <v>813</v>
      </c>
      <c r="E11455" t="str">
        <f t="shared" si="2467"/>
        <v>89301171</v>
      </c>
      <c r="F11455" t="str">
        <f t="shared" si="2476"/>
        <v>7207205324</v>
      </c>
      <c r="G11455" s="1">
        <v>44874</v>
      </c>
      <c r="H11455" t="str">
        <f t="shared" si="2477"/>
        <v>91413</v>
      </c>
      <c r="I11455">
        <v>1</v>
      </c>
      <c r="J11455">
        <v>853</v>
      </c>
      <c r="K11455">
        <v>0</v>
      </c>
      <c r="L11455">
        <v>665.34</v>
      </c>
    </row>
    <row r="11456" spans="1:12" x14ac:dyDescent="0.25">
      <c r="A11456" t="str">
        <f t="shared" si="2463"/>
        <v>89301000</v>
      </c>
      <c r="B11456" t="str">
        <f t="shared" si="2466"/>
        <v>06539000</v>
      </c>
      <c r="C11456" t="str">
        <f t="shared" si="2473"/>
        <v>06539003</v>
      </c>
      <c r="D11456" t="str">
        <f t="shared" si="2474"/>
        <v>813</v>
      </c>
      <c r="E11456" t="str">
        <f t="shared" si="2467"/>
        <v>89301171</v>
      </c>
      <c r="F11456" t="str">
        <f t="shared" si="2476"/>
        <v>7207205324</v>
      </c>
      <c r="G11456" s="1">
        <v>44874</v>
      </c>
      <c r="H11456" t="str">
        <f t="shared" si="2477"/>
        <v>91413</v>
      </c>
      <c r="I11456">
        <v>1</v>
      </c>
      <c r="J11456">
        <v>853</v>
      </c>
      <c r="K11456">
        <v>0</v>
      </c>
      <c r="L11456">
        <v>665.34</v>
      </c>
    </row>
    <row r="11457" spans="1:12" x14ac:dyDescent="0.25">
      <c r="A11457" t="str">
        <f t="shared" si="2463"/>
        <v>89301000</v>
      </c>
      <c r="B11457" t="str">
        <f t="shared" si="2466"/>
        <v>06539000</v>
      </c>
      <c r="C11457" t="str">
        <f t="shared" si="2473"/>
        <v>06539003</v>
      </c>
      <c r="D11457" t="str">
        <f t="shared" si="2474"/>
        <v>813</v>
      </c>
      <c r="E11457" t="str">
        <f t="shared" si="2467"/>
        <v>89301171</v>
      </c>
      <c r="F11457" t="str">
        <f t="shared" si="2476"/>
        <v>7207205324</v>
      </c>
      <c r="G11457" s="1">
        <v>44874</v>
      </c>
      <c r="H11457" t="str">
        <f t="shared" si="2477"/>
        <v>91413</v>
      </c>
      <c r="I11457">
        <v>1</v>
      </c>
      <c r="J11457">
        <v>853</v>
      </c>
      <c r="K11457">
        <v>0</v>
      </c>
      <c r="L11457">
        <v>665.34</v>
      </c>
    </row>
    <row r="11458" spans="1:12" x14ac:dyDescent="0.25">
      <c r="A11458" t="str">
        <f t="shared" ref="A11458:A11521" si="2478">"89301000"</f>
        <v>89301000</v>
      </c>
      <c r="B11458" t="str">
        <f t="shared" si="2466"/>
        <v>06539000</v>
      </c>
      <c r="C11458" t="str">
        <f t="shared" ref="C11458:C11470" si="2479">"06539003"</f>
        <v>06539003</v>
      </c>
      <c r="D11458" t="str">
        <f t="shared" ref="D11458:D11470" si="2480">"813"</f>
        <v>813</v>
      </c>
      <c r="E11458" t="str">
        <f t="shared" si="2467"/>
        <v>89301171</v>
      </c>
      <c r="F11458" t="str">
        <f t="shared" si="2476"/>
        <v>7207205324</v>
      </c>
      <c r="G11458" s="1">
        <v>44858</v>
      </c>
      <c r="H11458" t="str">
        <f t="shared" ref="H11458:H11463" si="2481">"91197"</f>
        <v>91197</v>
      </c>
      <c r="I11458">
        <v>1</v>
      </c>
      <c r="J11458">
        <v>1046</v>
      </c>
      <c r="K11458">
        <v>0</v>
      </c>
      <c r="L11458">
        <v>815.88</v>
      </c>
    </row>
    <row r="11459" spans="1:12" x14ac:dyDescent="0.25">
      <c r="A11459" t="str">
        <f t="shared" si="2478"/>
        <v>89301000</v>
      </c>
      <c r="B11459" t="str">
        <f t="shared" ref="B11459:B11522" si="2482">"06539000"</f>
        <v>06539000</v>
      </c>
      <c r="C11459" t="str">
        <f t="shared" si="2479"/>
        <v>06539003</v>
      </c>
      <c r="D11459" t="str">
        <f t="shared" si="2480"/>
        <v>813</v>
      </c>
      <c r="E11459" t="str">
        <f t="shared" ref="E11459:E11522" si="2483">"89301171"</f>
        <v>89301171</v>
      </c>
      <c r="F11459" t="str">
        <f t="shared" si="2476"/>
        <v>7207205324</v>
      </c>
      <c r="G11459" s="1">
        <v>44858</v>
      </c>
      <c r="H11459" t="str">
        <f t="shared" si="2481"/>
        <v>91197</v>
      </c>
      <c r="I11459">
        <v>1</v>
      </c>
      <c r="J11459">
        <v>1046</v>
      </c>
      <c r="K11459">
        <v>0</v>
      </c>
      <c r="L11459">
        <v>815.88</v>
      </c>
    </row>
    <row r="11460" spans="1:12" x14ac:dyDescent="0.25">
      <c r="A11460" t="str">
        <f t="shared" si="2478"/>
        <v>89301000</v>
      </c>
      <c r="B11460" t="str">
        <f t="shared" si="2482"/>
        <v>06539000</v>
      </c>
      <c r="C11460" t="str">
        <f t="shared" si="2479"/>
        <v>06539003</v>
      </c>
      <c r="D11460" t="str">
        <f t="shared" si="2480"/>
        <v>813</v>
      </c>
      <c r="E11460" t="str">
        <f t="shared" si="2483"/>
        <v>89301171</v>
      </c>
      <c r="F11460" t="str">
        <f t="shared" si="2476"/>
        <v>7207205324</v>
      </c>
      <c r="G11460" s="1">
        <v>44857</v>
      </c>
      <c r="H11460" t="str">
        <f t="shared" si="2481"/>
        <v>91197</v>
      </c>
      <c r="I11460">
        <v>1</v>
      </c>
      <c r="J11460">
        <v>1046</v>
      </c>
      <c r="K11460">
        <v>0</v>
      </c>
      <c r="L11460">
        <v>815.88</v>
      </c>
    </row>
    <row r="11461" spans="1:12" x14ac:dyDescent="0.25">
      <c r="A11461" t="str">
        <f t="shared" si="2478"/>
        <v>89301000</v>
      </c>
      <c r="B11461" t="str">
        <f t="shared" si="2482"/>
        <v>06539000</v>
      </c>
      <c r="C11461" t="str">
        <f t="shared" si="2479"/>
        <v>06539003</v>
      </c>
      <c r="D11461" t="str">
        <f t="shared" si="2480"/>
        <v>813</v>
      </c>
      <c r="E11461" t="str">
        <f t="shared" si="2483"/>
        <v>89301171</v>
      </c>
      <c r="F11461" t="str">
        <f t="shared" si="2476"/>
        <v>7207205324</v>
      </c>
      <c r="G11461" s="1">
        <v>44857</v>
      </c>
      <c r="H11461" t="str">
        <f t="shared" si="2481"/>
        <v>91197</v>
      </c>
      <c r="I11461">
        <v>1</v>
      </c>
      <c r="J11461">
        <v>1046</v>
      </c>
      <c r="K11461">
        <v>0</v>
      </c>
      <c r="L11461">
        <v>815.88</v>
      </c>
    </row>
    <row r="11462" spans="1:12" x14ac:dyDescent="0.25">
      <c r="A11462" t="str">
        <f t="shared" si="2478"/>
        <v>89301000</v>
      </c>
      <c r="B11462" t="str">
        <f t="shared" si="2482"/>
        <v>06539000</v>
      </c>
      <c r="C11462" t="str">
        <f t="shared" si="2479"/>
        <v>06539003</v>
      </c>
      <c r="D11462" t="str">
        <f t="shared" si="2480"/>
        <v>813</v>
      </c>
      <c r="E11462" t="str">
        <f t="shared" si="2483"/>
        <v>89301171</v>
      </c>
      <c r="F11462" t="str">
        <f t="shared" si="2476"/>
        <v>7207205324</v>
      </c>
      <c r="G11462" s="1">
        <v>44856</v>
      </c>
      <c r="H11462" t="str">
        <f t="shared" si="2481"/>
        <v>91197</v>
      </c>
      <c r="I11462">
        <v>1</v>
      </c>
      <c r="J11462">
        <v>1046</v>
      </c>
      <c r="K11462">
        <v>0</v>
      </c>
      <c r="L11462">
        <v>815.88</v>
      </c>
    </row>
    <row r="11463" spans="1:12" x14ac:dyDescent="0.25">
      <c r="A11463" t="str">
        <f t="shared" si="2478"/>
        <v>89301000</v>
      </c>
      <c r="B11463" t="str">
        <f t="shared" si="2482"/>
        <v>06539000</v>
      </c>
      <c r="C11463" t="str">
        <f t="shared" si="2479"/>
        <v>06539003</v>
      </c>
      <c r="D11463" t="str">
        <f t="shared" si="2480"/>
        <v>813</v>
      </c>
      <c r="E11463" t="str">
        <f t="shared" si="2483"/>
        <v>89301171</v>
      </c>
      <c r="F11463" t="str">
        <f t="shared" si="2476"/>
        <v>7207205324</v>
      </c>
      <c r="G11463" s="1">
        <v>44856</v>
      </c>
      <c r="H11463" t="str">
        <f t="shared" si="2481"/>
        <v>91197</v>
      </c>
      <c r="I11463">
        <v>1</v>
      </c>
      <c r="J11463">
        <v>1046</v>
      </c>
      <c r="K11463">
        <v>0</v>
      </c>
      <c r="L11463">
        <v>815.88</v>
      </c>
    </row>
    <row r="11464" spans="1:12" x14ac:dyDescent="0.25">
      <c r="A11464" t="str">
        <f t="shared" si="2478"/>
        <v>89301000</v>
      </c>
      <c r="B11464" t="str">
        <f t="shared" si="2482"/>
        <v>06539000</v>
      </c>
      <c r="C11464" t="str">
        <f t="shared" si="2479"/>
        <v>06539003</v>
      </c>
      <c r="D11464" t="str">
        <f t="shared" si="2480"/>
        <v>813</v>
      </c>
      <c r="E11464" t="str">
        <f t="shared" si="2483"/>
        <v>89301171</v>
      </c>
      <c r="F11464" t="str">
        <f t="shared" si="2476"/>
        <v>7207205324</v>
      </c>
      <c r="G11464" s="1">
        <v>44865</v>
      </c>
      <c r="H11464" t="str">
        <f>"91329"</f>
        <v>91329</v>
      </c>
      <c r="I11464">
        <v>2</v>
      </c>
      <c r="J11464">
        <v>428</v>
      </c>
      <c r="K11464">
        <v>0</v>
      </c>
      <c r="L11464">
        <v>333.84</v>
      </c>
    </row>
    <row r="11465" spans="1:12" x14ac:dyDescent="0.25">
      <c r="A11465" t="str">
        <f t="shared" si="2478"/>
        <v>89301000</v>
      </c>
      <c r="B11465" t="str">
        <f t="shared" si="2482"/>
        <v>06539000</v>
      </c>
      <c r="C11465" t="str">
        <f t="shared" si="2479"/>
        <v>06539003</v>
      </c>
      <c r="D11465" t="str">
        <f t="shared" si="2480"/>
        <v>813</v>
      </c>
      <c r="E11465" t="str">
        <f t="shared" si="2483"/>
        <v>89301171</v>
      </c>
      <c r="F11465" t="str">
        <f t="shared" si="2476"/>
        <v>7207205324</v>
      </c>
      <c r="G11465" s="1">
        <v>44865</v>
      </c>
      <c r="H11465" t="str">
        <f>"91329"</f>
        <v>91329</v>
      </c>
      <c r="I11465">
        <v>2</v>
      </c>
      <c r="J11465">
        <v>428</v>
      </c>
      <c r="K11465">
        <v>0</v>
      </c>
      <c r="L11465">
        <v>333.84</v>
      </c>
    </row>
    <row r="11466" spans="1:12" x14ac:dyDescent="0.25">
      <c r="A11466" t="str">
        <f t="shared" si="2478"/>
        <v>89301000</v>
      </c>
      <c r="B11466" t="str">
        <f t="shared" si="2482"/>
        <v>06539000</v>
      </c>
      <c r="C11466" t="str">
        <f t="shared" si="2479"/>
        <v>06539003</v>
      </c>
      <c r="D11466" t="str">
        <f t="shared" si="2480"/>
        <v>813</v>
      </c>
      <c r="E11466" t="str">
        <f t="shared" si="2483"/>
        <v>89301171</v>
      </c>
      <c r="F11466" t="str">
        <f t="shared" si="2476"/>
        <v>7207205324</v>
      </c>
      <c r="G11466" s="1">
        <v>44865</v>
      </c>
      <c r="H11466" t="str">
        <f>"91329"</f>
        <v>91329</v>
      </c>
      <c r="I11466">
        <v>2</v>
      </c>
      <c r="J11466">
        <v>428</v>
      </c>
      <c r="K11466">
        <v>0</v>
      </c>
      <c r="L11466">
        <v>333.84</v>
      </c>
    </row>
    <row r="11467" spans="1:12" x14ac:dyDescent="0.25">
      <c r="A11467" t="str">
        <f t="shared" si="2478"/>
        <v>89301000</v>
      </c>
      <c r="B11467" t="str">
        <f t="shared" si="2482"/>
        <v>06539000</v>
      </c>
      <c r="C11467" t="str">
        <f t="shared" si="2479"/>
        <v>06539003</v>
      </c>
      <c r="D11467" t="str">
        <f t="shared" si="2480"/>
        <v>813</v>
      </c>
      <c r="E11467" t="str">
        <f t="shared" si="2483"/>
        <v>89301171</v>
      </c>
      <c r="F11467" t="str">
        <f t="shared" si="2476"/>
        <v>7207205324</v>
      </c>
      <c r="G11467" s="1">
        <v>44865</v>
      </c>
      <c r="H11467" t="str">
        <f>"91329"</f>
        <v>91329</v>
      </c>
      <c r="I11467">
        <v>2</v>
      </c>
      <c r="J11467">
        <v>428</v>
      </c>
      <c r="K11467">
        <v>0</v>
      </c>
      <c r="L11467">
        <v>333.84</v>
      </c>
    </row>
    <row r="11468" spans="1:12" x14ac:dyDescent="0.25">
      <c r="A11468" t="str">
        <f t="shared" si="2478"/>
        <v>89301000</v>
      </c>
      <c r="B11468" t="str">
        <f t="shared" si="2482"/>
        <v>06539000</v>
      </c>
      <c r="C11468" t="str">
        <f t="shared" si="2479"/>
        <v>06539003</v>
      </c>
      <c r="D11468" t="str">
        <f t="shared" si="2480"/>
        <v>813</v>
      </c>
      <c r="E11468" t="str">
        <f t="shared" si="2483"/>
        <v>89301171</v>
      </c>
      <c r="F11468" t="str">
        <f t="shared" si="2476"/>
        <v>7207205324</v>
      </c>
      <c r="G11468" s="1">
        <v>44856</v>
      </c>
      <c r="H11468" t="str">
        <f>"91167"</f>
        <v>91167</v>
      </c>
      <c r="I11468">
        <v>1</v>
      </c>
      <c r="J11468">
        <v>425</v>
      </c>
      <c r="K11468">
        <v>0</v>
      </c>
      <c r="L11468">
        <v>331.5</v>
      </c>
    </row>
    <row r="11469" spans="1:12" x14ac:dyDescent="0.25">
      <c r="A11469" t="str">
        <f t="shared" si="2478"/>
        <v>89301000</v>
      </c>
      <c r="B11469" t="str">
        <f t="shared" si="2482"/>
        <v>06539000</v>
      </c>
      <c r="C11469" t="str">
        <f t="shared" si="2479"/>
        <v>06539003</v>
      </c>
      <c r="D11469" t="str">
        <f t="shared" si="2480"/>
        <v>813</v>
      </c>
      <c r="E11469" t="str">
        <f t="shared" si="2483"/>
        <v>89301171</v>
      </c>
      <c r="F11469" t="str">
        <f t="shared" si="2476"/>
        <v>7207205324</v>
      </c>
      <c r="G11469" s="1">
        <v>44856</v>
      </c>
      <c r="H11469" t="str">
        <f>"91169"</f>
        <v>91169</v>
      </c>
      <c r="I11469">
        <v>1</v>
      </c>
      <c r="J11469">
        <v>425</v>
      </c>
      <c r="K11469">
        <v>0</v>
      </c>
      <c r="L11469">
        <v>331.5</v>
      </c>
    </row>
    <row r="11470" spans="1:12" x14ac:dyDescent="0.25">
      <c r="A11470" t="str">
        <f t="shared" si="2478"/>
        <v>89301000</v>
      </c>
      <c r="B11470" t="str">
        <f t="shared" si="2482"/>
        <v>06539000</v>
      </c>
      <c r="C11470" t="str">
        <f t="shared" si="2479"/>
        <v>06539003</v>
      </c>
      <c r="D11470" t="str">
        <f t="shared" si="2480"/>
        <v>813</v>
      </c>
      <c r="E11470" t="str">
        <f t="shared" si="2483"/>
        <v>89301171</v>
      </c>
      <c r="F11470" t="str">
        <f t="shared" si="2476"/>
        <v>7207205324</v>
      </c>
      <c r="G11470" s="1">
        <v>44860</v>
      </c>
      <c r="H11470" t="str">
        <f>"91475"</f>
        <v>91475</v>
      </c>
      <c r="I11470">
        <v>1</v>
      </c>
      <c r="J11470">
        <v>206</v>
      </c>
      <c r="K11470">
        <v>0</v>
      </c>
      <c r="L11470">
        <v>160.68</v>
      </c>
    </row>
    <row r="11471" spans="1:12" x14ac:dyDescent="0.25">
      <c r="A11471" t="str">
        <f t="shared" si="2478"/>
        <v>89301000</v>
      </c>
      <c r="B11471" t="str">
        <f t="shared" si="2482"/>
        <v>06539000</v>
      </c>
      <c r="C11471" t="str">
        <f>"06539001"</f>
        <v>06539001</v>
      </c>
      <c r="D11471" t="str">
        <f>"801"</f>
        <v>801</v>
      </c>
      <c r="E11471" t="str">
        <f t="shared" si="2483"/>
        <v>89301171</v>
      </c>
      <c r="F11471" t="str">
        <f t="shared" ref="F11471:F11512" si="2484">"6262270487"</f>
        <v>6262270487</v>
      </c>
      <c r="G11471" s="1">
        <v>44855</v>
      </c>
      <c r="H11471" t="str">
        <f>"81329"</f>
        <v>81329</v>
      </c>
      <c r="I11471">
        <v>1</v>
      </c>
      <c r="J11471">
        <v>16</v>
      </c>
      <c r="K11471">
        <v>0</v>
      </c>
      <c r="L11471">
        <v>12.48</v>
      </c>
    </row>
    <row r="11472" spans="1:12" x14ac:dyDescent="0.25">
      <c r="A11472" t="str">
        <f t="shared" si="2478"/>
        <v>89301000</v>
      </c>
      <c r="B11472" t="str">
        <f t="shared" si="2482"/>
        <v>06539000</v>
      </c>
      <c r="C11472" t="str">
        <f>"06539001"</f>
        <v>06539001</v>
      </c>
      <c r="D11472" t="str">
        <f>"801"</f>
        <v>801</v>
      </c>
      <c r="E11472" t="str">
        <f t="shared" si="2483"/>
        <v>89301171</v>
      </c>
      <c r="F11472" t="str">
        <f t="shared" si="2484"/>
        <v>6262270487</v>
      </c>
      <c r="G11472" s="1">
        <v>44855</v>
      </c>
      <c r="H11472" t="str">
        <f>"81331"</f>
        <v>81331</v>
      </c>
      <c r="I11472">
        <v>1</v>
      </c>
      <c r="J11472">
        <v>193</v>
      </c>
      <c r="K11472">
        <v>0</v>
      </c>
      <c r="L11472">
        <v>150.54</v>
      </c>
    </row>
    <row r="11473" spans="1:12" x14ac:dyDescent="0.25">
      <c r="A11473" t="str">
        <f t="shared" si="2478"/>
        <v>89301000</v>
      </c>
      <c r="B11473" t="str">
        <f t="shared" si="2482"/>
        <v>06539000</v>
      </c>
      <c r="C11473" t="str">
        <f t="shared" ref="C11473:C11480" si="2485">"06539002"</f>
        <v>06539002</v>
      </c>
      <c r="D11473" t="str">
        <f t="shared" ref="D11473:D11480" si="2486">"802"</f>
        <v>802</v>
      </c>
      <c r="E11473" t="str">
        <f t="shared" si="2483"/>
        <v>89301171</v>
      </c>
      <c r="F11473" t="str">
        <f t="shared" si="2484"/>
        <v>6262270487</v>
      </c>
      <c r="G11473" s="1">
        <v>44855</v>
      </c>
      <c r="H11473" t="str">
        <f t="shared" ref="H11473:H11480" si="2487">"82097"</f>
        <v>82097</v>
      </c>
      <c r="I11473">
        <v>1</v>
      </c>
      <c r="J11473">
        <v>380</v>
      </c>
      <c r="K11473">
        <v>0</v>
      </c>
      <c r="L11473">
        <v>345.8</v>
      </c>
    </row>
    <row r="11474" spans="1:12" x14ac:dyDescent="0.25">
      <c r="A11474" t="str">
        <f t="shared" si="2478"/>
        <v>89301000</v>
      </c>
      <c r="B11474" t="str">
        <f t="shared" si="2482"/>
        <v>06539000</v>
      </c>
      <c r="C11474" t="str">
        <f t="shared" si="2485"/>
        <v>06539002</v>
      </c>
      <c r="D11474" t="str">
        <f t="shared" si="2486"/>
        <v>802</v>
      </c>
      <c r="E11474" t="str">
        <f t="shared" si="2483"/>
        <v>89301171</v>
      </c>
      <c r="F11474" t="str">
        <f t="shared" si="2484"/>
        <v>6262270487</v>
      </c>
      <c r="G11474" s="1">
        <v>44855</v>
      </c>
      <c r="H11474" t="str">
        <f t="shared" si="2487"/>
        <v>82097</v>
      </c>
      <c r="I11474">
        <v>1</v>
      </c>
      <c r="J11474">
        <v>380</v>
      </c>
      <c r="K11474">
        <v>0</v>
      </c>
      <c r="L11474">
        <v>345.8</v>
      </c>
    </row>
    <row r="11475" spans="1:12" x14ac:dyDescent="0.25">
      <c r="A11475" t="str">
        <f t="shared" si="2478"/>
        <v>89301000</v>
      </c>
      <c r="B11475" t="str">
        <f t="shared" si="2482"/>
        <v>06539000</v>
      </c>
      <c r="C11475" t="str">
        <f t="shared" si="2485"/>
        <v>06539002</v>
      </c>
      <c r="D11475" t="str">
        <f t="shared" si="2486"/>
        <v>802</v>
      </c>
      <c r="E11475" t="str">
        <f t="shared" si="2483"/>
        <v>89301171</v>
      </c>
      <c r="F11475" t="str">
        <f t="shared" si="2484"/>
        <v>6262270487</v>
      </c>
      <c r="G11475" s="1">
        <v>44855</v>
      </c>
      <c r="H11475" t="str">
        <f t="shared" si="2487"/>
        <v>82097</v>
      </c>
      <c r="I11475">
        <v>1</v>
      </c>
      <c r="J11475">
        <v>380</v>
      </c>
      <c r="K11475">
        <v>0</v>
      </c>
      <c r="L11475">
        <v>345.8</v>
      </c>
    </row>
    <row r="11476" spans="1:12" x14ac:dyDescent="0.25">
      <c r="A11476" t="str">
        <f t="shared" si="2478"/>
        <v>89301000</v>
      </c>
      <c r="B11476" t="str">
        <f t="shared" si="2482"/>
        <v>06539000</v>
      </c>
      <c r="C11476" t="str">
        <f t="shared" si="2485"/>
        <v>06539002</v>
      </c>
      <c r="D11476" t="str">
        <f t="shared" si="2486"/>
        <v>802</v>
      </c>
      <c r="E11476" t="str">
        <f t="shared" si="2483"/>
        <v>89301171</v>
      </c>
      <c r="F11476" t="str">
        <f t="shared" si="2484"/>
        <v>6262270487</v>
      </c>
      <c r="G11476" s="1">
        <v>44855</v>
      </c>
      <c r="H11476" t="str">
        <f t="shared" si="2487"/>
        <v>82097</v>
      </c>
      <c r="I11476">
        <v>1</v>
      </c>
      <c r="J11476">
        <v>380</v>
      </c>
      <c r="K11476">
        <v>0</v>
      </c>
      <c r="L11476">
        <v>345.8</v>
      </c>
    </row>
    <row r="11477" spans="1:12" x14ac:dyDescent="0.25">
      <c r="A11477" t="str">
        <f t="shared" si="2478"/>
        <v>89301000</v>
      </c>
      <c r="B11477" t="str">
        <f t="shared" si="2482"/>
        <v>06539000</v>
      </c>
      <c r="C11477" t="str">
        <f t="shared" si="2485"/>
        <v>06539002</v>
      </c>
      <c r="D11477" t="str">
        <f t="shared" si="2486"/>
        <v>802</v>
      </c>
      <c r="E11477" t="str">
        <f t="shared" si="2483"/>
        <v>89301171</v>
      </c>
      <c r="F11477" t="str">
        <f t="shared" si="2484"/>
        <v>6262270487</v>
      </c>
      <c r="G11477" s="1">
        <v>44855</v>
      </c>
      <c r="H11477" t="str">
        <f t="shared" si="2487"/>
        <v>82097</v>
      </c>
      <c r="I11477">
        <v>1</v>
      </c>
      <c r="J11477">
        <v>380</v>
      </c>
      <c r="K11477">
        <v>0</v>
      </c>
      <c r="L11477">
        <v>345.8</v>
      </c>
    </row>
    <row r="11478" spans="1:12" x14ac:dyDescent="0.25">
      <c r="A11478" t="str">
        <f t="shared" si="2478"/>
        <v>89301000</v>
      </c>
      <c r="B11478" t="str">
        <f t="shared" si="2482"/>
        <v>06539000</v>
      </c>
      <c r="C11478" t="str">
        <f t="shared" si="2485"/>
        <v>06539002</v>
      </c>
      <c r="D11478" t="str">
        <f t="shared" si="2486"/>
        <v>802</v>
      </c>
      <c r="E11478" t="str">
        <f t="shared" si="2483"/>
        <v>89301171</v>
      </c>
      <c r="F11478" t="str">
        <f t="shared" si="2484"/>
        <v>6262270487</v>
      </c>
      <c r="G11478" s="1">
        <v>44855</v>
      </c>
      <c r="H11478" t="str">
        <f t="shared" si="2487"/>
        <v>82097</v>
      </c>
      <c r="I11478">
        <v>1</v>
      </c>
      <c r="J11478">
        <v>380</v>
      </c>
      <c r="K11478">
        <v>0</v>
      </c>
      <c r="L11478">
        <v>345.8</v>
      </c>
    </row>
    <row r="11479" spans="1:12" x14ac:dyDescent="0.25">
      <c r="A11479" t="str">
        <f t="shared" si="2478"/>
        <v>89301000</v>
      </c>
      <c r="B11479" t="str">
        <f t="shared" si="2482"/>
        <v>06539000</v>
      </c>
      <c r="C11479" t="str">
        <f t="shared" si="2485"/>
        <v>06539002</v>
      </c>
      <c r="D11479" t="str">
        <f t="shared" si="2486"/>
        <v>802</v>
      </c>
      <c r="E11479" t="str">
        <f t="shared" si="2483"/>
        <v>89301171</v>
      </c>
      <c r="F11479" t="str">
        <f t="shared" si="2484"/>
        <v>6262270487</v>
      </c>
      <c r="G11479" s="1">
        <v>44855</v>
      </c>
      <c r="H11479" t="str">
        <f t="shared" si="2487"/>
        <v>82097</v>
      </c>
      <c r="I11479">
        <v>1</v>
      </c>
      <c r="J11479">
        <v>380</v>
      </c>
      <c r="K11479">
        <v>0</v>
      </c>
      <c r="L11479">
        <v>345.8</v>
      </c>
    </row>
    <row r="11480" spans="1:12" x14ac:dyDescent="0.25">
      <c r="A11480" t="str">
        <f t="shared" si="2478"/>
        <v>89301000</v>
      </c>
      <c r="B11480" t="str">
        <f t="shared" si="2482"/>
        <v>06539000</v>
      </c>
      <c r="C11480" t="str">
        <f t="shared" si="2485"/>
        <v>06539002</v>
      </c>
      <c r="D11480" t="str">
        <f t="shared" si="2486"/>
        <v>802</v>
      </c>
      <c r="E11480" t="str">
        <f t="shared" si="2483"/>
        <v>89301171</v>
      </c>
      <c r="F11480" t="str">
        <f t="shared" si="2484"/>
        <v>6262270487</v>
      </c>
      <c r="G11480" s="1">
        <v>44855</v>
      </c>
      <c r="H11480" t="str">
        <f t="shared" si="2487"/>
        <v>82097</v>
      </c>
      <c r="I11480">
        <v>1</v>
      </c>
      <c r="J11480">
        <v>380</v>
      </c>
      <c r="K11480">
        <v>0</v>
      </c>
      <c r="L11480">
        <v>345.8</v>
      </c>
    </row>
    <row r="11481" spans="1:12" x14ac:dyDescent="0.25">
      <c r="A11481" t="str">
        <f t="shared" si="2478"/>
        <v>89301000</v>
      </c>
      <c r="B11481" t="str">
        <f t="shared" si="2482"/>
        <v>06539000</v>
      </c>
      <c r="C11481" t="str">
        <f t="shared" ref="C11481:C11512" si="2488">"06539003"</f>
        <v>06539003</v>
      </c>
      <c r="D11481" t="str">
        <f t="shared" ref="D11481:D11512" si="2489">"813"</f>
        <v>813</v>
      </c>
      <c r="E11481" t="str">
        <f t="shared" si="2483"/>
        <v>89301171</v>
      </c>
      <c r="F11481" t="str">
        <f t="shared" si="2484"/>
        <v>6262270487</v>
      </c>
      <c r="G11481" s="1">
        <v>44860</v>
      </c>
      <c r="H11481" t="str">
        <f t="shared" ref="H11481:H11490" si="2490">"91413"</f>
        <v>91413</v>
      </c>
      <c r="I11481">
        <v>1</v>
      </c>
      <c r="J11481">
        <v>853</v>
      </c>
      <c r="K11481">
        <v>0</v>
      </c>
      <c r="L11481">
        <v>665.34</v>
      </c>
    </row>
    <row r="11482" spans="1:12" x14ac:dyDescent="0.25">
      <c r="A11482" t="str">
        <f t="shared" si="2478"/>
        <v>89301000</v>
      </c>
      <c r="B11482" t="str">
        <f t="shared" si="2482"/>
        <v>06539000</v>
      </c>
      <c r="C11482" t="str">
        <f t="shared" si="2488"/>
        <v>06539003</v>
      </c>
      <c r="D11482" t="str">
        <f t="shared" si="2489"/>
        <v>813</v>
      </c>
      <c r="E11482" t="str">
        <f t="shared" si="2483"/>
        <v>89301171</v>
      </c>
      <c r="F11482" t="str">
        <f t="shared" si="2484"/>
        <v>6262270487</v>
      </c>
      <c r="G11482" s="1">
        <v>44860</v>
      </c>
      <c r="H11482" t="str">
        <f t="shared" si="2490"/>
        <v>91413</v>
      </c>
      <c r="I11482">
        <v>1</v>
      </c>
      <c r="J11482">
        <v>853</v>
      </c>
      <c r="K11482">
        <v>0</v>
      </c>
      <c r="L11482">
        <v>665.34</v>
      </c>
    </row>
    <row r="11483" spans="1:12" x14ac:dyDescent="0.25">
      <c r="A11483" t="str">
        <f t="shared" si="2478"/>
        <v>89301000</v>
      </c>
      <c r="B11483" t="str">
        <f t="shared" si="2482"/>
        <v>06539000</v>
      </c>
      <c r="C11483" t="str">
        <f t="shared" si="2488"/>
        <v>06539003</v>
      </c>
      <c r="D11483" t="str">
        <f t="shared" si="2489"/>
        <v>813</v>
      </c>
      <c r="E11483" t="str">
        <f t="shared" si="2483"/>
        <v>89301171</v>
      </c>
      <c r="F11483" t="str">
        <f t="shared" si="2484"/>
        <v>6262270487</v>
      </c>
      <c r="G11483" s="1">
        <v>44874</v>
      </c>
      <c r="H11483" t="str">
        <f t="shared" si="2490"/>
        <v>91413</v>
      </c>
      <c r="I11483">
        <v>1</v>
      </c>
      <c r="J11483">
        <v>853</v>
      </c>
      <c r="K11483">
        <v>0</v>
      </c>
      <c r="L11483">
        <v>665.34</v>
      </c>
    </row>
    <row r="11484" spans="1:12" x14ac:dyDescent="0.25">
      <c r="A11484" t="str">
        <f t="shared" si="2478"/>
        <v>89301000</v>
      </c>
      <c r="B11484" t="str">
        <f t="shared" si="2482"/>
        <v>06539000</v>
      </c>
      <c r="C11484" t="str">
        <f t="shared" si="2488"/>
        <v>06539003</v>
      </c>
      <c r="D11484" t="str">
        <f t="shared" si="2489"/>
        <v>813</v>
      </c>
      <c r="E11484" t="str">
        <f t="shared" si="2483"/>
        <v>89301171</v>
      </c>
      <c r="F11484" t="str">
        <f t="shared" si="2484"/>
        <v>6262270487</v>
      </c>
      <c r="G11484" s="1">
        <v>44874</v>
      </c>
      <c r="H11484" t="str">
        <f t="shared" si="2490"/>
        <v>91413</v>
      </c>
      <c r="I11484">
        <v>1</v>
      </c>
      <c r="J11484">
        <v>853</v>
      </c>
      <c r="K11484">
        <v>0</v>
      </c>
      <c r="L11484">
        <v>665.34</v>
      </c>
    </row>
    <row r="11485" spans="1:12" x14ac:dyDescent="0.25">
      <c r="A11485" t="str">
        <f t="shared" si="2478"/>
        <v>89301000</v>
      </c>
      <c r="B11485" t="str">
        <f t="shared" si="2482"/>
        <v>06539000</v>
      </c>
      <c r="C11485" t="str">
        <f t="shared" si="2488"/>
        <v>06539003</v>
      </c>
      <c r="D11485" t="str">
        <f t="shared" si="2489"/>
        <v>813</v>
      </c>
      <c r="E11485" t="str">
        <f t="shared" si="2483"/>
        <v>89301171</v>
      </c>
      <c r="F11485" t="str">
        <f t="shared" si="2484"/>
        <v>6262270487</v>
      </c>
      <c r="G11485" s="1">
        <v>44872</v>
      </c>
      <c r="H11485" t="str">
        <f t="shared" si="2490"/>
        <v>91413</v>
      </c>
      <c r="I11485">
        <v>1</v>
      </c>
      <c r="J11485">
        <v>853</v>
      </c>
      <c r="K11485">
        <v>0</v>
      </c>
      <c r="L11485">
        <v>665.34</v>
      </c>
    </row>
    <row r="11486" spans="1:12" x14ac:dyDescent="0.25">
      <c r="A11486" t="str">
        <f t="shared" si="2478"/>
        <v>89301000</v>
      </c>
      <c r="B11486" t="str">
        <f t="shared" si="2482"/>
        <v>06539000</v>
      </c>
      <c r="C11486" t="str">
        <f t="shared" si="2488"/>
        <v>06539003</v>
      </c>
      <c r="D11486" t="str">
        <f t="shared" si="2489"/>
        <v>813</v>
      </c>
      <c r="E11486" t="str">
        <f t="shared" si="2483"/>
        <v>89301171</v>
      </c>
      <c r="F11486" t="str">
        <f t="shared" si="2484"/>
        <v>6262270487</v>
      </c>
      <c r="G11486" s="1">
        <v>44872</v>
      </c>
      <c r="H11486" t="str">
        <f t="shared" si="2490"/>
        <v>91413</v>
      </c>
      <c r="I11486">
        <v>1</v>
      </c>
      <c r="J11486">
        <v>853</v>
      </c>
      <c r="K11486">
        <v>0</v>
      </c>
      <c r="L11486">
        <v>665.34</v>
      </c>
    </row>
    <row r="11487" spans="1:12" x14ac:dyDescent="0.25">
      <c r="A11487" t="str">
        <f t="shared" si="2478"/>
        <v>89301000</v>
      </c>
      <c r="B11487" t="str">
        <f t="shared" si="2482"/>
        <v>06539000</v>
      </c>
      <c r="C11487" t="str">
        <f t="shared" si="2488"/>
        <v>06539003</v>
      </c>
      <c r="D11487" t="str">
        <f t="shared" si="2489"/>
        <v>813</v>
      </c>
      <c r="E11487" t="str">
        <f t="shared" si="2483"/>
        <v>89301171</v>
      </c>
      <c r="F11487" t="str">
        <f t="shared" si="2484"/>
        <v>6262270487</v>
      </c>
      <c r="G11487" s="1">
        <v>44874</v>
      </c>
      <c r="H11487" t="str">
        <f t="shared" si="2490"/>
        <v>91413</v>
      </c>
      <c r="I11487">
        <v>1</v>
      </c>
      <c r="J11487">
        <v>853</v>
      </c>
      <c r="K11487">
        <v>0</v>
      </c>
      <c r="L11487">
        <v>665.34</v>
      </c>
    </row>
    <row r="11488" spans="1:12" x14ac:dyDescent="0.25">
      <c r="A11488" t="str">
        <f t="shared" si="2478"/>
        <v>89301000</v>
      </c>
      <c r="B11488" t="str">
        <f t="shared" si="2482"/>
        <v>06539000</v>
      </c>
      <c r="C11488" t="str">
        <f t="shared" si="2488"/>
        <v>06539003</v>
      </c>
      <c r="D11488" t="str">
        <f t="shared" si="2489"/>
        <v>813</v>
      </c>
      <c r="E11488" t="str">
        <f t="shared" si="2483"/>
        <v>89301171</v>
      </c>
      <c r="F11488" t="str">
        <f t="shared" si="2484"/>
        <v>6262270487</v>
      </c>
      <c r="G11488" s="1">
        <v>44874</v>
      </c>
      <c r="H11488" t="str">
        <f t="shared" si="2490"/>
        <v>91413</v>
      </c>
      <c r="I11488">
        <v>1</v>
      </c>
      <c r="J11488">
        <v>853</v>
      </c>
      <c r="K11488">
        <v>0</v>
      </c>
      <c r="L11488">
        <v>665.34</v>
      </c>
    </row>
    <row r="11489" spans="1:12" x14ac:dyDescent="0.25">
      <c r="A11489" t="str">
        <f t="shared" si="2478"/>
        <v>89301000</v>
      </c>
      <c r="B11489" t="str">
        <f t="shared" si="2482"/>
        <v>06539000</v>
      </c>
      <c r="C11489" t="str">
        <f t="shared" si="2488"/>
        <v>06539003</v>
      </c>
      <c r="D11489" t="str">
        <f t="shared" si="2489"/>
        <v>813</v>
      </c>
      <c r="E11489" t="str">
        <f t="shared" si="2483"/>
        <v>89301171</v>
      </c>
      <c r="F11489" t="str">
        <f t="shared" si="2484"/>
        <v>6262270487</v>
      </c>
      <c r="G11489" s="1">
        <v>44874</v>
      </c>
      <c r="H11489" t="str">
        <f t="shared" si="2490"/>
        <v>91413</v>
      </c>
      <c r="I11489">
        <v>1</v>
      </c>
      <c r="J11489">
        <v>853</v>
      </c>
      <c r="K11489">
        <v>0</v>
      </c>
      <c r="L11489">
        <v>665.34</v>
      </c>
    </row>
    <row r="11490" spans="1:12" x14ac:dyDescent="0.25">
      <c r="A11490" t="str">
        <f t="shared" si="2478"/>
        <v>89301000</v>
      </c>
      <c r="B11490" t="str">
        <f t="shared" si="2482"/>
        <v>06539000</v>
      </c>
      <c r="C11490" t="str">
        <f t="shared" si="2488"/>
        <v>06539003</v>
      </c>
      <c r="D11490" t="str">
        <f t="shared" si="2489"/>
        <v>813</v>
      </c>
      <c r="E11490" t="str">
        <f t="shared" si="2483"/>
        <v>89301171</v>
      </c>
      <c r="F11490" t="str">
        <f t="shared" si="2484"/>
        <v>6262270487</v>
      </c>
      <c r="G11490" s="1">
        <v>44874</v>
      </c>
      <c r="H11490" t="str">
        <f t="shared" si="2490"/>
        <v>91413</v>
      </c>
      <c r="I11490">
        <v>1</v>
      </c>
      <c r="J11490">
        <v>853</v>
      </c>
      <c r="K11490">
        <v>0</v>
      </c>
      <c r="L11490">
        <v>665.34</v>
      </c>
    </row>
    <row r="11491" spans="1:12" x14ac:dyDescent="0.25">
      <c r="A11491" t="str">
        <f t="shared" si="2478"/>
        <v>89301000</v>
      </c>
      <c r="B11491" t="str">
        <f t="shared" si="2482"/>
        <v>06539000</v>
      </c>
      <c r="C11491" t="str">
        <f t="shared" si="2488"/>
        <v>06539003</v>
      </c>
      <c r="D11491" t="str">
        <f t="shared" si="2489"/>
        <v>813</v>
      </c>
      <c r="E11491" t="str">
        <f t="shared" si="2483"/>
        <v>89301171</v>
      </c>
      <c r="F11491" t="str">
        <f t="shared" si="2484"/>
        <v>6262270487</v>
      </c>
      <c r="G11491" s="1">
        <v>44855</v>
      </c>
      <c r="H11491" t="str">
        <f t="shared" ref="H11491:H11497" si="2491">"91197"</f>
        <v>91197</v>
      </c>
      <c r="I11491">
        <v>1</v>
      </c>
      <c r="J11491">
        <v>1046</v>
      </c>
      <c r="K11491">
        <v>0</v>
      </c>
      <c r="L11491">
        <v>815.88</v>
      </c>
    </row>
    <row r="11492" spans="1:12" x14ac:dyDescent="0.25">
      <c r="A11492" t="str">
        <f t="shared" si="2478"/>
        <v>89301000</v>
      </c>
      <c r="B11492" t="str">
        <f t="shared" si="2482"/>
        <v>06539000</v>
      </c>
      <c r="C11492" t="str">
        <f t="shared" si="2488"/>
        <v>06539003</v>
      </c>
      <c r="D11492" t="str">
        <f t="shared" si="2489"/>
        <v>813</v>
      </c>
      <c r="E11492" t="str">
        <f t="shared" si="2483"/>
        <v>89301171</v>
      </c>
      <c r="F11492" t="str">
        <f t="shared" si="2484"/>
        <v>6262270487</v>
      </c>
      <c r="G11492" s="1">
        <v>44858</v>
      </c>
      <c r="H11492" t="str">
        <f t="shared" si="2491"/>
        <v>91197</v>
      </c>
      <c r="I11492">
        <v>1</v>
      </c>
      <c r="J11492">
        <v>1046</v>
      </c>
      <c r="K11492">
        <v>0</v>
      </c>
      <c r="L11492">
        <v>815.88</v>
      </c>
    </row>
    <row r="11493" spans="1:12" x14ac:dyDescent="0.25">
      <c r="A11493" t="str">
        <f t="shared" si="2478"/>
        <v>89301000</v>
      </c>
      <c r="B11493" t="str">
        <f t="shared" si="2482"/>
        <v>06539000</v>
      </c>
      <c r="C11493" t="str">
        <f t="shared" si="2488"/>
        <v>06539003</v>
      </c>
      <c r="D11493" t="str">
        <f t="shared" si="2489"/>
        <v>813</v>
      </c>
      <c r="E11493" t="str">
        <f t="shared" si="2483"/>
        <v>89301171</v>
      </c>
      <c r="F11493" t="str">
        <f t="shared" si="2484"/>
        <v>6262270487</v>
      </c>
      <c r="G11493" s="1">
        <v>44858</v>
      </c>
      <c r="H11493" t="str">
        <f t="shared" si="2491"/>
        <v>91197</v>
      </c>
      <c r="I11493">
        <v>1</v>
      </c>
      <c r="J11493">
        <v>1046</v>
      </c>
      <c r="K11493">
        <v>0</v>
      </c>
      <c r="L11493">
        <v>815.88</v>
      </c>
    </row>
    <row r="11494" spans="1:12" x14ac:dyDescent="0.25">
      <c r="A11494" t="str">
        <f t="shared" si="2478"/>
        <v>89301000</v>
      </c>
      <c r="B11494" t="str">
        <f t="shared" si="2482"/>
        <v>06539000</v>
      </c>
      <c r="C11494" t="str">
        <f t="shared" si="2488"/>
        <v>06539003</v>
      </c>
      <c r="D11494" t="str">
        <f t="shared" si="2489"/>
        <v>813</v>
      </c>
      <c r="E11494" t="str">
        <f t="shared" si="2483"/>
        <v>89301171</v>
      </c>
      <c r="F11494" t="str">
        <f t="shared" si="2484"/>
        <v>6262270487</v>
      </c>
      <c r="G11494" s="1">
        <v>44857</v>
      </c>
      <c r="H11494" t="str">
        <f t="shared" si="2491"/>
        <v>91197</v>
      </c>
      <c r="I11494">
        <v>1</v>
      </c>
      <c r="J11494">
        <v>1046</v>
      </c>
      <c r="K11494">
        <v>0</v>
      </c>
      <c r="L11494">
        <v>815.88</v>
      </c>
    </row>
    <row r="11495" spans="1:12" x14ac:dyDescent="0.25">
      <c r="A11495" t="str">
        <f t="shared" si="2478"/>
        <v>89301000</v>
      </c>
      <c r="B11495" t="str">
        <f t="shared" si="2482"/>
        <v>06539000</v>
      </c>
      <c r="C11495" t="str">
        <f t="shared" si="2488"/>
        <v>06539003</v>
      </c>
      <c r="D11495" t="str">
        <f t="shared" si="2489"/>
        <v>813</v>
      </c>
      <c r="E11495" t="str">
        <f t="shared" si="2483"/>
        <v>89301171</v>
      </c>
      <c r="F11495" t="str">
        <f t="shared" si="2484"/>
        <v>6262270487</v>
      </c>
      <c r="G11495" s="1">
        <v>44857</v>
      </c>
      <c r="H11495" t="str">
        <f t="shared" si="2491"/>
        <v>91197</v>
      </c>
      <c r="I11495">
        <v>1</v>
      </c>
      <c r="J11495">
        <v>1046</v>
      </c>
      <c r="K11495">
        <v>0</v>
      </c>
      <c r="L11495">
        <v>815.88</v>
      </c>
    </row>
    <row r="11496" spans="1:12" x14ac:dyDescent="0.25">
      <c r="A11496" t="str">
        <f t="shared" si="2478"/>
        <v>89301000</v>
      </c>
      <c r="B11496" t="str">
        <f t="shared" si="2482"/>
        <v>06539000</v>
      </c>
      <c r="C11496" t="str">
        <f t="shared" si="2488"/>
        <v>06539003</v>
      </c>
      <c r="D11496" t="str">
        <f t="shared" si="2489"/>
        <v>813</v>
      </c>
      <c r="E11496" t="str">
        <f t="shared" si="2483"/>
        <v>89301171</v>
      </c>
      <c r="F11496" t="str">
        <f t="shared" si="2484"/>
        <v>6262270487</v>
      </c>
      <c r="G11496" s="1">
        <v>44856</v>
      </c>
      <c r="H11496" t="str">
        <f t="shared" si="2491"/>
        <v>91197</v>
      </c>
      <c r="I11496">
        <v>1</v>
      </c>
      <c r="J11496">
        <v>1046</v>
      </c>
      <c r="K11496">
        <v>0</v>
      </c>
      <c r="L11496">
        <v>815.88</v>
      </c>
    </row>
    <row r="11497" spans="1:12" x14ac:dyDescent="0.25">
      <c r="A11497" t="str">
        <f t="shared" si="2478"/>
        <v>89301000</v>
      </c>
      <c r="B11497" t="str">
        <f t="shared" si="2482"/>
        <v>06539000</v>
      </c>
      <c r="C11497" t="str">
        <f t="shared" si="2488"/>
        <v>06539003</v>
      </c>
      <c r="D11497" t="str">
        <f t="shared" si="2489"/>
        <v>813</v>
      </c>
      <c r="E11497" t="str">
        <f t="shared" si="2483"/>
        <v>89301171</v>
      </c>
      <c r="F11497" t="str">
        <f t="shared" si="2484"/>
        <v>6262270487</v>
      </c>
      <c r="G11497" s="1">
        <v>44856</v>
      </c>
      <c r="H11497" t="str">
        <f t="shared" si="2491"/>
        <v>91197</v>
      </c>
      <c r="I11497">
        <v>1</v>
      </c>
      <c r="J11497">
        <v>1046</v>
      </c>
      <c r="K11497">
        <v>0</v>
      </c>
      <c r="L11497">
        <v>815.88</v>
      </c>
    </row>
    <row r="11498" spans="1:12" x14ac:dyDescent="0.25">
      <c r="A11498" t="str">
        <f t="shared" si="2478"/>
        <v>89301000</v>
      </c>
      <c r="B11498" t="str">
        <f t="shared" si="2482"/>
        <v>06539000</v>
      </c>
      <c r="C11498" t="str">
        <f t="shared" si="2488"/>
        <v>06539003</v>
      </c>
      <c r="D11498" t="str">
        <f t="shared" si="2489"/>
        <v>813</v>
      </c>
      <c r="E11498" t="str">
        <f t="shared" si="2483"/>
        <v>89301171</v>
      </c>
      <c r="F11498" t="str">
        <f t="shared" si="2484"/>
        <v>6262270487</v>
      </c>
      <c r="G11498" s="1">
        <v>44865</v>
      </c>
      <c r="H11498" t="str">
        <f>"91329"</f>
        <v>91329</v>
      </c>
      <c r="I11498">
        <v>2</v>
      </c>
      <c r="J11498">
        <v>428</v>
      </c>
      <c r="K11498">
        <v>0</v>
      </c>
      <c r="L11498">
        <v>333.84</v>
      </c>
    </row>
    <row r="11499" spans="1:12" x14ac:dyDescent="0.25">
      <c r="A11499" t="str">
        <f t="shared" si="2478"/>
        <v>89301000</v>
      </c>
      <c r="B11499" t="str">
        <f t="shared" si="2482"/>
        <v>06539000</v>
      </c>
      <c r="C11499" t="str">
        <f t="shared" si="2488"/>
        <v>06539003</v>
      </c>
      <c r="D11499" t="str">
        <f t="shared" si="2489"/>
        <v>813</v>
      </c>
      <c r="E11499" t="str">
        <f t="shared" si="2483"/>
        <v>89301171</v>
      </c>
      <c r="F11499" t="str">
        <f t="shared" si="2484"/>
        <v>6262270487</v>
      </c>
      <c r="G11499" s="1">
        <v>44865</v>
      </c>
      <c r="H11499" t="str">
        <f>"91329"</f>
        <v>91329</v>
      </c>
      <c r="I11499">
        <v>2</v>
      </c>
      <c r="J11499">
        <v>428</v>
      </c>
      <c r="K11499">
        <v>0</v>
      </c>
      <c r="L11499">
        <v>333.84</v>
      </c>
    </row>
    <row r="11500" spans="1:12" x14ac:dyDescent="0.25">
      <c r="A11500" t="str">
        <f t="shared" si="2478"/>
        <v>89301000</v>
      </c>
      <c r="B11500" t="str">
        <f t="shared" si="2482"/>
        <v>06539000</v>
      </c>
      <c r="C11500" t="str">
        <f t="shared" si="2488"/>
        <v>06539003</v>
      </c>
      <c r="D11500" t="str">
        <f t="shared" si="2489"/>
        <v>813</v>
      </c>
      <c r="E11500" t="str">
        <f t="shared" si="2483"/>
        <v>89301171</v>
      </c>
      <c r="F11500" t="str">
        <f t="shared" si="2484"/>
        <v>6262270487</v>
      </c>
      <c r="G11500" s="1">
        <v>44865</v>
      </c>
      <c r="H11500" t="str">
        <f>"91329"</f>
        <v>91329</v>
      </c>
      <c r="I11500">
        <v>2</v>
      </c>
      <c r="J11500">
        <v>428</v>
      </c>
      <c r="K11500">
        <v>0</v>
      </c>
      <c r="L11500">
        <v>333.84</v>
      </c>
    </row>
    <row r="11501" spans="1:12" x14ac:dyDescent="0.25">
      <c r="A11501" t="str">
        <f t="shared" si="2478"/>
        <v>89301000</v>
      </c>
      <c r="B11501" t="str">
        <f t="shared" si="2482"/>
        <v>06539000</v>
      </c>
      <c r="C11501" t="str">
        <f t="shared" si="2488"/>
        <v>06539003</v>
      </c>
      <c r="D11501" t="str">
        <f t="shared" si="2489"/>
        <v>813</v>
      </c>
      <c r="E11501" t="str">
        <f t="shared" si="2483"/>
        <v>89301171</v>
      </c>
      <c r="F11501" t="str">
        <f t="shared" si="2484"/>
        <v>6262270487</v>
      </c>
      <c r="G11501" s="1">
        <v>44865</v>
      </c>
      <c r="H11501" t="str">
        <f>"91329"</f>
        <v>91329</v>
      </c>
      <c r="I11501">
        <v>2</v>
      </c>
      <c r="J11501">
        <v>428</v>
      </c>
      <c r="K11501">
        <v>0</v>
      </c>
      <c r="L11501">
        <v>333.84</v>
      </c>
    </row>
    <row r="11502" spans="1:12" x14ac:dyDescent="0.25">
      <c r="A11502" t="str">
        <f t="shared" si="2478"/>
        <v>89301000</v>
      </c>
      <c r="B11502" t="str">
        <f t="shared" si="2482"/>
        <v>06539000</v>
      </c>
      <c r="C11502" t="str">
        <f t="shared" si="2488"/>
        <v>06539003</v>
      </c>
      <c r="D11502" t="str">
        <f t="shared" si="2489"/>
        <v>813</v>
      </c>
      <c r="E11502" t="str">
        <f t="shared" si="2483"/>
        <v>89301171</v>
      </c>
      <c r="F11502" t="str">
        <f t="shared" si="2484"/>
        <v>6262270487</v>
      </c>
      <c r="G11502" s="1">
        <v>44855</v>
      </c>
      <c r="H11502" t="str">
        <f>"91129"</f>
        <v>91129</v>
      </c>
      <c r="I11502">
        <v>1</v>
      </c>
      <c r="J11502">
        <v>174</v>
      </c>
      <c r="K11502">
        <v>0</v>
      </c>
      <c r="L11502">
        <v>135.72</v>
      </c>
    </row>
    <row r="11503" spans="1:12" x14ac:dyDescent="0.25">
      <c r="A11503" t="str">
        <f t="shared" si="2478"/>
        <v>89301000</v>
      </c>
      <c r="B11503" t="str">
        <f t="shared" si="2482"/>
        <v>06539000</v>
      </c>
      <c r="C11503" t="str">
        <f t="shared" si="2488"/>
        <v>06539003</v>
      </c>
      <c r="D11503" t="str">
        <f t="shared" si="2489"/>
        <v>813</v>
      </c>
      <c r="E11503" t="str">
        <f t="shared" si="2483"/>
        <v>89301171</v>
      </c>
      <c r="F11503" t="str">
        <f t="shared" si="2484"/>
        <v>6262270487</v>
      </c>
      <c r="G11503" s="1">
        <v>44855</v>
      </c>
      <c r="H11503" t="str">
        <f>"91131"</f>
        <v>91131</v>
      </c>
      <c r="I11503">
        <v>1</v>
      </c>
      <c r="J11503">
        <v>171</v>
      </c>
      <c r="K11503">
        <v>0</v>
      </c>
      <c r="L11503">
        <v>133.38</v>
      </c>
    </row>
    <row r="11504" spans="1:12" x14ac:dyDescent="0.25">
      <c r="A11504" t="str">
        <f t="shared" si="2478"/>
        <v>89301000</v>
      </c>
      <c r="B11504" t="str">
        <f t="shared" si="2482"/>
        <v>06539000</v>
      </c>
      <c r="C11504" t="str">
        <f t="shared" si="2488"/>
        <v>06539003</v>
      </c>
      <c r="D11504" t="str">
        <f t="shared" si="2489"/>
        <v>813</v>
      </c>
      <c r="E11504" t="str">
        <f t="shared" si="2483"/>
        <v>89301171</v>
      </c>
      <c r="F11504" t="str">
        <f t="shared" si="2484"/>
        <v>6262270487</v>
      </c>
      <c r="G11504" s="1">
        <v>44855</v>
      </c>
      <c r="H11504" t="str">
        <f>"91133"</f>
        <v>91133</v>
      </c>
      <c r="I11504">
        <v>1</v>
      </c>
      <c r="J11504">
        <v>176</v>
      </c>
      <c r="K11504">
        <v>0</v>
      </c>
      <c r="L11504">
        <v>137.28</v>
      </c>
    </row>
    <row r="11505" spans="1:12" x14ac:dyDescent="0.25">
      <c r="A11505" t="str">
        <f t="shared" si="2478"/>
        <v>89301000</v>
      </c>
      <c r="B11505" t="str">
        <f t="shared" si="2482"/>
        <v>06539000</v>
      </c>
      <c r="C11505" t="str">
        <f t="shared" si="2488"/>
        <v>06539003</v>
      </c>
      <c r="D11505" t="str">
        <f t="shared" si="2489"/>
        <v>813</v>
      </c>
      <c r="E11505" t="str">
        <f t="shared" si="2483"/>
        <v>89301171</v>
      </c>
      <c r="F11505" t="str">
        <f t="shared" si="2484"/>
        <v>6262270487</v>
      </c>
      <c r="G11505" s="1">
        <v>44855</v>
      </c>
      <c r="H11505" t="str">
        <f>"91171"</f>
        <v>91171</v>
      </c>
      <c r="I11505">
        <v>1</v>
      </c>
      <c r="J11505">
        <v>360</v>
      </c>
      <c r="K11505">
        <v>0</v>
      </c>
      <c r="L11505">
        <v>280.8</v>
      </c>
    </row>
    <row r="11506" spans="1:12" x14ac:dyDescent="0.25">
      <c r="A11506" t="str">
        <f t="shared" si="2478"/>
        <v>89301000</v>
      </c>
      <c r="B11506" t="str">
        <f t="shared" si="2482"/>
        <v>06539000</v>
      </c>
      <c r="C11506" t="str">
        <f t="shared" si="2488"/>
        <v>06539003</v>
      </c>
      <c r="D11506" t="str">
        <f t="shared" si="2489"/>
        <v>813</v>
      </c>
      <c r="E11506" t="str">
        <f t="shared" si="2483"/>
        <v>89301171</v>
      </c>
      <c r="F11506" t="str">
        <f t="shared" si="2484"/>
        <v>6262270487</v>
      </c>
      <c r="G11506" s="1">
        <v>44855</v>
      </c>
      <c r="H11506" t="str">
        <f>"91173"</f>
        <v>91173</v>
      </c>
      <c r="I11506">
        <v>1</v>
      </c>
      <c r="J11506">
        <v>335</v>
      </c>
      <c r="K11506">
        <v>0</v>
      </c>
      <c r="L11506">
        <v>261.3</v>
      </c>
    </row>
    <row r="11507" spans="1:12" x14ac:dyDescent="0.25">
      <c r="A11507" t="str">
        <f t="shared" si="2478"/>
        <v>89301000</v>
      </c>
      <c r="B11507" t="str">
        <f t="shared" si="2482"/>
        <v>06539000</v>
      </c>
      <c r="C11507" t="str">
        <f t="shared" si="2488"/>
        <v>06539003</v>
      </c>
      <c r="D11507" t="str">
        <f t="shared" si="2489"/>
        <v>813</v>
      </c>
      <c r="E11507" t="str">
        <f t="shared" si="2483"/>
        <v>89301171</v>
      </c>
      <c r="F11507" t="str">
        <f t="shared" si="2484"/>
        <v>6262270487</v>
      </c>
      <c r="G11507" s="1">
        <v>44855</v>
      </c>
      <c r="H11507" t="str">
        <f>"91175"</f>
        <v>91175</v>
      </c>
      <c r="I11507">
        <v>1</v>
      </c>
      <c r="J11507">
        <v>360</v>
      </c>
      <c r="K11507">
        <v>0</v>
      </c>
      <c r="L11507">
        <v>280.8</v>
      </c>
    </row>
    <row r="11508" spans="1:12" x14ac:dyDescent="0.25">
      <c r="A11508" t="str">
        <f t="shared" si="2478"/>
        <v>89301000</v>
      </c>
      <c r="B11508" t="str">
        <f t="shared" si="2482"/>
        <v>06539000</v>
      </c>
      <c r="C11508" t="str">
        <f t="shared" si="2488"/>
        <v>06539003</v>
      </c>
      <c r="D11508" t="str">
        <f t="shared" si="2489"/>
        <v>813</v>
      </c>
      <c r="E11508" t="str">
        <f t="shared" si="2483"/>
        <v>89301171</v>
      </c>
      <c r="F11508" t="str">
        <f t="shared" si="2484"/>
        <v>6262270487</v>
      </c>
      <c r="G11508" s="1">
        <v>44856</v>
      </c>
      <c r="H11508" t="str">
        <f>"91167"</f>
        <v>91167</v>
      </c>
      <c r="I11508">
        <v>1</v>
      </c>
      <c r="J11508">
        <v>425</v>
      </c>
      <c r="K11508">
        <v>0</v>
      </c>
      <c r="L11508">
        <v>331.5</v>
      </c>
    </row>
    <row r="11509" spans="1:12" x14ac:dyDescent="0.25">
      <c r="A11509" t="str">
        <f t="shared" si="2478"/>
        <v>89301000</v>
      </c>
      <c r="B11509" t="str">
        <f t="shared" si="2482"/>
        <v>06539000</v>
      </c>
      <c r="C11509" t="str">
        <f t="shared" si="2488"/>
        <v>06539003</v>
      </c>
      <c r="D11509" t="str">
        <f t="shared" si="2489"/>
        <v>813</v>
      </c>
      <c r="E11509" t="str">
        <f t="shared" si="2483"/>
        <v>89301171</v>
      </c>
      <c r="F11509" t="str">
        <f t="shared" si="2484"/>
        <v>6262270487</v>
      </c>
      <c r="G11509" s="1">
        <v>44856</v>
      </c>
      <c r="H11509" t="str">
        <f>"91169"</f>
        <v>91169</v>
      </c>
      <c r="I11509">
        <v>1</v>
      </c>
      <c r="J11509">
        <v>425</v>
      </c>
      <c r="K11509">
        <v>0</v>
      </c>
      <c r="L11509">
        <v>331.5</v>
      </c>
    </row>
    <row r="11510" spans="1:12" x14ac:dyDescent="0.25">
      <c r="A11510" t="str">
        <f t="shared" si="2478"/>
        <v>89301000</v>
      </c>
      <c r="B11510" t="str">
        <f t="shared" si="2482"/>
        <v>06539000</v>
      </c>
      <c r="C11510" t="str">
        <f t="shared" si="2488"/>
        <v>06539003</v>
      </c>
      <c r="D11510" t="str">
        <f t="shared" si="2489"/>
        <v>813</v>
      </c>
      <c r="E11510" t="str">
        <f t="shared" si="2483"/>
        <v>89301171</v>
      </c>
      <c r="F11510" t="str">
        <f t="shared" si="2484"/>
        <v>6262270487</v>
      </c>
      <c r="G11510" s="1">
        <v>44855</v>
      </c>
      <c r="H11510" t="str">
        <f>"91167"</f>
        <v>91167</v>
      </c>
      <c r="I11510">
        <v>1</v>
      </c>
      <c r="J11510">
        <v>425</v>
      </c>
      <c r="K11510">
        <v>0</v>
      </c>
      <c r="L11510">
        <v>331.5</v>
      </c>
    </row>
    <row r="11511" spans="1:12" x14ac:dyDescent="0.25">
      <c r="A11511" t="str">
        <f t="shared" si="2478"/>
        <v>89301000</v>
      </c>
      <c r="B11511" t="str">
        <f t="shared" si="2482"/>
        <v>06539000</v>
      </c>
      <c r="C11511" t="str">
        <f t="shared" si="2488"/>
        <v>06539003</v>
      </c>
      <c r="D11511" t="str">
        <f t="shared" si="2489"/>
        <v>813</v>
      </c>
      <c r="E11511" t="str">
        <f t="shared" si="2483"/>
        <v>89301171</v>
      </c>
      <c r="F11511" t="str">
        <f t="shared" si="2484"/>
        <v>6262270487</v>
      </c>
      <c r="G11511" s="1">
        <v>44855</v>
      </c>
      <c r="H11511" t="str">
        <f>"91169"</f>
        <v>91169</v>
      </c>
      <c r="I11511">
        <v>1</v>
      </c>
      <c r="J11511">
        <v>425</v>
      </c>
      <c r="K11511">
        <v>0</v>
      </c>
      <c r="L11511">
        <v>331.5</v>
      </c>
    </row>
    <row r="11512" spans="1:12" x14ac:dyDescent="0.25">
      <c r="A11512" t="str">
        <f t="shared" si="2478"/>
        <v>89301000</v>
      </c>
      <c r="B11512" t="str">
        <f t="shared" si="2482"/>
        <v>06539000</v>
      </c>
      <c r="C11512" t="str">
        <f t="shared" si="2488"/>
        <v>06539003</v>
      </c>
      <c r="D11512" t="str">
        <f t="shared" si="2489"/>
        <v>813</v>
      </c>
      <c r="E11512" t="str">
        <f t="shared" si="2483"/>
        <v>89301171</v>
      </c>
      <c r="F11512" t="str">
        <f t="shared" si="2484"/>
        <v>6262270487</v>
      </c>
      <c r="G11512" s="1">
        <v>44860</v>
      </c>
      <c r="H11512" t="str">
        <f>"91475"</f>
        <v>91475</v>
      </c>
      <c r="I11512">
        <v>1</v>
      </c>
      <c r="J11512">
        <v>206</v>
      </c>
      <c r="K11512">
        <v>0</v>
      </c>
      <c r="L11512">
        <v>160.68</v>
      </c>
    </row>
    <row r="11513" spans="1:12" x14ac:dyDescent="0.25">
      <c r="A11513" t="str">
        <f t="shared" si="2478"/>
        <v>89301000</v>
      </c>
      <c r="B11513" t="str">
        <f t="shared" si="2482"/>
        <v>06539000</v>
      </c>
      <c r="C11513" t="str">
        <f>"06539001"</f>
        <v>06539001</v>
      </c>
      <c r="D11513" t="str">
        <f>"801"</f>
        <v>801</v>
      </c>
      <c r="E11513" t="str">
        <f t="shared" si="2483"/>
        <v>89301171</v>
      </c>
      <c r="F11513" t="str">
        <f t="shared" ref="F11513:F11554" si="2492">"7356195352"</f>
        <v>7356195352</v>
      </c>
      <c r="G11513" s="1">
        <v>44861</v>
      </c>
      <c r="H11513" t="str">
        <f>"81329"</f>
        <v>81329</v>
      </c>
      <c r="I11513">
        <v>1</v>
      </c>
      <c r="J11513">
        <v>16</v>
      </c>
      <c r="K11513">
        <v>0</v>
      </c>
      <c r="L11513">
        <v>12.48</v>
      </c>
    </row>
    <row r="11514" spans="1:12" x14ac:dyDescent="0.25">
      <c r="A11514" t="str">
        <f t="shared" si="2478"/>
        <v>89301000</v>
      </c>
      <c r="B11514" t="str">
        <f t="shared" si="2482"/>
        <v>06539000</v>
      </c>
      <c r="C11514" t="str">
        <f>"06539001"</f>
        <v>06539001</v>
      </c>
      <c r="D11514" t="str">
        <f>"801"</f>
        <v>801</v>
      </c>
      <c r="E11514" t="str">
        <f t="shared" si="2483"/>
        <v>89301171</v>
      </c>
      <c r="F11514" t="str">
        <f t="shared" si="2492"/>
        <v>7356195352</v>
      </c>
      <c r="G11514" s="1">
        <v>44861</v>
      </c>
      <c r="H11514" t="str">
        <f>"81331"</f>
        <v>81331</v>
      </c>
      <c r="I11514">
        <v>1</v>
      </c>
      <c r="J11514">
        <v>193</v>
      </c>
      <c r="K11514">
        <v>0</v>
      </c>
      <c r="L11514">
        <v>150.54</v>
      </c>
    </row>
    <row r="11515" spans="1:12" x14ac:dyDescent="0.25">
      <c r="A11515" t="str">
        <f t="shared" si="2478"/>
        <v>89301000</v>
      </c>
      <c r="B11515" t="str">
        <f t="shared" si="2482"/>
        <v>06539000</v>
      </c>
      <c r="C11515" t="str">
        <f t="shared" ref="C11515:C11522" si="2493">"06539002"</f>
        <v>06539002</v>
      </c>
      <c r="D11515" t="str">
        <f t="shared" ref="D11515:D11522" si="2494">"802"</f>
        <v>802</v>
      </c>
      <c r="E11515" t="str">
        <f t="shared" si="2483"/>
        <v>89301171</v>
      </c>
      <c r="F11515" t="str">
        <f t="shared" si="2492"/>
        <v>7356195352</v>
      </c>
      <c r="G11515" s="1">
        <v>44861</v>
      </c>
      <c r="H11515" t="str">
        <f t="shared" ref="H11515:H11522" si="2495">"82097"</f>
        <v>82097</v>
      </c>
      <c r="I11515">
        <v>1</v>
      </c>
      <c r="J11515">
        <v>380</v>
      </c>
      <c r="K11515">
        <v>0</v>
      </c>
      <c r="L11515">
        <v>345.8</v>
      </c>
    </row>
    <row r="11516" spans="1:12" x14ac:dyDescent="0.25">
      <c r="A11516" t="str">
        <f t="shared" si="2478"/>
        <v>89301000</v>
      </c>
      <c r="B11516" t="str">
        <f t="shared" si="2482"/>
        <v>06539000</v>
      </c>
      <c r="C11516" t="str">
        <f t="shared" si="2493"/>
        <v>06539002</v>
      </c>
      <c r="D11516" t="str">
        <f t="shared" si="2494"/>
        <v>802</v>
      </c>
      <c r="E11516" t="str">
        <f t="shared" si="2483"/>
        <v>89301171</v>
      </c>
      <c r="F11516" t="str">
        <f t="shared" si="2492"/>
        <v>7356195352</v>
      </c>
      <c r="G11516" s="1">
        <v>44861</v>
      </c>
      <c r="H11516" t="str">
        <f t="shared" si="2495"/>
        <v>82097</v>
      </c>
      <c r="I11516">
        <v>1</v>
      </c>
      <c r="J11516">
        <v>380</v>
      </c>
      <c r="K11516">
        <v>0</v>
      </c>
      <c r="L11516">
        <v>345.8</v>
      </c>
    </row>
    <row r="11517" spans="1:12" x14ac:dyDescent="0.25">
      <c r="A11517" t="str">
        <f t="shared" si="2478"/>
        <v>89301000</v>
      </c>
      <c r="B11517" t="str">
        <f t="shared" si="2482"/>
        <v>06539000</v>
      </c>
      <c r="C11517" t="str">
        <f t="shared" si="2493"/>
        <v>06539002</v>
      </c>
      <c r="D11517" t="str">
        <f t="shared" si="2494"/>
        <v>802</v>
      </c>
      <c r="E11517" t="str">
        <f t="shared" si="2483"/>
        <v>89301171</v>
      </c>
      <c r="F11517" t="str">
        <f t="shared" si="2492"/>
        <v>7356195352</v>
      </c>
      <c r="G11517" s="1">
        <v>44861</v>
      </c>
      <c r="H11517" t="str">
        <f t="shared" si="2495"/>
        <v>82097</v>
      </c>
      <c r="I11517">
        <v>1</v>
      </c>
      <c r="J11517">
        <v>380</v>
      </c>
      <c r="K11517">
        <v>0</v>
      </c>
      <c r="L11517">
        <v>345.8</v>
      </c>
    </row>
    <row r="11518" spans="1:12" x14ac:dyDescent="0.25">
      <c r="A11518" t="str">
        <f t="shared" si="2478"/>
        <v>89301000</v>
      </c>
      <c r="B11518" t="str">
        <f t="shared" si="2482"/>
        <v>06539000</v>
      </c>
      <c r="C11518" t="str">
        <f t="shared" si="2493"/>
        <v>06539002</v>
      </c>
      <c r="D11518" t="str">
        <f t="shared" si="2494"/>
        <v>802</v>
      </c>
      <c r="E11518" t="str">
        <f t="shared" si="2483"/>
        <v>89301171</v>
      </c>
      <c r="F11518" t="str">
        <f t="shared" si="2492"/>
        <v>7356195352</v>
      </c>
      <c r="G11518" s="1">
        <v>44861</v>
      </c>
      <c r="H11518" t="str">
        <f t="shared" si="2495"/>
        <v>82097</v>
      </c>
      <c r="I11518">
        <v>1</v>
      </c>
      <c r="J11518">
        <v>380</v>
      </c>
      <c r="K11518">
        <v>0</v>
      </c>
      <c r="L11518">
        <v>345.8</v>
      </c>
    </row>
    <row r="11519" spans="1:12" x14ac:dyDescent="0.25">
      <c r="A11519" t="str">
        <f t="shared" si="2478"/>
        <v>89301000</v>
      </c>
      <c r="B11519" t="str">
        <f t="shared" si="2482"/>
        <v>06539000</v>
      </c>
      <c r="C11519" t="str">
        <f t="shared" si="2493"/>
        <v>06539002</v>
      </c>
      <c r="D11519" t="str">
        <f t="shared" si="2494"/>
        <v>802</v>
      </c>
      <c r="E11519" t="str">
        <f t="shared" si="2483"/>
        <v>89301171</v>
      </c>
      <c r="F11519" t="str">
        <f t="shared" si="2492"/>
        <v>7356195352</v>
      </c>
      <c r="G11519" s="1">
        <v>44861</v>
      </c>
      <c r="H11519" t="str">
        <f t="shared" si="2495"/>
        <v>82097</v>
      </c>
      <c r="I11519">
        <v>1</v>
      </c>
      <c r="J11519">
        <v>380</v>
      </c>
      <c r="K11519">
        <v>0</v>
      </c>
      <c r="L11519">
        <v>345.8</v>
      </c>
    </row>
    <row r="11520" spans="1:12" x14ac:dyDescent="0.25">
      <c r="A11520" t="str">
        <f t="shared" si="2478"/>
        <v>89301000</v>
      </c>
      <c r="B11520" t="str">
        <f t="shared" si="2482"/>
        <v>06539000</v>
      </c>
      <c r="C11520" t="str">
        <f t="shared" si="2493"/>
        <v>06539002</v>
      </c>
      <c r="D11520" t="str">
        <f t="shared" si="2494"/>
        <v>802</v>
      </c>
      <c r="E11520" t="str">
        <f t="shared" si="2483"/>
        <v>89301171</v>
      </c>
      <c r="F11520" t="str">
        <f t="shared" si="2492"/>
        <v>7356195352</v>
      </c>
      <c r="G11520" s="1">
        <v>44861</v>
      </c>
      <c r="H11520" t="str">
        <f t="shared" si="2495"/>
        <v>82097</v>
      </c>
      <c r="I11520">
        <v>1</v>
      </c>
      <c r="J11520">
        <v>380</v>
      </c>
      <c r="K11520">
        <v>0</v>
      </c>
      <c r="L11520">
        <v>345.8</v>
      </c>
    </row>
    <row r="11521" spans="1:12" x14ac:dyDescent="0.25">
      <c r="A11521" t="str">
        <f t="shared" si="2478"/>
        <v>89301000</v>
      </c>
      <c r="B11521" t="str">
        <f t="shared" si="2482"/>
        <v>06539000</v>
      </c>
      <c r="C11521" t="str">
        <f t="shared" si="2493"/>
        <v>06539002</v>
      </c>
      <c r="D11521" t="str">
        <f t="shared" si="2494"/>
        <v>802</v>
      </c>
      <c r="E11521" t="str">
        <f t="shared" si="2483"/>
        <v>89301171</v>
      </c>
      <c r="F11521" t="str">
        <f t="shared" si="2492"/>
        <v>7356195352</v>
      </c>
      <c r="G11521" s="1">
        <v>44861</v>
      </c>
      <c r="H11521" t="str">
        <f t="shared" si="2495"/>
        <v>82097</v>
      </c>
      <c r="I11521">
        <v>1</v>
      </c>
      <c r="J11521">
        <v>380</v>
      </c>
      <c r="K11521">
        <v>0</v>
      </c>
      <c r="L11521">
        <v>345.8</v>
      </c>
    </row>
    <row r="11522" spans="1:12" x14ac:dyDescent="0.25">
      <c r="A11522" t="str">
        <f t="shared" ref="A11522:A11585" si="2496">"89301000"</f>
        <v>89301000</v>
      </c>
      <c r="B11522" t="str">
        <f t="shared" si="2482"/>
        <v>06539000</v>
      </c>
      <c r="C11522" t="str">
        <f t="shared" si="2493"/>
        <v>06539002</v>
      </c>
      <c r="D11522" t="str">
        <f t="shared" si="2494"/>
        <v>802</v>
      </c>
      <c r="E11522" t="str">
        <f t="shared" si="2483"/>
        <v>89301171</v>
      </c>
      <c r="F11522" t="str">
        <f t="shared" si="2492"/>
        <v>7356195352</v>
      </c>
      <c r="G11522" s="1">
        <v>44861</v>
      </c>
      <c r="H11522" t="str">
        <f t="shared" si="2495"/>
        <v>82097</v>
      </c>
      <c r="I11522">
        <v>1</v>
      </c>
      <c r="J11522">
        <v>380</v>
      </c>
      <c r="K11522">
        <v>0</v>
      </c>
      <c r="L11522">
        <v>345.8</v>
      </c>
    </row>
    <row r="11523" spans="1:12" x14ac:dyDescent="0.25">
      <c r="A11523" t="str">
        <f t="shared" si="2496"/>
        <v>89301000</v>
      </c>
      <c r="B11523" t="str">
        <f t="shared" ref="B11523:B11586" si="2497">"06539000"</f>
        <v>06539000</v>
      </c>
      <c r="C11523" t="str">
        <f t="shared" ref="C11523:C11554" si="2498">"06539003"</f>
        <v>06539003</v>
      </c>
      <c r="D11523" t="str">
        <f t="shared" ref="D11523:D11554" si="2499">"813"</f>
        <v>813</v>
      </c>
      <c r="E11523" t="str">
        <f t="shared" ref="E11523:E11577" si="2500">"89301171"</f>
        <v>89301171</v>
      </c>
      <c r="F11523" t="str">
        <f t="shared" si="2492"/>
        <v>7356195352</v>
      </c>
      <c r="G11523" s="1">
        <v>44868</v>
      </c>
      <c r="H11523" t="str">
        <f t="shared" ref="H11523:H11532" si="2501">"91413"</f>
        <v>91413</v>
      </c>
      <c r="I11523">
        <v>1</v>
      </c>
      <c r="J11523">
        <v>853</v>
      </c>
      <c r="K11523">
        <v>0</v>
      </c>
      <c r="L11523">
        <v>665.34</v>
      </c>
    </row>
    <row r="11524" spans="1:12" x14ac:dyDescent="0.25">
      <c r="A11524" t="str">
        <f t="shared" si="2496"/>
        <v>89301000</v>
      </c>
      <c r="B11524" t="str">
        <f t="shared" si="2497"/>
        <v>06539000</v>
      </c>
      <c r="C11524" t="str">
        <f t="shared" si="2498"/>
        <v>06539003</v>
      </c>
      <c r="D11524" t="str">
        <f t="shared" si="2499"/>
        <v>813</v>
      </c>
      <c r="E11524" t="str">
        <f t="shared" si="2500"/>
        <v>89301171</v>
      </c>
      <c r="F11524" t="str">
        <f t="shared" si="2492"/>
        <v>7356195352</v>
      </c>
      <c r="G11524" s="1">
        <v>44868</v>
      </c>
      <c r="H11524" t="str">
        <f t="shared" si="2501"/>
        <v>91413</v>
      </c>
      <c r="I11524">
        <v>1</v>
      </c>
      <c r="J11524">
        <v>853</v>
      </c>
      <c r="K11524">
        <v>0</v>
      </c>
      <c r="L11524">
        <v>665.34</v>
      </c>
    </row>
    <row r="11525" spans="1:12" x14ac:dyDescent="0.25">
      <c r="A11525" t="str">
        <f t="shared" si="2496"/>
        <v>89301000</v>
      </c>
      <c r="B11525" t="str">
        <f t="shared" si="2497"/>
        <v>06539000</v>
      </c>
      <c r="C11525" t="str">
        <f t="shared" si="2498"/>
        <v>06539003</v>
      </c>
      <c r="D11525" t="str">
        <f t="shared" si="2499"/>
        <v>813</v>
      </c>
      <c r="E11525" t="str">
        <f t="shared" si="2500"/>
        <v>89301171</v>
      </c>
      <c r="F11525" t="str">
        <f t="shared" si="2492"/>
        <v>7356195352</v>
      </c>
      <c r="G11525" s="1">
        <v>44876</v>
      </c>
      <c r="H11525" t="str">
        <f t="shared" si="2501"/>
        <v>91413</v>
      </c>
      <c r="I11525">
        <v>1</v>
      </c>
      <c r="J11525">
        <v>853</v>
      </c>
      <c r="K11525">
        <v>0</v>
      </c>
      <c r="L11525">
        <v>665.34</v>
      </c>
    </row>
    <row r="11526" spans="1:12" x14ac:dyDescent="0.25">
      <c r="A11526" t="str">
        <f t="shared" si="2496"/>
        <v>89301000</v>
      </c>
      <c r="B11526" t="str">
        <f t="shared" si="2497"/>
        <v>06539000</v>
      </c>
      <c r="C11526" t="str">
        <f t="shared" si="2498"/>
        <v>06539003</v>
      </c>
      <c r="D11526" t="str">
        <f t="shared" si="2499"/>
        <v>813</v>
      </c>
      <c r="E11526" t="str">
        <f t="shared" si="2500"/>
        <v>89301171</v>
      </c>
      <c r="F11526" t="str">
        <f t="shared" si="2492"/>
        <v>7356195352</v>
      </c>
      <c r="G11526" s="1">
        <v>44876</v>
      </c>
      <c r="H11526" t="str">
        <f t="shared" si="2501"/>
        <v>91413</v>
      </c>
      <c r="I11526">
        <v>1</v>
      </c>
      <c r="J11526">
        <v>853</v>
      </c>
      <c r="K11526">
        <v>0</v>
      </c>
      <c r="L11526">
        <v>665.34</v>
      </c>
    </row>
    <row r="11527" spans="1:12" x14ac:dyDescent="0.25">
      <c r="A11527" t="str">
        <f t="shared" si="2496"/>
        <v>89301000</v>
      </c>
      <c r="B11527" t="str">
        <f t="shared" si="2497"/>
        <v>06539000</v>
      </c>
      <c r="C11527" t="str">
        <f t="shared" si="2498"/>
        <v>06539003</v>
      </c>
      <c r="D11527" t="str">
        <f t="shared" si="2499"/>
        <v>813</v>
      </c>
      <c r="E11527" t="str">
        <f t="shared" si="2500"/>
        <v>89301171</v>
      </c>
      <c r="F11527" t="str">
        <f t="shared" si="2492"/>
        <v>7356195352</v>
      </c>
      <c r="G11527" s="1">
        <v>44875</v>
      </c>
      <c r="H11527" t="str">
        <f t="shared" si="2501"/>
        <v>91413</v>
      </c>
      <c r="I11527">
        <v>1</v>
      </c>
      <c r="J11527">
        <v>853</v>
      </c>
      <c r="K11527">
        <v>0</v>
      </c>
      <c r="L11527">
        <v>665.34</v>
      </c>
    </row>
    <row r="11528" spans="1:12" x14ac:dyDescent="0.25">
      <c r="A11528" t="str">
        <f t="shared" si="2496"/>
        <v>89301000</v>
      </c>
      <c r="B11528" t="str">
        <f t="shared" si="2497"/>
        <v>06539000</v>
      </c>
      <c r="C11528" t="str">
        <f t="shared" si="2498"/>
        <v>06539003</v>
      </c>
      <c r="D11528" t="str">
        <f t="shared" si="2499"/>
        <v>813</v>
      </c>
      <c r="E11528" t="str">
        <f t="shared" si="2500"/>
        <v>89301171</v>
      </c>
      <c r="F11528" t="str">
        <f t="shared" si="2492"/>
        <v>7356195352</v>
      </c>
      <c r="G11528" s="1">
        <v>44875</v>
      </c>
      <c r="H11528" t="str">
        <f t="shared" si="2501"/>
        <v>91413</v>
      </c>
      <c r="I11528">
        <v>1</v>
      </c>
      <c r="J11528">
        <v>853</v>
      </c>
      <c r="K11528">
        <v>0</v>
      </c>
      <c r="L11528">
        <v>665.34</v>
      </c>
    </row>
    <row r="11529" spans="1:12" x14ac:dyDescent="0.25">
      <c r="A11529" t="str">
        <f t="shared" si="2496"/>
        <v>89301000</v>
      </c>
      <c r="B11529" t="str">
        <f t="shared" si="2497"/>
        <v>06539000</v>
      </c>
      <c r="C11529" t="str">
        <f t="shared" si="2498"/>
        <v>06539003</v>
      </c>
      <c r="D11529" t="str">
        <f t="shared" si="2499"/>
        <v>813</v>
      </c>
      <c r="E11529" t="str">
        <f t="shared" si="2500"/>
        <v>89301171</v>
      </c>
      <c r="F11529" t="str">
        <f t="shared" si="2492"/>
        <v>7356195352</v>
      </c>
      <c r="G11529" s="1">
        <v>44876</v>
      </c>
      <c r="H11529" t="str">
        <f t="shared" si="2501"/>
        <v>91413</v>
      </c>
      <c r="I11529">
        <v>1</v>
      </c>
      <c r="J11529">
        <v>853</v>
      </c>
      <c r="K11529">
        <v>0</v>
      </c>
      <c r="L11529">
        <v>665.34</v>
      </c>
    </row>
    <row r="11530" spans="1:12" x14ac:dyDescent="0.25">
      <c r="A11530" t="str">
        <f t="shared" si="2496"/>
        <v>89301000</v>
      </c>
      <c r="B11530" t="str">
        <f t="shared" si="2497"/>
        <v>06539000</v>
      </c>
      <c r="C11530" t="str">
        <f t="shared" si="2498"/>
        <v>06539003</v>
      </c>
      <c r="D11530" t="str">
        <f t="shared" si="2499"/>
        <v>813</v>
      </c>
      <c r="E11530" t="str">
        <f t="shared" si="2500"/>
        <v>89301171</v>
      </c>
      <c r="F11530" t="str">
        <f t="shared" si="2492"/>
        <v>7356195352</v>
      </c>
      <c r="G11530" s="1">
        <v>44876</v>
      </c>
      <c r="H11530" t="str">
        <f t="shared" si="2501"/>
        <v>91413</v>
      </c>
      <c r="I11530">
        <v>1</v>
      </c>
      <c r="J11530">
        <v>853</v>
      </c>
      <c r="K11530">
        <v>0</v>
      </c>
      <c r="L11530">
        <v>665.34</v>
      </c>
    </row>
    <row r="11531" spans="1:12" x14ac:dyDescent="0.25">
      <c r="A11531" t="str">
        <f t="shared" si="2496"/>
        <v>89301000</v>
      </c>
      <c r="B11531" t="str">
        <f t="shared" si="2497"/>
        <v>06539000</v>
      </c>
      <c r="C11531" t="str">
        <f t="shared" si="2498"/>
        <v>06539003</v>
      </c>
      <c r="D11531" t="str">
        <f t="shared" si="2499"/>
        <v>813</v>
      </c>
      <c r="E11531" t="str">
        <f t="shared" si="2500"/>
        <v>89301171</v>
      </c>
      <c r="F11531" t="str">
        <f t="shared" si="2492"/>
        <v>7356195352</v>
      </c>
      <c r="G11531" s="1">
        <v>44876</v>
      </c>
      <c r="H11531" t="str">
        <f t="shared" si="2501"/>
        <v>91413</v>
      </c>
      <c r="I11531">
        <v>1</v>
      </c>
      <c r="J11531">
        <v>853</v>
      </c>
      <c r="K11531">
        <v>0</v>
      </c>
      <c r="L11531">
        <v>665.34</v>
      </c>
    </row>
    <row r="11532" spans="1:12" x14ac:dyDescent="0.25">
      <c r="A11532" t="str">
        <f t="shared" si="2496"/>
        <v>89301000</v>
      </c>
      <c r="B11532" t="str">
        <f t="shared" si="2497"/>
        <v>06539000</v>
      </c>
      <c r="C11532" t="str">
        <f t="shared" si="2498"/>
        <v>06539003</v>
      </c>
      <c r="D11532" t="str">
        <f t="shared" si="2499"/>
        <v>813</v>
      </c>
      <c r="E11532" t="str">
        <f t="shared" si="2500"/>
        <v>89301171</v>
      </c>
      <c r="F11532" t="str">
        <f t="shared" si="2492"/>
        <v>7356195352</v>
      </c>
      <c r="G11532" s="1">
        <v>44876</v>
      </c>
      <c r="H11532" t="str">
        <f t="shared" si="2501"/>
        <v>91413</v>
      </c>
      <c r="I11532">
        <v>1</v>
      </c>
      <c r="J11532">
        <v>853</v>
      </c>
      <c r="K11532">
        <v>0</v>
      </c>
      <c r="L11532">
        <v>665.34</v>
      </c>
    </row>
    <row r="11533" spans="1:12" x14ac:dyDescent="0.25">
      <c r="A11533" t="str">
        <f t="shared" si="2496"/>
        <v>89301000</v>
      </c>
      <c r="B11533" t="str">
        <f t="shared" si="2497"/>
        <v>06539000</v>
      </c>
      <c r="C11533" t="str">
        <f t="shared" si="2498"/>
        <v>06539003</v>
      </c>
      <c r="D11533" t="str">
        <f t="shared" si="2499"/>
        <v>813</v>
      </c>
      <c r="E11533" t="str">
        <f t="shared" si="2500"/>
        <v>89301171</v>
      </c>
      <c r="F11533" t="str">
        <f t="shared" si="2492"/>
        <v>7356195352</v>
      </c>
      <c r="G11533" s="1">
        <v>44861</v>
      </c>
      <c r="H11533" t="str">
        <f t="shared" ref="H11533:H11539" si="2502">"91197"</f>
        <v>91197</v>
      </c>
      <c r="I11533">
        <v>1</v>
      </c>
      <c r="J11533">
        <v>1046</v>
      </c>
      <c r="K11533">
        <v>0</v>
      </c>
      <c r="L11533">
        <v>815.88</v>
      </c>
    </row>
    <row r="11534" spans="1:12" x14ac:dyDescent="0.25">
      <c r="A11534" t="str">
        <f t="shared" si="2496"/>
        <v>89301000</v>
      </c>
      <c r="B11534" t="str">
        <f t="shared" si="2497"/>
        <v>06539000</v>
      </c>
      <c r="C11534" t="str">
        <f t="shared" si="2498"/>
        <v>06539003</v>
      </c>
      <c r="D11534" t="str">
        <f t="shared" si="2499"/>
        <v>813</v>
      </c>
      <c r="E11534" t="str">
        <f t="shared" si="2500"/>
        <v>89301171</v>
      </c>
      <c r="F11534" t="str">
        <f t="shared" si="2492"/>
        <v>7356195352</v>
      </c>
      <c r="G11534" s="1">
        <v>44864</v>
      </c>
      <c r="H11534" t="str">
        <f t="shared" si="2502"/>
        <v>91197</v>
      </c>
      <c r="I11534">
        <v>1</v>
      </c>
      <c r="J11534">
        <v>1046</v>
      </c>
      <c r="K11534">
        <v>0</v>
      </c>
      <c r="L11534">
        <v>815.88</v>
      </c>
    </row>
    <row r="11535" spans="1:12" x14ac:dyDescent="0.25">
      <c r="A11535" t="str">
        <f t="shared" si="2496"/>
        <v>89301000</v>
      </c>
      <c r="B11535" t="str">
        <f t="shared" si="2497"/>
        <v>06539000</v>
      </c>
      <c r="C11535" t="str">
        <f t="shared" si="2498"/>
        <v>06539003</v>
      </c>
      <c r="D11535" t="str">
        <f t="shared" si="2499"/>
        <v>813</v>
      </c>
      <c r="E11535" t="str">
        <f t="shared" si="2500"/>
        <v>89301171</v>
      </c>
      <c r="F11535" t="str">
        <f t="shared" si="2492"/>
        <v>7356195352</v>
      </c>
      <c r="G11535" s="1">
        <v>44864</v>
      </c>
      <c r="H11535" t="str">
        <f t="shared" si="2502"/>
        <v>91197</v>
      </c>
      <c r="I11535">
        <v>1</v>
      </c>
      <c r="J11535">
        <v>1046</v>
      </c>
      <c r="K11535">
        <v>0</v>
      </c>
      <c r="L11535">
        <v>815.88</v>
      </c>
    </row>
    <row r="11536" spans="1:12" x14ac:dyDescent="0.25">
      <c r="A11536" t="str">
        <f t="shared" si="2496"/>
        <v>89301000</v>
      </c>
      <c r="B11536" t="str">
        <f t="shared" si="2497"/>
        <v>06539000</v>
      </c>
      <c r="C11536" t="str">
        <f t="shared" si="2498"/>
        <v>06539003</v>
      </c>
      <c r="D11536" t="str">
        <f t="shared" si="2499"/>
        <v>813</v>
      </c>
      <c r="E11536" t="str">
        <f t="shared" si="2500"/>
        <v>89301171</v>
      </c>
      <c r="F11536" t="str">
        <f t="shared" si="2492"/>
        <v>7356195352</v>
      </c>
      <c r="G11536" s="1">
        <v>44863</v>
      </c>
      <c r="H11536" t="str">
        <f t="shared" si="2502"/>
        <v>91197</v>
      </c>
      <c r="I11536">
        <v>1</v>
      </c>
      <c r="J11536">
        <v>1046</v>
      </c>
      <c r="K11536">
        <v>0</v>
      </c>
      <c r="L11536">
        <v>815.88</v>
      </c>
    </row>
    <row r="11537" spans="1:12" x14ac:dyDescent="0.25">
      <c r="A11537" t="str">
        <f t="shared" si="2496"/>
        <v>89301000</v>
      </c>
      <c r="B11537" t="str">
        <f t="shared" si="2497"/>
        <v>06539000</v>
      </c>
      <c r="C11537" t="str">
        <f t="shared" si="2498"/>
        <v>06539003</v>
      </c>
      <c r="D11537" t="str">
        <f t="shared" si="2499"/>
        <v>813</v>
      </c>
      <c r="E11537" t="str">
        <f t="shared" si="2500"/>
        <v>89301171</v>
      </c>
      <c r="F11537" t="str">
        <f t="shared" si="2492"/>
        <v>7356195352</v>
      </c>
      <c r="G11537" s="1">
        <v>44863</v>
      </c>
      <c r="H11537" t="str">
        <f t="shared" si="2502"/>
        <v>91197</v>
      </c>
      <c r="I11537">
        <v>1</v>
      </c>
      <c r="J11537">
        <v>1046</v>
      </c>
      <c r="K11537">
        <v>0</v>
      </c>
      <c r="L11537">
        <v>815.88</v>
      </c>
    </row>
    <row r="11538" spans="1:12" x14ac:dyDescent="0.25">
      <c r="A11538" t="str">
        <f t="shared" si="2496"/>
        <v>89301000</v>
      </c>
      <c r="B11538" t="str">
        <f t="shared" si="2497"/>
        <v>06539000</v>
      </c>
      <c r="C11538" t="str">
        <f t="shared" si="2498"/>
        <v>06539003</v>
      </c>
      <c r="D11538" t="str">
        <f t="shared" si="2499"/>
        <v>813</v>
      </c>
      <c r="E11538" t="str">
        <f t="shared" si="2500"/>
        <v>89301171</v>
      </c>
      <c r="F11538" t="str">
        <f t="shared" si="2492"/>
        <v>7356195352</v>
      </c>
      <c r="G11538" s="1">
        <v>44862</v>
      </c>
      <c r="H11538" t="str">
        <f t="shared" si="2502"/>
        <v>91197</v>
      </c>
      <c r="I11538">
        <v>1</v>
      </c>
      <c r="J11538">
        <v>1046</v>
      </c>
      <c r="K11538">
        <v>0</v>
      </c>
      <c r="L11538">
        <v>815.88</v>
      </c>
    </row>
    <row r="11539" spans="1:12" x14ac:dyDescent="0.25">
      <c r="A11539" t="str">
        <f t="shared" si="2496"/>
        <v>89301000</v>
      </c>
      <c r="B11539" t="str">
        <f t="shared" si="2497"/>
        <v>06539000</v>
      </c>
      <c r="C11539" t="str">
        <f t="shared" si="2498"/>
        <v>06539003</v>
      </c>
      <c r="D11539" t="str">
        <f t="shared" si="2499"/>
        <v>813</v>
      </c>
      <c r="E11539" t="str">
        <f t="shared" si="2500"/>
        <v>89301171</v>
      </c>
      <c r="F11539" t="str">
        <f t="shared" si="2492"/>
        <v>7356195352</v>
      </c>
      <c r="G11539" s="1">
        <v>44862</v>
      </c>
      <c r="H11539" t="str">
        <f t="shared" si="2502"/>
        <v>91197</v>
      </c>
      <c r="I11539">
        <v>1</v>
      </c>
      <c r="J11539">
        <v>1046</v>
      </c>
      <c r="K11539">
        <v>0</v>
      </c>
      <c r="L11539">
        <v>815.88</v>
      </c>
    </row>
    <row r="11540" spans="1:12" x14ac:dyDescent="0.25">
      <c r="A11540" t="str">
        <f t="shared" si="2496"/>
        <v>89301000</v>
      </c>
      <c r="B11540" t="str">
        <f t="shared" si="2497"/>
        <v>06539000</v>
      </c>
      <c r="C11540" t="str">
        <f t="shared" si="2498"/>
        <v>06539003</v>
      </c>
      <c r="D11540" t="str">
        <f t="shared" si="2499"/>
        <v>813</v>
      </c>
      <c r="E11540" t="str">
        <f t="shared" si="2500"/>
        <v>89301171</v>
      </c>
      <c r="F11540" t="str">
        <f t="shared" si="2492"/>
        <v>7356195352</v>
      </c>
      <c r="G11540" s="1">
        <v>44876</v>
      </c>
      <c r="H11540" t="str">
        <f>"91329"</f>
        <v>91329</v>
      </c>
      <c r="I11540">
        <v>2</v>
      </c>
      <c r="J11540">
        <v>428</v>
      </c>
      <c r="K11540">
        <v>0</v>
      </c>
      <c r="L11540">
        <v>333.84</v>
      </c>
    </row>
    <row r="11541" spans="1:12" x14ac:dyDescent="0.25">
      <c r="A11541" t="str">
        <f t="shared" si="2496"/>
        <v>89301000</v>
      </c>
      <c r="B11541" t="str">
        <f t="shared" si="2497"/>
        <v>06539000</v>
      </c>
      <c r="C11541" t="str">
        <f t="shared" si="2498"/>
        <v>06539003</v>
      </c>
      <c r="D11541" t="str">
        <f t="shared" si="2499"/>
        <v>813</v>
      </c>
      <c r="E11541" t="str">
        <f t="shared" si="2500"/>
        <v>89301171</v>
      </c>
      <c r="F11541" t="str">
        <f t="shared" si="2492"/>
        <v>7356195352</v>
      </c>
      <c r="G11541" s="1">
        <v>44876</v>
      </c>
      <c r="H11541" t="str">
        <f>"91329"</f>
        <v>91329</v>
      </c>
      <c r="I11541">
        <v>2</v>
      </c>
      <c r="J11541">
        <v>428</v>
      </c>
      <c r="K11541">
        <v>0</v>
      </c>
      <c r="L11541">
        <v>333.84</v>
      </c>
    </row>
    <row r="11542" spans="1:12" x14ac:dyDescent="0.25">
      <c r="A11542" t="str">
        <f t="shared" si="2496"/>
        <v>89301000</v>
      </c>
      <c r="B11542" t="str">
        <f t="shared" si="2497"/>
        <v>06539000</v>
      </c>
      <c r="C11542" t="str">
        <f t="shared" si="2498"/>
        <v>06539003</v>
      </c>
      <c r="D11542" t="str">
        <f t="shared" si="2499"/>
        <v>813</v>
      </c>
      <c r="E11542" t="str">
        <f t="shared" si="2500"/>
        <v>89301171</v>
      </c>
      <c r="F11542" t="str">
        <f t="shared" si="2492"/>
        <v>7356195352</v>
      </c>
      <c r="G11542" s="1">
        <v>44876</v>
      </c>
      <c r="H11542" t="str">
        <f>"91329"</f>
        <v>91329</v>
      </c>
      <c r="I11542">
        <v>2</v>
      </c>
      <c r="J11542">
        <v>428</v>
      </c>
      <c r="K11542">
        <v>0</v>
      </c>
      <c r="L11542">
        <v>333.84</v>
      </c>
    </row>
    <row r="11543" spans="1:12" x14ac:dyDescent="0.25">
      <c r="A11543" t="str">
        <f t="shared" si="2496"/>
        <v>89301000</v>
      </c>
      <c r="B11543" t="str">
        <f t="shared" si="2497"/>
        <v>06539000</v>
      </c>
      <c r="C11543" t="str">
        <f t="shared" si="2498"/>
        <v>06539003</v>
      </c>
      <c r="D11543" t="str">
        <f t="shared" si="2499"/>
        <v>813</v>
      </c>
      <c r="E11543" t="str">
        <f t="shared" si="2500"/>
        <v>89301171</v>
      </c>
      <c r="F11543" t="str">
        <f t="shared" si="2492"/>
        <v>7356195352</v>
      </c>
      <c r="G11543" s="1">
        <v>44876</v>
      </c>
      <c r="H11543" t="str">
        <f>"91329"</f>
        <v>91329</v>
      </c>
      <c r="I11543">
        <v>2</v>
      </c>
      <c r="J11543">
        <v>428</v>
      </c>
      <c r="K11543">
        <v>0</v>
      </c>
      <c r="L11543">
        <v>333.84</v>
      </c>
    </row>
    <row r="11544" spans="1:12" x14ac:dyDescent="0.25">
      <c r="A11544" t="str">
        <f t="shared" si="2496"/>
        <v>89301000</v>
      </c>
      <c r="B11544" t="str">
        <f t="shared" si="2497"/>
        <v>06539000</v>
      </c>
      <c r="C11544" t="str">
        <f t="shared" si="2498"/>
        <v>06539003</v>
      </c>
      <c r="D11544" t="str">
        <f t="shared" si="2499"/>
        <v>813</v>
      </c>
      <c r="E11544" t="str">
        <f t="shared" si="2500"/>
        <v>89301171</v>
      </c>
      <c r="F11544" t="str">
        <f t="shared" si="2492"/>
        <v>7356195352</v>
      </c>
      <c r="G11544" s="1">
        <v>44861</v>
      </c>
      <c r="H11544" t="str">
        <f>"91129"</f>
        <v>91129</v>
      </c>
      <c r="I11544">
        <v>1</v>
      </c>
      <c r="J11544">
        <v>174</v>
      </c>
      <c r="K11544">
        <v>0</v>
      </c>
      <c r="L11544">
        <v>135.72</v>
      </c>
    </row>
    <row r="11545" spans="1:12" x14ac:dyDescent="0.25">
      <c r="A11545" t="str">
        <f t="shared" si="2496"/>
        <v>89301000</v>
      </c>
      <c r="B11545" t="str">
        <f t="shared" si="2497"/>
        <v>06539000</v>
      </c>
      <c r="C11545" t="str">
        <f t="shared" si="2498"/>
        <v>06539003</v>
      </c>
      <c r="D11545" t="str">
        <f t="shared" si="2499"/>
        <v>813</v>
      </c>
      <c r="E11545" t="str">
        <f t="shared" si="2500"/>
        <v>89301171</v>
      </c>
      <c r="F11545" t="str">
        <f t="shared" si="2492"/>
        <v>7356195352</v>
      </c>
      <c r="G11545" s="1">
        <v>44861</v>
      </c>
      <c r="H11545" t="str">
        <f>"91131"</f>
        <v>91131</v>
      </c>
      <c r="I11545">
        <v>1</v>
      </c>
      <c r="J11545">
        <v>171</v>
      </c>
      <c r="K11545">
        <v>0</v>
      </c>
      <c r="L11545">
        <v>133.38</v>
      </c>
    </row>
    <row r="11546" spans="1:12" x14ac:dyDescent="0.25">
      <c r="A11546" t="str">
        <f t="shared" si="2496"/>
        <v>89301000</v>
      </c>
      <c r="B11546" t="str">
        <f t="shared" si="2497"/>
        <v>06539000</v>
      </c>
      <c r="C11546" t="str">
        <f t="shared" si="2498"/>
        <v>06539003</v>
      </c>
      <c r="D11546" t="str">
        <f t="shared" si="2499"/>
        <v>813</v>
      </c>
      <c r="E11546" t="str">
        <f t="shared" si="2500"/>
        <v>89301171</v>
      </c>
      <c r="F11546" t="str">
        <f t="shared" si="2492"/>
        <v>7356195352</v>
      </c>
      <c r="G11546" s="1">
        <v>44861</v>
      </c>
      <c r="H11546" t="str">
        <f>"91133"</f>
        <v>91133</v>
      </c>
      <c r="I11546">
        <v>1</v>
      </c>
      <c r="J11546">
        <v>176</v>
      </c>
      <c r="K11546">
        <v>0</v>
      </c>
      <c r="L11546">
        <v>137.28</v>
      </c>
    </row>
    <row r="11547" spans="1:12" x14ac:dyDescent="0.25">
      <c r="A11547" t="str">
        <f t="shared" si="2496"/>
        <v>89301000</v>
      </c>
      <c r="B11547" t="str">
        <f t="shared" si="2497"/>
        <v>06539000</v>
      </c>
      <c r="C11547" t="str">
        <f t="shared" si="2498"/>
        <v>06539003</v>
      </c>
      <c r="D11547" t="str">
        <f t="shared" si="2499"/>
        <v>813</v>
      </c>
      <c r="E11547" t="str">
        <f t="shared" si="2500"/>
        <v>89301171</v>
      </c>
      <c r="F11547" t="str">
        <f t="shared" si="2492"/>
        <v>7356195352</v>
      </c>
      <c r="G11547" s="1">
        <v>44861</v>
      </c>
      <c r="H11547" t="str">
        <f>"91171"</f>
        <v>91171</v>
      </c>
      <c r="I11547">
        <v>1</v>
      </c>
      <c r="J11547">
        <v>360</v>
      </c>
      <c r="K11547">
        <v>0</v>
      </c>
      <c r="L11547">
        <v>280.8</v>
      </c>
    </row>
    <row r="11548" spans="1:12" x14ac:dyDescent="0.25">
      <c r="A11548" t="str">
        <f t="shared" si="2496"/>
        <v>89301000</v>
      </c>
      <c r="B11548" t="str">
        <f t="shared" si="2497"/>
        <v>06539000</v>
      </c>
      <c r="C11548" t="str">
        <f t="shared" si="2498"/>
        <v>06539003</v>
      </c>
      <c r="D11548" t="str">
        <f t="shared" si="2499"/>
        <v>813</v>
      </c>
      <c r="E11548" t="str">
        <f t="shared" si="2500"/>
        <v>89301171</v>
      </c>
      <c r="F11548" t="str">
        <f t="shared" si="2492"/>
        <v>7356195352</v>
      </c>
      <c r="G11548" s="1">
        <v>44861</v>
      </c>
      <c r="H11548" t="str">
        <f>"91173"</f>
        <v>91173</v>
      </c>
      <c r="I11548">
        <v>1</v>
      </c>
      <c r="J11548">
        <v>335</v>
      </c>
      <c r="K11548">
        <v>0</v>
      </c>
      <c r="L11548">
        <v>261.3</v>
      </c>
    </row>
    <row r="11549" spans="1:12" x14ac:dyDescent="0.25">
      <c r="A11549" t="str">
        <f t="shared" si="2496"/>
        <v>89301000</v>
      </c>
      <c r="B11549" t="str">
        <f t="shared" si="2497"/>
        <v>06539000</v>
      </c>
      <c r="C11549" t="str">
        <f t="shared" si="2498"/>
        <v>06539003</v>
      </c>
      <c r="D11549" t="str">
        <f t="shared" si="2499"/>
        <v>813</v>
      </c>
      <c r="E11549" t="str">
        <f t="shared" si="2500"/>
        <v>89301171</v>
      </c>
      <c r="F11549" t="str">
        <f t="shared" si="2492"/>
        <v>7356195352</v>
      </c>
      <c r="G11549" s="1">
        <v>44861</v>
      </c>
      <c r="H11549" t="str">
        <f>"91175"</f>
        <v>91175</v>
      </c>
      <c r="I11549">
        <v>1</v>
      </c>
      <c r="J11549">
        <v>360</v>
      </c>
      <c r="K11549">
        <v>0</v>
      </c>
      <c r="L11549">
        <v>280.8</v>
      </c>
    </row>
    <row r="11550" spans="1:12" x14ac:dyDescent="0.25">
      <c r="A11550" t="str">
        <f t="shared" si="2496"/>
        <v>89301000</v>
      </c>
      <c r="B11550" t="str">
        <f t="shared" si="2497"/>
        <v>06539000</v>
      </c>
      <c r="C11550" t="str">
        <f t="shared" si="2498"/>
        <v>06539003</v>
      </c>
      <c r="D11550" t="str">
        <f t="shared" si="2499"/>
        <v>813</v>
      </c>
      <c r="E11550" t="str">
        <f t="shared" si="2500"/>
        <v>89301171</v>
      </c>
      <c r="F11550" t="str">
        <f t="shared" si="2492"/>
        <v>7356195352</v>
      </c>
      <c r="G11550" s="1">
        <v>44862</v>
      </c>
      <c r="H11550" t="str">
        <f>"91167"</f>
        <v>91167</v>
      </c>
      <c r="I11550">
        <v>1</v>
      </c>
      <c r="J11550">
        <v>425</v>
      </c>
      <c r="K11550">
        <v>0</v>
      </c>
      <c r="L11550">
        <v>331.5</v>
      </c>
    </row>
    <row r="11551" spans="1:12" x14ac:dyDescent="0.25">
      <c r="A11551" t="str">
        <f t="shared" si="2496"/>
        <v>89301000</v>
      </c>
      <c r="B11551" t="str">
        <f t="shared" si="2497"/>
        <v>06539000</v>
      </c>
      <c r="C11551" t="str">
        <f t="shared" si="2498"/>
        <v>06539003</v>
      </c>
      <c r="D11551" t="str">
        <f t="shared" si="2499"/>
        <v>813</v>
      </c>
      <c r="E11551" t="str">
        <f t="shared" si="2500"/>
        <v>89301171</v>
      </c>
      <c r="F11551" t="str">
        <f t="shared" si="2492"/>
        <v>7356195352</v>
      </c>
      <c r="G11551" s="1">
        <v>44862</v>
      </c>
      <c r="H11551" t="str">
        <f>"91169"</f>
        <v>91169</v>
      </c>
      <c r="I11551">
        <v>1</v>
      </c>
      <c r="J11551">
        <v>425</v>
      </c>
      <c r="K11551">
        <v>0</v>
      </c>
      <c r="L11551">
        <v>331.5</v>
      </c>
    </row>
    <row r="11552" spans="1:12" x14ac:dyDescent="0.25">
      <c r="A11552" t="str">
        <f t="shared" si="2496"/>
        <v>89301000</v>
      </c>
      <c r="B11552" t="str">
        <f t="shared" si="2497"/>
        <v>06539000</v>
      </c>
      <c r="C11552" t="str">
        <f t="shared" si="2498"/>
        <v>06539003</v>
      </c>
      <c r="D11552" t="str">
        <f t="shared" si="2499"/>
        <v>813</v>
      </c>
      <c r="E11552" t="str">
        <f t="shared" si="2500"/>
        <v>89301171</v>
      </c>
      <c r="F11552" t="str">
        <f t="shared" si="2492"/>
        <v>7356195352</v>
      </c>
      <c r="G11552" s="1">
        <v>44861</v>
      </c>
      <c r="H11552" t="str">
        <f>"91167"</f>
        <v>91167</v>
      </c>
      <c r="I11552">
        <v>1</v>
      </c>
      <c r="J11552">
        <v>425</v>
      </c>
      <c r="K11552">
        <v>0</v>
      </c>
      <c r="L11552">
        <v>331.5</v>
      </c>
    </row>
    <row r="11553" spans="1:12" x14ac:dyDescent="0.25">
      <c r="A11553" t="str">
        <f t="shared" si="2496"/>
        <v>89301000</v>
      </c>
      <c r="B11553" t="str">
        <f t="shared" si="2497"/>
        <v>06539000</v>
      </c>
      <c r="C11553" t="str">
        <f t="shared" si="2498"/>
        <v>06539003</v>
      </c>
      <c r="D11553" t="str">
        <f t="shared" si="2499"/>
        <v>813</v>
      </c>
      <c r="E11553" t="str">
        <f t="shared" si="2500"/>
        <v>89301171</v>
      </c>
      <c r="F11553" t="str">
        <f t="shared" si="2492"/>
        <v>7356195352</v>
      </c>
      <c r="G11553" s="1">
        <v>44861</v>
      </c>
      <c r="H11553" t="str">
        <f>"91169"</f>
        <v>91169</v>
      </c>
      <c r="I11553">
        <v>1</v>
      </c>
      <c r="J11553">
        <v>425</v>
      </c>
      <c r="K11553">
        <v>0</v>
      </c>
      <c r="L11553">
        <v>331.5</v>
      </c>
    </row>
    <row r="11554" spans="1:12" x14ac:dyDescent="0.25">
      <c r="A11554" t="str">
        <f t="shared" si="2496"/>
        <v>89301000</v>
      </c>
      <c r="B11554" t="str">
        <f t="shared" si="2497"/>
        <v>06539000</v>
      </c>
      <c r="C11554" t="str">
        <f t="shared" si="2498"/>
        <v>06539003</v>
      </c>
      <c r="D11554" t="str">
        <f t="shared" si="2499"/>
        <v>813</v>
      </c>
      <c r="E11554" t="str">
        <f t="shared" si="2500"/>
        <v>89301171</v>
      </c>
      <c r="F11554" t="str">
        <f t="shared" si="2492"/>
        <v>7356195352</v>
      </c>
      <c r="G11554" s="1">
        <v>44868</v>
      </c>
      <c r="H11554" t="str">
        <f>"91475"</f>
        <v>91475</v>
      </c>
      <c r="I11554">
        <v>1</v>
      </c>
      <c r="J11554">
        <v>206</v>
      </c>
      <c r="K11554">
        <v>0</v>
      </c>
      <c r="L11554">
        <v>160.68</v>
      </c>
    </row>
    <row r="11555" spans="1:12" x14ac:dyDescent="0.25">
      <c r="A11555" t="str">
        <f t="shared" si="2496"/>
        <v>89301000</v>
      </c>
      <c r="B11555" t="str">
        <f t="shared" si="2497"/>
        <v>06539000</v>
      </c>
      <c r="C11555" t="str">
        <f t="shared" ref="C11555:C11580" si="2503">"06539003"</f>
        <v>06539003</v>
      </c>
      <c r="D11555" t="str">
        <f t="shared" ref="D11555:D11580" si="2504">"813"</f>
        <v>813</v>
      </c>
      <c r="E11555" t="str">
        <f t="shared" si="2500"/>
        <v>89301171</v>
      </c>
      <c r="F11555" t="str">
        <f t="shared" ref="F11555:F11577" si="2505">"8352124055"</f>
        <v>8352124055</v>
      </c>
      <c r="G11555" s="1">
        <v>44868</v>
      </c>
      <c r="H11555" t="str">
        <f t="shared" ref="H11555:H11564" si="2506">"91413"</f>
        <v>91413</v>
      </c>
      <c r="I11555">
        <v>1</v>
      </c>
      <c r="J11555">
        <v>853</v>
      </c>
      <c r="K11555">
        <v>0</v>
      </c>
      <c r="L11555">
        <v>665.34</v>
      </c>
    </row>
    <row r="11556" spans="1:12" x14ac:dyDescent="0.25">
      <c r="A11556" t="str">
        <f t="shared" si="2496"/>
        <v>89301000</v>
      </c>
      <c r="B11556" t="str">
        <f t="shared" si="2497"/>
        <v>06539000</v>
      </c>
      <c r="C11556" t="str">
        <f t="shared" si="2503"/>
        <v>06539003</v>
      </c>
      <c r="D11556" t="str">
        <f t="shared" si="2504"/>
        <v>813</v>
      </c>
      <c r="E11556" t="str">
        <f t="shared" si="2500"/>
        <v>89301171</v>
      </c>
      <c r="F11556" t="str">
        <f t="shared" si="2505"/>
        <v>8352124055</v>
      </c>
      <c r="G11556" s="1">
        <v>44868</v>
      </c>
      <c r="H11556" t="str">
        <f t="shared" si="2506"/>
        <v>91413</v>
      </c>
      <c r="I11556">
        <v>1</v>
      </c>
      <c r="J11556">
        <v>853</v>
      </c>
      <c r="K11556">
        <v>0</v>
      </c>
      <c r="L11556">
        <v>665.34</v>
      </c>
    </row>
    <row r="11557" spans="1:12" x14ac:dyDescent="0.25">
      <c r="A11557" t="str">
        <f t="shared" si="2496"/>
        <v>89301000</v>
      </c>
      <c r="B11557" t="str">
        <f t="shared" si="2497"/>
        <v>06539000</v>
      </c>
      <c r="C11557" t="str">
        <f t="shared" si="2503"/>
        <v>06539003</v>
      </c>
      <c r="D11557" t="str">
        <f t="shared" si="2504"/>
        <v>813</v>
      </c>
      <c r="E11557" t="str">
        <f t="shared" si="2500"/>
        <v>89301171</v>
      </c>
      <c r="F11557" t="str">
        <f t="shared" si="2505"/>
        <v>8352124055</v>
      </c>
      <c r="G11557" s="1">
        <v>44876</v>
      </c>
      <c r="H11557" t="str">
        <f t="shared" si="2506"/>
        <v>91413</v>
      </c>
      <c r="I11557">
        <v>1</v>
      </c>
      <c r="J11557">
        <v>853</v>
      </c>
      <c r="K11557">
        <v>0</v>
      </c>
      <c r="L11557">
        <v>665.34</v>
      </c>
    </row>
    <row r="11558" spans="1:12" x14ac:dyDescent="0.25">
      <c r="A11558" t="str">
        <f t="shared" si="2496"/>
        <v>89301000</v>
      </c>
      <c r="B11558" t="str">
        <f t="shared" si="2497"/>
        <v>06539000</v>
      </c>
      <c r="C11558" t="str">
        <f t="shared" si="2503"/>
        <v>06539003</v>
      </c>
      <c r="D11558" t="str">
        <f t="shared" si="2504"/>
        <v>813</v>
      </c>
      <c r="E11558" t="str">
        <f t="shared" si="2500"/>
        <v>89301171</v>
      </c>
      <c r="F11558" t="str">
        <f t="shared" si="2505"/>
        <v>8352124055</v>
      </c>
      <c r="G11558" s="1">
        <v>44876</v>
      </c>
      <c r="H11558" t="str">
        <f t="shared" si="2506"/>
        <v>91413</v>
      </c>
      <c r="I11558">
        <v>1</v>
      </c>
      <c r="J11558">
        <v>853</v>
      </c>
      <c r="K11558">
        <v>0</v>
      </c>
      <c r="L11558">
        <v>665.34</v>
      </c>
    </row>
    <row r="11559" spans="1:12" x14ac:dyDescent="0.25">
      <c r="A11559" t="str">
        <f t="shared" si="2496"/>
        <v>89301000</v>
      </c>
      <c r="B11559" t="str">
        <f t="shared" si="2497"/>
        <v>06539000</v>
      </c>
      <c r="C11559" t="str">
        <f t="shared" si="2503"/>
        <v>06539003</v>
      </c>
      <c r="D11559" t="str">
        <f t="shared" si="2504"/>
        <v>813</v>
      </c>
      <c r="E11559" t="str">
        <f t="shared" si="2500"/>
        <v>89301171</v>
      </c>
      <c r="F11559" t="str">
        <f t="shared" si="2505"/>
        <v>8352124055</v>
      </c>
      <c r="G11559" s="1">
        <v>44875</v>
      </c>
      <c r="H11559" t="str">
        <f t="shared" si="2506"/>
        <v>91413</v>
      </c>
      <c r="I11559">
        <v>1</v>
      </c>
      <c r="J11559">
        <v>853</v>
      </c>
      <c r="K11559">
        <v>0</v>
      </c>
      <c r="L11559">
        <v>665.34</v>
      </c>
    </row>
    <row r="11560" spans="1:12" x14ac:dyDescent="0.25">
      <c r="A11560" t="str">
        <f t="shared" si="2496"/>
        <v>89301000</v>
      </c>
      <c r="B11560" t="str">
        <f t="shared" si="2497"/>
        <v>06539000</v>
      </c>
      <c r="C11560" t="str">
        <f t="shared" si="2503"/>
        <v>06539003</v>
      </c>
      <c r="D11560" t="str">
        <f t="shared" si="2504"/>
        <v>813</v>
      </c>
      <c r="E11560" t="str">
        <f t="shared" si="2500"/>
        <v>89301171</v>
      </c>
      <c r="F11560" t="str">
        <f t="shared" si="2505"/>
        <v>8352124055</v>
      </c>
      <c r="G11560" s="1">
        <v>44875</v>
      </c>
      <c r="H11560" t="str">
        <f t="shared" si="2506"/>
        <v>91413</v>
      </c>
      <c r="I11560">
        <v>1</v>
      </c>
      <c r="J11560">
        <v>853</v>
      </c>
      <c r="K11560">
        <v>0</v>
      </c>
      <c r="L11560">
        <v>665.34</v>
      </c>
    </row>
    <row r="11561" spans="1:12" x14ac:dyDescent="0.25">
      <c r="A11561" t="str">
        <f t="shared" si="2496"/>
        <v>89301000</v>
      </c>
      <c r="B11561" t="str">
        <f t="shared" si="2497"/>
        <v>06539000</v>
      </c>
      <c r="C11561" t="str">
        <f t="shared" si="2503"/>
        <v>06539003</v>
      </c>
      <c r="D11561" t="str">
        <f t="shared" si="2504"/>
        <v>813</v>
      </c>
      <c r="E11561" t="str">
        <f t="shared" si="2500"/>
        <v>89301171</v>
      </c>
      <c r="F11561" t="str">
        <f t="shared" si="2505"/>
        <v>8352124055</v>
      </c>
      <c r="G11561" s="1">
        <v>44876</v>
      </c>
      <c r="H11561" t="str">
        <f t="shared" si="2506"/>
        <v>91413</v>
      </c>
      <c r="I11561">
        <v>1</v>
      </c>
      <c r="J11561">
        <v>853</v>
      </c>
      <c r="K11561">
        <v>0</v>
      </c>
      <c r="L11561">
        <v>665.34</v>
      </c>
    </row>
    <row r="11562" spans="1:12" x14ac:dyDescent="0.25">
      <c r="A11562" t="str">
        <f t="shared" si="2496"/>
        <v>89301000</v>
      </c>
      <c r="B11562" t="str">
        <f t="shared" si="2497"/>
        <v>06539000</v>
      </c>
      <c r="C11562" t="str">
        <f t="shared" si="2503"/>
        <v>06539003</v>
      </c>
      <c r="D11562" t="str">
        <f t="shared" si="2504"/>
        <v>813</v>
      </c>
      <c r="E11562" t="str">
        <f t="shared" si="2500"/>
        <v>89301171</v>
      </c>
      <c r="F11562" t="str">
        <f t="shared" si="2505"/>
        <v>8352124055</v>
      </c>
      <c r="G11562" s="1">
        <v>44876</v>
      </c>
      <c r="H11562" t="str">
        <f t="shared" si="2506"/>
        <v>91413</v>
      </c>
      <c r="I11562">
        <v>1</v>
      </c>
      <c r="J11562">
        <v>853</v>
      </c>
      <c r="K11562">
        <v>0</v>
      </c>
      <c r="L11562">
        <v>665.34</v>
      </c>
    </row>
    <row r="11563" spans="1:12" x14ac:dyDescent="0.25">
      <c r="A11563" t="str">
        <f t="shared" si="2496"/>
        <v>89301000</v>
      </c>
      <c r="B11563" t="str">
        <f t="shared" si="2497"/>
        <v>06539000</v>
      </c>
      <c r="C11563" t="str">
        <f t="shared" si="2503"/>
        <v>06539003</v>
      </c>
      <c r="D11563" t="str">
        <f t="shared" si="2504"/>
        <v>813</v>
      </c>
      <c r="E11563" t="str">
        <f t="shared" si="2500"/>
        <v>89301171</v>
      </c>
      <c r="F11563" t="str">
        <f t="shared" si="2505"/>
        <v>8352124055</v>
      </c>
      <c r="G11563" s="1">
        <v>44876</v>
      </c>
      <c r="H11563" t="str">
        <f t="shared" si="2506"/>
        <v>91413</v>
      </c>
      <c r="I11563">
        <v>1</v>
      </c>
      <c r="J11563">
        <v>853</v>
      </c>
      <c r="K11563">
        <v>0</v>
      </c>
      <c r="L11563">
        <v>665.34</v>
      </c>
    </row>
    <row r="11564" spans="1:12" x14ac:dyDescent="0.25">
      <c r="A11564" t="str">
        <f t="shared" si="2496"/>
        <v>89301000</v>
      </c>
      <c r="B11564" t="str">
        <f t="shared" si="2497"/>
        <v>06539000</v>
      </c>
      <c r="C11564" t="str">
        <f t="shared" si="2503"/>
        <v>06539003</v>
      </c>
      <c r="D11564" t="str">
        <f t="shared" si="2504"/>
        <v>813</v>
      </c>
      <c r="E11564" t="str">
        <f t="shared" si="2500"/>
        <v>89301171</v>
      </c>
      <c r="F11564" t="str">
        <f t="shared" si="2505"/>
        <v>8352124055</v>
      </c>
      <c r="G11564" s="1">
        <v>44876</v>
      </c>
      <c r="H11564" t="str">
        <f t="shared" si="2506"/>
        <v>91413</v>
      </c>
      <c r="I11564">
        <v>1</v>
      </c>
      <c r="J11564">
        <v>853</v>
      </c>
      <c r="K11564">
        <v>0</v>
      </c>
      <c r="L11564">
        <v>665.34</v>
      </c>
    </row>
    <row r="11565" spans="1:12" x14ac:dyDescent="0.25">
      <c r="A11565" t="str">
        <f t="shared" si="2496"/>
        <v>89301000</v>
      </c>
      <c r="B11565" t="str">
        <f t="shared" si="2497"/>
        <v>06539000</v>
      </c>
      <c r="C11565" t="str">
        <f t="shared" si="2503"/>
        <v>06539003</v>
      </c>
      <c r="D11565" t="str">
        <f t="shared" si="2504"/>
        <v>813</v>
      </c>
      <c r="E11565" t="str">
        <f t="shared" si="2500"/>
        <v>89301171</v>
      </c>
      <c r="F11565" t="str">
        <f t="shared" si="2505"/>
        <v>8352124055</v>
      </c>
      <c r="G11565" s="1">
        <v>44864</v>
      </c>
      <c r="H11565" t="str">
        <f t="shared" ref="H11565:H11570" si="2507">"91197"</f>
        <v>91197</v>
      </c>
      <c r="I11565">
        <v>1</v>
      </c>
      <c r="J11565">
        <v>1046</v>
      </c>
      <c r="K11565">
        <v>0</v>
      </c>
      <c r="L11565">
        <v>815.88</v>
      </c>
    </row>
    <row r="11566" spans="1:12" x14ac:dyDescent="0.25">
      <c r="A11566" t="str">
        <f t="shared" si="2496"/>
        <v>89301000</v>
      </c>
      <c r="B11566" t="str">
        <f t="shared" si="2497"/>
        <v>06539000</v>
      </c>
      <c r="C11566" t="str">
        <f t="shared" si="2503"/>
        <v>06539003</v>
      </c>
      <c r="D11566" t="str">
        <f t="shared" si="2504"/>
        <v>813</v>
      </c>
      <c r="E11566" t="str">
        <f t="shared" si="2500"/>
        <v>89301171</v>
      </c>
      <c r="F11566" t="str">
        <f t="shared" si="2505"/>
        <v>8352124055</v>
      </c>
      <c r="G11566" s="1">
        <v>44864</v>
      </c>
      <c r="H11566" t="str">
        <f t="shared" si="2507"/>
        <v>91197</v>
      </c>
      <c r="I11566">
        <v>1</v>
      </c>
      <c r="J11566">
        <v>1046</v>
      </c>
      <c r="K11566">
        <v>0</v>
      </c>
      <c r="L11566">
        <v>815.88</v>
      </c>
    </row>
    <row r="11567" spans="1:12" x14ac:dyDescent="0.25">
      <c r="A11567" t="str">
        <f t="shared" si="2496"/>
        <v>89301000</v>
      </c>
      <c r="B11567" t="str">
        <f t="shared" si="2497"/>
        <v>06539000</v>
      </c>
      <c r="C11567" t="str">
        <f t="shared" si="2503"/>
        <v>06539003</v>
      </c>
      <c r="D11567" t="str">
        <f t="shared" si="2504"/>
        <v>813</v>
      </c>
      <c r="E11567" t="str">
        <f t="shared" si="2500"/>
        <v>89301171</v>
      </c>
      <c r="F11567" t="str">
        <f t="shared" si="2505"/>
        <v>8352124055</v>
      </c>
      <c r="G11567" s="1">
        <v>44863</v>
      </c>
      <c r="H11567" t="str">
        <f t="shared" si="2507"/>
        <v>91197</v>
      </c>
      <c r="I11567">
        <v>1</v>
      </c>
      <c r="J11567">
        <v>1046</v>
      </c>
      <c r="K11567">
        <v>0</v>
      </c>
      <c r="L11567">
        <v>815.88</v>
      </c>
    </row>
    <row r="11568" spans="1:12" x14ac:dyDescent="0.25">
      <c r="A11568" t="str">
        <f t="shared" si="2496"/>
        <v>89301000</v>
      </c>
      <c r="B11568" t="str">
        <f t="shared" si="2497"/>
        <v>06539000</v>
      </c>
      <c r="C11568" t="str">
        <f t="shared" si="2503"/>
        <v>06539003</v>
      </c>
      <c r="D11568" t="str">
        <f t="shared" si="2504"/>
        <v>813</v>
      </c>
      <c r="E11568" t="str">
        <f t="shared" si="2500"/>
        <v>89301171</v>
      </c>
      <c r="F11568" t="str">
        <f t="shared" si="2505"/>
        <v>8352124055</v>
      </c>
      <c r="G11568" s="1">
        <v>44863</v>
      </c>
      <c r="H11568" t="str">
        <f t="shared" si="2507"/>
        <v>91197</v>
      </c>
      <c r="I11568">
        <v>1</v>
      </c>
      <c r="J11568">
        <v>1046</v>
      </c>
      <c r="K11568">
        <v>0</v>
      </c>
      <c r="L11568">
        <v>815.88</v>
      </c>
    </row>
    <row r="11569" spans="1:12" x14ac:dyDescent="0.25">
      <c r="A11569" t="str">
        <f t="shared" si="2496"/>
        <v>89301000</v>
      </c>
      <c r="B11569" t="str">
        <f t="shared" si="2497"/>
        <v>06539000</v>
      </c>
      <c r="C11569" t="str">
        <f t="shared" si="2503"/>
        <v>06539003</v>
      </c>
      <c r="D11569" t="str">
        <f t="shared" si="2504"/>
        <v>813</v>
      </c>
      <c r="E11569" t="str">
        <f t="shared" si="2500"/>
        <v>89301171</v>
      </c>
      <c r="F11569" t="str">
        <f t="shared" si="2505"/>
        <v>8352124055</v>
      </c>
      <c r="G11569" s="1">
        <v>44862</v>
      </c>
      <c r="H11569" t="str">
        <f t="shared" si="2507"/>
        <v>91197</v>
      </c>
      <c r="I11569">
        <v>1</v>
      </c>
      <c r="J11569">
        <v>1046</v>
      </c>
      <c r="K11569">
        <v>0</v>
      </c>
      <c r="L11569">
        <v>815.88</v>
      </c>
    </row>
    <row r="11570" spans="1:12" x14ac:dyDescent="0.25">
      <c r="A11570" t="str">
        <f t="shared" si="2496"/>
        <v>89301000</v>
      </c>
      <c r="B11570" t="str">
        <f t="shared" si="2497"/>
        <v>06539000</v>
      </c>
      <c r="C11570" t="str">
        <f t="shared" si="2503"/>
        <v>06539003</v>
      </c>
      <c r="D11570" t="str">
        <f t="shared" si="2504"/>
        <v>813</v>
      </c>
      <c r="E11570" t="str">
        <f t="shared" si="2500"/>
        <v>89301171</v>
      </c>
      <c r="F11570" t="str">
        <f t="shared" si="2505"/>
        <v>8352124055</v>
      </c>
      <c r="G11570" s="1">
        <v>44862</v>
      </c>
      <c r="H11570" t="str">
        <f t="shared" si="2507"/>
        <v>91197</v>
      </c>
      <c r="I11570">
        <v>1</v>
      </c>
      <c r="J11570">
        <v>1046</v>
      </c>
      <c r="K11570">
        <v>0</v>
      </c>
      <c r="L11570">
        <v>815.88</v>
      </c>
    </row>
    <row r="11571" spans="1:12" x14ac:dyDescent="0.25">
      <c r="A11571" t="str">
        <f t="shared" si="2496"/>
        <v>89301000</v>
      </c>
      <c r="B11571" t="str">
        <f t="shared" si="2497"/>
        <v>06539000</v>
      </c>
      <c r="C11571" t="str">
        <f t="shared" si="2503"/>
        <v>06539003</v>
      </c>
      <c r="D11571" t="str">
        <f t="shared" si="2504"/>
        <v>813</v>
      </c>
      <c r="E11571" t="str">
        <f t="shared" si="2500"/>
        <v>89301171</v>
      </c>
      <c r="F11571" t="str">
        <f t="shared" si="2505"/>
        <v>8352124055</v>
      </c>
      <c r="G11571" s="1">
        <v>44866</v>
      </c>
      <c r="H11571" t="str">
        <f>"91329"</f>
        <v>91329</v>
      </c>
      <c r="I11571">
        <v>2</v>
      </c>
      <c r="J11571">
        <v>428</v>
      </c>
      <c r="K11571">
        <v>0</v>
      </c>
      <c r="L11571">
        <v>333.84</v>
      </c>
    </row>
    <row r="11572" spans="1:12" x14ac:dyDescent="0.25">
      <c r="A11572" t="str">
        <f t="shared" si="2496"/>
        <v>89301000</v>
      </c>
      <c r="B11572" t="str">
        <f t="shared" si="2497"/>
        <v>06539000</v>
      </c>
      <c r="C11572" t="str">
        <f t="shared" si="2503"/>
        <v>06539003</v>
      </c>
      <c r="D11572" t="str">
        <f t="shared" si="2504"/>
        <v>813</v>
      </c>
      <c r="E11572" t="str">
        <f t="shared" si="2500"/>
        <v>89301171</v>
      </c>
      <c r="F11572" t="str">
        <f t="shared" si="2505"/>
        <v>8352124055</v>
      </c>
      <c r="G11572" s="1">
        <v>44866</v>
      </c>
      <c r="H11572" t="str">
        <f>"91329"</f>
        <v>91329</v>
      </c>
      <c r="I11572">
        <v>2</v>
      </c>
      <c r="J11572">
        <v>428</v>
      </c>
      <c r="K11572">
        <v>0</v>
      </c>
      <c r="L11572">
        <v>333.84</v>
      </c>
    </row>
    <row r="11573" spans="1:12" x14ac:dyDescent="0.25">
      <c r="A11573" t="str">
        <f t="shared" si="2496"/>
        <v>89301000</v>
      </c>
      <c r="B11573" t="str">
        <f t="shared" si="2497"/>
        <v>06539000</v>
      </c>
      <c r="C11573" t="str">
        <f t="shared" si="2503"/>
        <v>06539003</v>
      </c>
      <c r="D11573" t="str">
        <f t="shared" si="2504"/>
        <v>813</v>
      </c>
      <c r="E11573" t="str">
        <f t="shared" si="2500"/>
        <v>89301171</v>
      </c>
      <c r="F11573" t="str">
        <f t="shared" si="2505"/>
        <v>8352124055</v>
      </c>
      <c r="G11573" s="1">
        <v>44866</v>
      </c>
      <c r="H11573" t="str">
        <f>"91329"</f>
        <v>91329</v>
      </c>
      <c r="I11573">
        <v>2</v>
      </c>
      <c r="J11573">
        <v>428</v>
      </c>
      <c r="K11573">
        <v>0</v>
      </c>
      <c r="L11573">
        <v>333.84</v>
      </c>
    </row>
    <row r="11574" spans="1:12" x14ac:dyDescent="0.25">
      <c r="A11574" t="str">
        <f t="shared" si="2496"/>
        <v>89301000</v>
      </c>
      <c r="B11574" t="str">
        <f t="shared" si="2497"/>
        <v>06539000</v>
      </c>
      <c r="C11574" t="str">
        <f t="shared" si="2503"/>
        <v>06539003</v>
      </c>
      <c r="D11574" t="str">
        <f t="shared" si="2504"/>
        <v>813</v>
      </c>
      <c r="E11574" t="str">
        <f t="shared" si="2500"/>
        <v>89301171</v>
      </c>
      <c r="F11574" t="str">
        <f t="shared" si="2505"/>
        <v>8352124055</v>
      </c>
      <c r="G11574" s="1">
        <v>44866</v>
      </c>
      <c r="H11574" t="str">
        <f>"91329"</f>
        <v>91329</v>
      </c>
      <c r="I11574">
        <v>2</v>
      </c>
      <c r="J11574">
        <v>428</v>
      </c>
      <c r="K11574">
        <v>0</v>
      </c>
      <c r="L11574">
        <v>333.84</v>
      </c>
    </row>
    <row r="11575" spans="1:12" x14ac:dyDescent="0.25">
      <c r="A11575" t="str">
        <f t="shared" si="2496"/>
        <v>89301000</v>
      </c>
      <c r="B11575" t="str">
        <f t="shared" si="2497"/>
        <v>06539000</v>
      </c>
      <c r="C11575" t="str">
        <f t="shared" si="2503"/>
        <v>06539003</v>
      </c>
      <c r="D11575" t="str">
        <f t="shared" si="2504"/>
        <v>813</v>
      </c>
      <c r="E11575" t="str">
        <f t="shared" si="2500"/>
        <v>89301171</v>
      </c>
      <c r="F11575" t="str">
        <f t="shared" si="2505"/>
        <v>8352124055</v>
      </c>
      <c r="G11575" s="1">
        <v>44862</v>
      </c>
      <c r="H11575" t="str">
        <f>"91167"</f>
        <v>91167</v>
      </c>
      <c r="I11575">
        <v>1</v>
      </c>
      <c r="J11575">
        <v>425</v>
      </c>
      <c r="K11575">
        <v>0</v>
      </c>
      <c r="L11575">
        <v>331.5</v>
      </c>
    </row>
    <row r="11576" spans="1:12" x14ac:dyDescent="0.25">
      <c r="A11576" t="str">
        <f t="shared" si="2496"/>
        <v>89301000</v>
      </c>
      <c r="B11576" t="str">
        <f t="shared" si="2497"/>
        <v>06539000</v>
      </c>
      <c r="C11576" t="str">
        <f t="shared" si="2503"/>
        <v>06539003</v>
      </c>
      <c r="D11576" t="str">
        <f t="shared" si="2504"/>
        <v>813</v>
      </c>
      <c r="E11576" t="str">
        <f t="shared" si="2500"/>
        <v>89301171</v>
      </c>
      <c r="F11576" t="str">
        <f t="shared" si="2505"/>
        <v>8352124055</v>
      </c>
      <c r="G11576" s="1">
        <v>44862</v>
      </c>
      <c r="H11576" t="str">
        <f>"91169"</f>
        <v>91169</v>
      </c>
      <c r="I11576">
        <v>1</v>
      </c>
      <c r="J11576">
        <v>425</v>
      </c>
      <c r="K11576">
        <v>0</v>
      </c>
      <c r="L11576">
        <v>331.5</v>
      </c>
    </row>
    <row r="11577" spans="1:12" x14ac:dyDescent="0.25">
      <c r="A11577" t="str">
        <f t="shared" si="2496"/>
        <v>89301000</v>
      </c>
      <c r="B11577" t="str">
        <f t="shared" si="2497"/>
        <v>06539000</v>
      </c>
      <c r="C11577" t="str">
        <f t="shared" si="2503"/>
        <v>06539003</v>
      </c>
      <c r="D11577" t="str">
        <f t="shared" si="2504"/>
        <v>813</v>
      </c>
      <c r="E11577" t="str">
        <f t="shared" si="2500"/>
        <v>89301171</v>
      </c>
      <c r="F11577" t="str">
        <f t="shared" si="2505"/>
        <v>8352124055</v>
      </c>
      <c r="G11577" s="1">
        <v>44868</v>
      </c>
      <c r="H11577" t="str">
        <f>"91475"</f>
        <v>91475</v>
      </c>
      <c r="I11577">
        <v>1</v>
      </c>
      <c r="J11577">
        <v>206</v>
      </c>
      <c r="K11577">
        <v>0</v>
      </c>
      <c r="L11577">
        <v>160.68</v>
      </c>
    </row>
    <row r="11578" spans="1:12" x14ac:dyDescent="0.25">
      <c r="A11578" t="str">
        <f t="shared" si="2496"/>
        <v>89301000</v>
      </c>
      <c r="B11578" t="str">
        <f t="shared" si="2497"/>
        <v>06539000</v>
      </c>
      <c r="C11578" t="str">
        <f t="shared" si="2503"/>
        <v>06539003</v>
      </c>
      <c r="D11578" t="str">
        <f t="shared" si="2504"/>
        <v>813</v>
      </c>
      <c r="E11578" t="str">
        <f>"89301172"</f>
        <v>89301172</v>
      </c>
      <c r="F11578" t="str">
        <f>"0008205747"</f>
        <v>0008205747</v>
      </c>
      <c r="G11578" s="1">
        <v>44865</v>
      </c>
      <c r="H11578" t="str">
        <f>"91329"</f>
        <v>91329</v>
      </c>
      <c r="I11578">
        <v>2</v>
      </c>
      <c r="J11578">
        <v>428</v>
      </c>
      <c r="K11578">
        <v>0</v>
      </c>
      <c r="L11578">
        <v>333.84</v>
      </c>
    </row>
    <row r="11579" spans="1:12" x14ac:dyDescent="0.25">
      <c r="A11579" t="str">
        <f t="shared" si="2496"/>
        <v>89301000</v>
      </c>
      <c r="B11579" t="str">
        <f t="shared" si="2497"/>
        <v>06539000</v>
      </c>
      <c r="C11579" t="str">
        <f t="shared" si="2503"/>
        <v>06539003</v>
      </c>
      <c r="D11579" t="str">
        <f t="shared" si="2504"/>
        <v>813</v>
      </c>
      <c r="E11579" t="str">
        <f>"89301172"</f>
        <v>89301172</v>
      </c>
      <c r="F11579" t="str">
        <f>"0008205747"</f>
        <v>0008205747</v>
      </c>
      <c r="G11579" s="1">
        <v>44865</v>
      </c>
      <c r="H11579" t="str">
        <f>"91329"</f>
        <v>91329</v>
      </c>
      <c r="I11579">
        <v>2</v>
      </c>
      <c r="J11579">
        <v>428</v>
      </c>
      <c r="K11579">
        <v>0</v>
      </c>
      <c r="L11579">
        <v>333.84</v>
      </c>
    </row>
    <row r="11580" spans="1:12" x14ac:dyDescent="0.25">
      <c r="A11580" t="str">
        <f t="shared" si="2496"/>
        <v>89301000</v>
      </c>
      <c r="B11580" t="str">
        <f t="shared" si="2497"/>
        <v>06539000</v>
      </c>
      <c r="C11580" t="str">
        <f t="shared" si="2503"/>
        <v>06539003</v>
      </c>
      <c r="D11580" t="str">
        <f t="shared" si="2504"/>
        <v>813</v>
      </c>
      <c r="E11580" t="str">
        <f>"89301172"</f>
        <v>89301172</v>
      </c>
      <c r="F11580" t="str">
        <f>"0008205747"</f>
        <v>0008205747</v>
      </c>
      <c r="G11580" s="1">
        <v>44860</v>
      </c>
      <c r="H11580" t="str">
        <f>"91475"</f>
        <v>91475</v>
      </c>
      <c r="I11580">
        <v>1</v>
      </c>
      <c r="J11580">
        <v>206</v>
      </c>
      <c r="K11580">
        <v>0</v>
      </c>
      <c r="L11580">
        <v>160.68</v>
      </c>
    </row>
    <row r="11581" spans="1:12" x14ac:dyDescent="0.25">
      <c r="A11581" t="str">
        <f t="shared" si="2496"/>
        <v>89301000</v>
      </c>
      <c r="B11581" t="str">
        <f t="shared" si="2497"/>
        <v>06539000</v>
      </c>
      <c r="C11581" t="str">
        <f>"06539001"</f>
        <v>06539001</v>
      </c>
      <c r="D11581" t="str">
        <f>"801"</f>
        <v>801</v>
      </c>
      <c r="E11581" t="str">
        <f t="shared" ref="E11581:E11612" si="2508">"89301171"</f>
        <v>89301171</v>
      </c>
      <c r="F11581" t="str">
        <f t="shared" ref="F11581:F11603" si="2509">"8356014876"</f>
        <v>8356014876</v>
      </c>
      <c r="G11581" s="1">
        <v>44869</v>
      </c>
      <c r="H11581" t="str">
        <f>"81329"</f>
        <v>81329</v>
      </c>
      <c r="I11581">
        <v>1</v>
      </c>
      <c r="J11581">
        <v>16</v>
      </c>
      <c r="K11581">
        <v>0</v>
      </c>
      <c r="L11581">
        <v>12.48</v>
      </c>
    </row>
    <row r="11582" spans="1:12" x14ac:dyDescent="0.25">
      <c r="A11582" t="str">
        <f t="shared" si="2496"/>
        <v>89301000</v>
      </c>
      <c r="B11582" t="str">
        <f t="shared" si="2497"/>
        <v>06539000</v>
      </c>
      <c r="C11582" t="str">
        <f>"06539001"</f>
        <v>06539001</v>
      </c>
      <c r="D11582" t="str">
        <f>"801"</f>
        <v>801</v>
      </c>
      <c r="E11582" t="str">
        <f t="shared" si="2508"/>
        <v>89301171</v>
      </c>
      <c r="F11582" t="str">
        <f t="shared" si="2509"/>
        <v>8356014876</v>
      </c>
      <c r="G11582" s="1">
        <v>44869</v>
      </c>
      <c r="H11582" t="str">
        <f>"81331"</f>
        <v>81331</v>
      </c>
      <c r="I11582">
        <v>1</v>
      </c>
      <c r="J11582">
        <v>193</v>
      </c>
      <c r="K11582">
        <v>0</v>
      </c>
      <c r="L11582">
        <v>150.54</v>
      </c>
    </row>
    <row r="11583" spans="1:12" x14ac:dyDescent="0.25">
      <c r="A11583" t="str">
        <f t="shared" si="2496"/>
        <v>89301000</v>
      </c>
      <c r="B11583" t="str">
        <f t="shared" si="2497"/>
        <v>06539000</v>
      </c>
      <c r="C11583" t="str">
        <f t="shared" ref="C11583:C11614" si="2510">"06539003"</f>
        <v>06539003</v>
      </c>
      <c r="D11583" t="str">
        <f t="shared" ref="D11583:D11614" si="2511">"813"</f>
        <v>813</v>
      </c>
      <c r="E11583" t="str">
        <f t="shared" si="2508"/>
        <v>89301171</v>
      </c>
      <c r="F11583" t="str">
        <f t="shared" si="2509"/>
        <v>8356014876</v>
      </c>
      <c r="G11583" s="1">
        <v>44874</v>
      </c>
      <c r="H11583" t="str">
        <f t="shared" ref="H11583:H11592" si="2512">"91413"</f>
        <v>91413</v>
      </c>
      <c r="I11583">
        <v>1</v>
      </c>
      <c r="J11583">
        <v>853</v>
      </c>
      <c r="K11583">
        <v>0</v>
      </c>
      <c r="L11583">
        <v>665.34</v>
      </c>
    </row>
    <row r="11584" spans="1:12" x14ac:dyDescent="0.25">
      <c r="A11584" t="str">
        <f t="shared" si="2496"/>
        <v>89301000</v>
      </c>
      <c r="B11584" t="str">
        <f t="shared" si="2497"/>
        <v>06539000</v>
      </c>
      <c r="C11584" t="str">
        <f t="shared" si="2510"/>
        <v>06539003</v>
      </c>
      <c r="D11584" t="str">
        <f t="shared" si="2511"/>
        <v>813</v>
      </c>
      <c r="E11584" t="str">
        <f t="shared" si="2508"/>
        <v>89301171</v>
      </c>
      <c r="F11584" t="str">
        <f t="shared" si="2509"/>
        <v>8356014876</v>
      </c>
      <c r="G11584" s="1">
        <v>44874</v>
      </c>
      <c r="H11584" t="str">
        <f t="shared" si="2512"/>
        <v>91413</v>
      </c>
      <c r="I11584">
        <v>1</v>
      </c>
      <c r="J11584">
        <v>853</v>
      </c>
      <c r="K11584">
        <v>0</v>
      </c>
      <c r="L11584">
        <v>665.34</v>
      </c>
    </row>
    <row r="11585" spans="1:12" x14ac:dyDescent="0.25">
      <c r="A11585" t="str">
        <f t="shared" si="2496"/>
        <v>89301000</v>
      </c>
      <c r="B11585" t="str">
        <f t="shared" si="2497"/>
        <v>06539000</v>
      </c>
      <c r="C11585" t="str">
        <f t="shared" si="2510"/>
        <v>06539003</v>
      </c>
      <c r="D11585" t="str">
        <f t="shared" si="2511"/>
        <v>813</v>
      </c>
      <c r="E11585" t="str">
        <f t="shared" si="2508"/>
        <v>89301171</v>
      </c>
      <c r="F11585" t="str">
        <f t="shared" si="2509"/>
        <v>8356014876</v>
      </c>
      <c r="G11585" s="1">
        <v>44888</v>
      </c>
      <c r="H11585" t="str">
        <f t="shared" si="2512"/>
        <v>91413</v>
      </c>
      <c r="I11585">
        <v>1</v>
      </c>
      <c r="J11585">
        <v>853</v>
      </c>
      <c r="K11585">
        <v>0</v>
      </c>
      <c r="L11585">
        <v>665.34</v>
      </c>
    </row>
    <row r="11586" spans="1:12" x14ac:dyDescent="0.25">
      <c r="A11586" t="str">
        <f t="shared" ref="A11586:A11649" si="2513">"89301000"</f>
        <v>89301000</v>
      </c>
      <c r="B11586" t="str">
        <f t="shared" si="2497"/>
        <v>06539000</v>
      </c>
      <c r="C11586" t="str">
        <f t="shared" si="2510"/>
        <v>06539003</v>
      </c>
      <c r="D11586" t="str">
        <f t="shared" si="2511"/>
        <v>813</v>
      </c>
      <c r="E11586" t="str">
        <f t="shared" si="2508"/>
        <v>89301171</v>
      </c>
      <c r="F11586" t="str">
        <f t="shared" si="2509"/>
        <v>8356014876</v>
      </c>
      <c r="G11586" s="1">
        <v>44888</v>
      </c>
      <c r="H11586" t="str">
        <f t="shared" si="2512"/>
        <v>91413</v>
      </c>
      <c r="I11586">
        <v>1</v>
      </c>
      <c r="J11586">
        <v>853</v>
      </c>
      <c r="K11586">
        <v>0</v>
      </c>
      <c r="L11586">
        <v>665.34</v>
      </c>
    </row>
    <row r="11587" spans="1:12" x14ac:dyDescent="0.25">
      <c r="A11587" t="str">
        <f t="shared" si="2513"/>
        <v>89301000</v>
      </c>
      <c r="B11587" t="str">
        <f t="shared" ref="B11587:B11650" si="2514">"06539000"</f>
        <v>06539000</v>
      </c>
      <c r="C11587" t="str">
        <f t="shared" si="2510"/>
        <v>06539003</v>
      </c>
      <c r="D11587" t="str">
        <f t="shared" si="2511"/>
        <v>813</v>
      </c>
      <c r="E11587" t="str">
        <f t="shared" si="2508"/>
        <v>89301171</v>
      </c>
      <c r="F11587" t="str">
        <f t="shared" si="2509"/>
        <v>8356014876</v>
      </c>
      <c r="G11587" s="1">
        <v>44888</v>
      </c>
      <c r="H11587" t="str">
        <f t="shared" si="2512"/>
        <v>91413</v>
      </c>
      <c r="I11587">
        <v>1</v>
      </c>
      <c r="J11587">
        <v>853</v>
      </c>
      <c r="K11587">
        <v>0</v>
      </c>
      <c r="L11587">
        <v>665.34</v>
      </c>
    </row>
    <row r="11588" spans="1:12" x14ac:dyDescent="0.25">
      <c r="A11588" t="str">
        <f t="shared" si="2513"/>
        <v>89301000</v>
      </c>
      <c r="B11588" t="str">
        <f t="shared" si="2514"/>
        <v>06539000</v>
      </c>
      <c r="C11588" t="str">
        <f t="shared" si="2510"/>
        <v>06539003</v>
      </c>
      <c r="D11588" t="str">
        <f t="shared" si="2511"/>
        <v>813</v>
      </c>
      <c r="E11588" t="str">
        <f t="shared" si="2508"/>
        <v>89301171</v>
      </c>
      <c r="F11588" t="str">
        <f t="shared" si="2509"/>
        <v>8356014876</v>
      </c>
      <c r="G11588" s="1">
        <v>44888</v>
      </c>
      <c r="H11588" t="str">
        <f t="shared" si="2512"/>
        <v>91413</v>
      </c>
      <c r="I11588">
        <v>1</v>
      </c>
      <c r="J11588">
        <v>853</v>
      </c>
      <c r="K11588">
        <v>0</v>
      </c>
      <c r="L11588">
        <v>665.34</v>
      </c>
    </row>
    <row r="11589" spans="1:12" x14ac:dyDescent="0.25">
      <c r="A11589" t="str">
        <f t="shared" si="2513"/>
        <v>89301000</v>
      </c>
      <c r="B11589" t="str">
        <f t="shared" si="2514"/>
        <v>06539000</v>
      </c>
      <c r="C11589" t="str">
        <f t="shared" si="2510"/>
        <v>06539003</v>
      </c>
      <c r="D11589" t="str">
        <f t="shared" si="2511"/>
        <v>813</v>
      </c>
      <c r="E11589" t="str">
        <f t="shared" si="2508"/>
        <v>89301171</v>
      </c>
      <c r="F11589" t="str">
        <f t="shared" si="2509"/>
        <v>8356014876</v>
      </c>
      <c r="G11589" s="1">
        <v>44888</v>
      </c>
      <c r="H11589" t="str">
        <f t="shared" si="2512"/>
        <v>91413</v>
      </c>
      <c r="I11589">
        <v>1</v>
      </c>
      <c r="J11589">
        <v>853</v>
      </c>
      <c r="K11589">
        <v>0</v>
      </c>
      <c r="L11589">
        <v>665.34</v>
      </c>
    </row>
    <row r="11590" spans="1:12" x14ac:dyDescent="0.25">
      <c r="A11590" t="str">
        <f t="shared" si="2513"/>
        <v>89301000</v>
      </c>
      <c r="B11590" t="str">
        <f t="shared" si="2514"/>
        <v>06539000</v>
      </c>
      <c r="C11590" t="str">
        <f t="shared" si="2510"/>
        <v>06539003</v>
      </c>
      <c r="D11590" t="str">
        <f t="shared" si="2511"/>
        <v>813</v>
      </c>
      <c r="E11590" t="str">
        <f t="shared" si="2508"/>
        <v>89301171</v>
      </c>
      <c r="F11590" t="str">
        <f t="shared" si="2509"/>
        <v>8356014876</v>
      </c>
      <c r="G11590" s="1">
        <v>44888</v>
      </c>
      <c r="H11590" t="str">
        <f t="shared" si="2512"/>
        <v>91413</v>
      </c>
      <c r="I11590">
        <v>1</v>
      </c>
      <c r="J11590">
        <v>853</v>
      </c>
      <c r="K11590">
        <v>0</v>
      </c>
      <c r="L11590">
        <v>665.34</v>
      </c>
    </row>
    <row r="11591" spans="1:12" x14ac:dyDescent="0.25">
      <c r="A11591" t="str">
        <f t="shared" si="2513"/>
        <v>89301000</v>
      </c>
      <c r="B11591" t="str">
        <f t="shared" si="2514"/>
        <v>06539000</v>
      </c>
      <c r="C11591" t="str">
        <f t="shared" si="2510"/>
        <v>06539003</v>
      </c>
      <c r="D11591" t="str">
        <f t="shared" si="2511"/>
        <v>813</v>
      </c>
      <c r="E11591" t="str">
        <f t="shared" si="2508"/>
        <v>89301171</v>
      </c>
      <c r="F11591" t="str">
        <f t="shared" si="2509"/>
        <v>8356014876</v>
      </c>
      <c r="G11591" s="1">
        <v>44888</v>
      </c>
      <c r="H11591" t="str">
        <f t="shared" si="2512"/>
        <v>91413</v>
      </c>
      <c r="I11591">
        <v>1</v>
      </c>
      <c r="J11591">
        <v>853</v>
      </c>
      <c r="K11591">
        <v>0</v>
      </c>
      <c r="L11591">
        <v>665.34</v>
      </c>
    </row>
    <row r="11592" spans="1:12" x14ac:dyDescent="0.25">
      <c r="A11592" t="str">
        <f t="shared" si="2513"/>
        <v>89301000</v>
      </c>
      <c r="B11592" t="str">
        <f t="shared" si="2514"/>
        <v>06539000</v>
      </c>
      <c r="C11592" t="str">
        <f t="shared" si="2510"/>
        <v>06539003</v>
      </c>
      <c r="D11592" t="str">
        <f t="shared" si="2511"/>
        <v>813</v>
      </c>
      <c r="E11592" t="str">
        <f t="shared" si="2508"/>
        <v>89301171</v>
      </c>
      <c r="F11592" t="str">
        <f t="shared" si="2509"/>
        <v>8356014876</v>
      </c>
      <c r="G11592" s="1">
        <v>44888</v>
      </c>
      <c r="H11592" t="str">
        <f t="shared" si="2512"/>
        <v>91413</v>
      </c>
      <c r="I11592">
        <v>1</v>
      </c>
      <c r="J11592">
        <v>853</v>
      </c>
      <c r="K11592">
        <v>0</v>
      </c>
      <c r="L11592">
        <v>665.34</v>
      </c>
    </row>
    <row r="11593" spans="1:12" x14ac:dyDescent="0.25">
      <c r="A11593" t="str">
        <f t="shared" si="2513"/>
        <v>89301000</v>
      </c>
      <c r="B11593" t="str">
        <f t="shared" si="2514"/>
        <v>06539000</v>
      </c>
      <c r="C11593" t="str">
        <f t="shared" si="2510"/>
        <v>06539003</v>
      </c>
      <c r="D11593" t="str">
        <f t="shared" si="2511"/>
        <v>813</v>
      </c>
      <c r="E11593" t="str">
        <f t="shared" si="2508"/>
        <v>89301171</v>
      </c>
      <c r="F11593" t="str">
        <f t="shared" si="2509"/>
        <v>8356014876</v>
      </c>
      <c r="G11593" s="1">
        <v>44872</v>
      </c>
      <c r="H11593" t="str">
        <f>"91129"</f>
        <v>91129</v>
      </c>
      <c r="I11593">
        <v>1</v>
      </c>
      <c r="J11593">
        <v>174</v>
      </c>
      <c r="K11593">
        <v>0</v>
      </c>
      <c r="L11593">
        <v>135.72</v>
      </c>
    </row>
    <row r="11594" spans="1:12" x14ac:dyDescent="0.25">
      <c r="A11594" t="str">
        <f t="shared" si="2513"/>
        <v>89301000</v>
      </c>
      <c r="B11594" t="str">
        <f t="shared" si="2514"/>
        <v>06539000</v>
      </c>
      <c r="C11594" t="str">
        <f t="shared" si="2510"/>
        <v>06539003</v>
      </c>
      <c r="D11594" t="str">
        <f t="shared" si="2511"/>
        <v>813</v>
      </c>
      <c r="E11594" t="str">
        <f t="shared" si="2508"/>
        <v>89301171</v>
      </c>
      <c r="F11594" t="str">
        <f t="shared" si="2509"/>
        <v>8356014876</v>
      </c>
      <c r="G11594" s="1">
        <v>44872</v>
      </c>
      <c r="H11594" t="str">
        <f>"91131"</f>
        <v>91131</v>
      </c>
      <c r="I11594">
        <v>1</v>
      </c>
      <c r="J11594">
        <v>171</v>
      </c>
      <c r="K11594">
        <v>0</v>
      </c>
      <c r="L11594">
        <v>133.38</v>
      </c>
    </row>
    <row r="11595" spans="1:12" x14ac:dyDescent="0.25">
      <c r="A11595" t="str">
        <f t="shared" si="2513"/>
        <v>89301000</v>
      </c>
      <c r="B11595" t="str">
        <f t="shared" si="2514"/>
        <v>06539000</v>
      </c>
      <c r="C11595" t="str">
        <f t="shared" si="2510"/>
        <v>06539003</v>
      </c>
      <c r="D11595" t="str">
        <f t="shared" si="2511"/>
        <v>813</v>
      </c>
      <c r="E11595" t="str">
        <f t="shared" si="2508"/>
        <v>89301171</v>
      </c>
      <c r="F11595" t="str">
        <f t="shared" si="2509"/>
        <v>8356014876</v>
      </c>
      <c r="G11595" s="1">
        <v>44872</v>
      </c>
      <c r="H11595" t="str">
        <f>"91133"</f>
        <v>91133</v>
      </c>
      <c r="I11595">
        <v>1</v>
      </c>
      <c r="J11595">
        <v>176</v>
      </c>
      <c r="K11595">
        <v>0</v>
      </c>
      <c r="L11595">
        <v>137.28</v>
      </c>
    </row>
    <row r="11596" spans="1:12" x14ac:dyDescent="0.25">
      <c r="A11596" t="str">
        <f t="shared" si="2513"/>
        <v>89301000</v>
      </c>
      <c r="B11596" t="str">
        <f t="shared" si="2514"/>
        <v>06539000</v>
      </c>
      <c r="C11596" t="str">
        <f t="shared" si="2510"/>
        <v>06539003</v>
      </c>
      <c r="D11596" t="str">
        <f t="shared" si="2511"/>
        <v>813</v>
      </c>
      <c r="E11596" t="str">
        <f t="shared" si="2508"/>
        <v>89301171</v>
      </c>
      <c r="F11596" t="str">
        <f t="shared" si="2509"/>
        <v>8356014876</v>
      </c>
      <c r="G11596" s="1">
        <v>44872</v>
      </c>
      <c r="H11596" t="str">
        <f>"91171"</f>
        <v>91171</v>
      </c>
      <c r="I11596">
        <v>1</v>
      </c>
      <c r="J11596">
        <v>360</v>
      </c>
      <c r="K11596">
        <v>0</v>
      </c>
      <c r="L11596">
        <v>280.8</v>
      </c>
    </row>
    <row r="11597" spans="1:12" x14ac:dyDescent="0.25">
      <c r="A11597" t="str">
        <f t="shared" si="2513"/>
        <v>89301000</v>
      </c>
      <c r="B11597" t="str">
        <f t="shared" si="2514"/>
        <v>06539000</v>
      </c>
      <c r="C11597" t="str">
        <f t="shared" si="2510"/>
        <v>06539003</v>
      </c>
      <c r="D11597" t="str">
        <f t="shared" si="2511"/>
        <v>813</v>
      </c>
      <c r="E11597" t="str">
        <f t="shared" si="2508"/>
        <v>89301171</v>
      </c>
      <c r="F11597" t="str">
        <f t="shared" si="2509"/>
        <v>8356014876</v>
      </c>
      <c r="G11597" s="1">
        <v>44869</v>
      </c>
      <c r="H11597" t="str">
        <f>"91173"</f>
        <v>91173</v>
      </c>
      <c r="I11597">
        <v>1</v>
      </c>
      <c r="J11597">
        <v>335</v>
      </c>
      <c r="K11597">
        <v>0</v>
      </c>
      <c r="L11597">
        <v>261.3</v>
      </c>
    </row>
    <row r="11598" spans="1:12" x14ac:dyDescent="0.25">
      <c r="A11598" t="str">
        <f t="shared" si="2513"/>
        <v>89301000</v>
      </c>
      <c r="B11598" t="str">
        <f t="shared" si="2514"/>
        <v>06539000</v>
      </c>
      <c r="C11598" t="str">
        <f t="shared" si="2510"/>
        <v>06539003</v>
      </c>
      <c r="D11598" t="str">
        <f t="shared" si="2511"/>
        <v>813</v>
      </c>
      <c r="E11598" t="str">
        <f t="shared" si="2508"/>
        <v>89301171</v>
      </c>
      <c r="F11598" t="str">
        <f t="shared" si="2509"/>
        <v>8356014876</v>
      </c>
      <c r="G11598" s="1">
        <v>44872</v>
      </c>
      <c r="H11598" t="str">
        <f>"91175"</f>
        <v>91175</v>
      </c>
      <c r="I11598">
        <v>1</v>
      </c>
      <c r="J11598">
        <v>360</v>
      </c>
      <c r="K11598">
        <v>0</v>
      </c>
      <c r="L11598">
        <v>280.8</v>
      </c>
    </row>
    <row r="11599" spans="1:12" x14ac:dyDescent="0.25">
      <c r="A11599" t="str">
        <f t="shared" si="2513"/>
        <v>89301000</v>
      </c>
      <c r="B11599" t="str">
        <f t="shared" si="2514"/>
        <v>06539000</v>
      </c>
      <c r="C11599" t="str">
        <f t="shared" si="2510"/>
        <v>06539003</v>
      </c>
      <c r="D11599" t="str">
        <f t="shared" si="2511"/>
        <v>813</v>
      </c>
      <c r="E11599" t="str">
        <f t="shared" si="2508"/>
        <v>89301171</v>
      </c>
      <c r="F11599" t="str">
        <f t="shared" si="2509"/>
        <v>8356014876</v>
      </c>
      <c r="G11599" s="1">
        <v>44870</v>
      </c>
      <c r="H11599" t="str">
        <f>"91167"</f>
        <v>91167</v>
      </c>
      <c r="I11599">
        <v>1</v>
      </c>
      <c r="J11599">
        <v>425</v>
      </c>
      <c r="K11599">
        <v>0</v>
      </c>
      <c r="L11599">
        <v>331.5</v>
      </c>
    </row>
    <row r="11600" spans="1:12" x14ac:dyDescent="0.25">
      <c r="A11600" t="str">
        <f t="shared" si="2513"/>
        <v>89301000</v>
      </c>
      <c r="B11600" t="str">
        <f t="shared" si="2514"/>
        <v>06539000</v>
      </c>
      <c r="C11600" t="str">
        <f t="shared" si="2510"/>
        <v>06539003</v>
      </c>
      <c r="D11600" t="str">
        <f t="shared" si="2511"/>
        <v>813</v>
      </c>
      <c r="E11600" t="str">
        <f t="shared" si="2508"/>
        <v>89301171</v>
      </c>
      <c r="F11600" t="str">
        <f t="shared" si="2509"/>
        <v>8356014876</v>
      </c>
      <c r="G11600" s="1">
        <v>44870</v>
      </c>
      <c r="H11600" t="str">
        <f>"91169"</f>
        <v>91169</v>
      </c>
      <c r="I11600">
        <v>1</v>
      </c>
      <c r="J11600">
        <v>425</v>
      </c>
      <c r="K11600">
        <v>0</v>
      </c>
      <c r="L11600">
        <v>331.5</v>
      </c>
    </row>
    <row r="11601" spans="1:12" x14ac:dyDescent="0.25">
      <c r="A11601" t="str">
        <f t="shared" si="2513"/>
        <v>89301000</v>
      </c>
      <c r="B11601" t="str">
        <f t="shared" si="2514"/>
        <v>06539000</v>
      </c>
      <c r="C11601" t="str">
        <f t="shared" si="2510"/>
        <v>06539003</v>
      </c>
      <c r="D11601" t="str">
        <f t="shared" si="2511"/>
        <v>813</v>
      </c>
      <c r="E11601" t="str">
        <f t="shared" si="2508"/>
        <v>89301171</v>
      </c>
      <c r="F11601" t="str">
        <f t="shared" si="2509"/>
        <v>8356014876</v>
      </c>
      <c r="G11601" s="1">
        <v>44869</v>
      </c>
      <c r="H11601" t="str">
        <f>"91167"</f>
        <v>91167</v>
      </c>
      <c r="I11601">
        <v>1</v>
      </c>
      <c r="J11601">
        <v>425</v>
      </c>
      <c r="K11601">
        <v>0</v>
      </c>
      <c r="L11601">
        <v>331.5</v>
      </c>
    </row>
    <row r="11602" spans="1:12" x14ac:dyDescent="0.25">
      <c r="A11602" t="str">
        <f t="shared" si="2513"/>
        <v>89301000</v>
      </c>
      <c r="B11602" t="str">
        <f t="shared" si="2514"/>
        <v>06539000</v>
      </c>
      <c r="C11602" t="str">
        <f t="shared" si="2510"/>
        <v>06539003</v>
      </c>
      <c r="D11602" t="str">
        <f t="shared" si="2511"/>
        <v>813</v>
      </c>
      <c r="E11602" t="str">
        <f t="shared" si="2508"/>
        <v>89301171</v>
      </c>
      <c r="F11602" t="str">
        <f t="shared" si="2509"/>
        <v>8356014876</v>
      </c>
      <c r="G11602" s="1">
        <v>44869</v>
      </c>
      <c r="H11602" t="str">
        <f>"91169"</f>
        <v>91169</v>
      </c>
      <c r="I11602">
        <v>1</v>
      </c>
      <c r="J11602">
        <v>425</v>
      </c>
      <c r="K11602">
        <v>0</v>
      </c>
      <c r="L11602">
        <v>331.5</v>
      </c>
    </row>
    <row r="11603" spans="1:12" x14ac:dyDescent="0.25">
      <c r="A11603" t="str">
        <f t="shared" si="2513"/>
        <v>89301000</v>
      </c>
      <c r="B11603" t="str">
        <f t="shared" si="2514"/>
        <v>06539000</v>
      </c>
      <c r="C11603" t="str">
        <f t="shared" si="2510"/>
        <v>06539003</v>
      </c>
      <c r="D11603" t="str">
        <f t="shared" si="2511"/>
        <v>813</v>
      </c>
      <c r="E11603" t="str">
        <f t="shared" si="2508"/>
        <v>89301171</v>
      </c>
      <c r="F11603" t="str">
        <f t="shared" si="2509"/>
        <v>8356014876</v>
      </c>
      <c r="G11603" s="1">
        <v>44888</v>
      </c>
      <c r="H11603" t="str">
        <f>"91475"</f>
        <v>91475</v>
      </c>
      <c r="I11603">
        <v>1</v>
      </c>
      <c r="J11603">
        <v>206</v>
      </c>
      <c r="K11603">
        <v>0</v>
      </c>
      <c r="L11603">
        <v>160.68</v>
      </c>
    </row>
    <row r="11604" spans="1:12" x14ac:dyDescent="0.25">
      <c r="A11604" t="str">
        <f t="shared" si="2513"/>
        <v>89301000</v>
      </c>
      <c r="B11604" t="str">
        <f t="shared" si="2514"/>
        <v>06539000</v>
      </c>
      <c r="C11604" t="str">
        <f t="shared" si="2510"/>
        <v>06539003</v>
      </c>
      <c r="D11604" t="str">
        <f t="shared" si="2511"/>
        <v>813</v>
      </c>
      <c r="E11604" t="str">
        <f t="shared" si="2508"/>
        <v>89301171</v>
      </c>
      <c r="F11604" t="str">
        <f t="shared" ref="F11604:F11625" si="2515">"7062185339"</f>
        <v>7062185339</v>
      </c>
      <c r="G11604" s="1">
        <v>44874</v>
      </c>
      <c r="H11604" t="str">
        <f t="shared" ref="H11604:H11613" si="2516">"91413"</f>
        <v>91413</v>
      </c>
      <c r="I11604">
        <v>1</v>
      </c>
      <c r="J11604">
        <v>853</v>
      </c>
      <c r="K11604">
        <v>0</v>
      </c>
      <c r="L11604">
        <v>665.34</v>
      </c>
    </row>
    <row r="11605" spans="1:12" x14ac:dyDescent="0.25">
      <c r="A11605" t="str">
        <f t="shared" si="2513"/>
        <v>89301000</v>
      </c>
      <c r="B11605" t="str">
        <f t="shared" si="2514"/>
        <v>06539000</v>
      </c>
      <c r="C11605" t="str">
        <f t="shared" si="2510"/>
        <v>06539003</v>
      </c>
      <c r="D11605" t="str">
        <f t="shared" si="2511"/>
        <v>813</v>
      </c>
      <c r="E11605" t="str">
        <f t="shared" si="2508"/>
        <v>89301171</v>
      </c>
      <c r="F11605" t="str">
        <f t="shared" si="2515"/>
        <v>7062185339</v>
      </c>
      <c r="G11605" s="1">
        <v>44874</v>
      </c>
      <c r="H11605" t="str">
        <f t="shared" si="2516"/>
        <v>91413</v>
      </c>
      <c r="I11605">
        <v>1</v>
      </c>
      <c r="J11605">
        <v>853</v>
      </c>
      <c r="K11605">
        <v>0</v>
      </c>
      <c r="L11605">
        <v>665.34</v>
      </c>
    </row>
    <row r="11606" spans="1:12" x14ac:dyDescent="0.25">
      <c r="A11606" t="str">
        <f t="shared" si="2513"/>
        <v>89301000</v>
      </c>
      <c r="B11606" t="str">
        <f t="shared" si="2514"/>
        <v>06539000</v>
      </c>
      <c r="C11606" t="str">
        <f t="shared" si="2510"/>
        <v>06539003</v>
      </c>
      <c r="D11606" t="str">
        <f t="shared" si="2511"/>
        <v>813</v>
      </c>
      <c r="E11606" t="str">
        <f t="shared" si="2508"/>
        <v>89301171</v>
      </c>
      <c r="F11606" t="str">
        <f t="shared" si="2515"/>
        <v>7062185339</v>
      </c>
      <c r="G11606" s="1">
        <v>44888</v>
      </c>
      <c r="H11606" t="str">
        <f t="shared" si="2516"/>
        <v>91413</v>
      </c>
      <c r="I11606">
        <v>1</v>
      </c>
      <c r="J11606">
        <v>853</v>
      </c>
      <c r="K11606">
        <v>0</v>
      </c>
      <c r="L11606">
        <v>665.34</v>
      </c>
    </row>
    <row r="11607" spans="1:12" x14ac:dyDescent="0.25">
      <c r="A11607" t="str">
        <f t="shared" si="2513"/>
        <v>89301000</v>
      </c>
      <c r="B11607" t="str">
        <f t="shared" si="2514"/>
        <v>06539000</v>
      </c>
      <c r="C11607" t="str">
        <f t="shared" si="2510"/>
        <v>06539003</v>
      </c>
      <c r="D11607" t="str">
        <f t="shared" si="2511"/>
        <v>813</v>
      </c>
      <c r="E11607" t="str">
        <f t="shared" si="2508"/>
        <v>89301171</v>
      </c>
      <c r="F11607" t="str">
        <f t="shared" si="2515"/>
        <v>7062185339</v>
      </c>
      <c r="G11607" s="1">
        <v>44888</v>
      </c>
      <c r="H11607" t="str">
        <f t="shared" si="2516"/>
        <v>91413</v>
      </c>
      <c r="I11607">
        <v>1</v>
      </c>
      <c r="J11607">
        <v>853</v>
      </c>
      <c r="K11607">
        <v>0</v>
      </c>
      <c r="L11607">
        <v>665.34</v>
      </c>
    </row>
    <row r="11608" spans="1:12" x14ac:dyDescent="0.25">
      <c r="A11608" t="str">
        <f t="shared" si="2513"/>
        <v>89301000</v>
      </c>
      <c r="B11608" t="str">
        <f t="shared" si="2514"/>
        <v>06539000</v>
      </c>
      <c r="C11608" t="str">
        <f t="shared" si="2510"/>
        <v>06539003</v>
      </c>
      <c r="D11608" t="str">
        <f t="shared" si="2511"/>
        <v>813</v>
      </c>
      <c r="E11608" t="str">
        <f t="shared" si="2508"/>
        <v>89301171</v>
      </c>
      <c r="F11608" t="str">
        <f t="shared" si="2515"/>
        <v>7062185339</v>
      </c>
      <c r="G11608" s="1">
        <v>44888</v>
      </c>
      <c r="H11608" t="str">
        <f t="shared" si="2516"/>
        <v>91413</v>
      </c>
      <c r="I11608">
        <v>1</v>
      </c>
      <c r="J11608">
        <v>853</v>
      </c>
      <c r="K11608">
        <v>0</v>
      </c>
      <c r="L11608">
        <v>665.34</v>
      </c>
    </row>
    <row r="11609" spans="1:12" x14ac:dyDescent="0.25">
      <c r="A11609" t="str">
        <f t="shared" si="2513"/>
        <v>89301000</v>
      </c>
      <c r="B11609" t="str">
        <f t="shared" si="2514"/>
        <v>06539000</v>
      </c>
      <c r="C11609" t="str">
        <f t="shared" si="2510"/>
        <v>06539003</v>
      </c>
      <c r="D11609" t="str">
        <f t="shared" si="2511"/>
        <v>813</v>
      </c>
      <c r="E11609" t="str">
        <f t="shared" si="2508"/>
        <v>89301171</v>
      </c>
      <c r="F11609" t="str">
        <f t="shared" si="2515"/>
        <v>7062185339</v>
      </c>
      <c r="G11609" s="1">
        <v>44888</v>
      </c>
      <c r="H11609" t="str">
        <f t="shared" si="2516"/>
        <v>91413</v>
      </c>
      <c r="I11609">
        <v>1</v>
      </c>
      <c r="J11609">
        <v>853</v>
      </c>
      <c r="K11609">
        <v>0</v>
      </c>
      <c r="L11609">
        <v>665.34</v>
      </c>
    </row>
    <row r="11610" spans="1:12" x14ac:dyDescent="0.25">
      <c r="A11610" t="str">
        <f t="shared" si="2513"/>
        <v>89301000</v>
      </c>
      <c r="B11610" t="str">
        <f t="shared" si="2514"/>
        <v>06539000</v>
      </c>
      <c r="C11610" t="str">
        <f t="shared" si="2510"/>
        <v>06539003</v>
      </c>
      <c r="D11610" t="str">
        <f t="shared" si="2511"/>
        <v>813</v>
      </c>
      <c r="E11610" t="str">
        <f t="shared" si="2508"/>
        <v>89301171</v>
      </c>
      <c r="F11610" t="str">
        <f t="shared" si="2515"/>
        <v>7062185339</v>
      </c>
      <c r="G11610" s="1">
        <v>44888</v>
      </c>
      <c r="H11610" t="str">
        <f t="shared" si="2516"/>
        <v>91413</v>
      </c>
      <c r="I11610">
        <v>1</v>
      </c>
      <c r="J11610">
        <v>853</v>
      </c>
      <c r="K11610">
        <v>0</v>
      </c>
      <c r="L11610">
        <v>665.34</v>
      </c>
    </row>
    <row r="11611" spans="1:12" x14ac:dyDescent="0.25">
      <c r="A11611" t="str">
        <f t="shared" si="2513"/>
        <v>89301000</v>
      </c>
      <c r="B11611" t="str">
        <f t="shared" si="2514"/>
        <v>06539000</v>
      </c>
      <c r="C11611" t="str">
        <f t="shared" si="2510"/>
        <v>06539003</v>
      </c>
      <c r="D11611" t="str">
        <f t="shared" si="2511"/>
        <v>813</v>
      </c>
      <c r="E11611" t="str">
        <f t="shared" si="2508"/>
        <v>89301171</v>
      </c>
      <c r="F11611" t="str">
        <f t="shared" si="2515"/>
        <v>7062185339</v>
      </c>
      <c r="G11611" s="1">
        <v>44888</v>
      </c>
      <c r="H11611" t="str">
        <f t="shared" si="2516"/>
        <v>91413</v>
      </c>
      <c r="I11611">
        <v>1</v>
      </c>
      <c r="J11611">
        <v>853</v>
      </c>
      <c r="K11611">
        <v>0</v>
      </c>
      <c r="L11611">
        <v>665.34</v>
      </c>
    </row>
    <row r="11612" spans="1:12" x14ac:dyDescent="0.25">
      <c r="A11612" t="str">
        <f t="shared" si="2513"/>
        <v>89301000</v>
      </c>
      <c r="B11612" t="str">
        <f t="shared" si="2514"/>
        <v>06539000</v>
      </c>
      <c r="C11612" t="str">
        <f t="shared" si="2510"/>
        <v>06539003</v>
      </c>
      <c r="D11612" t="str">
        <f t="shared" si="2511"/>
        <v>813</v>
      </c>
      <c r="E11612" t="str">
        <f t="shared" si="2508"/>
        <v>89301171</v>
      </c>
      <c r="F11612" t="str">
        <f t="shared" si="2515"/>
        <v>7062185339</v>
      </c>
      <c r="G11612" s="1">
        <v>44888</v>
      </c>
      <c r="H11612" t="str">
        <f t="shared" si="2516"/>
        <v>91413</v>
      </c>
      <c r="I11612">
        <v>1</v>
      </c>
      <c r="J11612">
        <v>853</v>
      </c>
      <c r="K11612">
        <v>0</v>
      </c>
      <c r="L11612">
        <v>665.34</v>
      </c>
    </row>
    <row r="11613" spans="1:12" x14ac:dyDescent="0.25">
      <c r="A11613" t="str">
        <f t="shared" si="2513"/>
        <v>89301000</v>
      </c>
      <c r="B11613" t="str">
        <f t="shared" si="2514"/>
        <v>06539000</v>
      </c>
      <c r="C11613" t="str">
        <f t="shared" si="2510"/>
        <v>06539003</v>
      </c>
      <c r="D11613" t="str">
        <f t="shared" si="2511"/>
        <v>813</v>
      </c>
      <c r="E11613" t="str">
        <f t="shared" ref="E11613:E11644" si="2517">"89301171"</f>
        <v>89301171</v>
      </c>
      <c r="F11613" t="str">
        <f t="shared" si="2515"/>
        <v>7062185339</v>
      </c>
      <c r="G11613" s="1">
        <v>44888</v>
      </c>
      <c r="H11613" t="str">
        <f t="shared" si="2516"/>
        <v>91413</v>
      </c>
      <c r="I11613">
        <v>1</v>
      </c>
      <c r="J11613">
        <v>853</v>
      </c>
      <c r="K11613">
        <v>0</v>
      </c>
      <c r="L11613">
        <v>665.34</v>
      </c>
    </row>
    <row r="11614" spans="1:12" x14ac:dyDescent="0.25">
      <c r="A11614" t="str">
        <f t="shared" si="2513"/>
        <v>89301000</v>
      </c>
      <c r="B11614" t="str">
        <f t="shared" si="2514"/>
        <v>06539000</v>
      </c>
      <c r="C11614" t="str">
        <f t="shared" si="2510"/>
        <v>06539003</v>
      </c>
      <c r="D11614" t="str">
        <f t="shared" si="2511"/>
        <v>813</v>
      </c>
      <c r="E11614" t="str">
        <f t="shared" si="2517"/>
        <v>89301171</v>
      </c>
      <c r="F11614" t="str">
        <f t="shared" si="2515"/>
        <v>7062185339</v>
      </c>
      <c r="G11614" s="1">
        <v>44871</v>
      </c>
      <c r="H11614" t="str">
        <f>"91197"</f>
        <v>91197</v>
      </c>
      <c r="I11614">
        <v>1</v>
      </c>
      <c r="J11614">
        <v>1046</v>
      </c>
      <c r="K11614">
        <v>0</v>
      </c>
      <c r="L11614">
        <v>815.88</v>
      </c>
    </row>
    <row r="11615" spans="1:12" x14ac:dyDescent="0.25">
      <c r="A11615" t="str">
        <f t="shared" si="2513"/>
        <v>89301000</v>
      </c>
      <c r="B11615" t="str">
        <f t="shared" si="2514"/>
        <v>06539000</v>
      </c>
      <c r="C11615" t="str">
        <f t="shared" ref="C11615:C11633" si="2518">"06539003"</f>
        <v>06539003</v>
      </c>
      <c r="D11615" t="str">
        <f t="shared" ref="D11615:D11633" si="2519">"813"</f>
        <v>813</v>
      </c>
      <c r="E11615" t="str">
        <f t="shared" si="2517"/>
        <v>89301171</v>
      </c>
      <c r="F11615" t="str">
        <f t="shared" si="2515"/>
        <v>7062185339</v>
      </c>
      <c r="G11615" s="1">
        <v>44871</v>
      </c>
      <c r="H11615" t="str">
        <f>"91197"</f>
        <v>91197</v>
      </c>
      <c r="I11615">
        <v>1</v>
      </c>
      <c r="J11615">
        <v>1046</v>
      </c>
      <c r="K11615">
        <v>0</v>
      </c>
      <c r="L11615">
        <v>815.88</v>
      </c>
    </row>
    <row r="11616" spans="1:12" x14ac:dyDescent="0.25">
      <c r="A11616" t="str">
        <f t="shared" si="2513"/>
        <v>89301000</v>
      </c>
      <c r="B11616" t="str">
        <f t="shared" si="2514"/>
        <v>06539000</v>
      </c>
      <c r="C11616" t="str">
        <f t="shared" si="2518"/>
        <v>06539003</v>
      </c>
      <c r="D11616" t="str">
        <f t="shared" si="2519"/>
        <v>813</v>
      </c>
      <c r="E11616" t="str">
        <f t="shared" si="2517"/>
        <v>89301171</v>
      </c>
      <c r="F11616" t="str">
        <f t="shared" si="2515"/>
        <v>7062185339</v>
      </c>
      <c r="G11616" s="1">
        <v>44870</v>
      </c>
      <c r="H11616" t="str">
        <f>"91197"</f>
        <v>91197</v>
      </c>
      <c r="I11616">
        <v>1</v>
      </c>
      <c r="J11616">
        <v>1046</v>
      </c>
      <c r="K11616">
        <v>0</v>
      </c>
      <c r="L11616">
        <v>815.88</v>
      </c>
    </row>
    <row r="11617" spans="1:12" x14ac:dyDescent="0.25">
      <c r="A11617" t="str">
        <f t="shared" si="2513"/>
        <v>89301000</v>
      </c>
      <c r="B11617" t="str">
        <f t="shared" si="2514"/>
        <v>06539000</v>
      </c>
      <c r="C11617" t="str">
        <f t="shared" si="2518"/>
        <v>06539003</v>
      </c>
      <c r="D11617" t="str">
        <f t="shared" si="2519"/>
        <v>813</v>
      </c>
      <c r="E11617" t="str">
        <f t="shared" si="2517"/>
        <v>89301171</v>
      </c>
      <c r="F11617" t="str">
        <f t="shared" si="2515"/>
        <v>7062185339</v>
      </c>
      <c r="G11617" s="1">
        <v>44870</v>
      </c>
      <c r="H11617" t="str">
        <f>"91197"</f>
        <v>91197</v>
      </c>
      <c r="I11617">
        <v>1</v>
      </c>
      <c r="J11617">
        <v>1046</v>
      </c>
      <c r="K11617">
        <v>0</v>
      </c>
      <c r="L11617">
        <v>815.88</v>
      </c>
    </row>
    <row r="11618" spans="1:12" x14ac:dyDescent="0.25">
      <c r="A11618" t="str">
        <f t="shared" si="2513"/>
        <v>89301000</v>
      </c>
      <c r="B11618" t="str">
        <f t="shared" si="2514"/>
        <v>06539000</v>
      </c>
      <c r="C11618" t="str">
        <f t="shared" si="2518"/>
        <v>06539003</v>
      </c>
      <c r="D11618" t="str">
        <f t="shared" si="2519"/>
        <v>813</v>
      </c>
      <c r="E11618" t="str">
        <f t="shared" si="2517"/>
        <v>89301171</v>
      </c>
      <c r="F11618" t="str">
        <f t="shared" si="2515"/>
        <v>7062185339</v>
      </c>
      <c r="G11618" s="1">
        <v>44872</v>
      </c>
      <c r="H11618" t="str">
        <f>"91129"</f>
        <v>91129</v>
      </c>
      <c r="I11618">
        <v>1</v>
      </c>
      <c r="J11618">
        <v>174</v>
      </c>
      <c r="K11618">
        <v>0</v>
      </c>
      <c r="L11618">
        <v>135.72</v>
      </c>
    </row>
    <row r="11619" spans="1:12" x14ac:dyDescent="0.25">
      <c r="A11619" t="str">
        <f t="shared" si="2513"/>
        <v>89301000</v>
      </c>
      <c r="B11619" t="str">
        <f t="shared" si="2514"/>
        <v>06539000</v>
      </c>
      <c r="C11619" t="str">
        <f t="shared" si="2518"/>
        <v>06539003</v>
      </c>
      <c r="D11619" t="str">
        <f t="shared" si="2519"/>
        <v>813</v>
      </c>
      <c r="E11619" t="str">
        <f t="shared" si="2517"/>
        <v>89301171</v>
      </c>
      <c r="F11619" t="str">
        <f t="shared" si="2515"/>
        <v>7062185339</v>
      </c>
      <c r="G11619" s="1">
        <v>44872</v>
      </c>
      <c r="H11619" t="str">
        <f>"91131"</f>
        <v>91131</v>
      </c>
      <c r="I11619">
        <v>1</v>
      </c>
      <c r="J11619">
        <v>171</v>
      </c>
      <c r="K11619">
        <v>0</v>
      </c>
      <c r="L11619">
        <v>133.38</v>
      </c>
    </row>
    <row r="11620" spans="1:12" x14ac:dyDescent="0.25">
      <c r="A11620" t="str">
        <f t="shared" si="2513"/>
        <v>89301000</v>
      </c>
      <c r="B11620" t="str">
        <f t="shared" si="2514"/>
        <v>06539000</v>
      </c>
      <c r="C11620" t="str">
        <f t="shared" si="2518"/>
        <v>06539003</v>
      </c>
      <c r="D11620" t="str">
        <f t="shared" si="2519"/>
        <v>813</v>
      </c>
      <c r="E11620" t="str">
        <f t="shared" si="2517"/>
        <v>89301171</v>
      </c>
      <c r="F11620" t="str">
        <f t="shared" si="2515"/>
        <v>7062185339</v>
      </c>
      <c r="G11620" s="1">
        <v>44872</v>
      </c>
      <c r="H11620" t="str">
        <f>"91133"</f>
        <v>91133</v>
      </c>
      <c r="I11620">
        <v>1</v>
      </c>
      <c r="J11620">
        <v>176</v>
      </c>
      <c r="K11620">
        <v>0</v>
      </c>
      <c r="L11620">
        <v>137.28</v>
      </c>
    </row>
    <row r="11621" spans="1:12" x14ac:dyDescent="0.25">
      <c r="A11621" t="str">
        <f t="shared" si="2513"/>
        <v>89301000</v>
      </c>
      <c r="B11621" t="str">
        <f t="shared" si="2514"/>
        <v>06539000</v>
      </c>
      <c r="C11621" t="str">
        <f t="shared" si="2518"/>
        <v>06539003</v>
      </c>
      <c r="D11621" t="str">
        <f t="shared" si="2519"/>
        <v>813</v>
      </c>
      <c r="E11621" t="str">
        <f t="shared" si="2517"/>
        <v>89301171</v>
      </c>
      <c r="F11621" t="str">
        <f t="shared" si="2515"/>
        <v>7062185339</v>
      </c>
      <c r="G11621" s="1">
        <v>44872</v>
      </c>
      <c r="H11621" t="str">
        <f>"91171"</f>
        <v>91171</v>
      </c>
      <c r="I11621">
        <v>1</v>
      </c>
      <c r="J11621">
        <v>360</v>
      </c>
      <c r="K11621">
        <v>0</v>
      </c>
      <c r="L11621">
        <v>280.8</v>
      </c>
    </row>
    <row r="11622" spans="1:12" x14ac:dyDescent="0.25">
      <c r="A11622" t="str">
        <f t="shared" si="2513"/>
        <v>89301000</v>
      </c>
      <c r="B11622" t="str">
        <f t="shared" si="2514"/>
        <v>06539000</v>
      </c>
      <c r="C11622" t="str">
        <f t="shared" si="2518"/>
        <v>06539003</v>
      </c>
      <c r="D11622" t="str">
        <f t="shared" si="2519"/>
        <v>813</v>
      </c>
      <c r="E11622" t="str">
        <f t="shared" si="2517"/>
        <v>89301171</v>
      </c>
      <c r="F11622" t="str">
        <f t="shared" si="2515"/>
        <v>7062185339</v>
      </c>
      <c r="G11622" s="1">
        <v>44872</v>
      </c>
      <c r="H11622" t="str">
        <f>"91175"</f>
        <v>91175</v>
      </c>
      <c r="I11622">
        <v>1</v>
      </c>
      <c r="J11622">
        <v>360</v>
      </c>
      <c r="K11622">
        <v>0</v>
      </c>
      <c r="L11622">
        <v>280.8</v>
      </c>
    </row>
    <row r="11623" spans="1:12" x14ac:dyDescent="0.25">
      <c r="A11623" t="str">
        <f t="shared" si="2513"/>
        <v>89301000</v>
      </c>
      <c r="B11623" t="str">
        <f t="shared" si="2514"/>
        <v>06539000</v>
      </c>
      <c r="C11623" t="str">
        <f t="shared" si="2518"/>
        <v>06539003</v>
      </c>
      <c r="D11623" t="str">
        <f t="shared" si="2519"/>
        <v>813</v>
      </c>
      <c r="E11623" t="str">
        <f t="shared" si="2517"/>
        <v>89301171</v>
      </c>
      <c r="F11623" t="str">
        <f t="shared" si="2515"/>
        <v>7062185339</v>
      </c>
      <c r="G11623" s="1">
        <v>44870</v>
      </c>
      <c r="H11623" t="str">
        <f>"91167"</f>
        <v>91167</v>
      </c>
      <c r="I11623">
        <v>1</v>
      </c>
      <c r="J11623">
        <v>425</v>
      </c>
      <c r="K11623">
        <v>0</v>
      </c>
      <c r="L11623">
        <v>331.5</v>
      </c>
    </row>
    <row r="11624" spans="1:12" x14ac:dyDescent="0.25">
      <c r="A11624" t="str">
        <f t="shared" si="2513"/>
        <v>89301000</v>
      </c>
      <c r="B11624" t="str">
        <f t="shared" si="2514"/>
        <v>06539000</v>
      </c>
      <c r="C11624" t="str">
        <f t="shared" si="2518"/>
        <v>06539003</v>
      </c>
      <c r="D11624" t="str">
        <f t="shared" si="2519"/>
        <v>813</v>
      </c>
      <c r="E11624" t="str">
        <f t="shared" si="2517"/>
        <v>89301171</v>
      </c>
      <c r="F11624" t="str">
        <f t="shared" si="2515"/>
        <v>7062185339</v>
      </c>
      <c r="G11624" s="1">
        <v>44870</v>
      </c>
      <c r="H11624" t="str">
        <f>"91169"</f>
        <v>91169</v>
      </c>
      <c r="I11624">
        <v>1</v>
      </c>
      <c r="J11624">
        <v>425</v>
      </c>
      <c r="K11624">
        <v>0</v>
      </c>
      <c r="L11624">
        <v>331.5</v>
      </c>
    </row>
    <row r="11625" spans="1:12" x14ac:dyDescent="0.25">
      <c r="A11625" t="str">
        <f t="shared" si="2513"/>
        <v>89301000</v>
      </c>
      <c r="B11625" t="str">
        <f t="shared" si="2514"/>
        <v>06539000</v>
      </c>
      <c r="C11625" t="str">
        <f t="shared" si="2518"/>
        <v>06539003</v>
      </c>
      <c r="D11625" t="str">
        <f t="shared" si="2519"/>
        <v>813</v>
      </c>
      <c r="E11625" t="str">
        <f t="shared" si="2517"/>
        <v>89301171</v>
      </c>
      <c r="F11625" t="str">
        <f t="shared" si="2515"/>
        <v>7062185339</v>
      </c>
      <c r="G11625" s="1">
        <v>44874</v>
      </c>
      <c r="H11625" t="str">
        <f>"91475"</f>
        <v>91475</v>
      </c>
      <c r="I11625">
        <v>1</v>
      </c>
      <c r="J11625">
        <v>206</v>
      </c>
      <c r="K11625">
        <v>0</v>
      </c>
      <c r="L11625">
        <v>160.68</v>
      </c>
    </row>
    <row r="11626" spans="1:12" x14ac:dyDescent="0.25">
      <c r="A11626" t="str">
        <f t="shared" si="2513"/>
        <v>89301000</v>
      </c>
      <c r="B11626" t="str">
        <f t="shared" si="2514"/>
        <v>06539000</v>
      </c>
      <c r="C11626" t="str">
        <f t="shared" si="2518"/>
        <v>06539003</v>
      </c>
      <c r="D11626" t="str">
        <f t="shared" si="2519"/>
        <v>813</v>
      </c>
      <c r="E11626" t="str">
        <f t="shared" si="2517"/>
        <v>89301171</v>
      </c>
      <c r="F11626" t="str">
        <f t="shared" ref="F11626:F11633" si="2520">"510210378"</f>
        <v>510210378</v>
      </c>
      <c r="G11626" s="1">
        <v>44894</v>
      </c>
      <c r="H11626" t="str">
        <f t="shared" ref="H11626:H11633" si="2521">"91413"</f>
        <v>91413</v>
      </c>
      <c r="I11626">
        <v>1</v>
      </c>
      <c r="J11626">
        <v>853</v>
      </c>
      <c r="K11626">
        <v>0</v>
      </c>
      <c r="L11626">
        <v>665.34</v>
      </c>
    </row>
    <row r="11627" spans="1:12" x14ac:dyDescent="0.25">
      <c r="A11627" t="str">
        <f t="shared" si="2513"/>
        <v>89301000</v>
      </c>
      <c r="B11627" t="str">
        <f t="shared" si="2514"/>
        <v>06539000</v>
      </c>
      <c r="C11627" t="str">
        <f t="shared" si="2518"/>
        <v>06539003</v>
      </c>
      <c r="D11627" t="str">
        <f t="shared" si="2519"/>
        <v>813</v>
      </c>
      <c r="E11627" t="str">
        <f t="shared" si="2517"/>
        <v>89301171</v>
      </c>
      <c r="F11627" t="str">
        <f t="shared" si="2520"/>
        <v>510210378</v>
      </c>
      <c r="G11627" s="1">
        <v>44894</v>
      </c>
      <c r="H11627" t="str">
        <f t="shared" si="2521"/>
        <v>91413</v>
      </c>
      <c r="I11627">
        <v>1</v>
      </c>
      <c r="J11627">
        <v>853</v>
      </c>
      <c r="K11627">
        <v>0</v>
      </c>
      <c r="L11627">
        <v>665.34</v>
      </c>
    </row>
    <row r="11628" spans="1:12" x14ac:dyDescent="0.25">
      <c r="A11628" t="str">
        <f t="shared" si="2513"/>
        <v>89301000</v>
      </c>
      <c r="B11628" t="str">
        <f t="shared" si="2514"/>
        <v>06539000</v>
      </c>
      <c r="C11628" t="str">
        <f t="shared" si="2518"/>
        <v>06539003</v>
      </c>
      <c r="D11628" t="str">
        <f t="shared" si="2519"/>
        <v>813</v>
      </c>
      <c r="E11628" t="str">
        <f t="shared" si="2517"/>
        <v>89301171</v>
      </c>
      <c r="F11628" t="str">
        <f t="shared" si="2520"/>
        <v>510210378</v>
      </c>
      <c r="G11628" s="1">
        <v>44893</v>
      </c>
      <c r="H11628" t="str">
        <f t="shared" si="2521"/>
        <v>91413</v>
      </c>
      <c r="I11628">
        <v>1</v>
      </c>
      <c r="J11628">
        <v>853</v>
      </c>
      <c r="K11628">
        <v>0</v>
      </c>
      <c r="L11628">
        <v>665.34</v>
      </c>
    </row>
    <row r="11629" spans="1:12" x14ac:dyDescent="0.25">
      <c r="A11629" t="str">
        <f t="shared" si="2513"/>
        <v>89301000</v>
      </c>
      <c r="B11629" t="str">
        <f t="shared" si="2514"/>
        <v>06539000</v>
      </c>
      <c r="C11629" t="str">
        <f t="shared" si="2518"/>
        <v>06539003</v>
      </c>
      <c r="D11629" t="str">
        <f t="shared" si="2519"/>
        <v>813</v>
      </c>
      <c r="E11629" t="str">
        <f t="shared" si="2517"/>
        <v>89301171</v>
      </c>
      <c r="F11629" t="str">
        <f t="shared" si="2520"/>
        <v>510210378</v>
      </c>
      <c r="G11629" s="1">
        <v>44893</v>
      </c>
      <c r="H11629" t="str">
        <f t="shared" si="2521"/>
        <v>91413</v>
      </c>
      <c r="I11629">
        <v>1</v>
      </c>
      <c r="J11629">
        <v>853</v>
      </c>
      <c r="K11629">
        <v>0</v>
      </c>
      <c r="L11629">
        <v>665.34</v>
      </c>
    </row>
    <row r="11630" spans="1:12" x14ac:dyDescent="0.25">
      <c r="A11630" t="str">
        <f t="shared" si="2513"/>
        <v>89301000</v>
      </c>
      <c r="B11630" t="str">
        <f t="shared" si="2514"/>
        <v>06539000</v>
      </c>
      <c r="C11630" t="str">
        <f t="shared" si="2518"/>
        <v>06539003</v>
      </c>
      <c r="D11630" t="str">
        <f t="shared" si="2519"/>
        <v>813</v>
      </c>
      <c r="E11630" t="str">
        <f t="shared" si="2517"/>
        <v>89301171</v>
      </c>
      <c r="F11630" t="str">
        <f t="shared" si="2520"/>
        <v>510210378</v>
      </c>
      <c r="G11630" s="1">
        <v>44894</v>
      </c>
      <c r="H11630" t="str">
        <f t="shared" si="2521"/>
        <v>91413</v>
      </c>
      <c r="I11630">
        <v>1</v>
      </c>
      <c r="J11630">
        <v>853</v>
      </c>
      <c r="K11630">
        <v>0</v>
      </c>
      <c r="L11630">
        <v>665.34</v>
      </c>
    </row>
    <row r="11631" spans="1:12" x14ac:dyDescent="0.25">
      <c r="A11631" t="str">
        <f t="shared" si="2513"/>
        <v>89301000</v>
      </c>
      <c r="B11631" t="str">
        <f t="shared" si="2514"/>
        <v>06539000</v>
      </c>
      <c r="C11631" t="str">
        <f t="shared" si="2518"/>
        <v>06539003</v>
      </c>
      <c r="D11631" t="str">
        <f t="shared" si="2519"/>
        <v>813</v>
      </c>
      <c r="E11631" t="str">
        <f t="shared" si="2517"/>
        <v>89301171</v>
      </c>
      <c r="F11631" t="str">
        <f t="shared" si="2520"/>
        <v>510210378</v>
      </c>
      <c r="G11631" s="1">
        <v>44894</v>
      </c>
      <c r="H11631" t="str">
        <f t="shared" si="2521"/>
        <v>91413</v>
      </c>
      <c r="I11631">
        <v>1</v>
      </c>
      <c r="J11631">
        <v>853</v>
      </c>
      <c r="K11631">
        <v>0</v>
      </c>
      <c r="L11631">
        <v>665.34</v>
      </c>
    </row>
    <row r="11632" spans="1:12" x14ac:dyDescent="0.25">
      <c r="A11632" t="str">
        <f t="shared" si="2513"/>
        <v>89301000</v>
      </c>
      <c r="B11632" t="str">
        <f t="shared" si="2514"/>
        <v>06539000</v>
      </c>
      <c r="C11632" t="str">
        <f t="shared" si="2518"/>
        <v>06539003</v>
      </c>
      <c r="D11632" t="str">
        <f t="shared" si="2519"/>
        <v>813</v>
      </c>
      <c r="E11632" t="str">
        <f t="shared" si="2517"/>
        <v>89301171</v>
      </c>
      <c r="F11632" t="str">
        <f t="shared" si="2520"/>
        <v>510210378</v>
      </c>
      <c r="G11632" s="1">
        <v>44894</v>
      </c>
      <c r="H11632" t="str">
        <f t="shared" si="2521"/>
        <v>91413</v>
      </c>
      <c r="I11632">
        <v>1</v>
      </c>
      <c r="J11632">
        <v>853</v>
      </c>
      <c r="K11632">
        <v>0</v>
      </c>
      <c r="L11632">
        <v>665.34</v>
      </c>
    </row>
    <row r="11633" spans="1:12" x14ac:dyDescent="0.25">
      <c r="A11633" t="str">
        <f t="shared" si="2513"/>
        <v>89301000</v>
      </c>
      <c r="B11633" t="str">
        <f t="shared" si="2514"/>
        <v>06539000</v>
      </c>
      <c r="C11633" t="str">
        <f t="shared" si="2518"/>
        <v>06539003</v>
      </c>
      <c r="D11633" t="str">
        <f t="shared" si="2519"/>
        <v>813</v>
      </c>
      <c r="E11633" t="str">
        <f t="shared" si="2517"/>
        <v>89301171</v>
      </c>
      <c r="F11633" t="str">
        <f t="shared" si="2520"/>
        <v>510210378</v>
      </c>
      <c r="G11633" s="1">
        <v>44894</v>
      </c>
      <c r="H11633" t="str">
        <f t="shared" si="2521"/>
        <v>91413</v>
      </c>
      <c r="I11633">
        <v>1</v>
      </c>
      <c r="J11633">
        <v>853</v>
      </c>
      <c r="K11633">
        <v>0</v>
      </c>
      <c r="L11633">
        <v>665.34</v>
      </c>
    </row>
    <row r="11634" spans="1:12" x14ac:dyDescent="0.25">
      <c r="A11634" t="str">
        <f t="shared" si="2513"/>
        <v>89301000</v>
      </c>
      <c r="B11634" t="str">
        <f t="shared" si="2514"/>
        <v>06539000</v>
      </c>
      <c r="C11634" t="str">
        <f t="shared" ref="C11634:C11641" si="2522">"06539002"</f>
        <v>06539002</v>
      </c>
      <c r="D11634" t="str">
        <f t="shared" ref="D11634:D11641" si="2523">"802"</f>
        <v>802</v>
      </c>
      <c r="E11634" t="str">
        <f t="shared" si="2517"/>
        <v>89301171</v>
      </c>
      <c r="F11634" t="str">
        <f t="shared" ref="F11634:F11669" si="2524">"7153235595"</f>
        <v>7153235595</v>
      </c>
      <c r="G11634" s="1">
        <v>44878</v>
      </c>
      <c r="H11634" t="str">
        <f>"82041"</f>
        <v>82041</v>
      </c>
      <c r="I11634">
        <v>1</v>
      </c>
      <c r="J11634">
        <v>1090</v>
      </c>
      <c r="K11634">
        <v>0</v>
      </c>
      <c r="L11634">
        <v>991.9</v>
      </c>
    </row>
    <row r="11635" spans="1:12" x14ac:dyDescent="0.25">
      <c r="A11635" t="str">
        <f t="shared" si="2513"/>
        <v>89301000</v>
      </c>
      <c r="B11635" t="str">
        <f t="shared" si="2514"/>
        <v>06539000</v>
      </c>
      <c r="C11635" t="str">
        <f t="shared" si="2522"/>
        <v>06539002</v>
      </c>
      <c r="D11635" t="str">
        <f t="shared" si="2523"/>
        <v>802</v>
      </c>
      <c r="E11635" t="str">
        <f t="shared" si="2517"/>
        <v>89301171</v>
      </c>
      <c r="F11635" t="str">
        <f t="shared" si="2524"/>
        <v>7153235595</v>
      </c>
      <c r="G11635" s="1">
        <v>44878</v>
      </c>
      <c r="H11635" t="str">
        <f>"82041"</f>
        <v>82041</v>
      </c>
      <c r="I11635">
        <v>1</v>
      </c>
      <c r="J11635">
        <v>1090</v>
      </c>
      <c r="K11635">
        <v>0</v>
      </c>
      <c r="L11635">
        <v>991.9</v>
      </c>
    </row>
    <row r="11636" spans="1:12" x14ac:dyDescent="0.25">
      <c r="A11636" t="str">
        <f t="shared" si="2513"/>
        <v>89301000</v>
      </c>
      <c r="B11636" t="str">
        <f t="shared" si="2514"/>
        <v>06539000</v>
      </c>
      <c r="C11636" t="str">
        <f t="shared" si="2522"/>
        <v>06539002</v>
      </c>
      <c r="D11636" t="str">
        <f t="shared" si="2523"/>
        <v>802</v>
      </c>
      <c r="E11636" t="str">
        <f t="shared" si="2517"/>
        <v>89301171</v>
      </c>
      <c r="F11636" t="str">
        <f t="shared" si="2524"/>
        <v>7153235595</v>
      </c>
      <c r="G11636" s="1">
        <v>44877</v>
      </c>
      <c r="H11636" t="str">
        <f>"82034"</f>
        <v>82034</v>
      </c>
      <c r="I11636">
        <v>1</v>
      </c>
      <c r="J11636">
        <v>348</v>
      </c>
      <c r="K11636">
        <v>0</v>
      </c>
      <c r="L11636">
        <v>316.68</v>
      </c>
    </row>
    <row r="11637" spans="1:12" x14ac:dyDescent="0.25">
      <c r="A11637" t="str">
        <f t="shared" si="2513"/>
        <v>89301000</v>
      </c>
      <c r="B11637" t="str">
        <f t="shared" si="2514"/>
        <v>06539000</v>
      </c>
      <c r="C11637" t="str">
        <f t="shared" si="2522"/>
        <v>06539002</v>
      </c>
      <c r="D11637" t="str">
        <f t="shared" si="2523"/>
        <v>802</v>
      </c>
      <c r="E11637" t="str">
        <f t="shared" si="2517"/>
        <v>89301171</v>
      </c>
      <c r="F11637" t="str">
        <f t="shared" si="2524"/>
        <v>7153235595</v>
      </c>
      <c r="G11637" s="1">
        <v>44878</v>
      </c>
      <c r="H11637" t="str">
        <f>"82041"</f>
        <v>82041</v>
      </c>
      <c r="I11637">
        <v>1</v>
      </c>
      <c r="J11637">
        <v>1090</v>
      </c>
      <c r="K11637">
        <v>0</v>
      </c>
      <c r="L11637">
        <v>991.9</v>
      </c>
    </row>
    <row r="11638" spans="1:12" x14ac:dyDescent="0.25">
      <c r="A11638" t="str">
        <f t="shared" si="2513"/>
        <v>89301000</v>
      </c>
      <c r="B11638" t="str">
        <f t="shared" si="2514"/>
        <v>06539000</v>
      </c>
      <c r="C11638" t="str">
        <f t="shared" si="2522"/>
        <v>06539002</v>
      </c>
      <c r="D11638" t="str">
        <f t="shared" si="2523"/>
        <v>802</v>
      </c>
      <c r="E11638" t="str">
        <f t="shared" si="2517"/>
        <v>89301171</v>
      </c>
      <c r="F11638" t="str">
        <f t="shared" si="2524"/>
        <v>7153235595</v>
      </c>
      <c r="G11638" s="1">
        <v>44877</v>
      </c>
      <c r="H11638" t="str">
        <f>"82034"</f>
        <v>82034</v>
      </c>
      <c r="I11638">
        <v>1</v>
      </c>
      <c r="J11638">
        <v>348</v>
      </c>
      <c r="K11638">
        <v>0</v>
      </c>
      <c r="L11638">
        <v>316.68</v>
      </c>
    </row>
    <row r="11639" spans="1:12" x14ac:dyDescent="0.25">
      <c r="A11639" t="str">
        <f t="shared" si="2513"/>
        <v>89301000</v>
      </c>
      <c r="B11639" t="str">
        <f t="shared" si="2514"/>
        <v>06539000</v>
      </c>
      <c r="C11639" t="str">
        <f t="shared" si="2522"/>
        <v>06539002</v>
      </c>
      <c r="D11639" t="str">
        <f t="shared" si="2523"/>
        <v>802</v>
      </c>
      <c r="E11639" t="str">
        <f t="shared" si="2517"/>
        <v>89301171</v>
      </c>
      <c r="F11639" t="str">
        <f t="shared" si="2524"/>
        <v>7153235595</v>
      </c>
      <c r="G11639" s="1">
        <v>44877</v>
      </c>
      <c r="H11639" t="str">
        <f>"82041"</f>
        <v>82041</v>
      </c>
      <c r="I11639">
        <v>1</v>
      </c>
      <c r="J11639">
        <v>1090</v>
      </c>
      <c r="K11639">
        <v>0</v>
      </c>
      <c r="L11639">
        <v>991.9</v>
      </c>
    </row>
    <row r="11640" spans="1:12" x14ac:dyDescent="0.25">
      <c r="A11640" t="str">
        <f t="shared" si="2513"/>
        <v>89301000</v>
      </c>
      <c r="B11640" t="str">
        <f t="shared" si="2514"/>
        <v>06539000</v>
      </c>
      <c r="C11640" t="str">
        <f t="shared" si="2522"/>
        <v>06539002</v>
      </c>
      <c r="D11640" t="str">
        <f t="shared" si="2523"/>
        <v>802</v>
      </c>
      <c r="E11640" t="str">
        <f t="shared" si="2517"/>
        <v>89301171</v>
      </c>
      <c r="F11640" t="str">
        <f t="shared" si="2524"/>
        <v>7153235595</v>
      </c>
      <c r="G11640" s="1">
        <v>44877</v>
      </c>
      <c r="H11640" t="str">
        <f>"82034"</f>
        <v>82034</v>
      </c>
      <c r="I11640">
        <v>1</v>
      </c>
      <c r="J11640">
        <v>348</v>
      </c>
      <c r="K11640">
        <v>0</v>
      </c>
      <c r="L11640">
        <v>316.68</v>
      </c>
    </row>
    <row r="11641" spans="1:12" x14ac:dyDescent="0.25">
      <c r="A11641" t="str">
        <f t="shared" si="2513"/>
        <v>89301000</v>
      </c>
      <c r="B11641" t="str">
        <f t="shared" si="2514"/>
        <v>06539000</v>
      </c>
      <c r="C11641" t="str">
        <f t="shared" si="2522"/>
        <v>06539002</v>
      </c>
      <c r="D11641" t="str">
        <f t="shared" si="2523"/>
        <v>802</v>
      </c>
      <c r="E11641" t="str">
        <f t="shared" si="2517"/>
        <v>89301171</v>
      </c>
      <c r="F11641" t="str">
        <f t="shared" si="2524"/>
        <v>7153235595</v>
      </c>
      <c r="G11641" s="1">
        <v>44877</v>
      </c>
      <c r="H11641" t="str">
        <f>"82041"</f>
        <v>82041</v>
      </c>
      <c r="I11641">
        <v>1</v>
      </c>
      <c r="J11641">
        <v>1090</v>
      </c>
      <c r="K11641">
        <v>0</v>
      </c>
      <c r="L11641">
        <v>991.9</v>
      </c>
    </row>
    <row r="11642" spans="1:12" x14ac:dyDescent="0.25">
      <c r="A11642" t="str">
        <f t="shared" si="2513"/>
        <v>89301000</v>
      </c>
      <c r="B11642" t="str">
        <f t="shared" si="2514"/>
        <v>06539000</v>
      </c>
      <c r="C11642" t="str">
        <f t="shared" ref="C11642:C11669" si="2525">"06539003"</f>
        <v>06539003</v>
      </c>
      <c r="D11642" t="str">
        <f t="shared" ref="D11642:D11669" si="2526">"813"</f>
        <v>813</v>
      </c>
      <c r="E11642" t="str">
        <f t="shared" si="2517"/>
        <v>89301171</v>
      </c>
      <c r="F11642" t="str">
        <f t="shared" si="2524"/>
        <v>7153235595</v>
      </c>
      <c r="G11642" s="1">
        <v>44881</v>
      </c>
      <c r="H11642" t="str">
        <f t="shared" ref="H11642:H11651" si="2527">"91413"</f>
        <v>91413</v>
      </c>
      <c r="I11642">
        <v>1</v>
      </c>
      <c r="J11642">
        <v>853</v>
      </c>
      <c r="K11642">
        <v>0</v>
      </c>
      <c r="L11642">
        <v>665.34</v>
      </c>
    </row>
    <row r="11643" spans="1:12" x14ac:dyDescent="0.25">
      <c r="A11643" t="str">
        <f t="shared" si="2513"/>
        <v>89301000</v>
      </c>
      <c r="B11643" t="str">
        <f t="shared" si="2514"/>
        <v>06539000</v>
      </c>
      <c r="C11643" t="str">
        <f t="shared" si="2525"/>
        <v>06539003</v>
      </c>
      <c r="D11643" t="str">
        <f t="shared" si="2526"/>
        <v>813</v>
      </c>
      <c r="E11643" t="str">
        <f t="shared" si="2517"/>
        <v>89301171</v>
      </c>
      <c r="F11643" t="str">
        <f t="shared" si="2524"/>
        <v>7153235595</v>
      </c>
      <c r="G11643" s="1">
        <v>44881</v>
      </c>
      <c r="H11643" t="str">
        <f t="shared" si="2527"/>
        <v>91413</v>
      </c>
      <c r="I11643">
        <v>1</v>
      </c>
      <c r="J11643">
        <v>853</v>
      </c>
      <c r="K11643">
        <v>0</v>
      </c>
      <c r="L11643">
        <v>665.34</v>
      </c>
    </row>
    <row r="11644" spans="1:12" x14ac:dyDescent="0.25">
      <c r="A11644" t="str">
        <f t="shared" si="2513"/>
        <v>89301000</v>
      </c>
      <c r="B11644" t="str">
        <f t="shared" si="2514"/>
        <v>06539000</v>
      </c>
      <c r="C11644" t="str">
        <f t="shared" si="2525"/>
        <v>06539003</v>
      </c>
      <c r="D11644" t="str">
        <f t="shared" si="2526"/>
        <v>813</v>
      </c>
      <c r="E11644" t="str">
        <f t="shared" si="2517"/>
        <v>89301171</v>
      </c>
      <c r="F11644" t="str">
        <f t="shared" si="2524"/>
        <v>7153235595</v>
      </c>
      <c r="G11644" s="1">
        <v>44894</v>
      </c>
      <c r="H11644" t="str">
        <f t="shared" si="2527"/>
        <v>91413</v>
      </c>
      <c r="I11644">
        <v>1</v>
      </c>
      <c r="J11644">
        <v>853</v>
      </c>
      <c r="K11644">
        <v>0</v>
      </c>
      <c r="L11644">
        <v>665.34</v>
      </c>
    </row>
    <row r="11645" spans="1:12" x14ac:dyDescent="0.25">
      <c r="A11645" t="str">
        <f t="shared" si="2513"/>
        <v>89301000</v>
      </c>
      <c r="B11645" t="str">
        <f t="shared" si="2514"/>
        <v>06539000</v>
      </c>
      <c r="C11645" t="str">
        <f t="shared" si="2525"/>
        <v>06539003</v>
      </c>
      <c r="D11645" t="str">
        <f t="shared" si="2526"/>
        <v>813</v>
      </c>
      <c r="E11645" t="str">
        <f t="shared" ref="E11645:E11669" si="2528">"89301171"</f>
        <v>89301171</v>
      </c>
      <c r="F11645" t="str">
        <f t="shared" si="2524"/>
        <v>7153235595</v>
      </c>
      <c r="G11645" s="1">
        <v>44894</v>
      </c>
      <c r="H11645" t="str">
        <f t="shared" si="2527"/>
        <v>91413</v>
      </c>
      <c r="I11645">
        <v>1</v>
      </c>
      <c r="J11645">
        <v>853</v>
      </c>
      <c r="K11645">
        <v>0</v>
      </c>
      <c r="L11645">
        <v>665.34</v>
      </c>
    </row>
    <row r="11646" spans="1:12" x14ac:dyDescent="0.25">
      <c r="A11646" t="str">
        <f t="shared" si="2513"/>
        <v>89301000</v>
      </c>
      <c r="B11646" t="str">
        <f t="shared" si="2514"/>
        <v>06539000</v>
      </c>
      <c r="C11646" t="str">
        <f t="shared" si="2525"/>
        <v>06539003</v>
      </c>
      <c r="D11646" t="str">
        <f t="shared" si="2526"/>
        <v>813</v>
      </c>
      <c r="E11646" t="str">
        <f t="shared" si="2528"/>
        <v>89301171</v>
      </c>
      <c r="F11646" t="str">
        <f t="shared" si="2524"/>
        <v>7153235595</v>
      </c>
      <c r="G11646" s="1">
        <v>44893</v>
      </c>
      <c r="H11646" t="str">
        <f t="shared" si="2527"/>
        <v>91413</v>
      </c>
      <c r="I11646">
        <v>1</v>
      </c>
      <c r="J11646">
        <v>853</v>
      </c>
      <c r="K11646">
        <v>0</v>
      </c>
      <c r="L11646">
        <v>665.34</v>
      </c>
    </row>
    <row r="11647" spans="1:12" x14ac:dyDescent="0.25">
      <c r="A11647" t="str">
        <f t="shared" si="2513"/>
        <v>89301000</v>
      </c>
      <c r="B11647" t="str">
        <f t="shared" si="2514"/>
        <v>06539000</v>
      </c>
      <c r="C11647" t="str">
        <f t="shared" si="2525"/>
        <v>06539003</v>
      </c>
      <c r="D11647" t="str">
        <f t="shared" si="2526"/>
        <v>813</v>
      </c>
      <c r="E11647" t="str">
        <f t="shared" si="2528"/>
        <v>89301171</v>
      </c>
      <c r="F11647" t="str">
        <f t="shared" si="2524"/>
        <v>7153235595</v>
      </c>
      <c r="G11647" s="1">
        <v>44893</v>
      </c>
      <c r="H11647" t="str">
        <f t="shared" si="2527"/>
        <v>91413</v>
      </c>
      <c r="I11647">
        <v>1</v>
      </c>
      <c r="J11647">
        <v>853</v>
      </c>
      <c r="K11647">
        <v>0</v>
      </c>
      <c r="L11647">
        <v>665.34</v>
      </c>
    </row>
    <row r="11648" spans="1:12" x14ac:dyDescent="0.25">
      <c r="A11648" t="str">
        <f t="shared" si="2513"/>
        <v>89301000</v>
      </c>
      <c r="B11648" t="str">
        <f t="shared" si="2514"/>
        <v>06539000</v>
      </c>
      <c r="C11648" t="str">
        <f t="shared" si="2525"/>
        <v>06539003</v>
      </c>
      <c r="D11648" t="str">
        <f t="shared" si="2526"/>
        <v>813</v>
      </c>
      <c r="E11648" t="str">
        <f t="shared" si="2528"/>
        <v>89301171</v>
      </c>
      <c r="F11648" t="str">
        <f t="shared" si="2524"/>
        <v>7153235595</v>
      </c>
      <c r="G11648" s="1">
        <v>44894</v>
      </c>
      <c r="H11648" t="str">
        <f t="shared" si="2527"/>
        <v>91413</v>
      </c>
      <c r="I11648">
        <v>1</v>
      </c>
      <c r="J11648">
        <v>853</v>
      </c>
      <c r="K11648">
        <v>0</v>
      </c>
      <c r="L11648">
        <v>665.34</v>
      </c>
    </row>
    <row r="11649" spans="1:12" x14ac:dyDescent="0.25">
      <c r="A11649" t="str">
        <f t="shared" si="2513"/>
        <v>89301000</v>
      </c>
      <c r="B11649" t="str">
        <f t="shared" si="2514"/>
        <v>06539000</v>
      </c>
      <c r="C11649" t="str">
        <f t="shared" si="2525"/>
        <v>06539003</v>
      </c>
      <c r="D11649" t="str">
        <f t="shared" si="2526"/>
        <v>813</v>
      </c>
      <c r="E11649" t="str">
        <f t="shared" si="2528"/>
        <v>89301171</v>
      </c>
      <c r="F11649" t="str">
        <f t="shared" si="2524"/>
        <v>7153235595</v>
      </c>
      <c r="G11649" s="1">
        <v>44894</v>
      </c>
      <c r="H11649" t="str">
        <f t="shared" si="2527"/>
        <v>91413</v>
      </c>
      <c r="I11649">
        <v>1</v>
      </c>
      <c r="J11649">
        <v>853</v>
      </c>
      <c r="K11649">
        <v>0</v>
      </c>
      <c r="L11649">
        <v>665.34</v>
      </c>
    </row>
    <row r="11650" spans="1:12" x14ac:dyDescent="0.25">
      <c r="A11650" t="str">
        <f t="shared" ref="A11650:A11713" si="2529">"89301000"</f>
        <v>89301000</v>
      </c>
      <c r="B11650" t="str">
        <f t="shared" si="2514"/>
        <v>06539000</v>
      </c>
      <c r="C11650" t="str">
        <f t="shared" si="2525"/>
        <v>06539003</v>
      </c>
      <c r="D11650" t="str">
        <f t="shared" si="2526"/>
        <v>813</v>
      </c>
      <c r="E11650" t="str">
        <f t="shared" si="2528"/>
        <v>89301171</v>
      </c>
      <c r="F11650" t="str">
        <f t="shared" si="2524"/>
        <v>7153235595</v>
      </c>
      <c r="G11650" s="1">
        <v>44894</v>
      </c>
      <c r="H11650" t="str">
        <f t="shared" si="2527"/>
        <v>91413</v>
      </c>
      <c r="I11650">
        <v>1</v>
      </c>
      <c r="J11650">
        <v>853</v>
      </c>
      <c r="K11650">
        <v>0</v>
      </c>
      <c r="L11650">
        <v>665.34</v>
      </c>
    </row>
    <row r="11651" spans="1:12" x14ac:dyDescent="0.25">
      <c r="A11651" t="str">
        <f t="shared" si="2529"/>
        <v>89301000</v>
      </c>
      <c r="B11651" t="str">
        <f t="shared" ref="B11651:B11676" si="2530">"06539000"</f>
        <v>06539000</v>
      </c>
      <c r="C11651" t="str">
        <f t="shared" si="2525"/>
        <v>06539003</v>
      </c>
      <c r="D11651" t="str">
        <f t="shared" si="2526"/>
        <v>813</v>
      </c>
      <c r="E11651" t="str">
        <f t="shared" si="2528"/>
        <v>89301171</v>
      </c>
      <c r="F11651" t="str">
        <f t="shared" si="2524"/>
        <v>7153235595</v>
      </c>
      <c r="G11651" s="1">
        <v>44894</v>
      </c>
      <c r="H11651" t="str">
        <f t="shared" si="2527"/>
        <v>91413</v>
      </c>
      <c r="I11651">
        <v>1</v>
      </c>
      <c r="J11651">
        <v>853</v>
      </c>
      <c r="K11651">
        <v>0</v>
      </c>
      <c r="L11651">
        <v>665.34</v>
      </c>
    </row>
    <row r="11652" spans="1:12" x14ac:dyDescent="0.25">
      <c r="A11652" t="str">
        <f t="shared" si="2529"/>
        <v>89301000</v>
      </c>
      <c r="B11652" t="str">
        <f t="shared" si="2530"/>
        <v>06539000</v>
      </c>
      <c r="C11652" t="str">
        <f t="shared" si="2525"/>
        <v>06539003</v>
      </c>
      <c r="D11652" t="str">
        <f t="shared" si="2526"/>
        <v>813</v>
      </c>
      <c r="E11652" t="str">
        <f t="shared" si="2528"/>
        <v>89301171</v>
      </c>
      <c r="F11652" t="str">
        <f t="shared" si="2524"/>
        <v>7153235595</v>
      </c>
      <c r="G11652" s="1">
        <v>44879</v>
      </c>
      <c r="H11652" t="str">
        <f t="shared" ref="H11652:H11657" si="2531">"91197"</f>
        <v>91197</v>
      </c>
      <c r="I11652">
        <v>1</v>
      </c>
      <c r="J11652">
        <v>1046</v>
      </c>
      <c r="K11652">
        <v>0</v>
      </c>
      <c r="L11652">
        <v>815.88</v>
      </c>
    </row>
    <row r="11653" spans="1:12" x14ac:dyDescent="0.25">
      <c r="A11653" t="str">
        <f t="shared" si="2529"/>
        <v>89301000</v>
      </c>
      <c r="B11653" t="str">
        <f t="shared" si="2530"/>
        <v>06539000</v>
      </c>
      <c r="C11653" t="str">
        <f t="shared" si="2525"/>
        <v>06539003</v>
      </c>
      <c r="D11653" t="str">
        <f t="shared" si="2526"/>
        <v>813</v>
      </c>
      <c r="E11653" t="str">
        <f t="shared" si="2528"/>
        <v>89301171</v>
      </c>
      <c r="F11653" t="str">
        <f t="shared" si="2524"/>
        <v>7153235595</v>
      </c>
      <c r="G11653" s="1">
        <v>44879</v>
      </c>
      <c r="H11653" t="str">
        <f t="shared" si="2531"/>
        <v>91197</v>
      </c>
      <c r="I11653">
        <v>1</v>
      </c>
      <c r="J11653">
        <v>1046</v>
      </c>
      <c r="K11653">
        <v>0</v>
      </c>
      <c r="L11653">
        <v>815.88</v>
      </c>
    </row>
    <row r="11654" spans="1:12" x14ac:dyDescent="0.25">
      <c r="A11654" t="str">
        <f t="shared" si="2529"/>
        <v>89301000</v>
      </c>
      <c r="B11654" t="str">
        <f t="shared" si="2530"/>
        <v>06539000</v>
      </c>
      <c r="C11654" t="str">
        <f t="shared" si="2525"/>
        <v>06539003</v>
      </c>
      <c r="D11654" t="str">
        <f t="shared" si="2526"/>
        <v>813</v>
      </c>
      <c r="E11654" t="str">
        <f t="shared" si="2528"/>
        <v>89301171</v>
      </c>
      <c r="F11654" t="str">
        <f t="shared" si="2524"/>
        <v>7153235595</v>
      </c>
      <c r="G11654" s="1">
        <v>44878</v>
      </c>
      <c r="H11654" t="str">
        <f t="shared" si="2531"/>
        <v>91197</v>
      </c>
      <c r="I11654">
        <v>1</v>
      </c>
      <c r="J11654">
        <v>1046</v>
      </c>
      <c r="K11654">
        <v>0</v>
      </c>
      <c r="L11654">
        <v>815.88</v>
      </c>
    </row>
    <row r="11655" spans="1:12" x14ac:dyDescent="0.25">
      <c r="A11655" t="str">
        <f t="shared" si="2529"/>
        <v>89301000</v>
      </c>
      <c r="B11655" t="str">
        <f t="shared" si="2530"/>
        <v>06539000</v>
      </c>
      <c r="C11655" t="str">
        <f t="shared" si="2525"/>
        <v>06539003</v>
      </c>
      <c r="D11655" t="str">
        <f t="shared" si="2526"/>
        <v>813</v>
      </c>
      <c r="E11655" t="str">
        <f t="shared" si="2528"/>
        <v>89301171</v>
      </c>
      <c r="F11655" t="str">
        <f t="shared" si="2524"/>
        <v>7153235595</v>
      </c>
      <c r="G11655" s="1">
        <v>44878</v>
      </c>
      <c r="H11655" t="str">
        <f t="shared" si="2531"/>
        <v>91197</v>
      </c>
      <c r="I11655">
        <v>1</v>
      </c>
      <c r="J11655">
        <v>1046</v>
      </c>
      <c r="K11655">
        <v>0</v>
      </c>
      <c r="L11655">
        <v>815.88</v>
      </c>
    </row>
    <row r="11656" spans="1:12" x14ac:dyDescent="0.25">
      <c r="A11656" t="str">
        <f t="shared" si="2529"/>
        <v>89301000</v>
      </c>
      <c r="B11656" t="str">
        <f t="shared" si="2530"/>
        <v>06539000</v>
      </c>
      <c r="C11656" t="str">
        <f t="shared" si="2525"/>
        <v>06539003</v>
      </c>
      <c r="D11656" t="str">
        <f t="shared" si="2526"/>
        <v>813</v>
      </c>
      <c r="E11656" t="str">
        <f t="shared" si="2528"/>
        <v>89301171</v>
      </c>
      <c r="F11656" t="str">
        <f t="shared" si="2524"/>
        <v>7153235595</v>
      </c>
      <c r="G11656" s="1">
        <v>44877</v>
      </c>
      <c r="H11656" t="str">
        <f t="shared" si="2531"/>
        <v>91197</v>
      </c>
      <c r="I11656">
        <v>1</v>
      </c>
      <c r="J11656">
        <v>1046</v>
      </c>
      <c r="K11656">
        <v>0</v>
      </c>
      <c r="L11656">
        <v>815.88</v>
      </c>
    </row>
    <row r="11657" spans="1:12" x14ac:dyDescent="0.25">
      <c r="A11657" t="str">
        <f t="shared" si="2529"/>
        <v>89301000</v>
      </c>
      <c r="B11657" t="str">
        <f t="shared" si="2530"/>
        <v>06539000</v>
      </c>
      <c r="C11657" t="str">
        <f t="shared" si="2525"/>
        <v>06539003</v>
      </c>
      <c r="D11657" t="str">
        <f t="shared" si="2526"/>
        <v>813</v>
      </c>
      <c r="E11657" t="str">
        <f t="shared" si="2528"/>
        <v>89301171</v>
      </c>
      <c r="F11657" t="str">
        <f t="shared" si="2524"/>
        <v>7153235595</v>
      </c>
      <c r="G11657" s="1">
        <v>44877</v>
      </c>
      <c r="H11657" t="str">
        <f t="shared" si="2531"/>
        <v>91197</v>
      </c>
      <c r="I11657">
        <v>1</v>
      </c>
      <c r="J11657">
        <v>1046</v>
      </c>
      <c r="K11657">
        <v>0</v>
      </c>
      <c r="L11657">
        <v>815.88</v>
      </c>
    </row>
    <row r="11658" spans="1:12" x14ac:dyDescent="0.25">
      <c r="A11658" t="str">
        <f t="shared" si="2529"/>
        <v>89301000</v>
      </c>
      <c r="B11658" t="str">
        <f t="shared" si="2530"/>
        <v>06539000</v>
      </c>
      <c r="C11658" t="str">
        <f t="shared" si="2525"/>
        <v>06539003</v>
      </c>
      <c r="D11658" t="str">
        <f t="shared" si="2526"/>
        <v>813</v>
      </c>
      <c r="E11658" t="str">
        <f t="shared" si="2528"/>
        <v>89301171</v>
      </c>
      <c r="F11658" t="str">
        <f t="shared" si="2524"/>
        <v>7153235595</v>
      </c>
      <c r="G11658" s="1">
        <v>44894</v>
      </c>
      <c r="H11658" t="str">
        <f>"91329"</f>
        <v>91329</v>
      </c>
      <c r="I11658">
        <v>2</v>
      </c>
      <c r="J11658">
        <v>428</v>
      </c>
      <c r="K11658">
        <v>0</v>
      </c>
      <c r="L11658">
        <v>333.84</v>
      </c>
    </row>
    <row r="11659" spans="1:12" x14ac:dyDescent="0.25">
      <c r="A11659" t="str">
        <f t="shared" si="2529"/>
        <v>89301000</v>
      </c>
      <c r="B11659" t="str">
        <f t="shared" si="2530"/>
        <v>06539000</v>
      </c>
      <c r="C11659" t="str">
        <f t="shared" si="2525"/>
        <v>06539003</v>
      </c>
      <c r="D11659" t="str">
        <f t="shared" si="2526"/>
        <v>813</v>
      </c>
      <c r="E11659" t="str">
        <f t="shared" si="2528"/>
        <v>89301171</v>
      </c>
      <c r="F11659" t="str">
        <f t="shared" si="2524"/>
        <v>7153235595</v>
      </c>
      <c r="G11659" s="1">
        <v>44894</v>
      </c>
      <c r="H11659" t="str">
        <f>"91329"</f>
        <v>91329</v>
      </c>
      <c r="I11659">
        <v>2</v>
      </c>
      <c r="J11659">
        <v>428</v>
      </c>
      <c r="K11659">
        <v>0</v>
      </c>
      <c r="L11659">
        <v>333.84</v>
      </c>
    </row>
    <row r="11660" spans="1:12" x14ac:dyDescent="0.25">
      <c r="A11660" t="str">
        <f t="shared" si="2529"/>
        <v>89301000</v>
      </c>
      <c r="B11660" t="str">
        <f t="shared" si="2530"/>
        <v>06539000</v>
      </c>
      <c r="C11660" t="str">
        <f t="shared" si="2525"/>
        <v>06539003</v>
      </c>
      <c r="D11660" t="str">
        <f t="shared" si="2526"/>
        <v>813</v>
      </c>
      <c r="E11660" t="str">
        <f t="shared" si="2528"/>
        <v>89301171</v>
      </c>
      <c r="F11660" t="str">
        <f t="shared" si="2524"/>
        <v>7153235595</v>
      </c>
      <c r="G11660" s="1">
        <v>44894</v>
      </c>
      <c r="H11660" t="str">
        <f>"91329"</f>
        <v>91329</v>
      </c>
      <c r="I11660">
        <v>2</v>
      </c>
      <c r="J11660">
        <v>428</v>
      </c>
      <c r="K11660">
        <v>0</v>
      </c>
      <c r="L11660">
        <v>333.84</v>
      </c>
    </row>
    <row r="11661" spans="1:12" x14ac:dyDescent="0.25">
      <c r="A11661" t="str">
        <f t="shared" si="2529"/>
        <v>89301000</v>
      </c>
      <c r="B11661" t="str">
        <f t="shared" si="2530"/>
        <v>06539000</v>
      </c>
      <c r="C11661" t="str">
        <f t="shared" si="2525"/>
        <v>06539003</v>
      </c>
      <c r="D11661" t="str">
        <f t="shared" si="2526"/>
        <v>813</v>
      </c>
      <c r="E11661" t="str">
        <f t="shared" si="2528"/>
        <v>89301171</v>
      </c>
      <c r="F11661" t="str">
        <f t="shared" si="2524"/>
        <v>7153235595</v>
      </c>
      <c r="G11661" s="1">
        <v>44894</v>
      </c>
      <c r="H11661" t="str">
        <f>"91329"</f>
        <v>91329</v>
      </c>
      <c r="I11661">
        <v>2</v>
      </c>
      <c r="J11661">
        <v>428</v>
      </c>
      <c r="K11661">
        <v>0</v>
      </c>
      <c r="L11661">
        <v>333.84</v>
      </c>
    </row>
    <row r="11662" spans="1:12" x14ac:dyDescent="0.25">
      <c r="A11662" t="str">
        <f t="shared" si="2529"/>
        <v>89301000</v>
      </c>
      <c r="B11662" t="str">
        <f t="shared" si="2530"/>
        <v>06539000</v>
      </c>
      <c r="C11662" t="str">
        <f t="shared" si="2525"/>
        <v>06539003</v>
      </c>
      <c r="D11662" t="str">
        <f t="shared" si="2526"/>
        <v>813</v>
      </c>
      <c r="E11662" t="str">
        <f t="shared" si="2528"/>
        <v>89301171</v>
      </c>
      <c r="F11662" t="str">
        <f t="shared" si="2524"/>
        <v>7153235595</v>
      </c>
      <c r="G11662" s="1">
        <v>44879</v>
      </c>
      <c r="H11662" t="str">
        <f>"91129"</f>
        <v>91129</v>
      </c>
      <c r="I11662">
        <v>1</v>
      </c>
      <c r="J11662">
        <v>174</v>
      </c>
      <c r="K11662">
        <v>0</v>
      </c>
      <c r="L11662">
        <v>135.72</v>
      </c>
    </row>
    <row r="11663" spans="1:12" x14ac:dyDescent="0.25">
      <c r="A11663" t="str">
        <f t="shared" si="2529"/>
        <v>89301000</v>
      </c>
      <c r="B11663" t="str">
        <f t="shared" si="2530"/>
        <v>06539000</v>
      </c>
      <c r="C11663" t="str">
        <f t="shared" si="2525"/>
        <v>06539003</v>
      </c>
      <c r="D11663" t="str">
        <f t="shared" si="2526"/>
        <v>813</v>
      </c>
      <c r="E11663" t="str">
        <f t="shared" si="2528"/>
        <v>89301171</v>
      </c>
      <c r="F11663" t="str">
        <f t="shared" si="2524"/>
        <v>7153235595</v>
      </c>
      <c r="G11663" s="1">
        <v>44879</v>
      </c>
      <c r="H11663" t="str">
        <f>"91131"</f>
        <v>91131</v>
      </c>
      <c r="I11663">
        <v>1</v>
      </c>
      <c r="J11663">
        <v>171</v>
      </c>
      <c r="K11663">
        <v>0</v>
      </c>
      <c r="L11663">
        <v>133.38</v>
      </c>
    </row>
    <row r="11664" spans="1:12" x14ac:dyDescent="0.25">
      <c r="A11664" t="str">
        <f t="shared" si="2529"/>
        <v>89301000</v>
      </c>
      <c r="B11664" t="str">
        <f t="shared" si="2530"/>
        <v>06539000</v>
      </c>
      <c r="C11664" t="str">
        <f t="shared" si="2525"/>
        <v>06539003</v>
      </c>
      <c r="D11664" t="str">
        <f t="shared" si="2526"/>
        <v>813</v>
      </c>
      <c r="E11664" t="str">
        <f t="shared" si="2528"/>
        <v>89301171</v>
      </c>
      <c r="F11664" t="str">
        <f t="shared" si="2524"/>
        <v>7153235595</v>
      </c>
      <c r="G11664" s="1">
        <v>44879</v>
      </c>
      <c r="H11664" t="str">
        <f>"91133"</f>
        <v>91133</v>
      </c>
      <c r="I11664">
        <v>1</v>
      </c>
      <c r="J11664">
        <v>176</v>
      </c>
      <c r="K11664">
        <v>0</v>
      </c>
      <c r="L11664">
        <v>137.28</v>
      </c>
    </row>
    <row r="11665" spans="1:12" x14ac:dyDescent="0.25">
      <c r="A11665" t="str">
        <f t="shared" si="2529"/>
        <v>89301000</v>
      </c>
      <c r="B11665" t="str">
        <f t="shared" si="2530"/>
        <v>06539000</v>
      </c>
      <c r="C11665" t="str">
        <f t="shared" si="2525"/>
        <v>06539003</v>
      </c>
      <c r="D11665" t="str">
        <f t="shared" si="2526"/>
        <v>813</v>
      </c>
      <c r="E11665" t="str">
        <f t="shared" si="2528"/>
        <v>89301171</v>
      </c>
      <c r="F11665" t="str">
        <f t="shared" si="2524"/>
        <v>7153235595</v>
      </c>
      <c r="G11665" s="1">
        <v>44879</v>
      </c>
      <c r="H11665" t="str">
        <f>"91171"</f>
        <v>91171</v>
      </c>
      <c r="I11665">
        <v>1</v>
      </c>
      <c r="J11665">
        <v>360</v>
      </c>
      <c r="K11665">
        <v>0</v>
      </c>
      <c r="L11665">
        <v>280.8</v>
      </c>
    </row>
    <row r="11666" spans="1:12" x14ac:dyDescent="0.25">
      <c r="A11666" t="str">
        <f t="shared" si="2529"/>
        <v>89301000</v>
      </c>
      <c r="B11666" t="str">
        <f t="shared" si="2530"/>
        <v>06539000</v>
      </c>
      <c r="C11666" t="str">
        <f t="shared" si="2525"/>
        <v>06539003</v>
      </c>
      <c r="D11666" t="str">
        <f t="shared" si="2526"/>
        <v>813</v>
      </c>
      <c r="E11666" t="str">
        <f t="shared" si="2528"/>
        <v>89301171</v>
      </c>
      <c r="F11666" t="str">
        <f t="shared" si="2524"/>
        <v>7153235595</v>
      </c>
      <c r="G11666" s="1">
        <v>44879</v>
      </c>
      <c r="H11666" t="str">
        <f>"91175"</f>
        <v>91175</v>
      </c>
      <c r="I11666">
        <v>1</v>
      </c>
      <c r="J11666">
        <v>360</v>
      </c>
      <c r="K11666">
        <v>0</v>
      </c>
      <c r="L11666">
        <v>280.8</v>
      </c>
    </row>
    <row r="11667" spans="1:12" x14ac:dyDescent="0.25">
      <c r="A11667" t="str">
        <f t="shared" si="2529"/>
        <v>89301000</v>
      </c>
      <c r="B11667" t="str">
        <f t="shared" si="2530"/>
        <v>06539000</v>
      </c>
      <c r="C11667" t="str">
        <f t="shared" si="2525"/>
        <v>06539003</v>
      </c>
      <c r="D11667" t="str">
        <f t="shared" si="2526"/>
        <v>813</v>
      </c>
      <c r="E11667" t="str">
        <f t="shared" si="2528"/>
        <v>89301171</v>
      </c>
      <c r="F11667" t="str">
        <f t="shared" si="2524"/>
        <v>7153235595</v>
      </c>
      <c r="G11667" s="1">
        <v>44877</v>
      </c>
      <c r="H11667" t="str">
        <f>"91167"</f>
        <v>91167</v>
      </c>
      <c r="I11667">
        <v>1</v>
      </c>
      <c r="J11667">
        <v>425</v>
      </c>
      <c r="K11667">
        <v>0</v>
      </c>
      <c r="L11667">
        <v>331.5</v>
      </c>
    </row>
    <row r="11668" spans="1:12" x14ac:dyDescent="0.25">
      <c r="A11668" t="str">
        <f t="shared" si="2529"/>
        <v>89301000</v>
      </c>
      <c r="B11668" t="str">
        <f t="shared" si="2530"/>
        <v>06539000</v>
      </c>
      <c r="C11668" t="str">
        <f t="shared" si="2525"/>
        <v>06539003</v>
      </c>
      <c r="D11668" t="str">
        <f t="shared" si="2526"/>
        <v>813</v>
      </c>
      <c r="E11668" t="str">
        <f t="shared" si="2528"/>
        <v>89301171</v>
      </c>
      <c r="F11668" t="str">
        <f t="shared" si="2524"/>
        <v>7153235595</v>
      </c>
      <c r="G11668" s="1">
        <v>44877</v>
      </c>
      <c r="H11668" t="str">
        <f>"91169"</f>
        <v>91169</v>
      </c>
      <c r="I11668">
        <v>1</v>
      </c>
      <c r="J11668">
        <v>425</v>
      </c>
      <c r="K11668">
        <v>0</v>
      </c>
      <c r="L11668">
        <v>331.5</v>
      </c>
    </row>
    <row r="11669" spans="1:12" x14ac:dyDescent="0.25">
      <c r="A11669" t="str">
        <f t="shared" si="2529"/>
        <v>89301000</v>
      </c>
      <c r="B11669" t="str">
        <f t="shared" si="2530"/>
        <v>06539000</v>
      </c>
      <c r="C11669" t="str">
        <f t="shared" si="2525"/>
        <v>06539003</v>
      </c>
      <c r="D11669" t="str">
        <f t="shared" si="2526"/>
        <v>813</v>
      </c>
      <c r="E11669" t="str">
        <f t="shared" si="2528"/>
        <v>89301171</v>
      </c>
      <c r="F11669" t="str">
        <f t="shared" si="2524"/>
        <v>7153235595</v>
      </c>
      <c r="G11669" s="1">
        <v>44881</v>
      </c>
      <c r="H11669" t="str">
        <f>"91475"</f>
        <v>91475</v>
      </c>
      <c r="I11669">
        <v>1</v>
      </c>
      <c r="J11669">
        <v>206</v>
      </c>
      <c r="K11669">
        <v>0</v>
      </c>
      <c r="L11669">
        <v>160.68</v>
      </c>
    </row>
    <row r="11670" spans="1:12" x14ac:dyDescent="0.25">
      <c r="A11670" t="str">
        <f t="shared" si="2529"/>
        <v>89301000</v>
      </c>
      <c r="B11670" t="str">
        <f t="shared" si="2530"/>
        <v>06539000</v>
      </c>
      <c r="C11670" t="str">
        <f>"06539001"</f>
        <v>06539001</v>
      </c>
      <c r="D11670" t="str">
        <f>"801"</f>
        <v>801</v>
      </c>
      <c r="E11670" t="str">
        <f t="shared" ref="E11670:E11676" si="2532">"89301172"</f>
        <v>89301172</v>
      </c>
      <c r="F11670" t="str">
        <f>"510120190"</f>
        <v>510120190</v>
      </c>
      <c r="G11670" s="1">
        <v>44887</v>
      </c>
      <c r="H11670" t="str">
        <f>"81705"</f>
        <v>81705</v>
      </c>
      <c r="I11670">
        <v>1</v>
      </c>
      <c r="J11670">
        <v>346</v>
      </c>
      <c r="K11670">
        <v>0</v>
      </c>
      <c r="L11670">
        <v>269.88</v>
      </c>
    </row>
    <row r="11671" spans="1:12" x14ac:dyDescent="0.25">
      <c r="A11671" t="str">
        <f t="shared" si="2529"/>
        <v>89301000</v>
      </c>
      <c r="B11671" t="str">
        <f t="shared" si="2530"/>
        <v>06539000</v>
      </c>
      <c r="C11671" t="str">
        <f>"06539001"</f>
        <v>06539001</v>
      </c>
      <c r="D11671" t="str">
        <f>"801"</f>
        <v>801</v>
      </c>
      <c r="E11671" t="str">
        <f t="shared" si="2532"/>
        <v>89301172</v>
      </c>
      <c r="F11671" t="str">
        <f>"510120190"</f>
        <v>510120190</v>
      </c>
      <c r="G11671" s="1">
        <v>44888</v>
      </c>
      <c r="H11671" t="str">
        <f>"81705"</f>
        <v>81705</v>
      </c>
      <c r="I11671">
        <v>1</v>
      </c>
      <c r="J11671">
        <v>346</v>
      </c>
      <c r="K11671">
        <v>0</v>
      </c>
      <c r="L11671">
        <v>269.88</v>
      </c>
    </row>
    <row r="11672" spans="1:12" x14ac:dyDescent="0.25">
      <c r="A11672" t="str">
        <f t="shared" si="2529"/>
        <v>89301000</v>
      </c>
      <c r="B11672" t="str">
        <f t="shared" si="2530"/>
        <v>06539000</v>
      </c>
      <c r="C11672" t="str">
        <f>"06539003"</f>
        <v>06539003</v>
      </c>
      <c r="D11672" t="str">
        <f>"813"</f>
        <v>813</v>
      </c>
      <c r="E11672" t="str">
        <f t="shared" si="2532"/>
        <v>89301172</v>
      </c>
      <c r="F11672" t="str">
        <f>"510120190"</f>
        <v>510120190</v>
      </c>
      <c r="G11672" s="1">
        <v>44887</v>
      </c>
      <c r="H11672" t="str">
        <f>"91329"</f>
        <v>91329</v>
      </c>
      <c r="I11672">
        <v>2</v>
      </c>
      <c r="J11672">
        <v>428</v>
      </c>
      <c r="K11672">
        <v>0</v>
      </c>
      <c r="L11672">
        <v>333.84</v>
      </c>
    </row>
    <row r="11673" spans="1:12" x14ac:dyDescent="0.25">
      <c r="A11673" t="str">
        <f t="shared" si="2529"/>
        <v>89301000</v>
      </c>
      <c r="B11673" t="str">
        <f t="shared" si="2530"/>
        <v>06539000</v>
      </c>
      <c r="C11673" t="str">
        <f>"06539003"</f>
        <v>06539003</v>
      </c>
      <c r="D11673" t="str">
        <f>"813"</f>
        <v>813</v>
      </c>
      <c r="E11673" t="str">
        <f t="shared" si="2532"/>
        <v>89301172</v>
      </c>
      <c r="F11673" t="str">
        <f>"510120190"</f>
        <v>510120190</v>
      </c>
      <c r="G11673" s="1">
        <v>44888</v>
      </c>
      <c r="H11673" t="str">
        <f>"91475"</f>
        <v>91475</v>
      </c>
      <c r="I11673">
        <v>1</v>
      </c>
      <c r="J11673">
        <v>206</v>
      </c>
      <c r="K11673">
        <v>0</v>
      </c>
      <c r="L11673">
        <v>160.68</v>
      </c>
    </row>
    <row r="11674" spans="1:12" x14ac:dyDescent="0.25">
      <c r="A11674" t="str">
        <f t="shared" si="2529"/>
        <v>89301000</v>
      </c>
      <c r="B11674" t="str">
        <f t="shared" si="2530"/>
        <v>06539000</v>
      </c>
      <c r="C11674" t="str">
        <f>"06539003"</f>
        <v>06539003</v>
      </c>
      <c r="D11674" t="str">
        <f>"813"</f>
        <v>813</v>
      </c>
      <c r="E11674" t="str">
        <f t="shared" si="2532"/>
        <v>89301172</v>
      </c>
      <c r="F11674" t="str">
        <f>"6806160658"</f>
        <v>6806160658</v>
      </c>
      <c r="G11674" s="1">
        <v>44876</v>
      </c>
      <c r="H11674" t="str">
        <f>"91329"</f>
        <v>91329</v>
      </c>
      <c r="I11674">
        <v>2</v>
      </c>
      <c r="J11674">
        <v>428</v>
      </c>
      <c r="K11674">
        <v>0</v>
      </c>
      <c r="L11674">
        <v>333.84</v>
      </c>
    </row>
    <row r="11675" spans="1:12" x14ac:dyDescent="0.25">
      <c r="A11675" t="str">
        <f t="shared" si="2529"/>
        <v>89301000</v>
      </c>
      <c r="B11675" t="str">
        <f t="shared" si="2530"/>
        <v>06539000</v>
      </c>
      <c r="C11675" t="str">
        <f>"06539003"</f>
        <v>06539003</v>
      </c>
      <c r="D11675" t="str">
        <f>"813"</f>
        <v>813</v>
      </c>
      <c r="E11675" t="str">
        <f t="shared" si="2532"/>
        <v>89301172</v>
      </c>
      <c r="F11675" t="str">
        <f>"6806160658"</f>
        <v>6806160658</v>
      </c>
      <c r="G11675" s="1">
        <v>44876</v>
      </c>
      <c r="H11675" t="str">
        <f>"91329"</f>
        <v>91329</v>
      </c>
      <c r="I11675">
        <v>2</v>
      </c>
      <c r="J11675">
        <v>428</v>
      </c>
      <c r="K11675">
        <v>0</v>
      </c>
      <c r="L11675">
        <v>333.84</v>
      </c>
    </row>
    <row r="11676" spans="1:12" x14ac:dyDescent="0.25">
      <c r="A11676" t="str">
        <f t="shared" si="2529"/>
        <v>89301000</v>
      </c>
      <c r="B11676" t="str">
        <f t="shared" si="2530"/>
        <v>06539000</v>
      </c>
      <c r="C11676" t="str">
        <f>"06539003"</f>
        <v>06539003</v>
      </c>
      <c r="D11676" t="str">
        <f>"813"</f>
        <v>813</v>
      </c>
      <c r="E11676" t="str">
        <f t="shared" si="2532"/>
        <v>89301172</v>
      </c>
      <c r="F11676" t="str">
        <f>"6806160658"</f>
        <v>6806160658</v>
      </c>
      <c r="G11676" s="1">
        <v>44876</v>
      </c>
      <c r="H11676" t="str">
        <f>"91475"</f>
        <v>91475</v>
      </c>
      <c r="I11676">
        <v>1</v>
      </c>
      <c r="J11676">
        <v>206</v>
      </c>
      <c r="K11676">
        <v>0</v>
      </c>
      <c r="L11676">
        <v>160.68</v>
      </c>
    </row>
    <row r="11677" spans="1:12" x14ac:dyDescent="0.25">
      <c r="A11677" t="str">
        <f t="shared" si="2529"/>
        <v>89301000</v>
      </c>
      <c r="B11677" t="str">
        <f t="shared" ref="B11677:B11697" si="2533">"91009000"</f>
        <v>91009000</v>
      </c>
      <c r="C11677" t="str">
        <f>"91009132"</f>
        <v>91009132</v>
      </c>
      <c r="D11677" t="str">
        <f>"812"</f>
        <v>812</v>
      </c>
      <c r="E11677" t="str">
        <f>"89301212"</f>
        <v>89301212</v>
      </c>
      <c r="F11677" t="str">
        <f>"8556125776"</f>
        <v>8556125776</v>
      </c>
      <c r="G11677" s="1">
        <v>44859</v>
      </c>
      <c r="H11677" t="str">
        <f>"92157"</f>
        <v>92157</v>
      </c>
      <c r="I11677">
        <v>1</v>
      </c>
      <c r="J11677">
        <v>1754</v>
      </c>
      <c r="K11677">
        <v>0</v>
      </c>
      <c r="L11677">
        <v>1368.12</v>
      </c>
    </row>
    <row r="11678" spans="1:12" x14ac:dyDescent="0.25">
      <c r="A11678" t="str">
        <f t="shared" si="2529"/>
        <v>89301000</v>
      </c>
      <c r="B11678" t="str">
        <f t="shared" si="2533"/>
        <v>91009000</v>
      </c>
      <c r="C11678" t="str">
        <f>"91009132"</f>
        <v>91009132</v>
      </c>
      <c r="D11678" t="str">
        <f>"812"</f>
        <v>812</v>
      </c>
      <c r="E11678" t="str">
        <f>"89301212"</f>
        <v>89301212</v>
      </c>
      <c r="F11678" t="str">
        <f>"8556125776"</f>
        <v>8556125776</v>
      </c>
      <c r="G11678" s="1">
        <v>44859</v>
      </c>
      <c r="H11678" t="str">
        <f>"99111"</f>
        <v>99111</v>
      </c>
      <c r="I11678">
        <v>1</v>
      </c>
      <c r="J11678">
        <v>206</v>
      </c>
      <c r="K11678">
        <v>0</v>
      </c>
      <c r="L11678">
        <v>160.68</v>
      </c>
    </row>
    <row r="11679" spans="1:12" x14ac:dyDescent="0.25">
      <c r="A11679" t="str">
        <f t="shared" si="2529"/>
        <v>89301000</v>
      </c>
      <c r="B11679" t="str">
        <f t="shared" si="2533"/>
        <v>91009000</v>
      </c>
      <c r="C11679" t="str">
        <f>"91009581"</f>
        <v>91009581</v>
      </c>
      <c r="D11679" t="str">
        <f>"801"</f>
        <v>801</v>
      </c>
      <c r="E11679" t="str">
        <f>"89301212"</f>
        <v>89301212</v>
      </c>
      <c r="F11679" t="str">
        <f>"8556125776"</f>
        <v>8556125776</v>
      </c>
      <c r="G11679" s="1">
        <v>44859</v>
      </c>
      <c r="H11679" t="str">
        <f>"97111"</f>
        <v>97111</v>
      </c>
      <c r="I11679">
        <v>1</v>
      </c>
      <c r="J11679">
        <v>18</v>
      </c>
      <c r="K11679">
        <v>0</v>
      </c>
      <c r="L11679">
        <v>14.04</v>
      </c>
    </row>
    <row r="11680" spans="1:12" x14ac:dyDescent="0.25">
      <c r="A11680" t="str">
        <f t="shared" si="2529"/>
        <v>89301000</v>
      </c>
      <c r="B11680" t="str">
        <f t="shared" si="2533"/>
        <v>91009000</v>
      </c>
      <c r="C11680" t="str">
        <f>"91009132"</f>
        <v>91009132</v>
      </c>
      <c r="D11680" t="str">
        <f>"812"</f>
        <v>812</v>
      </c>
      <c r="E11680" t="str">
        <f>"89301212"</f>
        <v>89301212</v>
      </c>
      <c r="F11680" t="str">
        <f>"8556125776"</f>
        <v>8556125776</v>
      </c>
      <c r="G11680" s="1">
        <v>44887</v>
      </c>
      <c r="H11680" t="str">
        <f>"92157"</f>
        <v>92157</v>
      </c>
      <c r="I11680">
        <v>1</v>
      </c>
      <c r="J11680">
        <v>1754</v>
      </c>
      <c r="K11680">
        <v>0</v>
      </c>
      <c r="L11680">
        <v>1368.12</v>
      </c>
    </row>
    <row r="11681" spans="1:12" x14ac:dyDescent="0.25">
      <c r="A11681" t="str">
        <f t="shared" si="2529"/>
        <v>89301000</v>
      </c>
      <c r="B11681" t="str">
        <f t="shared" si="2533"/>
        <v>91009000</v>
      </c>
      <c r="C11681" t="str">
        <f>"91009132"</f>
        <v>91009132</v>
      </c>
      <c r="D11681" t="str">
        <f>"812"</f>
        <v>812</v>
      </c>
      <c r="E11681" t="str">
        <f>"89301212"</f>
        <v>89301212</v>
      </c>
      <c r="F11681" t="str">
        <f>"8556125776"</f>
        <v>8556125776</v>
      </c>
      <c r="G11681" s="1">
        <v>44887</v>
      </c>
      <c r="H11681" t="str">
        <f>"99111"</f>
        <v>99111</v>
      </c>
      <c r="I11681">
        <v>1</v>
      </c>
      <c r="J11681">
        <v>206</v>
      </c>
      <c r="K11681">
        <v>0</v>
      </c>
      <c r="L11681">
        <v>160.68</v>
      </c>
    </row>
    <row r="11682" spans="1:12" x14ac:dyDescent="0.25">
      <c r="A11682" t="str">
        <f t="shared" si="2529"/>
        <v>89301000</v>
      </c>
      <c r="B11682" t="str">
        <f t="shared" si="2533"/>
        <v>91009000</v>
      </c>
      <c r="C11682" t="str">
        <f t="shared" ref="C11682:C11687" si="2534">"91009522"</f>
        <v>91009522</v>
      </c>
      <c r="D11682" t="str">
        <f t="shared" ref="D11682:D11687" si="2535">"816"</f>
        <v>816</v>
      </c>
      <c r="E11682" t="str">
        <f t="shared" ref="E11682:E11687" si="2536">"89301282"</f>
        <v>89301282</v>
      </c>
      <c r="F11682" t="str">
        <f>"9258255710"</f>
        <v>9258255710</v>
      </c>
      <c r="G11682" s="1">
        <v>44878</v>
      </c>
      <c r="H11682" t="str">
        <f>"94948"</f>
        <v>94948</v>
      </c>
      <c r="I11682">
        <v>2</v>
      </c>
      <c r="J11682">
        <v>0</v>
      </c>
      <c r="K11682">
        <v>0</v>
      </c>
      <c r="L11682">
        <v>0</v>
      </c>
    </row>
    <row r="11683" spans="1:12" x14ac:dyDescent="0.25">
      <c r="A11683" t="str">
        <f t="shared" si="2529"/>
        <v>89301000</v>
      </c>
      <c r="B11683" t="str">
        <f t="shared" si="2533"/>
        <v>91009000</v>
      </c>
      <c r="C11683" t="str">
        <f t="shared" si="2534"/>
        <v>91009522</v>
      </c>
      <c r="D11683" t="str">
        <f t="shared" si="2535"/>
        <v>816</v>
      </c>
      <c r="E11683" t="str">
        <f t="shared" si="2536"/>
        <v>89301282</v>
      </c>
      <c r="F11683" t="str">
        <f>"9258255710"</f>
        <v>9258255710</v>
      </c>
      <c r="G11683" s="1">
        <v>44878</v>
      </c>
      <c r="H11683" t="str">
        <f>"94982"</f>
        <v>94982</v>
      </c>
      <c r="I11683">
        <v>1</v>
      </c>
      <c r="J11683">
        <v>0</v>
      </c>
      <c r="K11683">
        <v>27500</v>
      </c>
      <c r="L11683">
        <v>27500</v>
      </c>
    </row>
    <row r="11684" spans="1:12" x14ac:dyDescent="0.25">
      <c r="A11684" t="str">
        <f t="shared" si="2529"/>
        <v>89301000</v>
      </c>
      <c r="B11684" t="str">
        <f t="shared" si="2533"/>
        <v>91009000</v>
      </c>
      <c r="C11684" t="str">
        <f t="shared" si="2534"/>
        <v>91009522</v>
      </c>
      <c r="D11684" t="str">
        <f t="shared" si="2535"/>
        <v>816</v>
      </c>
      <c r="E11684" t="str">
        <f t="shared" si="2536"/>
        <v>89301282</v>
      </c>
      <c r="F11684" t="str">
        <f>"9258255710"</f>
        <v>9258255710</v>
      </c>
      <c r="G11684" s="1">
        <v>44878</v>
      </c>
      <c r="H11684" t="str">
        <f>"94996"</f>
        <v>94996</v>
      </c>
      <c r="I11684">
        <v>1</v>
      </c>
      <c r="J11684">
        <v>0</v>
      </c>
      <c r="K11684">
        <v>0</v>
      </c>
      <c r="L11684">
        <v>0</v>
      </c>
    </row>
    <row r="11685" spans="1:12" x14ac:dyDescent="0.25">
      <c r="A11685" t="str">
        <f t="shared" si="2529"/>
        <v>89301000</v>
      </c>
      <c r="B11685" t="str">
        <f t="shared" si="2533"/>
        <v>91009000</v>
      </c>
      <c r="C11685" t="str">
        <f t="shared" si="2534"/>
        <v>91009522</v>
      </c>
      <c r="D11685" t="str">
        <f t="shared" si="2535"/>
        <v>816</v>
      </c>
      <c r="E11685" t="str">
        <f t="shared" si="2536"/>
        <v>89301282</v>
      </c>
      <c r="F11685" t="str">
        <f>"1554230876"</f>
        <v>1554230876</v>
      </c>
      <c r="G11685" s="1">
        <v>44877</v>
      </c>
      <c r="H11685" t="str">
        <f>"94948"</f>
        <v>94948</v>
      </c>
      <c r="I11685">
        <v>2</v>
      </c>
      <c r="J11685">
        <v>0</v>
      </c>
      <c r="K11685">
        <v>0</v>
      </c>
      <c r="L11685">
        <v>0</v>
      </c>
    </row>
    <row r="11686" spans="1:12" x14ac:dyDescent="0.25">
      <c r="A11686" t="str">
        <f t="shared" si="2529"/>
        <v>89301000</v>
      </c>
      <c r="B11686" t="str">
        <f t="shared" si="2533"/>
        <v>91009000</v>
      </c>
      <c r="C11686" t="str">
        <f t="shared" si="2534"/>
        <v>91009522</v>
      </c>
      <c r="D11686" t="str">
        <f t="shared" si="2535"/>
        <v>816</v>
      </c>
      <c r="E11686" t="str">
        <f t="shared" si="2536"/>
        <v>89301282</v>
      </c>
      <c r="F11686" t="str">
        <f>"1554230876"</f>
        <v>1554230876</v>
      </c>
      <c r="G11686" s="1">
        <v>44877</v>
      </c>
      <c r="H11686" t="str">
        <f>"94982"</f>
        <v>94982</v>
      </c>
      <c r="I11686">
        <v>1</v>
      </c>
      <c r="J11686">
        <v>0</v>
      </c>
      <c r="K11686">
        <v>27500</v>
      </c>
      <c r="L11686">
        <v>27500</v>
      </c>
    </row>
    <row r="11687" spans="1:12" x14ac:dyDescent="0.25">
      <c r="A11687" t="str">
        <f t="shared" si="2529"/>
        <v>89301000</v>
      </c>
      <c r="B11687" t="str">
        <f t="shared" si="2533"/>
        <v>91009000</v>
      </c>
      <c r="C11687" t="str">
        <f t="shared" si="2534"/>
        <v>91009522</v>
      </c>
      <c r="D11687" t="str">
        <f t="shared" si="2535"/>
        <v>816</v>
      </c>
      <c r="E11687" t="str">
        <f t="shared" si="2536"/>
        <v>89301282</v>
      </c>
      <c r="F11687" t="str">
        <f>"1554230876"</f>
        <v>1554230876</v>
      </c>
      <c r="G11687" s="1">
        <v>44877</v>
      </c>
      <c r="H11687" t="str">
        <f>"94996"</f>
        <v>94996</v>
      </c>
      <c r="I11687">
        <v>1</v>
      </c>
      <c r="J11687">
        <v>0</v>
      </c>
      <c r="K11687">
        <v>0</v>
      </c>
      <c r="L11687">
        <v>0</v>
      </c>
    </row>
    <row r="11688" spans="1:12" x14ac:dyDescent="0.25">
      <c r="A11688" t="str">
        <f t="shared" si="2529"/>
        <v>89301000</v>
      </c>
      <c r="B11688" t="str">
        <f t="shared" si="2533"/>
        <v>91009000</v>
      </c>
      <c r="C11688" t="str">
        <f>"91009581"</f>
        <v>91009581</v>
      </c>
      <c r="D11688" t="str">
        <f>"801"</f>
        <v>801</v>
      </c>
      <c r="E11688" t="str">
        <f>"89301212"</f>
        <v>89301212</v>
      </c>
      <c r="F11688" t="str">
        <f>"8556125776"</f>
        <v>8556125776</v>
      </c>
      <c r="G11688" s="1">
        <v>44887</v>
      </c>
      <c r="H11688" t="str">
        <f>"97111"</f>
        <v>97111</v>
      </c>
      <c r="I11688">
        <v>1</v>
      </c>
      <c r="J11688">
        <v>18</v>
      </c>
      <c r="K11688">
        <v>0</v>
      </c>
      <c r="L11688">
        <v>14.04</v>
      </c>
    </row>
    <row r="11689" spans="1:12" x14ac:dyDescent="0.25">
      <c r="A11689" t="str">
        <f t="shared" si="2529"/>
        <v>89301000</v>
      </c>
      <c r="B11689" t="str">
        <f t="shared" si="2533"/>
        <v>91009000</v>
      </c>
      <c r="C11689" t="str">
        <f t="shared" ref="C11689:C11697" si="2537">"91009605"</f>
        <v>91009605</v>
      </c>
      <c r="D11689" t="str">
        <f t="shared" ref="D11689:D11697" si="2538">"818"</f>
        <v>818</v>
      </c>
      <c r="E11689" t="str">
        <f>"89301109"</f>
        <v>89301109</v>
      </c>
      <c r="F11689" t="str">
        <f>"1008040220"</f>
        <v>1008040220</v>
      </c>
      <c r="G11689" s="1">
        <v>44894</v>
      </c>
      <c r="H11689" t="str">
        <f>"91431"</f>
        <v>91431</v>
      </c>
      <c r="I11689">
        <v>1</v>
      </c>
      <c r="J11689">
        <v>535</v>
      </c>
      <c r="K11689">
        <v>0</v>
      </c>
      <c r="L11689">
        <v>486.85</v>
      </c>
    </row>
    <row r="11690" spans="1:12" x14ac:dyDescent="0.25">
      <c r="A11690" t="str">
        <f t="shared" si="2529"/>
        <v>89301000</v>
      </c>
      <c r="B11690" t="str">
        <f t="shared" si="2533"/>
        <v>91009000</v>
      </c>
      <c r="C11690" t="str">
        <f t="shared" si="2537"/>
        <v>91009605</v>
      </c>
      <c r="D11690" t="str">
        <f t="shared" si="2538"/>
        <v>818</v>
      </c>
      <c r="E11690" t="str">
        <f>"89301109"</f>
        <v>89301109</v>
      </c>
      <c r="F11690" t="str">
        <f>"1008040220"</f>
        <v>1008040220</v>
      </c>
      <c r="G11690" s="1">
        <v>44894</v>
      </c>
      <c r="H11690" t="str">
        <f>"97111"</f>
        <v>97111</v>
      </c>
      <c r="I11690">
        <v>1</v>
      </c>
      <c r="J11690">
        <v>18</v>
      </c>
      <c r="K11690">
        <v>0</v>
      </c>
      <c r="L11690">
        <v>16.38</v>
      </c>
    </row>
    <row r="11691" spans="1:12" x14ac:dyDescent="0.25">
      <c r="A11691" t="str">
        <f t="shared" si="2529"/>
        <v>89301000</v>
      </c>
      <c r="B11691" t="str">
        <f t="shared" si="2533"/>
        <v>91009000</v>
      </c>
      <c r="C11691" t="str">
        <f t="shared" si="2537"/>
        <v>91009605</v>
      </c>
      <c r="D11691" t="str">
        <f t="shared" si="2538"/>
        <v>818</v>
      </c>
      <c r="E11691" t="str">
        <f t="shared" ref="E11691:E11697" si="2539">"89301322"</f>
        <v>89301322</v>
      </c>
      <c r="F11691" t="str">
        <f>"7560165492"</f>
        <v>7560165492</v>
      </c>
      <c r="G11691" s="1">
        <v>44880</v>
      </c>
      <c r="H11691" t="str">
        <f>"91431"</f>
        <v>91431</v>
      </c>
      <c r="I11691">
        <v>1</v>
      </c>
      <c r="J11691">
        <v>535</v>
      </c>
      <c r="K11691">
        <v>0</v>
      </c>
      <c r="L11691">
        <v>486.85</v>
      </c>
    </row>
    <row r="11692" spans="1:12" x14ac:dyDescent="0.25">
      <c r="A11692" t="str">
        <f t="shared" si="2529"/>
        <v>89301000</v>
      </c>
      <c r="B11692" t="str">
        <f t="shared" si="2533"/>
        <v>91009000</v>
      </c>
      <c r="C11692" t="str">
        <f t="shared" si="2537"/>
        <v>91009605</v>
      </c>
      <c r="D11692" t="str">
        <f t="shared" si="2538"/>
        <v>818</v>
      </c>
      <c r="E11692" t="str">
        <f t="shared" si="2539"/>
        <v>89301322</v>
      </c>
      <c r="F11692" t="str">
        <f>"7560165492"</f>
        <v>7560165492</v>
      </c>
      <c r="G11692" s="1">
        <v>44881</v>
      </c>
      <c r="H11692" t="str">
        <f>"22122"</f>
        <v>22122</v>
      </c>
      <c r="I11692">
        <v>1</v>
      </c>
      <c r="J11692">
        <v>573</v>
      </c>
      <c r="K11692">
        <v>0</v>
      </c>
      <c r="L11692">
        <v>521.42999999999995</v>
      </c>
    </row>
    <row r="11693" spans="1:12" x14ac:dyDescent="0.25">
      <c r="A11693" t="str">
        <f t="shared" si="2529"/>
        <v>89301000</v>
      </c>
      <c r="B11693" t="str">
        <f t="shared" si="2533"/>
        <v>91009000</v>
      </c>
      <c r="C11693" t="str">
        <f t="shared" si="2537"/>
        <v>91009605</v>
      </c>
      <c r="D11693" t="str">
        <f t="shared" si="2538"/>
        <v>818</v>
      </c>
      <c r="E11693" t="str">
        <f t="shared" si="2539"/>
        <v>89301322</v>
      </c>
      <c r="F11693" t="str">
        <f>"7560165492"</f>
        <v>7560165492</v>
      </c>
      <c r="G11693" s="1">
        <v>44881</v>
      </c>
      <c r="H11693" t="str">
        <f>"22123"</f>
        <v>22123</v>
      </c>
      <c r="I11693">
        <v>1</v>
      </c>
      <c r="J11693">
        <v>322</v>
      </c>
      <c r="K11693">
        <v>0</v>
      </c>
      <c r="L11693">
        <v>293.02</v>
      </c>
    </row>
    <row r="11694" spans="1:12" x14ac:dyDescent="0.25">
      <c r="A11694" t="str">
        <f t="shared" si="2529"/>
        <v>89301000</v>
      </c>
      <c r="B11694" t="str">
        <f t="shared" si="2533"/>
        <v>91009000</v>
      </c>
      <c r="C11694" t="str">
        <f t="shared" si="2537"/>
        <v>91009605</v>
      </c>
      <c r="D11694" t="str">
        <f t="shared" si="2538"/>
        <v>818</v>
      </c>
      <c r="E11694" t="str">
        <f t="shared" si="2539"/>
        <v>89301322</v>
      </c>
      <c r="F11694" t="str">
        <f>"9406244650"</f>
        <v>9406244650</v>
      </c>
      <c r="G11694" s="1">
        <v>44873</v>
      </c>
      <c r="H11694" t="str">
        <f>"91431"</f>
        <v>91431</v>
      </c>
      <c r="I11694">
        <v>1</v>
      </c>
      <c r="J11694">
        <v>535</v>
      </c>
      <c r="K11694">
        <v>0</v>
      </c>
      <c r="L11694">
        <v>486.85</v>
      </c>
    </row>
    <row r="11695" spans="1:12" x14ac:dyDescent="0.25">
      <c r="A11695" t="str">
        <f t="shared" si="2529"/>
        <v>89301000</v>
      </c>
      <c r="B11695" t="str">
        <f t="shared" si="2533"/>
        <v>91009000</v>
      </c>
      <c r="C11695" t="str">
        <f t="shared" si="2537"/>
        <v>91009605</v>
      </c>
      <c r="D11695" t="str">
        <f t="shared" si="2538"/>
        <v>818</v>
      </c>
      <c r="E11695" t="str">
        <f t="shared" si="2539"/>
        <v>89301322</v>
      </c>
      <c r="F11695" t="str">
        <f>"9406244650"</f>
        <v>9406244650</v>
      </c>
      <c r="G11695" s="1">
        <v>44873</v>
      </c>
      <c r="H11695" t="str">
        <f>"97111"</f>
        <v>97111</v>
      </c>
      <c r="I11695">
        <v>1</v>
      </c>
      <c r="J11695">
        <v>18</v>
      </c>
      <c r="K11695">
        <v>0</v>
      </c>
      <c r="L11695">
        <v>16.38</v>
      </c>
    </row>
    <row r="11696" spans="1:12" x14ac:dyDescent="0.25">
      <c r="A11696" t="str">
        <f t="shared" si="2529"/>
        <v>89301000</v>
      </c>
      <c r="B11696" t="str">
        <f t="shared" si="2533"/>
        <v>91009000</v>
      </c>
      <c r="C11696" t="str">
        <f t="shared" si="2537"/>
        <v>91009605</v>
      </c>
      <c r="D11696" t="str">
        <f t="shared" si="2538"/>
        <v>818</v>
      </c>
      <c r="E11696" t="str">
        <f t="shared" si="2539"/>
        <v>89301322</v>
      </c>
      <c r="F11696" t="str">
        <f>"9406244650"</f>
        <v>9406244650</v>
      </c>
      <c r="G11696" s="1">
        <v>44874</v>
      </c>
      <c r="H11696" t="str">
        <f>"22123"</f>
        <v>22123</v>
      </c>
      <c r="I11696">
        <v>1</v>
      </c>
      <c r="J11696">
        <v>322</v>
      </c>
      <c r="K11696">
        <v>0</v>
      </c>
      <c r="L11696">
        <v>293.02</v>
      </c>
    </row>
    <row r="11697" spans="1:12" x14ac:dyDescent="0.25">
      <c r="A11697" t="str">
        <f t="shared" si="2529"/>
        <v>89301000</v>
      </c>
      <c r="B11697" t="str">
        <f t="shared" si="2533"/>
        <v>91009000</v>
      </c>
      <c r="C11697" t="str">
        <f t="shared" si="2537"/>
        <v>91009605</v>
      </c>
      <c r="D11697" t="str">
        <f t="shared" si="2538"/>
        <v>818</v>
      </c>
      <c r="E11697" t="str">
        <f t="shared" si="2539"/>
        <v>89301322</v>
      </c>
      <c r="F11697" t="str">
        <f>"9406244650"</f>
        <v>9406244650</v>
      </c>
      <c r="G11697" s="1">
        <v>44874</v>
      </c>
      <c r="H11697" t="str">
        <f>"22127"</f>
        <v>22127</v>
      </c>
      <c r="I11697">
        <v>1</v>
      </c>
      <c r="J11697">
        <v>330</v>
      </c>
      <c r="K11697">
        <v>0</v>
      </c>
      <c r="L11697">
        <v>300.3</v>
      </c>
    </row>
    <row r="11698" spans="1:12" x14ac:dyDescent="0.25">
      <c r="A11698" t="str">
        <f t="shared" si="2529"/>
        <v>89301000</v>
      </c>
      <c r="B11698" t="str">
        <f t="shared" ref="B11698:B11705" si="2540">"72932000"</f>
        <v>72932000</v>
      </c>
      <c r="C11698" t="str">
        <f t="shared" ref="C11698:C11705" si="2541">"72932050"</f>
        <v>72932050</v>
      </c>
      <c r="D11698" t="str">
        <f t="shared" ref="D11698:D11705" si="2542">"816"</f>
        <v>816</v>
      </c>
      <c r="E11698" t="str">
        <f t="shared" ref="E11698:E11705" si="2543">"89301034"</f>
        <v>89301034</v>
      </c>
      <c r="F11698" t="str">
        <f>"6556221562"</f>
        <v>6556221562</v>
      </c>
      <c r="G11698" s="1">
        <v>44876</v>
      </c>
      <c r="H11698" t="str">
        <f>"94225"</f>
        <v>94225</v>
      </c>
      <c r="I11698">
        <v>1</v>
      </c>
      <c r="J11698">
        <v>1187</v>
      </c>
      <c r="K11698">
        <v>0</v>
      </c>
      <c r="L11698">
        <v>1008.95</v>
      </c>
    </row>
    <row r="11699" spans="1:12" x14ac:dyDescent="0.25">
      <c r="A11699" t="str">
        <f t="shared" si="2529"/>
        <v>89301000</v>
      </c>
      <c r="B11699" t="str">
        <f t="shared" si="2540"/>
        <v>72932000</v>
      </c>
      <c r="C11699" t="str">
        <f t="shared" si="2541"/>
        <v>72932050</v>
      </c>
      <c r="D11699" t="str">
        <f t="shared" si="2542"/>
        <v>816</v>
      </c>
      <c r="E11699" t="str">
        <f t="shared" si="2543"/>
        <v>89301034</v>
      </c>
      <c r="F11699" t="str">
        <f>"6556221562"</f>
        <v>6556221562</v>
      </c>
      <c r="G11699" s="1">
        <v>44876</v>
      </c>
      <c r="H11699" t="str">
        <f>"94956"</f>
        <v>94956</v>
      </c>
      <c r="I11699">
        <v>1</v>
      </c>
      <c r="J11699">
        <v>0</v>
      </c>
      <c r="K11699">
        <v>976</v>
      </c>
      <c r="L11699">
        <v>976</v>
      </c>
    </row>
    <row r="11700" spans="1:12" x14ac:dyDescent="0.25">
      <c r="A11700" t="str">
        <f t="shared" si="2529"/>
        <v>89301000</v>
      </c>
      <c r="B11700" t="str">
        <f t="shared" si="2540"/>
        <v>72932000</v>
      </c>
      <c r="C11700" t="str">
        <f t="shared" si="2541"/>
        <v>72932050</v>
      </c>
      <c r="D11700" t="str">
        <f t="shared" si="2542"/>
        <v>816</v>
      </c>
      <c r="E11700" t="str">
        <f t="shared" si="2543"/>
        <v>89301034</v>
      </c>
      <c r="F11700" t="str">
        <f>"6755040886"</f>
        <v>6755040886</v>
      </c>
      <c r="G11700" s="1">
        <v>44876</v>
      </c>
      <c r="H11700" t="str">
        <f>"94225"</f>
        <v>94225</v>
      </c>
      <c r="I11700">
        <v>1</v>
      </c>
      <c r="J11700">
        <v>1187</v>
      </c>
      <c r="K11700">
        <v>0</v>
      </c>
      <c r="L11700">
        <v>1008.95</v>
      </c>
    </row>
    <row r="11701" spans="1:12" x14ac:dyDescent="0.25">
      <c r="A11701" t="str">
        <f t="shared" si="2529"/>
        <v>89301000</v>
      </c>
      <c r="B11701" t="str">
        <f t="shared" si="2540"/>
        <v>72932000</v>
      </c>
      <c r="C11701" t="str">
        <f t="shared" si="2541"/>
        <v>72932050</v>
      </c>
      <c r="D11701" t="str">
        <f t="shared" si="2542"/>
        <v>816</v>
      </c>
      <c r="E11701" t="str">
        <f t="shared" si="2543"/>
        <v>89301034</v>
      </c>
      <c r="F11701" t="str">
        <f>"6755040886"</f>
        <v>6755040886</v>
      </c>
      <c r="G11701" s="1">
        <v>44876</v>
      </c>
      <c r="H11701" t="str">
        <f>"94956"</f>
        <v>94956</v>
      </c>
      <c r="I11701">
        <v>1</v>
      </c>
      <c r="J11701">
        <v>0</v>
      </c>
      <c r="K11701">
        <v>976</v>
      </c>
      <c r="L11701">
        <v>976</v>
      </c>
    </row>
    <row r="11702" spans="1:12" x14ac:dyDescent="0.25">
      <c r="A11702" t="str">
        <f t="shared" si="2529"/>
        <v>89301000</v>
      </c>
      <c r="B11702" t="str">
        <f t="shared" si="2540"/>
        <v>72932000</v>
      </c>
      <c r="C11702" t="str">
        <f t="shared" si="2541"/>
        <v>72932050</v>
      </c>
      <c r="D11702" t="str">
        <f t="shared" si="2542"/>
        <v>816</v>
      </c>
      <c r="E11702" t="str">
        <f t="shared" si="2543"/>
        <v>89301034</v>
      </c>
      <c r="F11702" t="str">
        <f>"7211124481"</f>
        <v>7211124481</v>
      </c>
      <c r="G11702" s="1">
        <v>44876</v>
      </c>
      <c r="H11702" t="str">
        <f>"94225"</f>
        <v>94225</v>
      </c>
      <c r="I11702">
        <v>1</v>
      </c>
      <c r="J11702">
        <v>1187</v>
      </c>
      <c r="K11702">
        <v>0</v>
      </c>
      <c r="L11702">
        <v>1008.95</v>
      </c>
    </row>
    <row r="11703" spans="1:12" x14ac:dyDescent="0.25">
      <c r="A11703" t="str">
        <f t="shared" si="2529"/>
        <v>89301000</v>
      </c>
      <c r="B11703" t="str">
        <f t="shared" si="2540"/>
        <v>72932000</v>
      </c>
      <c r="C11703" t="str">
        <f t="shared" si="2541"/>
        <v>72932050</v>
      </c>
      <c r="D11703" t="str">
        <f t="shared" si="2542"/>
        <v>816</v>
      </c>
      <c r="E11703" t="str">
        <f t="shared" si="2543"/>
        <v>89301034</v>
      </c>
      <c r="F11703" t="str">
        <f>"7211124481"</f>
        <v>7211124481</v>
      </c>
      <c r="G11703" s="1">
        <v>44876</v>
      </c>
      <c r="H11703" t="str">
        <f>"94956"</f>
        <v>94956</v>
      </c>
      <c r="I11703">
        <v>1</v>
      </c>
      <c r="J11703">
        <v>0</v>
      </c>
      <c r="K11703">
        <v>976</v>
      </c>
      <c r="L11703">
        <v>976</v>
      </c>
    </row>
    <row r="11704" spans="1:12" x14ac:dyDescent="0.25">
      <c r="A11704" t="str">
        <f t="shared" si="2529"/>
        <v>89301000</v>
      </c>
      <c r="B11704" t="str">
        <f t="shared" si="2540"/>
        <v>72932000</v>
      </c>
      <c r="C11704" t="str">
        <f t="shared" si="2541"/>
        <v>72932050</v>
      </c>
      <c r="D11704" t="str">
        <f t="shared" si="2542"/>
        <v>816</v>
      </c>
      <c r="E11704" t="str">
        <f t="shared" si="2543"/>
        <v>89301034</v>
      </c>
      <c r="F11704" t="str">
        <f>"7803025307"</f>
        <v>7803025307</v>
      </c>
      <c r="G11704" s="1">
        <v>44876</v>
      </c>
      <c r="H11704" t="str">
        <f>"94225"</f>
        <v>94225</v>
      </c>
      <c r="I11704">
        <v>1</v>
      </c>
      <c r="J11704">
        <v>1187</v>
      </c>
      <c r="K11704">
        <v>0</v>
      </c>
      <c r="L11704">
        <v>1008.95</v>
      </c>
    </row>
    <row r="11705" spans="1:12" x14ac:dyDescent="0.25">
      <c r="A11705" t="str">
        <f t="shared" si="2529"/>
        <v>89301000</v>
      </c>
      <c r="B11705" t="str">
        <f t="shared" si="2540"/>
        <v>72932000</v>
      </c>
      <c r="C11705" t="str">
        <f t="shared" si="2541"/>
        <v>72932050</v>
      </c>
      <c r="D11705" t="str">
        <f t="shared" si="2542"/>
        <v>816</v>
      </c>
      <c r="E11705" t="str">
        <f t="shared" si="2543"/>
        <v>89301034</v>
      </c>
      <c r="F11705" t="str">
        <f>"7803025307"</f>
        <v>7803025307</v>
      </c>
      <c r="G11705" s="1">
        <v>44876</v>
      </c>
      <c r="H11705" t="str">
        <f>"94956"</f>
        <v>94956</v>
      </c>
      <c r="I11705">
        <v>1</v>
      </c>
      <c r="J11705">
        <v>0</v>
      </c>
      <c r="K11705">
        <v>976</v>
      </c>
      <c r="L11705">
        <v>976</v>
      </c>
    </row>
    <row r="11706" spans="1:12" x14ac:dyDescent="0.25">
      <c r="A11706" t="str">
        <f t="shared" si="2529"/>
        <v>89301000</v>
      </c>
      <c r="B11706" t="str">
        <f t="shared" ref="B11706:B11737" si="2544">"78006000"</f>
        <v>78006000</v>
      </c>
      <c r="C11706" t="str">
        <f t="shared" ref="C11706:C11722" si="2545">"78006231"</f>
        <v>78006231</v>
      </c>
      <c r="D11706" t="str">
        <f t="shared" ref="D11706:D11725" si="2546">"809"</f>
        <v>809</v>
      </c>
      <c r="E11706" t="str">
        <f t="shared" ref="E11706:E11713" si="2547">"89301212"</f>
        <v>89301212</v>
      </c>
      <c r="F11706" t="str">
        <f>"535628184"</f>
        <v>535628184</v>
      </c>
      <c r="G11706" s="1">
        <v>44868</v>
      </c>
      <c r="H11706" t="str">
        <f>"89180"</f>
        <v>89180</v>
      </c>
      <c r="I11706">
        <v>1</v>
      </c>
      <c r="J11706">
        <v>376</v>
      </c>
      <c r="K11706">
        <v>0</v>
      </c>
      <c r="L11706">
        <v>526.4</v>
      </c>
    </row>
    <row r="11707" spans="1:12" x14ac:dyDescent="0.25">
      <c r="A11707" t="str">
        <f t="shared" si="2529"/>
        <v>89301000</v>
      </c>
      <c r="B11707" t="str">
        <f t="shared" si="2544"/>
        <v>78006000</v>
      </c>
      <c r="C11707" t="str">
        <f t="shared" si="2545"/>
        <v>78006231</v>
      </c>
      <c r="D11707" t="str">
        <f t="shared" si="2546"/>
        <v>809</v>
      </c>
      <c r="E11707" t="str">
        <f t="shared" si="2547"/>
        <v>89301212</v>
      </c>
      <c r="F11707" t="str">
        <f>"6459051148"</f>
        <v>6459051148</v>
      </c>
      <c r="G11707" s="1">
        <v>44868</v>
      </c>
      <c r="H11707" t="str">
        <f>"89180"</f>
        <v>89180</v>
      </c>
      <c r="I11707">
        <v>1</v>
      </c>
      <c r="J11707">
        <v>376</v>
      </c>
      <c r="K11707">
        <v>0</v>
      </c>
      <c r="L11707">
        <v>526.4</v>
      </c>
    </row>
    <row r="11708" spans="1:12" x14ac:dyDescent="0.25">
      <c r="A11708" t="str">
        <f t="shared" si="2529"/>
        <v>89301000</v>
      </c>
      <c r="B11708" t="str">
        <f t="shared" si="2544"/>
        <v>78006000</v>
      </c>
      <c r="C11708" t="str">
        <f t="shared" si="2545"/>
        <v>78006231</v>
      </c>
      <c r="D11708" t="str">
        <f t="shared" si="2546"/>
        <v>809</v>
      </c>
      <c r="E11708" t="str">
        <f t="shared" si="2547"/>
        <v>89301212</v>
      </c>
      <c r="F11708" t="str">
        <f>"6459051148"</f>
        <v>6459051148</v>
      </c>
      <c r="G11708" s="1">
        <v>44868</v>
      </c>
      <c r="H11708" t="str">
        <f>"89512"</f>
        <v>89512</v>
      </c>
      <c r="I11708">
        <v>1</v>
      </c>
      <c r="J11708">
        <v>277</v>
      </c>
      <c r="K11708">
        <v>0</v>
      </c>
      <c r="L11708">
        <v>387.8</v>
      </c>
    </row>
    <row r="11709" spans="1:12" x14ac:dyDescent="0.25">
      <c r="A11709" t="str">
        <f t="shared" si="2529"/>
        <v>89301000</v>
      </c>
      <c r="B11709" t="str">
        <f t="shared" si="2544"/>
        <v>78006000</v>
      </c>
      <c r="C11709" t="str">
        <f t="shared" si="2545"/>
        <v>78006231</v>
      </c>
      <c r="D11709" t="str">
        <f t="shared" si="2546"/>
        <v>809</v>
      </c>
      <c r="E11709" t="str">
        <f t="shared" si="2547"/>
        <v>89301212</v>
      </c>
      <c r="F11709" t="str">
        <f>"535628184"</f>
        <v>535628184</v>
      </c>
      <c r="G11709" s="1">
        <v>44868</v>
      </c>
      <c r="H11709" t="str">
        <f>"89513"</f>
        <v>89513</v>
      </c>
      <c r="I11709">
        <v>1</v>
      </c>
      <c r="J11709">
        <v>371</v>
      </c>
      <c r="K11709">
        <v>0</v>
      </c>
      <c r="L11709">
        <v>519.4</v>
      </c>
    </row>
    <row r="11710" spans="1:12" x14ac:dyDescent="0.25">
      <c r="A11710" t="str">
        <f t="shared" si="2529"/>
        <v>89301000</v>
      </c>
      <c r="B11710" t="str">
        <f t="shared" si="2544"/>
        <v>78006000</v>
      </c>
      <c r="C11710" t="str">
        <f t="shared" si="2545"/>
        <v>78006231</v>
      </c>
      <c r="D11710" t="str">
        <f t="shared" si="2546"/>
        <v>809</v>
      </c>
      <c r="E11710" t="str">
        <f t="shared" si="2547"/>
        <v>89301212</v>
      </c>
      <c r="F11710" t="str">
        <f>"535628184"</f>
        <v>535628184</v>
      </c>
      <c r="G11710" s="1">
        <v>44868</v>
      </c>
      <c r="H11710" t="str">
        <f>"89514"</f>
        <v>89514</v>
      </c>
      <c r="I11710">
        <v>1</v>
      </c>
      <c r="J11710">
        <v>371</v>
      </c>
      <c r="K11710">
        <v>0</v>
      </c>
      <c r="L11710">
        <v>519.4</v>
      </c>
    </row>
    <row r="11711" spans="1:12" x14ac:dyDescent="0.25">
      <c r="A11711" t="str">
        <f t="shared" si="2529"/>
        <v>89301000</v>
      </c>
      <c r="B11711" t="str">
        <f t="shared" si="2544"/>
        <v>78006000</v>
      </c>
      <c r="C11711" t="str">
        <f t="shared" si="2545"/>
        <v>78006231</v>
      </c>
      <c r="D11711" t="str">
        <f t="shared" si="2546"/>
        <v>809</v>
      </c>
      <c r="E11711" t="str">
        <f t="shared" si="2547"/>
        <v>89301212</v>
      </c>
      <c r="F11711" t="str">
        <f>"6459051148"</f>
        <v>6459051148</v>
      </c>
      <c r="G11711" s="1">
        <v>44868</v>
      </c>
      <c r="H11711" t="str">
        <f>"89513"</f>
        <v>89513</v>
      </c>
      <c r="I11711">
        <v>1</v>
      </c>
      <c r="J11711">
        <v>371</v>
      </c>
      <c r="K11711">
        <v>0</v>
      </c>
      <c r="L11711">
        <v>519.4</v>
      </c>
    </row>
    <row r="11712" spans="1:12" x14ac:dyDescent="0.25">
      <c r="A11712" t="str">
        <f t="shared" si="2529"/>
        <v>89301000</v>
      </c>
      <c r="B11712" t="str">
        <f t="shared" si="2544"/>
        <v>78006000</v>
      </c>
      <c r="C11712" t="str">
        <f t="shared" si="2545"/>
        <v>78006231</v>
      </c>
      <c r="D11712" t="str">
        <f t="shared" si="2546"/>
        <v>809</v>
      </c>
      <c r="E11712" t="str">
        <f t="shared" si="2547"/>
        <v>89301212</v>
      </c>
      <c r="F11712" t="str">
        <f>"6459051148"</f>
        <v>6459051148</v>
      </c>
      <c r="G11712" s="1">
        <v>44868</v>
      </c>
      <c r="H11712" t="str">
        <f>"89514"</f>
        <v>89514</v>
      </c>
      <c r="I11712">
        <v>1</v>
      </c>
      <c r="J11712">
        <v>371</v>
      </c>
      <c r="K11712">
        <v>0</v>
      </c>
      <c r="L11712">
        <v>519.4</v>
      </c>
    </row>
    <row r="11713" spans="1:12" x14ac:dyDescent="0.25">
      <c r="A11713" t="str">
        <f t="shared" si="2529"/>
        <v>89301000</v>
      </c>
      <c r="B11713" t="str">
        <f t="shared" si="2544"/>
        <v>78006000</v>
      </c>
      <c r="C11713" t="str">
        <f t="shared" si="2545"/>
        <v>78006231</v>
      </c>
      <c r="D11713" t="str">
        <f t="shared" si="2546"/>
        <v>809</v>
      </c>
      <c r="E11713" t="str">
        <f t="shared" si="2547"/>
        <v>89301212</v>
      </c>
      <c r="F11713" t="str">
        <f>"535628184"</f>
        <v>535628184</v>
      </c>
      <c r="G11713" s="1">
        <v>44866</v>
      </c>
      <c r="H11713" t="str">
        <f>"89131"</f>
        <v>89131</v>
      </c>
      <c r="I11713">
        <v>1</v>
      </c>
      <c r="J11713">
        <v>187</v>
      </c>
      <c r="K11713">
        <v>0</v>
      </c>
      <c r="L11713">
        <v>261.8</v>
      </c>
    </row>
    <row r="11714" spans="1:12" x14ac:dyDescent="0.25">
      <c r="A11714" t="str">
        <f t="shared" ref="A11714:A11777" si="2548">"89301000"</f>
        <v>89301000</v>
      </c>
      <c r="B11714" t="str">
        <f t="shared" si="2544"/>
        <v>78006000</v>
      </c>
      <c r="C11714" t="str">
        <f t="shared" si="2545"/>
        <v>78006231</v>
      </c>
      <c r="D11714" t="str">
        <f t="shared" si="2546"/>
        <v>809</v>
      </c>
      <c r="E11714" t="str">
        <f>"89301274"</f>
        <v>89301274</v>
      </c>
      <c r="F11714" t="str">
        <f>"5462292275"</f>
        <v>5462292275</v>
      </c>
      <c r="G11714" s="1">
        <v>44867</v>
      </c>
      <c r="H11714" t="str">
        <f>"89131"</f>
        <v>89131</v>
      </c>
      <c r="I11714">
        <v>1</v>
      </c>
      <c r="J11714">
        <v>187</v>
      </c>
      <c r="K11714">
        <v>0</v>
      </c>
      <c r="L11714">
        <v>261.8</v>
      </c>
    </row>
    <row r="11715" spans="1:12" x14ac:dyDescent="0.25">
      <c r="A11715" t="str">
        <f t="shared" si="2548"/>
        <v>89301000</v>
      </c>
      <c r="B11715" t="str">
        <f t="shared" si="2544"/>
        <v>78006000</v>
      </c>
      <c r="C11715" t="str">
        <f t="shared" si="2545"/>
        <v>78006231</v>
      </c>
      <c r="D11715" t="str">
        <f t="shared" si="2546"/>
        <v>809</v>
      </c>
      <c r="E11715" t="str">
        <f>"89301172"</f>
        <v>89301172</v>
      </c>
      <c r="F11715" t="str">
        <f>"6855311177"</f>
        <v>6855311177</v>
      </c>
      <c r="G11715" s="1">
        <v>44883</v>
      </c>
      <c r="H11715" t="str">
        <f>"89131"</f>
        <v>89131</v>
      </c>
      <c r="I11715">
        <v>1</v>
      </c>
      <c r="J11715">
        <v>187</v>
      </c>
      <c r="K11715">
        <v>0</v>
      </c>
      <c r="L11715">
        <v>261.8</v>
      </c>
    </row>
    <row r="11716" spans="1:12" x14ac:dyDescent="0.25">
      <c r="A11716" t="str">
        <f t="shared" si="2548"/>
        <v>89301000</v>
      </c>
      <c r="B11716" t="str">
        <f t="shared" si="2544"/>
        <v>78006000</v>
      </c>
      <c r="C11716" t="str">
        <f t="shared" si="2545"/>
        <v>78006231</v>
      </c>
      <c r="D11716" t="str">
        <f t="shared" si="2546"/>
        <v>809</v>
      </c>
      <c r="E11716" t="str">
        <f>"89301730"</f>
        <v>89301730</v>
      </c>
      <c r="F11716" t="str">
        <f>"7959164312"</f>
        <v>7959164312</v>
      </c>
      <c r="G11716" s="1">
        <v>44866</v>
      </c>
      <c r="H11716" t="str">
        <f>"89513"</f>
        <v>89513</v>
      </c>
      <c r="I11716">
        <v>1</v>
      </c>
      <c r="J11716">
        <v>371</v>
      </c>
      <c r="K11716">
        <v>0</v>
      </c>
      <c r="L11716">
        <v>519.4</v>
      </c>
    </row>
    <row r="11717" spans="1:12" x14ac:dyDescent="0.25">
      <c r="A11717" t="str">
        <f t="shared" si="2548"/>
        <v>89301000</v>
      </c>
      <c r="B11717" t="str">
        <f t="shared" si="2544"/>
        <v>78006000</v>
      </c>
      <c r="C11717" t="str">
        <f t="shared" si="2545"/>
        <v>78006231</v>
      </c>
      <c r="D11717" t="str">
        <f t="shared" si="2546"/>
        <v>809</v>
      </c>
      <c r="E11717" t="str">
        <f>"89301730"</f>
        <v>89301730</v>
      </c>
      <c r="F11717" t="str">
        <f>"7959164312"</f>
        <v>7959164312</v>
      </c>
      <c r="G11717" s="1">
        <v>44866</v>
      </c>
      <c r="H11717" t="str">
        <f>"89514"</f>
        <v>89514</v>
      </c>
      <c r="I11717">
        <v>1</v>
      </c>
      <c r="J11717">
        <v>371</v>
      </c>
      <c r="K11717">
        <v>0</v>
      </c>
      <c r="L11717">
        <v>519.4</v>
      </c>
    </row>
    <row r="11718" spans="1:12" x14ac:dyDescent="0.25">
      <c r="A11718" t="str">
        <f t="shared" si="2548"/>
        <v>89301000</v>
      </c>
      <c r="B11718" t="str">
        <f t="shared" si="2544"/>
        <v>78006000</v>
      </c>
      <c r="C11718" t="str">
        <f t="shared" si="2545"/>
        <v>78006231</v>
      </c>
      <c r="D11718" t="str">
        <f t="shared" si="2546"/>
        <v>809</v>
      </c>
      <c r="E11718" t="str">
        <f>"89301172"</f>
        <v>89301172</v>
      </c>
      <c r="F11718" t="str">
        <f>"6855311177"</f>
        <v>6855311177</v>
      </c>
      <c r="G11718" s="1">
        <v>44868</v>
      </c>
      <c r="H11718" t="str">
        <f>"89513"</f>
        <v>89513</v>
      </c>
      <c r="I11718">
        <v>1</v>
      </c>
      <c r="J11718">
        <v>371</v>
      </c>
      <c r="K11718">
        <v>0</v>
      </c>
      <c r="L11718">
        <v>519.4</v>
      </c>
    </row>
    <row r="11719" spans="1:12" x14ac:dyDescent="0.25">
      <c r="A11719" t="str">
        <f t="shared" si="2548"/>
        <v>89301000</v>
      </c>
      <c r="B11719" t="str">
        <f t="shared" si="2544"/>
        <v>78006000</v>
      </c>
      <c r="C11719" t="str">
        <f t="shared" si="2545"/>
        <v>78006231</v>
      </c>
      <c r="D11719" t="str">
        <f t="shared" si="2546"/>
        <v>809</v>
      </c>
      <c r="E11719" t="str">
        <f>"89301172"</f>
        <v>89301172</v>
      </c>
      <c r="F11719" t="str">
        <f>"6855311177"</f>
        <v>6855311177</v>
      </c>
      <c r="G11719" s="1">
        <v>44868</v>
      </c>
      <c r="H11719" t="str">
        <f>"89514"</f>
        <v>89514</v>
      </c>
      <c r="I11719">
        <v>1</v>
      </c>
      <c r="J11719">
        <v>371</v>
      </c>
      <c r="K11719">
        <v>0</v>
      </c>
      <c r="L11719">
        <v>519.4</v>
      </c>
    </row>
    <row r="11720" spans="1:12" x14ac:dyDescent="0.25">
      <c r="A11720" t="str">
        <f t="shared" si="2548"/>
        <v>89301000</v>
      </c>
      <c r="B11720" t="str">
        <f t="shared" si="2544"/>
        <v>78006000</v>
      </c>
      <c r="C11720" t="str">
        <f t="shared" si="2545"/>
        <v>78006231</v>
      </c>
      <c r="D11720" t="str">
        <f t="shared" si="2546"/>
        <v>809</v>
      </c>
      <c r="E11720" t="str">
        <f>"89301212"</f>
        <v>89301212</v>
      </c>
      <c r="F11720" t="str">
        <f>"486008133"</f>
        <v>486008133</v>
      </c>
      <c r="G11720" s="1">
        <v>44880</v>
      </c>
      <c r="H11720" t="str">
        <f>"89512"</f>
        <v>89512</v>
      </c>
      <c r="I11720">
        <v>1</v>
      </c>
      <c r="J11720">
        <v>277</v>
      </c>
      <c r="K11720">
        <v>0</v>
      </c>
      <c r="L11720">
        <v>387.8</v>
      </c>
    </row>
    <row r="11721" spans="1:12" x14ac:dyDescent="0.25">
      <c r="A11721" t="str">
        <f t="shared" si="2548"/>
        <v>89301000</v>
      </c>
      <c r="B11721" t="str">
        <f t="shared" si="2544"/>
        <v>78006000</v>
      </c>
      <c r="C11721" t="str">
        <f t="shared" si="2545"/>
        <v>78006231</v>
      </c>
      <c r="D11721" t="str">
        <f t="shared" si="2546"/>
        <v>809</v>
      </c>
      <c r="E11721" t="str">
        <f>"89301215"</f>
        <v>89301215</v>
      </c>
      <c r="F11721" t="str">
        <f>"395504442"</f>
        <v>395504442</v>
      </c>
      <c r="G11721" s="1">
        <v>44895</v>
      </c>
      <c r="H11721" t="str">
        <f>"89513"</f>
        <v>89513</v>
      </c>
      <c r="I11721">
        <v>1</v>
      </c>
      <c r="J11721">
        <v>371</v>
      </c>
      <c r="K11721">
        <v>0</v>
      </c>
      <c r="L11721">
        <v>519.4</v>
      </c>
    </row>
    <row r="11722" spans="1:12" x14ac:dyDescent="0.25">
      <c r="A11722" t="str">
        <f t="shared" si="2548"/>
        <v>89301000</v>
      </c>
      <c r="B11722" t="str">
        <f t="shared" si="2544"/>
        <v>78006000</v>
      </c>
      <c r="C11722" t="str">
        <f t="shared" si="2545"/>
        <v>78006231</v>
      </c>
      <c r="D11722" t="str">
        <f t="shared" si="2546"/>
        <v>809</v>
      </c>
      <c r="E11722" t="str">
        <f>"89301215"</f>
        <v>89301215</v>
      </c>
      <c r="F11722" t="str">
        <f>"395504442"</f>
        <v>395504442</v>
      </c>
      <c r="G11722" s="1">
        <v>44895</v>
      </c>
      <c r="H11722" t="str">
        <f>"89514"</f>
        <v>89514</v>
      </c>
      <c r="I11722">
        <v>1</v>
      </c>
      <c r="J11722">
        <v>371</v>
      </c>
      <c r="K11722">
        <v>0</v>
      </c>
      <c r="L11722">
        <v>519.4</v>
      </c>
    </row>
    <row r="11723" spans="1:12" x14ac:dyDescent="0.25">
      <c r="A11723" t="str">
        <f t="shared" si="2548"/>
        <v>89301000</v>
      </c>
      <c r="B11723" t="str">
        <f t="shared" si="2544"/>
        <v>78006000</v>
      </c>
      <c r="C11723" t="str">
        <f>"78006831"</f>
        <v>78006831</v>
      </c>
      <c r="D11723" t="str">
        <f t="shared" si="2546"/>
        <v>809</v>
      </c>
      <c r="E11723" t="str">
        <f>"89301212"</f>
        <v>89301212</v>
      </c>
      <c r="F11723" t="str">
        <f>"520719006"</f>
        <v>520719006</v>
      </c>
      <c r="G11723" s="1">
        <v>44876</v>
      </c>
      <c r="H11723" t="str">
        <f>"89513"</f>
        <v>89513</v>
      </c>
      <c r="I11723">
        <v>1</v>
      </c>
      <c r="J11723">
        <v>371</v>
      </c>
      <c r="K11723">
        <v>0</v>
      </c>
      <c r="L11723">
        <v>519.4</v>
      </c>
    </row>
    <row r="11724" spans="1:12" x14ac:dyDescent="0.25">
      <c r="A11724" t="str">
        <f t="shared" si="2548"/>
        <v>89301000</v>
      </c>
      <c r="B11724" t="str">
        <f t="shared" si="2544"/>
        <v>78006000</v>
      </c>
      <c r="C11724" t="str">
        <f>"78006831"</f>
        <v>78006831</v>
      </c>
      <c r="D11724" t="str">
        <f t="shared" si="2546"/>
        <v>809</v>
      </c>
      <c r="E11724" t="str">
        <f>"89301212"</f>
        <v>89301212</v>
      </c>
      <c r="F11724" t="str">
        <f>"520719006"</f>
        <v>520719006</v>
      </c>
      <c r="G11724" s="1">
        <v>44876</v>
      </c>
      <c r="H11724" t="str">
        <f>"89514"</f>
        <v>89514</v>
      </c>
      <c r="I11724">
        <v>1</v>
      </c>
      <c r="J11724">
        <v>371</v>
      </c>
      <c r="K11724">
        <v>0</v>
      </c>
      <c r="L11724">
        <v>519.4</v>
      </c>
    </row>
    <row r="11725" spans="1:12" x14ac:dyDescent="0.25">
      <c r="A11725" t="str">
        <f t="shared" si="2548"/>
        <v>89301000</v>
      </c>
      <c r="B11725" t="str">
        <f t="shared" si="2544"/>
        <v>78006000</v>
      </c>
      <c r="C11725" t="str">
        <f>"78006831"</f>
        <v>78006831</v>
      </c>
      <c r="D11725" t="str">
        <f t="shared" si="2546"/>
        <v>809</v>
      </c>
      <c r="E11725" t="str">
        <f>"89301112"</f>
        <v>89301112</v>
      </c>
      <c r="F11725" t="str">
        <f>"1451050062"</f>
        <v>1451050062</v>
      </c>
      <c r="G11725" s="1">
        <v>44867</v>
      </c>
      <c r="H11725" t="str">
        <f>"89615"</f>
        <v>89615</v>
      </c>
      <c r="I11725">
        <v>1</v>
      </c>
      <c r="J11725">
        <v>2170</v>
      </c>
      <c r="K11725">
        <v>0</v>
      </c>
      <c r="L11725">
        <v>1302</v>
      </c>
    </row>
    <row r="11726" spans="1:12" x14ac:dyDescent="0.25">
      <c r="A11726" t="str">
        <f t="shared" si="2548"/>
        <v>89301000</v>
      </c>
      <c r="B11726" t="str">
        <f t="shared" si="2544"/>
        <v>78006000</v>
      </c>
      <c r="C11726" t="str">
        <f t="shared" ref="C11726:C11758" si="2549">"78006201"</f>
        <v>78006201</v>
      </c>
      <c r="D11726" t="str">
        <f t="shared" ref="D11726:D11758" si="2550">"801"</f>
        <v>801</v>
      </c>
      <c r="E11726" t="str">
        <f>"89301171"</f>
        <v>89301171</v>
      </c>
      <c r="F11726" t="str">
        <f>"9811214017"</f>
        <v>9811214017</v>
      </c>
      <c r="G11726" s="1">
        <v>44879</v>
      </c>
      <c r="H11726" t="str">
        <f>"81703"</f>
        <v>81703</v>
      </c>
      <c r="I11726">
        <v>2</v>
      </c>
      <c r="J11726">
        <v>556</v>
      </c>
      <c r="K11726">
        <v>0</v>
      </c>
      <c r="L11726">
        <v>433.68</v>
      </c>
    </row>
    <row r="11727" spans="1:12" x14ac:dyDescent="0.25">
      <c r="A11727" t="str">
        <f t="shared" si="2548"/>
        <v>89301000</v>
      </c>
      <c r="B11727" t="str">
        <f t="shared" si="2544"/>
        <v>78006000</v>
      </c>
      <c r="C11727" t="str">
        <f t="shared" si="2549"/>
        <v>78006201</v>
      </c>
      <c r="D11727" t="str">
        <f t="shared" si="2550"/>
        <v>801</v>
      </c>
      <c r="E11727" t="str">
        <f>"89301171"</f>
        <v>89301171</v>
      </c>
      <c r="F11727" t="str">
        <f>"7062185339"</f>
        <v>7062185339</v>
      </c>
      <c r="G11727" s="1">
        <v>44872</v>
      </c>
      <c r="H11727" t="str">
        <f>"81703"</f>
        <v>81703</v>
      </c>
      <c r="I11727">
        <v>2</v>
      </c>
      <c r="J11727">
        <v>556</v>
      </c>
      <c r="K11727">
        <v>0</v>
      </c>
      <c r="L11727">
        <v>433.68</v>
      </c>
    </row>
    <row r="11728" spans="1:12" x14ac:dyDescent="0.25">
      <c r="A11728" t="str">
        <f t="shared" si="2548"/>
        <v>89301000</v>
      </c>
      <c r="B11728" t="str">
        <f t="shared" si="2544"/>
        <v>78006000</v>
      </c>
      <c r="C11728" t="str">
        <f t="shared" si="2549"/>
        <v>78006201</v>
      </c>
      <c r="D11728" t="str">
        <f t="shared" si="2550"/>
        <v>801</v>
      </c>
      <c r="E11728" t="str">
        <f>"89301171"</f>
        <v>89301171</v>
      </c>
      <c r="F11728" t="str">
        <f>"8352124055"</f>
        <v>8352124055</v>
      </c>
      <c r="G11728" s="1">
        <v>44875</v>
      </c>
      <c r="H11728" t="str">
        <f>"97111"</f>
        <v>97111</v>
      </c>
      <c r="I11728">
        <v>1</v>
      </c>
      <c r="J11728">
        <v>18</v>
      </c>
      <c r="K11728">
        <v>0</v>
      </c>
      <c r="L11728">
        <v>14.04</v>
      </c>
    </row>
    <row r="11729" spans="1:12" x14ac:dyDescent="0.25">
      <c r="A11729" t="str">
        <f t="shared" si="2548"/>
        <v>89301000</v>
      </c>
      <c r="B11729" t="str">
        <f t="shared" si="2544"/>
        <v>78006000</v>
      </c>
      <c r="C11729" t="str">
        <f t="shared" si="2549"/>
        <v>78006201</v>
      </c>
      <c r="D11729" t="str">
        <f t="shared" si="2550"/>
        <v>801</v>
      </c>
      <c r="E11729" t="str">
        <f t="shared" ref="E11729:E11739" si="2551">"89301167"</f>
        <v>89301167</v>
      </c>
      <c r="F11729" t="str">
        <f>"7003135304"</f>
        <v>7003135304</v>
      </c>
      <c r="G11729" s="1">
        <v>44879</v>
      </c>
      <c r="H11729" t="str">
        <f>"81249"</f>
        <v>81249</v>
      </c>
      <c r="I11729">
        <v>1</v>
      </c>
      <c r="J11729">
        <v>333</v>
      </c>
      <c r="K11729">
        <v>0</v>
      </c>
      <c r="L11729">
        <v>259.74</v>
      </c>
    </row>
    <row r="11730" spans="1:12" x14ac:dyDescent="0.25">
      <c r="A11730" t="str">
        <f t="shared" si="2548"/>
        <v>89301000</v>
      </c>
      <c r="B11730" t="str">
        <f t="shared" si="2544"/>
        <v>78006000</v>
      </c>
      <c r="C11730" t="str">
        <f t="shared" si="2549"/>
        <v>78006201</v>
      </c>
      <c r="D11730" t="str">
        <f t="shared" si="2550"/>
        <v>801</v>
      </c>
      <c r="E11730" t="str">
        <f t="shared" si="2551"/>
        <v>89301167</v>
      </c>
      <c r="F11730" t="str">
        <f t="shared" ref="F11730:F11739" si="2552">"466109458"</f>
        <v>466109458</v>
      </c>
      <c r="G11730" s="1">
        <v>44870</v>
      </c>
      <c r="H11730" t="str">
        <f>"81249"</f>
        <v>81249</v>
      </c>
      <c r="I11730">
        <v>1</v>
      </c>
      <c r="J11730">
        <v>333</v>
      </c>
      <c r="K11730">
        <v>0</v>
      </c>
      <c r="L11730">
        <v>259.74</v>
      </c>
    </row>
    <row r="11731" spans="1:12" x14ac:dyDescent="0.25">
      <c r="A11731" t="str">
        <f t="shared" si="2548"/>
        <v>89301000</v>
      </c>
      <c r="B11731" t="str">
        <f t="shared" si="2544"/>
        <v>78006000</v>
      </c>
      <c r="C11731" t="str">
        <f t="shared" si="2549"/>
        <v>78006201</v>
      </c>
      <c r="D11731" t="str">
        <f t="shared" si="2550"/>
        <v>801</v>
      </c>
      <c r="E11731" t="str">
        <f t="shared" si="2551"/>
        <v>89301167</v>
      </c>
      <c r="F11731" t="str">
        <f t="shared" si="2552"/>
        <v>466109458</v>
      </c>
      <c r="G11731" s="1">
        <v>44870</v>
      </c>
      <c r="H11731" t="str">
        <f>"81329"</f>
        <v>81329</v>
      </c>
      <c r="I11731">
        <v>1</v>
      </c>
      <c r="J11731">
        <v>16</v>
      </c>
      <c r="K11731">
        <v>0</v>
      </c>
      <c r="L11731">
        <v>12.48</v>
      </c>
    </row>
    <row r="11732" spans="1:12" x14ac:dyDescent="0.25">
      <c r="A11732" t="str">
        <f t="shared" si="2548"/>
        <v>89301000</v>
      </c>
      <c r="B11732" t="str">
        <f t="shared" si="2544"/>
        <v>78006000</v>
      </c>
      <c r="C11732" t="str">
        <f t="shared" si="2549"/>
        <v>78006201</v>
      </c>
      <c r="D11732" t="str">
        <f t="shared" si="2550"/>
        <v>801</v>
      </c>
      <c r="E11732" t="str">
        <f t="shared" si="2551"/>
        <v>89301167</v>
      </c>
      <c r="F11732" t="str">
        <f t="shared" si="2552"/>
        <v>466109458</v>
      </c>
      <c r="G11732" s="1">
        <v>44870</v>
      </c>
      <c r="H11732" t="str">
        <f>"81383"</f>
        <v>81383</v>
      </c>
      <c r="I11732">
        <v>1</v>
      </c>
      <c r="J11732">
        <v>23</v>
      </c>
      <c r="K11732">
        <v>0</v>
      </c>
      <c r="L11732">
        <v>17.940000000000001</v>
      </c>
    </row>
    <row r="11733" spans="1:12" x14ac:dyDescent="0.25">
      <c r="A11733" t="str">
        <f t="shared" si="2548"/>
        <v>89301000</v>
      </c>
      <c r="B11733" t="str">
        <f t="shared" si="2544"/>
        <v>78006000</v>
      </c>
      <c r="C11733" t="str">
        <f t="shared" si="2549"/>
        <v>78006201</v>
      </c>
      <c r="D11733" t="str">
        <f t="shared" si="2550"/>
        <v>801</v>
      </c>
      <c r="E11733" t="str">
        <f t="shared" si="2551"/>
        <v>89301167</v>
      </c>
      <c r="F11733" t="str">
        <f t="shared" si="2552"/>
        <v>466109458</v>
      </c>
      <c r="G11733" s="1">
        <v>44870</v>
      </c>
      <c r="H11733" t="str">
        <f>"81473"</f>
        <v>81473</v>
      </c>
      <c r="I11733">
        <v>1</v>
      </c>
      <c r="J11733">
        <v>51</v>
      </c>
      <c r="K11733">
        <v>0</v>
      </c>
      <c r="L11733">
        <v>39.78</v>
      </c>
    </row>
    <row r="11734" spans="1:12" x14ac:dyDescent="0.25">
      <c r="A11734" t="str">
        <f t="shared" si="2548"/>
        <v>89301000</v>
      </c>
      <c r="B11734" t="str">
        <f t="shared" si="2544"/>
        <v>78006000</v>
      </c>
      <c r="C11734" t="str">
        <f t="shared" si="2549"/>
        <v>78006201</v>
      </c>
      <c r="D11734" t="str">
        <f t="shared" si="2550"/>
        <v>801</v>
      </c>
      <c r="E11734" t="str">
        <f t="shared" si="2551"/>
        <v>89301167</v>
      </c>
      <c r="F11734" t="str">
        <f t="shared" si="2552"/>
        <v>466109458</v>
      </c>
      <c r="G11734" s="1">
        <v>44870</v>
      </c>
      <c r="H11734" t="str">
        <f>"81527"</f>
        <v>81527</v>
      </c>
      <c r="I11734">
        <v>1</v>
      </c>
      <c r="J11734">
        <v>62</v>
      </c>
      <c r="K11734">
        <v>0</v>
      </c>
      <c r="L11734">
        <v>48.36</v>
      </c>
    </row>
    <row r="11735" spans="1:12" x14ac:dyDescent="0.25">
      <c r="A11735" t="str">
        <f t="shared" si="2548"/>
        <v>89301000</v>
      </c>
      <c r="B11735" t="str">
        <f t="shared" si="2544"/>
        <v>78006000</v>
      </c>
      <c r="C11735" t="str">
        <f t="shared" si="2549"/>
        <v>78006201</v>
      </c>
      <c r="D11735" t="str">
        <f t="shared" si="2550"/>
        <v>801</v>
      </c>
      <c r="E11735" t="str">
        <f t="shared" si="2551"/>
        <v>89301167</v>
      </c>
      <c r="F11735" t="str">
        <f t="shared" si="2552"/>
        <v>466109458</v>
      </c>
      <c r="G11735" s="1">
        <v>44870</v>
      </c>
      <c r="H11735" t="str">
        <f>"81625"</f>
        <v>81625</v>
      </c>
      <c r="I11735">
        <v>1</v>
      </c>
      <c r="J11735">
        <v>20</v>
      </c>
      <c r="K11735">
        <v>0</v>
      </c>
      <c r="L11735">
        <v>15.6</v>
      </c>
    </row>
    <row r="11736" spans="1:12" x14ac:dyDescent="0.25">
      <c r="A11736" t="str">
        <f t="shared" si="2548"/>
        <v>89301000</v>
      </c>
      <c r="B11736" t="str">
        <f t="shared" si="2544"/>
        <v>78006000</v>
      </c>
      <c r="C11736" t="str">
        <f t="shared" si="2549"/>
        <v>78006201</v>
      </c>
      <c r="D11736" t="str">
        <f t="shared" si="2550"/>
        <v>801</v>
      </c>
      <c r="E11736" t="str">
        <f t="shared" si="2551"/>
        <v>89301167</v>
      </c>
      <c r="F11736" t="str">
        <f t="shared" si="2552"/>
        <v>466109458</v>
      </c>
      <c r="G11736" s="1">
        <v>44870</v>
      </c>
      <c r="H11736" t="str">
        <f>"81679"</f>
        <v>81679</v>
      </c>
      <c r="I11736">
        <v>1</v>
      </c>
      <c r="J11736">
        <v>1808</v>
      </c>
      <c r="K11736">
        <v>0</v>
      </c>
      <c r="L11736">
        <v>1410.24</v>
      </c>
    </row>
    <row r="11737" spans="1:12" x14ac:dyDescent="0.25">
      <c r="A11737" t="str">
        <f t="shared" si="2548"/>
        <v>89301000</v>
      </c>
      <c r="B11737" t="str">
        <f t="shared" si="2544"/>
        <v>78006000</v>
      </c>
      <c r="C11737" t="str">
        <f t="shared" si="2549"/>
        <v>78006201</v>
      </c>
      <c r="D11737" t="str">
        <f t="shared" si="2550"/>
        <v>801</v>
      </c>
      <c r="E11737" t="str">
        <f t="shared" si="2551"/>
        <v>89301167</v>
      </c>
      <c r="F11737" t="str">
        <f t="shared" si="2552"/>
        <v>466109458</v>
      </c>
      <c r="G11737" s="1">
        <v>44870</v>
      </c>
      <c r="H11737" t="str">
        <f>"93189"</f>
        <v>93189</v>
      </c>
      <c r="I11737">
        <v>1</v>
      </c>
      <c r="J11737">
        <v>189</v>
      </c>
      <c r="K11737">
        <v>0</v>
      </c>
      <c r="L11737">
        <v>147.41999999999999</v>
      </c>
    </row>
    <row r="11738" spans="1:12" x14ac:dyDescent="0.25">
      <c r="A11738" t="str">
        <f t="shared" si="2548"/>
        <v>89301000</v>
      </c>
      <c r="B11738" t="str">
        <f t="shared" ref="B11738:B11769" si="2553">"78006000"</f>
        <v>78006000</v>
      </c>
      <c r="C11738" t="str">
        <f t="shared" si="2549"/>
        <v>78006201</v>
      </c>
      <c r="D11738" t="str">
        <f t="shared" si="2550"/>
        <v>801</v>
      </c>
      <c r="E11738" t="str">
        <f t="shared" si="2551"/>
        <v>89301167</v>
      </c>
      <c r="F11738" t="str">
        <f t="shared" si="2552"/>
        <v>466109458</v>
      </c>
      <c r="G11738" s="1">
        <v>44870</v>
      </c>
      <c r="H11738" t="str">
        <f>"93195"</f>
        <v>93195</v>
      </c>
      <c r="I11738">
        <v>1</v>
      </c>
      <c r="J11738">
        <v>181</v>
      </c>
      <c r="K11738">
        <v>0</v>
      </c>
      <c r="L11738">
        <v>141.18</v>
      </c>
    </row>
    <row r="11739" spans="1:12" x14ac:dyDescent="0.25">
      <c r="A11739" t="str">
        <f t="shared" si="2548"/>
        <v>89301000</v>
      </c>
      <c r="B11739" t="str">
        <f t="shared" si="2553"/>
        <v>78006000</v>
      </c>
      <c r="C11739" t="str">
        <f t="shared" si="2549"/>
        <v>78006201</v>
      </c>
      <c r="D11739" t="str">
        <f t="shared" si="2550"/>
        <v>801</v>
      </c>
      <c r="E11739" t="str">
        <f t="shared" si="2551"/>
        <v>89301167</v>
      </c>
      <c r="F11739" t="str">
        <f t="shared" si="2552"/>
        <v>466109458</v>
      </c>
      <c r="G11739" s="1">
        <v>44870</v>
      </c>
      <c r="H11739" t="str">
        <f>"97111"</f>
        <v>97111</v>
      </c>
      <c r="I11739">
        <v>1</v>
      </c>
      <c r="J11739">
        <v>18</v>
      </c>
      <c r="K11739">
        <v>0</v>
      </c>
      <c r="L11739">
        <v>14.04</v>
      </c>
    </row>
    <row r="11740" spans="1:12" x14ac:dyDescent="0.25">
      <c r="A11740" t="str">
        <f t="shared" si="2548"/>
        <v>89301000</v>
      </c>
      <c r="B11740" t="str">
        <f t="shared" si="2553"/>
        <v>78006000</v>
      </c>
      <c r="C11740" t="str">
        <f t="shared" si="2549"/>
        <v>78006201</v>
      </c>
      <c r="D11740" t="str">
        <f t="shared" si="2550"/>
        <v>801</v>
      </c>
      <c r="E11740" t="str">
        <f t="shared" ref="E11740:E11759" si="2554">"89301012"</f>
        <v>89301012</v>
      </c>
      <c r="F11740" t="str">
        <f t="shared" ref="F11740:F11759" si="2555">"9211164842"</f>
        <v>9211164842</v>
      </c>
      <c r="G11740" s="1">
        <v>44875</v>
      </c>
      <c r="H11740" t="str">
        <f>"81337"</f>
        <v>81337</v>
      </c>
      <c r="I11740">
        <v>1</v>
      </c>
      <c r="J11740">
        <v>19</v>
      </c>
      <c r="K11740">
        <v>0</v>
      </c>
      <c r="L11740">
        <v>14.82</v>
      </c>
    </row>
    <row r="11741" spans="1:12" x14ac:dyDescent="0.25">
      <c r="A11741" t="str">
        <f t="shared" si="2548"/>
        <v>89301000</v>
      </c>
      <c r="B11741" t="str">
        <f t="shared" si="2553"/>
        <v>78006000</v>
      </c>
      <c r="C11741" t="str">
        <f t="shared" si="2549"/>
        <v>78006201</v>
      </c>
      <c r="D11741" t="str">
        <f t="shared" si="2550"/>
        <v>801</v>
      </c>
      <c r="E11741" t="str">
        <f t="shared" si="2554"/>
        <v>89301012</v>
      </c>
      <c r="F11741" t="str">
        <f t="shared" si="2555"/>
        <v>9211164842</v>
      </c>
      <c r="G11741" s="1">
        <v>44875</v>
      </c>
      <c r="H11741" t="str">
        <f>"81357"</f>
        <v>81357</v>
      </c>
      <c r="I11741">
        <v>1</v>
      </c>
      <c r="J11741">
        <v>19</v>
      </c>
      <c r="K11741">
        <v>0</v>
      </c>
      <c r="L11741">
        <v>14.82</v>
      </c>
    </row>
    <row r="11742" spans="1:12" x14ac:dyDescent="0.25">
      <c r="A11742" t="str">
        <f t="shared" si="2548"/>
        <v>89301000</v>
      </c>
      <c r="B11742" t="str">
        <f t="shared" si="2553"/>
        <v>78006000</v>
      </c>
      <c r="C11742" t="str">
        <f t="shared" si="2549"/>
        <v>78006201</v>
      </c>
      <c r="D11742" t="str">
        <f t="shared" si="2550"/>
        <v>801</v>
      </c>
      <c r="E11742" t="str">
        <f t="shared" si="2554"/>
        <v>89301012</v>
      </c>
      <c r="F11742" t="str">
        <f t="shared" si="2555"/>
        <v>9211164842</v>
      </c>
      <c r="G11742" s="1">
        <v>44875</v>
      </c>
      <c r="H11742" t="str">
        <f>"81393"</f>
        <v>81393</v>
      </c>
      <c r="I11742">
        <v>1</v>
      </c>
      <c r="J11742">
        <v>24</v>
      </c>
      <c r="K11742">
        <v>0</v>
      </c>
      <c r="L11742">
        <v>18.72</v>
      </c>
    </row>
    <row r="11743" spans="1:12" x14ac:dyDescent="0.25">
      <c r="A11743" t="str">
        <f t="shared" si="2548"/>
        <v>89301000</v>
      </c>
      <c r="B11743" t="str">
        <f t="shared" si="2553"/>
        <v>78006000</v>
      </c>
      <c r="C11743" t="str">
        <f t="shared" si="2549"/>
        <v>78006201</v>
      </c>
      <c r="D11743" t="str">
        <f t="shared" si="2550"/>
        <v>801</v>
      </c>
      <c r="E11743" t="str">
        <f t="shared" si="2554"/>
        <v>89301012</v>
      </c>
      <c r="F11743" t="str">
        <f t="shared" si="2555"/>
        <v>9211164842</v>
      </c>
      <c r="G11743" s="1">
        <v>44875</v>
      </c>
      <c r="H11743" t="str">
        <f>"81421"</f>
        <v>81421</v>
      </c>
      <c r="I11743">
        <v>1</v>
      </c>
      <c r="J11743">
        <v>19</v>
      </c>
      <c r="K11743">
        <v>0</v>
      </c>
      <c r="L11743">
        <v>14.82</v>
      </c>
    </row>
    <row r="11744" spans="1:12" x14ac:dyDescent="0.25">
      <c r="A11744" t="str">
        <f t="shared" si="2548"/>
        <v>89301000</v>
      </c>
      <c r="B11744" t="str">
        <f t="shared" si="2553"/>
        <v>78006000</v>
      </c>
      <c r="C11744" t="str">
        <f t="shared" si="2549"/>
        <v>78006201</v>
      </c>
      <c r="D11744" t="str">
        <f t="shared" si="2550"/>
        <v>801</v>
      </c>
      <c r="E11744" t="str">
        <f t="shared" si="2554"/>
        <v>89301012</v>
      </c>
      <c r="F11744" t="str">
        <f t="shared" si="2555"/>
        <v>9211164842</v>
      </c>
      <c r="G11744" s="1">
        <v>44875</v>
      </c>
      <c r="H11744" t="str">
        <f>"81435"</f>
        <v>81435</v>
      </c>
      <c r="I11744">
        <v>1</v>
      </c>
      <c r="J11744">
        <v>22</v>
      </c>
      <c r="K11744">
        <v>0</v>
      </c>
      <c r="L11744">
        <v>17.16</v>
      </c>
    </row>
    <row r="11745" spans="1:12" x14ac:dyDescent="0.25">
      <c r="A11745" t="str">
        <f t="shared" si="2548"/>
        <v>89301000</v>
      </c>
      <c r="B11745" t="str">
        <f t="shared" si="2553"/>
        <v>78006000</v>
      </c>
      <c r="C11745" t="str">
        <f t="shared" si="2549"/>
        <v>78006201</v>
      </c>
      <c r="D11745" t="str">
        <f t="shared" si="2550"/>
        <v>801</v>
      </c>
      <c r="E11745" t="str">
        <f t="shared" si="2554"/>
        <v>89301012</v>
      </c>
      <c r="F11745" t="str">
        <f t="shared" si="2555"/>
        <v>9211164842</v>
      </c>
      <c r="G11745" s="1">
        <v>44875</v>
      </c>
      <c r="H11745" t="str">
        <f>"81465"</f>
        <v>81465</v>
      </c>
      <c r="I11745">
        <v>1</v>
      </c>
      <c r="J11745">
        <v>21</v>
      </c>
      <c r="K11745">
        <v>0</v>
      </c>
      <c r="L11745">
        <v>16.38</v>
      </c>
    </row>
    <row r="11746" spans="1:12" x14ac:dyDescent="0.25">
      <c r="A11746" t="str">
        <f t="shared" si="2548"/>
        <v>89301000</v>
      </c>
      <c r="B11746" t="str">
        <f t="shared" si="2553"/>
        <v>78006000</v>
      </c>
      <c r="C11746" t="str">
        <f t="shared" si="2549"/>
        <v>78006201</v>
      </c>
      <c r="D11746" t="str">
        <f t="shared" si="2550"/>
        <v>801</v>
      </c>
      <c r="E11746" t="str">
        <f t="shared" si="2554"/>
        <v>89301012</v>
      </c>
      <c r="F11746" t="str">
        <f t="shared" si="2555"/>
        <v>9211164842</v>
      </c>
      <c r="G11746" s="1">
        <v>44875</v>
      </c>
      <c r="H11746" t="str">
        <f>"81469"</f>
        <v>81469</v>
      </c>
      <c r="I11746">
        <v>1</v>
      </c>
      <c r="J11746">
        <v>16</v>
      </c>
      <c r="K11746">
        <v>0</v>
      </c>
      <c r="L11746">
        <v>12.48</v>
      </c>
    </row>
    <row r="11747" spans="1:12" x14ac:dyDescent="0.25">
      <c r="A11747" t="str">
        <f t="shared" si="2548"/>
        <v>89301000</v>
      </c>
      <c r="B11747" t="str">
        <f t="shared" si="2553"/>
        <v>78006000</v>
      </c>
      <c r="C11747" t="str">
        <f t="shared" si="2549"/>
        <v>78006201</v>
      </c>
      <c r="D11747" t="str">
        <f t="shared" si="2550"/>
        <v>801</v>
      </c>
      <c r="E11747" t="str">
        <f t="shared" si="2554"/>
        <v>89301012</v>
      </c>
      <c r="F11747" t="str">
        <f t="shared" si="2555"/>
        <v>9211164842</v>
      </c>
      <c r="G11747" s="1">
        <v>44875</v>
      </c>
      <c r="H11747" t="str">
        <f>"81471"</f>
        <v>81471</v>
      </c>
      <c r="I11747">
        <v>1</v>
      </c>
      <c r="J11747">
        <v>24</v>
      </c>
      <c r="K11747">
        <v>0</v>
      </c>
      <c r="L11747">
        <v>18.72</v>
      </c>
    </row>
    <row r="11748" spans="1:12" x14ac:dyDescent="0.25">
      <c r="A11748" t="str">
        <f t="shared" si="2548"/>
        <v>89301000</v>
      </c>
      <c r="B11748" t="str">
        <f t="shared" si="2553"/>
        <v>78006000</v>
      </c>
      <c r="C11748" t="str">
        <f t="shared" si="2549"/>
        <v>78006201</v>
      </c>
      <c r="D11748" t="str">
        <f t="shared" si="2550"/>
        <v>801</v>
      </c>
      <c r="E11748" t="str">
        <f t="shared" si="2554"/>
        <v>89301012</v>
      </c>
      <c r="F11748" t="str">
        <f t="shared" si="2555"/>
        <v>9211164842</v>
      </c>
      <c r="G11748" s="1">
        <v>44875</v>
      </c>
      <c r="H11748" t="str">
        <f>"81473"</f>
        <v>81473</v>
      </c>
      <c r="I11748">
        <v>1</v>
      </c>
      <c r="J11748">
        <v>51</v>
      </c>
      <c r="K11748">
        <v>0</v>
      </c>
      <c r="L11748">
        <v>39.78</v>
      </c>
    </row>
    <row r="11749" spans="1:12" x14ac:dyDescent="0.25">
      <c r="A11749" t="str">
        <f t="shared" si="2548"/>
        <v>89301000</v>
      </c>
      <c r="B11749" t="str">
        <f t="shared" si="2553"/>
        <v>78006000</v>
      </c>
      <c r="C11749" t="str">
        <f t="shared" si="2549"/>
        <v>78006201</v>
      </c>
      <c r="D11749" t="str">
        <f t="shared" si="2550"/>
        <v>801</v>
      </c>
      <c r="E11749" t="str">
        <f t="shared" si="2554"/>
        <v>89301012</v>
      </c>
      <c r="F11749" t="str">
        <f t="shared" si="2555"/>
        <v>9211164842</v>
      </c>
      <c r="G11749" s="1">
        <v>44875</v>
      </c>
      <c r="H11749" t="str">
        <f>"81499"</f>
        <v>81499</v>
      </c>
      <c r="I11749">
        <v>1</v>
      </c>
      <c r="J11749">
        <v>18</v>
      </c>
      <c r="K11749">
        <v>0</v>
      </c>
      <c r="L11749">
        <v>14.04</v>
      </c>
    </row>
    <row r="11750" spans="1:12" x14ac:dyDescent="0.25">
      <c r="A11750" t="str">
        <f t="shared" si="2548"/>
        <v>89301000</v>
      </c>
      <c r="B11750" t="str">
        <f t="shared" si="2553"/>
        <v>78006000</v>
      </c>
      <c r="C11750" t="str">
        <f t="shared" si="2549"/>
        <v>78006201</v>
      </c>
      <c r="D11750" t="str">
        <f t="shared" si="2550"/>
        <v>801</v>
      </c>
      <c r="E11750" t="str">
        <f t="shared" si="2554"/>
        <v>89301012</v>
      </c>
      <c r="F11750" t="str">
        <f t="shared" si="2555"/>
        <v>9211164842</v>
      </c>
      <c r="G11750" s="1">
        <v>44875</v>
      </c>
      <c r="H11750" t="str">
        <f>"81523"</f>
        <v>81523</v>
      </c>
      <c r="I11750">
        <v>1</v>
      </c>
      <c r="J11750">
        <v>23</v>
      </c>
      <c r="K11750">
        <v>0</v>
      </c>
      <c r="L11750">
        <v>17.940000000000001</v>
      </c>
    </row>
    <row r="11751" spans="1:12" x14ac:dyDescent="0.25">
      <c r="A11751" t="str">
        <f t="shared" si="2548"/>
        <v>89301000</v>
      </c>
      <c r="B11751" t="str">
        <f t="shared" si="2553"/>
        <v>78006000</v>
      </c>
      <c r="C11751" t="str">
        <f t="shared" si="2549"/>
        <v>78006201</v>
      </c>
      <c r="D11751" t="str">
        <f t="shared" si="2550"/>
        <v>801</v>
      </c>
      <c r="E11751" t="str">
        <f t="shared" si="2554"/>
        <v>89301012</v>
      </c>
      <c r="F11751" t="str">
        <f t="shared" si="2555"/>
        <v>9211164842</v>
      </c>
      <c r="G11751" s="1">
        <v>44875</v>
      </c>
      <c r="H11751" t="str">
        <f>"81527"</f>
        <v>81527</v>
      </c>
      <c r="I11751">
        <v>1</v>
      </c>
      <c r="J11751">
        <v>62</v>
      </c>
      <c r="K11751">
        <v>0</v>
      </c>
      <c r="L11751">
        <v>48.36</v>
      </c>
    </row>
    <row r="11752" spans="1:12" x14ac:dyDescent="0.25">
      <c r="A11752" t="str">
        <f t="shared" si="2548"/>
        <v>89301000</v>
      </c>
      <c r="B11752" t="str">
        <f t="shared" si="2553"/>
        <v>78006000</v>
      </c>
      <c r="C11752" t="str">
        <f t="shared" si="2549"/>
        <v>78006201</v>
      </c>
      <c r="D11752" t="str">
        <f t="shared" si="2550"/>
        <v>801</v>
      </c>
      <c r="E11752" t="str">
        <f t="shared" si="2554"/>
        <v>89301012</v>
      </c>
      <c r="F11752" t="str">
        <f t="shared" si="2555"/>
        <v>9211164842</v>
      </c>
      <c r="G11752" s="1">
        <v>44875</v>
      </c>
      <c r="H11752" t="str">
        <f>"81593"</f>
        <v>81593</v>
      </c>
      <c r="I11752">
        <v>1</v>
      </c>
      <c r="J11752">
        <v>22</v>
      </c>
      <c r="K11752">
        <v>0</v>
      </c>
      <c r="L11752">
        <v>17.16</v>
      </c>
    </row>
    <row r="11753" spans="1:12" x14ac:dyDescent="0.25">
      <c r="A11753" t="str">
        <f t="shared" si="2548"/>
        <v>89301000</v>
      </c>
      <c r="B11753" t="str">
        <f t="shared" si="2553"/>
        <v>78006000</v>
      </c>
      <c r="C11753" t="str">
        <f t="shared" si="2549"/>
        <v>78006201</v>
      </c>
      <c r="D11753" t="str">
        <f t="shared" si="2550"/>
        <v>801</v>
      </c>
      <c r="E11753" t="str">
        <f t="shared" si="2554"/>
        <v>89301012</v>
      </c>
      <c r="F11753" t="str">
        <f t="shared" si="2555"/>
        <v>9211164842</v>
      </c>
      <c r="G11753" s="1">
        <v>44875</v>
      </c>
      <c r="H11753" t="str">
        <f>"81611"</f>
        <v>81611</v>
      </c>
      <c r="I11753">
        <v>1</v>
      </c>
      <c r="J11753">
        <v>29</v>
      </c>
      <c r="K11753">
        <v>0</v>
      </c>
      <c r="L11753">
        <v>22.62</v>
      </c>
    </row>
    <row r="11754" spans="1:12" x14ac:dyDescent="0.25">
      <c r="A11754" t="str">
        <f t="shared" si="2548"/>
        <v>89301000</v>
      </c>
      <c r="B11754" t="str">
        <f t="shared" si="2553"/>
        <v>78006000</v>
      </c>
      <c r="C11754" t="str">
        <f t="shared" si="2549"/>
        <v>78006201</v>
      </c>
      <c r="D11754" t="str">
        <f t="shared" si="2550"/>
        <v>801</v>
      </c>
      <c r="E11754" t="str">
        <f t="shared" si="2554"/>
        <v>89301012</v>
      </c>
      <c r="F11754" t="str">
        <f t="shared" si="2555"/>
        <v>9211164842</v>
      </c>
      <c r="G11754" s="1">
        <v>44875</v>
      </c>
      <c r="H11754" t="str">
        <f>"81621"</f>
        <v>81621</v>
      </c>
      <c r="I11754">
        <v>1</v>
      </c>
      <c r="J11754">
        <v>19</v>
      </c>
      <c r="K11754">
        <v>0</v>
      </c>
      <c r="L11754">
        <v>14.82</v>
      </c>
    </row>
    <row r="11755" spans="1:12" x14ac:dyDescent="0.25">
      <c r="A11755" t="str">
        <f t="shared" si="2548"/>
        <v>89301000</v>
      </c>
      <c r="B11755" t="str">
        <f t="shared" si="2553"/>
        <v>78006000</v>
      </c>
      <c r="C11755" t="str">
        <f t="shared" si="2549"/>
        <v>78006201</v>
      </c>
      <c r="D11755" t="str">
        <f t="shared" si="2550"/>
        <v>801</v>
      </c>
      <c r="E11755" t="str">
        <f t="shared" si="2554"/>
        <v>89301012</v>
      </c>
      <c r="F11755" t="str">
        <f t="shared" si="2555"/>
        <v>9211164842</v>
      </c>
      <c r="G11755" s="1">
        <v>44875</v>
      </c>
      <c r="H11755" t="str">
        <f>"81625"</f>
        <v>81625</v>
      </c>
      <c r="I11755">
        <v>1</v>
      </c>
      <c r="J11755">
        <v>20</v>
      </c>
      <c r="K11755">
        <v>0</v>
      </c>
      <c r="L11755">
        <v>15.6</v>
      </c>
    </row>
    <row r="11756" spans="1:12" x14ac:dyDescent="0.25">
      <c r="A11756" t="str">
        <f t="shared" si="2548"/>
        <v>89301000</v>
      </c>
      <c r="B11756" t="str">
        <f t="shared" si="2553"/>
        <v>78006000</v>
      </c>
      <c r="C11756" t="str">
        <f t="shared" si="2549"/>
        <v>78006201</v>
      </c>
      <c r="D11756" t="str">
        <f t="shared" si="2550"/>
        <v>801</v>
      </c>
      <c r="E11756" t="str">
        <f t="shared" si="2554"/>
        <v>89301012</v>
      </c>
      <c r="F11756" t="str">
        <f t="shared" si="2555"/>
        <v>9211164842</v>
      </c>
      <c r="G11756" s="1">
        <v>44875</v>
      </c>
      <c r="H11756" t="str">
        <f>"81641"</f>
        <v>81641</v>
      </c>
      <c r="I11756">
        <v>1</v>
      </c>
      <c r="J11756">
        <v>20</v>
      </c>
      <c r="K11756">
        <v>0</v>
      </c>
      <c r="L11756">
        <v>15.6</v>
      </c>
    </row>
    <row r="11757" spans="1:12" x14ac:dyDescent="0.25">
      <c r="A11757" t="str">
        <f t="shared" si="2548"/>
        <v>89301000</v>
      </c>
      <c r="B11757" t="str">
        <f t="shared" si="2553"/>
        <v>78006000</v>
      </c>
      <c r="C11757" t="str">
        <f t="shared" si="2549"/>
        <v>78006201</v>
      </c>
      <c r="D11757" t="str">
        <f t="shared" si="2550"/>
        <v>801</v>
      </c>
      <c r="E11757" t="str">
        <f t="shared" si="2554"/>
        <v>89301012</v>
      </c>
      <c r="F11757" t="str">
        <f t="shared" si="2555"/>
        <v>9211164842</v>
      </c>
      <c r="G11757" s="1">
        <v>44875</v>
      </c>
      <c r="H11757" t="str">
        <f>"81731"</f>
        <v>81731</v>
      </c>
      <c r="I11757">
        <v>1</v>
      </c>
      <c r="J11757">
        <v>859</v>
      </c>
      <c r="K11757">
        <v>0</v>
      </c>
      <c r="L11757">
        <v>670.02</v>
      </c>
    </row>
    <row r="11758" spans="1:12" x14ac:dyDescent="0.25">
      <c r="A11758" t="str">
        <f t="shared" si="2548"/>
        <v>89301000</v>
      </c>
      <c r="B11758" t="str">
        <f t="shared" si="2553"/>
        <v>78006000</v>
      </c>
      <c r="C11758" t="str">
        <f t="shared" si="2549"/>
        <v>78006201</v>
      </c>
      <c r="D11758" t="str">
        <f t="shared" si="2550"/>
        <v>801</v>
      </c>
      <c r="E11758" t="str">
        <f t="shared" si="2554"/>
        <v>89301012</v>
      </c>
      <c r="F11758" t="str">
        <f t="shared" si="2555"/>
        <v>9211164842</v>
      </c>
      <c r="G11758" s="1">
        <v>44875</v>
      </c>
      <c r="H11758" t="str">
        <f>"97111"</f>
        <v>97111</v>
      </c>
      <c r="I11758">
        <v>1</v>
      </c>
      <c r="J11758">
        <v>18</v>
      </c>
      <c r="K11758">
        <v>0</v>
      </c>
      <c r="L11758">
        <v>14.04</v>
      </c>
    </row>
    <row r="11759" spans="1:12" x14ac:dyDescent="0.25">
      <c r="A11759" t="str">
        <f t="shared" si="2548"/>
        <v>89301000</v>
      </c>
      <c r="B11759" t="str">
        <f t="shared" si="2553"/>
        <v>78006000</v>
      </c>
      <c r="C11759" t="str">
        <f>"78006205"</f>
        <v>78006205</v>
      </c>
      <c r="D11759" t="str">
        <f>"818"</f>
        <v>818</v>
      </c>
      <c r="E11759" t="str">
        <f t="shared" si="2554"/>
        <v>89301012</v>
      </c>
      <c r="F11759" t="str">
        <f t="shared" si="2555"/>
        <v>9211164842</v>
      </c>
      <c r="G11759" s="1">
        <v>44875</v>
      </c>
      <c r="H11759" t="str">
        <f>"96167"</f>
        <v>96167</v>
      </c>
      <c r="I11759">
        <v>1</v>
      </c>
      <c r="J11759">
        <v>67</v>
      </c>
      <c r="K11759">
        <v>0</v>
      </c>
      <c r="L11759">
        <v>60.97</v>
      </c>
    </row>
    <row r="11760" spans="1:12" x14ac:dyDescent="0.25">
      <c r="A11760" t="str">
        <f t="shared" si="2548"/>
        <v>89301000</v>
      </c>
      <c r="B11760" t="str">
        <f t="shared" si="2553"/>
        <v>78006000</v>
      </c>
      <c r="C11760" t="str">
        <f>"78006205"</f>
        <v>78006205</v>
      </c>
      <c r="D11760" t="str">
        <f>"818"</f>
        <v>818</v>
      </c>
      <c r="E11760" t="str">
        <f>"89301167"</f>
        <v>89301167</v>
      </c>
      <c r="F11760" t="str">
        <f>"466109458"</f>
        <v>466109458</v>
      </c>
      <c r="G11760" s="1">
        <v>44870</v>
      </c>
      <c r="H11760" t="str">
        <f>"96167"</f>
        <v>96167</v>
      </c>
      <c r="I11760">
        <v>1</v>
      </c>
      <c r="J11760">
        <v>67</v>
      </c>
      <c r="K11760">
        <v>0</v>
      </c>
      <c r="L11760">
        <v>60.97</v>
      </c>
    </row>
    <row r="11761" spans="1:12" x14ac:dyDescent="0.25">
      <c r="A11761" t="str">
        <f t="shared" si="2548"/>
        <v>89301000</v>
      </c>
      <c r="B11761" t="str">
        <f t="shared" si="2553"/>
        <v>78006000</v>
      </c>
      <c r="C11761" t="str">
        <f>"78006205"</f>
        <v>78006205</v>
      </c>
      <c r="D11761" t="str">
        <f>"818"</f>
        <v>818</v>
      </c>
      <c r="E11761" t="str">
        <f>"89301167"</f>
        <v>89301167</v>
      </c>
      <c r="F11761" t="str">
        <f>"7003135304"</f>
        <v>7003135304</v>
      </c>
      <c r="G11761" s="1">
        <v>44879</v>
      </c>
      <c r="H11761" t="str">
        <f>"96167"</f>
        <v>96167</v>
      </c>
      <c r="I11761">
        <v>1</v>
      </c>
      <c r="J11761">
        <v>67</v>
      </c>
      <c r="K11761">
        <v>0</v>
      </c>
      <c r="L11761">
        <v>60.97</v>
      </c>
    </row>
    <row r="11762" spans="1:12" x14ac:dyDescent="0.25">
      <c r="A11762" t="str">
        <f t="shared" si="2548"/>
        <v>89301000</v>
      </c>
      <c r="B11762" t="str">
        <f t="shared" si="2553"/>
        <v>78006000</v>
      </c>
      <c r="C11762" t="str">
        <f>"78006233"</f>
        <v>78006233</v>
      </c>
      <c r="D11762" t="str">
        <f>"810"</f>
        <v>810</v>
      </c>
      <c r="E11762" t="str">
        <f>"89301062"</f>
        <v>89301062</v>
      </c>
      <c r="F11762" t="str">
        <f>"7551154479"</f>
        <v>7551154479</v>
      </c>
      <c r="G11762" s="1">
        <v>44881</v>
      </c>
      <c r="H11762" t="str">
        <f>"89713"</f>
        <v>89713</v>
      </c>
      <c r="I11762">
        <v>1</v>
      </c>
      <c r="J11762">
        <v>5362</v>
      </c>
      <c r="K11762">
        <v>0</v>
      </c>
      <c r="L11762">
        <v>3217.2</v>
      </c>
    </row>
    <row r="11763" spans="1:12" x14ac:dyDescent="0.25">
      <c r="A11763" t="str">
        <f t="shared" si="2548"/>
        <v>89301000</v>
      </c>
      <c r="B11763" t="str">
        <f t="shared" si="2553"/>
        <v>78006000</v>
      </c>
      <c r="C11763" t="str">
        <f>"78006233"</f>
        <v>78006233</v>
      </c>
      <c r="D11763" t="str">
        <f>"810"</f>
        <v>810</v>
      </c>
      <c r="E11763" t="str">
        <f>"89301062"</f>
        <v>89301062</v>
      </c>
      <c r="F11763" t="str">
        <f>"7551154479"</f>
        <v>7551154479</v>
      </c>
      <c r="G11763" s="1">
        <v>44881</v>
      </c>
      <c r="H11763" t="str">
        <f>"89725"</f>
        <v>89725</v>
      </c>
      <c r="I11763">
        <v>1</v>
      </c>
      <c r="J11763">
        <v>2839</v>
      </c>
      <c r="K11763">
        <v>0</v>
      </c>
      <c r="L11763">
        <v>1703.4</v>
      </c>
    </row>
    <row r="11764" spans="1:12" x14ac:dyDescent="0.25">
      <c r="A11764" t="str">
        <f t="shared" si="2548"/>
        <v>89301000</v>
      </c>
      <c r="B11764" t="str">
        <f t="shared" si="2553"/>
        <v>78006000</v>
      </c>
      <c r="C11764" t="str">
        <f t="shared" ref="C11764:C11777" si="2556">"78006207"</f>
        <v>78006207</v>
      </c>
      <c r="D11764" t="str">
        <f t="shared" ref="D11764:D11777" si="2557">"813"</f>
        <v>813</v>
      </c>
      <c r="E11764" t="str">
        <f>"89301167"</f>
        <v>89301167</v>
      </c>
      <c r="F11764" t="str">
        <f>"466109458"</f>
        <v>466109458</v>
      </c>
      <c r="G11764" s="1">
        <v>44870</v>
      </c>
      <c r="H11764" t="str">
        <f>"91153"</f>
        <v>91153</v>
      </c>
      <c r="I11764">
        <v>1</v>
      </c>
      <c r="J11764">
        <v>152</v>
      </c>
      <c r="K11764">
        <v>0</v>
      </c>
      <c r="L11764">
        <v>118.56</v>
      </c>
    </row>
    <row r="11765" spans="1:12" x14ac:dyDescent="0.25">
      <c r="A11765" t="str">
        <f t="shared" si="2548"/>
        <v>89301000</v>
      </c>
      <c r="B11765" t="str">
        <f t="shared" si="2553"/>
        <v>78006000</v>
      </c>
      <c r="C11765" t="str">
        <f t="shared" si="2556"/>
        <v>78006207</v>
      </c>
      <c r="D11765" t="str">
        <f t="shared" si="2557"/>
        <v>813</v>
      </c>
      <c r="E11765" t="str">
        <f t="shared" ref="E11765:E11771" si="2558">"89301171"</f>
        <v>89301171</v>
      </c>
      <c r="F11765" t="str">
        <f>"490808125"</f>
        <v>490808125</v>
      </c>
      <c r="G11765" s="1">
        <v>44868</v>
      </c>
      <c r="H11765" t="str">
        <f t="shared" ref="H11765:H11777" si="2559">"91197"</f>
        <v>91197</v>
      </c>
      <c r="I11765">
        <v>6</v>
      </c>
      <c r="J11765">
        <v>6276</v>
      </c>
      <c r="K11765">
        <v>0</v>
      </c>
      <c r="L11765">
        <v>4895.28</v>
      </c>
    </row>
    <row r="11766" spans="1:12" x14ac:dyDescent="0.25">
      <c r="A11766" t="str">
        <f t="shared" si="2548"/>
        <v>89301000</v>
      </c>
      <c r="B11766" t="str">
        <f t="shared" si="2553"/>
        <v>78006000</v>
      </c>
      <c r="C11766" t="str">
        <f t="shared" si="2556"/>
        <v>78006207</v>
      </c>
      <c r="D11766" t="str">
        <f t="shared" si="2557"/>
        <v>813</v>
      </c>
      <c r="E11766" t="str">
        <f t="shared" si="2558"/>
        <v>89301171</v>
      </c>
      <c r="F11766" t="str">
        <f>"475202456"</f>
        <v>475202456</v>
      </c>
      <c r="G11766" s="1">
        <v>44868</v>
      </c>
      <c r="H11766" t="str">
        <f t="shared" si="2559"/>
        <v>91197</v>
      </c>
      <c r="I11766">
        <v>6</v>
      </c>
      <c r="J11766">
        <v>6276</v>
      </c>
      <c r="K11766">
        <v>0</v>
      </c>
      <c r="L11766">
        <v>4895.28</v>
      </c>
    </row>
    <row r="11767" spans="1:12" x14ac:dyDescent="0.25">
      <c r="A11767" t="str">
        <f t="shared" si="2548"/>
        <v>89301000</v>
      </c>
      <c r="B11767" t="str">
        <f t="shared" si="2553"/>
        <v>78006000</v>
      </c>
      <c r="C11767" t="str">
        <f t="shared" si="2556"/>
        <v>78006207</v>
      </c>
      <c r="D11767" t="str">
        <f t="shared" si="2557"/>
        <v>813</v>
      </c>
      <c r="E11767" t="str">
        <f t="shared" si="2558"/>
        <v>89301171</v>
      </c>
      <c r="F11767" t="str">
        <f>"8352124055"</f>
        <v>8352124055</v>
      </c>
      <c r="G11767" s="1">
        <v>44875</v>
      </c>
      <c r="H11767" t="str">
        <f t="shared" si="2559"/>
        <v>91197</v>
      </c>
      <c r="I11767">
        <v>6</v>
      </c>
      <c r="J11767">
        <v>6276</v>
      </c>
      <c r="K11767">
        <v>0</v>
      </c>
      <c r="L11767">
        <v>4895.28</v>
      </c>
    </row>
    <row r="11768" spans="1:12" x14ac:dyDescent="0.25">
      <c r="A11768" t="str">
        <f t="shared" si="2548"/>
        <v>89301000</v>
      </c>
      <c r="B11768" t="str">
        <f t="shared" si="2553"/>
        <v>78006000</v>
      </c>
      <c r="C11768" t="str">
        <f t="shared" si="2556"/>
        <v>78006207</v>
      </c>
      <c r="D11768" t="str">
        <f t="shared" si="2557"/>
        <v>813</v>
      </c>
      <c r="E11768" t="str">
        <f t="shared" si="2558"/>
        <v>89301171</v>
      </c>
      <c r="F11768" t="str">
        <f>"7802250896"</f>
        <v>7802250896</v>
      </c>
      <c r="G11768" s="1">
        <v>44889</v>
      </c>
      <c r="H11768" t="str">
        <f t="shared" si="2559"/>
        <v>91197</v>
      </c>
      <c r="I11768">
        <v>6</v>
      </c>
      <c r="J11768">
        <v>6276</v>
      </c>
      <c r="K11768">
        <v>0</v>
      </c>
      <c r="L11768">
        <v>4895.28</v>
      </c>
    </row>
    <row r="11769" spans="1:12" x14ac:dyDescent="0.25">
      <c r="A11769" t="str">
        <f t="shared" si="2548"/>
        <v>89301000</v>
      </c>
      <c r="B11769" t="str">
        <f t="shared" si="2553"/>
        <v>78006000</v>
      </c>
      <c r="C11769" t="str">
        <f t="shared" si="2556"/>
        <v>78006207</v>
      </c>
      <c r="D11769" t="str">
        <f t="shared" si="2557"/>
        <v>813</v>
      </c>
      <c r="E11769" t="str">
        <f t="shared" si="2558"/>
        <v>89301171</v>
      </c>
      <c r="F11769" t="str">
        <f>"9811214017"</f>
        <v>9811214017</v>
      </c>
      <c r="G11769" s="1">
        <v>44889</v>
      </c>
      <c r="H11769" t="str">
        <f t="shared" si="2559"/>
        <v>91197</v>
      </c>
      <c r="I11769">
        <v>6</v>
      </c>
      <c r="J11769">
        <v>6276</v>
      </c>
      <c r="K11769">
        <v>0</v>
      </c>
      <c r="L11769">
        <v>4895.28</v>
      </c>
    </row>
    <row r="11770" spans="1:12" x14ac:dyDescent="0.25">
      <c r="A11770" t="str">
        <f t="shared" si="2548"/>
        <v>89301000</v>
      </c>
      <c r="B11770" t="str">
        <f t="shared" ref="B11770:B11786" si="2560">"78006000"</f>
        <v>78006000</v>
      </c>
      <c r="C11770" t="str">
        <f t="shared" si="2556"/>
        <v>78006207</v>
      </c>
      <c r="D11770" t="str">
        <f t="shared" si="2557"/>
        <v>813</v>
      </c>
      <c r="E11770" t="str">
        <f t="shared" si="2558"/>
        <v>89301171</v>
      </c>
      <c r="F11770" t="str">
        <f>"7153235595"</f>
        <v>7153235595</v>
      </c>
      <c r="G11770" s="1">
        <v>44889</v>
      </c>
      <c r="H11770" t="str">
        <f t="shared" si="2559"/>
        <v>91197</v>
      </c>
      <c r="I11770">
        <v>6</v>
      </c>
      <c r="J11770">
        <v>6276</v>
      </c>
      <c r="K11770">
        <v>0</v>
      </c>
      <c r="L11770">
        <v>4895.28</v>
      </c>
    </row>
    <row r="11771" spans="1:12" x14ac:dyDescent="0.25">
      <c r="A11771" t="str">
        <f t="shared" si="2548"/>
        <v>89301000</v>
      </c>
      <c r="B11771" t="str">
        <f t="shared" si="2560"/>
        <v>78006000</v>
      </c>
      <c r="C11771" t="str">
        <f t="shared" si="2556"/>
        <v>78006207</v>
      </c>
      <c r="D11771" t="str">
        <f t="shared" si="2557"/>
        <v>813</v>
      </c>
      <c r="E11771" t="str">
        <f t="shared" si="2558"/>
        <v>89301171</v>
      </c>
      <c r="F11771" t="str">
        <f>"7207205324"</f>
        <v>7207205324</v>
      </c>
      <c r="G11771" s="1">
        <v>44868</v>
      </c>
      <c r="H11771" t="str">
        <f t="shared" si="2559"/>
        <v>91197</v>
      </c>
      <c r="I11771">
        <v>6</v>
      </c>
      <c r="J11771">
        <v>6276</v>
      </c>
      <c r="K11771">
        <v>0</v>
      </c>
      <c r="L11771">
        <v>4895.28</v>
      </c>
    </row>
    <row r="11772" spans="1:12" x14ac:dyDescent="0.25">
      <c r="A11772" t="str">
        <f t="shared" si="2548"/>
        <v>89301000</v>
      </c>
      <c r="B11772" t="str">
        <f t="shared" si="2560"/>
        <v>78006000</v>
      </c>
      <c r="C11772" t="str">
        <f t="shared" si="2556"/>
        <v>78006207</v>
      </c>
      <c r="D11772" t="str">
        <f t="shared" si="2557"/>
        <v>813</v>
      </c>
      <c r="E11772" t="str">
        <f>"89301702"</f>
        <v>89301702</v>
      </c>
      <c r="F11772" t="str">
        <f>"0704305283"</f>
        <v>0704305283</v>
      </c>
      <c r="G11772" s="1">
        <v>44879</v>
      </c>
      <c r="H11772" t="str">
        <f t="shared" si="2559"/>
        <v>91197</v>
      </c>
      <c r="I11772">
        <v>1</v>
      </c>
      <c r="J11772">
        <v>1046</v>
      </c>
      <c r="K11772">
        <v>0</v>
      </c>
      <c r="L11772">
        <v>815.88</v>
      </c>
    </row>
    <row r="11773" spans="1:12" x14ac:dyDescent="0.25">
      <c r="A11773" t="str">
        <f t="shared" si="2548"/>
        <v>89301000</v>
      </c>
      <c r="B11773" t="str">
        <f t="shared" si="2560"/>
        <v>78006000</v>
      </c>
      <c r="C11773" t="str">
        <f t="shared" si="2556"/>
        <v>78006207</v>
      </c>
      <c r="D11773" t="str">
        <f t="shared" si="2557"/>
        <v>813</v>
      </c>
      <c r="E11773" t="str">
        <f>"89301171"</f>
        <v>89301171</v>
      </c>
      <c r="F11773" t="str">
        <f>"525321223"</f>
        <v>525321223</v>
      </c>
      <c r="G11773" s="1">
        <v>44868</v>
      </c>
      <c r="H11773" t="str">
        <f t="shared" si="2559"/>
        <v>91197</v>
      </c>
      <c r="I11773">
        <v>6</v>
      </c>
      <c r="J11773">
        <v>6276</v>
      </c>
      <c r="K11773">
        <v>0</v>
      </c>
      <c r="L11773">
        <v>4895.28</v>
      </c>
    </row>
    <row r="11774" spans="1:12" x14ac:dyDescent="0.25">
      <c r="A11774" t="str">
        <f t="shared" si="2548"/>
        <v>89301000</v>
      </c>
      <c r="B11774" t="str">
        <f t="shared" si="2560"/>
        <v>78006000</v>
      </c>
      <c r="C11774" t="str">
        <f t="shared" si="2556"/>
        <v>78006207</v>
      </c>
      <c r="D11774" t="str">
        <f t="shared" si="2557"/>
        <v>813</v>
      </c>
      <c r="E11774" t="str">
        <f>"89301171"</f>
        <v>89301171</v>
      </c>
      <c r="F11774" t="str">
        <f>"7062185339"</f>
        <v>7062185339</v>
      </c>
      <c r="G11774" s="1">
        <v>44889</v>
      </c>
      <c r="H11774" t="str">
        <f t="shared" si="2559"/>
        <v>91197</v>
      </c>
      <c r="I11774">
        <v>6</v>
      </c>
      <c r="J11774">
        <v>6276</v>
      </c>
      <c r="K11774">
        <v>0</v>
      </c>
      <c r="L11774">
        <v>4895.28</v>
      </c>
    </row>
    <row r="11775" spans="1:12" x14ac:dyDescent="0.25">
      <c r="A11775" t="str">
        <f t="shared" si="2548"/>
        <v>89301000</v>
      </c>
      <c r="B11775" t="str">
        <f t="shared" si="2560"/>
        <v>78006000</v>
      </c>
      <c r="C11775" t="str">
        <f t="shared" si="2556"/>
        <v>78006207</v>
      </c>
      <c r="D11775" t="str">
        <f t="shared" si="2557"/>
        <v>813</v>
      </c>
      <c r="E11775" t="str">
        <f>"89301171"</f>
        <v>89301171</v>
      </c>
      <c r="F11775" t="str">
        <f>"6262270487"</f>
        <v>6262270487</v>
      </c>
      <c r="G11775" s="1">
        <v>44868</v>
      </c>
      <c r="H11775" t="str">
        <f t="shared" si="2559"/>
        <v>91197</v>
      </c>
      <c r="I11775">
        <v>6</v>
      </c>
      <c r="J11775">
        <v>6276</v>
      </c>
      <c r="K11775">
        <v>0</v>
      </c>
      <c r="L11775">
        <v>4895.28</v>
      </c>
    </row>
    <row r="11776" spans="1:12" x14ac:dyDescent="0.25">
      <c r="A11776" t="str">
        <f t="shared" si="2548"/>
        <v>89301000</v>
      </c>
      <c r="B11776" t="str">
        <f t="shared" si="2560"/>
        <v>78006000</v>
      </c>
      <c r="C11776" t="str">
        <f t="shared" si="2556"/>
        <v>78006207</v>
      </c>
      <c r="D11776" t="str">
        <f t="shared" si="2557"/>
        <v>813</v>
      </c>
      <c r="E11776" t="str">
        <f>"89301171"</f>
        <v>89301171</v>
      </c>
      <c r="F11776" t="str">
        <f>"8455315341"</f>
        <v>8455315341</v>
      </c>
      <c r="G11776" s="1">
        <v>44868</v>
      </c>
      <c r="H11776" t="str">
        <f t="shared" si="2559"/>
        <v>91197</v>
      </c>
      <c r="I11776">
        <v>6</v>
      </c>
      <c r="J11776">
        <v>6276</v>
      </c>
      <c r="K11776">
        <v>0</v>
      </c>
      <c r="L11776">
        <v>4895.28</v>
      </c>
    </row>
    <row r="11777" spans="1:12" x14ac:dyDescent="0.25">
      <c r="A11777" t="str">
        <f t="shared" si="2548"/>
        <v>89301000</v>
      </c>
      <c r="B11777" t="str">
        <f t="shared" si="2560"/>
        <v>78006000</v>
      </c>
      <c r="C11777" t="str">
        <f t="shared" si="2556"/>
        <v>78006207</v>
      </c>
      <c r="D11777" t="str">
        <f t="shared" si="2557"/>
        <v>813</v>
      </c>
      <c r="E11777" t="str">
        <f>"89301171"</f>
        <v>89301171</v>
      </c>
      <c r="F11777" t="str">
        <f>"7356195352"</f>
        <v>7356195352</v>
      </c>
      <c r="G11777" s="1">
        <v>44868</v>
      </c>
      <c r="H11777" t="str">
        <f t="shared" si="2559"/>
        <v>91197</v>
      </c>
      <c r="I11777">
        <v>6</v>
      </c>
      <c r="J11777">
        <v>6276</v>
      </c>
      <c r="K11777">
        <v>0</v>
      </c>
      <c r="L11777">
        <v>4895.28</v>
      </c>
    </row>
    <row r="11778" spans="1:12" x14ac:dyDescent="0.25">
      <c r="A11778" t="str">
        <f t="shared" ref="A11778:A11841" si="2561">"89301000"</f>
        <v>89301000</v>
      </c>
      <c r="B11778" t="str">
        <f t="shared" si="2560"/>
        <v>78006000</v>
      </c>
      <c r="C11778" t="str">
        <f>"78006532"</f>
        <v>78006532</v>
      </c>
      <c r="D11778" t="str">
        <f>"810"</f>
        <v>810</v>
      </c>
      <c r="E11778" t="str">
        <f>"89301062"</f>
        <v>89301062</v>
      </c>
      <c r="F11778" t="str">
        <f>"9803236091"</f>
        <v>9803236091</v>
      </c>
      <c r="G11778" s="1">
        <v>44869</v>
      </c>
      <c r="H11778" t="str">
        <f>"89713"</f>
        <v>89713</v>
      </c>
      <c r="I11778">
        <v>1</v>
      </c>
      <c r="J11778">
        <v>5362</v>
      </c>
      <c r="K11778">
        <v>0</v>
      </c>
      <c r="L11778">
        <v>3217.2</v>
      </c>
    </row>
    <row r="11779" spans="1:12" x14ac:dyDescent="0.25">
      <c r="A11779" t="str">
        <f t="shared" si="2561"/>
        <v>89301000</v>
      </c>
      <c r="B11779" t="str">
        <f t="shared" si="2560"/>
        <v>78006000</v>
      </c>
      <c r="C11779" t="str">
        <f>"78006532"</f>
        <v>78006532</v>
      </c>
      <c r="D11779" t="str">
        <f>"810"</f>
        <v>810</v>
      </c>
      <c r="E11779" t="str">
        <f>"89301062"</f>
        <v>89301062</v>
      </c>
      <c r="F11779" t="str">
        <f>"9803236091"</f>
        <v>9803236091</v>
      </c>
      <c r="G11779" s="1">
        <v>44869</v>
      </c>
      <c r="H11779" t="str">
        <f>"89725"</f>
        <v>89725</v>
      </c>
      <c r="I11779">
        <v>1</v>
      </c>
      <c r="J11779">
        <v>2839</v>
      </c>
      <c r="K11779">
        <v>0</v>
      </c>
      <c r="L11779">
        <v>1703.4</v>
      </c>
    </row>
    <row r="11780" spans="1:12" x14ac:dyDescent="0.25">
      <c r="A11780" t="str">
        <f t="shared" si="2561"/>
        <v>89301000</v>
      </c>
      <c r="B11780" t="str">
        <f t="shared" si="2560"/>
        <v>78006000</v>
      </c>
      <c r="C11780" t="str">
        <f>"78006532"</f>
        <v>78006532</v>
      </c>
      <c r="D11780" t="str">
        <f>"810"</f>
        <v>810</v>
      </c>
      <c r="E11780" t="str">
        <f>"89301172"</f>
        <v>89301172</v>
      </c>
      <c r="F11780" t="str">
        <f>"7162015696"</f>
        <v>7162015696</v>
      </c>
      <c r="G11780" s="1">
        <v>44895</v>
      </c>
      <c r="H11780" t="str">
        <f>"89713"</f>
        <v>89713</v>
      </c>
      <c r="I11780">
        <v>1</v>
      </c>
      <c r="J11780">
        <v>5362</v>
      </c>
      <c r="K11780">
        <v>0</v>
      </c>
      <c r="L11780">
        <v>3217.2</v>
      </c>
    </row>
    <row r="11781" spans="1:12" x14ac:dyDescent="0.25">
      <c r="A11781" t="str">
        <f t="shared" si="2561"/>
        <v>89301000</v>
      </c>
      <c r="B11781" t="str">
        <f t="shared" si="2560"/>
        <v>78006000</v>
      </c>
      <c r="C11781" t="str">
        <f>"78006532"</f>
        <v>78006532</v>
      </c>
      <c r="D11781" t="str">
        <f>"810"</f>
        <v>810</v>
      </c>
      <c r="E11781" t="str">
        <f>"89301172"</f>
        <v>89301172</v>
      </c>
      <c r="F11781" t="str">
        <f>"7162015696"</f>
        <v>7162015696</v>
      </c>
      <c r="G11781" s="1">
        <v>44895</v>
      </c>
      <c r="H11781" t="str">
        <f>"89723"</f>
        <v>89723</v>
      </c>
      <c r="I11781">
        <v>1</v>
      </c>
      <c r="J11781">
        <v>5880</v>
      </c>
      <c r="K11781">
        <v>0</v>
      </c>
      <c r="L11781">
        <v>3528</v>
      </c>
    </row>
    <row r="11782" spans="1:12" x14ac:dyDescent="0.25">
      <c r="A11782" t="str">
        <f t="shared" si="2561"/>
        <v>89301000</v>
      </c>
      <c r="B11782" t="str">
        <f t="shared" si="2560"/>
        <v>78006000</v>
      </c>
      <c r="C11782" t="str">
        <f>"78006207"</f>
        <v>78006207</v>
      </c>
      <c r="D11782" t="str">
        <f>"813"</f>
        <v>813</v>
      </c>
      <c r="E11782" t="str">
        <f>"89301167"</f>
        <v>89301167</v>
      </c>
      <c r="F11782" t="str">
        <f>"7003135304"</f>
        <v>7003135304</v>
      </c>
      <c r="G11782" s="1">
        <v>44879</v>
      </c>
      <c r="H11782" t="str">
        <f>"91153"</f>
        <v>91153</v>
      </c>
      <c r="I11782">
        <v>1</v>
      </c>
      <c r="J11782">
        <v>152</v>
      </c>
      <c r="K11782">
        <v>0</v>
      </c>
      <c r="L11782">
        <v>118.56</v>
      </c>
    </row>
    <row r="11783" spans="1:12" x14ac:dyDescent="0.25">
      <c r="A11783" t="str">
        <f t="shared" si="2561"/>
        <v>89301000</v>
      </c>
      <c r="B11783" t="str">
        <f t="shared" si="2560"/>
        <v>78006000</v>
      </c>
      <c r="C11783" t="str">
        <f>"78006201"</f>
        <v>78006201</v>
      </c>
      <c r="D11783" t="str">
        <f>"801"</f>
        <v>801</v>
      </c>
      <c r="E11783" t="str">
        <f>"89301167"</f>
        <v>89301167</v>
      </c>
      <c r="F11783" t="str">
        <f>"7003135304"</f>
        <v>7003135304</v>
      </c>
      <c r="G11783" s="1">
        <v>44879</v>
      </c>
      <c r="H11783" t="str">
        <f>"81329"</f>
        <v>81329</v>
      </c>
      <c r="I11783">
        <v>1</v>
      </c>
      <c r="J11783">
        <v>16</v>
      </c>
      <c r="K11783">
        <v>0</v>
      </c>
      <c r="L11783">
        <v>12.48</v>
      </c>
    </row>
    <row r="11784" spans="1:12" x14ac:dyDescent="0.25">
      <c r="A11784" t="str">
        <f t="shared" si="2561"/>
        <v>89301000</v>
      </c>
      <c r="B11784" t="str">
        <f t="shared" si="2560"/>
        <v>78006000</v>
      </c>
      <c r="C11784" t="str">
        <f>"78006201"</f>
        <v>78006201</v>
      </c>
      <c r="D11784" t="str">
        <f>"801"</f>
        <v>801</v>
      </c>
      <c r="E11784" t="str">
        <f>"89301167"</f>
        <v>89301167</v>
      </c>
      <c r="F11784" t="str">
        <f>"7003135304"</f>
        <v>7003135304</v>
      </c>
      <c r="G11784" s="1">
        <v>44879</v>
      </c>
      <c r="H11784" t="str">
        <f>"81563"</f>
        <v>81563</v>
      </c>
      <c r="I11784">
        <v>1</v>
      </c>
      <c r="J11784">
        <v>14</v>
      </c>
      <c r="K11784">
        <v>0</v>
      </c>
      <c r="L11784">
        <v>10.92</v>
      </c>
    </row>
    <row r="11785" spans="1:12" x14ac:dyDescent="0.25">
      <c r="A11785" t="str">
        <f t="shared" si="2561"/>
        <v>89301000</v>
      </c>
      <c r="B11785" t="str">
        <f t="shared" si="2560"/>
        <v>78006000</v>
      </c>
      <c r="C11785" t="str">
        <f>"78006201"</f>
        <v>78006201</v>
      </c>
      <c r="D11785" t="str">
        <f>"801"</f>
        <v>801</v>
      </c>
      <c r="E11785" t="str">
        <f>"89301167"</f>
        <v>89301167</v>
      </c>
      <c r="F11785" t="str">
        <f>"7003135304"</f>
        <v>7003135304</v>
      </c>
      <c r="G11785" s="1">
        <v>44879</v>
      </c>
      <c r="H11785" t="str">
        <f>"81625"</f>
        <v>81625</v>
      </c>
      <c r="I11785">
        <v>1</v>
      </c>
      <c r="J11785">
        <v>20</v>
      </c>
      <c r="K11785">
        <v>0</v>
      </c>
      <c r="L11785">
        <v>15.6</v>
      </c>
    </row>
    <row r="11786" spans="1:12" x14ac:dyDescent="0.25">
      <c r="A11786" t="str">
        <f t="shared" si="2561"/>
        <v>89301000</v>
      </c>
      <c r="B11786" t="str">
        <f t="shared" si="2560"/>
        <v>78006000</v>
      </c>
      <c r="C11786" t="str">
        <f>"78006201"</f>
        <v>78006201</v>
      </c>
      <c r="D11786" t="str">
        <f>"801"</f>
        <v>801</v>
      </c>
      <c r="E11786" t="str">
        <f>"89301167"</f>
        <v>89301167</v>
      </c>
      <c r="F11786" t="str">
        <f>"7003135304"</f>
        <v>7003135304</v>
      </c>
      <c r="G11786" s="1">
        <v>44879</v>
      </c>
      <c r="H11786" t="str">
        <f>"97111"</f>
        <v>97111</v>
      </c>
      <c r="I11786">
        <v>1</v>
      </c>
      <c r="J11786">
        <v>18</v>
      </c>
      <c r="K11786">
        <v>0</v>
      </c>
      <c r="L11786">
        <v>14.04</v>
      </c>
    </row>
    <row r="11787" spans="1:12" x14ac:dyDescent="0.25">
      <c r="A11787" t="str">
        <f t="shared" si="2561"/>
        <v>89301000</v>
      </c>
      <c r="B11787" t="str">
        <f>"91009000"</f>
        <v>91009000</v>
      </c>
      <c r="C11787" t="str">
        <f>"91009522"</f>
        <v>91009522</v>
      </c>
      <c r="D11787" t="str">
        <f>"816"</f>
        <v>816</v>
      </c>
      <c r="E11787" t="str">
        <f>"89301282"</f>
        <v>89301282</v>
      </c>
      <c r="F11787" t="str">
        <f>"2254110573"</f>
        <v>2254110573</v>
      </c>
      <c r="G11787" s="1">
        <v>44791</v>
      </c>
      <c r="H11787" t="str">
        <f>"94948"</f>
        <v>94948</v>
      </c>
      <c r="I11787">
        <v>2</v>
      </c>
      <c r="J11787">
        <v>0</v>
      </c>
      <c r="K11787">
        <v>0</v>
      </c>
      <c r="L11787">
        <v>0</v>
      </c>
    </row>
    <row r="11788" spans="1:12" x14ac:dyDescent="0.25">
      <c r="A11788" t="str">
        <f t="shared" si="2561"/>
        <v>89301000</v>
      </c>
      <c r="B11788" t="str">
        <f>"91009000"</f>
        <v>91009000</v>
      </c>
      <c r="C11788" t="str">
        <f>"91009522"</f>
        <v>91009522</v>
      </c>
      <c r="D11788" t="str">
        <f>"816"</f>
        <v>816</v>
      </c>
      <c r="E11788" t="str">
        <f>"89301282"</f>
        <v>89301282</v>
      </c>
      <c r="F11788" t="str">
        <f>"2254110573"</f>
        <v>2254110573</v>
      </c>
      <c r="G11788" s="1">
        <v>44791</v>
      </c>
      <c r="H11788" t="str">
        <f>"94983"</f>
        <v>94983</v>
      </c>
      <c r="I11788">
        <v>1</v>
      </c>
      <c r="J11788">
        <v>0</v>
      </c>
      <c r="K11788">
        <v>39600</v>
      </c>
      <c r="L11788">
        <v>39600</v>
      </c>
    </row>
    <row r="11789" spans="1:12" x14ac:dyDescent="0.25">
      <c r="A11789" t="str">
        <f t="shared" si="2561"/>
        <v>89301000</v>
      </c>
      <c r="B11789" t="str">
        <f>"91009000"</f>
        <v>91009000</v>
      </c>
      <c r="C11789" t="str">
        <f>"91009522"</f>
        <v>91009522</v>
      </c>
      <c r="D11789" t="str">
        <f>"816"</f>
        <v>816</v>
      </c>
      <c r="E11789" t="str">
        <f>"89301282"</f>
        <v>89301282</v>
      </c>
      <c r="F11789" t="str">
        <f>"2254110573"</f>
        <v>2254110573</v>
      </c>
      <c r="G11789" s="1">
        <v>44791</v>
      </c>
      <c r="H11789" t="str">
        <f>"94996"</f>
        <v>94996</v>
      </c>
      <c r="I11789">
        <v>1</v>
      </c>
      <c r="J11789">
        <v>0</v>
      </c>
      <c r="K11789">
        <v>0</v>
      </c>
      <c r="L11789">
        <v>0</v>
      </c>
    </row>
    <row r="11790" spans="1:12" x14ac:dyDescent="0.25">
      <c r="A11790" t="str">
        <f t="shared" si="2561"/>
        <v>89301000</v>
      </c>
      <c r="B11790" t="str">
        <f>"02001000"</f>
        <v>02001000</v>
      </c>
      <c r="C11790" t="str">
        <f>"02001171"</f>
        <v>02001171</v>
      </c>
      <c r="D11790" t="str">
        <f>"813"</f>
        <v>813</v>
      </c>
      <c r="E11790" t="str">
        <f>"89301032"</f>
        <v>89301032</v>
      </c>
      <c r="F11790" t="str">
        <f>"7803025307"</f>
        <v>7803025307</v>
      </c>
      <c r="G11790" s="1">
        <v>44866</v>
      </c>
      <c r="H11790" t="str">
        <f>"91197"</f>
        <v>91197</v>
      </c>
      <c r="I11790">
        <v>1</v>
      </c>
      <c r="J11790">
        <v>1046</v>
      </c>
      <c r="K11790">
        <v>0</v>
      </c>
      <c r="L11790">
        <v>815.88</v>
      </c>
    </row>
    <row r="11791" spans="1:12" x14ac:dyDescent="0.25">
      <c r="A11791" t="str">
        <f t="shared" si="2561"/>
        <v>89301000</v>
      </c>
      <c r="B11791" t="str">
        <f>"02001000"</f>
        <v>02001000</v>
      </c>
      <c r="C11791" t="str">
        <f>"02001171"</f>
        <v>02001171</v>
      </c>
      <c r="D11791" t="str">
        <f>"813"</f>
        <v>813</v>
      </c>
      <c r="E11791" t="str">
        <f>"89301704"</f>
        <v>89301704</v>
      </c>
      <c r="F11791" t="str">
        <f>"0704305283"</f>
        <v>0704305283</v>
      </c>
      <c r="G11791" s="1">
        <v>44879</v>
      </c>
      <c r="H11791" t="str">
        <f>"91411"</f>
        <v>91411</v>
      </c>
      <c r="I11791">
        <v>1</v>
      </c>
      <c r="J11791">
        <v>1600</v>
      </c>
      <c r="K11791">
        <v>0</v>
      </c>
      <c r="L11791">
        <v>1248</v>
      </c>
    </row>
    <row r="11792" spans="1:12" x14ac:dyDescent="0.25">
      <c r="A11792" t="str">
        <f t="shared" si="2561"/>
        <v>89301000</v>
      </c>
      <c r="B11792" t="str">
        <f>"90001000"</f>
        <v>90001000</v>
      </c>
      <c r="C11792" t="str">
        <f>"90001525"</f>
        <v>90001525</v>
      </c>
      <c r="D11792" t="str">
        <f>"809"</f>
        <v>809</v>
      </c>
      <c r="E11792" t="str">
        <f>"89301212"</f>
        <v>89301212</v>
      </c>
      <c r="F11792" t="str">
        <f>"5407211051"</f>
        <v>5407211051</v>
      </c>
      <c r="G11792" s="1">
        <v>44867</v>
      </c>
      <c r="H11792" t="str">
        <f>"89611"</f>
        <v>89611</v>
      </c>
      <c r="I11792">
        <v>1</v>
      </c>
      <c r="J11792">
        <v>2241</v>
      </c>
      <c r="K11792">
        <v>0</v>
      </c>
      <c r="L11792">
        <v>1344.6</v>
      </c>
    </row>
    <row r="11793" spans="1:12" x14ac:dyDescent="0.25">
      <c r="A11793" t="str">
        <f t="shared" si="2561"/>
        <v>89301000</v>
      </c>
      <c r="B11793" t="str">
        <f>"90001000"</f>
        <v>90001000</v>
      </c>
      <c r="C11793" t="str">
        <f>"90001525"</f>
        <v>90001525</v>
      </c>
      <c r="D11793" t="str">
        <f>"809"</f>
        <v>809</v>
      </c>
      <c r="E11793" t="str">
        <f>"89301212"</f>
        <v>89301212</v>
      </c>
      <c r="F11793" t="str">
        <f>"5407211051"</f>
        <v>5407211051</v>
      </c>
      <c r="G11793" s="1">
        <v>44867</v>
      </c>
      <c r="H11793" t="str">
        <f>"89611"</f>
        <v>89611</v>
      </c>
      <c r="I11793">
        <v>1</v>
      </c>
      <c r="J11793">
        <v>2241</v>
      </c>
      <c r="K11793">
        <v>0</v>
      </c>
      <c r="L11793">
        <v>1344.6</v>
      </c>
    </row>
    <row r="11794" spans="1:12" x14ac:dyDescent="0.25">
      <c r="A11794" t="str">
        <f t="shared" si="2561"/>
        <v>89301000</v>
      </c>
      <c r="B11794" t="str">
        <f>"90001000"</f>
        <v>90001000</v>
      </c>
      <c r="C11794" t="str">
        <f>"90001525"</f>
        <v>90001525</v>
      </c>
      <c r="D11794" t="str">
        <f>"809"</f>
        <v>809</v>
      </c>
      <c r="E11794" t="str">
        <f>"89301212"</f>
        <v>89301212</v>
      </c>
      <c r="F11794" t="str">
        <f>"5407211051"</f>
        <v>5407211051</v>
      </c>
      <c r="G11794" s="1">
        <v>44867</v>
      </c>
      <c r="H11794" t="str">
        <f>"0137481"</f>
        <v>0137481</v>
      </c>
      <c r="I11794">
        <v>0.2</v>
      </c>
      <c r="K11794">
        <v>879.39</v>
      </c>
      <c r="L11794">
        <v>879.39</v>
      </c>
    </row>
    <row r="11795" spans="1:12" x14ac:dyDescent="0.25">
      <c r="A11795" t="str">
        <f t="shared" si="2561"/>
        <v>89301000</v>
      </c>
      <c r="B11795" t="str">
        <f t="shared" ref="B11795:B11825" si="2562">"06223000"</f>
        <v>06223000</v>
      </c>
      <c r="C11795" t="str">
        <f t="shared" ref="C11795:C11815" si="2563">"06223030"</f>
        <v>06223030</v>
      </c>
      <c r="D11795" t="str">
        <f t="shared" ref="D11795:D11824" si="2564">"801"</f>
        <v>801</v>
      </c>
      <c r="E11795" t="str">
        <f t="shared" ref="E11795:E11815" si="2565">"89301167"</f>
        <v>89301167</v>
      </c>
      <c r="F11795" t="str">
        <f t="shared" ref="F11795:F11815" si="2566">"530220073"</f>
        <v>530220073</v>
      </c>
      <c r="G11795" s="1">
        <v>44886</v>
      </c>
      <c r="H11795" t="str">
        <f>"97111"</f>
        <v>97111</v>
      </c>
      <c r="I11795">
        <v>1</v>
      </c>
      <c r="J11795">
        <v>18</v>
      </c>
      <c r="K11795">
        <v>0</v>
      </c>
      <c r="L11795">
        <v>14.04</v>
      </c>
    </row>
    <row r="11796" spans="1:12" x14ac:dyDescent="0.25">
      <c r="A11796" t="str">
        <f t="shared" si="2561"/>
        <v>89301000</v>
      </c>
      <c r="B11796" t="str">
        <f t="shared" si="2562"/>
        <v>06223000</v>
      </c>
      <c r="C11796" t="str">
        <f t="shared" si="2563"/>
        <v>06223030</v>
      </c>
      <c r="D11796" t="str">
        <f t="shared" si="2564"/>
        <v>801</v>
      </c>
      <c r="E11796" t="str">
        <f t="shared" si="2565"/>
        <v>89301167</v>
      </c>
      <c r="F11796" t="str">
        <f t="shared" si="2566"/>
        <v>530220073</v>
      </c>
      <c r="G11796" s="1">
        <v>44886</v>
      </c>
      <c r="H11796" t="str">
        <f>"81593"</f>
        <v>81593</v>
      </c>
      <c r="I11796">
        <v>1</v>
      </c>
      <c r="J11796">
        <v>22</v>
      </c>
      <c r="K11796">
        <v>0</v>
      </c>
      <c r="L11796">
        <v>17.16</v>
      </c>
    </row>
    <row r="11797" spans="1:12" x14ac:dyDescent="0.25">
      <c r="A11797" t="str">
        <f t="shared" si="2561"/>
        <v>89301000</v>
      </c>
      <c r="B11797" t="str">
        <f t="shared" si="2562"/>
        <v>06223000</v>
      </c>
      <c r="C11797" t="str">
        <f t="shared" si="2563"/>
        <v>06223030</v>
      </c>
      <c r="D11797" t="str">
        <f t="shared" si="2564"/>
        <v>801</v>
      </c>
      <c r="E11797" t="str">
        <f t="shared" si="2565"/>
        <v>89301167</v>
      </c>
      <c r="F11797" t="str">
        <f t="shared" si="2566"/>
        <v>530220073</v>
      </c>
      <c r="G11797" s="1">
        <v>44886</v>
      </c>
      <c r="H11797" t="str">
        <f>"81393"</f>
        <v>81393</v>
      </c>
      <c r="I11797">
        <v>1</v>
      </c>
      <c r="J11797">
        <v>24</v>
      </c>
      <c r="K11797">
        <v>0</v>
      </c>
      <c r="L11797">
        <v>18.72</v>
      </c>
    </row>
    <row r="11798" spans="1:12" x14ac:dyDescent="0.25">
      <c r="A11798" t="str">
        <f t="shared" si="2561"/>
        <v>89301000</v>
      </c>
      <c r="B11798" t="str">
        <f t="shared" si="2562"/>
        <v>06223000</v>
      </c>
      <c r="C11798" t="str">
        <f t="shared" si="2563"/>
        <v>06223030</v>
      </c>
      <c r="D11798" t="str">
        <f t="shared" si="2564"/>
        <v>801</v>
      </c>
      <c r="E11798" t="str">
        <f t="shared" si="2565"/>
        <v>89301167</v>
      </c>
      <c r="F11798" t="str">
        <f t="shared" si="2566"/>
        <v>530220073</v>
      </c>
      <c r="G11798" s="1">
        <v>44886</v>
      </c>
      <c r="H11798" t="str">
        <f>"81469"</f>
        <v>81469</v>
      </c>
      <c r="I11798">
        <v>1</v>
      </c>
      <c r="J11798">
        <v>16</v>
      </c>
      <c r="K11798">
        <v>0</v>
      </c>
      <c r="L11798">
        <v>12.48</v>
      </c>
    </row>
    <row r="11799" spans="1:12" x14ac:dyDescent="0.25">
      <c r="A11799" t="str">
        <f t="shared" si="2561"/>
        <v>89301000</v>
      </c>
      <c r="B11799" t="str">
        <f t="shared" si="2562"/>
        <v>06223000</v>
      </c>
      <c r="C11799" t="str">
        <f t="shared" si="2563"/>
        <v>06223030</v>
      </c>
      <c r="D11799" t="str">
        <f t="shared" si="2564"/>
        <v>801</v>
      </c>
      <c r="E11799" t="str">
        <f t="shared" si="2565"/>
        <v>89301167</v>
      </c>
      <c r="F11799" t="str">
        <f t="shared" si="2566"/>
        <v>530220073</v>
      </c>
      <c r="G11799" s="1">
        <v>44886</v>
      </c>
      <c r="H11799" t="str">
        <f>"81625"</f>
        <v>81625</v>
      </c>
      <c r="I11799">
        <v>1</v>
      </c>
      <c r="J11799">
        <v>20</v>
      </c>
      <c r="K11799">
        <v>0</v>
      </c>
      <c r="L11799">
        <v>15.6</v>
      </c>
    </row>
    <row r="11800" spans="1:12" x14ac:dyDescent="0.25">
      <c r="A11800" t="str">
        <f t="shared" si="2561"/>
        <v>89301000</v>
      </c>
      <c r="B11800" t="str">
        <f t="shared" si="2562"/>
        <v>06223000</v>
      </c>
      <c r="C11800" t="str">
        <f t="shared" si="2563"/>
        <v>06223030</v>
      </c>
      <c r="D11800" t="str">
        <f t="shared" si="2564"/>
        <v>801</v>
      </c>
      <c r="E11800" t="str">
        <f t="shared" si="2565"/>
        <v>89301167</v>
      </c>
      <c r="F11800" t="str">
        <f t="shared" si="2566"/>
        <v>530220073</v>
      </c>
      <c r="G11800" s="1">
        <v>44886</v>
      </c>
      <c r="H11800" t="str">
        <f>"81611"</f>
        <v>81611</v>
      </c>
      <c r="I11800">
        <v>1</v>
      </c>
      <c r="J11800">
        <v>29</v>
      </c>
      <c r="K11800">
        <v>0</v>
      </c>
      <c r="L11800">
        <v>22.62</v>
      </c>
    </row>
    <row r="11801" spans="1:12" x14ac:dyDescent="0.25">
      <c r="A11801" t="str">
        <f t="shared" si="2561"/>
        <v>89301000</v>
      </c>
      <c r="B11801" t="str">
        <f t="shared" si="2562"/>
        <v>06223000</v>
      </c>
      <c r="C11801" t="str">
        <f t="shared" si="2563"/>
        <v>06223030</v>
      </c>
      <c r="D11801" t="str">
        <f t="shared" si="2564"/>
        <v>801</v>
      </c>
      <c r="E11801" t="str">
        <f t="shared" si="2565"/>
        <v>89301167</v>
      </c>
      <c r="F11801" t="str">
        <f t="shared" si="2566"/>
        <v>530220073</v>
      </c>
      <c r="G11801" s="1">
        <v>44886</v>
      </c>
      <c r="H11801" t="str">
        <f>"81523"</f>
        <v>81523</v>
      </c>
      <c r="I11801">
        <v>1</v>
      </c>
      <c r="J11801">
        <v>23</v>
      </c>
      <c r="K11801">
        <v>0</v>
      </c>
      <c r="L11801">
        <v>17.940000000000001</v>
      </c>
    </row>
    <row r="11802" spans="1:12" x14ac:dyDescent="0.25">
      <c r="A11802" t="str">
        <f t="shared" si="2561"/>
        <v>89301000</v>
      </c>
      <c r="B11802" t="str">
        <f t="shared" si="2562"/>
        <v>06223000</v>
      </c>
      <c r="C11802" t="str">
        <f t="shared" si="2563"/>
        <v>06223030</v>
      </c>
      <c r="D11802" t="str">
        <f t="shared" si="2564"/>
        <v>801</v>
      </c>
      <c r="E11802" t="str">
        <f t="shared" si="2565"/>
        <v>89301167</v>
      </c>
      <c r="F11802" t="str">
        <f t="shared" si="2566"/>
        <v>530220073</v>
      </c>
      <c r="G11802" s="1">
        <v>44886</v>
      </c>
      <c r="H11802" t="str">
        <f>"81621"</f>
        <v>81621</v>
      </c>
      <c r="I11802">
        <v>1</v>
      </c>
      <c r="J11802">
        <v>19</v>
      </c>
      <c r="K11802">
        <v>0</v>
      </c>
      <c r="L11802">
        <v>14.82</v>
      </c>
    </row>
    <row r="11803" spans="1:12" x14ac:dyDescent="0.25">
      <c r="A11803" t="str">
        <f t="shared" si="2561"/>
        <v>89301000</v>
      </c>
      <c r="B11803" t="str">
        <f t="shared" si="2562"/>
        <v>06223000</v>
      </c>
      <c r="C11803" t="str">
        <f t="shared" si="2563"/>
        <v>06223030</v>
      </c>
      <c r="D11803" t="str">
        <f t="shared" si="2564"/>
        <v>801</v>
      </c>
      <c r="E11803" t="str">
        <f t="shared" si="2565"/>
        <v>89301167</v>
      </c>
      <c r="F11803" t="str">
        <f t="shared" si="2566"/>
        <v>530220073</v>
      </c>
      <c r="G11803" s="1">
        <v>44886</v>
      </c>
      <c r="H11803" t="str">
        <f>"81439"</f>
        <v>81439</v>
      </c>
      <c r="I11803">
        <v>1</v>
      </c>
      <c r="J11803">
        <v>16</v>
      </c>
      <c r="K11803">
        <v>0</v>
      </c>
      <c r="L11803">
        <v>12.48</v>
      </c>
    </row>
    <row r="11804" spans="1:12" x14ac:dyDescent="0.25">
      <c r="A11804" t="str">
        <f t="shared" si="2561"/>
        <v>89301000</v>
      </c>
      <c r="B11804" t="str">
        <f t="shared" si="2562"/>
        <v>06223000</v>
      </c>
      <c r="C11804" t="str">
        <f t="shared" si="2563"/>
        <v>06223030</v>
      </c>
      <c r="D11804" t="str">
        <f t="shared" si="2564"/>
        <v>801</v>
      </c>
      <c r="E11804" t="str">
        <f t="shared" si="2565"/>
        <v>89301167</v>
      </c>
      <c r="F11804" t="str">
        <f t="shared" si="2566"/>
        <v>530220073</v>
      </c>
      <c r="G11804" s="1">
        <v>44886</v>
      </c>
      <c r="H11804" t="str">
        <f>"81421"</f>
        <v>81421</v>
      </c>
      <c r="I11804">
        <v>1</v>
      </c>
      <c r="J11804">
        <v>19</v>
      </c>
      <c r="K11804">
        <v>0</v>
      </c>
      <c r="L11804">
        <v>14.82</v>
      </c>
    </row>
    <row r="11805" spans="1:12" x14ac:dyDescent="0.25">
      <c r="A11805" t="str">
        <f t="shared" si="2561"/>
        <v>89301000</v>
      </c>
      <c r="B11805" t="str">
        <f t="shared" si="2562"/>
        <v>06223000</v>
      </c>
      <c r="C11805" t="str">
        <f t="shared" si="2563"/>
        <v>06223030</v>
      </c>
      <c r="D11805" t="str">
        <f t="shared" si="2564"/>
        <v>801</v>
      </c>
      <c r="E11805" t="str">
        <f t="shared" si="2565"/>
        <v>89301167</v>
      </c>
      <c r="F11805" t="str">
        <f t="shared" si="2566"/>
        <v>530220073</v>
      </c>
      <c r="G11805" s="1">
        <v>44886</v>
      </c>
      <c r="H11805" t="str">
        <f>"91153"</f>
        <v>91153</v>
      </c>
      <c r="I11805">
        <v>1</v>
      </c>
      <c r="J11805">
        <v>152</v>
      </c>
      <c r="K11805">
        <v>0</v>
      </c>
      <c r="L11805">
        <v>118.56</v>
      </c>
    </row>
    <row r="11806" spans="1:12" x14ac:dyDescent="0.25">
      <c r="A11806" t="str">
        <f t="shared" si="2561"/>
        <v>89301000</v>
      </c>
      <c r="B11806" t="str">
        <f t="shared" si="2562"/>
        <v>06223000</v>
      </c>
      <c r="C11806" t="str">
        <f t="shared" si="2563"/>
        <v>06223030</v>
      </c>
      <c r="D11806" t="str">
        <f t="shared" si="2564"/>
        <v>801</v>
      </c>
      <c r="E11806" t="str">
        <f t="shared" si="2565"/>
        <v>89301167</v>
      </c>
      <c r="F11806" t="str">
        <f t="shared" si="2566"/>
        <v>530220073</v>
      </c>
      <c r="G11806" s="1">
        <v>44886</v>
      </c>
      <c r="H11806" t="str">
        <f>"81499"</f>
        <v>81499</v>
      </c>
      <c r="I11806">
        <v>1</v>
      </c>
      <c r="J11806">
        <v>18</v>
      </c>
      <c r="K11806">
        <v>0</v>
      </c>
      <c r="L11806">
        <v>14.04</v>
      </c>
    </row>
    <row r="11807" spans="1:12" x14ac:dyDescent="0.25">
      <c r="A11807" t="str">
        <f t="shared" si="2561"/>
        <v>89301000</v>
      </c>
      <c r="B11807" t="str">
        <f t="shared" si="2562"/>
        <v>06223000</v>
      </c>
      <c r="C11807" t="str">
        <f t="shared" si="2563"/>
        <v>06223030</v>
      </c>
      <c r="D11807" t="str">
        <f t="shared" si="2564"/>
        <v>801</v>
      </c>
      <c r="E11807" t="str">
        <f t="shared" si="2565"/>
        <v>89301167</v>
      </c>
      <c r="F11807" t="str">
        <f t="shared" si="2566"/>
        <v>530220073</v>
      </c>
      <c r="G11807" s="1">
        <v>44886</v>
      </c>
      <c r="H11807" t="str">
        <f>"81361"</f>
        <v>81361</v>
      </c>
      <c r="I11807">
        <v>1</v>
      </c>
      <c r="J11807">
        <v>17</v>
      </c>
      <c r="K11807">
        <v>0</v>
      </c>
      <c r="L11807">
        <v>13.26</v>
      </c>
    </row>
    <row r="11808" spans="1:12" x14ac:dyDescent="0.25">
      <c r="A11808" t="str">
        <f t="shared" si="2561"/>
        <v>89301000</v>
      </c>
      <c r="B11808" t="str">
        <f t="shared" si="2562"/>
        <v>06223000</v>
      </c>
      <c r="C11808" t="str">
        <f t="shared" si="2563"/>
        <v>06223030</v>
      </c>
      <c r="D11808" t="str">
        <f t="shared" si="2564"/>
        <v>801</v>
      </c>
      <c r="E11808" t="str">
        <f t="shared" si="2565"/>
        <v>89301167</v>
      </c>
      <c r="F11808" t="str">
        <f t="shared" si="2566"/>
        <v>530220073</v>
      </c>
      <c r="G11808" s="1">
        <v>44886</v>
      </c>
      <c r="H11808" t="str">
        <f>"81337"</f>
        <v>81337</v>
      </c>
      <c r="I11808">
        <v>1</v>
      </c>
      <c r="J11808">
        <v>19</v>
      </c>
      <c r="K11808">
        <v>0</v>
      </c>
      <c r="L11808">
        <v>14.82</v>
      </c>
    </row>
    <row r="11809" spans="1:12" x14ac:dyDescent="0.25">
      <c r="A11809" t="str">
        <f t="shared" si="2561"/>
        <v>89301000</v>
      </c>
      <c r="B11809" t="str">
        <f t="shared" si="2562"/>
        <v>06223000</v>
      </c>
      <c r="C11809" t="str">
        <f t="shared" si="2563"/>
        <v>06223030</v>
      </c>
      <c r="D11809" t="str">
        <f t="shared" si="2564"/>
        <v>801</v>
      </c>
      <c r="E11809" t="str">
        <f t="shared" si="2565"/>
        <v>89301167</v>
      </c>
      <c r="F11809" t="str">
        <f t="shared" si="2566"/>
        <v>530220073</v>
      </c>
      <c r="G11809" s="1">
        <v>44886</v>
      </c>
      <c r="H11809" t="str">
        <f>"81357"</f>
        <v>81357</v>
      </c>
      <c r="I11809">
        <v>1</v>
      </c>
      <c r="J11809">
        <v>19</v>
      </c>
      <c r="K11809">
        <v>0</v>
      </c>
      <c r="L11809">
        <v>14.82</v>
      </c>
    </row>
    <row r="11810" spans="1:12" x14ac:dyDescent="0.25">
      <c r="A11810" t="str">
        <f t="shared" si="2561"/>
        <v>89301000</v>
      </c>
      <c r="B11810" t="str">
        <f t="shared" si="2562"/>
        <v>06223000</v>
      </c>
      <c r="C11810" t="str">
        <f t="shared" si="2563"/>
        <v>06223030</v>
      </c>
      <c r="D11810" t="str">
        <f t="shared" si="2564"/>
        <v>801</v>
      </c>
      <c r="E11810" t="str">
        <f t="shared" si="2565"/>
        <v>89301167</v>
      </c>
      <c r="F11810" t="str">
        <f t="shared" si="2566"/>
        <v>530220073</v>
      </c>
      <c r="G11810" s="1">
        <v>44886</v>
      </c>
      <c r="H11810" t="str">
        <f>"81435"</f>
        <v>81435</v>
      </c>
      <c r="I11810">
        <v>1</v>
      </c>
      <c r="J11810">
        <v>22</v>
      </c>
      <c r="K11810">
        <v>0</v>
      </c>
      <c r="L11810">
        <v>17.16</v>
      </c>
    </row>
    <row r="11811" spans="1:12" x14ac:dyDescent="0.25">
      <c r="A11811" t="str">
        <f t="shared" si="2561"/>
        <v>89301000</v>
      </c>
      <c r="B11811" t="str">
        <f t="shared" si="2562"/>
        <v>06223000</v>
      </c>
      <c r="C11811" t="str">
        <f t="shared" si="2563"/>
        <v>06223030</v>
      </c>
      <c r="D11811" t="str">
        <f t="shared" si="2564"/>
        <v>801</v>
      </c>
      <c r="E11811" t="str">
        <f t="shared" si="2565"/>
        <v>89301167</v>
      </c>
      <c r="F11811" t="str">
        <f t="shared" si="2566"/>
        <v>530220073</v>
      </c>
      <c r="G11811" s="1">
        <v>44886</v>
      </c>
      <c r="H11811" t="str">
        <f>"81471"</f>
        <v>81471</v>
      </c>
      <c r="I11811">
        <v>1</v>
      </c>
      <c r="J11811">
        <v>24</v>
      </c>
      <c r="K11811">
        <v>0</v>
      </c>
      <c r="L11811">
        <v>18.72</v>
      </c>
    </row>
    <row r="11812" spans="1:12" x14ac:dyDescent="0.25">
      <c r="A11812" t="str">
        <f t="shared" si="2561"/>
        <v>89301000</v>
      </c>
      <c r="B11812" t="str">
        <f t="shared" si="2562"/>
        <v>06223000</v>
      </c>
      <c r="C11812" t="str">
        <f t="shared" si="2563"/>
        <v>06223030</v>
      </c>
      <c r="D11812" t="str">
        <f t="shared" si="2564"/>
        <v>801</v>
      </c>
      <c r="E11812" t="str">
        <f t="shared" si="2565"/>
        <v>89301167</v>
      </c>
      <c r="F11812" t="str">
        <f t="shared" si="2566"/>
        <v>530220073</v>
      </c>
      <c r="G11812" s="1">
        <v>44886</v>
      </c>
      <c r="H11812" t="str">
        <f>"81383"</f>
        <v>81383</v>
      </c>
      <c r="I11812">
        <v>1</v>
      </c>
      <c r="J11812">
        <v>23</v>
      </c>
      <c r="K11812">
        <v>0</v>
      </c>
      <c r="L11812">
        <v>17.940000000000001</v>
      </c>
    </row>
    <row r="11813" spans="1:12" x14ac:dyDescent="0.25">
      <c r="A11813" t="str">
        <f t="shared" si="2561"/>
        <v>89301000</v>
      </c>
      <c r="B11813" t="str">
        <f t="shared" si="2562"/>
        <v>06223000</v>
      </c>
      <c r="C11813" t="str">
        <f t="shared" si="2563"/>
        <v>06223030</v>
      </c>
      <c r="D11813" t="str">
        <f t="shared" si="2564"/>
        <v>801</v>
      </c>
      <c r="E11813" t="str">
        <f t="shared" si="2565"/>
        <v>89301167</v>
      </c>
      <c r="F11813" t="str">
        <f t="shared" si="2566"/>
        <v>530220073</v>
      </c>
      <c r="G11813" s="1">
        <v>44886</v>
      </c>
      <c r="H11813" t="str">
        <f>"81365"</f>
        <v>81365</v>
      </c>
      <c r="I11813">
        <v>1</v>
      </c>
      <c r="J11813">
        <v>16</v>
      </c>
      <c r="K11813">
        <v>0</v>
      </c>
      <c r="L11813">
        <v>12.48</v>
      </c>
    </row>
    <row r="11814" spans="1:12" x14ac:dyDescent="0.25">
      <c r="A11814" t="str">
        <f t="shared" si="2561"/>
        <v>89301000</v>
      </c>
      <c r="B11814" t="str">
        <f t="shared" si="2562"/>
        <v>06223000</v>
      </c>
      <c r="C11814" t="str">
        <f t="shared" si="2563"/>
        <v>06223030</v>
      </c>
      <c r="D11814" t="str">
        <f t="shared" si="2564"/>
        <v>801</v>
      </c>
      <c r="E11814" t="str">
        <f t="shared" si="2565"/>
        <v>89301167</v>
      </c>
      <c r="F11814" t="str">
        <f t="shared" si="2566"/>
        <v>530220073</v>
      </c>
      <c r="G11814" s="1">
        <v>44886</v>
      </c>
      <c r="H11814" t="str">
        <f>"81329"</f>
        <v>81329</v>
      </c>
      <c r="I11814">
        <v>1</v>
      </c>
      <c r="J11814">
        <v>16</v>
      </c>
      <c r="K11814">
        <v>0</v>
      </c>
      <c r="L11814">
        <v>12.48</v>
      </c>
    </row>
    <row r="11815" spans="1:12" x14ac:dyDescent="0.25">
      <c r="A11815" t="str">
        <f t="shared" si="2561"/>
        <v>89301000</v>
      </c>
      <c r="B11815" t="str">
        <f t="shared" si="2562"/>
        <v>06223000</v>
      </c>
      <c r="C11815" t="str">
        <f t="shared" si="2563"/>
        <v>06223030</v>
      </c>
      <c r="D11815" t="str">
        <f t="shared" si="2564"/>
        <v>801</v>
      </c>
      <c r="E11815" t="str">
        <f t="shared" si="2565"/>
        <v>89301167</v>
      </c>
      <c r="F11815" t="str">
        <f t="shared" si="2566"/>
        <v>530220073</v>
      </c>
      <c r="G11815" s="1">
        <v>44886</v>
      </c>
      <c r="H11815" t="str">
        <f>"81249"</f>
        <v>81249</v>
      </c>
      <c r="I11815">
        <v>1</v>
      </c>
      <c r="J11815">
        <v>333</v>
      </c>
      <c r="K11815">
        <v>0</v>
      </c>
      <c r="L11815">
        <v>259.74</v>
      </c>
    </row>
    <row r="11816" spans="1:12" x14ac:dyDescent="0.25">
      <c r="A11816" t="str">
        <f t="shared" si="2561"/>
        <v>89301000</v>
      </c>
      <c r="B11816" t="str">
        <f t="shared" si="2562"/>
        <v>06223000</v>
      </c>
      <c r="C11816" t="str">
        <f t="shared" ref="C11816:C11824" si="2567">"06223043"</f>
        <v>06223043</v>
      </c>
      <c r="D11816" t="str">
        <f t="shared" si="2564"/>
        <v>801</v>
      </c>
      <c r="E11816" t="str">
        <f t="shared" ref="E11816:E11824" si="2568">"89301122"</f>
        <v>89301122</v>
      </c>
      <c r="F11816" t="str">
        <f>"5811071178"</f>
        <v>5811071178</v>
      </c>
      <c r="G11816" s="1">
        <v>44894</v>
      </c>
      <c r="H11816" t="str">
        <f t="shared" ref="H11816:H11821" si="2569">"81485"</f>
        <v>81485</v>
      </c>
      <c r="I11816">
        <v>1</v>
      </c>
      <c r="J11816">
        <v>453</v>
      </c>
      <c r="K11816">
        <v>0</v>
      </c>
      <c r="L11816">
        <v>353.34</v>
      </c>
    </row>
    <row r="11817" spans="1:12" x14ac:dyDescent="0.25">
      <c r="A11817" t="str">
        <f t="shared" si="2561"/>
        <v>89301000</v>
      </c>
      <c r="B11817" t="str">
        <f t="shared" si="2562"/>
        <v>06223000</v>
      </c>
      <c r="C11817" t="str">
        <f t="shared" si="2567"/>
        <v>06223043</v>
      </c>
      <c r="D11817" t="str">
        <f t="shared" si="2564"/>
        <v>801</v>
      </c>
      <c r="E11817" t="str">
        <f t="shared" si="2568"/>
        <v>89301122</v>
      </c>
      <c r="F11817" t="str">
        <f>"9651205751"</f>
        <v>9651205751</v>
      </c>
      <c r="G11817" s="1">
        <v>44894</v>
      </c>
      <c r="H11817" t="str">
        <f t="shared" si="2569"/>
        <v>81485</v>
      </c>
      <c r="I11817">
        <v>1</v>
      </c>
      <c r="J11817">
        <v>453</v>
      </c>
      <c r="K11817">
        <v>0</v>
      </c>
      <c r="L11817">
        <v>353.34</v>
      </c>
    </row>
    <row r="11818" spans="1:12" x14ac:dyDescent="0.25">
      <c r="A11818" t="str">
        <f t="shared" si="2561"/>
        <v>89301000</v>
      </c>
      <c r="B11818" t="str">
        <f t="shared" si="2562"/>
        <v>06223000</v>
      </c>
      <c r="C11818" t="str">
        <f t="shared" si="2567"/>
        <v>06223043</v>
      </c>
      <c r="D11818" t="str">
        <f t="shared" si="2564"/>
        <v>801</v>
      </c>
      <c r="E11818" t="str">
        <f t="shared" si="2568"/>
        <v>89301122</v>
      </c>
      <c r="F11818" t="str">
        <f>"0358044841"</f>
        <v>0358044841</v>
      </c>
      <c r="G11818" s="1">
        <v>44874</v>
      </c>
      <c r="H11818" t="str">
        <f t="shared" si="2569"/>
        <v>81485</v>
      </c>
      <c r="I11818">
        <v>1</v>
      </c>
      <c r="J11818">
        <v>453</v>
      </c>
      <c r="K11818">
        <v>0</v>
      </c>
      <c r="L11818">
        <v>353.34</v>
      </c>
    </row>
    <row r="11819" spans="1:12" x14ac:dyDescent="0.25">
      <c r="A11819" t="str">
        <f t="shared" si="2561"/>
        <v>89301000</v>
      </c>
      <c r="B11819" t="str">
        <f t="shared" si="2562"/>
        <v>06223000</v>
      </c>
      <c r="C11819" t="str">
        <f t="shared" si="2567"/>
        <v>06223043</v>
      </c>
      <c r="D11819" t="str">
        <f t="shared" si="2564"/>
        <v>801</v>
      </c>
      <c r="E11819" t="str">
        <f t="shared" si="2568"/>
        <v>89301122</v>
      </c>
      <c r="F11819" t="str">
        <f>"7360155308"</f>
        <v>7360155308</v>
      </c>
      <c r="G11819" s="1">
        <v>44868</v>
      </c>
      <c r="H11819" t="str">
        <f t="shared" si="2569"/>
        <v>81485</v>
      </c>
      <c r="I11819">
        <v>1</v>
      </c>
      <c r="J11819">
        <v>453</v>
      </c>
      <c r="K11819">
        <v>0</v>
      </c>
      <c r="L11819">
        <v>353.34</v>
      </c>
    </row>
    <row r="11820" spans="1:12" x14ac:dyDescent="0.25">
      <c r="A11820" t="str">
        <f t="shared" si="2561"/>
        <v>89301000</v>
      </c>
      <c r="B11820" t="str">
        <f t="shared" si="2562"/>
        <v>06223000</v>
      </c>
      <c r="C11820" t="str">
        <f t="shared" si="2567"/>
        <v>06223043</v>
      </c>
      <c r="D11820" t="str">
        <f t="shared" si="2564"/>
        <v>801</v>
      </c>
      <c r="E11820" t="str">
        <f t="shared" si="2568"/>
        <v>89301122</v>
      </c>
      <c r="F11820" t="str">
        <f>"8408214474"</f>
        <v>8408214474</v>
      </c>
      <c r="G11820" s="1">
        <v>44868</v>
      </c>
      <c r="H11820" t="str">
        <f t="shared" si="2569"/>
        <v>81485</v>
      </c>
      <c r="I11820">
        <v>1</v>
      </c>
      <c r="J11820">
        <v>453</v>
      </c>
      <c r="K11820">
        <v>0</v>
      </c>
      <c r="L11820">
        <v>353.34</v>
      </c>
    </row>
    <row r="11821" spans="1:12" x14ac:dyDescent="0.25">
      <c r="A11821" t="str">
        <f t="shared" si="2561"/>
        <v>89301000</v>
      </c>
      <c r="B11821" t="str">
        <f t="shared" si="2562"/>
        <v>06223000</v>
      </c>
      <c r="C11821" t="str">
        <f t="shared" si="2567"/>
        <v>06223043</v>
      </c>
      <c r="D11821" t="str">
        <f t="shared" si="2564"/>
        <v>801</v>
      </c>
      <c r="E11821" t="str">
        <f t="shared" si="2568"/>
        <v>89301122</v>
      </c>
      <c r="F11821" t="str">
        <f>"5902201008"</f>
        <v>5902201008</v>
      </c>
      <c r="G11821" s="1">
        <v>44868</v>
      </c>
      <c r="H11821" t="str">
        <f t="shared" si="2569"/>
        <v>81485</v>
      </c>
      <c r="I11821">
        <v>1</v>
      </c>
      <c r="J11821">
        <v>453</v>
      </c>
      <c r="K11821">
        <v>0</v>
      </c>
      <c r="L11821">
        <v>353.34</v>
      </c>
    </row>
    <row r="11822" spans="1:12" x14ac:dyDescent="0.25">
      <c r="A11822" t="str">
        <f t="shared" si="2561"/>
        <v>89301000</v>
      </c>
      <c r="B11822" t="str">
        <f t="shared" si="2562"/>
        <v>06223000</v>
      </c>
      <c r="C11822" t="str">
        <f t="shared" si="2567"/>
        <v>06223043</v>
      </c>
      <c r="D11822" t="str">
        <f t="shared" si="2564"/>
        <v>801</v>
      </c>
      <c r="E11822" t="str">
        <f t="shared" si="2568"/>
        <v>89301122</v>
      </c>
      <c r="F11822" t="str">
        <f>"6603031732"</f>
        <v>6603031732</v>
      </c>
      <c r="G11822" s="1">
        <v>44869</v>
      </c>
      <c r="H11822" t="str">
        <f>"92165"</f>
        <v>92165</v>
      </c>
      <c r="I11822">
        <v>1</v>
      </c>
      <c r="J11822">
        <v>2113</v>
      </c>
      <c r="K11822">
        <v>0</v>
      </c>
      <c r="L11822">
        <v>1648.14</v>
      </c>
    </row>
    <row r="11823" spans="1:12" x14ac:dyDescent="0.25">
      <c r="A11823" t="str">
        <f t="shared" si="2561"/>
        <v>89301000</v>
      </c>
      <c r="B11823" t="str">
        <f t="shared" si="2562"/>
        <v>06223000</v>
      </c>
      <c r="C11823" t="str">
        <f t="shared" si="2567"/>
        <v>06223043</v>
      </c>
      <c r="D11823" t="str">
        <f t="shared" si="2564"/>
        <v>801</v>
      </c>
      <c r="E11823" t="str">
        <f t="shared" si="2568"/>
        <v>89301122</v>
      </c>
      <c r="F11823" t="str">
        <f>"6205182104"</f>
        <v>6205182104</v>
      </c>
      <c r="G11823" s="1">
        <v>44894</v>
      </c>
      <c r="H11823" t="str">
        <f>"81485"</f>
        <v>81485</v>
      </c>
      <c r="I11823">
        <v>1</v>
      </c>
      <c r="J11823">
        <v>453</v>
      </c>
      <c r="K11823">
        <v>0</v>
      </c>
      <c r="L11823">
        <v>353.34</v>
      </c>
    </row>
    <row r="11824" spans="1:12" x14ac:dyDescent="0.25">
      <c r="A11824" t="str">
        <f t="shared" si="2561"/>
        <v>89301000</v>
      </c>
      <c r="B11824" t="str">
        <f t="shared" si="2562"/>
        <v>06223000</v>
      </c>
      <c r="C11824" t="str">
        <f t="shared" si="2567"/>
        <v>06223043</v>
      </c>
      <c r="D11824" t="str">
        <f t="shared" si="2564"/>
        <v>801</v>
      </c>
      <c r="E11824" t="str">
        <f t="shared" si="2568"/>
        <v>89301122</v>
      </c>
      <c r="F11824" t="str">
        <f>"505205310"</f>
        <v>505205310</v>
      </c>
      <c r="G11824" s="1">
        <v>44894</v>
      </c>
      <c r="H11824" t="str">
        <f>"81485"</f>
        <v>81485</v>
      </c>
      <c r="I11824">
        <v>1</v>
      </c>
      <c r="J11824">
        <v>453</v>
      </c>
      <c r="K11824">
        <v>0</v>
      </c>
      <c r="L11824">
        <v>353.34</v>
      </c>
    </row>
    <row r="11825" spans="1:12" x14ac:dyDescent="0.25">
      <c r="A11825" t="str">
        <f t="shared" si="2561"/>
        <v>89301000</v>
      </c>
      <c r="B11825" t="str">
        <f t="shared" si="2562"/>
        <v>06223000</v>
      </c>
      <c r="C11825" t="str">
        <f>"06223033"</f>
        <v>06223033</v>
      </c>
      <c r="D11825" t="str">
        <f>"818"</f>
        <v>818</v>
      </c>
      <c r="E11825" t="str">
        <f>"89301167"</f>
        <v>89301167</v>
      </c>
      <c r="F11825" t="str">
        <f>"530220073"</f>
        <v>530220073</v>
      </c>
      <c r="G11825" s="1">
        <v>44886</v>
      </c>
      <c r="H11825" t="str">
        <f>"96167"</f>
        <v>96167</v>
      </c>
      <c r="I11825">
        <v>1</v>
      </c>
      <c r="J11825">
        <v>67</v>
      </c>
      <c r="K11825">
        <v>0</v>
      </c>
      <c r="L11825">
        <v>60.97</v>
      </c>
    </row>
    <row r="11826" spans="1:12" x14ac:dyDescent="0.25">
      <c r="A11826" t="str">
        <f t="shared" si="2561"/>
        <v>89301000</v>
      </c>
      <c r="B11826" t="str">
        <f t="shared" ref="B11826:B11842" si="2570">"02004000"</f>
        <v>02004000</v>
      </c>
      <c r="C11826" t="str">
        <f>"02004545"</f>
        <v>02004545</v>
      </c>
      <c r="D11826" t="str">
        <f>"816"</f>
        <v>816</v>
      </c>
      <c r="E11826" t="str">
        <f>"89301282"</f>
        <v>89301282</v>
      </c>
      <c r="F11826" t="str">
        <f>"8957305819"</f>
        <v>8957305819</v>
      </c>
      <c r="G11826" s="1">
        <v>44876</v>
      </c>
      <c r="H11826" t="str">
        <f>"94345"</f>
        <v>94345</v>
      </c>
      <c r="I11826">
        <v>2</v>
      </c>
      <c r="J11826">
        <v>9250</v>
      </c>
      <c r="K11826">
        <v>0</v>
      </c>
      <c r="L11826">
        <v>7862.5</v>
      </c>
    </row>
    <row r="11827" spans="1:12" x14ac:dyDescent="0.25">
      <c r="A11827" t="str">
        <f t="shared" si="2561"/>
        <v>89301000</v>
      </c>
      <c r="B11827" t="str">
        <f t="shared" si="2570"/>
        <v>02004000</v>
      </c>
      <c r="C11827" t="str">
        <f t="shared" ref="C11827:C11842" si="2571">"02004556"</f>
        <v>02004556</v>
      </c>
      <c r="D11827" t="str">
        <f t="shared" ref="D11827:D11842" si="2572">"813"</f>
        <v>813</v>
      </c>
      <c r="E11827" t="str">
        <f t="shared" ref="E11827:E11836" si="2573">"89301102"</f>
        <v>89301102</v>
      </c>
      <c r="F11827" t="str">
        <f>"1754070054"</f>
        <v>1754070054</v>
      </c>
      <c r="G11827" s="1">
        <v>44866</v>
      </c>
      <c r="H11827" t="str">
        <f>"91249"</f>
        <v>91249</v>
      </c>
      <c r="I11827">
        <v>1</v>
      </c>
      <c r="J11827">
        <v>1489</v>
      </c>
      <c r="K11827">
        <v>0</v>
      </c>
      <c r="L11827">
        <v>1161.42</v>
      </c>
    </row>
    <row r="11828" spans="1:12" x14ac:dyDescent="0.25">
      <c r="A11828" t="str">
        <f t="shared" si="2561"/>
        <v>89301000</v>
      </c>
      <c r="B11828" t="str">
        <f t="shared" si="2570"/>
        <v>02004000</v>
      </c>
      <c r="C11828" t="str">
        <f t="shared" si="2571"/>
        <v>02004556</v>
      </c>
      <c r="D11828" t="str">
        <f t="shared" si="2572"/>
        <v>813</v>
      </c>
      <c r="E11828" t="str">
        <f t="shared" si="2573"/>
        <v>89301102</v>
      </c>
      <c r="F11828" t="str">
        <f>"1754070054"</f>
        <v>1754070054</v>
      </c>
      <c r="G11828" s="1">
        <v>44866</v>
      </c>
      <c r="H11828" t="str">
        <f>"91251"</f>
        <v>91251</v>
      </c>
      <c r="I11828">
        <v>1</v>
      </c>
      <c r="J11828">
        <v>1489</v>
      </c>
      <c r="K11828">
        <v>0</v>
      </c>
      <c r="L11828">
        <v>1161.42</v>
      </c>
    </row>
    <row r="11829" spans="1:12" x14ac:dyDescent="0.25">
      <c r="A11829" t="str">
        <f t="shared" si="2561"/>
        <v>89301000</v>
      </c>
      <c r="B11829" t="str">
        <f t="shared" si="2570"/>
        <v>02004000</v>
      </c>
      <c r="C11829" t="str">
        <f t="shared" si="2571"/>
        <v>02004556</v>
      </c>
      <c r="D11829" t="str">
        <f t="shared" si="2572"/>
        <v>813</v>
      </c>
      <c r="E11829" t="str">
        <f t="shared" si="2573"/>
        <v>89301102</v>
      </c>
      <c r="F11829" t="str">
        <f>"0707116157"</f>
        <v>0707116157</v>
      </c>
      <c r="G11829" s="1">
        <v>44866</v>
      </c>
      <c r="H11829" t="str">
        <f>"91249"</f>
        <v>91249</v>
      </c>
      <c r="I11829">
        <v>1</v>
      </c>
      <c r="J11829">
        <v>1489</v>
      </c>
      <c r="K11829">
        <v>0</v>
      </c>
      <c r="L11829">
        <v>1161.42</v>
      </c>
    </row>
    <row r="11830" spans="1:12" x14ac:dyDescent="0.25">
      <c r="A11830" t="str">
        <f t="shared" si="2561"/>
        <v>89301000</v>
      </c>
      <c r="B11830" t="str">
        <f t="shared" si="2570"/>
        <v>02004000</v>
      </c>
      <c r="C11830" t="str">
        <f t="shared" si="2571"/>
        <v>02004556</v>
      </c>
      <c r="D11830" t="str">
        <f t="shared" si="2572"/>
        <v>813</v>
      </c>
      <c r="E11830" t="str">
        <f t="shared" si="2573"/>
        <v>89301102</v>
      </c>
      <c r="F11830" t="str">
        <f>"0707116157"</f>
        <v>0707116157</v>
      </c>
      <c r="G11830" s="1">
        <v>44866</v>
      </c>
      <c r="H11830" t="str">
        <f>"91251"</f>
        <v>91251</v>
      </c>
      <c r="I11830">
        <v>1</v>
      </c>
      <c r="J11830">
        <v>1489</v>
      </c>
      <c r="K11830">
        <v>0</v>
      </c>
      <c r="L11830">
        <v>1161.42</v>
      </c>
    </row>
    <row r="11831" spans="1:12" x14ac:dyDescent="0.25">
      <c r="A11831" t="str">
        <f t="shared" si="2561"/>
        <v>89301000</v>
      </c>
      <c r="B11831" t="str">
        <f t="shared" si="2570"/>
        <v>02004000</v>
      </c>
      <c r="C11831" t="str">
        <f t="shared" si="2571"/>
        <v>02004556</v>
      </c>
      <c r="D11831" t="str">
        <f t="shared" si="2572"/>
        <v>813</v>
      </c>
      <c r="E11831" t="str">
        <f t="shared" si="2573"/>
        <v>89301102</v>
      </c>
      <c r="F11831" t="str">
        <f>"0756083383"</f>
        <v>0756083383</v>
      </c>
      <c r="G11831" s="1">
        <v>44875</v>
      </c>
      <c r="H11831" t="str">
        <f>"91249"</f>
        <v>91249</v>
      </c>
      <c r="I11831">
        <v>1</v>
      </c>
      <c r="J11831">
        <v>1489</v>
      </c>
      <c r="K11831">
        <v>0</v>
      </c>
      <c r="L11831">
        <v>1161.42</v>
      </c>
    </row>
    <row r="11832" spans="1:12" x14ac:dyDescent="0.25">
      <c r="A11832" t="str">
        <f t="shared" si="2561"/>
        <v>89301000</v>
      </c>
      <c r="B11832" t="str">
        <f t="shared" si="2570"/>
        <v>02004000</v>
      </c>
      <c r="C11832" t="str">
        <f t="shared" si="2571"/>
        <v>02004556</v>
      </c>
      <c r="D11832" t="str">
        <f t="shared" si="2572"/>
        <v>813</v>
      </c>
      <c r="E11832" t="str">
        <f t="shared" si="2573"/>
        <v>89301102</v>
      </c>
      <c r="F11832" t="str">
        <f>"0756083383"</f>
        <v>0756083383</v>
      </c>
      <c r="G11832" s="1">
        <v>44875</v>
      </c>
      <c r="H11832" t="str">
        <f>"91251"</f>
        <v>91251</v>
      </c>
      <c r="I11832">
        <v>1</v>
      </c>
      <c r="J11832">
        <v>1489</v>
      </c>
      <c r="K11832">
        <v>0</v>
      </c>
      <c r="L11832">
        <v>1161.42</v>
      </c>
    </row>
    <row r="11833" spans="1:12" x14ac:dyDescent="0.25">
      <c r="A11833" t="str">
        <f t="shared" si="2561"/>
        <v>89301000</v>
      </c>
      <c r="B11833" t="str">
        <f t="shared" si="2570"/>
        <v>02004000</v>
      </c>
      <c r="C11833" t="str">
        <f t="shared" si="2571"/>
        <v>02004556</v>
      </c>
      <c r="D11833" t="str">
        <f t="shared" si="2572"/>
        <v>813</v>
      </c>
      <c r="E11833" t="str">
        <f t="shared" si="2573"/>
        <v>89301102</v>
      </c>
      <c r="F11833" t="str">
        <f>"0756083383"</f>
        <v>0756083383</v>
      </c>
      <c r="G11833" s="1">
        <v>44847</v>
      </c>
      <c r="H11833" t="str">
        <f>"91249"</f>
        <v>91249</v>
      </c>
      <c r="I11833">
        <v>1</v>
      </c>
      <c r="J11833">
        <v>1489</v>
      </c>
      <c r="K11833">
        <v>0</v>
      </c>
      <c r="L11833">
        <v>1161.42</v>
      </c>
    </row>
    <row r="11834" spans="1:12" x14ac:dyDescent="0.25">
      <c r="A11834" t="str">
        <f t="shared" si="2561"/>
        <v>89301000</v>
      </c>
      <c r="B11834" t="str">
        <f t="shared" si="2570"/>
        <v>02004000</v>
      </c>
      <c r="C11834" t="str">
        <f t="shared" si="2571"/>
        <v>02004556</v>
      </c>
      <c r="D11834" t="str">
        <f t="shared" si="2572"/>
        <v>813</v>
      </c>
      <c r="E11834" t="str">
        <f t="shared" si="2573"/>
        <v>89301102</v>
      </c>
      <c r="F11834" t="str">
        <f>"0756083383"</f>
        <v>0756083383</v>
      </c>
      <c r="G11834" s="1">
        <v>44847</v>
      </c>
      <c r="H11834" t="str">
        <f>"91251"</f>
        <v>91251</v>
      </c>
      <c r="I11834">
        <v>1</v>
      </c>
      <c r="J11834">
        <v>1489</v>
      </c>
      <c r="K11834">
        <v>0</v>
      </c>
      <c r="L11834">
        <v>1161.42</v>
      </c>
    </row>
    <row r="11835" spans="1:12" x14ac:dyDescent="0.25">
      <c r="A11835" t="str">
        <f t="shared" si="2561"/>
        <v>89301000</v>
      </c>
      <c r="B11835" t="str">
        <f t="shared" si="2570"/>
        <v>02004000</v>
      </c>
      <c r="C11835" t="str">
        <f t="shared" si="2571"/>
        <v>02004556</v>
      </c>
      <c r="D11835" t="str">
        <f t="shared" si="2572"/>
        <v>813</v>
      </c>
      <c r="E11835" t="str">
        <f t="shared" si="2573"/>
        <v>89301102</v>
      </c>
      <c r="F11835" t="str">
        <f>"0706231383"</f>
        <v>0706231383</v>
      </c>
      <c r="G11835" s="1">
        <v>44855</v>
      </c>
      <c r="H11835" t="str">
        <f>"91249"</f>
        <v>91249</v>
      </c>
      <c r="I11835">
        <v>1</v>
      </c>
      <c r="J11835">
        <v>1489</v>
      </c>
      <c r="K11835">
        <v>0</v>
      </c>
      <c r="L11835">
        <v>1161.42</v>
      </c>
    </row>
    <row r="11836" spans="1:12" x14ac:dyDescent="0.25">
      <c r="A11836" t="str">
        <f t="shared" si="2561"/>
        <v>89301000</v>
      </c>
      <c r="B11836" t="str">
        <f t="shared" si="2570"/>
        <v>02004000</v>
      </c>
      <c r="C11836" t="str">
        <f t="shared" si="2571"/>
        <v>02004556</v>
      </c>
      <c r="D11836" t="str">
        <f t="shared" si="2572"/>
        <v>813</v>
      </c>
      <c r="E11836" t="str">
        <f t="shared" si="2573"/>
        <v>89301102</v>
      </c>
      <c r="F11836" t="str">
        <f>"0706231383"</f>
        <v>0706231383</v>
      </c>
      <c r="G11836" s="1">
        <v>44855</v>
      </c>
      <c r="H11836" t="str">
        <f>"91251"</f>
        <v>91251</v>
      </c>
      <c r="I11836">
        <v>1</v>
      </c>
      <c r="J11836">
        <v>1489</v>
      </c>
      <c r="K11836">
        <v>0</v>
      </c>
      <c r="L11836">
        <v>1161.42</v>
      </c>
    </row>
    <row r="11837" spans="1:12" x14ac:dyDescent="0.25">
      <c r="A11837" t="str">
        <f t="shared" si="2561"/>
        <v>89301000</v>
      </c>
      <c r="B11837" t="str">
        <f t="shared" si="2570"/>
        <v>02004000</v>
      </c>
      <c r="C11837" t="str">
        <f t="shared" si="2571"/>
        <v>02004556</v>
      </c>
      <c r="D11837" t="str">
        <f t="shared" si="2572"/>
        <v>813</v>
      </c>
      <c r="E11837" t="str">
        <f>"89301028"</f>
        <v>89301028</v>
      </c>
      <c r="F11837" t="str">
        <f>"6753081214"</f>
        <v>6753081214</v>
      </c>
      <c r="G11837" s="1">
        <v>44861</v>
      </c>
      <c r="H11837" t="str">
        <f>"91251"</f>
        <v>91251</v>
      </c>
      <c r="I11837">
        <v>1</v>
      </c>
      <c r="J11837">
        <v>1489</v>
      </c>
      <c r="K11837">
        <v>0</v>
      </c>
      <c r="L11837">
        <v>1161.42</v>
      </c>
    </row>
    <row r="11838" spans="1:12" x14ac:dyDescent="0.25">
      <c r="A11838" t="str">
        <f t="shared" si="2561"/>
        <v>89301000</v>
      </c>
      <c r="B11838" t="str">
        <f t="shared" si="2570"/>
        <v>02004000</v>
      </c>
      <c r="C11838" t="str">
        <f t="shared" si="2571"/>
        <v>02004556</v>
      </c>
      <c r="D11838" t="str">
        <f t="shared" si="2572"/>
        <v>813</v>
      </c>
      <c r="E11838" t="str">
        <f>"89301028"</f>
        <v>89301028</v>
      </c>
      <c r="F11838" t="str">
        <f>"6753081214"</f>
        <v>6753081214</v>
      </c>
      <c r="G11838" s="1">
        <v>44861</v>
      </c>
      <c r="H11838" t="str">
        <f>"91249"</f>
        <v>91249</v>
      </c>
      <c r="I11838">
        <v>1</v>
      </c>
      <c r="J11838">
        <v>1489</v>
      </c>
      <c r="K11838">
        <v>0</v>
      </c>
      <c r="L11838">
        <v>1161.42</v>
      </c>
    </row>
    <row r="11839" spans="1:12" x14ac:dyDescent="0.25">
      <c r="A11839" t="str">
        <f t="shared" si="2561"/>
        <v>89301000</v>
      </c>
      <c r="B11839" t="str">
        <f t="shared" si="2570"/>
        <v>02004000</v>
      </c>
      <c r="C11839" t="str">
        <f t="shared" si="2571"/>
        <v>02004556</v>
      </c>
      <c r="D11839" t="str">
        <f t="shared" si="2572"/>
        <v>813</v>
      </c>
      <c r="E11839" t="str">
        <f>"89301102"</f>
        <v>89301102</v>
      </c>
      <c r="F11839" t="str">
        <f>"0658303239"</f>
        <v>0658303239</v>
      </c>
      <c r="G11839" s="1">
        <v>44865</v>
      </c>
      <c r="H11839" t="str">
        <f>"91249"</f>
        <v>91249</v>
      </c>
      <c r="I11839">
        <v>1</v>
      </c>
      <c r="J11839">
        <v>1489</v>
      </c>
      <c r="K11839">
        <v>0</v>
      </c>
      <c r="L11839">
        <v>1161.42</v>
      </c>
    </row>
    <row r="11840" spans="1:12" x14ac:dyDescent="0.25">
      <c r="A11840" t="str">
        <f t="shared" si="2561"/>
        <v>89301000</v>
      </c>
      <c r="B11840" t="str">
        <f t="shared" si="2570"/>
        <v>02004000</v>
      </c>
      <c r="C11840" t="str">
        <f t="shared" si="2571"/>
        <v>02004556</v>
      </c>
      <c r="D11840" t="str">
        <f t="shared" si="2572"/>
        <v>813</v>
      </c>
      <c r="E11840" t="str">
        <f>"89301102"</f>
        <v>89301102</v>
      </c>
      <c r="F11840" t="str">
        <f>"0658303239"</f>
        <v>0658303239</v>
      </c>
      <c r="G11840" s="1">
        <v>44865</v>
      </c>
      <c r="H11840" t="str">
        <f>"91251"</f>
        <v>91251</v>
      </c>
      <c r="I11840">
        <v>1</v>
      </c>
      <c r="J11840">
        <v>1489</v>
      </c>
      <c r="K11840">
        <v>0</v>
      </c>
      <c r="L11840">
        <v>1161.42</v>
      </c>
    </row>
    <row r="11841" spans="1:12" x14ac:dyDescent="0.25">
      <c r="A11841" t="str">
        <f t="shared" si="2561"/>
        <v>89301000</v>
      </c>
      <c r="B11841" t="str">
        <f t="shared" si="2570"/>
        <v>02004000</v>
      </c>
      <c r="C11841" t="str">
        <f t="shared" si="2571"/>
        <v>02004556</v>
      </c>
      <c r="D11841" t="str">
        <f t="shared" si="2572"/>
        <v>813</v>
      </c>
      <c r="E11841" t="str">
        <f>"89301102"</f>
        <v>89301102</v>
      </c>
      <c r="F11841" t="str">
        <f>"0606161380"</f>
        <v>0606161380</v>
      </c>
      <c r="G11841" s="1">
        <v>44852</v>
      </c>
      <c r="H11841" t="str">
        <f>"91249"</f>
        <v>91249</v>
      </c>
      <c r="I11841">
        <v>1</v>
      </c>
      <c r="J11841">
        <v>1489</v>
      </c>
      <c r="K11841">
        <v>0</v>
      </c>
      <c r="L11841">
        <v>1161.42</v>
      </c>
    </row>
    <row r="11842" spans="1:12" x14ac:dyDescent="0.25">
      <c r="A11842" t="str">
        <f t="shared" ref="A11842:A11905" si="2574">"89301000"</f>
        <v>89301000</v>
      </c>
      <c r="B11842" t="str">
        <f t="shared" si="2570"/>
        <v>02004000</v>
      </c>
      <c r="C11842" t="str">
        <f t="shared" si="2571"/>
        <v>02004556</v>
      </c>
      <c r="D11842" t="str">
        <f t="shared" si="2572"/>
        <v>813</v>
      </c>
      <c r="E11842" t="str">
        <f>"89301102"</f>
        <v>89301102</v>
      </c>
      <c r="F11842" t="str">
        <f>"0606161380"</f>
        <v>0606161380</v>
      </c>
      <c r="G11842" s="1">
        <v>44852</v>
      </c>
      <c r="H11842" t="str">
        <f>"91251"</f>
        <v>91251</v>
      </c>
      <c r="I11842">
        <v>1</v>
      </c>
      <c r="J11842">
        <v>1489</v>
      </c>
      <c r="K11842">
        <v>0</v>
      </c>
      <c r="L11842">
        <v>1161.42</v>
      </c>
    </row>
    <row r="11843" spans="1:12" x14ac:dyDescent="0.25">
      <c r="A11843" t="str">
        <f t="shared" si="2574"/>
        <v>89301000</v>
      </c>
      <c r="B11843" t="str">
        <f>"89670000"</f>
        <v>89670000</v>
      </c>
      <c r="C11843" t="str">
        <f>"89670001"</f>
        <v>89670001</v>
      </c>
      <c r="D11843" t="str">
        <f>"802"</f>
        <v>802</v>
      </c>
      <c r="E11843" t="str">
        <f>"89301101"</f>
        <v>89301101</v>
      </c>
      <c r="F11843" t="str">
        <f>"1753210096"</f>
        <v>1753210096</v>
      </c>
      <c r="G11843" s="1">
        <v>44887</v>
      </c>
      <c r="H11843" t="str">
        <f>"82087"</f>
        <v>82087</v>
      </c>
      <c r="I11843">
        <v>2</v>
      </c>
      <c r="J11843">
        <v>106</v>
      </c>
      <c r="K11843">
        <v>0</v>
      </c>
      <c r="L11843">
        <v>96.46</v>
      </c>
    </row>
    <row r="11844" spans="1:12" x14ac:dyDescent="0.25">
      <c r="A11844" t="str">
        <f t="shared" si="2574"/>
        <v>89301000</v>
      </c>
      <c r="B11844" t="str">
        <f>"05002000"</f>
        <v>05002000</v>
      </c>
      <c r="C11844" t="str">
        <f>"05002141"</f>
        <v>05002141</v>
      </c>
      <c r="D11844" t="str">
        <f>"816"</f>
        <v>816</v>
      </c>
      <c r="E11844" t="str">
        <f>"89301282"</f>
        <v>89301282</v>
      </c>
      <c r="F11844" t="str">
        <f>"475626163"</f>
        <v>475626163</v>
      </c>
      <c r="G11844" s="1">
        <v>44879</v>
      </c>
      <c r="H11844" t="str">
        <f>"94331"</f>
        <v>94331</v>
      </c>
      <c r="I11844">
        <v>1</v>
      </c>
      <c r="J11844">
        <v>7778</v>
      </c>
      <c r="K11844">
        <v>0</v>
      </c>
      <c r="L11844">
        <v>6611.3</v>
      </c>
    </row>
    <row r="11845" spans="1:12" x14ac:dyDescent="0.25">
      <c r="A11845" t="str">
        <f t="shared" si="2574"/>
        <v>89301000</v>
      </c>
      <c r="B11845" t="str">
        <f>"05002000"</f>
        <v>05002000</v>
      </c>
      <c r="C11845" t="str">
        <f>"05002141"</f>
        <v>05002141</v>
      </c>
      <c r="D11845" t="str">
        <f>"816"</f>
        <v>816</v>
      </c>
      <c r="E11845" t="str">
        <f>"89301282"</f>
        <v>89301282</v>
      </c>
      <c r="F11845" t="str">
        <f>"475626163"</f>
        <v>475626163</v>
      </c>
      <c r="G11845" s="1">
        <v>44894</v>
      </c>
      <c r="H11845" t="str">
        <f>"94221"</f>
        <v>94221</v>
      </c>
      <c r="I11845">
        <v>4</v>
      </c>
      <c r="J11845">
        <v>9812</v>
      </c>
      <c r="K11845">
        <v>0</v>
      </c>
      <c r="L11845">
        <v>8340.2000000000007</v>
      </c>
    </row>
    <row r="11846" spans="1:12" x14ac:dyDescent="0.25">
      <c r="A11846" t="str">
        <f t="shared" si="2574"/>
        <v>89301000</v>
      </c>
      <c r="B11846" t="str">
        <f>"05002000"</f>
        <v>05002000</v>
      </c>
      <c r="C11846" t="str">
        <f>"05002141"</f>
        <v>05002141</v>
      </c>
      <c r="D11846" t="str">
        <f>"816"</f>
        <v>816</v>
      </c>
      <c r="E11846" t="str">
        <f>"89301282"</f>
        <v>89301282</v>
      </c>
      <c r="F11846" t="str">
        <f>"515323097"</f>
        <v>515323097</v>
      </c>
      <c r="G11846" s="1">
        <v>44880</v>
      </c>
      <c r="H11846" t="str">
        <f>"94221"</f>
        <v>94221</v>
      </c>
      <c r="I11846">
        <v>3</v>
      </c>
      <c r="J11846">
        <v>7359</v>
      </c>
      <c r="K11846">
        <v>0</v>
      </c>
      <c r="L11846">
        <v>6255.15</v>
      </c>
    </row>
    <row r="11847" spans="1:12" x14ac:dyDescent="0.25">
      <c r="A11847" t="str">
        <f t="shared" si="2574"/>
        <v>89301000</v>
      </c>
      <c r="B11847" t="str">
        <f>"05002000"</f>
        <v>05002000</v>
      </c>
      <c r="C11847" t="str">
        <f>"05002141"</f>
        <v>05002141</v>
      </c>
      <c r="D11847" t="str">
        <f>"816"</f>
        <v>816</v>
      </c>
      <c r="E11847" t="str">
        <f>"89301282"</f>
        <v>89301282</v>
      </c>
      <c r="F11847" t="str">
        <f>"515323097"</f>
        <v>515323097</v>
      </c>
      <c r="G11847" s="1">
        <v>44880</v>
      </c>
      <c r="H11847" t="str">
        <f>"94331"</f>
        <v>94331</v>
      </c>
      <c r="I11847">
        <v>1</v>
      </c>
      <c r="J11847">
        <v>7778</v>
      </c>
      <c r="K11847">
        <v>0</v>
      </c>
      <c r="L11847">
        <v>6611.3</v>
      </c>
    </row>
    <row r="11848" spans="1:12" x14ac:dyDescent="0.25">
      <c r="A11848" t="str">
        <f t="shared" si="2574"/>
        <v>89301000</v>
      </c>
      <c r="B11848" t="str">
        <f>"70001000"</f>
        <v>70001000</v>
      </c>
      <c r="C11848" t="str">
        <f>"70001898"</f>
        <v>70001898</v>
      </c>
      <c r="D11848" t="str">
        <f>"809"</f>
        <v>809</v>
      </c>
      <c r="E11848" t="str">
        <f>"89301062"</f>
        <v>89301062</v>
      </c>
      <c r="F11848" t="str">
        <f>"7855022263"</f>
        <v>7855022263</v>
      </c>
      <c r="G11848" s="1">
        <v>44890</v>
      </c>
      <c r="H11848" t="str">
        <f>"89615"</f>
        <v>89615</v>
      </c>
      <c r="I11848">
        <v>1</v>
      </c>
      <c r="J11848">
        <v>2170</v>
      </c>
      <c r="K11848">
        <v>0</v>
      </c>
      <c r="L11848">
        <v>1302</v>
      </c>
    </row>
    <row r="11849" spans="1:12" x14ac:dyDescent="0.25">
      <c r="A11849" t="str">
        <f t="shared" si="2574"/>
        <v>89301000</v>
      </c>
      <c r="B11849" t="str">
        <f>"05002000"</f>
        <v>05002000</v>
      </c>
      <c r="C11849" t="str">
        <f>"05002174"</f>
        <v>05002174</v>
      </c>
      <c r="D11849" t="str">
        <f>"802"</f>
        <v>802</v>
      </c>
      <c r="E11849" t="str">
        <f>"89301172"</f>
        <v>89301172</v>
      </c>
      <c r="F11849" t="str">
        <f>"8008105809"</f>
        <v>8008105809</v>
      </c>
      <c r="G11849" s="1">
        <v>44834</v>
      </c>
      <c r="H11849" t="str">
        <f>"85115"</f>
        <v>85115</v>
      </c>
      <c r="I11849">
        <v>1</v>
      </c>
      <c r="J11849">
        <v>2423</v>
      </c>
      <c r="K11849">
        <v>0</v>
      </c>
      <c r="L11849">
        <v>2204.9299999999998</v>
      </c>
    </row>
    <row r="11850" spans="1:12" x14ac:dyDescent="0.25">
      <c r="A11850" t="str">
        <f t="shared" si="2574"/>
        <v>89301000</v>
      </c>
      <c r="B11850" t="str">
        <f>"78610000"</f>
        <v>78610000</v>
      </c>
      <c r="C11850" t="str">
        <f>"78610001"</f>
        <v>78610001</v>
      </c>
      <c r="D11850" t="str">
        <f t="shared" ref="D11850:D11881" si="2575">"809"</f>
        <v>809</v>
      </c>
      <c r="E11850" t="str">
        <f>"89301322"</f>
        <v>89301322</v>
      </c>
      <c r="F11850" t="str">
        <f>"470723420"</f>
        <v>470723420</v>
      </c>
      <c r="G11850" s="1">
        <v>44902</v>
      </c>
      <c r="H11850" t="str">
        <f>"89513"</f>
        <v>89513</v>
      </c>
      <c r="I11850">
        <v>1</v>
      </c>
      <c r="J11850">
        <v>371</v>
      </c>
      <c r="K11850">
        <v>0</v>
      </c>
      <c r="L11850">
        <v>519.4</v>
      </c>
    </row>
    <row r="11851" spans="1:12" x14ac:dyDescent="0.25">
      <c r="A11851" t="str">
        <f t="shared" si="2574"/>
        <v>89301000</v>
      </c>
      <c r="B11851" t="str">
        <f>"78610000"</f>
        <v>78610000</v>
      </c>
      <c r="C11851" t="str">
        <f>"78610001"</f>
        <v>78610001</v>
      </c>
      <c r="D11851" t="str">
        <f t="shared" si="2575"/>
        <v>809</v>
      </c>
      <c r="E11851" t="str">
        <f>"89301322"</f>
        <v>89301322</v>
      </c>
      <c r="F11851" t="str">
        <f>"470723420"</f>
        <v>470723420</v>
      </c>
      <c r="G11851" s="1">
        <v>44902</v>
      </c>
      <c r="H11851" t="str">
        <f>"89514"</f>
        <v>89514</v>
      </c>
      <c r="I11851">
        <v>1</v>
      </c>
      <c r="J11851">
        <v>371</v>
      </c>
      <c r="K11851">
        <v>0</v>
      </c>
      <c r="L11851">
        <v>519.4</v>
      </c>
    </row>
    <row r="11852" spans="1:12" x14ac:dyDescent="0.25">
      <c r="A11852" t="str">
        <f t="shared" si="2574"/>
        <v>89301000</v>
      </c>
      <c r="B11852" t="str">
        <f t="shared" ref="B11852:B11883" si="2576">"78915000"</f>
        <v>78915000</v>
      </c>
      <c r="C11852" t="str">
        <f t="shared" ref="C11852:C11883" si="2577">"78915001"</f>
        <v>78915001</v>
      </c>
      <c r="D11852" t="str">
        <f t="shared" si="2575"/>
        <v>809</v>
      </c>
      <c r="E11852" t="str">
        <f>"89301062"</f>
        <v>89301062</v>
      </c>
      <c r="F11852" t="str">
        <f>"0107185705"</f>
        <v>0107185705</v>
      </c>
      <c r="G11852" s="1">
        <v>44905</v>
      </c>
      <c r="H11852" t="str">
        <f>"89713"</f>
        <v>89713</v>
      </c>
      <c r="I11852">
        <v>1</v>
      </c>
      <c r="J11852">
        <v>5362</v>
      </c>
      <c r="K11852">
        <v>0</v>
      </c>
      <c r="L11852">
        <v>3217.2</v>
      </c>
    </row>
    <row r="11853" spans="1:12" x14ac:dyDescent="0.25">
      <c r="A11853" t="str">
        <f t="shared" si="2574"/>
        <v>89301000</v>
      </c>
      <c r="B11853" t="str">
        <f t="shared" si="2576"/>
        <v>78915000</v>
      </c>
      <c r="C11853" t="str">
        <f t="shared" si="2577"/>
        <v>78915001</v>
      </c>
      <c r="D11853" t="str">
        <f t="shared" si="2575"/>
        <v>809</v>
      </c>
      <c r="E11853" t="str">
        <f>"89301062"</f>
        <v>89301062</v>
      </c>
      <c r="F11853" t="str">
        <f>"0107185705"</f>
        <v>0107185705</v>
      </c>
      <c r="G11853" s="1">
        <v>44905</v>
      </c>
      <c r="H11853" t="str">
        <f>"89725"</f>
        <v>89725</v>
      </c>
      <c r="I11853">
        <v>1</v>
      </c>
      <c r="J11853">
        <v>2839</v>
      </c>
      <c r="K11853">
        <v>0</v>
      </c>
      <c r="L11853">
        <v>1703.4</v>
      </c>
    </row>
    <row r="11854" spans="1:12" x14ac:dyDescent="0.25">
      <c r="A11854" t="str">
        <f t="shared" si="2574"/>
        <v>89301000</v>
      </c>
      <c r="B11854" t="str">
        <f t="shared" si="2576"/>
        <v>78915000</v>
      </c>
      <c r="C11854" t="str">
        <f t="shared" si="2577"/>
        <v>78915001</v>
      </c>
      <c r="D11854" t="str">
        <f t="shared" si="2575"/>
        <v>809</v>
      </c>
      <c r="E11854" t="str">
        <f>"89301062"</f>
        <v>89301062</v>
      </c>
      <c r="F11854" t="str">
        <f>"436222460"</f>
        <v>436222460</v>
      </c>
      <c r="G11854" s="1">
        <v>44915</v>
      </c>
      <c r="H11854" t="str">
        <f>"89713"</f>
        <v>89713</v>
      </c>
      <c r="I11854">
        <v>1</v>
      </c>
      <c r="J11854">
        <v>5362</v>
      </c>
      <c r="K11854">
        <v>0</v>
      </c>
      <c r="L11854">
        <v>3217.2</v>
      </c>
    </row>
    <row r="11855" spans="1:12" x14ac:dyDescent="0.25">
      <c r="A11855" t="str">
        <f t="shared" si="2574"/>
        <v>89301000</v>
      </c>
      <c r="B11855" t="str">
        <f t="shared" si="2576"/>
        <v>78915000</v>
      </c>
      <c r="C11855" t="str">
        <f t="shared" si="2577"/>
        <v>78915001</v>
      </c>
      <c r="D11855" t="str">
        <f t="shared" si="2575"/>
        <v>809</v>
      </c>
      <c r="E11855" t="str">
        <f>"89301062"</f>
        <v>89301062</v>
      </c>
      <c r="F11855" t="str">
        <f>"436222460"</f>
        <v>436222460</v>
      </c>
      <c r="G11855" s="1">
        <v>44915</v>
      </c>
      <c r="H11855" t="str">
        <f>"89725"</f>
        <v>89725</v>
      </c>
      <c r="I11855">
        <v>1</v>
      </c>
      <c r="J11855">
        <v>2839</v>
      </c>
      <c r="K11855">
        <v>0</v>
      </c>
      <c r="L11855">
        <v>1703.4</v>
      </c>
    </row>
    <row r="11856" spans="1:12" x14ac:dyDescent="0.25">
      <c r="A11856" t="str">
        <f t="shared" si="2574"/>
        <v>89301000</v>
      </c>
      <c r="B11856" t="str">
        <f t="shared" si="2576"/>
        <v>78915000</v>
      </c>
      <c r="C11856" t="str">
        <f t="shared" si="2577"/>
        <v>78915001</v>
      </c>
      <c r="D11856" t="str">
        <f t="shared" si="2575"/>
        <v>809</v>
      </c>
      <c r="E11856" t="str">
        <f>"89301606"</f>
        <v>89301606</v>
      </c>
      <c r="F11856" t="str">
        <f>"5605280637"</f>
        <v>5605280637</v>
      </c>
      <c r="G11856" s="1">
        <v>44923</v>
      </c>
      <c r="H11856" t="str">
        <f>"89713"</f>
        <v>89713</v>
      </c>
      <c r="I11856">
        <v>1</v>
      </c>
      <c r="J11856">
        <v>5362</v>
      </c>
      <c r="K11856">
        <v>0</v>
      </c>
      <c r="L11856">
        <v>3217.2</v>
      </c>
    </row>
    <row r="11857" spans="1:12" x14ac:dyDescent="0.25">
      <c r="A11857" t="str">
        <f t="shared" si="2574"/>
        <v>89301000</v>
      </c>
      <c r="B11857" t="str">
        <f t="shared" si="2576"/>
        <v>78915000</v>
      </c>
      <c r="C11857" t="str">
        <f t="shared" si="2577"/>
        <v>78915001</v>
      </c>
      <c r="D11857" t="str">
        <f t="shared" si="2575"/>
        <v>809</v>
      </c>
      <c r="E11857" t="str">
        <f>"89301606"</f>
        <v>89301606</v>
      </c>
      <c r="F11857" t="str">
        <f>"5605280637"</f>
        <v>5605280637</v>
      </c>
      <c r="G11857" s="1">
        <v>44923</v>
      </c>
      <c r="H11857" t="str">
        <f>"89725"</f>
        <v>89725</v>
      </c>
      <c r="I11857">
        <v>1</v>
      </c>
      <c r="J11857">
        <v>2839</v>
      </c>
      <c r="K11857">
        <v>0</v>
      </c>
      <c r="L11857">
        <v>1703.4</v>
      </c>
    </row>
    <row r="11858" spans="1:12" x14ac:dyDescent="0.25">
      <c r="A11858" t="str">
        <f t="shared" si="2574"/>
        <v>89301000</v>
      </c>
      <c r="B11858" t="str">
        <f t="shared" si="2576"/>
        <v>78915000</v>
      </c>
      <c r="C11858" t="str">
        <f t="shared" si="2577"/>
        <v>78915001</v>
      </c>
      <c r="D11858" t="str">
        <f t="shared" si="2575"/>
        <v>809</v>
      </c>
      <c r="E11858" t="str">
        <f>"89301062"</f>
        <v>89301062</v>
      </c>
      <c r="F11858" t="str">
        <f>"5809172193"</f>
        <v>5809172193</v>
      </c>
      <c r="G11858" s="1">
        <v>44908</v>
      </c>
      <c r="H11858" t="str">
        <f>"09567"</f>
        <v>09567</v>
      </c>
      <c r="I11858">
        <v>1</v>
      </c>
      <c r="J11858">
        <v>0</v>
      </c>
      <c r="K11858">
        <v>0</v>
      </c>
      <c r="L11858">
        <v>0</v>
      </c>
    </row>
    <row r="11859" spans="1:12" x14ac:dyDescent="0.25">
      <c r="A11859" t="str">
        <f t="shared" si="2574"/>
        <v>89301000</v>
      </c>
      <c r="B11859" t="str">
        <f t="shared" si="2576"/>
        <v>78915000</v>
      </c>
      <c r="C11859" t="str">
        <f t="shared" si="2577"/>
        <v>78915001</v>
      </c>
      <c r="D11859" t="str">
        <f t="shared" si="2575"/>
        <v>809</v>
      </c>
      <c r="E11859" t="str">
        <f>"89301062"</f>
        <v>89301062</v>
      </c>
      <c r="F11859" t="str">
        <f>"5809172193"</f>
        <v>5809172193</v>
      </c>
      <c r="G11859" s="1">
        <v>44908</v>
      </c>
      <c r="H11859" t="str">
        <f>"89713"</f>
        <v>89713</v>
      </c>
      <c r="I11859">
        <v>2</v>
      </c>
      <c r="J11859">
        <v>10724</v>
      </c>
      <c r="K11859">
        <v>0</v>
      </c>
      <c r="L11859">
        <v>6434.4</v>
      </c>
    </row>
    <row r="11860" spans="1:12" x14ac:dyDescent="0.25">
      <c r="A11860" t="str">
        <f t="shared" si="2574"/>
        <v>89301000</v>
      </c>
      <c r="B11860" t="str">
        <f t="shared" si="2576"/>
        <v>78915000</v>
      </c>
      <c r="C11860" t="str">
        <f t="shared" si="2577"/>
        <v>78915001</v>
      </c>
      <c r="D11860" t="str">
        <f t="shared" si="2575"/>
        <v>809</v>
      </c>
      <c r="E11860" t="str">
        <f>"89301212"</f>
        <v>89301212</v>
      </c>
      <c r="F11860" t="str">
        <f>"5861161482"</f>
        <v>5861161482</v>
      </c>
      <c r="G11860" s="1">
        <v>44909</v>
      </c>
      <c r="H11860" t="str">
        <f>"89715"</f>
        <v>89715</v>
      </c>
      <c r="I11860">
        <v>1</v>
      </c>
      <c r="J11860">
        <v>5474</v>
      </c>
      <c r="K11860">
        <v>0</v>
      </c>
      <c r="L11860">
        <v>3284.4</v>
      </c>
    </row>
    <row r="11861" spans="1:12" x14ac:dyDescent="0.25">
      <c r="A11861" t="str">
        <f t="shared" si="2574"/>
        <v>89301000</v>
      </c>
      <c r="B11861" t="str">
        <f t="shared" si="2576"/>
        <v>78915000</v>
      </c>
      <c r="C11861" t="str">
        <f t="shared" si="2577"/>
        <v>78915001</v>
      </c>
      <c r="D11861" t="str">
        <f t="shared" si="2575"/>
        <v>809</v>
      </c>
      <c r="E11861" t="str">
        <f>"89301212"</f>
        <v>89301212</v>
      </c>
      <c r="F11861" t="str">
        <f>"5861161482"</f>
        <v>5861161482</v>
      </c>
      <c r="G11861" s="1">
        <v>44909</v>
      </c>
      <c r="H11861" t="str">
        <f>"89725"</f>
        <v>89725</v>
      </c>
      <c r="I11861">
        <v>1</v>
      </c>
      <c r="J11861">
        <v>2839</v>
      </c>
      <c r="K11861">
        <v>0</v>
      </c>
      <c r="L11861">
        <v>1703.4</v>
      </c>
    </row>
    <row r="11862" spans="1:12" x14ac:dyDescent="0.25">
      <c r="A11862" t="str">
        <f t="shared" si="2574"/>
        <v>89301000</v>
      </c>
      <c r="B11862" t="str">
        <f t="shared" si="2576"/>
        <v>78915000</v>
      </c>
      <c r="C11862" t="str">
        <f t="shared" si="2577"/>
        <v>78915001</v>
      </c>
      <c r="D11862" t="str">
        <f t="shared" si="2575"/>
        <v>809</v>
      </c>
      <c r="E11862" t="str">
        <f>"89301212"</f>
        <v>89301212</v>
      </c>
      <c r="F11862" t="str">
        <f>"5861161482"</f>
        <v>5861161482</v>
      </c>
      <c r="G11862" s="1">
        <v>44909</v>
      </c>
      <c r="H11862" t="str">
        <f>"0207733"</f>
        <v>0207733</v>
      </c>
      <c r="I11862">
        <v>1</v>
      </c>
      <c r="K11862">
        <v>2590.5300000000002</v>
      </c>
      <c r="L11862">
        <v>2590.5300000000002</v>
      </c>
    </row>
    <row r="11863" spans="1:12" x14ac:dyDescent="0.25">
      <c r="A11863" t="str">
        <f t="shared" si="2574"/>
        <v>89301000</v>
      </c>
      <c r="B11863" t="str">
        <f t="shared" si="2576"/>
        <v>78915000</v>
      </c>
      <c r="C11863" t="str">
        <f t="shared" si="2577"/>
        <v>78915001</v>
      </c>
      <c r="D11863" t="str">
        <f t="shared" si="2575"/>
        <v>809</v>
      </c>
      <c r="E11863" t="str">
        <f t="shared" ref="E11863:E11871" si="2578">"89301062"</f>
        <v>89301062</v>
      </c>
      <c r="F11863" t="str">
        <f>"5901311251"</f>
        <v>5901311251</v>
      </c>
      <c r="G11863" s="1">
        <v>44914</v>
      </c>
      <c r="H11863" t="str">
        <f>"89713"</f>
        <v>89713</v>
      </c>
      <c r="I11863">
        <v>1</v>
      </c>
      <c r="J11863">
        <v>5362</v>
      </c>
      <c r="K11863">
        <v>0</v>
      </c>
      <c r="L11863">
        <v>3217.2</v>
      </c>
    </row>
    <row r="11864" spans="1:12" x14ac:dyDescent="0.25">
      <c r="A11864" t="str">
        <f t="shared" si="2574"/>
        <v>89301000</v>
      </c>
      <c r="B11864" t="str">
        <f t="shared" si="2576"/>
        <v>78915000</v>
      </c>
      <c r="C11864" t="str">
        <f t="shared" si="2577"/>
        <v>78915001</v>
      </c>
      <c r="D11864" t="str">
        <f t="shared" si="2575"/>
        <v>809</v>
      </c>
      <c r="E11864" t="str">
        <f t="shared" si="2578"/>
        <v>89301062</v>
      </c>
      <c r="F11864" t="str">
        <f>"5901311251"</f>
        <v>5901311251</v>
      </c>
      <c r="G11864" s="1">
        <v>44914</v>
      </c>
      <c r="H11864" t="str">
        <f>"89725"</f>
        <v>89725</v>
      </c>
      <c r="I11864">
        <v>1</v>
      </c>
      <c r="J11864">
        <v>2839</v>
      </c>
      <c r="K11864">
        <v>0</v>
      </c>
      <c r="L11864">
        <v>1703.4</v>
      </c>
    </row>
    <row r="11865" spans="1:12" x14ac:dyDescent="0.25">
      <c r="A11865" t="str">
        <f t="shared" si="2574"/>
        <v>89301000</v>
      </c>
      <c r="B11865" t="str">
        <f t="shared" si="2576"/>
        <v>78915000</v>
      </c>
      <c r="C11865" t="str">
        <f t="shared" si="2577"/>
        <v>78915001</v>
      </c>
      <c r="D11865" t="str">
        <f t="shared" si="2575"/>
        <v>809</v>
      </c>
      <c r="E11865" t="str">
        <f t="shared" si="2578"/>
        <v>89301062</v>
      </c>
      <c r="F11865" t="str">
        <f>"5901311251"</f>
        <v>5901311251</v>
      </c>
      <c r="G11865" s="1">
        <v>44914</v>
      </c>
      <c r="H11865" t="str">
        <f>"0207733"</f>
        <v>0207733</v>
      </c>
      <c r="I11865">
        <v>0.93</v>
      </c>
      <c r="K11865">
        <v>2409.19</v>
      </c>
      <c r="L11865">
        <v>2409.19</v>
      </c>
    </row>
    <row r="11866" spans="1:12" x14ac:dyDescent="0.25">
      <c r="A11866" t="str">
        <f t="shared" si="2574"/>
        <v>89301000</v>
      </c>
      <c r="B11866" t="str">
        <f t="shared" si="2576"/>
        <v>78915000</v>
      </c>
      <c r="C11866" t="str">
        <f t="shared" si="2577"/>
        <v>78915001</v>
      </c>
      <c r="D11866" t="str">
        <f t="shared" si="2575"/>
        <v>809</v>
      </c>
      <c r="E11866" t="str">
        <f t="shared" si="2578"/>
        <v>89301062</v>
      </c>
      <c r="F11866" t="str">
        <f>"6152040290"</f>
        <v>6152040290</v>
      </c>
      <c r="G11866" s="1">
        <v>44911</v>
      </c>
      <c r="H11866" t="str">
        <f>"89713"</f>
        <v>89713</v>
      </c>
      <c r="I11866">
        <v>1</v>
      </c>
      <c r="J11866">
        <v>5362</v>
      </c>
      <c r="K11866">
        <v>0</v>
      </c>
      <c r="L11866">
        <v>3217.2</v>
      </c>
    </row>
    <row r="11867" spans="1:12" x14ac:dyDescent="0.25">
      <c r="A11867" t="str">
        <f t="shared" si="2574"/>
        <v>89301000</v>
      </c>
      <c r="B11867" t="str">
        <f t="shared" si="2576"/>
        <v>78915000</v>
      </c>
      <c r="C11867" t="str">
        <f t="shared" si="2577"/>
        <v>78915001</v>
      </c>
      <c r="D11867" t="str">
        <f t="shared" si="2575"/>
        <v>809</v>
      </c>
      <c r="E11867" t="str">
        <f t="shared" si="2578"/>
        <v>89301062</v>
      </c>
      <c r="F11867" t="str">
        <f>"6152040290"</f>
        <v>6152040290</v>
      </c>
      <c r="G11867" s="1">
        <v>44911</v>
      </c>
      <c r="H11867" t="str">
        <f>"89725"</f>
        <v>89725</v>
      </c>
      <c r="I11867">
        <v>1</v>
      </c>
      <c r="J11867">
        <v>2839</v>
      </c>
      <c r="K11867">
        <v>0</v>
      </c>
      <c r="L11867">
        <v>1703.4</v>
      </c>
    </row>
    <row r="11868" spans="1:12" x14ac:dyDescent="0.25">
      <c r="A11868" t="str">
        <f t="shared" si="2574"/>
        <v>89301000</v>
      </c>
      <c r="B11868" t="str">
        <f t="shared" si="2576"/>
        <v>78915000</v>
      </c>
      <c r="C11868" t="str">
        <f t="shared" si="2577"/>
        <v>78915001</v>
      </c>
      <c r="D11868" t="str">
        <f t="shared" si="2575"/>
        <v>809</v>
      </c>
      <c r="E11868" t="str">
        <f t="shared" si="2578"/>
        <v>89301062</v>
      </c>
      <c r="F11868" t="str">
        <f>"6205110450"</f>
        <v>6205110450</v>
      </c>
      <c r="G11868" s="1">
        <v>44903</v>
      </c>
      <c r="H11868" t="str">
        <f>"89713"</f>
        <v>89713</v>
      </c>
      <c r="I11868">
        <v>1</v>
      </c>
      <c r="J11868">
        <v>5362</v>
      </c>
      <c r="K11868">
        <v>0</v>
      </c>
      <c r="L11868">
        <v>3217.2</v>
      </c>
    </row>
    <row r="11869" spans="1:12" x14ac:dyDescent="0.25">
      <c r="A11869" t="str">
        <f t="shared" si="2574"/>
        <v>89301000</v>
      </c>
      <c r="B11869" t="str">
        <f t="shared" si="2576"/>
        <v>78915000</v>
      </c>
      <c r="C11869" t="str">
        <f t="shared" si="2577"/>
        <v>78915001</v>
      </c>
      <c r="D11869" t="str">
        <f t="shared" si="2575"/>
        <v>809</v>
      </c>
      <c r="E11869" t="str">
        <f t="shared" si="2578"/>
        <v>89301062</v>
      </c>
      <c r="F11869" t="str">
        <f>"6205110450"</f>
        <v>6205110450</v>
      </c>
      <c r="G11869" s="1">
        <v>44903</v>
      </c>
      <c r="H11869" t="str">
        <f>"89725"</f>
        <v>89725</v>
      </c>
      <c r="I11869">
        <v>1</v>
      </c>
      <c r="J11869">
        <v>2839</v>
      </c>
      <c r="K11869">
        <v>0</v>
      </c>
      <c r="L11869">
        <v>1703.4</v>
      </c>
    </row>
    <row r="11870" spans="1:12" x14ac:dyDescent="0.25">
      <c r="A11870" t="str">
        <f t="shared" si="2574"/>
        <v>89301000</v>
      </c>
      <c r="B11870" t="str">
        <f t="shared" si="2576"/>
        <v>78915000</v>
      </c>
      <c r="C11870" t="str">
        <f t="shared" si="2577"/>
        <v>78915001</v>
      </c>
      <c r="D11870" t="str">
        <f t="shared" si="2575"/>
        <v>809</v>
      </c>
      <c r="E11870" t="str">
        <f t="shared" si="2578"/>
        <v>89301062</v>
      </c>
      <c r="F11870" t="str">
        <f>"6354191283"</f>
        <v>6354191283</v>
      </c>
      <c r="G11870" s="1">
        <v>44925</v>
      </c>
      <c r="H11870" t="str">
        <f>"89713"</f>
        <v>89713</v>
      </c>
      <c r="I11870">
        <v>1</v>
      </c>
      <c r="J11870">
        <v>5362</v>
      </c>
      <c r="K11870">
        <v>0</v>
      </c>
      <c r="L11870">
        <v>3217.2</v>
      </c>
    </row>
    <row r="11871" spans="1:12" x14ac:dyDescent="0.25">
      <c r="A11871" t="str">
        <f t="shared" si="2574"/>
        <v>89301000</v>
      </c>
      <c r="B11871" t="str">
        <f t="shared" si="2576"/>
        <v>78915000</v>
      </c>
      <c r="C11871" t="str">
        <f t="shared" si="2577"/>
        <v>78915001</v>
      </c>
      <c r="D11871" t="str">
        <f t="shared" si="2575"/>
        <v>809</v>
      </c>
      <c r="E11871" t="str">
        <f t="shared" si="2578"/>
        <v>89301062</v>
      </c>
      <c r="F11871" t="str">
        <f>"6354191283"</f>
        <v>6354191283</v>
      </c>
      <c r="G11871" s="1">
        <v>44925</v>
      </c>
      <c r="H11871" t="str">
        <f>"89725"</f>
        <v>89725</v>
      </c>
      <c r="I11871">
        <v>1</v>
      </c>
      <c r="J11871">
        <v>2839</v>
      </c>
      <c r="K11871">
        <v>0</v>
      </c>
      <c r="L11871">
        <v>1703.4</v>
      </c>
    </row>
    <row r="11872" spans="1:12" x14ac:dyDescent="0.25">
      <c r="A11872" t="str">
        <f t="shared" si="2574"/>
        <v>89301000</v>
      </c>
      <c r="B11872" t="str">
        <f t="shared" si="2576"/>
        <v>78915000</v>
      </c>
      <c r="C11872" t="str">
        <f t="shared" si="2577"/>
        <v>78915001</v>
      </c>
      <c r="D11872" t="str">
        <f t="shared" si="2575"/>
        <v>809</v>
      </c>
      <c r="E11872" t="str">
        <f>"89301112"</f>
        <v>89301112</v>
      </c>
      <c r="F11872" t="str">
        <f>"6509270735"</f>
        <v>6509270735</v>
      </c>
      <c r="G11872" s="1">
        <v>44903</v>
      </c>
      <c r="H11872" t="str">
        <f>"09569"</f>
        <v>09569</v>
      </c>
      <c r="I11872">
        <v>1</v>
      </c>
      <c r="J11872">
        <v>0</v>
      </c>
      <c r="K11872">
        <v>0</v>
      </c>
      <c r="L11872">
        <v>0</v>
      </c>
    </row>
    <row r="11873" spans="1:12" x14ac:dyDescent="0.25">
      <c r="A11873" t="str">
        <f t="shared" si="2574"/>
        <v>89301000</v>
      </c>
      <c r="B11873" t="str">
        <f t="shared" si="2576"/>
        <v>78915000</v>
      </c>
      <c r="C11873" t="str">
        <f t="shared" si="2577"/>
        <v>78915001</v>
      </c>
      <c r="D11873" t="str">
        <f t="shared" si="2575"/>
        <v>809</v>
      </c>
      <c r="E11873" t="str">
        <f>"89301112"</f>
        <v>89301112</v>
      </c>
      <c r="F11873" t="str">
        <f>"6509270735"</f>
        <v>6509270735</v>
      </c>
      <c r="G11873" s="1">
        <v>44903</v>
      </c>
      <c r="H11873" t="str">
        <f>"89713"</f>
        <v>89713</v>
      </c>
      <c r="I11873">
        <v>1</v>
      </c>
      <c r="J11873">
        <v>5362</v>
      </c>
      <c r="K11873">
        <v>0</v>
      </c>
      <c r="L11873">
        <v>3217.2</v>
      </c>
    </row>
    <row r="11874" spans="1:12" x14ac:dyDescent="0.25">
      <c r="A11874" t="str">
        <f t="shared" si="2574"/>
        <v>89301000</v>
      </c>
      <c r="B11874" t="str">
        <f t="shared" si="2576"/>
        <v>78915000</v>
      </c>
      <c r="C11874" t="str">
        <f t="shared" si="2577"/>
        <v>78915001</v>
      </c>
      <c r="D11874" t="str">
        <f t="shared" si="2575"/>
        <v>809</v>
      </c>
      <c r="E11874" t="str">
        <f>"89301112"</f>
        <v>89301112</v>
      </c>
      <c r="F11874" t="str">
        <f>"6555131495"</f>
        <v>6555131495</v>
      </c>
      <c r="G11874" s="1">
        <v>44910</v>
      </c>
      <c r="H11874" t="str">
        <f>"09567"</f>
        <v>09567</v>
      </c>
      <c r="I11874">
        <v>1</v>
      </c>
      <c r="J11874">
        <v>0</v>
      </c>
      <c r="K11874">
        <v>0</v>
      </c>
      <c r="L11874">
        <v>0</v>
      </c>
    </row>
    <row r="11875" spans="1:12" x14ac:dyDescent="0.25">
      <c r="A11875" t="str">
        <f t="shared" si="2574"/>
        <v>89301000</v>
      </c>
      <c r="B11875" t="str">
        <f t="shared" si="2576"/>
        <v>78915000</v>
      </c>
      <c r="C11875" t="str">
        <f t="shared" si="2577"/>
        <v>78915001</v>
      </c>
      <c r="D11875" t="str">
        <f t="shared" si="2575"/>
        <v>809</v>
      </c>
      <c r="E11875" t="str">
        <f>"89301112"</f>
        <v>89301112</v>
      </c>
      <c r="F11875" t="str">
        <f>"6555131495"</f>
        <v>6555131495</v>
      </c>
      <c r="G11875" s="1">
        <v>44910</v>
      </c>
      <c r="H11875" t="str">
        <f>"89713"</f>
        <v>89713</v>
      </c>
      <c r="I11875">
        <v>1</v>
      </c>
      <c r="J11875">
        <v>5362</v>
      </c>
      <c r="K11875">
        <v>0</v>
      </c>
      <c r="L11875">
        <v>3217.2</v>
      </c>
    </row>
    <row r="11876" spans="1:12" x14ac:dyDescent="0.25">
      <c r="A11876" t="str">
        <f t="shared" si="2574"/>
        <v>89301000</v>
      </c>
      <c r="B11876" t="str">
        <f t="shared" si="2576"/>
        <v>78915000</v>
      </c>
      <c r="C11876" t="str">
        <f t="shared" si="2577"/>
        <v>78915001</v>
      </c>
      <c r="D11876" t="str">
        <f t="shared" si="2575"/>
        <v>809</v>
      </c>
      <c r="E11876" t="str">
        <f>"89301062"</f>
        <v>89301062</v>
      </c>
      <c r="F11876" t="str">
        <f>"6860086805"</f>
        <v>6860086805</v>
      </c>
      <c r="G11876" s="1">
        <v>44924</v>
      </c>
      <c r="H11876" t="str">
        <f>"89713"</f>
        <v>89713</v>
      </c>
      <c r="I11876">
        <v>2</v>
      </c>
      <c r="J11876">
        <v>10724</v>
      </c>
      <c r="K11876">
        <v>0</v>
      </c>
      <c r="L11876">
        <v>6434.4</v>
      </c>
    </row>
    <row r="11877" spans="1:12" x14ac:dyDescent="0.25">
      <c r="A11877" t="str">
        <f t="shared" si="2574"/>
        <v>89301000</v>
      </c>
      <c r="B11877" t="str">
        <f t="shared" si="2576"/>
        <v>78915000</v>
      </c>
      <c r="C11877" t="str">
        <f t="shared" si="2577"/>
        <v>78915001</v>
      </c>
      <c r="D11877" t="str">
        <f t="shared" si="2575"/>
        <v>809</v>
      </c>
      <c r="E11877" t="str">
        <f>"89301062"</f>
        <v>89301062</v>
      </c>
      <c r="F11877" t="str">
        <f>"6860086805"</f>
        <v>6860086805</v>
      </c>
      <c r="G11877" s="1">
        <v>44924</v>
      </c>
      <c r="H11877" t="str">
        <f>"89725"</f>
        <v>89725</v>
      </c>
      <c r="I11877">
        <v>1</v>
      </c>
      <c r="J11877">
        <v>2839</v>
      </c>
      <c r="K11877">
        <v>0</v>
      </c>
      <c r="L11877">
        <v>1703.4</v>
      </c>
    </row>
    <row r="11878" spans="1:12" x14ac:dyDescent="0.25">
      <c r="A11878" t="str">
        <f t="shared" si="2574"/>
        <v>89301000</v>
      </c>
      <c r="B11878" t="str">
        <f t="shared" si="2576"/>
        <v>78915000</v>
      </c>
      <c r="C11878" t="str">
        <f t="shared" si="2577"/>
        <v>78915001</v>
      </c>
      <c r="D11878" t="str">
        <f t="shared" si="2575"/>
        <v>809</v>
      </c>
      <c r="E11878" t="str">
        <f>"89301062"</f>
        <v>89301062</v>
      </c>
      <c r="F11878" t="str">
        <f>"7151035562"</f>
        <v>7151035562</v>
      </c>
      <c r="G11878" s="1">
        <v>44904</v>
      </c>
      <c r="H11878" t="str">
        <f>"89713"</f>
        <v>89713</v>
      </c>
      <c r="I11878">
        <v>1</v>
      </c>
      <c r="J11878">
        <v>5362</v>
      </c>
      <c r="K11878">
        <v>0</v>
      </c>
      <c r="L11878">
        <v>3217.2</v>
      </c>
    </row>
    <row r="11879" spans="1:12" x14ac:dyDescent="0.25">
      <c r="A11879" t="str">
        <f t="shared" si="2574"/>
        <v>89301000</v>
      </c>
      <c r="B11879" t="str">
        <f t="shared" si="2576"/>
        <v>78915000</v>
      </c>
      <c r="C11879" t="str">
        <f t="shared" si="2577"/>
        <v>78915001</v>
      </c>
      <c r="D11879" t="str">
        <f t="shared" si="2575"/>
        <v>809</v>
      </c>
      <c r="E11879" t="str">
        <f>"89301062"</f>
        <v>89301062</v>
      </c>
      <c r="F11879" t="str">
        <f>"7151035562"</f>
        <v>7151035562</v>
      </c>
      <c r="G11879" s="1">
        <v>44904</v>
      </c>
      <c r="H11879" t="str">
        <f>"89725"</f>
        <v>89725</v>
      </c>
      <c r="I11879">
        <v>1</v>
      </c>
      <c r="J11879">
        <v>2839</v>
      </c>
      <c r="K11879">
        <v>0</v>
      </c>
      <c r="L11879">
        <v>1703.4</v>
      </c>
    </row>
    <row r="11880" spans="1:12" x14ac:dyDescent="0.25">
      <c r="A11880" t="str">
        <f t="shared" si="2574"/>
        <v>89301000</v>
      </c>
      <c r="B11880" t="str">
        <f t="shared" si="2576"/>
        <v>78915000</v>
      </c>
      <c r="C11880" t="str">
        <f t="shared" si="2577"/>
        <v>78915001</v>
      </c>
      <c r="D11880" t="str">
        <f t="shared" si="2575"/>
        <v>809</v>
      </c>
      <c r="E11880" t="str">
        <f t="shared" ref="E11880:E11885" si="2579">"89301112"</f>
        <v>89301112</v>
      </c>
      <c r="F11880" t="str">
        <f>"7505105322"</f>
        <v>7505105322</v>
      </c>
      <c r="G11880" s="1">
        <v>44922</v>
      </c>
      <c r="H11880" t="str">
        <f>"09569"</f>
        <v>09569</v>
      </c>
      <c r="I11880">
        <v>1</v>
      </c>
      <c r="J11880">
        <v>0</v>
      </c>
      <c r="K11880">
        <v>0</v>
      </c>
      <c r="L11880">
        <v>0</v>
      </c>
    </row>
    <row r="11881" spans="1:12" x14ac:dyDescent="0.25">
      <c r="A11881" t="str">
        <f t="shared" si="2574"/>
        <v>89301000</v>
      </c>
      <c r="B11881" t="str">
        <f t="shared" si="2576"/>
        <v>78915000</v>
      </c>
      <c r="C11881" t="str">
        <f t="shared" si="2577"/>
        <v>78915001</v>
      </c>
      <c r="D11881" t="str">
        <f t="shared" si="2575"/>
        <v>809</v>
      </c>
      <c r="E11881" t="str">
        <f t="shared" si="2579"/>
        <v>89301112</v>
      </c>
      <c r="F11881" t="str">
        <f>"7505105322"</f>
        <v>7505105322</v>
      </c>
      <c r="G11881" s="1">
        <v>44922</v>
      </c>
      <c r="H11881" t="str">
        <f>"89713"</f>
        <v>89713</v>
      </c>
      <c r="I11881">
        <v>1</v>
      </c>
      <c r="J11881">
        <v>5362</v>
      </c>
      <c r="K11881">
        <v>0</v>
      </c>
      <c r="L11881">
        <v>3217.2</v>
      </c>
    </row>
    <row r="11882" spans="1:12" x14ac:dyDescent="0.25">
      <c r="A11882" t="str">
        <f t="shared" si="2574"/>
        <v>89301000</v>
      </c>
      <c r="B11882" t="str">
        <f t="shared" si="2576"/>
        <v>78915000</v>
      </c>
      <c r="C11882" t="str">
        <f t="shared" si="2577"/>
        <v>78915001</v>
      </c>
      <c r="D11882" t="str">
        <f t="shared" ref="D11882:D11904" si="2580">"809"</f>
        <v>809</v>
      </c>
      <c r="E11882" t="str">
        <f t="shared" si="2579"/>
        <v>89301112</v>
      </c>
      <c r="F11882" t="str">
        <f>"7662105352"</f>
        <v>7662105352</v>
      </c>
      <c r="G11882" s="1">
        <v>44900</v>
      </c>
      <c r="H11882" t="str">
        <f>"09569"</f>
        <v>09569</v>
      </c>
      <c r="I11882">
        <v>1</v>
      </c>
      <c r="J11882">
        <v>0</v>
      </c>
      <c r="K11882">
        <v>0</v>
      </c>
      <c r="L11882">
        <v>0</v>
      </c>
    </row>
    <row r="11883" spans="1:12" x14ac:dyDescent="0.25">
      <c r="A11883" t="str">
        <f t="shared" si="2574"/>
        <v>89301000</v>
      </c>
      <c r="B11883" t="str">
        <f t="shared" si="2576"/>
        <v>78915000</v>
      </c>
      <c r="C11883" t="str">
        <f t="shared" si="2577"/>
        <v>78915001</v>
      </c>
      <c r="D11883" t="str">
        <f t="shared" si="2580"/>
        <v>809</v>
      </c>
      <c r="E11883" t="str">
        <f t="shared" si="2579"/>
        <v>89301112</v>
      </c>
      <c r="F11883" t="str">
        <f>"7662105352"</f>
        <v>7662105352</v>
      </c>
      <c r="G11883" s="1">
        <v>44900</v>
      </c>
      <c r="H11883" t="str">
        <f>"89713"</f>
        <v>89713</v>
      </c>
      <c r="I11883">
        <v>1</v>
      </c>
      <c r="J11883">
        <v>5362</v>
      </c>
      <c r="K11883">
        <v>0</v>
      </c>
      <c r="L11883">
        <v>3217.2</v>
      </c>
    </row>
    <row r="11884" spans="1:12" x14ac:dyDescent="0.25">
      <c r="A11884" t="str">
        <f t="shared" si="2574"/>
        <v>89301000</v>
      </c>
      <c r="B11884" t="str">
        <f t="shared" ref="B11884:B11904" si="2581">"78915000"</f>
        <v>78915000</v>
      </c>
      <c r="C11884" t="str">
        <f t="shared" ref="C11884:C11904" si="2582">"78915001"</f>
        <v>78915001</v>
      </c>
      <c r="D11884" t="str">
        <f t="shared" si="2580"/>
        <v>809</v>
      </c>
      <c r="E11884" t="str">
        <f t="shared" si="2579"/>
        <v>89301112</v>
      </c>
      <c r="F11884" t="str">
        <f>"7708025325"</f>
        <v>7708025325</v>
      </c>
      <c r="G11884" s="1">
        <v>44903</v>
      </c>
      <c r="H11884" t="str">
        <f>"09567"</f>
        <v>09567</v>
      </c>
      <c r="I11884">
        <v>1</v>
      </c>
      <c r="J11884">
        <v>0</v>
      </c>
      <c r="K11884">
        <v>0</v>
      </c>
      <c r="L11884">
        <v>0</v>
      </c>
    </row>
    <row r="11885" spans="1:12" x14ac:dyDescent="0.25">
      <c r="A11885" t="str">
        <f t="shared" si="2574"/>
        <v>89301000</v>
      </c>
      <c r="B11885" t="str">
        <f t="shared" si="2581"/>
        <v>78915000</v>
      </c>
      <c r="C11885" t="str">
        <f t="shared" si="2582"/>
        <v>78915001</v>
      </c>
      <c r="D11885" t="str">
        <f t="shared" si="2580"/>
        <v>809</v>
      </c>
      <c r="E11885" t="str">
        <f t="shared" si="2579"/>
        <v>89301112</v>
      </c>
      <c r="F11885" t="str">
        <f>"7708025325"</f>
        <v>7708025325</v>
      </c>
      <c r="G11885" s="1">
        <v>44903</v>
      </c>
      <c r="H11885" t="str">
        <f>"89713"</f>
        <v>89713</v>
      </c>
      <c r="I11885">
        <v>1</v>
      </c>
      <c r="J11885">
        <v>5362</v>
      </c>
      <c r="K11885">
        <v>0</v>
      </c>
      <c r="L11885">
        <v>3217.2</v>
      </c>
    </row>
    <row r="11886" spans="1:12" x14ac:dyDescent="0.25">
      <c r="A11886" t="str">
        <f t="shared" si="2574"/>
        <v>89301000</v>
      </c>
      <c r="B11886" t="str">
        <f t="shared" si="2581"/>
        <v>78915000</v>
      </c>
      <c r="C11886" t="str">
        <f t="shared" si="2582"/>
        <v>78915001</v>
      </c>
      <c r="D11886" t="str">
        <f t="shared" si="2580"/>
        <v>809</v>
      </c>
      <c r="E11886" t="str">
        <f>"89301606"</f>
        <v>89301606</v>
      </c>
      <c r="F11886" t="str">
        <f>"7801044482"</f>
        <v>7801044482</v>
      </c>
      <c r="G11886" s="1">
        <v>44898</v>
      </c>
      <c r="H11886" t="str">
        <f>"89713"</f>
        <v>89713</v>
      </c>
      <c r="I11886">
        <v>1</v>
      </c>
      <c r="J11886">
        <v>5362</v>
      </c>
      <c r="K11886">
        <v>0</v>
      </c>
      <c r="L11886">
        <v>3217.2</v>
      </c>
    </row>
    <row r="11887" spans="1:12" x14ac:dyDescent="0.25">
      <c r="A11887" t="str">
        <f t="shared" si="2574"/>
        <v>89301000</v>
      </c>
      <c r="B11887" t="str">
        <f t="shared" si="2581"/>
        <v>78915000</v>
      </c>
      <c r="C11887" t="str">
        <f t="shared" si="2582"/>
        <v>78915001</v>
      </c>
      <c r="D11887" t="str">
        <f t="shared" si="2580"/>
        <v>809</v>
      </c>
      <c r="E11887" t="str">
        <f>"89301606"</f>
        <v>89301606</v>
      </c>
      <c r="F11887" t="str">
        <f>"7801044482"</f>
        <v>7801044482</v>
      </c>
      <c r="G11887" s="1">
        <v>44898</v>
      </c>
      <c r="H11887" t="str">
        <f>"89723"</f>
        <v>89723</v>
      </c>
      <c r="I11887">
        <v>1</v>
      </c>
      <c r="J11887">
        <v>5880</v>
      </c>
      <c r="K11887">
        <v>0</v>
      </c>
      <c r="L11887">
        <v>3528</v>
      </c>
    </row>
    <row r="11888" spans="1:12" x14ac:dyDescent="0.25">
      <c r="A11888" t="str">
        <f t="shared" si="2574"/>
        <v>89301000</v>
      </c>
      <c r="B11888" t="str">
        <f t="shared" si="2581"/>
        <v>78915000</v>
      </c>
      <c r="C11888" t="str">
        <f t="shared" si="2582"/>
        <v>78915001</v>
      </c>
      <c r="D11888" t="str">
        <f t="shared" si="2580"/>
        <v>809</v>
      </c>
      <c r="E11888" t="str">
        <f>"89301606"</f>
        <v>89301606</v>
      </c>
      <c r="F11888" t="str">
        <f>"7801044482"</f>
        <v>7801044482</v>
      </c>
      <c r="G11888" s="1">
        <v>44898</v>
      </c>
      <c r="H11888" t="str">
        <f>"89725"</f>
        <v>89725</v>
      </c>
      <c r="I11888">
        <v>1</v>
      </c>
      <c r="J11888">
        <v>2839</v>
      </c>
      <c r="K11888">
        <v>0</v>
      </c>
      <c r="L11888">
        <v>1703.4</v>
      </c>
    </row>
    <row r="11889" spans="1:12" x14ac:dyDescent="0.25">
      <c r="A11889" t="str">
        <f t="shared" si="2574"/>
        <v>89301000</v>
      </c>
      <c r="B11889" t="str">
        <f t="shared" si="2581"/>
        <v>78915000</v>
      </c>
      <c r="C11889" t="str">
        <f t="shared" si="2582"/>
        <v>78915001</v>
      </c>
      <c r="D11889" t="str">
        <f t="shared" si="2580"/>
        <v>809</v>
      </c>
      <c r="E11889" t="str">
        <f>"89301112"</f>
        <v>89301112</v>
      </c>
      <c r="F11889" t="str">
        <f>"7905205319"</f>
        <v>7905205319</v>
      </c>
      <c r="G11889" s="1">
        <v>44923</v>
      </c>
      <c r="H11889" t="str">
        <f>"09569"</f>
        <v>09569</v>
      </c>
      <c r="I11889">
        <v>1</v>
      </c>
      <c r="J11889">
        <v>0</v>
      </c>
      <c r="K11889">
        <v>0</v>
      </c>
      <c r="L11889">
        <v>0</v>
      </c>
    </row>
    <row r="11890" spans="1:12" x14ac:dyDescent="0.25">
      <c r="A11890" t="str">
        <f t="shared" si="2574"/>
        <v>89301000</v>
      </c>
      <c r="B11890" t="str">
        <f t="shared" si="2581"/>
        <v>78915000</v>
      </c>
      <c r="C11890" t="str">
        <f t="shared" si="2582"/>
        <v>78915001</v>
      </c>
      <c r="D11890" t="str">
        <f t="shared" si="2580"/>
        <v>809</v>
      </c>
      <c r="E11890" t="str">
        <f>"89301112"</f>
        <v>89301112</v>
      </c>
      <c r="F11890" t="str">
        <f>"7905205319"</f>
        <v>7905205319</v>
      </c>
      <c r="G11890" s="1">
        <v>44923</v>
      </c>
      <c r="H11890" t="str">
        <f>"89713"</f>
        <v>89713</v>
      </c>
      <c r="I11890">
        <v>1</v>
      </c>
      <c r="J11890">
        <v>5362</v>
      </c>
      <c r="K11890">
        <v>0</v>
      </c>
      <c r="L11890">
        <v>3217.2</v>
      </c>
    </row>
    <row r="11891" spans="1:12" x14ac:dyDescent="0.25">
      <c r="A11891" t="str">
        <f t="shared" si="2574"/>
        <v>89301000</v>
      </c>
      <c r="B11891" t="str">
        <f t="shared" si="2581"/>
        <v>78915000</v>
      </c>
      <c r="C11891" t="str">
        <f t="shared" si="2582"/>
        <v>78915001</v>
      </c>
      <c r="D11891" t="str">
        <f t="shared" si="2580"/>
        <v>809</v>
      </c>
      <c r="E11891" t="str">
        <f>"89301606"</f>
        <v>89301606</v>
      </c>
      <c r="F11891" t="str">
        <f>"8151075317"</f>
        <v>8151075317</v>
      </c>
      <c r="G11891" s="1">
        <v>44908</v>
      </c>
      <c r="H11891" t="str">
        <f>"89713"</f>
        <v>89713</v>
      </c>
      <c r="I11891">
        <v>1</v>
      </c>
      <c r="J11891">
        <v>5362</v>
      </c>
      <c r="K11891">
        <v>0</v>
      </c>
      <c r="L11891">
        <v>3217.2</v>
      </c>
    </row>
    <row r="11892" spans="1:12" x14ac:dyDescent="0.25">
      <c r="A11892" t="str">
        <f t="shared" si="2574"/>
        <v>89301000</v>
      </c>
      <c r="B11892" t="str">
        <f t="shared" si="2581"/>
        <v>78915000</v>
      </c>
      <c r="C11892" t="str">
        <f t="shared" si="2582"/>
        <v>78915001</v>
      </c>
      <c r="D11892" t="str">
        <f t="shared" si="2580"/>
        <v>809</v>
      </c>
      <c r="E11892" t="str">
        <f>"89301606"</f>
        <v>89301606</v>
      </c>
      <c r="F11892" t="str">
        <f>"8151075317"</f>
        <v>8151075317</v>
      </c>
      <c r="G11892" s="1">
        <v>44908</v>
      </c>
      <c r="H11892" t="str">
        <f>"89723"</f>
        <v>89723</v>
      </c>
      <c r="I11892">
        <v>1</v>
      </c>
      <c r="J11892">
        <v>5880</v>
      </c>
      <c r="K11892">
        <v>0</v>
      </c>
      <c r="L11892">
        <v>3528</v>
      </c>
    </row>
    <row r="11893" spans="1:12" x14ac:dyDescent="0.25">
      <c r="A11893" t="str">
        <f t="shared" si="2574"/>
        <v>89301000</v>
      </c>
      <c r="B11893" t="str">
        <f t="shared" si="2581"/>
        <v>78915000</v>
      </c>
      <c r="C11893" t="str">
        <f t="shared" si="2582"/>
        <v>78915001</v>
      </c>
      <c r="D11893" t="str">
        <f t="shared" si="2580"/>
        <v>809</v>
      </c>
      <c r="E11893" t="str">
        <f>"89301606"</f>
        <v>89301606</v>
      </c>
      <c r="F11893" t="str">
        <f>"8151075317"</f>
        <v>8151075317</v>
      </c>
      <c r="G11893" s="1">
        <v>44908</v>
      </c>
      <c r="H11893" t="str">
        <f>"89725"</f>
        <v>89725</v>
      </c>
      <c r="I11893">
        <v>1</v>
      </c>
      <c r="J11893">
        <v>2839</v>
      </c>
      <c r="K11893">
        <v>0</v>
      </c>
      <c r="L11893">
        <v>1703.4</v>
      </c>
    </row>
    <row r="11894" spans="1:12" x14ac:dyDescent="0.25">
      <c r="A11894" t="str">
        <f t="shared" si="2574"/>
        <v>89301000</v>
      </c>
      <c r="B11894" t="str">
        <f t="shared" si="2581"/>
        <v>78915000</v>
      </c>
      <c r="C11894" t="str">
        <f t="shared" si="2582"/>
        <v>78915001</v>
      </c>
      <c r="D11894" t="str">
        <f t="shared" si="2580"/>
        <v>809</v>
      </c>
      <c r="E11894" t="str">
        <f>"89301112"</f>
        <v>89301112</v>
      </c>
      <c r="F11894" t="str">
        <f>"8154165338"</f>
        <v>8154165338</v>
      </c>
      <c r="G11894" s="1">
        <v>44910</v>
      </c>
      <c r="H11894" t="str">
        <f>"89715"</f>
        <v>89715</v>
      </c>
      <c r="I11894">
        <v>1</v>
      </c>
      <c r="J11894">
        <v>5474</v>
      </c>
      <c r="K11894">
        <v>0</v>
      </c>
      <c r="L11894">
        <v>3284.4</v>
      </c>
    </row>
    <row r="11895" spans="1:12" x14ac:dyDescent="0.25">
      <c r="A11895" t="str">
        <f t="shared" si="2574"/>
        <v>89301000</v>
      </c>
      <c r="B11895" t="str">
        <f t="shared" si="2581"/>
        <v>78915000</v>
      </c>
      <c r="C11895" t="str">
        <f t="shared" si="2582"/>
        <v>78915001</v>
      </c>
      <c r="D11895" t="str">
        <f t="shared" si="2580"/>
        <v>809</v>
      </c>
      <c r="E11895" t="str">
        <f>"89301606"</f>
        <v>89301606</v>
      </c>
      <c r="F11895" t="str">
        <f>"8308185347"</f>
        <v>8308185347</v>
      </c>
      <c r="G11895" s="1">
        <v>44925</v>
      </c>
      <c r="H11895" t="str">
        <f>"89713"</f>
        <v>89713</v>
      </c>
      <c r="I11895">
        <v>1</v>
      </c>
      <c r="J11895">
        <v>5362</v>
      </c>
      <c r="K11895">
        <v>0</v>
      </c>
      <c r="L11895">
        <v>3217.2</v>
      </c>
    </row>
    <row r="11896" spans="1:12" x14ac:dyDescent="0.25">
      <c r="A11896" t="str">
        <f t="shared" si="2574"/>
        <v>89301000</v>
      </c>
      <c r="B11896" t="str">
        <f t="shared" si="2581"/>
        <v>78915000</v>
      </c>
      <c r="C11896" t="str">
        <f t="shared" si="2582"/>
        <v>78915001</v>
      </c>
      <c r="D11896" t="str">
        <f t="shared" si="2580"/>
        <v>809</v>
      </c>
      <c r="E11896" t="str">
        <f>"89301606"</f>
        <v>89301606</v>
      </c>
      <c r="F11896" t="str">
        <f>"8308185347"</f>
        <v>8308185347</v>
      </c>
      <c r="G11896" s="1">
        <v>44925</v>
      </c>
      <c r="H11896" t="str">
        <f>"89725"</f>
        <v>89725</v>
      </c>
      <c r="I11896">
        <v>1</v>
      </c>
      <c r="J11896">
        <v>2839</v>
      </c>
      <c r="K11896">
        <v>0</v>
      </c>
      <c r="L11896">
        <v>1703.4</v>
      </c>
    </row>
    <row r="11897" spans="1:12" x14ac:dyDescent="0.25">
      <c r="A11897" t="str">
        <f t="shared" si="2574"/>
        <v>89301000</v>
      </c>
      <c r="B11897" t="str">
        <f t="shared" si="2581"/>
        <v>78915000</v>
      </c>
      <c r="C11897" t="str">
        <f t="shared" si="2582"/>
        <v>78915001</v>
      </c>
      <c r="D11897" t="str">
        <f t="shared" si="2580"/>
        <v>809</v>
      </c>
      <c r="E11897" t="str">
        <f>"89301172"</f>
        <v>89301172</v>
      </c>
      <c r="F11897" t="str">
        <f>"8454215363"</f>
        <v>8454215363</v>
      </c>
      <c r="G11897" s="1">
        <v>44904</v>
      </c>
      <c r="H11897" t="str">
        <f>"89713"</f>
        <v>89713</v>
      </c>
      <c r="I11897">
        <v>2</v>
      </c>
      <c r="J11897">
        <v>10724</v>
      </c>
      <c r="K11897">
        <v>0</v>
      </c>
      <c r="L11897">
        <v>6434.4</v>
      </c>
    </row>
    <row r="11898" spans="1:12" x14ac:dyDescent="0.25">
      <c r="A11898" t="str">
        <f t="shared" si="2574"/>
        <v>89301000</v>
      </c>
      <c r="B11898" t="str">
        <f t="shared" si="2581"/>
        <v>78915000</v>
      </c>
      <c r="C11898" t="str">
        <f t="shared" si="2582"/>
        <v>78915001</v>
      </c>
      <c r="D11898" t="str">
        <f t="shared" si="2580"/>
        <v>809</v>
      </c>
      <c r="E11898" t="str">
        <f>"89301292"</f>
        <v>89301292</v>
      </c>
      <c r="F11898" t="str">
        <f>"8558256135"</f>
        <v>8558256135</v>
      </c>
      <c r="G11898" s="1">
        <v>44909</v>
      </c>
      <c r="H11898" t="str">
        <f>"89715"</f>
        <v>89715</v>
      </c>
      <c r="I11898">
        <v>1</v>
      </c>
      <c r="J11898">
        <v>5474</v>
      </c>
      <c r="K11898">
        <v>0</v>
      </c>
      <c r="L11898">
        <v>3284.4</v>
      </c>
    </row>
    <row r="11899" spans="1:12" x14ac:dyDescent="0.25">
      <c r="A11899" t="str">
        <f t="shared" si="2574"/>
        <v>89301000</v>
      </c>
      <c r="B11899" t="str">
        <f t="shared" si="2581"/>
        <v>78915000</v>
      </c>
      <c r="C11899" t="str">
        <f t="shared" si="2582"/>
        <v>78915001</v>
      </c>
      <c r="D11899" t="str">
        <f t="shared" si="2580"/>
        <v>809</v>
      </c>
      <c r="E11899" t="str">
        <f t="shared" ref="E11899:E11904" si="2583">"89301112"</f>
        <v>89301112</v>
      </c>
      <c r="F11899" t="str">
        <f>"8905255799"</f>
        <v>8905255799</v>
      </c>
      <c r="G11899" s="1">
        <v>44910</v>
      </c>
      <c r="H11899" t="str">
        <f>"09569"</f>
        <v>09569</v>
      </c>
      <c r="I11899">
        <v>1</v>
      </c>
      <c r="J11899">
        <v>0</v>
      </c>
      <c r="K11899">
        <v>0</v>
      </c>
      <c r="L11899">
        <v>0</v>
      </c>
    </row>
    <row r="11900" spans="1:12" x14ac:dyDescent="0.25">
      <c r="A11900" t="str">
        <f t="shared" si="2574"/>
        <v>89301000</v>
      </c>
      <c r="B11900" t="str">
        <f t="shared" si="2581"/>
        <v>78915000</v>
      </c>
      <c r="C11900" t="str">
        <f t="shared" si="2582"/>
        <v>78915001</v>
      </c>
      <c r="D11900" t="str">
        <f t="shared" si="2580"/>
        <v>809</v>
      </c>
      <c r="E11900" t="str">
        <f t="shared" si="2583"/>
        <v>89301112</v>
      </c>
      <c r="F11900" t="str">
        <f>"8905255799"</f>
        <v>8905255799</v>
      </c>
      <c r="G11900" s="1">
        <v>44910</v>
      </c>
      <c r="H11900" t="str">
        <f>"89713"</f>
        <v>89713</v>
      </c>
      <c r="I11900">
        <v>1</v>
      </c>
      <c r="J11900">
        <v>5362</v>
      </c>
      <c r="K11900">
        <v>0</v>
      </c>
      <c r="L11900">
        <v>3217.2</v>
      </c>
    </row>
    <row r="11901" spans="1:12" x14ac:dyDescent="0.25">
      <c r="A11901" t="str">
        <f t="shared" si="2574"/>
        <v>89301000</v>
      </c>
      <c r="B11901" t="str">
        <f t="shared" si="2581"/>
        <v>78915000</v>
      </c>
      <c r="C11901" t="str">
        <f t="shared" si="2582"/>
        <v>78915001</v>
      </c>
      <c r="D11901" t="str">
        <f t="shared" si="2580"/>
        <v>809</v>
      </c>
      <c r="E11901" t="str">
        <f t="shared" si="2583"/>
        <v>89301112</v>
      </c>
      <c r="F11901" t="str">
        <f>"9406223497"</f>
        <v>9406223497</v>
      </c>
      <c r="G11901" s="1">
        <v>44915</v>
      </c>
      <c r="H11901" t="str">
        <f>"09567"</f>
        <v>09567</v>
      </c>
      <c r="I11901">
        <v>1</v>
      </c>
      <c r="J11901">
        <v>0</v>
      </c>
      <c r="K11901">
        <v>0</v>
      </c>
      <c r="L11901">
        <v>0</v>
      </c>
    </row>
    <row r="11902" spans="1:12" x14ac:dyDescent="0.25">
      <c r="A11902" t="str">
        <f t="shared" si="2574"/>
        <v>89301000</v>
      </c>
      <c r="B11902" t="str">
        <f t="shared" si="2581"/>
        <v>78915000</v>
      </c>
      <c r="C11902" t="str">
        <f t="shared" si="2582"/>
        <v>78915001</v>
      </c>
      <c r="D11902" t="str">
        <f t="shared" si="2580"/>
        <v>809</v>
      </c>
      <c r="E11902" t="str">
        <f t="shared" si="2583"/>
        <v>89301112</v>
      </c>
      <c r="F11902" t="str">
        <f>"9406223497"</f>
        <v>9406223497</v>
      </c>
      <c r="G11902" s="1">
        <v>44915</v>
      </c>
      <c r="H11902" t="str">
        <f>"89713"</f>
        <v>89713</v>
      </c>
      <c r="I11902">
        <v>1</v>
      </c>
      <c r="J11902">
        <v>5362</v>
      </c>
      <c r="K11902">
        <v>0</v>
      </c>
      <c r="L11902">
        <v>3217.2</v>
      </c>
    </row>
    <row r="11903" spans="1:12" x14ac:dyDescent="0.25">
      <c r="A11903" t="str">
        <f t="shared" si="2574"/>
        <v>89301000</v>
      </c>
      <c r="B11903" t="str">
        <f t="shared" si="2581"/>
        <v>78915000</v>
      </c>
      <c r="C11903" t="str">
        <f t="shared" si="2582"/>
        <v>78915001</v>
      </c>
      <c r="D11903" t="str">
        <f t="shared" si="2580"/>
        <v>809</v>
      </c>
      <c r="E11903" t="str">
        <f t="shared" si="2583"/>
        <v>89301112</v>
      </c>
      <c r="F11903" t="str">
        <f>"9903114859"</f>
        <v>9903114859</v>
      </c>
      <c r="G11903" s="1">
        <v>44806</v>
      </c>
      <c r="H11903" t="str">
        <f>"09567"</f>
        <v>09567</v>
      </c>
      <c r="I11903">
        <v>1</v>
      </c>
      <c r="J11903">
        <v>0</v>
      </c>
      <c r="K11903">
        <v>0</v>
      </c>
      <c r="L11903">
        <v>0</v>
      </c>
    </row>
    <row r="11904" spans="1:12" x14ac:dyDescent="0.25">
      <c r="A11904" t="str">
        <f t="shared" si="2574"/>
        <v>89301000</v>
      </c>
      <c r="B11904" t="str">
        <f t="shared" si="2581"/>
        <v>78915000</v>
      </c>
      <c r="C11904" t="str">
        <f t="shared" si="2582"/>
        <v>78915001</v>
      </c>
      <c r="D11904" t="str">
        <f t="shared" si="2580"/>
        <v>809</v>
      </c>
      <c r="E11904" t="str">
        <f t="shared" si="2583"/>
        <v>89301112</v>
      </c>
      <c r="F11904" t="str">
        <f>"9903114859"</f>
        <v>9903114859</v>
      </c>
      <c r="G11904" s="1">
        <v>44806</v>
      </c>
      <c r="H11904" t="str">
        <f>"89713"</f>
        <v>89713</v>
      </c>
      <c r="I11904">
        <v>1</v>
      </c>
      <c r="J11904">
        <v>5362</v>
      </c>
      <c r="K11904">
        <v>0</v>
      </c>
      <c r="L11904">
        <v>3217.2</v>
      </c>
    </row>
    <row r="11905" spans="1:12" x14ac:dyDescent="0.25">
      <c r="A11905" t="str">
        <f t="shared" si="2574"/>
        <v>89301000</v>
      </c>
      <c r="B11905" t="str">
        <f>"72996675"</f>
        <v>72996675</v>
      </c>
      <c r="C11905" t="str">
        <f>"72996675"</f>
        <v>72996675</v>
      </c>
      <c r="D11905" t="str">
        <f>"816"</f>
        <v>816</v>
      </c>
      <c r="E11905" t="str">
        <f>"89301282"</f>
        <v>89301282</v>
      </c>
      <c r="F11905" t="str">
        <f>"2253280392"</f>
        <v>2253280392</v>
      </c>
      <c r="G11905" s="1">
        <v>44909</v>
      </c>
      <c r="H11905" t="str">
        <f>"94982"</f>
        <v>94982</v>
      </c>
      <c r="I11905">
        <v>1</v>
      </c>
      <c r="J11905">
        <v>0</v>
      </c>
      <c r="K11905">
        <v>27500</v>
      </c>
      <c r="L11905">
        <v>27500</v>
      </c>
    </row>
    <row r="11906" spans="1:12" x14ac:dyDescent="0.25">
      <c r="A11906" t="str">
        <f t="shared" ref="A11906:A11969" si="2584">"89301000"</f>
        <v>89301000</v>
      </c>
      <c r="B11906" t="str">
        <f>"72996675"</f>
        <v>72996675</v>
      </c>
      <c r="C11906" t="str">
        <f>"72996675"</f>
        <v>72996675</v>
      </c>
      <c r="D11906" t="str">
        <f>"816"</f>
        <v>816</v>
      </c>
      <c r="E11906" t="str">
        <f>"89301282"</f>
        <v>89301282</v>
      </c>
      <c r="F11906" t="str">
        <f>"2253280392"</f>
        <v>2253280392</v>
      </c>
      <c r="G11906" s="1">
        <v>44909</v>
      </c>
      <c r="H11906" t="str">
        <f>"94996"</f>
        <v>94996</v>
      </c>
      <c r="I11906">
        <v>1</v>
      </c>
      <c r="J11906">
        <v>0</v>
      </c>
      <c r="K11906">
        <v>0</v>
      </c>
      <c r="L11906">
        <v>0</v>
      </c>
    </row>
    <row r="11907" spans="1:12" x14ac:dyDescent="0.25">
      <c r="A11907" t="str">
        <f t="shared" si="2584"/>
        <v>89301000</v>
      </c>
      <c r="B11907" t="str">
        <f>"92503000"</f>
        <v>92503000</v>
      </c>
      <c r="C11907" t="str">
        <f>"92503000"</f>
        <v>92503000</v>
      </c>
      <c r="D11907" t="str">
        <f>"807"</f>
        <v>807</v>
      </c>
      <c r="E11907" t="str">
        <f>"89301082"</f>
        <v>89301082</v>
      </c>
      <c r="F11907" t="str">
        <f>"0659205261"</f>
        <v>0659205261</v>
      </c>
      <c r="G11907" s="1">
        <v>44901</v>
      </c>
      <c r="H11907" t="str">
        <f>"87433"</f>
        <v>87433</v>
      </c>
      <c r="I11907">
        <v>1</v>
      </c>
      <c r="J11907">
        <v>41</v>
      </c>
      <c r="K11907">
        <v>0</v>
      </c>
      <c r="L11907">
        <v>31.98</v>
      </c>
    </row>
    <row r="11908" spans="1:12" x14ac:dyDescent="0.25">
      <c r="A11908" t="str">
        <f t="shared" si="2584"/>
        <v>89301000</v>
      </c>
      <c r="B11908" t="str">
        <f>"92503000"</f>
        <v>92503000</v>
      </c>
      <c r="C11908" t="str">
        <f>"92503000"</f>
        <v>92503000</v>
      </c>
      <c r="D11908" t="str">
        <f>"807"</f>
        <v>807</v>
      </c>
      <c r="E11908" t="str">
        <f>"89301082"</f>
        <v>89301082</v>
      </c>
      <c r="F11908" t="str">
        <f>"0659205261"</f>
        <v>0659205261</v>
      </c>
      <c r="G11908" s="1">
        <v>44901</v>
      </c>
      <c r="H11908" t="str">
        <f>"87519"</f>
        <v>87519</v>
      </c>
      <c r="I11908">
        <v>1</v>
      </c>
      <c r="J11908">
        <v>310</v>
      </c>
      <c r="K11908">
        <v>0</v>
      </c>
      <c r="L11908">
        <v>241.8</v>
      </c>
    </row>
    <row r="11909" spans="1:12" x14ac:dyDescent="0.25">
      <c r="A11909" t="str">
        <f t="shared" si="2584"/>
        <v>89301000</v>
      </c>
      <c r="B11909" t="str">
        <f t="shared" ref="B11909:B11932" si="2585">"93501000"</f>
        <v>93501000</v>
      </c>
      <c r="C11909" t="str">
        <f t="shared" ref="C11909:C11928" si="2586">"93501001"</f>
        <v>93501001</v>
      </c>
      <c r="D11909" t="str">
        <f t="shared" ref="D11909:D11928" si="2587">"801"</f>
        <v>801</v>
      </c>
      <c r="E11909" t="str">
        <f t="shared" ref="E11909:E11932" si="2588">"89301167"</f>
        <v>89301167</v>
      </c>
      <c r="F11909" t="str">
        <f t="shared" ref="F11909:F11932" si="2589">"470127462"</f>
        <v>470127462</v>
      </c>
      <c r="G11909" s="1">
        <v>44915</v>
      </c>
      <c r="H11909" t="str">
        <f>"09119"</f>
        <v>09119</v>
      </c>
      <c r="I11909">
        <v>1</v>
      </c>
      <c r="J11909">
        <v>42</v>
      </c>
      <c r="K11909">
        <v>0</v>
      </c>
      <c r="L11909">
        <v>32.76</v>
      </c>
    </row>
    <row r="11910" spans="1:12" x14ac:dyDescent="0.25">
      <c r="A11910" t="str">
        <f t="shared" si="2584"/>
        <v>89301000</v>
      </c>
      <c r="B11910" t="str">
        <f t="shared" si="2585"/>
        <v>93501000</v>
      </c>
      <c r="C11910" t="str">
        <f t="shared" si="2586"/>
        <v>93501001</v>
      </c>
      <c r="D11910" t="str">
        <f t="shared" si="2587"/>
        <v>801</v>
      </c>
      <c r="E11910" t="str">
        <f t="shared" si="2588"/>
        <v>89301167</v>
      </c>
      <c r="F11910" t="str">
        <f t="shared" si="2589"/>
        <v>470127462</v>
      </c>
      <c r="G11910" s="1">
        <v>44915</v>
      </c>
      <c r="H11910" t="str">
        <f>"97111"</f>
        <v>97111</v>
      </c>
      <c r="I11910">
        <v>1</v>
      </c>
      <c r="J11910">
        <v>18</v>
      </c>
      <c r="K11910">
        <v>0</v>
      </c>
      <c r="L11910">
        <v>14.04</v>
      </c>
    </row>
    <row r="11911" spans="1:12" x14ac:dyDescent="0.25">
      <c r="A11911" t="str">
        <f t="shared" si="2584"/>
        <v>89301000</v>
      </c>
      <c r="B11911" t="str">
        <f t="shared" si="2585"/>
        <v>93501000</v>
      </c>
      <c r="C11911" t="str">
        <f t="shared" si="2586"/>
        <v>93501001</v>
      </c>
      <c r="D11911" t="str">
        <f t="shared" si="2587"/>
        <v>801</v>
      </c>
      <c r="E11911" t="str">
        <f t="shared" si="2588"/>
        <v>89301167</v>
      </c>
      <c r="F11911" t="str">
        <f t="shared" si="2589"/>
        <v>470127462</v>
      </c>
      <c r="G11911" s="1">
        <v>44904</v>
      </c>
      <c r="H11911" t="str">
        <f>"09119"</f>
        <v>09119</v>
      </c>
      <c r="I11911">
        <v>1</v>
      </c>
      <c r="J11911">
        <v>42</v>
      </c>
      <c r="K11911">
        <v>0</v>
      </c>
      <c r="L11911">
        <v>32.76</v>
      </c>
    </row>
    <row r="11912" spans="1:12" x14ac:dyDescent="0.25">
      <c r="A11912" t="str">
        <f t="shared" si="2584"/>
        <v>89301000</v>
      </c>
      <c r="B11912" t="str">
        <f t="shared" si="2585"/>
        <v>93501000</v>
      </c>
      <c r="C11912" t="str">
        <f t="shared" si="2586"/>
        <v>93501001</v>
      </c>
      <c r="D11912" t="str">
        <f t="shared" si="2587"/>
        <v>801</v>
      </c>
      <c r="E11912" t="str">
        <f t="shared" si="2588"/>
        <v>89301167</v>
      </c>
      <c r="F11912" t="str">
        <f t="shared" si="2589"/>
        <v>470127462</v>
      </c>
      <c r="G11912" s="1">
        <v>44904</v>
      </c>
      <c r="H11912" t="str">
        <f>"81329"</f>
        <v>81329</v>
      </c>
      <c r="I11912">
        <v>1</v>
      </c>
      <c r="J11912">
        <v>16</v>
      </c>
      <c r="K11912">
        <v>0</v>
      </c>
      <c r="L11912">
        <v>12.48</v>
      </c>
    </row>
    <row r="11913" spans="1:12" x14ac:dyDescent="0.25">
      <c r="A11913" t="str">
        <f t="shared" si="2584"/>
        <v>89301000</v>
      </c>
      <c r="B11913" t="str">
        <f t="shared" si="2585"/>
        <v>93501000</v>
      </c>
      <c r="C11913" t="str">
        <f t="shared" si="2586"/>
        <v>93501001</v>
      </c>
      <c r="D11913" t="str">
        <f t="shared" si="2587"/>
        <v>801</v>
      </c>
      <c r="E11913" t="str">
        <f t="shared" si="2588"/>
        <v>89301167</v>
      </c>
      <c r="F11913" t="str">
        <f t="shared" si="2589"/>
        <v>470127462</v>
      </c>
      <c r="G11913" s="1">
        <v>44904</v>
      </c>
      <c r="H11913" t="str">
        <f>"81337"</f>
        <v>81337</v>
      </c>
      <c r="I11913">
        <v>1</v>
      </c>
      <c r="J11913">
        <v>19</v>
      </c>
      <c r="K11913">
        <v>0</v>
      </c>
      <c r="L11913">
        <v>14.82</v>
      </c>
    </row>
    <row r="11914" spans="1:12" x14ac:dyDescent="0.25">
      <c r="A11914" t="str">
        <f t="shared" si="2584"/>
        <v>89301000</v>
      </c>
      <c r="B11914" t="str">
        <f t="shared" si="2585"/>
        <v>93501000</v>
      </c>
      <c r="C11914" t="str">
        <f t="shared" si="2586"/>
        <v>93501001</v>
      </c>
      <c r="D11914" t="str">
        <f t="shared" si="2587"/>
        <v>801</v>
      </c>
      <c r="E11914" t="str">
        <f t="shared" si="2588"/>
        <v>89301167</v>
      </c>
      <c r="F11914" t="str">
        <f t="shared" si="2589"/>
        <v>470127462</v>
      </c>
      <c r="G11914" s="1">
        <v>44904</v>
      </c>
      <c r="H11914" t="str">
        <f>"81357"</f>
        <v>81357</v>
      </c>
      <c r="I11914">
        <v>1</v>
      </c>
      <c r="J11914">
        <v>19</v>
      </c>
      <c r="K11914">
        <v>0</v>
      </c>
      <c r="L11914">
        <v>14.82</v>
      </c>
    </row>
    <row r="11915" spans="1:12" x14ac:dyDescent="0.25">
      <c r="A11915" t="str">
        <f t="shared" si="2584"/>
        <v>89301000</v>
      </c>
      <c r="B11915" t="str">
        <f t="shared" si="2585"/>
        <v>93501000</v>
      </c>
      <c r="C11915" t="str">
        <f t="shared" si="2586"/>
        <v>93501001</v>
      </c>
      <c r="D11915" t="str">
        <f t="shared" si="2587"/>
        <v>801</v>
      </c>
      <c r="E11915" t="str">
        <f t="shared" si="2588"/>
        <v>89301167</v>
      </c>
      <c r="F11915" t="str">
        <f t="shared" si="2589"/>
        <v>470127462</v>
      </c>
      <c r="G11915" s="1">
        <v>44904</v>
      </c>
      <c r="H11915" t="str">
        <f>"81361"</f>
        <v>81361</v>
      </c>
      <c r="I11915">
        <v>1</v>
      </c>
      <c r="J11915">
        <v>17</v>
      </c>
      <c r="K11915">
        <v>0</v>
      </c>
      <c r="L11915">
        <v>13.26</v>
      </c>
    </row>
    <row r="11916" spans="1:12" x14ac:dyDescent="0.25">
      <c r="A11916" t="str">
        <f t="shared" si="2584"/>
        <v>89301000</v>
      </c>
      <c r="B11916" t="str">
        <f t="shared" si="2585"/>
        <v>93501000</v>
      </c>
      <c r="C11916" t="str">
        <f t="shared" si="2586"/>
        <v>93501001</v>
      </c>
      <c r="D11916" t="str">
        <f t="shared" si="2587"/>
        <v>801</v>
      </c>
      <c r="E11916" t="str">
        <f t="shared" si="2588"/>
        <v>89301167</v>
      </c>
      <c r="F11916" t="str">
        <f t="shared" si="2589"/>
        <v>470127462</v>
      </c>
      <c r="G11916" s="1">
        <v>44904</v>
      </c>
      <c r="H11916" t="str">
        <f>"81365"</f>
        <v>81365</v>
      </c>
      <c r="I11916">
        <v>1</v>
      </c>
      <c r="J11916">
        <v>16</v>
      </c>
      <c r="K11916">
        <v>0</v>
      </c>
      <c r="L11916">
        <v>12.48</v>
      </c>
    </row>
    <row r="11917" spans="1:12" x14ac:dyDescent="0.25">
      <c r="A11917" t="str">
        <f t="shared" si="2584"/>
        <v>89301000</v>
      </c>
      <c r="B11917" t="str">
        <f t="shared" si="2585"/>
        <v>93501000</v>
      </c>
      <c r="C11917" t="str">
        <f t="shared" si="2586"/>
        <v>93501001</v>
      </c>
      <c r="D11917" t="str">
        <f t="shared" si="2587"/>
        <v>801</v>
      </c>
      <c r="E11917" t="str">
        <f t="shared" si="2588"/>
        <v>89301167</v>
      </c>
      <c r="F11917" t="str">
        <f t="shared" si="2589"/>
        <v>470127462</v>
      </c>
      <c r="G11917" s="1">
        <v>44904</v>
      </c>
      <c r="H11917" t="str">
        <f>"81383"</f>
        <v>81383</v>
      </c>
      <c r="I11917">
        <v>1</v>
      </c>
      <c r="J11917">
        <v>23</v>
      </c>
      <c r="K11917">
        <v>0</v>
      </c>
      <c r="L11917">
        <v>17.940000000000001</v>
      </c>
    </row>
    <row r="11918" spans="1:12" x14ac:dyDescent="0.25">
      <c r="A11918" t="str">
        <f t="shared" si="2584"/>
        <v>89301000</v>
      </c>
      <c r="B11918" t="str">
        <f t="shared" si="2585"/>
        <v>93501000</v>
      </c>
      <c r="C11918" t="str">
        <f t="shared" si="2586"/>
        <v>93501001</v>
      </c>
      <c r="D11918" t="str">
        <f t="shared" si="2587"/>
        <v>801</v>
      </c>
      <c r="E11918" t="str">
        <f t="shared" si="2588"/>
        <v>89301167</v>
      </c>
      <c r="F11918" t="str">
        <f t="shared" si="2589"/>
        <v>470127462</v>
      </c>
      <c r="G11918" s="1">
        <v>44904</v>
      </c>
      <c r="H11918" t="str">
        <f>"81393"</f>
        <v>81393</v>
      </c>
      <c r="I11918">
        <v>1</v>
      </c>
      <c r="J11918">
        <v>24</v>
      </c>
      <c r="K11918">
        <v>0</v>
      </c>
      <c r="L11918">
        <v>18.72</v>
      </c>
    </row>
    <row r="11919" spans="1:12" x14ac:dyDescent="0.25">
      <c r="A11919" t="str">
        <f t="shared" si="2584"/>
        <v>89301000</v>
      </c>
      <c r="B11919" t="str">
        <f t="shared" si="2585"/>
        <v>93501000</v>
      </c>
      <c r="C11919" t="str">
        <f t="shared" si="2586"/>
        <v>93501001</v>
      </c>
      <c r="D11919" t="str">
        <f t="shared" si="2587"/>
        <v>801</v>
      </c>
      <c r="E11919" t="str">
        <f t="shared" si="2588"/>
        <v>89301167</v>
      </c>
      <c r="F11919" t="str">
        <f t="shared" si="2589"/>
        <v>470127462</v>
      </c>
      <c r="G11919" s="1">
        <v>44904</v>
      </c>
      <c r="H11919" t="str">
        <f>"81421"</f>
        <v>81421</v>
      </c>
      <c r="I11919">
        <v>1</v>
      </c>
      <c r="J11919">
        <v>19</v>
      </c>
      <c r="K11919">
        <v>0</v>
      </c>
      <c r="L11919">
        <v>14.82</v>
      </c>
    </row>
    <row r="11920" spans="1:12" x14ac:dyDescent="0.25">
      <c r="A11920" t="str">
        <f t="shared" si="2584"/>
        <v>89301000</v>
      </c>
      <c r="B11920" t="str">
        <f t="shared" si="2585"/>
        <v>93501000</v>
      </c>
      <c r="C11920" t="str">
        <f t="shared" si="2586"/>
        <v>93501001</v>
      </c>
      <c r="D11920" t="str">
        <f t="shared" si="2587"/>
        <v>801</v>
      </c>
      <c r="E11920" t="str">
        <f t="shared" si="2588"/>
        <v>89301167</v>
      </c>
      <c r="F11920" t="str">
        <f t="shared" si="2589"/>
        <v>470127462</v>
      </c>
      <c r="G11920" s="1">
        <v>44904</v>
      </c>
      <c r="H11920" t="str">
        <f>"81435"</f>
        <v>81435</v>
      </c>
      <c r="I11920">
        <v>1</v>
      </c>
      <c r="J11920">
        <v>22</v>
      </c>
      <c r="K11920">
        <v>0</v>
      </c>
      <c r="L11920">
        <v>17.16</v>
      </c>
    </row>
    <row r="11921" spans="1:12" x14ac:dyDescent="0.25">
      <c r="A11921" t="str">
        <f t="shared" si="2584"/>
        <v>89301000</v>
      </c>
      <c r="B11921" t="str">
        <f t="shared" si="2585"/>
        <v>93501000</v>
      </c>
      <c r="C11921" t="str">
        <f t="shared" si="2586"/>
        <v>93501001</v>
      </c>
      <c r="D11921" t="str">
        <f t="shared" si="2587"/>
        <v>801</v>
      </c>
      <c r="E11921" t="str">
        <f t="shared" si="2588"/>
        <v>89301167</v>
      </c>
      <c r="F11921" t="str">
        <f t="shared" si="2589"/>
        <v>470127462</v>
      </c>
      <c r="G11921" s="1">
        <v>44904</v>
      </c>
      <c r="H11921" t="str">
        <f>"81439"</f>
        <v>81439</v>
      </c>
      <c r="I11921">
        <v>1</v>
      </c>
      <c r="J11921">
        <v>16</v>
      </c>
      <c r="K11921">
        <v>0</v>
      </c>
      <c r="L11921">
        <v>12.48</v>
      </c>
    </row>
    <row r="11922" spans="1:12" x14ac:dyDescent="0.25">
      <c r="A11922" t="str">
        <f t="shared" si="2584"/>
        <v>89301000</v>
      </c>
      <c r="B11922" t="str">
        <f t="shared" si="2585"/>
        <v>93501000</v>
      </c>
      <c r="C11922" t="str">
        <f t="shared" si="2586"/>
        <v>93501001</v>
      </c>
      <c r="D11922" t="str">
        <f t="shared" si="2587"/>
        <v>801</v>
      </c>
      <c r="E11922" t="str">
        <f t="shared" si="2588"/>
        <v>89301167</v>
      </c>
      <c r="F11922" t="str">
        <f t="shared" si="2589"/>
        <v>470127462</v>
      </c>
      <c r="G11922" s="1">
        <v>44904</v>
      </c>
      <c r="H11922" t="str">
        <f>"81469"</f>
        <v>81469</v>
      </c>
      <c r="I11922">
        <v>1</v>
      </c>
      <c r="J11922">
        <v>16</v>
      </c>
      <c r="K11922">
        <v>0</v>
      </c>
      <c r="L11922">
        <v>12.48</v>
      </c>
    </row>
    <row r="11923" spans="1:12" x14ac:dyDescent="0.25">
      <c r="A11923" t="str">
        <f t="shared" si="2584"/>
        <v>89301000</v>
      </c>
      <c r="B11923" t="str">
        <f t="shared" si="2585"/>
        <v>93501000</v>
      </c>
      <c r="C11923" t="str">
        <f t="shared" si="2586"/>
        <v>93501001</v>
      </c>
      <c r="D11923" t="str">
        <f t="shared" si="2587"/>
        <v>801</v>
      </c>
      <c r="E11923" t="str">
        <f t="shared" si="2588"/>
        <v>89301167</v>
      </c>
      <c r="F11923" t="str">
        <f t="shared" si="2589"/>
        <v>470127462</v>
      </c>
      <c r="G11923" s="1">
        <v>44904</v>
      </c>
      <c r="H11923" t="str">
        <f>"81499"</f>
        <v>81499</v>
      </c>
      <c r="I11923">
        <v>1</v>
      </c>
      <c r="J11923">
        <v>18</v>
      </c>
      <c r="K11923">
        <v>0</v>
      </c>
      <c r="L11923">
        <v>14.04</v>
      </c>
    </row>
    <row r="11924" spans="1:12" x14ac:dyDescent="0.25">
      <c r="A11924" t="str">
        <f t="shared" si="2584"/>
        <v>89301000</v>
      </c>
      <c r="B11924" t="str">
        <f t="shared" si="2585"/>
        <v>93501000</v>
      </c>
      <c r="C11924" t="str">
        <f t="shared" si="2586"/>
        <v>93501001</v>
      </c>
      <c r="D11924" t="str">
        <f t="shared" si="2587"/>
        <v>801</v>
      </c>
      <c r="E11924" t="str">
        <f t="shared" si="2588"/>
        <v>89301167</v>
      </c>
      <c r="F11924" t="str">
        <f t="shared" si="2589"/>
        <v>470127462</v>
      </c>
      <c r="G11924" s="1">
        <v>44904</v>
      </c>
      <c r="H11924" t="str">
        <f>"81523"</f>
        <v>81523</v>
      </c>
      <c r="I11924">
        <v>1</v>
      </c>
      <c r="J11924">
        <v>23</v>
      </c>
      <c r="K11924">
        <v>0</v>
      </c>
      <c r="L11924">
        <v>17.940000000000001</v>
      </c>
    </row>
    <row r="11925" spans="1:12" x14ac:dyDescent="0.25">
      <c r="A11925" t="str">
        <f t="shared" si="2584"/>
        <v>89301000</v>
      </c>
      <c r="B11925" t="str">
        <f t="shared" si="2585"/>
        <v>93501000</v>
      </c>
      <c r="C11925" t="str">
        <f t="shared" si="2586"/>
        <v>93501001</v>
      </c>
      <c r="D11925" t="str">
        <f t="shared" si="2587"/>
        <v>801</v>
      </c>
      <c r="E11925" t="str">
        <f t="shared" si="2588"/>
        <v>89301167</v>
      </c>
      <c r="F11925" t="str">
        <f t="shared" si="2589"/>
        <v>470127462</v>
      </c>
      <c r="G11925" s="1">
        <v>44904</v>
      </c>
      <c r="H11925" t="str">
        <f>"81593"</f>
        <v>81593</v>
      </c>
      <c r="I11925">
        <v>1</v>
      </c>
      <c r="J11925">
        <v>22</v>
      </c>
      <c r="K11925">
        <v>0</v>
      </c>
      <c r="L11925">
        <v>17.16</v>
      </c>
    </row>
    <row r="11926" spans="1:12" x14ac:dyDescent="0.25">
      <c r="A11926" t="str">
        <f t="shared" si="2584"/>
        <v>89301000</v>
      </c>
      <c r="B11926" t="str">
        <f t="shared" si="2585"/>
        <v>93501000</v>
      </c>
      <c r="C11926" t="str">
        <f t="shared" si="2586"/>
        <v>93501001</v>
      </c>
      <c r="D11926" t="str">
        <f t="shared" si="2587"/>
        <v>801</v>
      </c>
      <c r="E11926" t="str">
        <f t="shared" si="2588"/>
        <v>89301167</v>
      </c>
      <c r="F11926" t="str">
        <f t="shared" si="2589"/>
        <v>470127462</v>
      </c>
      <c r="G11926" s="1">
        <v>44904</v>
      </c>
      <c r="H11926" t="str">
        <f>"81621"</f>
        <v>81621</v>
      </c>
      <c r="I11926">
        <v>1</v>
      </c>
      <c r="J11926">
        <v>19</v>
      </c>
      <c r="K11926">
        <v>0</v>
      </c>
      <c r="L11926">
        <v>14.82</v>
      </c>
    </row>
    <row r="11927" spans="1:12" x14ac:dyDescent="0.25">
      <c r="A11927" t="str">
        <f t="shared" si="2584"/>
        <v>89301000</v>
      </c>
      <c r="B11927" t="str">
        <f t="shared" si="2585"/>
        <v>93501000</v>
      </c>
      <c r="C11927" t="str">
        <f t="shared" si="2586"/>
        <v>93501001</v>
      </c>
      <c r="D11927" t="str">
        <f t="shared" si="2587"/>
        <v>801</v>
      </c>
      <c r="E11927" t="str">
        <f t="shared" si="2588"/>
        <v>89301167</v>
      </c>
      <c r="F11927" t="str">
        <f t="shared" si="2589"/>
        <v>470127462</v>
      </c>
      <c r="G11927" s="1">
        <v>44904</v>
      </c>
      <c r="H11927" t="str">
        <f>"91153"</f>
        <v>91153</v>
      </c>
      <c r="I11927">
        <v>1</v>
      </c>
      <c r="J11927">
        <v>152</v>
      </c>
      <c r="K11927">
        <v>0</v>
      </c>
      <c r="L11927">
        <v>118.56</v>
      </c>
    </row>
    <row r="11928" spans="1:12" x14ac:dyDescent="0.25">
      <c r="A11928" t="str">
        <f t="shared" si="2584"/>
        <v>89301000</v>
      </c>
      <c r="B11928" t="str">
        <f t="shared" si="2585"/>
        <v>93501000</v>
      </c>
      <c r="C11928" t="str">
        <f t="shared" si="2586"/>
        <v>93501001</v>
      </c>
      <c r="D11928" t="str">
        <f t="shared" si="2587"/>
        <v>801</v>
      </c>
      <c r="E11928" t="str">
        <f t="shared" si="2588"/>
        <v>89301167</v>
      </c>
      <c r="F11928" t="str">
        <f t="shared" si="2589"/>
        <v>470127462</v>
      </c>
      <c r="G11928" s="1">
        <v>44904</v>
      </c>
      <c r="H11928" t="str">
        <f>"97111"</f>
        <v>97111</v>
      </c>
      <c r="I11928">
        <v>1</v>
      </c>
      <c r="J11928">
        <v>18</v>
      </c>
      <c r="K11928">
        <v>0</v>
      </c>
      <c r="L11928">
        <v>14.04</v>
      </c>
    </row>
    <row r="11929" spans="1:12" x14ac:dyDescent="0.25">
      <c r="A11929" t="str">
        <f t="shared" si="2584"/>
        <v>89301000</v>
      </c>
      <c r="B11929" t="str">
        <f t="shared" si="2585"/>
        <v>93501000</v>
      </c>
      <c r="C11929" t="str">
        <f>"93501005"</f>
        <v>93501005</v>
      </c>
      <c r="D11929" t="str">
        <f>"818"</f>
        <v>818</v>
      </c>
      <c r="E11929" t="str">
        <f t="shared" si="2588"/>
        <v>89301167</v>
      </c>
      <c r="F11929" t="str">
        <f t="shared" si="2589"/>
        <v>470127462</v>
      </c>
      <c r="G11929" s="1">
        <v>44915</v>
      </c>
      <c r="H11929" t="str">
        <f>"96167"</f>
        <v>96167</v>
      </c>
      <c r="I11929">
        <v>1</v>
      </c>
      <c r="J11929">
        <v>67</v>
      </c>
      <c r="K11929">
        <v>0</v>
      </c>
      <c r="L11929">
        <v>60.97</v>
      </c>
    </row>
    <row r="11930" spans="1:12" x14ac:dyDescent="0.25">
      <c r="A11930" t="str">
        <f t="shared" si="2584"/>
        <v>89301000</v>
      </c>
      <c r="B11930" t="str">
        <f t="shared" si="2585"/>
        <v>93501000</v>
      </c>
      <c r="C11930" t="str">
        <f>"93501005"</f>
        <v>93501005</v>
      </c>
      <c r="D11930" t="str">
        <f>"818"</f>
        <v>818</v>
      </c>
      <c r="E11930" t="str">
        <f t="shared" si="2588"/>
        <v>89301167</v>
      </c>
      <c r="F11930" t="str">
        <f t="shared" si="2589"/>
        <v>470127462</v>
      </c>
      <c r="G11930" s="1">
        <v>44915</v>
      </c>
      <c r="H11930" t="str">
        <f>"96621"</f>
        <v>96621</v>
      </c>
      <c r="I11930">
        <v>1</v>
      </c>
      <c r="J11930">
        <v>79</v>
      </c>
      <c r="K11930">
        <v>0</v>
      </c>
      <c r="L11930">
        <v>71.89</v>
      </c>
    </row>
    <row r="11931" spans="1:12" x14ac:dyDescent="0.25">
      <c r="A11931" t="str">
        <f t="shared" si="2584"/>
        <v>89301000</v>
      </c>
      <c r="B11931" t="str">
        <f t="shared" si="2585"/>
        <v>93501000</v>
      </c>
      <c r="C11931" t="str">
        <f>"93501005"</f>
        <v>93501005</v>
      </c>
      <c r="D11931" t="str">
        <f>"818"</f>
        <v>818</v>
      </c>
      <c r="E11931" t="str">
        <f t="shared" si="2588"/>
        <v>89301167</v>
      </c>
      <c r="F11931" t="str">
        <f t="shared" si="2589"/>
        <v>470127462</v>
      </c>
      <c r="G11931" s="1">
        <v>44915</v>
      </c>
      <c r="H11931" t="str">
        <f>"96623"</f>
        <v>96623</v>
      </c>
      <c r="I11931">
        <v>1</v>
      </c>
      <c r="J11931">
        <v>85</v>
      </c>
      <c r="K11931">
        <v>0</v>
      </c>
      <c r="L11931">
        <v>77.349999999999994</v>
      </c>
    </row>
    <row r="11932" spans="1:12" x14ac:dyDescent="0.25">
      <c r="A11932" t="str">
        <f t="shared" si="2584"/>
        <v>89301000</v>
      </c>
      <c r="B11932" t="str">
        <f t="shared" si="2585"/>
        <v>93501000</v>
      </c>
      <c r="C11932" t="str">
        <f>"93501005"</f>
        <v>93501005</v>
      </c>
      <c r="D11932" t="str">
        <f>"818"</f>
        <v>818</v>
      </c>
      <c r="E11932" t="str">
        <f t="shared" si="2588"/>
        <v>89301167</v>
      </c>
      <c r="F11932" t="str">
        <f t="shared" si="2589"/>
        <v>470127462</v>
      </c>
      <c r="G11932" s="1">
        <v>44904</v>
      </c>
      <c r="H11932" t="str">
        <f>"96167"</f>
        <v>96167</v>
      </c>
      <c r="I11932">
        <v>1</v>
      </c>
      <c r="J11932">
        <v>67</v>
      </c>
      <c r="K11932">
        <v>0</v>
      </c>
      <c r="L11932">
        <v>60.97</v>
      </c>
    </row>
    <row r="11933" spans="1:12" x14ac:dyDescent="0.25">
      <c r="A11933" t="str">
        <f t="shared" si="2584"/>
        <v>89301000</v>
      </c>
      <c r="B11933" t="str">
        <f t="shared" ref="B11933:B11964" si="2590">"78051000"</f>
        <v>78051000</v>
      </c>
      <c r="C11933" t="str">
        <f t="shared" ref="C11933:C11964" si="2591">"78051004"</f>
        <v>78051004</v>
      </c>
      <c r="D11933" t="str">
        <f t="shared" ref="D11933:D11964" si="2592">"809"</f>
        <v>809</v>
      </c>
      <c r="E11933" t="str">
        <f t="shared" ref="E11933:E11964" si="2593">"89301062"</f>
        <v>89301062</v>
      </c>
      <c r="F11933" t="str">
        <f>"495420094"</f>
        <v>495420094</v>
      </c>
      <c r="G11933" s="1">
        <v>44901</v>
      </c>
      <c r="H11933" t="str">
        <f>"89311"</f>
        <v>89311</v>
      </c>
      <c r="I11933">
        <v>1</v>
      </c>
      <c r="J11933">
        <v>936</v>
      </c>
      <c r="K11933">
        <v>0</v>
      </c>
      <c r="L11933">
        <v>1310.4000000000001</v>
      </c>
    </row>
    <row r="11934" spans="1:12" x14ac:dyDescent="0.25">
      <c r="A11934" t="str">
        <f t="shared" si="2584"/>
        <v>89301000</v>
      </c>
      <c r="B11934" t="str">
        <f t="shared" si="2590"/>
        <v>78051000</v>
      </c>
      <c r="C11934" t="str">
        <f t="shared" si="2591"/>
        <v>78051004</v>
      </c>
      <c r="D11934" t="str">
        <f t="shared" si="2592"/>
        <v>809</v>
      </c>
      <c r="E11934" t="str">
        <f t="shared" si="2593"/>
        <v>89301062</v>
      </c>
      <c r="F11934" t="str">
        <f>"495420094"</f>
        <v>495420094</v>
      </c>
      <c r="G11934" s="1">
        <v>44901</v>
      </c>
      <c r="H11934" t="str">
        <f>"0090044"</f>
        <v>0090044</v>
      </c>
      <c r="I11934">
        <v>1</v>
      </c>
      <c r="K11934">
        <v>16.8</v>
      </c>
      <c r="L11934">
        <v>16.8</v>
      </c>
    </row>
    <row r="11935" spans="1:12" x14ac:dyDescent="0.25">
      <c r="A11935" t="str">
        <f t="shared" si="2584"/>
        <v>89301000</v>
      </c>
      <c r="B11935" t="str">
        <f t="shared" si="2590"/>
        <v>78051000</v>
      </c>
      <c r="C11935" t="str">
        <f t="shared" si="2591"/>
        <v>78051004</v>
      </c>
      <c r="D11935" t="str">
        <f t="shared" si="2592"/>
        <v>809</v>
      </c>
      <c r="E11935" t="str">
        <f t="shared" si="2593"/>
        <v>89301062</v>
      </c>
      <c r="F11935" t="str">
        <f>"495420094"</f>
        <v>495420094</v>
      </c>
      <c r="G11935" s="1">
        <v>44901</v>
      </c>
      <c r="H11935" t="str">
        <f>"0225891"</f>
        <v>0225891</v>
      </c>
      <c r="I11935">
        <v>0.2</v>
      </c>
      <c r="K11935">
        <v>73.540000000000006</v>
      </c>
      <c r="L11935">
        <v>73.540000000000006</v>
      </c>
    </row>
    <row r="11936" spans="1:12" x14ac:dyDescent="0.25">
      <c r="A11936" t="str">
        <f t="shared" si="2584"/>
        <v>89301000</v>
      </c>
      <c r="B11936" t="str">
        <f t="shared" si="2590"/>
        <v>78051000</v>
      </c>
      <c r="C11936" t="str">
        <f t="shared" si="2591"/>
        <v>78051004</v>
      </c>
      <c r="D11936" t="str">
        <f t="shared" si="2592"/>
        <v>809</v>
      </c>
      <c r="E11936" t="str">
        <f t="shared" si="2593"/>
        <v>89301062</v>
      </c>
      <c r="F11936" t="str">
        <f>"495420094"</f>
        <v>495420094</v>
      </c>
      <c r="G11936" s="1">
        <v>44901</v>
      </c>
      <c r="H11936" t="str">
        <f>"0096251"</f>
        <v>0096251</v>
      </c>
      <c r="I11936">
        <v>0.17</v>
      </c>
      <c r="K11936">
        <v>198.83</v>
      </c>
      <c r="L11936">
        <v>198.83</v>
      </c>
    </row>
    <row r="11937" spans="1:12" x14ac:dyDescent="0.25">
      <c r="A11937" t="str">
        <f t="shared" si="2584"/>
        <v>89301000</v>
      </c>
      <c r="B11937" t="str">
        <f t="shared" si="2590"/>
        <v>78051000</v>
      </c>
      <c r="C11937" t="str">
        <f t="shared" si="2591"/>
        <v>78051004</v>
      </c>
      <c r="D11937" t="str">
        <f t="shared" si="2592"/>
        <v>809</v>
      </c>
      <c r="E11937" t="str">
        <f t="shared" si="2593"/>
        <v>89301062</v>
      </c>
      <c r="F11937" t="str">
        <f>"495420094"</f>
        <v>495420094</v>
      </c>
      <c r="G11937" s="1">
        <v>44901</v>
      </c>
      <c r="H11937" t="str">
        <f>"0098943"</f>
        <v>0098943</v>
      </c>
      <c r="I11937">
        <v>1</v>
      </c>
      <c r="K11937">
        <v>293.81</v>
      </c>
      <c r="L11937">
        <v>293.81</v>
      </c>
    </row>
    <row r="11938" spans="1:12" x14ac:dyDescent="0.25">
      <c r="A11938" t="str">
        <f t="shared" si="2584"/>
        <v>89301000</v>
      </c>
      <c r="B11938" t="str">
        <f t="shared" si="2590"/>
        <v>78051000</v>
      </c>
      <c r="C11938" t="str">
        <f t="shared" si="2591"/>
        <v>78051004</v>
      </c>
      <c r="D11938" t="str">
        <f t="shared" si="2592"/>
        <v>809</v>
      </c>
      <c r="E11938" t="str">
        <f t="shared" si="2593"/>
        <v>89301062</v>
      </c>
      <c r="F11938" t="str">
        <f>"495508090"</f>
        <v>495508090</v>
      </c>
      <c r="G11938" s="1">
        <v>44901</v>
      </c>
      <c r="H11938" t="str">
        <f>"89311"</f>
        <v>89311</v>
      </c>
      <c r="I11938">
        <v>1</v>
      </c>
      <c r="J11938">
        <v>936</v>
      </c>
      <c r="K11938">
        <v>0</v>
      </c>
      <c r="L11938">
        <v>1310.4000000000001</v>
      </c>
    </row>
    <row r="11939" spans="1:12" x14ac:dyDescent="0.25">
      <c r="A11939" t="str">
        <f t="shared" si="2584"/>
        <v>89301000</v>
      </c>
      <c r="B11939" t="str">
        <f t="shared" si="2590"/>
        <v>78051000</v>
      </c>
      <c r="C11939" t="str">
        <f t="shared" si="2591"/>
        <v>78051004</v>
      </c>
      <c r="D11939" t="str">
        <f t="shared" si="2592"/>
        <v>809</v>
      </c>
      <c r="E11939" t="str">
        <f t="shared" si="2593"/>
        <v>89301062</v>
      </c>
      <c r="F11939" t="str">
        <f>"495508090"</f>
        <v>495508090</v>
      </c>
      <c r="G11939" s="1">
        <v>44901</v>
      </c>
      <c r="H11939" t="str">
        <f>"0090044"</f>
        <v>0090044</v>
      </c>
      <c r="I11939">
        <v>1</v>
      </c>
      <c r="K11939">
        <v>16.8</v>
      </c>
      <c r="L11939">
        <v>16.8</v>
      </c>
    </row>
    <row r="11940" spans="1:12" x14ac:dyDescent="0.25">
      <c r="A11940" t="str">
        <f t="shared" si="2584"/>
        <v>89301000</v>
      </c>
      <c r="B11940" t="str">
        <f t="shared" si="2590"/>
        <v>78051000</v>
      </c>
      <c r="C11940" t="str">
        <f t="shared" si="2591"/>
        <v>78051004</v>
      </c>
      <c r="D11940" t="str">
        <f t="shared" si="2592"/>
        <v>809</v>
      </c>
      <c r="E11940" t="str">
        <f t="shared" si="2593"/>
        <v>89301062</v>
      </c>
      <c r="F11940" t="str">
        <f>"495508090"</f>
        <v>495508090</v>
      </c>
      <c r="G11940" s="1">
        <v>44901</v>
      </c>
      <c r="H11940" t="str">
        <f>"0225891"</f>
        <v>0225891</v>
      </c>
      <c r="I11940">
        <v>0.2</v>
      </c>
      <c r="K11940">
        <v>73.540000000000006</v>
      </c>
      <c r="L11940">
        <v>73.540000000000006</v>
      </c>
    </row>
    <row r="11941" spans="1:12" x14ac:dyDescent="0.25">
      <c r="A11941" t="str">
        <f t="shared" si="2584"/>
        <v>89301000</v>
      </c>
      <c r="B11941" t="str">
        <f t="shared" si="2590"/>
        <v>78051000</v>
      </c>
      <c r="C11941" t="str">
        <f t="shared" si="2591"/>
        <v>78051004</v>
      </c>
      <c r="D11941" t="str">
        <f t="shared" si="2592"/>
        <v>809</v>
      </c>
      <c r="E11941" t="str">
        <f t="shared" si="2593"/>
        <v>89301062</v>
      </c>
      <c r="F11941" t="str">
        <f>"495508090"</f>
        <v>495508090</v>
      </c>
      <c r="G11941" s="1">
        <v>44901</v>
      </c>
      <c r="H11941" t="str">
        <f>"0096251"</f>
        <v>0096251</v>
      </c>
      <c r="I11941">
        <v>0.17</v>
      </c>
      <c r="K11941">
        <v>198.83</v>
      </c>
      <c r="L11941">
        <v>198.83</v>
      </c>
    </row>
    <row r="11942" spans="1:12" x14ac:dyDescent="0.25">
      <c r="A11942" t="str">
        <f t="shared" si="2584"/>
        <v>89301000</v>
      </c>
      <c r="B11942" t="str">
        <f t="shared" si="2590"/>
        <v>78051000</v>
      </c>
      <c r="C11942" t="str">
        <f t="shared" si="2591"/>
        <v>78051004</v>
      </c>
      <c r="D11942" t="str">
        <f t="shared" si="2592"/>
        <v>809</v>
      </c>
      <c r="E11942" t="str">
        <f t="shared" si="2593"/>
        <v>89301062</v>
      </c>
      <c r="F11942" t="str">
        <f>"495508090"</f>
        <v>495508090</v>
      </c>
      <c r="G11942" s="1">
        <v>44901</v>
      </c>
      <c r="H11942" t="str">
        <f>"0098943"</f>
        <v>0098943</v>
      </c>
      <c r="I11942">
        <v>1</v>
      </c>
      <c r="K11942">
        <v>293.81</v>
      </c>
      <c r="L11942">
        <v>293.81</v>
      </c>
    </row>
    <row r="11943" spans="1:12" x14ac:dyDescent="0.25">
      <c r="A11943" t="str">
        <f t="shared" si="2584"/>
        <v>89301000</v>
      </c>
      <c r="B11943" t="str">
        <f t="shared" si="2590"/>
        <v>78051000</v>
      </c>
      <c r="C11943" t="str">
        <f t="shared" si="2591"/>
        <v>78051004</v>
      </c>
      <c r="D11943" t="str">
        <f t="shared" si="2592"/>
        <v>809</v>
      </c>
      <c r="E11943" t="str">
        <f t="shared" si="2593"/>
        <v>89301062</v>
      </c>
      <c r="F11943" t="str">
        <f>"530521106"</f>
        <v>530521106</v>
      </c>
      <c r="G11943" s="1">
        <v>44901</v>
      </c>
      <c r="H11943" t="str">
        <f>"89311"</f>
        <v>89311</v>
      </c>
      <c r="I11943">
        <v>1</v>
      </c>
      <c r="J11943">
        <v>936</v>
      </c>
      <c r="K11943">
        <v>0</v>
      </c>
      <c r="L11943">
        <v>1310.4000000000001</v>
      </c>
    </row>
    <row r="11944" spans="1:12" x14ac:dyDescent="0.25">
      <c r="A11944" t="str">
        <f t="shared" si="2584"/>
        <v>89301000</v>
      </c>
      <c r="B11944" t="str">
        <f t="shared" si="2590"/>
        <v>78051000</v>
      </c>
      <c r="C11944" t="str">
        <f t="shared" si="2591"/>
        <v>78051004</v>
      </c>
      <c r="D11944" t="str">
        <f t="shared" si="2592"/>
        <v>809</v>
      </c>
      <c r="E11944" t="str">
        <f t="shared" si="2593"/>
        <v>89301062</v>
      </c>
      <c r="F11944" t="str">
        <f>"530521106"</f>
        <v>530521106</v>
      </c>
      <c r="G11944" s="1">
        <v>44901</v>
      </c>
      <c r="H11944" t="str">
        <f>"0090044"</f>
        <v>0090044</v>
      </c>
      <c r="I11944">
        <v>1</v>
      </c>
      <c r="K11944">
        <v>16.8</v>
      </c>
      <c r="L11944">
        <v>16.8</v>
      </c>
    </row>
    <row r="11945" spans="1:12" x14ac:dyDescent="0.25">
      <c r="A11945" t="str">
        <f t="shared" si="2584"/>
        <v>89301000</v>
      </c>
      <c r="B11945" t="str">
        <f t="shared" si="2590"/>
        <v>78051000</v>
      </c>
      <c r="C11945" t="str">
        <f t="shared" si="2591"/>
        <v>78051004</v>
      </c>
      <c r="D11945" t="str">
        <f t="shared" si="2592"/>
        <v>809</v>
      </c>
      <c r="E11945" t="str">
        <f t="shared" si="2593"/>
        <v>89301062</v>
      </c>
      <c r="F11945" t="str">
        <f>"530521106"</f>
        <v>530521106</v>
      </c>
      <c r="G11945" s="1">
        <v>44901</v>
      </c>
      <c r="H11945" t="str">
        <f>"0225891"</f>
        <v>0225891</v>
      </c>
      <c r="I11945">
        <v>0.2</v>
      </c>
      <c r="K11945">
        <v>73.540000000000006</v>
      </c>
      <c r="L11945">
        <v>73.540000000000006</v>
      </c>
    </row>
    <row r="11946" spans="1:12" x14ac:dyDescent="0.25">
      <c r="A11946" t="str">
        <f t="shared" si="2584"/>
        <v>89301000</v>
      </c>
      <c r="B11946" t="str">
        <f t="shared" si="2590"/>
        <v>78051000</v>
      </c>
      <c r="C11946" t="str">
        <f t="shared" si="2591"/>
        <v>78051004</v>
      </c>
      <c r="D11946" t="str">
        <f t="shared" si="2592"/>
        <v>809</v>
      </c>
      <c r="E11946" t="str">
        <f t="shared" si="2593"/>
        <v>89301062</v>
      </c>
      <c r="F11946" t="str">
        <f>"530521106"</f>
        <v>530521106</v>
      </c>
      <c r="G11946" s="1">
        <v>44901</v>
      </c>
      <c r="H11946" t="str">
        <f>"0096251"</f>
        <v>0096251</v>
      </c>
      <c r="I11946">
        <v>0.17</v>
      </c>
      <c r="K11946">
        <v>198.83</v>
      </c>
      <c r="L11946">
        <v>198.83</v>
      </c>
    </row>
    <row r="11947" spans="1:12" x14ac:dyDescent="0.25">
      <c r="A11947" t="str">
        <f t="shared" si="2584"/>
        <v>89301000</v>
      </c>
      <c r="B11947" t="str">
        <f t="shared" si="2590"/>
        <v>78051000</v>
      </c>
      <c r="C11947" t="str">
        <f t="shared" si="2591"/>
        <v>78051004</v>
      </c>
      <c r="D11947" t="str">
        <f t="shared" si="2592"/>
        <v>809</v>
      </c>
      <c r="E11947" t="str">
        <f t="shared" si="2593"/>
        <v>89301062</v>
      </c>
      <c r="F11947" t="str">
        <f>"530521106"</f>
        <v>530521106</v>
      </c>
      <c r="G11947" s="1">
        <v>44901</v>
      </c>
      <c r="H11947" t="str">
        <f>"0098943"</f>
        <v>0098943</v>
      </c>
      <c r="I11947">
        <v>1</v>
      </c>
      <c r="K11947">
        <v>293.81</v>
      </c>
      <c r="L11947">
        <v>293.81</v>
      </c>
    </row>
    <row r="11948" spans="1:12" x14ac:dyDescent="0.25">
      <c r="A11948" t="str">
        <f t="shared" si="2584"/>
        <v>89301000</v>
      </c>
      <c r="B11948" t="str">
        <f t="shared" si="2590"/>
        <v>78051000</v>
      </c>
      <c r="C11948" t="str">
        <f t="shared" si="2591"/>
        <v>78051004</v>
      </c>
      <c r="D11948" t="str">
        <f t="shared" si="2592"/>
        <v>809</v>
      </c>
      <c r="E11948" t="str">
        <f t="shared" si="2593"/>
        <v>89301062</v>
      </c>
      <c r="F11948" t="str">
        <f>"7258175342"</f>
        <v>7258175342</v>
      </c>
      <c r="G11948" s="1">
        <v>44909</v>
      </c>
      <c r="H11948" t="str">
        <f>"89311"</f>
        <v>89311</v>
      </c>
      <c r="I11948">
        <v>1</v>
      </c>
      <c r="J11948">
        <v>936</v>
      </c>
      <c r="K11948">
        <v>0</v>
      </c>
      <c r="L11948">
        <v>1310.4000000000001</v>
      </c>
    </row>
    <row r="11949" spans="1:12" x14ac:dyDescent="0.25">
      <c r="A11949" t="str">
        <f t="shared" si="2584"/>
        <v>89301000</v>
      </c>
      <c r="B11949" t="str">
        <f t="shared" si="2590"/>
        <v>78051000</v>
      </c>
      <c r="C11949" t="str">
        <f t="shared" si="2591"/>
        <v>78051004</v>
      </c>
      <c r="D11949" t="str">
        <f t="shared" si="2592"/>
        <v>809</v>
      </c>
      <c r="E11949" t="str">
        <f t="shared" si="2593"/>
        <v>89301062</v>
      </c>
      <c r="F11949" t="str">
        <f>"7258175342"</f>
        <v>7258175342</v>
      </c>
      <c r="G11949" s="1">
        <v>44909</v>
      </c>
      <c r="H11949" t="str">
        <f>"0090044"</f>
        <v>0090044</v>
      </c>
      <c r="I11949">
        <v>1</v>
      </c>
      <c r="K11949">
        <v>16.8</v>
      </c>
      <c r="L11949">
        <v>16.8</v>
      </c>
    </row>
    <row r="11950" spans="1:12" x14ac:dyDescent="0.25">
      <c r="A11950" t="str">
        <f t="shared" si="2584"/>
        <v>89301000</v>
      </c>
      <c r="B11950" t="str">
        <f t="shared" si="2590"/>
        <v>78051000</v>
      </c>
      <c r="C11950" t="str">
        <f t="shared" si="2591"/>
        <v>78051004</v>
      </c>
      <c r="D11950" t="str">
        <f t="shared" si="2592"/>
        <v>809</v>
      </c>
      <c r="E11950" t="str">
        <f t="shared" si="2593"/>
        <v>89301062</v>
      </c>
      <c r="F11950" t="str">
        <f>"7258175342"</f>
        <v>7258175342</v>
      </c>
      <c r="G11950" s="1">
        <v>44909</v>
      </c>
      <c r="H11950" t="str">
        <f>"0225891"</f>
        <v>0225891</v>
      </c>
      <c r="I11950">
        <v>0.2</v>
      </c>
      <c r="K11950">
        <v>73.540000000000006</v>
      </c>
      <c r="L11950">
        <v>73.540000000000006</v>
      </c>
    </row>
    <row r="11951" spans="1:12" x14ac:dyDescent="0.25">
      <c r="A11951" t="str">
        <f t="shared" si="2584"/>
        <v>89301000</v>
      </c>
      <c r="B11951" t="str">
        <f t="shared" si="2590"/>
        <v>78051000</v>
      </c>
      <c r="C11951" t="str">
        <f t="shared" si="2591"/>
        <v>78051004</v>
      </c>
      <c r="D11951" t="str">
        <f t="shared" si="2592"/>
        <v>809</v>
      </c>
      <c r="E11951" t="str">
        <f t="shared" si="2593"/>
        <v>89301062</v>
      </c>
      <c r="F11951" t="str">
        <f>"7258175342"</f>
        <v>7258175342</v>
      </c>
      <c r="G11951" s="1">
        <v>44909</v>
      </c>
      <c r="H11951" t="str">
        <f>"0096251"</f>
        <v>0096251</v>
      </c>
      <c r="I11951">
        <v>0.17</v>
      </c>
      <c r="K11951">
        <v>198.83</v>
      </c>
      <c r="L11951">
        <v>198.83</v>
      </c>
    </row>
    <row r="11952" spans="1:12" x14ac:dyDescent="0.25">
      <c r="A11952" t="str">
        <f t="shared" si="2584"/>
        <v>89301000</v>
      </c>
      <c r="B11952" t="str">
        <f t="shared" si="2590"/>
        <v>78051000</v>
      </c>
      <c r="C11952" t="str">
        <f t="shared" si="2591"/>
        <v>78051004</v>
      </c>
      <c r="D11952" t="str">
        <f t="shared" si="2592"/>
        <v>809</v>
      </c>
      <c r="E11952" t="str">
        <f t="shared" si="2593"/>
        <v>89301062</v>
      </c>
      <c r="F11952" t="str">
        <f>"7258175342"</f>
        <v>7258175342</v>
      </c>
      <c r="G11952" s="1">
        <v>44909</v>
      </c>
      <c r="H11952" t="str">
        <f>"0098943"</f>
        <v>0098943</v>
      </c>
      <c r="I11952">
        <v>1</v>
      </c>
      <c r="K11952">
        <v>293.81</v>
      </c>
      <c r="L11952">
        <v>293.81</v>
      </c>
    </row>
    <row r="11953" spans="1:12" x14ac:dyDescent="0.25">
      <c r="A11953" t="str">
        <f t="shared" si="2584"/>
        <v>89301000</v>
      </c>
      <c r="B11953" t="str">
        <f t="shared" si="2590"/>
        <v>78051000</v>
      </c>
      <c r="C11953" t="str">
        <f t="shared" si="2591"/>
        <v>78051004</v>
      </c>
      <c r="D11953" t="str">
        <f t="shared" si="2592"/>
        <v>809</v>
      </c>
      <c r="E11953" t="str">
        <f t="shared" si="2593"/>
        <v>89301062</v>
      </c>
      <c r="F11953" t="str">
        <f>"7207205698"</f>
        <v>7207205698</v>
      </c>
      <c r="G11953" s="1">
        <v>44909</v>
      </c>
      <c r="H11953" t="str">
        <f>"89311"</f>
        <v>89311</v>
      </c>
      <c r="I11953">
        <v>1</v>
      </c>
      <c r="J11953">
        <v>936</v>
      </c>
      <c r="K11953">
        <v>0</v>
      </c>
      <c r="L11953">
        <v>1310.4000000000001</v>
      </c>
    </row>
    <row r="11954" spans="1:12" x14ac:dyDescent="0.25">
      <c r="A11954" t="str">
        <f t="shared" si="2584"/>
        <v>89301000</v>
      </c>
      <c r="B11954" t="str">
        <f t="shared" si="2590"/>
        <v>78051000</v>
      </c>
      <c r="C11954" t="str">
        <f t="shared" si="2591"/>
        <v>78051004</v>
      </c>
      <c r="D11954" t="str">
        <f t="shared" si="2592"/>
        <v>809</v>
      </c>
      <c r="E11954" t="str">
        <f t="shared" si="2593"/>
        <v>89301062</v>
      </c>
      <c r="F11954" t="str">
        <f>"7207205698"</f>
        <v>7207205698</v>
      </c>
      <c r="G11954" s="1">
        <v>44909</v>
      </c>
      <c r="H11954" t="str">
        <f>"0090044"</f>
        <v>0090044</v>
      </c>
      <c r="I11954">
        <v>1</v>
      </c>
      <c r="K11954">
        <v>16.8</v>
      </c>
      <c r="L11954">
        <v>16.8</v>
      </c>
    </row>
    <row r="11955" spans="1:12" x14ac:dyDescent="0.25">
      <c r="A11955" t="str">
        <f t="shared" si="2584"/>
        <v>89301000</v>
      </c>
      <c r="B11955" t="str">
        <f t="shared" si="2590"/>
        <v>78051000</v>
      </c>
      <c r="C11955" t="str">
        <f t="shared" si="2591"/>
        <v>78051004</v>
      </c>
      <c r="D11955" t="str">
        <f t="shared" si="2592"/>
        <v>809</v>
      </c>
      <c r="E11955" t="str">
        <f t="shared" si="2593"/>
        <v>89301062</v>
      </c>
      <c r="F11955" t="str">
        <f>"7207205698"</f>
        <v>7207205698</v>
      </c>
      <c r="G11955" s="1">
        <v>44909</v>
      </c>
      <c r="H11955" t="str">
        <f>"0225891"</f>
        <v>0225891</v>
      </c>
      <c r="I11955">
        <v>0.2</v>
      </c>
      <c r="K11955">
        <v>73.540000000000006</v>
      </c>
      <c r="L11955">
        <v>73.540000000000006</v>
      </c>
    </row>
    <row r="11956" spans="1:12" x14ac:dyDescent="0.25">
      <c r="A11956" t="str">
        <f t="shared" si="2584"/>
        <v>89301000</v>
      </c>
      <c r="B11956" t="str">
        <f t="shared" si="2590"/>
        <v>78051000</v>
      </c>
      <c r="C11956" t="str">
        <f t="shared" si="2591"/>
        <v>78051004</v>
      </c>
      <c r="D11956" t="str">
        <f t="shared" si="2592"/>
        <v>809</v>
      </c>
      <c r="E11956" t="str">
        <f t="shared" si="2593"/>
        <v>89301062</v>
      </c>
      <c r="F11956" t="str">
        <f>"7207205698"</f>
        <v>7207205698</v>
      </c>
      <c r="G11956" s="1">
        <v>44909</v>
      </c>
      <c r="H11956" t="str">
        <f>"0096251"</f>
        <v>0096251</v>
      </c>
      <c r="I11956">
        <v>0.17</v>
      </c>
      <c r="K11956">
        <v>198.83</v>
      </c>
      <c r="L11956">
        <v>198.83</v>
      </c>
    </row>
    <row r="11957" spans="1:12" x14ac:dyDescent="0.25">
      <c r="A11957" t="str">
        <f t="shared" si="2584"/>
        <v>89301000</v>
      </c>
      <c r="B11957" t="str">
        <f t="shared" si="2590"/>
        <v>78051000</v>
      </c>
      <c r="C11957" t="str">
        <f t="shared" si="2591"/>
        <v>78051004</v>
      </c>
      <c r="D11957" t="str">
        <f t="shared" si="2592"/>
        <v>809</v>
      </c>
      <c r="E11957" t="str">
        <f t="shared" si="2593"/>
        <v>89301062</v>
      </c>
      <c r="F11957" t="str">
        <f>"7207205698"</f>
        <v>7207205698</v>
      </c>
      <c r="G11957" s="1">
        <v>44909</v>
      </c>
      <c r="H11957" t="str">
        <f>"0098943"</f>
        <v>0098943</v>
      </c>
      <c r="I11957">
        <v>1</v>
      </c>
      <c r="K11957">
        <v>293.81</v>
      </c>
      <c r="L11957">
        <v>293.81</v>
      </c>
    </row>
    <row r="11958" spans="1:12" x14ac:dyDescent="0.25">
      <c r="A11958" t="str">
        <f t="shared" si="2584"/>
        <v>89301000</v>
      </c>
      <c r="B11958" t="str">
        <f t="shared" si="2590"/>
        <v>78051000</v>
      </c>
      <c r="C11958" t="str">
        <f t="shared" si="2591"/>
        <v>78051004</v>
      </c>
      <c r="D11958" t="str">
        <f t="shared" si="2592"/>
        <v>809</v>
      </c>
      <c r="E11958" t="str">
        <f t="shared" si="2593"/>
        <v>89301062</v>
      </c>
      <c r="F11958" t="str">
        <f>"7959254457"</f>
        <v>7959254457</v>
      </c>
      <c r="G11958" s="1">
        <v>44909</v>
      </c>
      <c r="H11958" t="str">
        <f>"89311"</f>
        <v>89311</v>
      </c>
      <c r="I11958">
        <v>1</v>
      </c>
      <c r="J11958">
        <v>936</v>
      </c>
      <c r="K11958">
        <v>0</v>
      </c>
      <c r="L11958">
        <v>1310.4000000000001</v>
      </c>
    </row>
    <row r="11959" spans="1:12" x14ac:dyDescent="0.25">
      <c r="A11959" t="str">
        <f t="shared" si="2584"/>
        <v>89301000</v>
      </c>
      <c r="B11959" t="str">
        <f t="shared" si="2590"/>
        <v>78051000</v>
      </c>
      <c r="C11959" t="str">
        <f t="shared" si="2591"/>
        <v>78051004</v>
      </c>
      <c r="D11959" t="str">
        <f t="shared" si="2592"/>
        <v>809</v>
      </c>
      <c r="E11959" t="str">
        <f t="shared" si="2593"/>
        <v>89301062</v>
      </c>
      <c r="F11959" t="str">
        <f>"7959254457"</f>
        <v>7959254457</v>
      </c>
      <c r="G11959" s="1">
        <v>44909</v>
      </c>
      <c r="H11959" t="str">
        <f>"0090044"</f>
        <v>0090044</v>
      </c>
      <c r="I11959">
        <v>1</v>
      </c>
      <c r="K11959">
        <v>16.8</v>
      </c>
      <c r="L11959">
        <v>16.8</v>
      </c>
    </row>
    <row r="11960" spans="1:12" x14ac:dyDescent="0.25">
      <c r="A11960" t="str">
        <f t="shared" si="2584"/>
        <v>89301000</v>
      </c>
      <c r="B11960" t="str">
        <f t="shared" si="2590"/>
        <v>78051000</v>
      </c>
      <c r="C11960" t="str">
        <f t="shared" si="2591"/>
        <v>78051004</v>
      </c>
      <c r="D11960" t="str">
        <f t="shared" si="2592"/>
        <v>809</v>
      </c>
      <c r="E11960" t="str">
        <f t="shared" si="2593"/>
        <v>89301062</v>
      </c>
      <c r="F11960" t="str">
        <f>"7959254457"</f>
        <v>7959254457</v>
      </c>
      <c r="G11960" s="1">
        <v>44909</v>
      </c>
      <c r="H11960" t="str">
        <f>"0225891"</f>
        <v>0225891</v>
      </c>
      <c r="I11960">
        <v>0.2</v>
      </c>
      <c r="K11960">
        <v>73.540000000000006</v>
      </c>
      <c r="L11960">
        <v>73.540000000000006</v>
      </c>
    </row>
    <row r="11961" spans="1:12" x14ac:dyDescent="0.25">
      <c r="A11961" t="str">
        <f t="shared" si="2584"/>
        <v>89301000</v>
      </c>
      <c r="B11961" t="str">
        <f t="shared" si="2590"/>
        <v>78051000</v>
      </c>
      <c r="C11961" t="str">
        <f t="shared" si="2591"/>
        <v>78051004</v>
      </c>
      <c r="D11961" t="str">
        <f t="shared" si="2592"/>
        <v>809</v>
      </c>
      <c r="E11961" t="str">
        <f t="shared" si="2593"/>
        <v>89301062</v>
      </c>
      <c r="F11961" t="str">
        <f>"7959254457"</f>
        <v>7959254457</v>
      </c>
      <c r="G11961" s="1">
        <v>44909</v>
      </c>
      <c r="H11961" t="str">
        <f>"0096251"</f>
        <v>0096251</v>
      </c>
      <c r="I11961">
        <v>0.17</v>
      </c>
      <c r="K11961">
        <v>198.83</v>
      </c>
      <c r="L11961">
        <v>198.83</v>
      </c>
    </row>
    <row r="11962" spans="1:12" x14ac:dyDescent="0.25">
      <c r="A11962" t="str">
        <f t="shared" si="2584"/>
        <v>89301000</v>
      </c>
      <c r="B11962" t="str">
        <f t="shared" si="2590"/>
        <v>78051000</v>
      </c>
      <c r="C11962" t="str">
        <f t="shared" si="2591"/>
        <v>78051004</v>
      </c>
      <c r="D11962" t="str">
        <f t="shared" si="2592"/>
        <v>809</v>
      </c>
      <c r="E11962" t="str">
        <f t="shared" si="2593"/>
        <v>89301062</v>
      </c>
      <c r="F11962" t="str">
        <f>"7959254457"</f>
        <v>7959254457</v>
      </c>
      <c r="G11962" s="1">
        <v>44909</v>
      </c>
      <c r="H11962" t="str">
        <f>"0098943"</f>
        <v>0098943</v>
      </c>
      <c r="I11962">
        <v>1</v>
      </c>
      <c r="K11962">
        <v>293.81</v>
      </c>
      <c r="L11962">
        <v>293.81</v>
      </c>
    </row>
    <row r="11963" spans="1:12" x14ac:dyDescent="0.25">
      <c r="A11963" t="str">
        <f t="shared" si="2584"/>
        <v>89301000</v>
      </c>
      <c r="B11963" t="str">
        <f t="shared" si="2590"/>
        <v>78051000</v>
      </c>
      <c r="C11963" t="str">
        <f t="shared" si="2591"/>
        <v>78051004</v>
      </c>
      <c r="D11963" t="str">
        <f t="shared" si="2592"/>
        <v>809</v>
      </c>
      <c r="E11963" t="str">
        <f t="shared" si="2593"/>
        <v>89301062</v>
      </c>
      <c r="F11963" t="str">
        <f>"6505120556"</f>
        <v>6505120556</v>
      </c>
      <c r="G11963" s="1">
        <v>44909</v>
      </c>
      <c r="H11963" t="str">
        <f>"89311"</f>
        <v>89311</v>
      </c>
      <c r="I11963">
        <v>1</v>
      </c>
      <c r="J11963">
        <v>936</v>
      </c>
      <c r="K11963">
        <v>0</v>
      </c>
      <c r="L11963">
        <v>1310.4000000000001</v>
      </c>
    </row>
    <row r="11964" spans="1:12" x14ac:dyDescent="0.25">
      <c r="A11964" t="str">
        <f t="shared" si="2584"/>
        <v>89301000</v>
      </c>
      <c r="B11964" t="str">
        <f t="shared" si="2590"/>
        <v>78051000</v>
      </c>
      <c r="C11964" t="str">
        <f t="shared" si="2591"/>
        <v>78051004</v>
      </c>
      <c r="D11964" t="str">
        <f t="shared" si="2592"/>
        <v>809</v>
      </c>
      <c r="E11964" t="str">
        <f t="shared" si="2593"/>
        <v>89301062</v>
      </c>
      <c r="F11964" t="str">
        <f>"6505120556"</f>
        <v>6505120556</v>
      </c>
      <c r="G11964" s="1">
        <v>44909</v>
      </c>
      <c r="H11964" t="str">
        <f>"0090044"</f>
        <v>0090044</v>
      </c>
      <c r="I11964">
        <v>1</v>
      </c>
      <c r="K11964">
        <v>16.8</v>
      </c>
      <c r="L11964">
        <v>16.8</v>
      </c>
    </row>
    <row r="11965" spans="1:12" x14ac:dyDescent="0.25">
      <c r="A11965" t="str">
        <f t="shared" si="2584"/>
        <v>89301000</v>
      </c>
      <c r="B11965" t="str">
        <f t="shared" ref="B11965:B11996" si="2594">"78051000"</f>
        <v>78051000</v>
      </c>
      <c r="C11965" t="str">
        <f t="shared" ref="C11965:C11992" si="2595">"78051004"</f>
        <v>78051004</v>
      </c>
      <c r="D11965" t="str">
        <f t="shared" ref="D11965:D11992" si="2596">"809"</f>
        <v>809</v>
      </c>
      <c r="E11965" t="str">
        <f t="shared" ref="E11965:E11996" si="2597">"89301062"</f>
        <v>89301062</v>
      </c>
      <c r="F11965" t="str">
        <f>"6505120556"</f>
        <v>6505120556</v>
      </c>
      <c r="G11965" s="1">
        <v>44909</v>
      </c>
      <c r="H11965" t="str">
        <f>"0225891"</f>
        <v>0225891</v>
      </c>
      <c r="I11965">
        <v>0.2</v>
      </c>
      <c r="K11965">
        <v>73.540000000000006</v>
      </c>
      <c r="L11965">
        <v>73.540000000000006</v>
      </c>
    </row>
    <row r="11966" spans="1:12" x14ac:dyDescent="0.25">
      <c r="A11966" t="str">
        <f t="shared" si="2584"/>
        <v>89301000</v>
      </c>
      <c r="B11966" t="str">
        <f t="shared" si="2594"/>
        <v>78051000</v>
      </c>
      <c r="C11966" t="str">
        <f t="shared" si="2595"/>
        <v>78051004</v>
      </c>
      <c r="D11966" t="str">
        <f t="shared" si="2596"/>
        <v>809</v>
      </c>
      <c r="E11966" t="str">
        <f t="shared" si="2597"/>
        <v>89301062</v>
      </c>
      <c r="F11966" t="str">
        <f>"6505120556"</f>
        <v>6505120556</v>
      </c>
      <c r="G11966" s="1">
        <v>44909</v>
      </c>
      <c r="H11966" t="str">
        <f>"0096251"</f>
        <v>0096251</v>
      </c>
      <c r="I11966">
        <v>0.17</v>
      </c>
      <c r="K11966">
        <v>198.83</v>
      </c>
      <c r="L11966">
        <v>198.83</v>
      </c>
    </row>
    <row r="11967" spans="1:12" x14ac:dyDescent="0.25">
      <c r="A11967" t="str">
        <f t="shared" si="2584"/>
        <v>89301000</v>
      </c>
      <c r="B11967" t="str">
        <f t="shared" si="2594"/>
        <v>78051000</v>
      </c>
      <c r="C11967" t="str">
        <f t="shared" si="2595"/>
        <v>78051004</v>
      </c>
      <c r="D11967" t="str">
        <f t="shared" si="2596"/>
        <v>809</v>
      </c>
      <c r="E11967" t="str">
        <f t="shared" si="2597"/>
        <v>89301062</v>
      </c>
      <c r="F11967" t="str">
        <f>"6505120556"</f>
        <v>6505120556</v>
      </c>
      <c r="G11967" s="1">
        <v>44909</v>
      </c>
      <c r="H11967" t="str">
        <f>"0098943"</f>
        <v>0098943</v>
      </c>
      <c r="I11967">
        <v>1</v>
      </c>
      <c r="K11967">
        <v>293.81</v>
      </c>
      <c r="L11967">
        <v>293.81</v>
      </c>
    </row>
    <row r="11968" spans="1:12" x14ac:dyDescent="0.25">
      <c r="A11968" t="str">
        <f t="shared" si="2584"/>
        <v>89301000</v>
      </c>
      <c r="B11968" t="str">
        <f t="shared" si="2594"/>
        <v>78051000</v>
      </c>
      <c r="C11968" t="str">
        <f t="shared" si="2595"/>
        <v>78051004</v>
      </c>
      <c r="D11968" t="str">
        <f t="shared" si="2596"/>
        <v>809</v>
      </c>
      <c r="E11968" t="str">
        <f t="shared" si="2597"/>
        <v>89301062</v>
      </c>
      <c r="F11968" t="str">
        <f>"7753265322"</f>
        <v>7753265322</v>
      </c>
      <c r="G11968" s="1">
        <v>44909</v>
      </c>
      <c r="H11968" t="str">
        <f>"89311"</f>
        <v>89311</v>
      </c>
      <c r="I11968">
        <v>1</v>
      </c>
      <c r="J11968">
        <v>936</v>
      </c>
      <c r="K11968">
        <v>0</v>
      </c>
      <c r="L11968">
        <v>1310.4000000000001</v>
      </c>
    </row>
    <row r="11969" spans="1:12" x14ac:dyDescent="0.25">
      <c r="A11969" t="str">
        <f t="shared" si="2584"/>
        <v>89301000</v>
      </c>
      <c r="B11969" t="str">
        <f t="shared" si="2594"/>
        <v>78051000</v>
      </c>
      <c r="C11969" t="str">
        <f t="shared" si="2595"/>
        <v>78051004</v>
      </c>
      <c r="D11969" t="str">
        <f t="shared" si="2596"/>
        <v>809</v>
      </c>
      <c r="E11969" t="str">
        <f t="shared" si="2597"/>
        <v>89301062</v>
      </c>
      <c r="F11969" t="str">
        <f>"7753265322"</f>
        <v>7753265322</v>
      </c>
      <c r="G11969" s="1">
        <v>44909</v>
      </c>
      <c r="H11969" t="str">
        <f>"0090044"</f>
        <v>0090044</v>
      </c>
      <c r="I11969">
        <v>1</v>
      </c>
      <c r="K11969">
        <v>16.8</v>
      </c>
      <c r="L11969">
        <v>16.8</v>
      </c>
    </row>
    <row r="11970" spans="1:12" x14ac:dyDescent="0.25">
      <c r="A11970" t="str">
        <f t="shared" ref="A11970:A12033" si="2598">"89301000"</f>
        <v>89301000</v>
      </c>
      <c r="B11970" t="str">
        <f t="shared" si="2594"/>
        <v>78051000</v>
      </c>
      <c r="C11970" t="str">
        <f t="shared" si="2595"/>
        <v>78051004</v>
      </c>
      <c r="D11970" t="str">
        <f t="shared" si="2596"/>
        <v>809</v>
      </c>
      <c r="E11970" t="str">
        <f t="shared" si="2597"/>
        <v>89301062</v>
      </c>
      <c r="F11970" t="str">
        <f>"7753265322"</f>
        <v>7753265322</v>
      </c>
      <c r="G11970" s="1">
        <v>44909</v>
      </c>
      <c r="H11970" t="str">
        <f>"0225891"</f>
        <v>0225891</v>
      </c>
      <c r="I11970">
        <v>0.2</v>
      </c>
      <c r="K11970">
        <v>73.540000000000006</v>
      </c>
      <c r="L11970">
        <v>73.540000000000006</v>
      </c>
    </row>
    <row r="11971" spans="1:12" x14ac:dyDescent="0.25">
      <c r="A11971" t="str">
        <f t="shared" si="2598"/>
        <v>89301000</v>
      </c>
      <c r="B11971" t="str">
        <f t="shared" si="2594"/>
        <v>78051000</v>
      </c>
      <c r="C11971" t="str">
        <f t="shared" si="2595"/>
        <v>78051004</v>
      </c>
      <c r="D11971" t="str">
        <f t="shared" si="2596"/>
        <v>809</v>
      </c>
      <c r="E11971" t="str">
        <f t="shared" si="2597"/>
        <v>89301062</v>
      </c>
      <c r="F11971" t="str">
        <f>"7753265322"</f>
        <v>7753265322</v>
      </c>
      <c r="G11971" s="1">
        <v>44909</v>
      </c>
      <c r="H11971" t="str">
        <f>"0096251"</f>
        <v>0096251</v>
      </c>
      <c r="I11971">
        <v>0.17</v>
      </c>
      <c r="K11971">
        <v>198.83</v>
      </c>
      <c r="L11971">
        <v>198.83</v>
      </c>
    </row>
    <row r="11972" spans="1:12" x14ac:dyDescent="0.25">
      <c r="A11972" t="str">
        <f t="shared" si="2598"/>
        <v>89301000</v>
      </c>
      <c r="B11972" t="str">
        <f t="shared" si="2594"/>
        <v>78051000</v>
      </c>
      <c r="C11972" t="str">
        <f t="shared" si="2595"/>
        <v>78051004</v>
      </c>
      <c r="D11972" t="str">
        <f t="shared" si="2596"/>
        <v>809</v>
      </c>
      <c r="E11972" t="str">
        <f t="shared" si="2597"/>
        <v>89301062</v>
      </c>
      <c r="F11972" t="str">
        <f>"7753265322"</f>
        <v>7753265322</v>
      </c>
      <c r="G11972" s="1">
        <v>44909</v>
      </c>
      <c r="H11972" t="str">
        <f>"0098943"</f>
        <v>0098943</v>
      </c>
      <c r="I11972">
        <v>1</v>
      </c>
      <c r="K11972">
        <v>293.81</v>
      </c>
      <c r="L11972">
        <v>293.81</v>
      </c>
    </row>
    <row r="11973" spans="1:12" x14ac:dyDescent="0.25">
      <c r="A11973" t="str">
        <f t="shared" si="2598"/>
        <v>89301000</v>
      </c>
      <c r="B11973" t="str">
        <f t="shared" si="2594"/>
        <v>78051000</v>
      </c>
      <c r="C11973" t="str">
        <f t="shared" si="2595"/>
        <v>78051004</v>
      </c>
      <c r="D11973" t="str">
        <f t="shared" si="2596"/>
        <v>809</v>
      </c>
      <c r="E11973" t="str">
        <f t="shared" si="2597"/>
        <v>89301062</v>
      </c>
      <c r="F11973" t="str">
        <f>"446109471"</f>
        <v>446109471</v>
      </c>
      <c r="G11973" s="1">
        <v>44915</v>
      </c>
      <c r="H11973" t="str">
        <f>"89311"</f>
        <v>89311</v>
      </c>
      <c r="I11973">
        <v>1</v>
      </c>
      <c r="J11973">
        <v>936</v>
      </c>
      <c r="K11973">
        <v>0</v>
      </c>
      <c r="L11973">
        <v>1310.4000000000001</v>
      </c>
    </row>
    <row r="11974" spans="1:12" x14ac:dyDescent="0.25">
      <c r="A11974" t="str">
        <f t="shared" si="2598"/>
        <v>89301000</v>
      </c>
      <c r="B11974" t="str">
        <f t="shared" si="2594"/>
        <v>78051000</v>
      </c>
      <c r="C11974" t="str">
        <f t="shared" si="2595"/>
        <v>78051004</v>
      </c>
      <c r="D11974" t="str">
        <f t="shared" si="2596"/>
        <v>809</v>
      </c>
      <c r="E11974" t="str">
        <f t="shared" si="2597"/>
        <v>89301062</v>
      </c>
      <c r="F11974" t="str">
        <f>"446109471"</f>
        <v>446109471</v>
      </c>
      <c r="G11974" s="1">
        <v>44915</v>
      </c>
      <c r="H11974" t="str">
        <f>"0090044"</f>
        <v>0090044</v>
      </c>
      <c r="I11974">
        <v>1</v>
      </c>
      <c r="K11974">
        <v>16.8</v>
      </c>
      <c r="L11974">
        <v>16.8</v>
      </c>
    </row>
    <row r="11975" spans="1:12" x14ac:dyDescent="0.25">
      <c r="A11975" t="str">
        <f t="shared" si="2598"/>
        <v>89301000</v>
      </c>
      <c r="B11975" t="str">
        <f t="shared" si="2594"/>
        <v>78051000</v>
      </c>
      <c r="C11975" t="str">
        <f t="shared" si="2595"/>
        <v>78051004</v>
      </c>
      <c r="D11975" t="str">
        <f t="shared" si="2596"/>
        <v>809</v>
      </c>
      <c r="E11975" t="str">
        <f t="shared" si="2597"/>
        <v>89301062</v>
      </c>
      <c r="F11975" t="str">
        <f>"446109471"</f>
        <v>446109471</v>
      </c>
      <c r="G11975" s="1">
        <v>44915</v>
      </c>
      <c r="H11975" t="str">
        <f>"0225891"</f>
        <v>0225891</v>
      </c>
      <c r="I11975">
        <v>0.2</v>
      </c>
      <c r="K11975">
        <v>73.540000000000006</v>
      </c>
      <c r="L11975">
        <v>73.540000000000006</v>
      </c>
    </row>
    <row r="11976" spans="1:12" x14ac:dyDescent="0.25">
      <c r="A11976" t="str">
        <f t="shared" si="2598"/>
        <v>89301000</v>
      </c>
      <c r="B11976" t="str">
        <f t="shared" si="2594"/>
        <v>78051000</v>
      </c>
      <c r="C11976" t="str">
        <f t="shared" si="2595"/>
        <v>78051004</v>
      </c>
      <c r="D11976" t="str">
        <f t="shared" si="2596"/>
        <v>809</v>
      </c>
      <c r="E11976" t="str">
        <f t="shared" si="2597"/>
        <v>89301062</v>
      </c>
      <c r="F11976" t="str">
        <f>"446109471"</f>
        <v>446109471</v>
      </c>
      <c r="G11976" s="1">
        <v>44915</v>
      </c>
      <c r="H11976" t="str">
        <f>"0096251"</f>
        <v>0096251</v>
      </c>
      <c r="I11976">
        <v>0.17</v>
      </c>
      <c r="K11976">
        <v>198.83</v>
      </c>
      <c r="L11976">
        <v>198.83</v>
      </c>
    </row>
    <row r="11977" spans="1:12" x14ac:dyDescent="0.25">
      <c r="A11977" t="str">
        <f t="shared" si="2598"/>
        <v>89301000</v>
      </c>
      <c r="B11977" t="str">
        <f t="shared" si="2594"/>
        <v>78051000</v>
      </c>
      <c r="C11977" t="str">
        <f t="shared" si="2595"/>
        <v>78051004</v>
      </c>
      <c r="D11977" t="str">
        <f t="shared" si="2596"/>
        <v>809</v>
      </c>
      <c r="E11977" t="str">
        <f t="shared" si="2597"/>
        <v>89301062</v>
      </c>
      <c r="F11977" t="str">
        <f>"446109471"</f>
        <v>446109471</v>
      </c>
      <c r="G11977" s="1">
        <v>44915</v>
      </c>
      <c r="H11977" t="str">
        <f>"0098943"</f>
        <v>0098943</v>
      </c>
      <c r="I11977">
        <v>1</v>
      </c>
      <c r="K11977">
        <v>293.81</v>
      </c>
      <c r="L11977">
        <v>293.81</v>
      </c>
    </row>
    <row r="11978" spans="1:12" x14ac:dyDescent="0.25">
      <c r="A11978" t="str">
        <f t="shared" si="2598"/>
        <v>89301000</v>
      </c>
      <c r="B11978" t="str">
        <f t="shared" si="2594"/>
        <v>78051000</v>
      </c>
      <c r="C11978" t="str">
        <f t="shared" si="2595"/>
        <v>78051004</v>
      </c>
      <c r="D11978" t="str">
        <f t="shared" si="2596"/>
        <v>809</v>
      </c>
      <c r="E11978" t="str">
        <f t="shared" si="2597"/>
        <v>89301062</v>
      </c>
      <c r="F11978" t="str">
        <f>"5805141584"</f>
        <v>5805141584</v>
      </c>
      <c r="G11978" s="1">
        <v>44915</v>
      </c>
      <c r="H11978" t="str">
        <f>"89311"</f>
        <v>89311</v>
      </c>
      <c r="I11978">
        <v>1</v>
      </c>
      <c r="J11978">
        <v>936</v>
      </c>
      <c r="K11978">
        <v>0</v>
      </c>
      <c r="L11978">
        <v>1310.4000000000001</v>
      </c>
    </row>
    <row r="11979" spans="1:12" x14ac:dyDescent="0.25">
      <c r="A11979" t="str">
        <f t="shared" si="2598"/>
        <v>89301000</v>
      </c>
      <c r="B11979" t="str">
        <f t="shared" si="2594"/>
        <v>78051000</v>
      </c>
      <c r="C11979" t="str">
        <f t="shared" si="2595"/>
        <v>78051004</v>
      </c>
      <c r="D11979" t="str">
        <f t="shared" si="2596"/>
        <v>809</v>
      </c>
      <c r="E11979" t="str">
        <f t="shared" si="2597"/>
        <v>89301062</v>
      </c>
      <c r="F11979" t="str">
        <f>"5805141584"</f>
        <v>5805141584</v>
      </c>
      <c r="G11979" s="1">
        <v>44915</v>
      </c>
      <c r="H11979" t="str">
        <f>"0090044"</f>
        <v>0090044</v>
      </c>
      <c r="I11979">
        <v>1</v>
      </c>
      <c r="K11979">
        <v>16.8</v>
      </c>
      <c r="L11979">
        <v>16.8</v>
      </c>
    </row>
    <row r="11980" spans="1:12" x14ac:dyDescent="0.25">
      <c r="A11980" t="str">
        <f t="shared" si="2598"/>
        <v>89301000</v>
      </c>
      <c r="B11980" t="str">
        <f t="shared" si="2594"/>
        <v>78051000</v>
      </c>
      <c r="C11980" t="str">
        <f t="shared" si="2595"/>
        <v>78051004</v>
      </c>
      <c r="D11980" t="str">
        <f t="shared" si="2596"/>
        <v>809</v>
      </c>
      <c r="E11980" t="str">
        <f t="shared" si="2597"/>
        <v>89301062</v>
      </c>
      <c r="F11980" t="str">
        <f>"5805141584"</f>
        <v>5805141584</v>
      </c>
      <c r="G11980" s="1">
        <v>44915</v>
      </c>
      <c r="H11980" t="str">
        <f>"0225891"</f>
        <v>0225891</v>
      </c>
      <c r="I11980">
        <v>0.2</v>
      </c>
      <c r="K11980">
        <v>73.540000000000006</v>
      </c>
      <c r="L11980">
        <v>73.540000000000006</v>
      </c>
    </row>
    <row r="11981" spans="1:12" x14ac:dyDescent="0.25">
      <c r="A11981" t="str">
        <f t="shared" si="2598"/>
        <v>89301000</v>
      </c>
      <c r="B11981" t="str">
        <f t="shared" si="2594"/>
        <v>78051000</v>
      </c>
      <c r="C11981" t="str">
        <f t="shared" si="2595"/>
        <v>78051004</v>
      </c>
      <c r="D11981" t="str">
        <f t="shared" si="2596"/>
        <v>809</v>
      </c>
      <c r="E11981" t="str">
        <f t="shared" si="2597"/>
        <v>89301062</v>
      </c>
      <c r="F11981" t="str">
        <f>"5805141584"</f>
        <v>5805141584</v>
      </c>
      <c r="G11981" s="1">
        <v>44915</v>
      </c>
      <c r="H11981" t="str">
        <f>"0096251"</f>
        <v>0096251</v>
      </c>
      <c r="I11981">
        <v>0.17</v>
      </c>
      <c r="K11981">
        <v>198.83</v>
      </c>
      <c r="L11981">
        <v>198.83</v>
      </c>
    </row>
    <row r="11982" spans="1:12" x14ac:dyDescent="0.25">
      <c r="A11982" t="str">
        <f t="shared" si="2598"/>
        <v>89301000</v>
      </c>
      <c r="B11982" t="str">
        <f t="shared" si="2594"/>
        <v>78051000</v>
      </c>
      <c r="C11982" t="str">
        <f t="shared" si="2595"/>
        <v>78051004</v>
      </c>
      <c r="D11982" t="str">
        <f t="shared" si="2596"/>
        <v>809</v>
      </c>
      <c r="E11982" t="str">
        <f t="shared" si="2597"/>
        <v>89301062</v>
      </c>
      <c r="F11982" t="str">
        <f>"5805141584"</f>
        <v>5805141584</v>
      </c>
      <c r="G11982" s="1">
        <v>44915</v>
      </c>
      <c r="H11982" t="str">
        <f>"0098943"</f>
        <v>0098943</v>
      </c>
      <c r="I11982">
        <v>1</v>
      </c>
      <c r="K11982">
        <v>293.81</v>
      </c>
      <c r="L11982">
        <v>293.81</v>
      </c>
    </row>
    <row r="11983" spans="1:12" x14ac:dyDescent="0.25">
      <c r="A11983" t="str">
        <f t="shared" si="2598"/>
        <v>89301000</v>
      </c>
      <c r="B11983" t="str">
        <f t="shared" si="2594"/>
        <v>78051000</v>
      </c>
      <c r="C11983" t="str">
        <f t="shared" si="2595"/>
        <v>78051004</v>
      </c>
      <c r="D11983" t="str">
        <f t="shared" si="2596"/>
        <v>809</v>
      </c>
      <c r="E11983" t="str">
        <f t="shared" si="2597"/>
        <v>89301062</v>
      </c>
      <c r="F11983" t="str">
        <f>"7254205310"</f>
        <v>7254205310</v>
      </c>
      <c r="G11983" s="1">
        <v>44915</v>
      </c>
      <c r="H11983" t="str">
        <f>"89311"</f>
        <v>89311</v>
      </c>
      <c r="I11983">
        <v>1</v>
      </c>
      <c r="J11983">
        <v>936</v>
      </c>
      <c r="K11983">
        <v>0</v>
      </c>
      <c r="L11983">
        <v>1310.4000000000001</v>
      </c>
    </row>
    <row r="11984" spans="1:12" x14ac:dyDescent="0.25">
      <c r="A11984" t="str">
        <f t="shared" si="2598"/>
        <v>89301000</v>
      </c>
      <c r="B11984" t="str">
        <f t="shared" si="2594"/>
        <v>78051000</v>
      </c>
      <c r="C11984" t="str">
        <f t="shared" si="2595"/>
        <v>78051004</v>
      </c>
      <c r="D11984" t="str">
        <f t="shared" si="2596"/>
        <v>809</v>
      </c>
      <c r="E11984" t="str">
        <f t="shared" si="2597"/>
        <v>89301062</v>
      </c>
      <c r="F11984" t="str">
        <f>"7254205310"</f>
        <v>7254205310</v>
      </c>
      <c r="G11984" s="1">
        <v>44915</v>
      </c>
      <c r="H11984" t="str">
        <f>"0090044"</f>
        <v>0090044</v>
      </c>
      <c r="I11984">
        <v>1</v>
      </c>
      <c r="K11984">
        <v>16.8</v>
      </c>
      <c r="L11984">
        <v>16.8</v>
      </c>
    </row>
    <row r="11985" spans="1:12" x14ac:dyDescent="0.25">
      <c r="A11985" t="str">
        <f t="shared" si="2598"/>
        <v>89301000</v>
      </c>
      <c r="B11985" t="str">
        <f t="shared" si="2594"/>
        <v>78051000</v>
      </c>
      <c r="C11985" t="str">
        <f t="shared" si="2595"/>
        <v>78051004</v>
      </c>
      <c r="D11985" t="str">
        <f t="shared" si="2596"/>
        <v>809</v>
      </c>
      <c r="E11985" t="str">
        <f t="shared" si="2597"/>
        <v>89301062</v>
      </c>
      <c r="F11985" t="str">
        <f>"7254205310"</f>
        <v>7254205310</v>
      </c>
      <c r="G11985" s="1">
        <v>44915</v>
      </c>
      <c r="H11985" t="str">
        <f>"0225891"</f>
        <v>0225891</v>
      </c>
      <c r="I11985">
        <v>0.2</v>
      </c>
      <c r="K11985">
        <v>73.540000000000006</v>
      </c>
      <c r="L11985">
        <v>73.540000000000006</v>
      </c>
    </row>
    <row r="11986" spans="1:12" x14ac:dyDescent="0.25">
      <c r="A11986" t="str">
        <f t="shared" si="2598"/>
        <v>89301000</v>
      </c>
      <c r="B11986" t="str">
        <f t="shared" si="2594"/>
        <v>78051000</v>
      </c>
      <c r="C11986" t="str">
        <f t="shared" si="2595"/>
        <v>78051004</v>
      </c>
      <c r="D11986" t="str">
        <f t="shared" si="2596"/>
        <v>809</v>
      </c>
      <c r="E11986" t="str">
        <f t="shared" si="2597"/>
        <v>89301062</v>
      </c>
      <c r="F11986" t="str">
        <f>"7254205310"</f>
        <v>7254205310</v>
      </c>
      <c r="G11986" s="1">
        <v>44915</v>
      </c>
      <c r="H11986" t="str">
        <f>"0096251"</f>
        <v>0096251</v>
      </c>
      <c r="I11986">
        <v>0.17</v>
      </c>
      <c r="K11986">
        <v>198.83</v>
      </c>
      <c r="L11986">
        <v>198.83</v>
      </c>
    </row>
    <row r="11987" spans="1:12" x14ac:dyDescent="0.25">
      <c r="A11987" t="str">
        <f t="shared" si="2598"/>
        <v>89301000</v>
      </c>
      <c r="B11987" t="str">
        <f t="shared" si="2594"/>
        <v>78051000</v>
      </c>
      <c r="C11987" t="str">
        <f t="shared" si="2595"/>
        <v>78051004</v>
      </c>
      <c r="D11987" t="str">
        <f t="shared" si="2596"/>
        <v>809</v>
      </c>
      <c r="E11987" t="str">
        <f t="shared" si="2597"/>
        <v>89301062</v>
      </c>
      <c r="F11987" t="str">
        <f>"7254205310"</f>
        <v>7254205310</v>
      </c>
      <c r="G11987" s="1">
        <v>44915</v>
      </c>
      <c r="H11987" t="str">
        <f>"0098943"</f>
        <v>0098943</v>
      </c>
      <c r="I11987">
        <v>1</v>
      </c>
      <c r="K11987">
        <v>293.81</v>
      </c>
      <c r="L11987">
        <v>293.81</v>
      </c>
    </row>
    <row r="11988" spans="1:12" x14ac:dyDescent="0.25">
      <c r="A11988" t="str">
        <f t="shared" si="2598"/>
        <v>89301000</v>
      </c>
      <c r="B11988" t="str">
        <f t="shared" si="2594"/>
        <v>78051000</v>
      </c>
      <c r="C11988" t="str">
        <f t="shared" si="2595"/>
        <v>78051004</v>
      </c>
      <c r="D11988" t="str">
        <f t="shared" si="2596"/>
        <v>809</v>
      </c>
      <c r="E11988" t="str">
        <f t="shared" si="2597"/>
        <v>89301062</v>
      </c>
      <c r="F11988" t="str">
        <f>"6757051059"</f>
        <v>6757051059</v>
      </c>
      <c r="G11988" s="1">
        <v>44915</v>
      </c>
      <c r="H11988" t="str">
        <f>"89311"</f>
        <v>89311</v>
      </c>
      <c r="I11988">
        <v>1</v>
      </c>
      <c r="J11988">
        <v>936</v>
      </c>
      <c r="K11988">
        <v>0</v>
      </c>
      <c r="L11988">
        <v>1310.4000000000001</v>
      </c>
    </row>
    <row r="11989" spans="1:12" x14ac:dyDescent="0.25">
      <c r="A11989" t="str">
        <f t="shared" si="2598"/>
        <v>89301000</v>
      </c>
      <c r="B11989" t="str">
        <f t="shared" si="2594"/>
        <v>78051000</v>
      </c>
      <c r="C11989" t="str">
        <f t="shared" si="2595"/>
        <v>78051004</v>
      </c>
      <c r="D11989" t="str">
        <f t="shared" si="2596"/>
        <v>809</v>
      </c>
      <c r="E11989" t="str">
        <f t="shared" si="2597"/>
        <v>89301062</v>
      </c>
      <c r="F11989" t="str">
        <f>"6757051059"</f>
        <v>6757051059</v>
      </c>
      <c r="G11989" s="1">
        <v>44915</v>
      </c>
      <c r="H11989" t="str">
        <f>"0090044"</f>
        <v>0090044</v>
      </c>
      <c r="I11989">
        <v>1</v>
      </c>
      <c r="K11989">
        <v>16.8</v>
      </c>
      <c r="L11989">
        <v>16.8</v>
      </c>
    </row>
    <row r="11990" spans="1:12" x14ac:dyDescent="0.25">
      <c r="A11990" t="str">
        <f t="shared" si="2598"/>
        <v>89301000</v>
      </c>
      <c r="B11990" t="str">
        <f t="shared" si="2594"/>
        <v>78051000</v>
      </c>
      <c r="C11990" t="str">
        <f t="shared" si="2595"/>
        <v>78051004</v>
      </c>
      <c r="D11990" t="str">
        <f t="shared" si="2596"/>
        <v>809</v>
      </c>
      <c r="E11990" t="str">
        <f t="shared" si="2597"/>
        <v>89301062</v>
      </c>
      <c r="F11990" t="str">
        <f>"6757051059"</f>
        <v>6757051059</v>
      </c>
      <c r="G11990" s="1">
        <v>44915</v>
      </c>
      <c r="H11990" t="str">
        <f>"0225891"</f>
        <v>0225891</v>
      </c>
      <c r="I11990">
        <v>0.2</v>
      </c>
      <c r="K11990">
        <v>73.540000000000006</v>
      </c>
      <c r="L11990">
        <v>73.540000000000006</v>
      </c>
    </row>
    <row r="11991" spans="1:12" x14ac:dyDescent="0.25">
      <c r="A11991" t="str">
        <f t="shared" si="2598"/>
        <v>89301000</v>
      </c>
      <c r="B11991" t="str">
        <f t="shared" si="2594"/>
        <v>78051000</v>
      </c>
      <c r="C11991" t="str">
        <f t="shared" si="2595"/>
        <v>78051004</v>
      </c>
      <c r="D11991" t="str">
        <f t="shared" si="2596"/>
        <v>809</v>
      </c>
      <c r="E11991" t="str">
        <f t="shared" si="2597"/>
        <v>89301062</v>
      </c>
      <c r="F11991" t="str">
        <f>"6757051059"</f>
        <v>6757051059</v>
      </c>
      <c r="G11991" s="1">
        <v>44915</v>
      </c>
      <c r="H11991" t="str">
        <f>"0096251"</f>
        <v>0096251</v>
      </c>
      <c r="I11991">
        <v>0.17</v>
      </c>
      <c r="K11991">
        <v>198.83</v>
      </c>
      <c r="L11991">
        <v>198.83</v>
      </c>
    </row>
    <row r="11992" spans="1:12" x14ac:dyDescent="0.25">
      <c r="A11992" t="str">
        <f t="shared" si="2598"/>
        <v>89301000</v>
      </c>
      <c r="B11992" t="str">
        <f t="shared" si="2594"/>
        <v>78051000</v>
      </c>
      <c r="C11992" t="str">
        <f t="shared" si="2595"/>
        <v>78051004</v>
      </c>
      <c r="D11992" t="str">
        <f t="shared" si="2596"/>
        <v>809</v>
      </c>
      <c r="E11992" t="str">
        <f t="shared" si="2597"/>
        <v>89301062</v>
      </c>
      <c r="F11992" t="str">
        <f>"6757051059"</f>
        <v>6757051059</v>
      </c>
      <c r="G11992" s="1">
        <v>44915</v>
      </c>
      <c r="H11992" t="str">
        <f>"0098943"</f>
        <v>0098943</v>
      </c>
      <c r="I11992">
        <v>1</v>
      </c>
      <c r="K11992">
        <v>293.81</v>
      </c>
      <c r="L11992">
        <v>293.81</v>
      </c>
    </row>
    <row r="11993" spans="1:12" x14ac:dyDescent="0.25">
      <c r="A11993" t="str">
        <f t="shared" si="2598"/>
        <v>89301000</v>
      </c>
      <c r="B11993" t="str">
        <f t="shared" si="2594"/>
        <v>78051000</v>
      </c>
      <c r="C11993" t="str">
        <f t="shared" ref="C11993:C12004" si="2599">"78051017"</f>
        <v>78051017</v>
      </c>
      <c r="D11993" t="str">
        <f t="shared" ref="D11993:D12004" si="2600">"810"</f>
        <v>810</v>
      </c>
      <c r="E11993" t="str">
        <f t="shared" si="2597"/>
        <v>89301062</v>
      </c>
      <c r="F11993" t="str">
        <f>"495420094"</f>
        <v>495420094</v>
      </c>
      <c r="G11993" s="1">
        <v>44901</v>
      </c>
      <c r="H11993" t="str">
        <f t="shared" ref="H11993:H12004" si="2601">"89615"</f>
        <v>89615</v>
      </c>
      <c r="I11993">
        <v>1</v>
      </c>
      <c r="J11993">
        <v>2170</v>
      </c>
      <c r="K11993">
        <v>0</v>
      </c>
      <c r="L11993">
        <v>1302</v>
      </c>
    </row>
    <row r="11994" spans="1:12" x14ac:dyDescent="0.25">
      <c r="A11994" t="str">
        <f t="shared" si="2598"/>
        <v>89301000</v>
      </c>
      <c r="B11994" t="str">
        <f t="shared" si="2594"/>
        <v>78051000</v>
      </c>
      <c r="C11994" t="str">
        <f t="shared" si="2599"/>
        <v>78051017</v>
      </c>
      <c r="D11994" t="str">
        <f t="shared" si="2600"/>
        <v>810</v>
      </c>
      <c r="E11994" t="str">
        <f t="shared" si="2597"/>
        <v>89301062</v>
      </c>
      <c r="F11994" t="str">
        <f>"495508090"</f>
        <v>495508090</v>
      </c>
      <c r="G11994" s="1">
        <v>44901</v>
      </c>
      <c r="H11994" t="str">
        <f t="shared" si="2601"/>
        <v>89615</v>
      </c>
      <c r="I11994">
        <v>1</v>
      </c>
      <c r="J11994">
        <v>2170</v>
      </c>
      <c r="K11994">
        <v>0</v>
      </c>
      <c r="L11994">
        <v>1302</v>
      </c>
    </row>
    <row r="11995" spans="1:12" x14ac:dyDescent="0.25">
      <c r="A11995" t="str">
        <f t="shared" si="2598"/>
        <v>89301000</v>
      </c>
      <c r="B11995" t="str">
        <f t="shared" si="2594"/>
        <v>78051000</v>
      </c>
      <c r="C11995" t="str">
        <f t="shared" si="2599"/>
        <v>78051017</v>
      </c>
      <c r="D11995" t="str">
        <f t="shared" si="2600"/>
        <v>810</v>
      </c>
      <c r="E11995" t="str">
        <f t="shared" si="2597"/>
        <v>89301062</v>
      </c>
      <c r="F11995" t="str">
        <f>"530521106"</f>
        <v>530521106</v>
      </c>
      <c r="G11995" s="1">
        <v>44901</v>
      </c>
      <c r="H11995" t="str">
        <f t="shared" si="2601"/>
        <v>89615</v>
      </c>
      <c r="I11995">
        <v>1</v>
      </c>
      <c r="J11995">
        <v>2170</v>
      </c>
      <c r="K11995">
        <v>0</v>
      </c>
      <c r="L11995">
        <v>1302</v>
      </c>
    </row>
    <row r="11996" spans="1:12" x14ac:dyDescent="0.25">
      <c r="A11996" t="str">
        <f t="shared" si="2598"/>
        <v>89301000</v>
      </c>
      <c r="B11996" t="str">
        <f t="shared" si="2594"/>
        <v>78051000</v>
      </c>
      <c r="C11996" t="str">
        <f t="shared" si="2599"/>
        <v>78051017</v>
      </c>
      <c r="D11996" t="str">
        <f t="shared" si="2600"/>
        <v>810</v>
      </c>
      <c r="E11996" t="str">
        <f t="shared" si="2597"/>
        <v>89301062</v>
      </c>
      <c r="F11996" t="str">
        <f>"7258175342"</f>
        <v>7258175342</v>
      </c>
      <c r="G11996" s="1">
        <v>44909</v>
      </c>
      <c r="H11996" t="str">
        <f t="shared" si="2601"/>
        <v>89615</v>
      </c>
      <c r="I11996">
        <v>1</v>
      </c>
      <c r="J11996">
        <v>2170</v>
      </c>
      <c r="K11996">
        <v>0</v>
      </c>
      <c r="L11996">
        <v>1302</v>
      </c>
    </row>
    <row r="11997" spans="1:12" x14ac:dyDescent="0.25">
      <c r="A11997" t="str">
        <f t="shared" si="2598"/>
        <v>89301000</v>
      </c>
      <c r="B11997" t="str">
        <f t="shared" ref="B11997:B12004" si="2602">"78051000"</f>
        <v>78051000</v>
      </c>
      <c r="C11997" t="str">
        <f t="shared" si="2599"/>
        <v>78051017</v>
      </c>
      <c r="D11997" t="str">
        <f t="shared" si="2600"/>
        <v>810</v>
      </c>
      <c r="E11997" t="str">
        <f t="shared" ref="E11997:E12004" si="2603">"89301062"</f>
        <v>89301062</v>
      </c>
      <c r="F11997" t="str">
        <f>"7207205698"</f>
        <v>7207205698</v>
      </c>
      <c r="G11997" s="1">
        <v>44909</v>
      </c>
      <c r="H11997" t="str">
        <f t="shared" si="2601"/>
        <v>89615</v>
      </c>
      <c r="I11997">
        <v>1</v>
      </c>
      <c r="J11997">
        <v>2170</v>
      </c>
      <c r="K11997">
        <v>0</v>
      </c>
      <c r="L11997">
        <v>1302</v>
      </c>
    </row>
    <row r="11998" spans="1:12" x14ac:dyDescent="0.25">
      <c r="A11998" t="str">
        <f t="shared" si="2598"/>
        <v>89301000</v>
      </c>
      <c r="B11998" t="str">
        <f t="shared" si="2602"/>
        <v>78051000</v>
      </c>
      <c r="C11998" t="str">
        <f t="shared" si="2599"/>
        <v>78051017</v>
      </c>
      <c r="D11998" t="str">
        <f t="shared" si="2600"/>
        <v>810</v>
      </c>
      <c r="E11998" t="str">
        <f t="shared" si="2603"/>
        <v>89301062</v>
      </c>
      <c r="F11998" t="str">
        <f>"7959254457"</f>
        <v>7959254457</v>
      </c>
      <c r="G11998" s="1">
        <v>44909</v>
      </c>
      <c r="H11998" t="str">
        <f t="shared" si="2601"/>
        <v>89615</v>
      </c>
      <c r="I11998">
        <v>1</v>
      </c>
      <c r="J11998">
        <v>2170</v>
      </c>
      <c r="K11998">
        <v>0</v>
      </c>
      <c r="L11998">
        <v>1302</v>
      </c>
    </row>
    <row r="11999" spans="1:12" x14ac:dyDescent="0.25">
      <c r="A11999" t="str">
        <f t="shared" si="2598"/>
        <v>89301000</v>
      </c>
      <c r="B11999" t="str">
        <f t="shared" si="2602"/>
        <v>78051000</v>
      </c>
      <c r="C11999" t="str">
        <f t="shared" si="2599"/>
        <v>78051017</v>
      </c>
      <c r="D11999" t="str">
        <f t="shared" si="2600"/>
        <v>810</v>
      </c>
      <c r="E11999" t="str">
        <f t="shared" si="2603"/>
        <v>89301062</v>
      </c>
      <c r="F11999" t="str">
        <f>"6505120556"</f>
        <v>6505120556</v>
      </c>
      <c r="G11999" s="1">
        <v>44909</v>
      </c>
      <c r="H11999" t="str">
        <f t="shared" si="2601"/>
        <v>89615</v>
      </c>
      <c r="I11999">
        <v>1</v>
      </c>
      <c r="J11999">
        <v>2170</v>
      </c>
      <c r="K11999">
        <v>0</v>
      </c>
      <c r="L11999">
        <v>1302</v>
      </c>
    </row>
    <row r="12000" spans="1:12" x14ac:dyDescent="0.25">
      <c r="A12000" t="str">
        <f t="shared" si="2598"/>
        <v>89301000</v>
      </c>
      <c r="B12000" t="str">
        <f t="shared" si="2602"/>
        <v>78051000</v>
      </c>
      <c r="C12000" t="str">
        <f t="shared" si="2599"/>
        <v>78051017</v>
      </c>
      <c r="D12000" t="str">
        <f t="shared" si="2600"/>
        <v>810</v>
      </c>
      <c r="E12000" t="str">
        <f t="shared" si="2603"/>
        <v>89301062</v>
      </c>
      <c r="F12000" t="str">
        <f>"7753265322"</f>
        <v>7753265322</v>
      </c>
      <c r="G12000" s="1">
        <v>44909</v>
      </c>
      <c r="H12000" t="str">
        <f t="shared" si="2601"/>
        <v>89615</v>
      </c>
      <c r="I12000">
        <v>1</v>
      </c>
      <c r="J12000">
        <v>2170</v>
      </c>
      <c r="K12000">
        <v>0</v>
      </c>
      <c r="L12000">
        <v>1302</v>
      </c>
    </row>
    <row r="12001" spans="1:12" x14ac:dyDescent="0.25">
      <c r="A12001" t="str">
        <f t="shared" si="2598"/>
        <v>89301000</v>
      </c>
      <c r="B12001" t="str">
        <f t="shared" si="2602"/>
        <v>78051000</v>
      </c>
      <c r="C12001" t="str">
        <f t="shared" si="2599"/>
        <v>78051017</v>
      </c>
      <c r="D12001" t="str">
        <f t="shared" si="2600"/>
        <v>810</v>
      </c>
      <c r="E12001" t="str">
        <f t="shared" si="2603"/>
        <v>89301062</v>
      </c>
      <c r="F12001" t="str">
        <f>"446109471"</f>
        <v>446109471</v>
      </c>
      <c r="G12001" s="1">
        <v>44915</v>
      </c>
      <c r="H12001" t="str">
        <f t="shared" si="2601"/>
        <v>89615</v>
      </c>
      <c r="I12001">
        <v>1</v>
      </c>
      <c r="J12001">
        <v>2170</v>
      </c>
      <c r="K12001">
        <v>0</v>
      </c>
      <c r="L12001">
        <v>1302</v>
      </c>
    </row>
    <row r="12002" spans="1:12" x14ac:dyDescent="0.25">
      <c r="A12002" t="str">
        <f t="shared" si="2598"/>
        <v>89301000</v>
      </c>
      <c r="B12002" t="str">
        <f t="shared" si="2602"/>
        <v>78051000</v>
      </c>
      <c r="C12002" t="str">
        <f t="shared" si="2599"/>
        <v>78051017</v>
      </c>
      <c r="D12002" t="str">
        <f t="shared" si="2600"/>
        <v>810</v>
      </c>
      <c r="E12002" t="str">
        <f t="shared" si="2603"/>
        <v>89301062</v>
      </c>
      <c r="F12002" t="str">
        <f>"5805141584"</f>
        <v>5805141584</v>
      </c>
      <c r="G12002" s="1">
        <v>44915</v>
      </c>
      <c r="H12002" t="str">
        <f t="shared" si="2601"/>
        <v>89615</v>
      </c>
      <c r="I12002">
        <v>1</v>
      </c>
      <c r="J12002">
        <v>2170</v>
      </c>
      <c r="K12002">
        <v>0</v>
      </c>
      <c r="L12002">
        <v>1302</v>
      </c>
    </row>
    <row r="12003" spans="1:12" x14ac:dyDescent="0.25">
      <c r="A12003" t="str">
        <f t="shared" si="2598"/>
        <v>89301000</v>
      </c>
      <c r="B12003" t="str">
        <f t="shared" si="2602"/>
        <v>78051000</v>
      </c>
      <c r="C12003" t="str">
        <f t="shared" si="2599"/>
        <v>78051017</v>
      </c>
      <c r="D12003" t="str">
        <f t="shared" si="2600"/>
        <v>810</v>
      </c>
      <c r="E12003" t="str">
        <f t="shared" si="2603"/>
        <v>89301062</v>
      </c>
      <c r="F12003" t="str">
        <f>"7254205310"</f>
        <v>7254205310</v>
      </c>
      <c r="G12003" s="1">
        <v>44915</v>
      </c>
      <c r="H12003" t="str">
        <f t="shared" si="2601"/>
        <v>89615</v>
      </c>
      <c r="I12003">
        <v>1</v>
      </c>
      <c r="J12003">
        <v>2170</v>
      </c>
      <c r="K12003">
        <v>0</v>
      </c>
      <c r="L12003">
        <v>1302</v>
      </c>
    </row>
    <row r="12004" spans="1:12" x14ac:dyDescent="0.25">
      <c r="A12004" t="str">
        <f t="shared" si="2598"/>
        <v>89301000</v>
      </c>
      <c r="B12004" t="str">
        <f t="shared" si="2602"/>
        <v>78051000</v>
      </c>
      <c r="C12004" t="str">
        <f t="shared" si="2599"/>
        <v>78051017</v>
      </c>
      <c r="D12004" t="str">
        <f t="shared" si="2600"/>
        <v>810</v>
      </c>
      <c r="E12004" t="str">
        <f t="shared" si="2603"/>
        <v>89301062</v>
      </c>
      <c r="F12004" t="str">
        <f>"6757051059"</f>
        <v>6757051059</v>
      </c>
      <c r="G12004" s="1">
        <v>44915</v>
      </c>
      <c r="H12004" t="str">
        <f t="shared" si="2601"/>
        <v>89615</v>
      </c>
      <c r="I12004">
        <v>1</v>
      </c>
      <c r="J12004">
        <v>2170</v>
      </c>
      <c r="K12004">
        <v>0</v>
      </c>
      <c r="L12004">
        <v>1302</v>
      </c>
    </row>
    <row r="12005" spans="1:12" x14ac:dyDescent="0.25">
      <c r="A12005" t="str">
        <f t="shared" si="2598"/>
        <v>89301000</v>
      </c>
      <c r="B12005" t="str">
        <f t="shared" ref="B12005:B12031" si="2604">"91866000"</f>
        <v>91866000</v>
      </c>
      <c r="C12005" t="str">
        <f t="shared" ref="C12005:C12031" si="2605">"91866313"</f>
        <v>91866313</v>
      </c>
      <c r="D12005" t="str">
        <f t="shared" ref="D12005:D12031" si="2606">"802"</f>
        <v>802</v>
      </c>
      <c r="E12005" t="str">
        <f>"89301093"</f>
        <v>89301093</v>
      </c>
      <c r="F12005" t="str">
        <f>"2212130052"</f>
        <v>2212130052</v>
      </c>
      <c r="G12005" s="1">
        <v>44915</v>
      </c>
      <c r="H12005" t="str">
        <f>"82034"</f>
        <v>82034</v>
      </c>
      <c r="I12005">
        <v>1</v>
      </c>
      <c r="J12005">
        <v>348</v>
      </c>
      <c r="K12005">
        <v>0</v>
      </c>
      <c r="L12005">
        <v>316.68</v>
      </c>
    </row>
    <row r="12006" spans="1:12" x14ac:dyDescent="0.25">
      <c r="A12006" t="str">
        <f t="shared" si="2598"/>
        <v>89301000</v>
      </c>
      <c r="B12006" t="str">
        <f t="shared" si="2604"/>
        <v>91866000</v>
      </c>
      <c r="C12006" t="str">
        <f t="shared" si="2605"/>
        <v>91866313</v>
      </c>
      <c r="D12006" t="str">
        <f t="shared" si="2606"/>
        <v>802</v>
      </c>
      <c r="E12006" t="str">
        <f t="shared" ref="E12006:E12011" si="2607">"89301704"</f>
        <v>89301704</v>
      </c>
      <c r="F12006" t="str">
        <f t="shared" ref="F12006:F12011" si="2608">"0858255277"</f>
        <v>0858255277</v>
      </c>
      <c r="G12006" s="1">
        <v>44912</v>
      </c>
      <c r="H12006" t="str">
        <f t="shared" ref="H12006:H12011" si="2609">"82087"</f>
        <v>82087</v>
      </c>
      <c r="I12006">
        <v>1</v>
      </c>
      <c r="J12006">
        <v>53</v>
      </c>
      <c r="K12006">
        <v>0</v>
      </c>
      <c r="L12006">
        <v>48.23</v>
      </c>
    </row>
    <row r="12007" spans="1:12" x14ac:dyDescent="0.25">
      <c r="A12007" t="str">
        <f t="shared" si="2598"/>
        <v>89301000</v>
      </c>
      <c r="B12007" t="str">
        <f t="shared" si="2604"/>
        <v>91866000</v>
      </c>
      <c r="C12007" t="str">
        <f t="shared" si="2605"/>
        <v>91866313</v>
      </c>
      <c r="D12007" t="str">
        <f t="shared" si="2606"/>
        <v>802</v>
      </c>
      <c r="E12007" t="str">
        <f t="shared" si="2607"/>
        <v>89301704</v>
      </c>
      <c r="F12007" t="str">
        <f t="shared" si="2608"/>
        <v>0858255277</v>
      </c>
      <c r="G12007" s="1">
        <v>44913</v>
      </c>
      <c r="H12007" t="str">
        <f t="shared" si="2609"/>
        <v>82087</v>
      </c>
      <c r="I12007">
        <v>1</v>
      </c>
      <c r="J12007">
        <v>53</v>
      </c>
      <c r="K12007">
        <v>0</v>
      </c>
      <c r="L12007">
        <v>48.23</v>
      </c>
    </row>
    <row r="12008" spans="1:12" x14ac:dyDescent="0.25">
      <c r="A12008" t="str">
        <f t="shared" si="2598"/>
        <v>89301000</v>
      </c>
      <c r="B12008" t="str">
        <f t="shared" si="2604"/>
        <v>91866000</v>
      </c>
      <c r="C12008" t="str">
        <f t="shared" si="2605"/>
        <v>91866313</v>
      </c>
      <c r="D12008" t="str">
        <f t="shared" si="2606"/>
        <v>802</v>
      </c>
      <c r="E12008" t="str">
        <f t="shared" si="2607"/>
        <v>89301704</v>
      </c>
      <c r="F12008" t="str">
        <f t="shared" si="2608"/>
        <v>0858255277</v>
      </c>
      <c r="G12008" s="1">
        <v>44911</v>
      </c>
      <c r="H12008" t="str">
        <f t="shared" si="2609"/>
        <v>82087</v>
      </c>
      <c r="I12008">
        <v>1</v>
      </c>
      <c r="J12008">
        <v>53</v>
      </c>
      <c r="K12008">
        <v>0</v>
      </c>
      <c r="L12008">
        <v>48.23</v>
      </c>
    </row>
    <row r="12009" spans="1:12" x14ac:dyDescent="0.25">
      <c r="A12009" t="str">
        <f t="shared" si="2598"/>
        <v>89301000</v>
      </c>
      <c r="B12009" t="str">
        <f t="shared" si="2604"/>
        <v>91866000</v>
      </c>
      <c r="C12009" t="str">
        <f t="shared" si="2605"/>
        <v>91866313</v>
      </c>
      <c r="D12009" t="str">
        <f t="shared" si="2606"/>
        <v>802</v>
      </c>
      <c r="E12009" t="str">
        <f t="shared" si="2607"/>
        <v>89301704</v>
      </c>
      <c r="F12009" t="str">
        <f t="shared" si="2608"/>
        <v>0858255277</v>
      </c>
      <c r="G12009" s="1">
        <v>44911</v>
      </c>
      <c r="H12009" t="str">
        <f t="shared" si="2609"/>
        <v>82087</v>
      </c>
      <c r="I12009">
        <v>1</v>
      </c>
      <c r="J12009">
        <v>53</v>
      </c>
      <c r="K12009">
        <v>0</v>
      </c>
      <c r="L12009">
        <v>48.23</v>
      </c>
    </row>
    <row r="12010" spans="1:12" x14ac:dyDescent="0.25">
      <c r="A12010" t="str">
        <f t="shared" si="2598"/>
        <v>89301000</v>
      </c>
      <c r="B12010" t="str">
        <f t="shared" si="2604"/>
        <v>91866000</v>
      </c>
      <c r="C12010" t="str">
        <f t="shared" si="2605"/>
        <v>91866313</v>
      </c>
      <c r="D12010" t="str">
        <f t="shared" si="2606"/>
        <v>802</v>
      </c>
      <c r="E12010" t="str">
        <f t="shared" si="2607"/>
        <v>89301704</v>
      </c>
      <c r="F12010" t="str">
        <f t="shared" si="2608"/>
        <v>0858255277</v>
      </c>
      <c r="G12010" s="1">
        <v>44913</v>
      </c>
      <c r="H12010" t="str">
        <f t="shared" si="2609"/>
        <v>82087</v>
      </c>
      <c r="I12010">
        <v>1</v>
      </c>
      <c r="J12010">
        <v>53</v>
      </c>
      <c r="K12010">
        <v>0</v>
      </c>
      <c r="L12010">
        <v>48.23</v>
      </c>
    </row>
    <row r="12011" spans="1:12" x14ac:dyDescent="0.25">
      <c r="A12011" t="str">
        <f t="shared" si="2598"/>
        <v>89301000</v>
      </c>
      <c r="B12011" t="str">
        <f t="shared" si="2604"/>
        <v>91866000</v>
      </c>
      <c r="C12011" t="str">
        <f t="shared" si="2605"/>
        <v>91866313</v>
      </c>
      <c r="D12011" t="str">
        <f t="shared" si="2606"/>
        <v>802</v>
      </c>
      <c r="E12011" t="str">
        <f t="shared" si="2607"/>
        <v>89301704</v>
      </c>
      <c r="F12011" t="str">
        <f t="shared" si="2608"/>
        <v>0858255277</v>
      </c>
      <c r="G12011" s="1">
        <v>44912</v>
      </c>
      <c r="H12011" t="str">
        <f t="shared" si="2609"/>
        <v>82087</v>
      </c>
      <c r="I12011">
        <v>1</v>
      </c>
      <c r="J12011">
        <v>53</v>
      </c>
      <c r="K12011">
        <v>0</v>
      </c>
      <c r="L12011">
        <v>48.23</v>
      </c>
    </row>
    <row r="12012" spans="1:12" x14ac:dyDescent="0.25">
      <c r="A12012" t="str">
        <f t="shared" si="2598"/>
        <v>89301000</v>
      </c>
      <c r="B12012" t="str">
        <f t="shared" si="2604"/>
        <v>91866000</v>
      </c>
      <c r="C12012" t="str">
        <f t="shared" si="2605"/>
        <v>91866313</v>
      </c>
      <c r="D12012" t="str">
        <f t="shared" si="2606"/>
        <v>802</v>
      </c>
      <c r="E12012" t="str">
        <f t="shared" ref="E12012:E12019" si="2610">"89301031"</f>
        <v>89301031</v>
      </c>
      <c r="F12012" t="str">
        <f>"6807051405"</f>
        <v>6807051405</v>
      </c>
      <c r="G12012" s="1">
        <v>44915</v>
      </c>
      <c r="H12012" t="str">
        <f>"82113"</f>
        <v>82113</v>
      </c>
      <c r="I12012">
        <v>2</v>
      </c>
      <c r="J12012">
        <v>724</v>
      </c>
      <c r="K12012">
        <v>0</v>
      </c>
      <c r="L12012">
        <v>658.84</v>
      </c>
    </row>
    <row r="12013" spans="1:12" x14ac:dyDescent="0.25">
      <c r="A12013" t="str">
        <f t="shared" si="2598"/>
        <v>89301000</v>
      </c>
      <c r="B12013" t="str">
        <f t="shared" si="2604"/>
        <v>91866000</v>
      </c>
      <c r="C12013" t="str">
        <f t="shared" si="2605"/>
        <v>91866313</v>
      </c>
      <c r="D12013" t="str">
        <f t="shared" si="2606"/>
        <v>802</v>
      </c>
      <c r="E12013" t="str">
        <f t="shared" si="2610"/>
        <v>89301031</v>
      </c>
      <c r="F12013" t="str">
        <f>"6807051405"</f>
        <v>6807051405</v>
      </c>
      <c r="G12013" s="1">
        <v>44915</v>
      </c>
      <c r="H12013" t="str">
        <f>"82113"</f>
        <v>82113</v>
      </c>
      <c r="I12013">
        <v>2</v>
      </c>
      <c r="J12013">
        <v>724</v>
      </c>
      <c r="K12013">
        <v>0</v>
      </c>
      <c r="L12013">
        <v>658.84</v>
      </c>
    </row>
    <row r="12014" spans="1:12" x14ac:dyDescent="0.25">
      <c r="A12014" t="str">
        <f t="shared" si="2598"/>
        <v>89301000</v>
      </c>
      <c r="B12014" t="str">
        <f t="shared" si="2604"/>
        <v>91866000</v>
      </c>
      <c r="C12014" t="str">
        <f t="shared" si="2605"/>
        <v>91866313</v>
      </c>
      <c r="D12014" t="str">
        <f t="shared" si="2606"/>
        <v>802</v>
      </c>
      <c r="E12014" t="str">
        <f t="shared" si="2610"/>
        <v>89301031</v>
      </c>
      <c r="F12014" t="str">
        <f t="shared" ref="F12014:F12019" si="2611">"9307015718"</f>
        <v>9307015718</v>
      </c>
      <c r="G12014" s="1">
        <v>44903</v>
      </c>
      <c r="H12014" t="str">
        <f t="shared" ref="H12014:H12031" si="2612">"82087"</f>
        <v>82087</v>
      </c>
      <c r="I12014">
        <v>1</v>
      </c>
      <c r="J12014">
        <v>53</v>
      </c>
      <c r="K12014">
        <v>0</v>
      </c>
      <c r="L12014">
        <v>48.23</v>
      </c>
    </row>
    <row r="12015" spans="1:12" x14ac:dyDescent="0.25">
      <c r="A12015" t="str">
        <f t="shared" si="2598"/>
        <v>89301000</v>
      </c>
      <c r="B12015" t="str">
        <f t="shared" si="2604"/>
        <v>91866000</v>
      </c>
      <c r="C12015" t="str">
        <f t="shared" si="2605"/>
        <v>91866313</v>
      </c>
      <c r="D12015" t="str">
        <f t="shared" si="2606"/>
        <v>802</v>
      </c>
      <c r="E12015" t="str">
        <f t="shared" si="2610"/>
        <v>89301031</v>
      </c>
      <c r="F12015" t="str">
        <f t="shared" si="2611"/>
        <v>9307015718</v>
      </c>
      <c r="G12015" s="1">
        <v>44903</v>
      </c>
      <c r="H12015" t="str">
        <f t="shared" si="2612"/>
        <v>82087</v>
      </c>
      <c r="I12015">
        <v>1</v>
      </c>
      <c r="J12015">
        <v>53</v>
      </c>
      <c r="K12015">
        <v>0</v>
      </c>
      <c r="L12015">
        <v>48.23</v>
      </c>
    </row>
    <row r="12016" spans="1:12" x14ac:dyDescent="0.25">
      <c r="A12016" t="str">
        <f t="shared" si="2598"/>
        <v>89301000</v>
      </c>
      <c r="B12016" t="str">
        <f t="shared" si="2604"/>
        <v>91866000</v>
      </c>
      <c r="C12016" t="str">
        <f t="shared" si="2605"/>
        <v>91866313</v>
      </c>
      <c r="D12016" t="str">
        <f t="shared" si="2606"/>
        <v>802</v>
      </c>
      <c r="E12016" t="str">
        <f t="shared" si="2610"/>
        <v>89301031</v>
      </c>
      <c r="F12016" t="str">
        <f t="shared" si="2611"/>
        <v>9307015718</v>
      </c>
      <c r="G12016" s="1">
        <v>44905</v>
      </c>
      <c r="H12016" t="str">
        <f t="shared" si="2612"/>
        <v>82087</v>
      </c>
      <c r="I12016">
        <v>1</v>
      </c>
      <c r="J12016">
        <v>53</v>
      </c>
      <c r="K12016">
        <v>0</v>
      </c>
      <c r="L12016">
        <v>48.23</v>
      </c>
    </row>
    <row r="12017" spans="1:12" x14ac:dyDescent="0.25">
      <c r="A12017" t="str">
        <f t="shared" si="2598"/>
        <v>89301000</v>
      </c>
      <c r="B12017" t="str">
        <f t="shared" si="2604"/>
        <v>91866000</v>
      </c>
      <c r="C12017" t="str">
        <f t="shared" si="2605"/>
        <v>91866313</v>
      </c>
      <c r="D12017" t="str">
        <f t="shared" si="2606"/>
        <v>802</v>
      </c>
      <c r="E12017" t="str">
        <f t="shared" si="2610"/>
        <v>89301031</v>
      </c>
      <c r="F12017" t="str">
        <f t="shared" si="2611"/>
        <v>9307015718</v>
      </c>
      <c r="G12017" s="1">
        <v>44904</v>
      </c>
      <c r="H12017" t="str">
        <f t="shared" si="2612"/>
        <v>82087</v>
      </c>
      <c r="I12017">
        <v>1</v>
      </c>
      <c r="J12017">
        <v>53</v>
      </c>
      <c r="K12017">
        <v>0</v>
      </c>
      <c r="L12017">
        <v>48.23</v>
      </c>
    </row>
    <row r="12018" spans="1:12" x14ac:dyDescent="0.25">
      <c r="A12018" t="str">
        <f t="shared" si="2598"/>
        <v>89301000</v>
      </c>
      <c r="B12018" t="str">
        <f t="shared" si="2604"/>
        <v>91866000</v>
      </c>
      <c r="C12018" t="str">
        <f t="shared" si="2605"/>
        <v>91866313</v>
      </c>
      <c r="D12018" t="str">
        <f t="shared" si="2606"/>
        <v>802</v>
      </c>
      <c r="E12018" t="str">
        <f t="shared" si="2610"/>
        <v>89301031</v>
      </c>
      <c r="F12018" t="str">
        <f t="shared" si="2611"/>
        <v>9307015718</v>
      </c>
      <c r="G12018" s="1">
        <v>44905</v>
      </c>
      <c r="H12018" t="str">
        <f t="shared" si="2612"/>
        <v>82087</v>
      </c>
      <c r="I12018">
        <v>1</v>
      </c>
      <c r="J12018">
        <v>53</v>
      </c>
      <c r="K12018">
        <v>0</v>
      </c>
      <c r="L12018">
        <v>48.23</v>
      </c>
    </row>
    <row r="12019" spans="1:12" x14ac:dyDescent="0.25">
      <c r="A12019" t="str">
        <f t="shared" si="2598"/>
        <v>89301000</v>
      </c>
      <c r="B12019" t="str">
        <f t="shared" si="2604"/>
        <v>91866000</v>
      </c>
      <c r="C12019" t="str">
        <f t="shared" si="2605"/>
        <v>91866313</v>
      </c>
      <c r="D12019" t="str">
        <f t="shared" si="2606"/>
        <v>802</v>
      </c>
      <c r="E12019" t="str">
        <f t="shared" si="2610"/>
        <v>89301031</v>
      </c>
      <c r="F12019" t="str">
        <f t="shared" si="2611"/>
        <v>9307015718</v>
      </c>
      <c r="G12019" s="1">
        <v>44904</v>
      </c>
      <c r="H12019" t="str">
        <f t="shared" si="2612"/>
        <v>82087</v>
      </c>
      <c r="I12019">
        <v>1</v>
      </c>
      <c r="J12019">
        <v>53</v>
      </c>
      <c r="K12019">
        <v>0</v>
      </c>
      <c r="L12019">
        <v>48.23</v>
      </c>
    </row>
    <row r="12020" spans="1:12" x14ac:dyDescent="0.25">
      <c r="A12020" t="str">
        <f t="shared" si="2598"/>
        <v>89301000</v>
      </c>
      <c r="B12020" t="str">
        <f t="shared" si="2604"/>
        <v>91866000</v>
      </c>
      <c r="C12020" t="str">
        <f t="shared" si="2605"/>
        <v>91866313</v>
      </c>
      <c r="D12020" t="str">
        <f t="shared" si="2606"/>
        <v>802</v>
      </c>
      <c r="E12020" t="str">
        <f t="shared" ref="E12020:E12031" si="2613">"89301704"</f>
        <v>89301704</v>
      </c>
      <c r="F12020" t="str">
        <f t="shared" ref="F12020:F12025" si="2614">"1356010018"</f>
        <v>1356010018</v>
      </c>
      <c r="G12020" s="1">
        <v>44905</v>
      </c>
      <c r="H12020" t="str">
        <f t="shared" si="2612"/>
        <v>82087</v>
      </c>
      <c r="I12020">
        <v>1</v>
      </c>
      <c r="J12020">
        <v>53</v>
      </c>
      <c r="K12020">
        <v>0</v>
      </c>
      <c r="L12020">
        <v>48.23</v>
      </c>
    </row>
    <row r="12021" spans="1:12" x14ac:dyDescent="0.25">
      <c r="A12021" t="str">
        <f t="shared" si="2598"/>
        <v>89301000</v>
      </c>
      <c r="B12021" t="str">
        <f t="shared" si="2604"/>
        <v>91866000</v>
      </c>
      <c r="C12021" t="str">
        <f t="shared" si="2605"/>
        <v>91866313</v>
      </c>
      <c r="D12021" t="str">
        <f t="shared" si="2606"/>
        <v>802</v>
      </c>
      <c r="E12021" t="str">
        <f t="shared" si="2613"/>
        <v>89301704</v>
      </c>
      <c r="F12021" t="str">
        <f t="shared" si="2614"/>
        <v>1356010018</v>
      </c>
      <c r="G12021" s="1">
        <v>44903</v>
      </c>
      <c r="H12021" t="str">
        <f t="shared" si="2612"/>
        <v>82087</v>
      </c>
      <c r="I12021">
        <v>1</v>
      </c>
      <c r="J12021">
        <v>53</v>
      </c>
      <c r="K12021">
        <v>0</v>
      </c>
      <c r="L12021">
        <v>48.23</v>
      </c>
    </row>
    <row r="12022" spans="1:12" x14ac:dyDescent="0.25">
      <c r="A12022" t="str">
        <f t="shared" si="2598"/>
        <v>89301000</v>
      </c>
      <c r="B12022" t="str">
        <f t="shared" si="2604"/>
        <v>91866000</v>
      </c>
      <c r="C12022" t="str">
        <f t="shared" si="2605"/>
        <v>91866313</v>
      </c>
      <c r="D12022" t="str">
        <f t="shared" si="2606"/>
        <v>802</v>
      </c>
      <c r="E12022" t="str">
        <f t="shared" si="2613"/>
        <v>89301704</v>
      </c>
      <c r="F12022" t="str">
        <f t="shared" si="2614"/>
        <v>1356010018</v>
      </c>
      <c r="G12022" s="1">
        <v>44903</v>
      </c>
      <c r="H12022" t="str">
        <f t="shared" si="2612"/>
        <v>82087</v>
      </c>
      <c r="I12022">
        <v>1</v>
      </c>
      <c r="J12022">
        <v>53</v>
      </c>
      <c r="K12022">
        <v>0</v>
      </c>
      <c r="L12022">
        <v>48.23</v>
      </c>
    </row>
    <row r="12023" spans="1:12" x14ac:dyDescent="0.25">
      <c r="A12023" t="str">
        <f t="shared" si="2598"/>
        <v>89301000</v>
      </c>
      <c r="B12023" t="str">
        <f t="shared" si="2604"/>
        <v>91866000</v>
      </c>
      <c r="C12023" t="str">
        <f t="shared" si="2605"/>
        <v>91866313</v>
      </c>
      <c r="D12023" t="str">
        <f t="shared" si="2606"/>
        <v>802</v>
      </c>
      <c r="E12023" t="str">
        <f t="shared" si="2613"/>
        <v>89301704</v>
      </c>
      <c r="F12023" t="str">
        <f t="shared" si="2614"/>
        <v>1356010018</v>
      </c>
      <c r="G12023" s="1">
        <v>44904</v>
      </c>
      <c r="H12023" t="str">
        <f t="shared" si="2612"/>
        <v>82087</v>
      </c>
      <c r="I12023">
        <v>1</v>
      </c>
      <c r="J12023">
        <v>53</v>
      </c>
      <c r="K12023">
        <v>0</v>
      </c>
      <c r="L12023">
        <v>48.23</v>
      </c>
    </row>
    <row r="12024" spans="1:12" x14ac:dyDescent="0.25">
      <c r="A12024" t="str">
        <f t="shared" si="2598"/>
        <v>89301000</v>
      </c>
      <c r="B12024" t="str">
        <f t="shared" si="2604"/>
        <v>91866000</v>
      </c>
      <c r="C12024" t="str">
        <f t="shared" si="2605"/>
        <v>91866313</v>
      </c>
      <c r="D12024" t="str">
        <f t="shared" si="2606"/>
        <v>802</v>
      </c>
      <c r="E12024" t="str">
        <f t="shared" si="2613"/>
        <v>89301704</v>
      </c>
      <c r="F12024" t="str">
        <f t="shared" si="2614"/>
        <v>1356010018</v>
      </c>
      <c r="G12024" s="1">
        <v>44904</v>
      </c>
      <c r="H12024" t="str">
        <f t="shared" si="2612"/>
        <v>82087</v>
      </c>
      <c r="I12024">
        <v>1</v>
      </c>
      <c r="J12024">
        <v>53</v>
      </c>
      <c r="K12024">
        <v>0</v>
      </c>
      <c r="L12024">
        <v>48.23</v>
      </c>
    </row>
    <row r="12025" spans="1:12" x14ac:dyDescent="0.25">
      <c r="A12025" t="str">
        <f t="shared" si="2598"/>
        <v>89301000</v>
      </c>
      <c r="B12025" t="str">
        <f t="shared" si="2604"/>
        <v>91866000</v>
      </c>
      <c r="C12025" t="str">
        <f t="shared" si="2605"/>
        <v>91866313</v>
      </c>
      <c r="D12025" t="str">
        <f t="shared" si="2606"/>
        <v>802</v>
      </c>
      <c r="E12025" t="str">
        <f t="shared" si="2613"/>
        <v>89301704</v>
      </c>
      <c r="F12025" t="str">
        <f t="shared" si="2614"/>
        <v>1356010018</v>
      </c>
      <c r="G12025" s="1">
        <v>44905</v>
      </c>
      <c r="H12025" t="str">
        <f t="shared" si="2612"/>
        <v>82087</v>
      </c>
      <c r="I12025">
        <v>1</v>
      </c>
      <c r="J12025">
        <v>53</v>
      </c>
      <c r="K12025">
        <v>0</v>
      </c>
      <c r="L12025">
        <v>48.23</v>
      </c>
    </row>
    <row r="12026" spans="1:12" x14ac:dyDescent="0.25">
      <c r="A12026" t="str">
        <f t="shared" si="2598"/>
        <v>89301000</v>
      </c>
      <c r="B12026" t="str">
        <f t="shared" si="2604"/>
        <v>91866000</v>
      </c>
      <c r="C12026" t="str">
        <f t="shared" si="2605"/>
        <v>91866313</v>
      </c>
      <c r="D12026" t="str">
        <f t="shared" si="2606"/>
        <v>802</v>
      </c>
      <c r="E12026" t="str">
        <f t="shared" si="2613"/>
        <v>89301704</v>
      </c>
      <c r="F12026" t="str">
        <f t="shared" ref="F12026:F12031" si="2615">"0862255999"</f>
        <v>0862255999</v>
      </c>
      <c r="G12026" s="1">
        <v>44904</v>
      </c>
      <c r="H12026" t="str">
        <f t="shared" si="2612"/>
        <v>82087</v>
      </c>
      <c r="I12026">
        <v>1</v>
      </c>
      <c r="J12026">
        <v>53</v>
      </c>
      <c r="K12026">
        <v>0</v>
      </c>
      <c r="L12026">
        <v>48.23</v>
      </c>
    </row>
    <row r="12027" spans="1:12" x14ac:dyDescent="0.25">
      <c r="A12027" t="str">
        <f t="shared" si="2598"/>
        <v>89301000</v>
      </c>
      <c r="B12027" t="str">
        <f t="shared" si="2604"/>
        <v>91866000</v>
      </c>
      <c r="C12027" t="str">
        <f t="shared" si="2605"/>
        <v>91866313</v>
      </c>
      <c r="D12027" t="str">
        <f t="shared" si="2606"/>
        <v>802</v>
      </c>
      <c r="E12027" t="str">
        <f t="shared" si="2613"/>
        <v>89301704</v>
      </c>
      <c r="F12027" t="str">
        <f t="shared" si="2615"/>
        <v>0862255999</v>
      </c>
      <c r="G12027" s="1">
        <v>44903</v>
      </c>
      <c r="H12027" t="str">
        <f t="shared" si="2612"/>
        <v>82087</v>
      </c>
      <c r="I12027">
        <v>1</v>
      </c>
      <c r="J12027">
        <v>53</v>
      </c>
      <c r="K12027">
        <v>0</v>
      </c>
      <c r="L12027">
        <v>48.23</v>
      </c>
    </row>
    <row r="12028" spans="1:12" x14ac:dyDescent="0.25">
      <c r="A12028" t="str">
        <f t="shared" si="2598"/>
        <v>89301000</v>
      </c>
      <c r="B12028" t="str">
        <f t="shared" si="2604"/>
        <v>91866000</v>
      </c>
      <c r="C12028" t="str">
        <f t="shared" si="2605"/>
        <v>91866313</v>
      </c>
      <c r="D12028" t="str">
        <f t="shared" si="2606"/>
        <v>802</v>
      </c>
      <c r="E12028" t="str">
        <f t="shared" si="2613"/>
        <v>89301704</v>
      </c>
      <c r="F12028" t="str">
        <f t="shared" si="2615"/>
        <v>0862255999</v>
      </c>
      <c r="G12028" s="1">
        <v>44905</v>
      </c>
      <c r="H12028" t="str">
        <f t="shared" si="2612"/>
        <v>82087</v>
      </c>
      <c r="I12028">
        <v>1</v>
      </c>
      <c r="J12028">
        <v>53</v>
      </c>
      <c r="K12028">
        <v>0</v>
      </c>
      <c r="L12028">
        <v>48.23</v>
      </c>
    </row>
    <row r="12029" spans="1:12" x14ac:dyDescent="0.25">
      <c r="A12029" t="str">
        <f t="shared" si="2598"/>
        <v>89301000</v>
      </c>
      <c r="B12029" t="str">
        <f t="shared" si="2604"/>
        <v>91866000</v>
      </c>
      <c r="C12029" t="str">
        <f t="shared" si="2605"/>
        <v>91866313</v>
      </c>
      <c r="D12029" t="str">
        <f t="shared" si="2606"/>
        <v>802</v>
      </c>
      <c r="E12029" t="str">
        <f t="shared" si="2613"/>
        <v>89301704</v>
      </c>
      <c r="F12029" t="str">
        <f t="shared" si="2615"/>
        <v>0862255999</v>
      </c>
      <c r="G12029" s="1">
        <v>44905</v>
      </c>
      <c r="H12029" t="str">
        <f t="shared" si="2612"/>
        <v>82087</v>
      </c>
      <c r="I12029">
        <v>1</v>
      </c>
      <c r="J12029">
        <v>53</v>
      </c>
      <c r="K12029">
        <v>0</v>
      </c>
      <c r="L12029">
        <v>48.23</v>
      </c>
    </row>
    <row r="12030" spans="1:12" x14ac:dyDescent="0.25">
      <c r="A12030" t="str">
        <f t="shared" si="2598"/>
        <v>89301000</v>
      </c>
      <c r="B12030" t="str">
        <f t="shared" si="2604"/>
        <v>91866000</v>
      </c>
      <c r="C12030" t="str">
        <f t="shared" si="2605"/>
        <v>91866313</v>
      </c>
      <c r="D12030" t="str">
        <f t="shared" si="2606"/>
        <v>802</v>
      </c>
      <c r="E12030" t="str">
        <f t="shared" si="2613"/>
        <v>89301704</v>
      </c>
      <c r="F12030" t="str">
        <f t="shared" si="2615"/>
        <v>0862255999</v>
      </c>
      <c r="G12030" s="1">
        <v>44904</v>
      </c>
      <c r="H12030" t="str">
        <f t="shared" si="2612"/>
        <v>82087</v>
      </c>
      <c r="I12030">
        <v>1</v>
      </c>
      <c r="J12030">
        <v>53</v>
      </c>
      <c r="K12030">
        <v>0</v>
      </c>
      <c r="L12030">
        <v>48.23</v>
      </c>
    </row>
    <row r="12031" spans="1:12" x14ac:dyDescent="0.25">
      <c r="A12031" t="str">
        <f t="shared" si="2598"/>
        <v>89301000</v>
      </c>
      <c r="B12031" t="str">
        <f t="shared" si="2604"/>
        <v>91866000</v>
      </c>
      <c r="C12031" t="str">
        <f t="shared" si="2605"/>
        <v>91866313</v>
      </c>
      <c r="D12031" t="str">
        <f t="shared" si="2606"/>
        <v>802</v>
      </c>
      <c r="E12031" t="str">
        <f t="shared" si="2613"/>
        <v>89301704</v>
      </c>
      <c r="F12031" t="str">
        <f t="shared" si="2615"/>
        <v>0862255999</v>
      </c>
      <c r="G12031" s="1">
        <v>44903</v>
      </c>
      <c r="H12031" t="str">
        <f t="shared" si="2612"/>
        <v>82087</v>
      </c>
      <c r="I12031">
        <v>1</v>
      </c>
      <c r="J12031">
        <v>53</v>
      </c>
      <c r="K12031">
        <v>0</v>
      </c>
      <c r="L12031">
        <v>48.23</v>
      </c>
    </row>
    <row r="12032" spans="1:12" x14ac:dyDescent="0.25">
      <c r="A12032" t="str">
        <f t="shared" si="2598"/>
        <v>89301000</v>
      </c>
      <c r="B12032" t="str">
        <f>"86988400"</f>
        <v>86988400</v>
      </c>
      <c r="C12032" t="str">
        <f>"86988401"</f>
        <v>86988401</v>
      </c>
      <c r="D12032" t="str">
        <f t="shared" ref="D12032:D12069" si="2616">"809"</f>
        <v>809</v>
      </c>
      <c r="E12032" t="str">
        <f>"89301062"</f>
        <v>89301062</v>
      </c>
      <c r="F12032" t="str">
        <f>"8011164964"</f>
        <v>8011164964</v>
      </c>
      <c r="G12032" s="1">
        <v>44910</v>
      </c>
      <c r="H12032" t="str">
        <f>"89713"</f>
        <v>89713</v>
      </c>
      <c r="I12032">
        <v>1</v>
      </c>
      <c r="J12032">
        <v>5362</v>
      </c>
      <c r="K12032">
        <v>0</v>
      </c>
      <c r="L12032">
        <v>3217.2</v>
      </c>
    </row>
    <row r="12033" spans="1:12" x14ac:dyDescent="0.25">
      <c r="A12033" t="str">
        <f t="shared" si="2598"/>
        <v>89301000</v>
      </c>
      <c r="B12033" t="str">
        <f>"89511000"</f>
        <v>89511000</v>
      </c>
      <c r="C12033" t="str">
        <f>"89511001"</f>
        <v>89511001</v>
      </c>
      <c r="D12033" t="str">
        <f t="shared" si="2616"/>
        <v>809</v>
      </c>
      <c r="E12033" t="str">
        <f>"89301212"</f>
        <v>89301212</v>
      </c>
      <c r="F12033" t="str">
        <f>"6456041416"</f>
        <v>6456041416</v>
      </c>
      <c r="G12033" s="1">
        <v>44903</v>
      </c>
      <c r="H12033" t="str">
        <f>"89131"</f>
        <v>89131</v>
      </c>
      <c r="I12033">
        <v>2</v>
      </c>
      <c r="J12033">
        <v>374</v>
      </c>
      <c r="K12033">
        <v>0</v>
      </c>
      <c r="L12033">
        <v>523.6</v>
      </c>
    </row>
    <row r="12034" spans="1:12" x14ac:dyDescent="0.25">
      <c r="A12034" t="str">
        <f t="shared" ref="A12034:A12097" si="2617">"89301000"</f>
        <v>89301000</v>
      </c>
      <c r="B12034" t="str">
        <f t="shared" ref="B12034:C12053" si="2618">"89063000"</f>
        <v>89063000</v>
      </c>
      <c r="C12034" t="str">
        <f t="shared" si="2618"/>
        <v>89063000</v>
      </c>
      <c r="D12034" t="str">
        <f t="shared" si="2616"/>
        <v>809</v>
      </c>
      <c r="E12034" t="str">
        <f>"89301036"</f>
        <v>89301036</v>
      </c>
      <c r="F12034" t="str">
        <f>"7653305814"</f>
        <v>7653305814</v>
      </c>
      <c r="G12034" s="1">
        <v>44896</v>
      </c>
      <c r="H12034" t="str">
        <f t="shared" ref="H12034:H12069" si="2619">"89312"</f>
        <v>89312</v>
      </c>
      <c r="I12034">
        <v>3</v>
      </c>
      <c r="J12034">
        <v>906</v>
      </c>
      <c r="K12034">
        <v>0</v>
      </c>
      <c r="L12034">
        <v>951.3</v>
      </c>
    </row>
    <row r="12035" spans="1:12" x14ac:dyDescent="0.25">
      <c r="A12035" t="str">
        <f t="shared" si="2617"/>
        <v>89301000</v>
      </c>
      <c r="B12035" t="str">
        <f t="shared" si="2618"/>
        <v>89063000</v>
      </c>
      <c r="C12035" t="str">
        <f t="shared" si="2618"/>
        <v>89063000</v>
      </c>
      <c r="D12035" t="str">
        <f t="shared" si="2616"/>
        <v>809</v>
      </c>
      <c r="E12035" t="str">
        <f>"89301037"</f>
        <v>89301037</v>
      </c>
      <c r="F12035" t="str">
        <f>"6461160541"</f>
        <v>6461160541</v>
      </c>
      <c r="G12035" s="1">
        <v>44896</v>
      </c>
      <c r="H12035" t="str">
        <f t="shared" si="2619"/>
        <v>89312</v>
      </c>
      <c r="I12035">
        <v>3</v>
      </c>
      <c r="J12035">
        <v>906</v>
      </c>
      <c r="K12035">
        <v>0</v>
      </c>
      <c r="L12035">
        <v>951.3</v>
      </c>
    </row>
    <row r="12036" spans="1:12" x14ac:dyDescent="0.25">
      <c r="A12036" t="str">
        <f t="shared" si="2617"/>
        <v>89301000</v>
      </c>
      <c r="B12036" t="str">
        <f t="shared" si="2618"/>
        <v>89063000</v>
      </c>
      <c r="C12036" t="str">
        <f t="shared" si="2618"/>
        <v>89063000</v>
      </c>
      <c r="D12036" t="str">
        <f t="shared" si="2616"/>
        <v>809</v>
      </c>
      <c r="E12036" t="str">
        <f>"89301037"</f>
        <v>89301037</v>
      </c>
      <c r="F12036" t="str">
        <f>"6752120298"</f>
        <v>6752120298</v>
      </c>
      <c r="G12036" s="1">
        <v>44897</v>
      </c>
      <c r="H12036" t="str">
        <f t="shared" si="2619"/>
        <v>89312</v>
      </c>
      <c r="I12036">
        <v>3</v>
      </c>
      <c r="J12036">
        <v>906</v>
      </c>
      <c r="K12036">
        <v>0</v>
      </c>
      <c r="L12036">
        <v>951.3</v>
      </c>
    </row>
    <row r="12037" spans="1:12" x14ac:dyDescent="0.25">
      <c r="A12037" t="str">
        <f t="shared" si="2617"/>
        <v>89301000</v>
      </c>
      <c r="B12037" t="str">
        <f t="shared" si="2618"/>
        <v>89063000</v>
      </c>
      <c r="C12037" t="str">
        <f t="shared" si="2618"/>
        <v>89063000</v>
      </c>
      <c r="D12037" t="str">
        <f t="shared" si="2616"/>
        <v>809</v>
      </c>
      <c r="E12037" t="str">
        <f>"89301162"</f>
        <v>89301162</v>
      </c>
      <c r="F12037" t="str">
        <f>"0102265295"</f>
        <v>0102265295</v>
      </c>
      <c r="G12037" s="1">
        <v>44897</v>
      </c>
      <c r="H12037" t="str">
        <f t="shared" si="2619"/>
        <v>89312</v>
      </c>
      <c r="I12037">
        <v>3</v>
      </c>
      <c r="J12037">
        <v>906</v>
      </c>
      <c r="K12037">
        <v>0</v>
      </c>
      <c r="L12037">
        <v>951.3</v>
      </c>
    </row>
    <row r="12038" spans="1:12" x14ac:dyDescent="0.25">
      <c r="A12038" t="str">
        <f t="shared" si="2617"/>
        <v>89301000</v>
      </c>
      <c r="B12038" t="str">
        <f t="shared" si="2618"/>
        <v>89063000</v>
      </c>
      <c r="C12038" t="str">
        <f t="shared" si="2618"/>
        <v>89063000</v>
      </c>
      <c r="D12038" t="str">
        <f t="shared" si="2616"/>
        <v>809</v>
      </c>
      <c r="E12038" t="str">
        <f>"89301037"</f>
        <v>89301037</v>
      </c>
      <c r="F12038" t="str">
        <f>"5853301102"</f>
        <v>5853301102</v>
      </c>
      <c r="G12038" s="1">
        <v>44901</v>
      </c>
      <c r="H12038" t="str">
        <f t="shared" si="2619"/>
        <v>89312</v>
      </c>
      <c r="I12038">
        <v>3</v>
      </c>
      <c r="J12038">
        <v>906</v>
      </c>
      <c r="K12038">
        <v>0</v>
      </c>
      <c r="L12038">
        <v>951.3</v>
      </c>
    </row>
    <row r="12039" spans="1:12" x14ac:dyDescent="0.25">
      <c r="A12039" t="str">
        <f t="shared" si="2617"/>
        <v>89301000</v>
      </c>
      <c r="B12039" t="str">
        <f t="shared" si="2618"/>
        <v>89063000</v>
      </c>
      <c r="C12039" t="str">
        <f t="shared" si="2618"/>
        <v>89063000</v>
      </c>
      <c r="D12039" t="str">
        <f t="shared" si="2616"/>
        <v>809</v>
      </c>
      <c r="E12039" t="str">
        <f>"89301212"</f>
        <v>89301212</v>
      </c>
      <c r="F12039" t="str">
        <f>"7752114502"</f>
        <v>7752114502</v>
      </c>
      <c r="G12039" s="1">
        <v>44901</v>
      </c>
      <c r="H12039" t="str">
        <f t="shared" si="2619"/>
        <v>89312</v>
      </c>
      <c r="I12039">
        <v>3</v>
      </c>
      <c r="J12039">
        <v>906</v>
      </c>
      <c r="K12039">
        <v>0</v>
      </c>
      <c r="L12039">
        <v>951.3</v>
      </c>
    </row>
    <row r="12040" spans="1:12" x14ac:dyDescent="0.25">
      <c r="A12040" t="str">
        <f t="shared" si="2617"/>
        <v>89301000</v>
      </c>
      <c r="B12040" t="str">
        <f t="shared" si="2618"/>
        <v>89063000</v>
      </c>
      <c r="C12040" t="str">
        <f t="shared" si="2618"/>
        <v>89063000</v>
      </c>
      <c r="D12040" t="str">
        <f t="shared" si="2616"/>
        <v>809</v>
      </c>
      <c r="E12040" t="str">
        <f>"89301036"</f>
        <v>89301036</v>
      </c>
      <c r="F12040" t="str">
        <f>"7004235370"</f>
        <v>7004235370</v>
      </c>
      <c r="G12040" s="1">
        <v>44901</v>
      </c>
      <c r="H12040" t="str">
        <f t="shared" si="2619"/>
        <v>89312</v>
      </c>
      <c r="I12040">
        <v>3</v>
      </c>
      <c r="J12040">
        <v>906</v>
      </c>
      <c r="K12040">
        <v>0</v>
      </c>
      <c r="L12040">
        <v>951.3</v>
      </c>
    </row>
    <row r="12041" spans="1:12" x14ac:dyDescent="0.25">
      <c r="A12041" t="str">
        <f t="shared" si="2617"/>
        <v>89301000</v>
      </c>
      <c r="B12041" t="str">
        <f t="shared" si="2618"/>
        <v>89063000</v>
      </c>
      <c r="C12041" t="str">
        <f t="shared" si="2618"/>
        <v>89063000</v>
      </c>
      <c r="D12041" t="str">
        <f t="shared" si="2616"/>
        <v>809</v>
      </c>
      <c r="E12041" t="str">
        <f>"89301037"</f>
        <v>89301037</v>
      </c>
      <c r="F12041" t="str">
        <f>"8903035702"</f>
        <v>8903035702</v>
      </c>
      <c r="G12041" s="1">
        <v>44902</v>
      </c>
      <c r="H12041" t="str">
        <f t="shared" si="2619"/>
        <v>89312</v>
      </c>
      <c r="I12041">
        <v>3</v>
      </c>
      <c r="J12041">
        <v>906</v>
      </c>
      <c r="K12041">
        <v>0</v>
      </c>
      <c r="L12041">
        <v>951.3</v>
      </c>
    </row>
    <row r="12042" spans="1:12" x14ac:dyDescent="0.25">
      <c r="A12042" t="str">
        <f t="shared" si="2617"/>
        <v>89301000</v>
      </c>
      <c r="B12042" t="str">
        <f t="shared" si="2618"/>
        <v>89063000</v>
      </c>
      <c r="C12042" t="str">
        <f t="shared" si="2618"/>
        <v>89063000</v>
      </c>
      <c r="D12042" t="str">
        <f t="shared" si="2616"/>
        <v>809</v>
      </c>
      <c r="E12042" t="str">
        <f>"89301162"</f>
        <v>89301162</v>
      </c>
      <c r="F12042" t="str">
        <f>"7204105788"</f>
        <v>7204105788</v>
      </c>
      <c r="G12042" s="1">
        <v>44902</v>
      </c>
      <c r="H12042" t="str">
        <f t="shared" si="2619"/>
        <v>89312</v>
      </c>
      <c r="I12042">
        <v>3</v>
      </c>
      <c r="J12042">
        <v>906</v>
      </c>
      <c r="K12042">
        <v>0</v>
      </c>
      <c r="L12042">
        <v>951.3</v>
      </c>
    </row>
    <row r="12043" spans="1:12" x14ac:dyDescent="0.25">
      <c r="A12043" t="str">
        <f t="shared" si="2617"/>
        <v>89301000</v>
      </c>
      <c r="B12043" t="str">
        <f t="shared" si="2618"/>
        <v>89063000</v>
      </c>
      <c r="C12043" t="str">
        <f t="shared" si="2618"/>
        <v>89063000</v>
      </c>
      <c r="D12043" t="str">
        <f t="shared" si="2616"/>
        <v>809</v>
      </c>
      <c r="E12043" t="str">
        <f>"89301336"</f>
        <v>89301336</v>
      </c>
      <c r="F12043" t="str">
        <f>"5952281555"</f>
        <v>5952281555</v>
      </c>
      <c r="G12043" s="1">
        <v>44902</v>
      </c>
      <c r="H12043" t="str">
        <f t="shared" si="2619"/>
        <v>89312</v>
      </c>
      <c r="I12043">
        <v>3</v>
      </c>
      <c r="J12043">
        <v>906</v>
      </c>
      <c r="K12043">
        <v>0</v>
      </c>
      <c r="L12043">
        <v>951.3</v>
      </c>
    </row>
    <row r="12044" spans="1:12" x14ac:dyDescent="0.25">
      <c r="A12044" t="str">
        <f t="shared" si="2617"/>
        <v>89301000</v>
      </c>
      <c r="B12044" t="str">
        <f t="shared" si="2618"/>
        <v>89063000</v>
      </c>
      <c r="C12044" t="str">
        <f t="shared" si="2618"/>
        <v>89063000</v>
      </c>
      <c r="D12044" t="str">
        <f t="shared" si="2616"/>
        <v>809</v>
      </c>
      <c r="E12044" t="str">
        <f>"89301037"</f>
        <v>89301037</v>
      </c>
      <c r="F12044" t="str">
        <f>"7359135311"</f>
        <v>7359135311</v>
      </c>
      <c r="G12044" s="1">
        <v>44902</v>
      </c>
      <c r="H12044" t="str">
        <f t="shared" si="2619"/>
        <v>89312</v>
      </c>
      <c r="I12044">
        <v>3</v>
      </c>
      <c r="J12044">
        <v>906</v>
      </c>
      <c r="K12044">
        <v>0</v>
      </c>
      <c r="L12044">
        <v>951.3</v>
      </c>
    </row>
    <row r="12045" spans="1:12" x14ac:dyDescent="0.25">
      <c r="A12045" t="str">
        <f t="shared" si="2617"/>
        <v>89301000</v>
      </c>
      <c r="B12045" t="str">
        <f t="shared" si="2618"/>
        <v>89063000</v>
      </c>
      <c r="C12045" t="str">
        <f t="shared" si="2618"/>
        <v>89063000</v>
      </c>
      <c r="D12045" t="str">
        <f t="shared" si="2616"/>
        <v>809</v>
      </c>
      <c r="E12045" t="str">
        <f>"89301037"</f>
        <v>89301037</v>
      </c>
      <c r="F12045" t="str">
        <f>"505307144"</f>
        <v>505307144</v>
      </c>
      <c r="G12045" s="1">
        <v>44903</v>
      </c>
      <c r="H12045" t="str">
        <f t="shared" si="2619"/>
        <v>89312</v>
      </c>
      <c r="I12045">
        <v>3</v>
      </c>
      <c r="J12045">
        <v>906</v>
      </c>
      <c r="K12045">
        <v>0</v>
      </c>
      <c r="L12045">
        <v>951.3</v>
      </c>
    </row>
    <row r="12046" spans="1:12" x14ac:dyDescent="0.25">
      <c r="A12046" t="str">
        <f t="shared" si="2617"/>
        <v>89301000</v>
      </c>
      <c r="B12046" t="str">
        <f t="shared" si="2618"/>
        <v>89063000</v>
      </c>
      <c r="C12046" t="str">
        <f t="shared" si="2618"/>
        <v>89063000</v>
      </c>
      <c r="D12046" t="str">
        <f t="shared" si="2616"/>
        <v>809</v>
      </c>
      <c r="E12046" t="str">
        <f>"89301037"</f>
        <v>89301037</v>
      </c>
      <c r="F12046" t="str">
        <f>"5756201803"</f>
        <v>5756201803</v>
      </c>
      <c r="G12046" s="1">
        <v>44904</v>
      </c>
      <c r="H12046" t="str">
        <f t="shared" si="2619"/>
        <v>89312</v>
      </c>
      <c r="I12046">
        <v>3</v>
      </c>
      <c r="J12046">
        <v>906</v>
      </c>
      <c r="K12046">
        <v>0</v>
      </c>
      <c r="L12046">
        <v>951.3</v>
      </c>
    </row>
    <row r="12047" spans="1:12" x14ac:dyDescent="0.25">
      <c r="A12047" t="str">
        <f t="shared" si="2617"/>
        <v>89301000</v>
      </c>
      <c r="B12047" t="str">
        <f t="shared" si="2618"/>
        <v>89063000</v>
      </c>
      <c r="C12047" t="str">
        <f t="shared" si="2618"/>
        <v>89063000</v>
      </c>
      <c r="D12047" t="str">
        <f t="shared" si="2616"/>
        <v>809</v>
      </c>
      <c r="E12047" t="str">
        <f>"89301702"</f>
        <v>89301702</v>
      </c>
      <c r="F12047" t="str">
        <f>"0752285270"</f>
        <v>0752285270</v>
      </c>
      <c r="G12047" s="1">
        <v>44904</v>
      </c>
      <c r="H12047" t="str">
        <f t="shared" si="2619"/>
        <v>89312</v>
      </c>
      <c r="I12047">
        <v>1</v>
      </c>
      <c r="J12047">
        <v>302</v>
      </c>
      <c r="K12047">
        <v>0</v>
      </c>
      <c r="L12047">
        <v>317.10000000000002</v>
      </c>
    </row>
    <row r="12048" spans="1:12" x14ac:dyDescent="0.25">
      <c r="A12048" t="str">
        <f t="shared" si="2617"/>
        <v>89301000</v>
      </c>
      <c r="B12048" t="str">
        <f t="shared" si="2618"/>
        <v>89063000</v>
      </c>
      <c r="C12048" t="str">
        <f t="shared" si="2618"/>
        <v>89063000</v>
      </c>
      <c r="D12048" t="str">
        <f t="shared" si="2616"/>
        <v>809</v>
      </c>
      <c r="E12048" t="str">
        <f>"89301037"</f>
        <v>89301037</v>
      </c>
      <c r="F12048" t="str">
        <f>"5954050762"</f>
        <v>5954050762</v>
      </c>
      <c r="G12048" s="1">
        <v>44907</v>
      </c>
      <c r="H12048" t="str">
        <f t="shared" si="2619"/>
        <v>89312</v>
      </c>
      <c r="I12048">
        <v>3</v>
      </c>
      <c r="J12048">
        <v>906</v>
      </c>
      <c r="K12048">
        <v>0</v>
      </c>
      <c r="L12048">
        <v>951.3</v>
      </c>
    </row>
    <row r="12049" spans="1:12" x14ac:dyDescent="0.25">
      <c r="A12049" t="str">
        <f t="shared" si="2617"/>
        <v>89301000</v>
      </c>
      <c r="B12049" t="str">
        <f t="shared" si="2618"/>
        <v>89063000</v>
      </c>
      <c r="C12049" t="str">
        <f t="shared" si="2618"/>
        <v>89063000</v>
      </c>
      <c r="D12049" t="str">
        <f t="shared" si="2616"/>
        <v>809</v>
      </c>
      <c r="E12049" t="str">
        <f>"89301039"</f>
        <v>89301039</v>
      </c>
      <c r="F12049" t="str">
        <f>"8856294931"</f>
        <v>8856294931</v>
      </c>
      <c r="G12049" s="1">
        <v>44907</v>
      </c>
      <c r="H12049" t="str">
        <f t="shared" si="2619"/>
        <v>89312</v>
      </c>
      <c r="I12049">
        <v>3</v>
      </c>
      <c r="J12049">
        <v>906</v>
      </c>
      <c r="K12049">
        <v>0</v>
      </c>
      <c r="L12049">
        <v>951.3</v>
      </c>
    </row>
    <row r="12050" spans="1:12" x14ac:dyDescent="0.25">
      <c r="A12050" t="str">
        <f t="shared" si="2617"/>
        <v>89301000</v>
      </c>
      <c r="B12050" t="str">
        <f t="shared" si="2618"/>
        <v>89063000</v>
      </c>
      <c r="C12050" t="str">
        <f t="shared" si="2618"/>
        <v>89063000</v>
      </c>
      <c r="D12050" t="str">
        <f t="shared" si="2616"/>
        <v>809</v>
      </c>
      <c r="E12050" t="str">
        <f>"89301039"</f>
        <v>89301039</v>
      </c>
      <c r="F12050" t="str">
        <f>"9810015710"</f>
        <v>9810015710</v>
      </c>
      <c r="G12050" s="1">
        <v>44907</v>
      </c>
      <c r="H12050" t="str">
        <f t="shared" si="2619"/>
        <v>89312</v>
      </c>
      <c r="I12050">
        <v>3</v>
      </c>
      <c r="J12050">
        <v>906</v>
      </c>
      <c r="K12050">
        <v>0</v>
      </c>
      <c r="L12050">
        <v>951.3</v>
      </c>
    </row>
    <row r="12051" spans="1:12" x14ac:dyDescent="0.25">
      <c r="A12051" t="str">
        <f t="shared" si="2617"/>
        <v>89301000</v>
      </c>
      <c r="B12051" t="str">
        <f t="shared" si="2618"/>
        <v>89063000</v>
      </c>
      <c r="C12051" t="str">
        <f t="shared" si="2618"/>
        <v>89063000</v>
      </c>
      <c r="D12051" t="str">
        <f t="shared" si="2616"/>
        <v>809</v>
      </c>
      <c r="E12051" t="str">
        <f t="shared" ref="E12051:E12060" si="2620">"89301037"</f>
        <v>89301037</v>
      </c>
      <c r="F12051" t="str">
        <f>"8054025430"</f>
        <v>8054025430</v>
      </c>
      <c r="G12051" s="1">
        <v>44907</v>
      </c>
      <c r="H12051" t="str">
        <f t="shared" si="2619"/>
        <v>89312</v>
      </c>
      <c r="I12051">
        <v>3</v>
      </c>
      <c r="J12051">
        <v>906</v>
      </c>
      <c r="K12051">
        <v>0</v>
      </c>
      <c r="L12051">
        <v>951.3</v>
      </c>
    </row>
    <row r="12052" spans="1:12" x14ac:dyDescent="0.25">
      <c r="A12052" t="str">
        <f t="shared" si="2617"/>
        <v>89301000</v>
      </c>
      <c r="B12052" t="str">
        <f t="shared" si="2618"/>
        <v>89063000</v>
      </c>
      <c r="C12052" t="str">
        <f t="shared" si="2618"/>
        <v>89063000</v>
      </c>
      <c r="D12052" t="str">
        <f t="shared" si="2616"/>
        <v>809</v>
      </c>
      <c r="E12052" t="str">
        <f t="shared" si="2620"/>
        <v>89301037</v>
      </c>
      <c r="F12052" t="str">
        <f>"6458271413"</f>
        <v>6458271413</v>
      </c>
      <c r="G12052" s="1">
        <v>44907</v>
      </c>
      <c r="H12052" t="str">
        <f t="shared" si="2619"/>
        <v>89312</v>
      </c>
      <c r="I12052">
        <v>3</v>
      </c>
      <c r="J12052">
        <v>906</v>
      </c>
      <c r="K12052">
        <v>0</v>
      </c>
      <c r="L12052">
        <v>951.3</v>
      </c>
    </row>
    <row r="12053" spans="1:12" x14ac:dyDescent="0.25">
      <c r="A12053" t="str">
        <f t="shared" si="2617"/>
        <v>89301000</v>
      </c>
      <c r="B12053" t="str">
        <f t="shared" si="2618"/>
        <v>89063000</v>
      </c>
      <c r="C12053" t="str">
        <f t="shared" si="2618"/>
        <v>89063000</v>
      </c>
      <c r="D12053" t="str">
        <f t="shared" si="2616"/>
        <v>809</v>
      </c>
      <c r="E12053" t="str">
        <f t="shared" si="2620"/>
        <v>89301037</v>
      </c>
      <c r="F12053" t="str">
        <f>"6054232019"</f>
        <v>6054232019</v>
      </c>
      <c r="G12053" s="1">
        <v>44908</v>
      </c>
      <c r="H12053" t="str">
        <f t="shared" si="2619"/>
        <v>89312</v>
      </c>
      <c r="I12053">
        <v>3</v>
      </c>
      <c r="J12053">
        <v>906</v>
      </c>
      <c r="K12053">
        <v>0</v>
      </c>
      <c r="L12053">
        <v>951.3</v>
      </c>
    </row>
    <row r="12054" spans="1:12" x14ac:dyDescent="0.25">
      <c r="A12054" t="str">
        <f t="shared" si="2617"/>
        <v>89301000</v>
      </c>
      <c r="B12054" t="str">
        <f t="shared" ref="B12054:C12069" si="2621">"89063000"</f>
        <v>89063000</v>
      </c>
      <c r="C12054" t="str">
        <f t="shared" si="2621"/>
        <v>89063000</v>
      </c>
      <c r="D12054" t="str">
        <f t="shared" si="2616"/>
        <v>809</v>
      </c>
      <c r="E12054" t="str">
        <f t="shared" si="2620"/>
        <v>89301037</v>
      </c>
      <c r="F12054" t="str">
        <f>"5958171494"</f>
        <v>5958171494</v>
      </c>
      <c r="G12054" s="1">
        <v>44908</v>
      </c>
      <c r="H12054" t="str">
        <f t="shared" si="2619"/>
        <v>89312</v>
      </c>
      <c r="I12054">
        <v>3</v>
      </c>
      <c r="J12054">
        <v>906</v>
      </c>
      <c r="K12054">
        <v>0</v>
      </c>
      <c r="L12054">
        <v>951.3</v>
      </c>
    </row>
    <row r="12055" spans="1:12" x14ac:dyDescent="0.25">
      <c r="A12055" t="str">
        <f t="shared" si="2617"/>
        <v>89301000</v>
      </c>
      <c r="B12055" t="str">
        <f t="shared" si="2621"/>
        <v>89063000</v>
      </c>
      <c r="C12055" t="str">
        <f t="shared" si="2621"/>
        <v>89063000</v>
      </c>
      <c r="D12055" t="str">
        <f t="shared" si="2616"/>
        <v>809</v>
      </c>
      <c r="E12055" t="str">
        <f t="shared" si="2620"/>
        <v>89301037</v>
      </c>
      <c r="F12055" t="str">
        <f>"425330448"</f>
        <v>425330448</v>
      </c>
      <c r="G12055" s="1">
        <v>44908</v>
      </c>
      <c r="H12055" t="str">
        <f t="shared" si="2619"/>
        <v>89312</v>
      </c>
      <c r="I12055">
        <v>3</v>
      </c>
      <c r="J12055">
        <v>906</v>
      </c>
      <c r="K12055">
        <v>0</v>
      </c>
      <c r="L12055">
        <v>951.3</v>
      </c>
    </row>
    <row r="12056" spans="1:12" x14ac:dyDescent="0.25">
      <c r="A12056" t="str">
        <f t="shared" si="2617"/>
        <v>89301000</v>
      </c>
      <c r="B12056" t="str">
        <f t="shared" si="2621"/>
        <v>89063000</v>
      </c>
      <c r="C12056" t="str">
        <f t="shared" si="2621"/>
        <v>89063000</v>
      </c>
      <c r="D12056" t="str">
        <f t="shared" si="2616"/>
        <v>809</v>
      </c>
      <c r="E12056" t="str">
        <f t="shared" si="2620"/>
        <v>89301037</v>
      </c>
      <c r="F12056" t="str">
        <f>"441120426"</f>
        <v>441120426</v>
      </c>
      <c r="G12056" s="1">
        <v>44909</v>
      </c>
      <c r="H12056" t="str">
        <f t="shared" si="2619"/>
        <v>89312</v>
      </c>
      <c r="I12056">
        <v>3</v>
      </c>
      <c r="J12056">
        <v>906</v>
      </c>
      <c r="K12056">
        <v>0</v>
      </c>
      <c r="L12056">
        <v>951.3</v>
      </c>
    </row>
    <row r="12057" spans="1:12" x14ac:dyDescent="0.25">
      <c r="A12057" t="str">
        <f t="shared" si="2617"/>
        <v>89301000</v>
      </c>
      <c r="B12057" t="str">
        <f t="shared" si="2621"/>
        <v>89063000</v>
      </c>
      <c r="C12057" t="str">
        <f t="shared" si="2621"/>
        <v>89063000</v>
      </c>
      <c r="D12057" t="str">
        <f t="shared" si="2616"/>
        <v>809</v>
      </c>
      <c r="E12057" t="str">
        <f t="shared" si="2620"/>
        <v>89301037</v>
      </c>
      <c r="F12057" t="str">
        <f>"7455195836"</f>
        <v>7455195836</v>
      </c>
      <c r="G12057" s="1">
        <v>44909</v>
      </c>
      <c r="H12057" t="str">
        <f t="shared" si="2619"/>
        <v>89312</v>
      </c>
      <c r="I12057">
        <v>3</v>
      </c>
      <c r="J12057">
        <v>906</v>
      </c>
      <c r="K12057">
        <v>0</v>
      </c>
      <c r="L12057">
        <v>951.3</v>
      </c>
    </row>
    <row r="12058" spans="1:12" x14ac:dyDescent="0.25">
      <c r="A12058" t="str">
        <f t="shared" si="2617"/>
        <v>89301000</v>
      </c>
      <c r="B12058" t="str">
        <f t="shared" si="2621"/>
        <v>89063000</v>
      </c>
      <c r="C12058" t="str">
        <f t="shared" si="2621"/>
        <v>89063000</v>
      </c>
      <c r="D12058" t="str">
        <f t="shared" si="2616"/>
        <v>809</v>
      </c>
      <c r="E12058" t="str">
        <f t="shared" si="2620"/>
        <v>89301037</v>
      </c>
      <c r="F12058" t="str">
        <f>"5603202297"</f>
        <v>5603202297</v>
      </c>
      <c r="G12058" s="1">
        <v>44909</v>
      </c>
      <c r="H12058" t="str">
        <f t="shared" si="2619"/>
        <v>89312</v>
      </c>
      <c r="I12058">
        <v>3</v>
      </c>
      <c r="J12058">
        <v>906</v>
      </c>
      <c r="K12058">
        <v>0</v>
      </c>
      <c r="L12058">
        <v>951.3</v>
      </c>
    </row>
    <row r="12059" spans="1:12" x14ac:dyDescent="0.25">
      <c r="A12059" t="str">
        <f t="shared" si="2617"/>
        <v>89301000</v>
      </c>
      <c r="B12059" t="str">
        <f t="shared" si="2621"/>
        <v>89063000</v>
      </c>
      <c r="C12059" t="str">
        <f t="shared" si="2621"/>
        <v>89063000</v>
      </c>
      <c r="D12059" t="str">
        <f t="shared" si="2616"/>
        <v>809</v>
      </c>
      <c r="E12059" t="str">
        <f t="shared" si="2620"/>
        <v>89301037</v>
      </c>
      <c r="F12059" t="str">
        <f>"445413406"</f>
        <v>445413406</v>
      </c>
      <c r="G12059" s="1">
        <v>44910</v>
      </c>
      <c r="H12059" t="str">
        <f t="shared" si="2619"/>
        <v>89312</v>
      </c>
      <c r="I12059">
        <v>3</v>
      </c>
      <c r="J12059">
        <v>906</v>
      </c>
      <c r="K12059">
        <v>0</v>
      </c>
      <c r="L12059">
        <v>951.3</v>
      </c>
    </row>
    <row r="12060" spans="1:12" x14ac:dyDescent="0.25">
      <c r="A12060" t="str">
        <f t="shared" si="2617"/>
        <v>89301000</v>
      </c>
      <c r="B12060" t="str">
        <f t="shared" si="2621"/>
        <v>89063000</v>
      </c>
      <c r="C12060" t="str">
        <f t="shared" si="2621"/>
        <v>89063000</v>
      </c>
      <c r="D12060" t="str">
        <f t="shared" si="2616"/>
        <v>809</v>
      </c>
      <c r="E12060" t="str">
        <f t="shared" si="2620"/>
        <v>89301037</v>
      </c>
      <c r="F12060" t="str">
        <f>"6358090662"</f>
        <v>6358090662</v>
      </c>
      <c r="G12060" s="1">
        <v>44910</v>
      </c>
      <c r="H12060" t="str">
        <f t="shared" si="2619"/>
        <v>89312</v>
      </c>
      <c r="I12060">
        <v>3</v>
      </c>
      <c r="J12060">
        <v>906</v>
      </c>
      <c r="K12060">
        <v>0</v>
      </c>
      <c r="L12060">
        <v>951.3</v>
      </c>
    </row>
    <row r="12061" spans="1:12" x14ac:dyDescent="0.25">
      <c r="A12061" t="str">
        <f t="shared" si="2617"/>
        <v>89301000</v>
      </c>
      <c r="B12061" t="str">
        <f t="shared" si="2621"/>
        <v>89063000</v>
      </c>
      <c r="C12061" t="str">
        <f t="shared" si="2621"/>
        <v>89063000</v>
      </c>
      <c r="D12061" t="str">
        <f t="shared" si="2616"/>
        <v>809</v>
      </c>
      <c r="E12061" t="str">
        <f>"89301201"</f>
        <v>89301201</v>
      </c>
      <c r="F12061" t="str">
        <f>"7604135330"</f>
        <v>7604135330</v>
      </c>
      <c r="G12061" s="1">
        <v>44910</v>
      </c>
      <c r="H12061" t="str">
        <f t="shared" si="2619"/>
        <v>89312</v>
      </c>
      <c r="I12061">
        <v>3</v>
      </c>
      <c r="J12061">
        <v>906</v>
      </c>
      <c r="K12061">
        <v>0</v>
      </c>
      <c r="L12061">
        <v>951.3</v>
      </c>
    </row>
    <row r="12062" spans="1:12" x14ac:dyDescent="0.25">
      <c r="A12062" t="str">
        <f t="shared" si="2617"/>
        <v>89301000</v>
      </c>
      <c r="B12062" t="str">
        <f t="shared" si="2621"/>
        <v>89063000</v>
      </c>
      <c r="C12062" t="str">
        <f t="shared" si="2621"/>
        <v>89063000</v>
      </c>
      <c r="D12062" t="str">
        <f t="shared" si="2616"/>
        <v>809</v>
      </c>
      <c r="E12062" t="str">
        <f>"89301037"</f>
        <v>89301037</v>
      </c>
      <c r="F12062" t="str">
        <f>"365328429"</f>
        <v>365328429</v>
      </c>
      <c r="G12062" s="1">
        <v>44911</v>
      </c>
      <c r="H12062" t="str">
        <f t="shared" si="2619"/>
        <v>89312</v>
      </c>
      <c r="I12062">
        <v>3</v>
      </c>
      <c r="J12062">
        <v>906</v>
      </c>
      <c r="K12062">
        <v>0</v>
      </c>
      <c r="L12062">
        <v>951.3</v>
      </c>
    </row>
    <row r="12063" spans="1:12" x14ac:dyDescent="0.25">
      <c r="A12063" t="str">
        <f t="shared" si="2617"/>
        <v>89301000</v>
      </c>
      <c r="B12063" t="str">
        <f t="shared" si="2621"/>
        <v>89063000</v>
      </c>
      <c r="C12063" t="str">
        <f t="shared" si="2621"/>
        <v>89063000</v>
      </c>
      <c r="D12063" t="str">
        <f t="shared" si="2616"/>
        <v>809</v>
      </c>
      <c r="E12063" t="str">
        <f>"89301037"</f>
        <v>89301037</v>
      </c>
      <c r="F12063" t="str">
        <f>"6053250907"</f>
        <v>6053250907</v>
      </c>
      <c r="G12063" s="1">
        <v>44911</v>
      </c>
      <c r="H12063" t="str">
        <f t="shared" si="2619"/>
        <v>89312</v>
      </c>
      <c r="I12063">
        <v>3</v>
      </c>
      <c r="J12063">
        <v>906</v>
      </c>
      <c r="K12063">
        <v>0</v>
      </c>
      <c r="L12063">
        <v>951.3</v>
      </c>
    </row>
    <row r="12064" spans="1:12" x14ac:dyDescent="0.25">
      <c r="A12064" t="str">
        <f t="shared" si="2617"/>
        <v>89301000</v>
      </c>
      <c r="B12064" t="str">
        <f t="shared" si="2621"/>
        <v>89063000</v>
      </c>
      <c r="C12064" t="str">
        <f t="shared" si="2621"/>
        <v>89063000</v>
      </c>
      <c r="D12064" t="str">
        <f t="shared" si="2616"/>
        <v>809</v>
      </c>
      <c r="E12064" t="str">
        <f>"89301037"</f>
        <v>89301037</v>
      </c>
      <c r="F12064" t="str">
        <f>"6160310046"</f>
        <v>6160310046</v>
      </c>
      <c r="G12064" s="1">
        <v>44911</v>
      </c>
      <c r="H12064" t="str">
        <f t="shared" si="2619"/>
        <v>89312</v>
      </c>
      <c r="I12064">
        <v>3</v>
      </c>
      <c r="J12064">
        <v>906</v>
      </c>
      <c r="K12064">
        <v>0</v>
      </c>
      <c r="L12064">
        <v>951.3</v>
      </c>
    </row>
    <row r="12065" spans="1:12" x14ac:dyDescent="0.25">
      <c r="A12065" t="str">
        <f t="shared" si="2617"/>
        <v>89301000</v>
      </c>
      <c r="B12065" t="str">
        <f t="shared" si="2621"/>
        <v>89063000</v>
      </c>
      <c r="C12065" t="str">
        <f t="shared" si="2621"/>
        <v>89063000</v>
      </c>
      <c r="D12065" t="str">
        <f t="shared" si="2616"/>
        <v>809</v>
      </c>
      <c r="E12065" t="str">
        <f>"89301212"</f>
        <v>89301212</v>
      </c>
      <c r="F12065" t="str">
        <f>"8160314459"</f>
        <v>8160314459</v>
      </c>
      <c r="G12065" s="1">
        <v>44911</v>
      </c>
      <c r="H12065" t="str">
        <f t="shared" si="2619"/>
        <v>89312</v>
      </c>
      <c r="I12065">
        <v>3</v>
      </c>
      <c r="J12065">
        <v>906</v>
      </c>
      <c r="K12065">
        <v>0</v>
      </c>
      <c r="L12065">
        <v>951.3</v>
      </c>
    </row>
    <row r="12066" spans="1:12" x14ac:dyDescent="0.25">
      <c r="A12066" t="str">
        <f t="shared" si="2617"/>
        <v>89301000</v>
      </c>
      <c r="B12066" t="str">
        <f t="shared" si="2621"/>
        <v>89063000</v>
      </c>
      <c r="C12066" t="str">
        <f t="shared" si="2621"/>
        <v>89063000</v>
      </c>
      <c r="D12066" t="str">
        <f t="shared" si="2616"/>
        <v>809</v>
      </c>
      <c r="E12066" t="str">
        <f>"89301703"</f>
        <v>89301703</v>
      </c>
      <c r="F12066" t="str">
        <f>"0755096067"</f>
        <v>0755096067</v>
      </c>
      <c r="G12066" s="1">
        <v>44911</v>
      </c>
      <c r="H12066" t="str">
        <f t="shared" si="2619"/>
        <v>89312</v>
      </c>
      <c r="I12066">
        <v>1</v>
      </c>
      <c r="J12066">
        <v>302</v>
      </c>
      <c r="K12066">
        <v>0</v>
      </c>
      <c r="L12066">
        <v>317.10000000000002</v>
      </c>
    </row>
    <row r="12067" spans="1:12" x14ac:dyDescent="0.25">
      <c r="A12067" t="str">
        <f t="shared" si="2617"/>
        <v>89301000</v>
      </c>
      <c r="B12067" t="str">
        <f t="shared" si="2621"/>
        <v>89063000</v>
      </c>
      <c r="C12067" t="str">
        <f t="shared" si="2621"/>
        <v>89063000</v>
      </c>
      <c r="D12067" t="str">
        <f t="shared" si="2616"/>
        <v>809</v>
      </c>
      <c r="E12067" t="str">
        <f>"89301037"</f>
        <v>89301037</v>
      </c>
      <c r="F12067" t="str">
        <f>"515621119"</f>
        <v>515621119</v>
      </c>
      <c r="G12067" s="1">
        <v>44911</v>
      </c>
      <c r="H12067" t="str">
        <f t="shared" si="2619"/>
        <v>89312</v>
      </c>
      <c r="I12067">
        <v>3</v>
      </c>
      <c r="J12067">
        <v>906</v>
      </c>
      <c r="K12067">
        <v>0</v>
      </c>
      <c r="L12067">
        <v>951.3</v>
      </c>
    </row>
    <row r="12068" spans="1:12" x14ac:dyDescent="0.25">
      <c r="A12068" t="str">
        <f t="shared" si="2617"/>
        <v>89301000</v>
      </c>
      <c r="B12068" t="str">
        <f t="shared" si="2621"/>
        <v>89063000</v>
      </c>
      <c r="C12068" t="str">
        <f t="shared" si="2621"/>
        <v>89063000</v>
      </c>
      <c r="D12068" t="str">
        <f t="shared" si="2616"/>
        <v>809</v>
      </c>
      <c r="E12068" t="str">
        <f>"89301037"</f>
        <v>89301037</v>
      </c>
      <c r="F12068" t="str">
        <f>"7654163495"</f>
        <v>7654163495</v>
      </c>
      <c r="G12068" s="1">
        <v>44916</v>
      </c>
      <c r="H12068" t="str">
        <f t="shared" si="2619"/>
        <v>89312</v>
      </c>
      <c r="I12068">
        <v>3</v>
      </c>
      <c r="J12068">
        <v>906</v>
      </c>
      <c r="K12068">
        <v>0</v>
      </c>
      <c r="L12068">
        <v>951.3</v>
      </c>
    </row>
    <row r="12069" spans="1:12" x14ac:dyDescent="0.25">
      <c r="A12069" t="str">
        <f t="shared" si="2617"/>
        <v>89301000</v>
      </c>
      <c r="B12069" t="str">
        <f t="shared" si="2621"/>
        <v>89063000</v>
      </c>
      <c r="C12069" t="str">
        <f t="shared" si="2621"/>
        <v>89063000</v>
      </c>
      <c r="D12069" t="str">
        <f t="shared" si="2616"/>
        <v>809</v>
      </c>
      <c r="E12069" t="str">
        <f>"89301031"</f>
        <v>89301031</v>
      </c>
      <c r="F12069" t="str">
        <f>"9306156211"</f>
        <v>9306156211</v>
      </c>
      <c r="G12069" s="1">
        <v>44916</v>
      </c>
      <c r="H12069" t="str">
        <f t="shared" si="2619"/>
        <v>89312</v>
      </c>
      <c r="I12069">
        <v>3</v>
      </c>
      <c r="J12069">
        <v>906</v>
      </c>
      <c r="K12069">
        <v>0</v>
      </c>
      <c r="L12069">
        <v>951.3</v>
      </c>
    </row>
    <row r="12070" spans="1:12" x14ac:dyDescent="0.25">
      <c r="A12070" t="str">
        <f t="shared" si="2617"/>
        <v>89301000</v>
      </c>
      <c r="B12070" t="str">
        <f t="shared" ref="B12070:C12074" si="2622">"92401000"</f>
        <v>92401000</v>
      </c>
      <c r="C12070" t="str">
        <f t="shared" si="2622"/>
        <v>92401000</v>
      </c>
      <c r="D12070" t="str">
        <f>"801"</f>
        <v>801</v>
      </c>
      <c r="E12070" t="str">
        <f>"89301082"</f>
        <v>89301082</v>
      </c>
      <c r="F12070" t="str">
        <f>"9655130958"</f>
        <v>9655130958</v>
      </c>
      <c r="G12070" s="1">
        <v>44922</v>
      </c>
      <c r="H12070" t="str">
        <f>"09119"</f>
        <v>09119</v>
      </c>
      <c r="I12070">
        <v>1</v>
      </c>
      <c r="J12070">
        <v>42</v>
      </c>
      <c r="K12070">
        <v>0</v>
      </c>
      <c r="L12070">
        <v>32.76</v>
      </c>
    </row>
    <row r="12071" spans="1:12" x14ac:dyDescent="0.25">
      <c r="A12071" t="str">
        <f t="shared" si="2617"/>
        <v>89301000</v>
      </c>
      <c r="B12071" t="str">
        <f t="shared" si="2622"/>
        <v>92401000</v>
      </c>
      <c r="C12071" t="str">
        <f t="shared" si="2622"/>
        <v>92401000</v>
      </c>
      <c r="D12071" t="str">
        <f>"801"</f>
        <v>801</v>
      </c>
      <c r="E12071" t="str">
        <f>"89301082"</f>
        <v>89301082</v>
      </c>
      <c r="F12071" t="str">
        <f>"9655130958"</f>
        <v>9655130958</v>
      </c>
      <c r="G12071" s="1">
        <v>44922</v>
      </c>
      <c r="H12071" t="str">
        <f>"93159"</f>
        <v>93159</v>
      </c>
      <c r="I12071">
        <v>1</v>
      </c>
      <c r="J12071">
        <v>195</v>
      </c>
      <c r="K12071">
        <v>0</v>
      </c>
      <c r="L12071">
        <v>152.1</v>
      </c>
    </row>
    <row r="12072" spans="1:12" x14ac:dyDescent="0.25">
      <c r="A12072" t="str">
        <f t="shared" si="2617"/>
        <v>89301000</v>
      </c>
      <c r="B12072" t="str">
        <f t="shared" si="2622"/>
        <v>92401000</v>
      </c>
      <c r="C12072" t="str">
        <f t="shared" si="2622"/>
        <v>92401000</v>
      </c>
      <c r="D12072" t="str">
        <f>"801"</f>
        <v>801</v>
      </c>
      <c r="E12072" t="str">
        <f>"89301082"</f>
        <v>89301082</v>
      </c>
      <c r="F12072" t="str">
        <f>"9655130958"</f>
        <v>9655130958</v>
      </c>
      <c r="G12072" s="1">
        <v>44922</v>
      </c>
      <c r="H12072" t="str">
        <f>"97111"</f>
        <v>97111</v>
      </c>
      <c r="I12072">
        <v>1</v>
      </c>
      <c r="J12072">
        <v>18</v>
      </c>
      <c r="K12072">
        <v>0</v>
      </c>
      <c r="L12072">
        <v>14.04</v>
      </c>
    </row>
    <row r="12073" spans="1:12" x14ac:dyDescent="0.25">
      <c r="A12073" t="str">
        <f t="shared" si="2617"/>
        <v>89301000</v>
      </c>
      <c r="B12073" t="str">
        <f t="shared" si="2622"/>
        <v>92401000</v>
      </c>
      <c r="C12073" t="str">
        <f t="shared" si="2622"/>
        <v>92401000</v>
      </c>
      <c r="D12073" t="str">
        <f>"801"</f>
        <v>801</v>
      </c>
      <c r="E12073" t="str">
        <f>"89301082"</f>
        <v>89301082</v>
      </c>
      <c r="F12073" t="str">
        <f>"9162056068"</f>
        <v>9162056068</v>
      </c>
      <c r="G12073" s="1">
        <v>44922</v>
      </c>
      <c r="H12073" t="str">
        <f>"97111"</f>
        <v>97111</v>
      </c>
      <c r="I12073">
        <v>1</v>
      </c>
      <c r="J12073">
        <v>18</v>
      </c>
      <c r="K12073">
        <v>0</v>
      </c>
      <c r="L12073">
        <v>14.04</v>
      </c>
    </row>
    <row r="12074" spans="1:12" x14ac:dyDescent="0.25">
      <c r="A12074" t="str">
        <f t="shared" si="2617"/>
        <v>89301000</v>
      </c>
      <c r="B12074" t="str">
        <f t="shared" si="2622"/>
        <v>92401000</v>
      </c>
      <c r="C12074" t="str">
        <f t="shared" si="2622"/>
        <v>92401000</v>
      </c>
      <c r="D12074" t="str">
        <f>"801"</f>
        <v>801</v>
      </c>
      <c r="E12074" t="str">
        <f>"89301082"</f>
        <v>89301082</v>
      </c>
      <c r="F12074" t="str">
        <f>"9162056068"</f>
        <v>9162056068</v>
      </c>
      <c r="G12074" s="1">
        <v>44922</v>
      </c>
      <c r="H12074" t="str">
        <f>"93159"</f>
        <v>93159</v>
      </c>
      <c r="I12074">
        <v>1</v>
      </c>
      <c r="J12074">
        <v>195</v>
      </c>
      <c r="K12074">
        <v>0</v>
      </c>
      <c r="L12074">
        <v>152.1</v>
      </c>
    </row>
    <row r="12075" spans="1:12" x14ac:dyDescent="0.25">
      <c r="A12075" t="str">
        <f t="shared" si="2617"/>
        <v>89301000</v>
      </c>
      <c r="B12075" t="str">
        <f t="shared" ref="B12075:B12098" si="2623">"88805000"</f>
        <v>88805000</v>
      </c>
      <c r="C12075" t="str">
        <f t="shared" ref="C12075:C12083" si="2624">"88805014"</f>
        <v>88805014</v>
      </c>
      <c r="D12075" t="str">
        <f t="shared" ref="D12075:D12083" si="2625">"816"</f>
        <v>816</v>
      </c>
      <c r="E12075" t="str">
        <f t="shared" ref="E12075:E12083" si="2626">"89301282"</f>
        <v>89301282</v>
      </c>
      <c r="F12075" t="str">
        <f>"1408230054"</f>
        <v>1408230054</v>
      </c>
      <c r="G12075" s="1">
        <v>44915</v>
      </c>
      <c r="H12075" t="str">
        <f>"94345"</f>
        <v>94345</v>
      </c>
      <c r="I12075">
        <v>1</v>
      </c>
      <c r="J12075">
        <v>4625</v>
      </c>
      <c r="K12075">
        <v>0</v>
      </c>
      <c r="L12075">
        <v>3931.25</v>
      </c>
    </row>
    <row r="12076" spans="1:12" x14ac:dyDescent="0.25">
      <c r="A12076" t="str">
        <f t="shared" si="2617"/>
        <v>89301000</v>
      </c>
      <c r="B12076" t="str">
        <f t="shared" si="2623"/>
        <v>88805000</v>
      </c>
      <c r="C12076" t="str">
        <f t="shared" si="2624"/>
        <v>88805014</v>
      </c>
      <c r="D12076" t="str">
        <f t="shared" si="2625"/>
        <v>816</v>
      </c>
      <c r="E12076" t="str">
        <f t="shared" si="2626"/>
        <v>89301282</v>
      </c>
      <c r="F12076" t="str">
        <f>"1408230054"</f>
        <v>1408230054</v>
      </c>
      <c r="G12076" s="1">
        <v>44915</v>
      </c>
      <c r="H12076" t="str">
        <f>"94948"</f>
        <v>94948</v>
      </c>
      <c r="I12076">
        <v>1</v>
      </c>
      <c r="J12076">
        <v>0</v>
      </c>
      <c r="K12076">
        <v>0</v>
      </c>
      <c r="L12076">
        <v>0</v>
      </c>
    </row>
    <row r="12077" spans="1:12" x14ac:dyDescent="0.25">
      <c r="A12077" t="str">
        <f t="shared" si="2617"/>
        <v>89301000</v>
      </c>
      <c r="B12077" t="str">
        <f t="shared" si="2623"/>
        <v>88805000</v>
      </c>
      <c r="C12077" t="str">
        <f t="shared" si="2624"/>
        <v>88805014</v>
      </c>
      <c r="D12077" t="str">
        <f t="shared" si="2625"/>
        <v>816</v>
      </c>
      <c r="E12077" t="str">
        <f t="shared" si="2626"/>
        <v>89301282</v>
      </c>
      <c r="F12077" t="str">
        <f>"7851185771"</f>
        <v>7851185771</v>
      </c>
      <c r="G12077" s="1">
        <v>44904</v>
      </c>
      <c r="H12077" t="str">
        <f>"94345"</f>
        <v>94345</v>
      </c>
      <c r="I12077">
        <v>1</v>
      </c>
      <c r="J12077">
        <v>4625</v>
      </c>
      <c r="K12077">
        <v>0</v>
      </c>
      <c r="L12077">
        <v>3931.25</v>
      </c>
    </row>
    <row r="12078" spans="1:12" x14ac:dyDescent="0.25">
      <c r="A12078" t="str">
        <f t="shared" si="2617"/>
        <v>89301000</v>
      </c>
      <c r="B12078" t="str">
        <f t="shared" si="2623"/>
        <v>88805000</v>
      </c>
      <c r="C12078" t="str">
        <f t="shared" si="2624"/>
        <v>88805014</v>
      </c>
      <c r="D12078" t="str">
        <f t="shared" si="2625"/>
        <v>816</v>
      </c>
      <c r="E12078" t="str">
        <f t="shared" si="2626"/>
        <v>89301282</v>
      </c>
      <c r="F12078" t="str">
        <f>"7851185771"</f>
        <v>7851185771</v>
      </c>
      <c r="G12078" s="1">
        <v>44904</v>
      </c>
      <c r="H12078" t="str">
        <f>"94948"</f>
        <v>94948</v>
      </c>
      <c r="I12078">
        <v>1</v>
      </c>
      <c r="J12078">
        <v>0</v>
      </c>
      <c r="K12078">
        <v>0</v>
      </c>
      <c r="L12078">
        <v>0</v>
      </c>
    </row>
    <row r="12079" spans="1:12" x14ac:dyDescent="0.25">
      <c r="A12079" t="str">
        <f t="shared" si="2617"/>
        <v>89301000</v>
      </c>
      <c r="B12079" t="str">
        <f t="shared" si="2623"/>
        <v>88805000</v>
      </c>
      <c r="C12079" t="str">
        <f t="shared" si="2624"/>
        <v>88805014</v>
      </c>
      <c r="D12079" t="str">
        <f t="shared" si="2625"/>
        <v>816</v>
      </c>
      <c r="E12079" t="str">
        <f t="shared" si="2626"/>
        <v>89301282</v>
      </c>
      <c r="F12079" t="str">
        <f>"7303033496"</f>
        <v>7303033496</v>
      </c>
      <c r="G12079" s="1">
        <v>44907</v>
      </c>
      <c r="H12079" t="str">
        <f>"94345"</f>
        <v>94345</v>
      </c>
      <c r="I12079">
        <v>2</v>
      </c>
      <c r="J12079">
        <v>9250</v>
      </c>
      <c r="K12079">
        <v>0</v>
      </c>
      <c r="L12079">
        <v>7862.5</v>
      </c>
    </row>
    <row r="12080" spans="1:12" x14ac:dyDescent="0.25">
      <c r="A12080" t="str">
        <f t="shared" si="2617"/>
        <v>89301000</v>
      </c>
      <c r="B12080" t="str">
        <f t="shared" si="2623"/>
        <v>88805000</v>
      </c>
      <c r="C12080" t="str">
        <f t="shared" si="2624"/>
        <v>88805014</v>
      </c>
      <c r="D12080" t="str">
        <f t="shared" si="2625"/>
        <v>816</v>
      </c>
      <c r="E12080" t="str">
        <f t="shared" si="2626"/>
        <v>89301282</v>
      </c>
      <c r="F12080" t="str">
        <f>"7303033496"</f>
        <v>7303033496</v>
      </c>
      <c r="G12080" s="1">
        <v>44907</v>
      </c>
      <c r="H12080" t="str">
        <f>"94948"</f>
        <v>94948</v>
      </c>
      <c r="I12080">
        <v>1</v>
      </c>
      <c r="J12080">
        <v>0</v>
      </c>
      <c r="K12080">
        <v>0</v>
      </c>
      <c r="L12080">
        <v>0</v>
      </c>
    </row>
    <row r="12081" spans="1:12" x14ac:dyDescent="0.25">
      <c r="A12081" t="str">
        <f t="shared" si="2617"/>
        <v>89301000</v>
      </c>
      <c r="B12081" t="str">
        <f t="shared" si="2623"/>
        <v>88805000</v>
      </c>
      <c r="C12081" t="str">
        <f t="shared" si="2624"/>
        <v>88805014</v>
      </c>
      <c r="D12081" t="str">
        <f t="shared" si="2625"/>
        <v>816</v>
      </c>
      <c r="E12081" t="str">
        <f t="shared" si="2626"/>
        <v>89301282</v>
      </c>
      <c r="F12081" t="str">
        <f>"0309196195"</f>
        <v>0309196195</v>
      </c>
      <c r="G12081" s="1">
        <v>44904</v>
      </c>
      <c r="H12081" t="str">
        <f>"94345"</f>
        <v>94345</v>
      </c>
      <c r="I12081">
        <v>1</v>
      </c>
      <c r="J12081">
        <v>4625</v>
      </c>
      <c r="K12081">
        <v>0</v>
      </c>
      <c r="L12081">
        <v>3931.25</v>
      </c>
    </row>
    <row r="12082" spans="1:12" x14ac:dyDescent="0.25">
      <c r="A12082" t="str">
        <f t="shared" si="2617"/>
        <v>89301000</v>
      </c>
      <c r="B12082" t="str">
        <f t="shared" si="2623"/>
        <v>88805000</v>
      </c>
      <c r="C12082" t="str">
        <f t="shared" si="2624"/>
        <v>88805014</v>
      </c>
      <c r="D12082" t="str">
        <f t="shared" si="2625"/>
        <v>816</v>
      </c>
      <c r="E12082" t="str">
        <f t="shared" si="2626"/>
        <v>89301282</v>
      </c>
      <c r="F12082" t="str">
        <f>"0309196195"</f>
        <v>0309196195</v>
      </c>
      <c r="G12082" s="1">
        <v>44904</v>
      </c>
      <c r="H12082" t="str">
        <f>"94948"</f>
        <v>94948</v>
      </c>
      <c r="I12082">
        <v>1</v>
      </c>
      <c r="J12082">
        <v>0</v>
      </c>
      <c r="K12082">
        <v>0</v>
      </c>
      <c r="L12082">
        <v>0</v>
      </c>
    </row>
    <row r="12083" spans="1:12" x14ac:dyDescent="0.25">
      <c r="A12083" t="str">
        <f t="shared" si="2617"/>
        <v>89301000</v>
      </c>
      <c r="B12083" t="str">
        <f t="shared" si="2623"/>
        <v>88805000</v>
      </c>
      <c r="C12083" t="str">
        <f t="shared" si="2624"/>
        <v>88805014</v>
      </c>
      <c r="D12083" t="str">
        <f t="shared" si="2625"/>
        <v>816</v>
      </c>
      <c r="E12083" t="str">
        <f t="shared" si="2626"/>
        <v>89301282</v>
      </c>
      <c r="F12083" t="str">
        <f>"1810110060"</f>
        <v>1810110060</v>
      </c>
      <c r="G12083" s="1">
        <v>44903</v>
      </c>
      <c r="H12083" t="str">
        <f>"94964"</f>
        <v>94964</v>
      </c>
      <c r="I12083">
        <v>1</v>
      </c>
      <c r="J12083">
        <v>0</v>
      </c>
      <c r="K12083">
        <v>1952</v>
      </c>
      <c r="L12083">
        <v>1952</v>
      </c>
    </row>
    <row r="12084" spans="1:12" x14ac:dyDescent="0.25">
      <c r="A12084" t="str">
        <f t="shared" si="2617"/>
        <v>89301000</v>
      </c>
      <c r="B12084" t="str">
        <f t="shared" si="2623"/>
        <v>88805000</v>
      </c>
      <c r="C12084" t="str">
        <f t="shared" ref="C12084:C12096" si="2627">"88805001"</f>
        <v>88805001</v>
      </c>
      <c r="D12084" t="str">
        <f t="shared" ref="D12084:D12098" si="2628">"801"</f>
        <v>801</v>
      </c>
      <c r="E12084" t="str">
        <f>"89301702"</f>
        <v>89301702</v>
      </c>
      <c r="F12084" t="str">
        <f>"0755043234"</f>
        <v>0755043234</v>
      </c>
      <c r="G12084" s="1">
        <v>44907</v>
      </c>
      <c r="H12084" t="str">
        <f>"81631"</f>
        <v>81631</v>
      </c>
      <c r="I12084">
        <v>1</v>
      </c>
      <c r="J12084">
        <v>294</v>
      </c>
      <c r="K12084">
        <v>0</v>
      </c>
      <c r="L12084">
        <v>229.32</v>
      </c>
    </row>
    <row r="12085" spans="1:12" x14ac:dyDescent="0.25">
      <c r="A12085" t="str">
        <f t="shared" si="2617"/>
        <v>89301000</v>
      </c>
      <c r="B12085" t="str">
        <f t="shared" si="2623"/>
        <v>88805000</v>
      </c>
      <c r="C12085" t="str">
        <f t="shared" si="2627"/>
        <v>88805001</v>
      </c>
      <c r="D12085" t="str">
        <f t="shared" si="2628"/>
        <v>801</v>
      </c>
      <c r="E12085" t="str">
        <f>"89301702"</f>
        <v>89301702</v>
      </c>
      <c r="F12085" t="str">
        <f>"0755043234"</f>
        <v>0755043234</v>
      </c>
      <c r="G12085" s="1">
        <v>44907</v>
      </c>
      <c r="H12085" t="str">
        <f>"92143"</f>
        <v>92143</v>
      </c>
      <c r="I12085">
        <v>1</v>
      </c>
      <c r="J12085">
        <v>1748</v>
      </c>
      <c r="K12085">
        <v>0</v>
      </c>
      <c r="L12085">
        <v>1363.44</v>
      </c>
    </row>
    <row r="12086" spans="1:12" x14ac:dyDescent="0.25">
      <c r="A12086" t="str">
        <f t="shared" si="2617"/>
        <v>89301000</v>
      </c>
      <c r="B12086" t="str">
        <f t="shared" si="2623"/>
        <v>88805000</v>
      </c>
      <c r="C12086" t="str">
        <f t="shared" si="2627"/>
        <v>88805001</v>
      </c>
      <c r="D12086" t="str">
        <f t="shared" si="2628"/>
        <v>801</v>
      </c>
      <c r="E12086" t="str">
        <f>"89301101"</f>
        <v>89301101</v>
      </c>
      <c r="F12086" t="str">
        <f>"0312295709"</f>
        <v>0312295709</v>
      </c>
      <c r="G12086" s="1">
        <v>44916</v>
      </c>
      <c r="H12086" t="str">
        <f>"81631"</f>
        <v>81631</v>
      </c>
      <c r="I12086">
        <v>1</v>
      </c>
      <c r="J12086">
        <v>294</v>
      </c>
      <c r="K12086">
        <v>0</v>
      </c>
      <c r="L12086">
        <v>229.32</v>
      </c>
    </row>
    <row r="12087" spans="1:12" x14ac:dyDescent="0.25">
      <c r="A12087" t="str">
        <f t="shared" si="2617"/>
        <v>89301000</v>
      </c>
      <c r="B12087" t="str">
        <f t="shared" si="2623"/>
        <v>88805000</v>
      </c>
      <c r="C12087" t="str">
        <f t="shared" si="2627"/>
        <v>88805001</v>
      </c>
      <c r="D12087" t="str">
        <f t="shared" si="2628"/>
        <v>801</v>
      </c>
      <c r="E12087" t="str">
        <f>"89301101"</f>
        <v>89301101</v>
      </c>
      <c r="F12087" t="str">
        <f>"0312295709"</f>
        <v>0312295709</v>
      </c>
      <c r="G12087" s="1">
        <v>44916</v>
      </c>
      <c r="H12087" t="str">
        <f>"92143"</f>
        <v>92143</v>
      </c>
      <c r="I12087">
        <v>1</v>
      </c>
      <c r="J12087">
        <v>1748</v>
      </c>
      <c r="K12087">
        <v>0</v>
      </c>
      <c r="L12087">
        <v>1363.44</v>
      </c>
    </row>
    <row r="12088" spans="1:12" x14ac:dyDescent="0.25">
      <c r="A12088" t="str">
        <f t="shared" si="2617"/>
        <v>89301000</v>
      </c>
      <c r="B12088" t="str">
        <f t="shared" si="2623"/>
        <v>88805000</v>
      </c>
      <c r="C12088" t="str">
        <f t="shared" si="2627"/>
        <v>88805001</v>
      </c>
      <c r="D12088" t="str">
        <f t="shared" si="2628"/>
        <v>801</v>
      </c>
      <c r="E12088" t="str">
        <f>"89301108"</f>
        <v>89301108</v>
      </c>
      <c r="F12088" t="str">
        <f>"2157180135"</f>
        <v>2157180135</v>
      </c>
      <c r="G12088" s="1">
        <v>44907</v>
      </c>
      <c r="H12088" t="str">
        <f>"81631"</f>
        <v>81631</v>
      </c>
      <c r="I12088">
        <v>1</v>
      </c>
      <c r="J12088">
        <v>294</v>
      </c>
      <c r="K12088">
        <v>0</v>
      </c>
      <c r="L12088">
        <v>229.32</v>
      </c>
    </row>
    <row r="12089" spans="1:12" x14ac:dyDescent="0.25">
      <c r="A12089" t="str">
        <f t="shared" si="2617"/>
        <v>89301000</v>
      </c>
      <c r="B12089" t="str">
        <f t="shared" si="2623"/>
        <v>88805000</v>
      </c>
      <c r="C12089" t="str">
        <f t="shared" si="2627"/>
        <v>88805001</v>
      </c>
      <c r="D12089" t="str">
        <f t="shared" si="2628"/>
        <v>801</v>
      </c>
      <c r="E12089" t="str">
        <f>"89301108"</f>
        <v>89301108</v>
      </c>
      <c r="F12089" t="str">
        <f>"2157180135"</f>
        <v>2157180135</v>
      </c>
      <c r="G12089" s="1">
        <v>44907</v>
      </c>
      <c r="H12089" t="str">
        <f>"92143"</f>
        <v>92143</v>
      </c>
      <c r="I12089">
        <v>1</v>
      </c>
      <c r="J12089">
        <v>1748</v>
      </c>
      <c r="K12089">
        <v>0</v>
      </c>
      <c r="L12089">
        <v>1363.44</v>
      </c>
    </row>
    <row r="12090" spans="1:12" x14ac:dyDescent="0.25">
      <c r="A12090" t="str">
        <f t="shared" si="2617"/>
        <v>89301000</v>
      </c>
      <c r="B12090" t="str">
        <f t="shared" si="2623"/>
        <v>88805000</v>
      </c>
      <c r="C12090" t="str">
        <f t="shared" si="2627"/>
        <v>88805001</v>
      </c>
      <c r="D12090" t="str">
        <f t="shared" si="2628"/>
        <v>801</v>
      </c>
      <c r="E12090" t="str">
        <f>"89301202"</f>
        <v>89301202</v>
      </c>
      <c r="F12090" t="str">
        <f>"7851115305"</f>
        <v>7851115305</v>
      </c>
      <c r="G12090" s="1">
        <v>44914</v>
      </c>
      <c r="H12090" t="str">
        <f>"81643"</f>
        <v>81643</v>
      </c>
      <c r="I12090">
        <v>1</v>
      </c>
      <c r="J12090">
        <v>104</v>
      </c>
      <c r="K12090">
        <v>0</v>
      </c>
      <c r="L12090">
        <v>81.12</v>
      </c>
    </row>
    <row r="12091" spans="1:12" x14ac:dyDescent="0.25">
      <c r="A12091" t="str">
        <f t="shared" si="2617"/>
        <v>89301000</v>
      </c>
      <c r="B12091" t="str">
        <f t="shared" si="2623"/>
        <v>88805000</v>
      </c>
      <c r="C12091" t="str">
        <f t="shared" si="2627"/>
        <v>88805001</v>
      </c>
      <c r="D12091" t="str">
        <f t="shared" si="2628"/>
        <v>801</v>
      </c>
      <c r="E12091" t="str">
        <f>"89301202"</f>
        <v>89301202</v>
      </c>
      <c r="F12091" t="str">
        <f>"6951045684"</f>
        <v>6951045684</v>
      </c>
      <c r="G12091" s="1">
        <v>44914</v>
      </c>
      <c r="H12091" t="str">
        <f>"81643"</f>
        <v>81643</v>
      </c>
      <c r="I12091">
        <v>1</v>
      </c>
      <c r="J12091">
        <v>104</v>
      </c>
      <c r="K12091">
        <v>0</v>
      </c>
      <c r="L12091">
        <v>81.12</v>
      </c>
    </row>
    <row r="12092" spans="1:12" x14ac:dyDescent="0.25">
      <c r="A12092" t="str">
        <f t="shared" si="2617"/>
        <v>89301000</v>
      </c>
      <c r="B12092" t="str">
        <f t="shared" si="2623"/>
        <v>88805000</v>
      </c>
      <c r="C12092" t="str">
        <f t="shared" si="2627"/>
        <v>88805001</v>
      </c>
      <c r="D12092" t="str">
        <f t="shared" si="2628"/>
        <v>801</v>
      </c>
      <c r="E12092" t="str">
        <f>"89301101"</f>
        <v>89301101</v>
      </c>
      <c r="F12092" t="str">
        <f>"0312295709"</f>
        <v>0312295709</v>
      </c>
      <c r="G12092" s="1">
        <v>44915</v>
      </c>
      <c r="H12092" t="str">
        <f>"81681"</f>
        <v>81681</v>
      </c>
      <c r="I12092">
        <v>1</v>
      </c>
      <c r="J12092">
        <v>1504</v>
      </c>
      <c r="K12092">
        <v>0</v>
      </c>
      <c r="L12092">
        <v>1173.1199999999999</v>
      </c>
    </row>
    <row r="12093" spans="1:12" x14ac:dyDescent="0.25">
      <c r="A12093" t="str">
        <f t="shared" si="2617"/>
        <v>89301000</v>
      </c>
      <c r="B12093" t="str">
        <f t="shared" si="2623"/>
        <v>88805000</v>
      </c>
      <c r="C12093" t="str">
        <f t="shared" si="2627"/>
        <v>88805001</v>
      </c>
      <c r="D12093" t="str">
        <f t="shared" si="2628"/>
        <v>801</v>
      </c>
      <c r="E12093" t="str">
        <f>"89301082"</f>
        <v>89301082</v>
      </c>
      <c r="F12093" t="str">
        <f>"9358215636"</f>
        <v>9358215636</v>
      </c>
      <c r="G12093" s="1">
        <v>44908</v>
      </c>
      <c r="H12093" t="str">
        <f>"93159"</f>
        <v>93159</v>
      </c>
      <c r="I12093">
        <v>1</v>
      </c>
      <c r="J12093">
        <v>195</v>
      </c>
      <c r="K12093">
        <v>0</v>
      </c>
      <c r="L12093">
        <v>152.1</v>
      </c>
    </row>
    <row r="12094" spans="1:12" x14ac:dyDescent="0.25">
      <c r="A12094" t="str">
        <f t="shared" si="2617"/>
        <v>89301000</v>
      </c>
      <c r="B12094" t="str">
        <f t="shared" si="2623"/>
        <v>88805000</v>
      </c>
      <c r="C12094" t="str">
        <f t="shared" si="2627"/>
        <v>88805001</v>
      </c>
      <c r="D12094" t="str">
        <f t="shared" si="2628"/>
        <v>801</v>
      </c>
      <c r="E12094" t="str">
        <f>"89301101"</f>
        <v>89301101</v>
      </c>
      <c r="F12094" t="str">
        <f>"0312295709"</f>
        <v>0312295709</v>
      </c>
      <c r="G12094" s="1">
        <v>44916</v>
      </c>
      <c r="H12094" t="str">
        <f>"97111"</f>
        <v>97111</v>
      </c>
      <c r="I12094">
        <v>1</v>
      </c>
      <c r="J12094">
        <v>18</v>
      </c>
      <c r="K12094">
        <v>0</v>
      </c>
      <c r="L12094">
        <v>14.04</v>
      </c>
    </row>
    <row r="12095" spans="1:12" x14ac:dyDescent="0.25">
      <c r="A12095" t="str">
        <f t="shared" si="2617"/>
        <v>89301000</v>
      </c>
      <c r="B12095" t="str">
        <f t="shared" si="2623"/>
        <v>88805000</v>
      </c>
      <c r="C12095" t="str">
        <f t="shared" si="2627"/>
        <v>88805001</v>
      </c>
      <c r="D12095" t="str">
        <f t="shared" si="2628"/>
        <v>801</v>
      </c>
      <c r="E12095" t="str">
        <f>"89301202"</f>
        <v>89301202</v>
      </c>
      <c r="F12095" t="str">
        <f>"7851115305"</f>
        <v>7851115305</v>
      </c>
      <c r="G12095" s="1">
        <v>44914</v>
      </c>
      <c r="H12095" t="str">
        <f>"97111"</f>
        <v>97111</v>
      </c>
      <c r="I12095">
        <v>1</v>
      </c>
      <c r="J12095">
        <v>18</v>
      </c>
      <c r="K12095">
        <v>0</v>
      </c>
      <c r="L12095">
        <v>14.04</v>
      </c>
    </row>
    <row r="12096" spans="1:12" x14ac:dyDescent="0.25">
      <c r="A12096" t="str">
        <f t="shared" si="2617"/>
        <v>89301000</v>
      </c>
      <c r="B12096" t="str">
        <f t="shared" si="2623"/>
        <v>88805000</v>
      </c>
      <c r="C12096" t="str">
        <f t="shared" si="2627"/>
        <v>88805001</v>
      </c>
      <c r="D12096" t="str">
        <f t="shared" si="2628"/>
        <v>801</v>
      </c>
      <c r="E12096" t="str">
        <f>"89301202"</f>
        <v>89301202</v>
      </c>
      <c r="F12096" t="str">
        <f>"6951045684"</f>
        <v>6951045684</v>
      </c>
      <c r="G12096" s="1">
        <v>44914</v>
      </c>
      <c r="H12096" t="str">
        <f>"97111"</f>
        <v>97111</v>
      </c>
      <c r="I12096">
        <v>1</v>
      </c>
      <c r="J12096">
        <v>18</v>
      </c>
      <c r="K12096">
        <v>0</v>
      </c>
      <c r="L12096">
        <v>14.04</v>
      </c>
    </row>
    <row r="12097" spans="1:12" x14ac:dyDescent="0.25">
      <c r="A12097" t="str">
        <f t="shared" si="2617"/>
        <v>89301000</v>
      </c>
      <c r="B12097" t="str">
        <f t="shared" si="2623"/>
        <v>88805000</v>
      </c>
      <c r="C12097" t="str">
        <f>"88805008"</f>
        <v>88805008</v>
      </c>
      <c r="D12097" t="str">
        <f t="shared" si="2628"/>
        <v>801</v>
      </c>
      <c r="E12097" t="str">
        <f>"89301082"</f>
        <v>89301082</v>
      </c>
      <c r="F12097" t="str">
        <f>"9358215636"</f>
        <v>9358215636</v>
      </c>
      <c r="G12097" s="1">
        <v>44908</v>
      </c>
      <c r="H12097" t="str">
        <f>"97111"</f>
        <v>97111</v>
      </c>
      <c r="I12097">
        <v>1</v>
      </c>
      <c r="J12097">
        <v>18</v>
      </c>
      <c r="K12097">
        <v>0</v>
      </c>
      <c r="L12097">
        <v>14.04</v>
      </c>
    </row>
    <row r="12098" spans="1:12" x14ac:dyDescent="0.25">
      <c r="A12098" t="str">
        <f t="shared" ref="A12098:A12161" si="2629">"89301000"</f>
        <v>89301000</v>
      </c>
      <c r="B12098" t="str">
        <f t="shared" si="2623"/>
        <v>88805000</v>
      </c>
      <c r="C12098" t="str">
        <f>"88805008"</f>
        <v>88805008</v>
      </c>
      <c r="D12098" t="str">
        <f t="shared" si="2628"/>
        <v>801</v>
      </c>
      <c r="E12098" t="str">
        <f>"89301082"</f>
        <v>89301082</v>
      </c>
      <c r="F12098" t="str">
        <f>"9358215636"</f>
        <v>9358215636</v>
      </c>
      <c r="G12098" s="1">
        <v>44908</v>
      </c>
      <c r="H12098" t="str">
        <f>"09119"</f>
        <v>09119</v>
      </c>
      <c r="I12098">
        <v>1</v>
      </c>
      <c r="J12098">
        <v>42</v>
      </c>
      <c r="K12098">
        <v>0</v>
      </c>
      <c r="L12098">
        <v>32.76</v>
      </c>
    </row>
    <row r="12099" spans="1:12" x14ac:dyDescent="0.25">
      <c r="A12099" t="str">
        <f t="shared" si="2629"/>
        <v>89301000</v>
      </c>
      <c r="B12099" t="str">
        <f>"91950000"</f>
        <v>91950000</v>
      </c>
      <c r="C12099" t="str">
        <f>"91950028"</f>
        <v>91950028</v>
      </c>
      <c r="D12099" t="str">
        <f>"809"</f>
        <v>809</v>
      </c>
      <c r="E12099" t="str">
        <f>"89301112"</f>
        <v>89301112</v>
      </c>
      <c r="F12099" t="str">
        <f>"8459245619"</f>
        <v>8459245619</v>
      </c>
      <c r="G12099" s="1">
        <v>44903</v>
      </c>
      <c r="H12099" t="str">
        <f>"89713"</f>
        <v>89713</v>
      </c>
      <c r="I12099">
        <v>1</v>
      </c>
      <c r="J12099">
        <v>5362</v>
      </c>
      <c r="K12099">
        <v>0</v>
      </c>
      <c r="L12099">
        <v>3217.2</v>
      </c>
    </row>
    <row r="12100" spans="1:12" x14ac:dyDescent="0.25">
      <c r="A12100" t="str">
        <f t="shared" si="2629"/>
        <v>89301000</v>
      </c>
      <c r="B12100" t="str">
        <f t="shared" ref="B12100:B12126" si="2630">"72077000"</f>
        <v>72077000</v>
      </c>
      <c r="C12100" t="str">
        <f t="shared" ref="C12100:C12126" si="2631">"72077001"</f>
        <v>72077001</v>
      </c>
      <c r="D12100" t="str">
        <f t="shared" ref="D12100:D12126" si="2632">"813"</f>
        <v>813</v>
      </c>
      <c r="E12100" t="str">
        <f t="shared" ref="E12100:E12126" si="2633">"89301152"</f>
        <v>89301152</v>
      </c>
      <c r="F12100" t="str">
        <f>"495518158"</f>
        <v>495518158</v>
      </c>
      <c r="G12100" s="1">
        <v>44896</v>
      </c>
      <c r="H12100" t="str">
        <f>"91465"</f>
        <v>91465</v>
      </c>
      <c r="I12100">
        <v>1</v>
      </c>
      <c r="J12100">
        <v>1404</v>
      </c>
      <c r="K12100">
        <v>0</v>
      </c>
      <c r="L12100">
        <v>1095.1199999999999</v>
      </c>
    </row>
    <row r="12101" spans="1:12" x14ac:dyDescent="0.25">
      <c r="A12101" t="str">
        <f t="shared" si="2629"/>
        <v>89301000</v>
      </c>
      <c r="B12101" t="str">
        <f t="shared" si="2630"/>
        <v>72077000</v>
      </c>
      <c r="C12101" t="str">
        <f t="shared" si="2631"/>
        <v>72077001</v>
      </c>
      <c r="D12101" t="str">
        <f t="shared" si="2632"/>
        <v>813</v>
      </c>
      <c r="E12101" t="str">
        <f t="shared" si="2633"/>
        <v>89301152</v>
      </c>
      <c r="F12101" t="str">
        <f>"495518158"</f>
        <v>495518158</v>
      </c>
      <c r="G12101" s="1">
        <v>44900</v>
      </c>
      <c r="H12101" t="str">
        <f>"91197"</f>
        <v>91197</v>
      </c>
      <c r="I12101">
        <v>1</v>
      </c>
      <c r="J12101">
        <v>1046</v>
      </c>
      <c r="K12101">
        <v>0</v>
      </c>
      <c r="L12101">
        <v>815.88</v>
      </c>
    </row>
    <row r="12102" spans="1:12" x14ac:dyDescent="0.25">
      <c r="A12102" t="str">
        <f t="shared" si="2629"/>
        <v>89301000</v>
      </c>
      <c r="B12102" t="str">
        <f t="shared" si="2630"/>
        <v>72077000</v>
      </c>
      <c r="C12102" t="str">
        <f t="shared" si="2631"/>
        <v>72077001</v>
      </c>
      <c r="D12102" t="str">
        <f t="shared" si="2632"/>
        <v>813</v>
      </c>
      <c r="E12102" t="str">
        <f t="shared" si="2633"/>
        <v>89301152</v>
      </c>
      <c r="F12102" t="str">
        <f>"8306215368"</f>
        <v>8306215368</v>
      </c>
      <c r="G12102" s="1">
        <v>44897</v>
      </c>
      <c r="H12102" t="str">
        <f>"91485"</f>
        <v>91485</v>
      </c>
      <c r="I12102">
        <v>1</v>
      </c>
      <c r="J12102">
        <v>268</v>
      </c>
      <c r="K12102">
        <v>0</v>
      </c>
      <c r="L12102">
        <v>209.04</v>
      </c>
    </row>
    <row r="12103" spans="1:12" x14ac:dyDescent="0.25">
      <c r="A12103" t="str">
        <f t="shared" si="2629"/>
        <v>89301000</v>
      </c>
      <c r="B12103" t="str">
        <f t="shared" si="2630"/>
        <v>72077000</v>
      </c>
      <c r="C12103" t="str">
        <f t="shared" si="2631"/>
        <v>72077001</v>
      </c>
      <c r="D12103" t="str">
        <f t="shared" si="2632"/>
        <v>813</v>
      </c>
      <c r="E12103" t="str">
        <f t="shared" si="2633"/>
        <v>89301152</v>
      </c>
      <c r="F12103" t="str">
        <f>"8306215368"</f>
        <v>8306215368</v>
      </c>
      <c r="G12103" s="1">
        <v>44900</v>
      </c>
      <c r="H12103" t="str">
        <f>"91171"</f>
        <v>91171</v>
      </c>
      <c r="I12103">
        <v>1</v>
      </c>
      <c r="J12103">
        <v>360</v>
      </c>
      <c r="K12103">
        <v>0</v>
      </c>
      <c r="L12103">
        <v>280.8</v>
      </c>
    </row>
    <row r="12104" spans="1:12" x14ac:dyDescent="0.25">
      <c r="A12104" t="str">
        <f t="shared" si="2629"/>
        <v>89301000</v>
      </c>
      <c r="B12104" t="str">
        <f t="shared" si="2630"/>
        <v>72077000</v>
      </c>
      <c r="C12104" t="str">
        <f t="shared" si="2631"/>
        <v>72077001</v>
      </c>
      <c r="D12104" t="str">
        <f t="shared" si="2632"/>
        <v>813</v>
      </c>
      <c r="E12104" t="str">
        <f t="shared" si="2633"/>
        <v>89301152</v>
      </c>
      <c r="F12104" t="str">
        <f>"8306215368"</f>
        <v>8306215368</v>
      </c>
      <c r="G12104" s="1">
        <v>44900</v>
      </c>
      <c r="H12104" t="str">
        <f>"91359"</f>
        <v>91359</v>
      </c>
      <c r="I12104">
        <v>1</v>
      </c>
      <c r="J12104">
        <v>198</v>
      </c>
      <c r="K12104">
        <v>0</v>
      </c>
      <c r="L12104">
        <v>154.44</v>
      </c>
    </row>
    <row r="12105" spans="1:12" x14ac:dyDescent="0.25">
      <c r="A12105" t="str">
        <f t="shared" si="2629"/>
        <v>89301000</v>
      </c>
      <c r="B12105" t="str">
        <f t="shared" si="2630"/>
        <v>72077000</v>
      </c>
      <c r="C12105" t="str">
        <f t="shared" si="2631"/>
        <v>72077001</v>
      </c>
      <c r="D12105" t="str">
        <f t="shared" si="2632"/>
        <v>813</v>
      </c>
      <c r="E12105" t="str">
        <f t="shared" si="2633"/>
        <v>89301152</v>
      </c>
      <c r="F12105" t="str">
        <f>"8306215368"</f>
        <v>8306215368</v>
      </c>
      <c r="G12105" s="1">
        <v>44900</v>
      </c>
      <c r="H12105" t="str">
        <f>"91361"</f>
        <v>91361</v>
      </c>
      <c r="I12105">
        <v>1</v>
      </c>
      <c r="J12105">
        <v>431</v>
      </c>
      <c r="K12105">
        <v>0</v>
      </c>
      <c r="L12105">
        <v>336.18</v>
      </c>
    </row>
    <row r="12106" spans="1:12" x14ac:dyDescent="0.25">
      <c r="A12106" t="str">
        <f t="shared" si="2629"/>
        <v>89301000</v>
      </c>
      <c r="B12106" t="str">
        <f t="shared" si="2630"/>
        <v>72077000</v>
      </c>
      <c r="C12106" t="str">
        <f t="shared" si="2631"/>
        <v>72077001</v>
      </c>
      <c r="D12106" t="str">
        <f t="shared" si="2632"/>
        <v>813</v>
      </c>
      <c r="E12106" t="str">
        <f t="shared" si="2633"/>
        <v>89301152</v>
      </c>
      <c r="F12106" t="str">
        <f>"455207406"</f>
        <v>455207406</v>
      </c>
      <c r="G12106" s="1">
        <v>44897</v>
      </c>
      <c r="H12106" t="str">
        <f>"91485"</f>
        <v>91485</v>
      </c>
      <c r="I12106">
        <v>1</v>
      </c>
      <c r="J12106">
        <v>268</v>
      </c>
      <c r="K12106">
        <v>0</v>
      </c>
      <c r="L12106">
        <v>209.04</v>
      </c>
    </row>
    <row r="12107" spans="1:12" x14ac:dyDescent="0.25">
      <c r="A12107" t="str">
        <f t="shared" si="2629"/>
        <v>89301000</v>
      </c>
      <c r="B12107" t="str">
        <f t="shared" si="2630"/>
        <v>72077000</v>
      </c>
      <c r="C12107" t="str">
        <f t="shared" si="2631"/>
        <v>72077001</v>
      </c>
      <c r="D12107" t="str">
        <f t="shared" si="2632"/>
        <v>813</v>
      </c>
      <c r="E12107" t="str">
        <f t="shared" si="2633"/>
        <v>89301152</v>
      </c>
      <c r="F12107" t="str">
        <f>"455207406"</f>
        <v>455207406</v>
      </c>
      <c r="G12107" s="1">
        <v>44900</v>
      </c>
      <c r="H12107" t="str">
        <f>"91197"</f>
        <v>91197</v>
      </c>
      <c r="I12107">
        <v>1</v>
      </c>
      <c r="J12107">
        <v>1046</v>
      </c>
      <c r="K12107">
        <v>0</v>
      </c>
      <c r="L12107">
        <v>815.88</v>
      </c>
    </row>
    <row r="12108" spans="1:12" x14ac:dyDescent="0.25">
      <c r="A12108" t="str">
        <f t="shared" si="2629"/>
        <v>89301000</v>
      </c>
      <c r="B12108" t="str">
        <f t="shared" si="2630"/>
        <v>72077000</v>
      </c>
      <c r="C12108" t="str">
        <f t="shared" si="2631"/>
        <v>72077001</v>
      </c>
      <c r="D12108" t="str">
        <f t="shared" si="2632"/>
        <v>813</v>
      </c>
      <c r="E12108" t="str">
        <f t="shared" si="2633"/>
        <v>89301152</v>
      </c>
      <c r="F12108" t="str">
        <f>"455207406"</f>
        <v>455207406</v>
      </c>
      <c r="G12108" s="1">
        <v>44900</v>
      </c>
      <c r="H12108" t="str">
        <f>"91359"</f>
        <v>91359</v>
      </c>
      <c r="I12108">
        <v>1</v>
      </c>
      <c r="J12108">
        <v>198</v>
      </c>
      <c r="K12108">
        <v>0</v>
      </c>
      <c r="L12108">
        <v>154.44</v>
      </c>
    </row>
    <row r="12109" spans="1:12" x14ac:dyDescent="0.25">
      <c r="A12109" t="str">
        <f t="shared" si="2629"/>
        <v>89301000</v>
      </c>
      <c r="B12109" t="str">
        <f t="shared" si="2630"/>
        <v>72077000</v>
      </c>
      <c r="C12109" t="str">
        <f t="shared" si="2631"/>
        <v>72077001</v>
      </c>
      <c r="D12109" t="str">
        <f t="shared" si="2632"/>
        <v>813</v>
      </c>
      <c r="E12109" t="str">
        <f t="shared" si="2633"/>
        <v>89301152</v>
      </c>
      <c r="F12109" t="str">
        <f>"455207406"</f>
        <v>455207406</v>
      </c>
      <c r="G12109" s="1">
        <v>44900</v>
      </c>
      <c r="H12109" t="str">
        <f>"91361"</f>
        <v>91361</v>
      </c>
      <c r="I12109">
        <v>1</v>
      </c>
      <c r="J12109">
        <v>431</v>
      </c>
      <c r="K12109">
        <v>0</v>
      </c>
      <c r="L12109">
        <v>336.18</v>
      </c>
    </row>
    <row r="12110" spans="1:12" x14ac:dyDescent="0.25">
      <c r="A12110" t="str">
        <f t="shared" si="2629"/>
        <v>89301000</v>
      </c>
      <c r="B12110" t="str">
        <f t="shared" si="2630"/>
        <v>72077000</v>
      </c>
      <c r="C12110" t="str">
        <f t="shared" si="2631"/>
        <v>72077001</v>
      </c>
      <c r="D12110" t="str">
        <f t="shared" si="2632"/>
        <v>813</v>
      </c>
      <c r="E12110" t="str">
        <f t="shared" si="2633"/>
        <v>89301152</v>
      </c>
      <c r="F12110" t="str">
        <f>"455207406"</f>
        <v>455207406</v>
      </c>
      <c r="G12110" s="1">
        <v>44901</v>
      </c>
      <c r="H12110" t="str">
        <f>"91465"</f>
        <v>91465</v>
      </c>
      <c r="I12110">
        <v>1</v>
      </c>
      <c r="J12110">
        <v>1404</v>
      </c>
      <c r="K12110">
        <v>0</v>
      </c>
      <c r="L12110">
        <v>1095.1199999999999</v>
      </c>
    </row>
    <row r="12111" spans="1:12" x14ac:dyDescent="0.25">
      <c r="A12111" t="str">
        <f t="shared" si="2629"/>
        <v>89301000</v>
      </c>
      <c r="B12111" t="str">
        <f t="shared" si="2630"/>
        <v>72077000</v>
      </c>
      <c r="C12111" t="str">
        <f t="shared" si="2631"/>
        <v>72077001</v>
      </c>
      <c r="D12111" t="str">
        <f t="shared" si="2632"/>
        <v>813</v>
      </c>
      <c r="E12111" t="str">
        <f t="shared" si="2633"/>
        <v>89301152</v>
      </c>
      <c r="F12111" t="str">
        <f>"5654111298"</f>
        <v>5654111298</v>
      </c>
      <c r="G12111" s="1">
        <v>44900</v>
      </c>
      <c r="H12111" t="str">
        <f>"91197"</f>
        <v>91197</v>
      </c>
      <c r="I12111">
        <v>1</v>
      </c>
      <c r="J12111">
        <v>1046</v>
      </c>
      <c r="K12111">
        <v>0</v>
      </c>
      <c r="L12111">
        <v>815.88</v>
      </c>
    </row>
    <row r="12112" spans="1:12" x14ac:dyDescent="0.25">
      <c r="A12112" t="str">
        <f t="shared" si="2629"/>
        <v>89301000</v>
      </c>
      <c r="B12112" t="str">
        <f t="shared" si="2630"/>
        <v>72077000</v>
      </c>
      <c r="C12112" t="str">
        <f t="shared" si="2631"/>
        <v>72077001</v>
      </c>
      <c r="D12112" t="str">
        <f t="shared" si="2632"/>
        <v>813</v>
      </c>
      <c r="E12112" t="str">
        <f t="shared" si="2633"/>
        <v>89301152</v>
      </c>
      <c r="F12112" t="str">
        <f>"5654111298"</f>
        <v>5654111298</v>
      </c>
      <c r="G12112" s="1">
        <v>44901</v>
      </c>
      <c r="H12112" t="str">
        <f>"91465"</f>
        <v>91465</v>
      </c>
      <c r="I12112">
        <v>1</v>
      </c>
      <c r="J12112">
        <v>1404</v>
      </c>
      <c r="K12112">
        <v>0</v>
      </c>
      <c r="L12112">
        <v>1095.1199999999999</v>
      </c>
    </row>
    <row r="12113" spans="1:12" x14ac:dyDescent="0.25">
      <c r="A12113" t="str">
        <f t="shared" si="2629"/>
        <v>89301000</v>
      </c>
      <c r="B12113" t="str">
        <f t="shared" si="2630"/>
        <v>72077000</v>
      </c>
      <c r="C12113" t="str">
        <f t="shared" si="2631"/>
        <v>72077001</v>
      </c>
      <c r="D12113" t="str">
        <f t="shared" si="2632"/>
        <v>813</v>
      </c>
      <c r="E12113" t="str">
        <f t="shared" si="2633"/>
        <v>89301152</v>
      </c>
      <c r="F12113" t="str">
        <f>"9654225944"</f>
        <v>9654225944</v>
      </c>
      <c r="G12113" s="1">
        <v>44908</v>
      </c>
      <c r="H12113" t="str">
        <f>"91465"</f>
        <v>91465</v>
      </c>
      <c r="I12113">
        <v>1</v>
      </c>
      <c r="J12113">
        <v>1404</v>
      </c>
      <c r="K12113">
        <v>0</v>
      </c>
      <c r="L12113">
        <v>1095.1199999999999</v>
      </c>
    </row>
    <row r="12114" spans="1:12" x14ac:dyDescent="0.25">
      <c r="A12114" t="str">
        <f t="shared" si="2629"/>
        <v>89301000</v>
      </c>
      <c r="B12114" t="str">
        <f t="shared" si="2630"/>
        <v>72077000</v>
      </c>
      <c r="C12114" t="str">
        <f t="shared" si="2631"/>
        <v>72077001</v>
      </c>
      <c r="D12114" t="str">
        <f t="shared" si="2632"/>
        <v>813</v>
      </c>
      <c r="E12114" t="str">
        <f t="shared" si="2633"/>
        <v>89301152</v>
      </c>
      <c r="F12114" t="str">
        <f>"9654225944"</f>
        <v>9654225944</v>
      </c>
      <c r="G12114" s="1">
        <v>44908</v>
      </c>
      <c r="H12114" t="str">
        <f>"91197"</f>
        <v>91197</v>
      </c>
      <c r="I12114">
        <v>1</v>
      </c>
      <c r="J12114">
        <v>1046</v>
      </c>
      <c r="K12114">
        <v>0</v>
      </c>
      <c r="L12114">
        <v>815.88</v>
      </c>
    </row>
    <row r="12115" spans="1:12" x14ac:dyDescent="0.25">
      <c r="A12115" t="str">
        <f t="shared" si="2629"/>
        <v>89301000</v>
      </c>
      <c r="B12115" t="str">
        <f t="shared" si="2630"/>
        <v>72077000</v>
      </c>
      <c r="C12115" t="str">
        <f t="shared" si="2631"/>
        <v>72077001</v>
      </c>
      <c r="D12115" t="str">
        <f t="shared" si="2632"/>
        <v>813</v>
      </c>
      <c r="E12115" t="str">
        <f t="shared" si="2633"/>
        <v>89301152</v>
      </c>
      <c r="F12115" t="str">
        <f>"7860105154"</f>
        <v>7860105154</v>
      </c>
      <c r="G12115" s="1">
        <v>44908</v>
      </c>
      <c r="H12115" t="str">
        <f>"91465"</f>
        <v>91465</v>
      </c>
      <c r="I12115">
        <v>1</v>
      </c>
      <c r="J12115">
        <v>1404</v>
      </c>
      <c r="K12115">
        <v>0</v>
      </c>
      <c r="L12115">
        <v>1095.1199999999999</v>
      </c>
    </row>
    <row r="12116" spans="1:12" x14ac:dyDescent="0.25">
      <c r="A12116" t="str">
        <f t="shared" si="2629"/>
        <v>89301000</v>
      </c>
      <c r="B12116" t="str">
        <f t="shared" si="2630"/>
        <v>72077000</v>
      </c>
      <c r="C12116" t="str">
        <f t="shared" si="2631"/>
        <v>72077001</v>
      </c>
      <c r="D12116" t="str">
        <f t="shared" si="2632"/>
        <v>813</v>
      </c>
      <c r="E12116" t="str">
        <f t="shared" si="2633"/>
        <v>89301152</v>
      </c>
      <c r="F12116" t="str">
        <f>"7860105154"</f>
        <v>7860105154</v>
      </c>
      <c r="G12116" s="1">
        <v>44908</v>
      </c>
      <c r="H12116" t="str">
        <f>"91197"</f>
        <v>91197</v>
      </c>
      <c r="I12116">
        <v>1</v>
      </c>
      <c r="J12116">
        <v>1046</v>
      </c>
      <c r="K12116">
        <v>0</v>
      </c>
      <c r="L12116">
        <v>815.88</v>
      </c>
    </row>
    <row r="12117" spans="1:12" x14ac:dyDescent="0.25">
      <c r="A12117" t="str">
        <f t="shared" si="2629"/>
        <v>89301000</v>
      </c>
      <c r="B12117" t="str">
        <f t="shared" si="2630"/>
        <v>72077000</v>
      </c>
      <c r="C12117" t="str">
        <f t="shared" si="2631"/>
        <v>72077001</v>
      </c>
      <c r="D12117" t="str">
        <f t="shared" si="2632"/>
        <v>813</v>
      </c>
      <c r="E12117" t="str">
        <f t="shared" si="2633"/>
        <v>89301152</v>
      </c>
      <c r="F12117" t="str">
        <f>"9157025713"</f>
        <v>9157025713</v>
      </c>
      <c r="G12117" s="1">
        <v>44908</v>
      </c>
      <c r="H12117" t="str">
        <f>"91465"</f>
        <v>91465</v>
      </c>
      <c r="I12117">
        <v>1</v>
      </c>
      <c r="J12117">
        <v>1404</v>
      </c>
      <c r="K12117">
        <v>0</v>
      </c>
      <c r="L12117">
        <v>1095.1199999999999</v>
      </c>
    </row>
    <row r="12118" spans="1:12" x14ac:dyDescent="0.25">
      <c r="A12118" t="str">
        <f t="shared" si="2629"/>
        <v>89301000</v>
      </c>
      <c r="B12118" t="str">
        <f t="shared" si="2630"/>
        <v>72077000</v>
      </c>
      <c r="C12118" t="str">
        <f t="shared" si="2631"/>
        <v>72077001</v>
      </c>
      <c r="D12118" t="str">
        <f t="shared" si="2632"/>
        <v>813</v>
      </c>
      <c r="E12118" t="str">
        <f t="shared" si="2633"/>
        <v>89301152</v>
      </c>
      <c r="F12118" t="str">
        <f>"9157025713"</f>
        <v>9157025713</v>
      </c>
      <c r="G12118" s="1">
        <v>44908</v>
      </c>
      <c r="H12118" t="str">
        <f>"91197"</f>
        <v>91197</v>
      </c>
      <c r="I12118">
        <v>1</v>
      </c>
      <c r="J12118">
        <v>1046</v>
      </c>
      <c r="K12118">
        <v>0</v>
      </c>
      <c r="L12118">
        <v>815.88</v>
      </c>
    </row>
    <row r="12119" spans="1:12" x14ac:dyDescent="0.25">
      <c r="A12119" t="str">
        <f t="shared" si="2629"/>
        <v>89301000</v>
      </c>
      <c r="B12119" t="str">
        <f t="shared" si="2630"/>
        <v>72077000</v>
      </c>
      <c r="C12119" t="str">
        <f t="shared" si="2631"/>
        <v>72077001</v>
      </c>
      <c r="D12119" t="str">
        <f t="shared" si="2632"/>
        <v>813</v>
      </c>
      <c r="E12119" t="str">
        <f t="shared" si="2633"/>
        <v>89301152</v>
      </c>
      <c r="F12119" t="str">
        <f>"8155185313"</f>
        <v>8155185313</v>
      </c>
      <c r="G12119" s="1">
        <v>44909</v>
      </c>
      <c r="H12119" t="str">
        <f>"91197"</f>
        <v>91197</v>
      </c>
      <c r="I12119">
        <v>1</v>
      </c>
      <c r="J12119">
        <v>1046</v>
      </c>
      <c r="K12119">
        <v>0</v>
      </c>
      <c r="L12119">
        <v>815.88</v>
      </c>
    </row>
    <row r="12120" spans="1:12" x14ac:dyDescent="0.25">
      <c r="A12120" t="str">
        <f t="shared" si="2629"/>
        <v>89301000</v>
      </c>
      <c r="B12120" t="str">
        <f t="shared" si="2630"/>
        <v>72077000</v>
      </c>
      <c r="C12120" t="str">
        <f t="shared" si="2631"/>
        <v>72077001</v>
      </c>
      <c r="D12120" t="str">
        <f t="shared" si="2632"/>
        <v>813</v>
      </c>
      <c r="E12120" t="str">
        <f t="shared" si="2633"/>
        <v>89301152</v>
      </c>
      <c r="F12120" t="str">
        <f>"8155185313"</f>
        <v>8155185313</v>
      </c>
      <c r="G12120" s="1">
        <v>44910</v>
      </c>
      <c r="H12120" t="str">
        <f>"91465"</f>
        <v>91465</v>
      </c>
      <c r="I12120">
        <v>1</v>
      </c>
      <c r="J12120">
        <v>1404</v>
      </c>
      <c r="K12120">
        <v>0</v>
      </c>
      <c r="L12120">
        <v>1095.1199999999999</v>
      </c>
    </row>
    <row r="12121" spans="1:12" x14ac:dyDescent="0.25">
      <c r="A12121" t="str">
        <f t="shared" si="2629"/>
        <v>89301000</v>
      </c>
      <c r="B12121" t="str">
        <f t="shared" si="2630"/>
        <v>72077000</v>
      </c>
      <c r="C12121" t="str">
        <f t="shared" si="2631"/>
        <v>72077001</v>
      </c>
      <c r="D12121" t="str">
        <f t="shared" si="2632"/>
        <v>813</v>
      </c>
      <c r="E12121" t="str">
        <f t="shared" si="2633"/>
        <v>89301152</v>
      </c>
      <c r="F12121" t="str">
        <f>"9208175636"</f>
        <v>9208175636</v>
      </c>
      <c r="G12121" s="1">
        <v>44909</v>
      </c>
      <c r="H12121" t="str">
        <f>"91197"</f>
        <v>91197</v>
      </c>
      <c r="I12121">
        <v>1</v>
      </c>
      <c r="J12121">
        <v>1046</v>
      </c>
      <c r="K12121">
        <v>0</v>
      </c>
      <c r="L12121">
        <v>815.88</v>
      </c>
    </row>
    <row r="12122" spans="1:12" x14ac:dyDescent="0.25">
      <c r="A12122" t="str">
        <f t="shared" si="2629"/>
        <v>89301000</v>
      </c>
      <c r="B12122" t="str">
        <f t="shared" si="2630"/>
        <v>72077000</v>
      </c>
      <c r="C12122" t="str">
        <f t="shared" si="2631"/>
        <v>72077001</v>
      </c>
      <c r="D12122" t="str">
        <f t="shared" si="2632"/>
        <v>813</v>
      </c>
      <c r="E12122" t="str">
        <f t="shared" si="2633"/>
        <v>89301152</v>
      </c>
      <c r="F12122" t="str">
        <f>"9208175636"</f>
        <v>9208175636</v>
      </c>
      <c r="G12122" s="1">
        <v>44910</v>
      </c>
      <c r="H12122" t="str">
        <f>"91465"</f>
        <v>91465</v>
      </c>
      <c r="I12122">
        <v>1</v>
      </c>
      <c r="J12122">
        <v>1404</v>
      </c>
      <c r="K12122">
        <v>0</v>
      </c>
      <c r="L12122">
        <v>1095.1199999999999</v>
      </c>
    </row>
    <row r="12123" spans="1:12" x14ac:dyDescent="0.25">
      <c r="A12123" t="str">
        <f t="shared" si="2629"/>
        <v>89301000</v>
      </c>
      <c r="B12123" t="str">
        <f t="shared" si="2630"/>
        <v>72077000</v>
      </c>
      <c r="C12123" t="str">
        <f t="shared" si="2631"/>
        <v>72077001</v>
      </c>
      <c r="D12123" t="str">
        <f t="shared" si="2632"/>
        <v>813</v>
      </c>
      <c r="E12123" t="str">
        <f t="shared" si="2633"/>
        <v>89301152</v>
      </c>
      <c r="F12123" t="str">
        <f>"8451155317"</f>
        <v>8451155317</v>
      </c>
      <c r="G12123" s="1">
        <v>44915</v>
      </c>
      <c r="H12123" t="str">
        <f>"91219"</f>
        <v>91219</v>
      </c>
      <c r="I12123">
        <v>5</v>
      </c>
      <c r="J12123">
        <v>1710</v>
      </c>
      <c r="K12123">
        <v>0</v>
      </c>
      <c r="L12123">
        <v>1333.8</v>
      </c>
    </row>
    <row r="12124" spans="1:12" x14ac:dyDescent="0.25">
      <c r="A12124" t="str">
        <f t="shared" si="2629"/>
        <v>89301000</v>
      </c>
      <c r="B12124" t="str">
        <f t="shared" si="2630"/>
        <v>72077000</v>
      </c>
      <c r="C12124" t="str">
        <f t="shared" si="2631"/>
        <v>72077001</v>
      </c>
      <c r="D12124" t="str">
        <f t="shared" si="2632"/>
        <v>813</v>
      </c>
      <c r="E12124" t="str">
        <f t="shared" si="2633"/>
        <v>89301152</v>
      </c>
      <c r="F12124" t="str">
        <f>"9959276283"</f>
        <v>9959276283</v>
      </c>
      <c r="G12124" s="1">
        <v>44915</v>
      </c>
      <c r="H12124" t="str">
        <f>"91197"</f>
        <v>91197</v>
      </c>
      <c r="I12124">
        <v>1</v>
      </c>
      <c r="J12124">
        <v>1046</v>
      </c>
      <c r="K12124">
        <v>0</v>
      </c>
      <c r="L12124">
        <v>815.88</v>
      </c>
    </row>
    <row r="12125" spans="1:12" x14ac:dyDescent="0.25">
      <c r="A12125" t="str">
        <f t="shared" si="2629"/>
        <v>89301000</v>
      </c>
      <c r="B12125" t="str">
        <f t="shared" si="2630"/>
        <v>72077000</v>
      </c>
      <c r="C12125" t="str">
        <f t="shared" si="2631"/>
        <v>72077001</v>
      </c>
      <c r="D12125" t="str">
        <f t="shared" si="2632"/>
        <v>813</v>
      </c>
      <c r="E12125" t="str">
        <f t="shared" si="2633"/>
        <v>89301152</v>
      </c>
      <c r="F12125" t="str">
        <f>"9959276283"</f>
        <v>9959276283</v>
      </c>
      <c r="G12125" s="1">
        <v>44915</v>
      </c>
      <c r="H12125" t="str">
        <f>"91465"</f>
        <v>91465</v>
      </c>
      <c r="I12125">
        <v>1</v>
      </c>
      <c r="J12125">
        <v>1404</v>
      </c>
      <c r="K12125">
        <v>0</v>
      </c>
      <c r="L12125">
        <v>1095.1199999999999</v>
      </c>
    </row>
    <row r="12126" spans="1:12" x14ac:dyDescent="0.25">
      <c r="A12126" t="str">
        <f t="shared" si="2629"/>
        <v>89301000</v>
      </c>
      <c r="B12126" t="str">
        <f t="shared" si="2630"/>
        <v>72077000</v>
      </c>
      <c r="C12126" t="str">
        <f t="shared" si="2631"/>
        <v>72077001</v>
      </c>
      <c r="D12126" t="str">
        <f t="shared" si="2632"/>
        <v>813</v>
      </c>
      <c r="E12126" t="str">
        <f t="shared" si="2633"/>
        <v>89301152</v>
      </c>
      <c r="F12126" t="str">
        <f>"520920199"</f>
        <v>520920199</v>
      </c>
      <c r="G12126" s="1">
        <v>44924</v>
      </c>
      <c r="H12126" t="str">
        <f>"91219"</f>
        <v>91219</v>
      </c>
      <c r="I12126">
        <v>1</v>
      </c>
      <c r="J12126">
        <v>342</v>
      </c>
      <c r="K12126">
        <v>0</v>
      </c>
      <c r="L12126">
        <v>266.76</v>
      </c>
    </row>
    <row r="12127" spans="1:12" x14ac:dyDescent="0.25">
      <c r="A12127" t="str">
        <f t="shared" si="2629"/>
        <v>89301000</v>
      </c>
      <c r="B12127" t="str">
        <f t="shared" ref="B12127:B12146" si="2634">"06515000"</f>
        <v>06515000</v>
      </c>
      <c r="C12127" t="str">
        <f>"06515024"</f>
        <v>06515024</v>
      </c>
      <c r="D12127" t="str">
        <f>"801"</f>
        <v>801</v>
      </c>
      <c r="E12127" t="str">
        <f>"89301082"</f>
        <v>89301082</v>
      </c>
      <c r="F12127" t="str">
        <f>"8357304483"</f>
        <v>8357304483</v>
      </c>
      <c r="G12127" s="1">
        <v>44922</v>
      </c>
      <c r="H12127" t="str">
        <f>"93155"</f>
        <v>93155</v>
      </c>
      <c r="I12127">
        <v>1</v>
      </c>
      <c r="J12127">
        <v>202</v>
      </c>
      <c r="K12127">
        <v>0</v>
      </c>
      <c r="L12127">
        <v>157.56</v>
      </c>
    </row>
    <row r="12128" spans="1:12" x14ac:dyDescent="0.25">
      <c r="A12128" t="str">
        <f t="shared" si="2629"/>
        <v>89301000</v>
      </c>
      <c r="B12128" t="str">
        <f t="shared" si="2634"/>
        <v>06515000</v>
      </c>
      <c r="C12128" t="str">
        <f>"06515024"</f>
        <v>06515024</v>
      </c>
      <c r="D12128" t="str">
        <f>"801"</f>
        <v>801</v>
      </c>
      <c r="E12128" t="str">
        <f>"89301082"</f>
        <v>89301082</v>
      </c>
      <c r="F12128" t="str">
        <f>"8357304483"</f>
        <v>8357304483</v>
      </c>
      <c r="G12128" s="1">
        <v>44922</v>
      </c>
      <c r="H12128" t="str">
        <f>"97111"</f>
        <v>97111</v>
      </c>
      <c r="I12128">
        <v>1</v>
      </c>
      <c r="J12128">
        <v>18</v>
      </c>
      <c r="K12128">
        <v>0</v>
      </c>
      <c r="L12128">
        <v>14.04</v>
      </c>
    </row>
    <row r="12129" spans="1:12" x14ac:dyDescent="0.25">
      <c r="A12129" t="str">
        <f t="shared" si="2629"/>
        <v>89301000</v>
      </c>
      <c r="B12129" t="str">
        <f t="shared" si="2634"/>
        <v>06515000</v>
      </c>
      <c r="C12129" t="str">
        <f>"06515032"</f>
        <v>06515032</v>
      </c>
      <c r="D12129" t="str">
        <f>"818"</f>
        <v>818</v>
      </c>
      <c r="E12129" t="str">
        <f t="shared" ref="E12129:E12146" si="2635">"89301167"</f>
        <v>89301167</v>
      </c>
      <c r="F12129" t="str">
        <f t="shared" ref="F12129:F12146" si="2636">"505829084"</f>
        <v>505829084</v>
      </c>
      <c r="G12129" s="1">
        <v>44908</v>
      </c>
      <c r="H12129" t="str">
        <f>"96167"</f>
        <v>96167</v>
      </c>
      <c r="I12129">
        <v>1</v>
      </c>
      <c r="J12129">
        <v>67</v>
      </c>
      <c r="K12129">
        <v>0</v>
      </c>
      <c r="L12129">
        <v>60.97</v>
      </c>
    </row>
    <row r="12130" spans="1:12" x14ac:dyDescent="0.25">
      <c r="A12130" t="str">
        <f t="shared" si="2629"/>
        <v>89301000</v>
      </c>
      <c r="B12130" t="str">
        <f t="shared" si="2634"/>
        <v>06515000</v>
      </c>
      <c r="C12130" t="str">
        <f t="shared" ref="C12130:C12145" si="2637">"06515024"</f>
        <v>06515024</v>
      </c>
      <c r="D12130" t="str">
        <f t="shared" ref="D12130:D12145" si="2638">"801"</f>
        <v>801</v>
      </c>
      <c r="E12130" t="str">
        <f t="shared" si="2635"/>
        <v>89301167</v>
      </c>
      <c r="F12130" t="str">
        <f t="shared" si="2636"/>
        <v>505829084</v>
      </c>
      <c r="G12130" s="1">
        <v>44908</v>
      </c>
      <c r="H12130" t="str">
        <f>"81469"</f>
        <v>81469</v>
      </c>
      <c r="I12130">
        <v>1</v>
      </c>
      <c r="J12130">
        <v>16</v>
      </c>
      <c r="K12130">
        <v>0</v>
      </c>
      <c r="L12130">
        <v>12.48</v>
      </c>
    </row>
    <row r="12131" spans="1:12" x14ac:dyDescent="0.25">
      <c r="A12131" t="str">
        <f t="shared" si="2629"/>
        <v>89301000</v>
      </c>
      <c r="B12131" t="str">
        <f t="shared" si="2634"/>
        <v>06515000</v>
      </c>
      <c r="C12131" t="str">
        <f t="shared" si="2637"/>
        <v>06515024</v>
      </c>
      <c r="D12131" t="str">
        <f t="shared" si="2638"/>
        <v>801</v>
      </c>
      <c r="E12131" t="str">
        <f t="shared" si="2635"/>
        <v>89301167</v>
      </c>
      <c r="F12131" t="str">
        <f t="shared" si="2636"/>
        <v>505829084</v>
      </c>
      <c r="G12131" s="1">
        <v>44908</v>
      </c>
      <c r="H12131" t="str">
        <f>"81393"</f>
        <v>81393</v>
      </c>
      <c r="I12131">
        <v>1</v>
      </c>
      <c r="J12131">
        <v>24</v>
      </c>
      <c r="K12131">
        <v>0</v>
      </c>
      <c r="L12131">
        <v>18.72</v>
      </c>
    </row>
    <row r="12132" spans="1:12" x14ac:dyDescent="0.25">
      <c r="A12132" t="str">
        <f t="shared" si="2629"/>
        <v>89301000</v>
      </c>
      <c r="B12132" t="str">
        <f t="shared" si="2634"/>
        <v>06515000</v>
      </c>
      <c r="C12132" t="str">
        <f t="shared" si="2637"/>
        <v>06515024</v>
      </c>
      <c r="D12132" t="str">
        <f t="shared" si="2638"/>
        <v>801</v>
      </c>
      <c r="E12132" t="str">
        <f t="shared" si="2635"/>
        <v>89301167</v>
      </c>
      <c r="F12132" t="str">
        <f t="shared" si="2636"/>
        <v>505829084</v>
      </c>
      <c r="G12132" s="1">
        <v>44908</v>
      </c>
      <c r="H12132" t="str">
        <f>"81435"</f>
        <v>81435</v>
      </c>
      <c r="I12132">
        <v>1</v>
      </c>
      <c r="J12132">
        <v>22</v>
      </c>
      <c r="K12132">
        <v>0</v>
      </c>
      <c r="L12132">
        <v>17.16</v>
      </c>
    </row>
    <row r="12133" spans="1:12" x14ac:dyDescent="0.25">
      <c r="A12133" t="str">
        <f t="shared" si="2629"/>
        <v>89301000</v>
      </c>
      <c r="B12133" t="str">
        <f t="shared" si="2634"/>
        <v>06515000</v>
      </c>
      <c r="C12133" t="str">
        <f t="shared" si="2637"/>
        <v>06515024</v>
      </c>
      <c r="D12133" t="str">
        <f t="shared" si="2638"/>
        <v>801</v>
      </c>
      <c r="E12133" t="str">
        <f t="shared" si="2635"/>
        <v>89301167</v>
      </c>
      <c r="F12133" t="str">
        <f t="shared" si="2636"/>
        <v>505829084</v>
      </c>
      <c r="G12133" s="1">
        <v>44908</v>
      </c>
      <c r="H12133" t="str">
        <f>"81625"</f>
        <v>81625</v>
      </c>
      <c r="I12133">
        <v>1</v>
      </c>
      <c r="J12133">
        <v>20</v>
      </c>
      <c r="K12133">
        <v>0</v>
      </c>
      <c r="L12133">
        <v>15.6</v>
      </c>
    </row>
    <row r="12134" spans="1:12" x14ac:dyDescent="0.25">
      <c r="A12134" t="str">
        <f t="shared" si="2629"/>
        <v>89301000</v>
      </c>
      <c r="B12134" t="str">
        <f t="shared" si="2634"/>
        <v>06515000</v>
      </c>
      <c r="C12134" t="str">
        <f t="shared" si="2637"/>
        <v>06515024</v>
      </c>
      <c r="D12134" t="str">
        <f t="shared" si="2638"/>
        <v>801</v>
      </c>
      <c r="E12134" t="str">
        <f t="shared" si="2635"/>
        <v>89301167</v>
      </c>
      <c r="F12134" t="str">
        <f t="shared" si="2636"/>
        <v>505829084</v>
      </c>
      <c r="G12134" s="1">
        <v>44908</v>
      </c>
      <c r="H12134" t="str">
        <f>"81421"</f>
        <v>81421</v>
      </c>
      <c r="I12134">
        <v>1</v>
      </c>
      <c r="J12134">
        <v>19</v>
      </c>
      <c r="K12134">
        <v>0</v>
      </c>
      <c r="L12134">
        <v>14.82</v>
      </c>
    </row>
    <row r="12135" spans="1:12" x14ac:dyDescent="0.25">
      <c r="A12135" t="str">
        <f t="shared" si="2629"/>
        <v>89301000</v>
      </c>
      <c r="B12135" t="str">
        <f t="shared" si="2634"/>
        <v>06515000</v>
      </c>
      <c r="C12135" t="str">
        <f t="shared" si="2637"/>
        <v>06515024</v>
      </c>
      <c r="D12135" t="str">
        <f t="shared" si="2638"/>
        <v>801</v>
      </c>
      <c r="E12135" t="str">
        <f t="shared" si="2635"/>
        <v>89301167</v>
      </c>
      <c r="F12135" t="str">
        <f t="shared" si="2636"/>
        <v>505829084</v>
      </c>
      <c r="G12135" s="1">
        <v>44908</v>
      </c>
      <c r="H12135" t="str">
        <f>"97111"</f>
        <v>97111</v>
      </c>
      <c r="I12135">
        <v>2</v>
      </c>
      <c r="J12135">
        <v>36</v>
      </c>
      <c r="K12135">
        <v>0</v>
      </c>
      <c r="L12135">
        <v>28.08</v>
      </c>
    </row>
    <row r="12136" spans="1:12" x14ac:dyDescent="0.25">
      <c r="A12136" t="str">
        <f t="shared" si="2629"/>
        <v>89301000</v>
      </c>
      <c r="B12136" t="str">
        <f t="shared" si="2634"/>
        <v>06515000</v>
      </c>
      <c r="C12136" t="str">
        <f t="shared" si="2637"/>
        <v>06515024</v>
      </c>
      <c r="D12136" t="str">
        <f t="shared" si="2638"/>
        <v>801</v>
      </c>
      <c r="E12136" t="str">
        <f t="shared" si="2635"/>
        <v>89301167</v>
      </c>
      <c r="F12136" t="str">
        <f t="shared" si="2636"/>
        <v>505829084</v>
      </c>
      <c r="G12136" s="1">
        <v>44908</v>
      </c>
      <c r="H12136" t="str">
        <f>"81383"</f>
        <v>81383</v>
      </c>
      <c r="I12136">
        <v>1</v>
      </c>
      <c r="J12136">
        <v>23</v>
      </c>
      <c r="K12136">
        <v>0</v>
      </c>
      <c r="L12136">
        <v>17.940000000000001</v>
      </c>
    </row>
    <row r="12137" spans="1:12" x14ac:dyDescent="0.25">
      <c r="A12137" t="str">
        <f t="shared" si="2629"/>
        <v>89301000</v>
      </c>
      <c r="B12137" t="str">
        <f t="shared" si="2634"/>
        <v>06515000</v>
      </c>
      <c r="C12137" t="str">
        <f t="shared" si="2637"/>
        <v>06515024</v>
      </c>
      <c r="D12137" t="str">
        <f t="shared" si="2638"/>
        <v>801</v>
      </c>
      <c r="E12137" t="str">
        <f t="shared" si="2635"/>
        <v>89301167</v>
      </c>
      <c r="F12137" t="str">
        <f t="shared" si="2636"/>
        <v>505829084</v>
      </c>
      <c r="G12137" s="1">
        <v>44908</v>
      </c>
      <c r="H12137" t="str">
        <f>"81499"</f>
        <v>81499</v>
      </c>
      <c r="I12137">
        <v>1</v>
      </c>
      <c r="J12137">
        <v>18</v>
      </c>
      <c r="K12137">
        <v>0</v>
      </c>
      <c r="L12137">
        <v>14.04</v>
      </c>
    </row>
    <row r="12138" spans="1:12" x14ac:dyDescent="0.25">
      <c r="A12138" t="str">
        <f t="shared" si="2629"/>
        <v>89301000</v>
      </c>
      <c r="B12138" t="str">
        <f t="shared" si="2634"/>
        <v>06515000</v>
      </c>
      <c r="C12138" t="str">
        <f t="shared" si="2637"/>
        <v>06515024</v>
      </c>
      <c r="D12138" t="str">
        <f t="shared" si="2638"/>
        <v>801</v>
      </c>
      <c r="E12138" t="str">
        <f t="shared" si="2635"/>
        <v>89301167</v>
      </c>
      <c r="F12138" t="str">
        <f t="shared" si="2636"/>
        <v>505829084</v>
      </c>
      <c r="G12138" s="1">
        <v>44908</v>
      </c>
      <c r="H12138" t="str">
        <f>"81357"</f>
        <v>81357</v>
      </c>
      <c r="I12138">
        <v>1</v>
      </c>
      <c r="J12138">
        <v>19</v>
      </c>
      <c r="K12138">
        <v>0</v>
      </c>
      <c r="L12138">
        <v>14.82</v>
      </c>
    </row>
    <row r="12139" spans="1:12" x14ac:dyDescent="0.25">
      <c r="A12139" t="str">
        <f t="shared" si="2629"/>
        <v>89301000</v>
      </c>
      <c r="B12139" t="str">
        <f t="shared" si="2634"/>
        <v>06515000</v>
      </c>
      <c r="C12139" t="str">
        <f t="shared" si="2637"/>
        <v>06515024</v>
      </c>
      <c r="D12139" t="str">
        <f t="shared" si="2638"/>
        <v>801</v>
      </c>
      <c r="E12139" t="str">
        <f t="shared" si="2635"/>
        <v>89301167</v>
      </c>
      <c r="F12139" t="str">
        <f t="shared" si="2636"/>
        <v>505829084</v>
      </c>
      <c r="G12139" s="1">
        <v>44908</v>
      </c>
      <c r="H12139" t="str">
        <f>"81593"</f>
        <v>81593</v>
      </c>
      <c r="I12139">
        <v>1</v>
      </c>
      <c r="J12139">
        <v>22</v>
      </c>
      <c r="K12139">
        <v>0</v>
      </c>
      <c r="L12139">
        <v>17.16</v>
      </c>
    </row>
    <row r="12140" spans="1:12" x14ac:dyDescent="0.25">
      <c r="A12140" t="str">
        <f t="shared" si="2629"/>
        <v>89301000</v>
      </c>
      <c r="B12140" t="str">
        <f t="shared" si="2634"/>
        <v>06515000</v>
      </c>
      <c r="C12140" t="str">
        <f t="shared" si="2637"/>
        <v>06515024</v>
      </c>
      <c r="D12140" t="str">
        <f t="shared" si="2638"/>
        <v>801</v>
      </c>
      <c r="E12140" t="str">
        <f t="shared" si="2635"/>
        <v>89301167</v>
      </c>
      <c r="F12140" t="str">
        <f t="shared" si="2636"/>
        <v>505829084</v>
      </c>
      <c r="G12140" s="1">
        <v>44908</v>
      </c>
      <c r="H12140" t="str">
        <f>"81361"</f>
        <v>81361</v>
      </c>
      <c r="I12140">
        <v>1</v>
      </c>
      <c r="J12140">
        <v>17</v>
      </c>
      <c r="K12140">
        <v>0</v>
      </c>
      <c r="L12140">
        <v>13.26</v>
      </c>
    </row>
    <row r="12141" spans="1:12" x14ac:dyDescent="0.25">
      <c r="A12141" t="str">
        <f t="shared" si="2629"/>
        <v>89301000</v>
      </c>
      <c r="B12141" t="str">
        <f t="shared" si="2634"/>
        <v>06515000</v>
      </c>
      <c r="C12141" t="str">
        <f t="shared" si="2637"/>
        <v>06515024</v>
      </c>
      <c r="D12141" t="str">
        <f t="shared" si="2638"/>
        <v>801</v>
      </c>
      <c r="E12141" t="str">
        <f t="shared" si="2635"/>
        <v>89301167</v>
      </c>
      <c r="F12141" t="str">
        <f t="shared" si="2636"/>
        <v>505829084</v>
      </c>
      <c r="G12141" s="1">
        <v>44908</v>
      </c>
      <c r="H12141" t="str">
        <f>"81621"</f>
        <v>81621</v>
      </c>
      <c r="I12141">
        <v>1</v>
      </c>
      <c r="J12141">
        <v>19</v>
      </c>
      <c r="K12141">
        <v>0</v>
      </c>
      <c r="L12141">
        <v>14.82</v>
      </c>
    </row>
    <row r="12142" spans="1:12" x14ac:dyDescent="0.25">
      <c r="A12142" t="str">
        <f t="shared" si="2629"/>
        <v>89301000</v>
      </c>
      <c r="B12142" t="str">
        <f t="shared" si="2634"/>
        <v>06515000</v>
      </c>
      <c r="C12142" t="str">
        <f t="shared" si="2637"/>
        <v>06515024</v>
      </c>
      <c r="D12142" t="str">
        <f t="shared" si="2638"/>
        <v>801</v>
      </c>
      <c r="E12142" t="str">
        <f t="shared" si="2635"/>
        <v>89301167</v>
      </c>
      <c r="F12142" t="str">
        <f t="shared" si="2636"/>
        <v>505829084</v>
      </c>
      <c r="G12142" s="1">
        <v>44908</v>
      </c>
      <c r="H12142" t="str">
        <f>"81439"</f>
        <v>81439</v>
      </c>
      <c r="I12142">
        <v>1</v>
      </c>
      <c r="J12142">
        <v>16</v>
      </c>
      <c r="K12142">
        <v>0</v>
      </c>
      <c r="L12142">
        <v>12.48</v>
      </c>
    </row>
    <row r="12143" spans="1:12" x14ac:dyDescent="0.25">
      <c r="A12143" t="str">
        <f t="shared" si="2629"/>
        <v>89301000</v>
      </c>
      <c r="B12143" t="str">
        <f t="shared" si="2634"/>
        <v>06515000</v>
      </c>
      <c r="C12143" t="str">
        <f t="shared" si="2637"/>
        <v>06515024</v>
      </c>
      <c r="D12143" t="str">
        <f t="shared" si="2638"/>
        <v>801</v>
      </c>
      <c r="E12143" t="str">
        <f t="shared" si="2635"/>
        <v>89301167</v>
      </c>
      <c r="F12143" t="str">
        <f t="shared" si="2636"/>
        <v>505829084</v>
      </c>
      <c r="G12143" s="1">
        <v>44908</v>
      </c>
      <c r="H12143" t="str">
        <f>"81337"</f>
        <v>81337</v>
      </c>
      <c r="I12143">
        <v>1</v>
      </c>
      <c r="J12143">
        <v>19</v>
      </c>
      <c r="K12143">
        <v>0</v>
      </c>
      <c r="L12143">
        <v>14.82</v>
      </c>
    </row>
    <row r="12144" spans="1:12" x14ac:dyDescent="0.25">
      <c r="A12144" t="str">
        <f t="shared" si="2629"/>
        <v>89301000</v>
      </c>
      <c r="B12144" t="str">
        <f t="shared" si="2634"/>
        <v>06515000</v>
      </c>
      <c r="C12144" t="str">
        <f t="shared" si="2637"/>
        <v>06515024</v>
      </c>
      <c r="D12144" t="str">
        <f t="shared" si="2638"/>
        <v>801</v>
      </c>
      <c r="E12144" t="str">
        <f t="shared" si="2635"/>
        <v>89301167</v>
      </c>
      <c r="F12144" t="str">
        <f t="shared" si="2636"/>
        <v>505829084</v>
      </c>
      <c r="G12144" s="1">
        <v>44908</v>
      </c>
      <c r="H12144" t="str">
        <f>"81329"</f>
        <v>81329</v>
      </c>
      <c r="I12144">
        <v>1</v>
      </c>
      <c r="J12144">
        <v>16</v>
      </c>
      <c r="K12144">
        <v>0</v>
      </c>
      <c r="L12144">
        <v>12.48</v>
      </c>
    </row>
    <row r="12145" spans="1:12" x14ac:dyDescent="0.25">
      <c r="A12145" t="str">
        <f t="shared" si="2629"/>
        <v>89301000</v>
      </c>
      <c r="B12145" t="str">
        <f t="shared" si="2634"/>
        <v>06515000</v>
      </c>
      <c r="C12145" t="str">
        <f t="shared" si="2637"/>
        <v>06515024</v>
      </c>
      <c r="D12145" t="str">
        <f t="shared" si="2638"/>
        <v>801</v>
      </c>
      <c r="E12145" t="str">
        <f t="shared" si="2635"/>
        <v>89301167</v>
      </c>
      <c r="F12145" t="str">
        <f t="shared" si="2636"/>
        <v>505829084</v>
      </c>
      <c r="G12145" s="1">
        <v>44908</v>
      </c>
      <c r="H12145" t="str">
        <f>"81365"</f>
        <v>81365</v>
      </c>
      <c r="I12145">
        <v>1</v>
      </c>
      <c r="J12145">
        <v>16</v>
      </c>
      <c r="K12145">
        <v>0</v>
      </c>
      <c r="L12145">
        <v>12.48</v>
      </c>
    </row>
    <row r="12146" spans="1:12" x14ac:dyDescent="0.25">
      <c r="A12146" t="str">
        <f t="shared" si="2629"/>
        <v>89301000</v>
      </c>
      <c r="B12146" t="str">
        <f t="shared" si="2634"/>
        <v>06515000</v>
      </c>
      <c r="C12146" t="str">
        <f>"06515030"</f>
        <v>06515030</v>
      </c>
      <c r="D12146" t="str">
        <f>"813"</f>
        <v>813</v>
      </c>
      <c r="E12146" t="str">
        <f t="shared" si="2635"/>
        <v>89301167</v>
      </c>
      <c r="F12146" t="str">
        <f t="shared" si="2636"/>
        <v>505829084</v>
      </c>
      <c r="G12146" s="1">
        <v>44908</v>
      </c>
      <c r="H12146" t="str">
        <f>"91153"</f>
        <v>91153</v>
      </c>
      <c r="I12146">
        <v>1</v>
      </c>
      <c r="J12146">
        <v>152</v>
      </c>
      <c r="K12146">
        <v>0</v>
      </c>
      <c r="L12146">
        <v>118.56</v>
      </c>
    </row>
    <row r="12147" spans="1:12" x14ac:dyDescent="0.25">
      <c r="A12147" t="str">
        <f t="shared" si="2629"/>
        <v>89301000</v>
      </c>
      <c r="B12147" t="str">
        <f t="shared" ref="B12147:B12152" si="2639">"85600000"</f>
        <v>85600000</v>
      </c>
      <c r="C12147" t="str">
        <f>"85600021"</f>
        <v>85600021</v>
      </c>
      <c r="D12147" t="str">
        <f>"801"</f>
        <v>801</v>
      </c>
      <c r="E12147" t="str">
        <f t="shared" ref="E12147:E12152" si="2640">"89301108"</f>
        <v>89301108</v>
      </c>
      <c r="F12147" t="str">
        <f t="shared" ref="F12147:F12152" si="2641">"0905076590"</f>
        <v>0905076590</v>
      </c>
      <c r="G12147" s="1">
        <v>44909</v>
      </c>
      <c r="H12147" t="str">
        <f>"81443"</f>
        <v>81443</v>
      </c>
      <c r="I12147">
        <v>1</v>
      </c>
      <c r="J12147">
        <v>44</v>
      </c>
      <c r="K12147">
        <v>0</v>
      </c>
      <c r="L12147">
        <v>34.32</v>
      </c>
    </row>
    <row r="12148" spans="1:12" x14ac:dyDescent="0.25">
      <c r="A12148" t="str">
        <f t="shared" si="2629"/>
        <v>89301000</v>
      </c>
      <c r="B12148" t="str">
        <f t="shared" si="2639"/>
        <v>85600000</v>
      </c>
      <c r="C12148" t="str">
        <f>"85600021"</f>
        <v>85600021</v>
      </c>
      <c r="D12148" t="str">
        <f>"801"</f>
        <v>801</v>
      </c>
      <c r="E12148" t="str">
        <f t="shared" si="2640"/>
        <v>89301108</v>
      </c>
      <c r="F12148" t="str">
        <f t="shared" si="2641"/>
        <v>0905076590</v>
      </c>
      <c r="G12148" s="1">
        <v>44909</v>
      </c>
      <c r="H12148" t="str">
        <f>"81439"</f>
        <v>81439</v>
      </c>
      <c r="I12148">
        <v>1</v>
      </c>
      <c r="J12148">
        <v>16</v>
      </c>
      <c r="K12148">
        <v>0</v>
      </c>
      <c r="L12148">
        <v>12.48</v>
      </c>
    </row>
    <row r="12149" spans="1:12" x14ac:dyDescent="0.25">
      <c r="A12149" t="str">
        <f t="shared" si="2629"/>
        <v>89301000</v>
      </c>
      <c r="B12149" t="str">
        <f t="shared" si="2639"/>
        <v>85600000</v>
      </c>
      <c r="C12149" t="str">
        <f>"85600021"</f>
        <v>85600021</v>
      </c>
      <c r="D12149" t="str">
        <f>"801"</f>
        <v>801</v>
      </c>
      <c r="E12149" t="str">
        <f t="shared" si="2640"/>
        <v>89301108</v>
      </c>
      <c r="F12149" t="str">
        <f t="shared" si="2641"/>
        <v>0905076590</v>
      </c>
      <c r="G12149" s="1">
        <v>44909</v>
      </c>
      <c r="H12149" t="str">
        <f>"81439"</f>
        <v>81439</v>
      </c>
      <c r="I12149">
        <v>1</v>
      </c>
      <c r="J12149">
        <v>16</v>
      </c>
      <c r="K12149">
        <v>0</v>
      </c>
      <c r="L12149">
        <v>12.48</v>
      </c>
    </row>
    <row r="12150" spans="1:12" x14ac:dyDescent="0.25">
      <c r="A12150" t="str">
        <f t="shared" si="2629"/>
        <v>89301000</v>
      </c>
      <c r="B12150" t="str">
        <f t="shared" si="2639"/>
        <v>85600000</v>
      </c>
      <c r="C12150" t="str">
        <f>"85600021"</f>
        <v>85600021</v>
      </c>
      <c r="D12150" t="str">
        <f>"801"</f>
        <v>801</v>
      </c>
      <c r="E12150" t="str">
        <f t="shared" si="2640"/>
        <v>89301108</v>
      </c>
      <c r="F12150" t="str">
        <f t="shared" si="2641"/>
        <v>0905076590</v>
      </c>
      <c r="G12150" s="1">
        <v>44909</v>
      </c>
      <c r="H12150" t="str">
        <f>"09119"</f>
        <v>09119</v>
      </c>
      <c r="I12150">
        <v>1</v>
      </c>
      <c r="J12150">
        <v>42</v>
      </c>
      <c r="K12150">
        <v>0</v>
      </c>
      <c r="L12150">
        <v>32.76</v>
      </c>
    </row>
    <row r="12151" spans="1:12" x14ac:dyDescent="0.25">
      <c r="A12151" t="str">
        <f t="shared" si="2629"/>
        <v>89301000</v>
      </c>
      <c r="B12151" t="str">
        <f t="shared" si="2639"/>
        <v>85600000</v>
      </c>
      <c r="C12151" t="str">
        <f>"85600775"</f>
        <v>85600775</v>
      </c>
      <c r="D12151" t="str">
        <f>"818"</f>
        <v>818</v>
      </c>
      <c r="E12151" t="str">
        <f t="shared" si="2640"/>
        <v>89301108</v>
      </c>
      <c r="F12151" t="str">
        <f t="shared" si="2641"/>
        <v>0905076590</v>
      </c>
      <c r="G12151" s="1">
        <v>44909</v>
      </c>
      <c r="H12151" t="str">
        <f>"97111"</f>
        <v>97111</v>
      </c>
      <c r="I12151">
        <v>1</v>
      </c>
      <c r="J12151">
        <v>18</v>
      </c>
      <c r="K12151">
        <v>0</v>
      </c>
      <c r="L12151">
        <v>16.38</v>
      </c>
    </row>
    <row r="12152" spans="1:12" x14ac:dyDescent="0.25">
      <c r="A12152" t="str">
        <f t="shared" si="2629"/>
        <v>89301000</v>
      </c>
      <c r="B12152" t="str">
        <f t="shared" si="2639"/>
        <v>85600000</v>
      </c>
      <c r="C12152" t="str">
        <f>"85600775"</f>
        <v>85600775</v>
      </c>
      <c r="D12152" t="str">
        <f>"818"</f>
        <v>818</v>
      </c>
      <c r="E12152" t="str">
        <f t="shared" si="2640"/>
        <v>89301108</v>
      </c>
      <c r="F12152" t="str">
        <f t="shared" si="2641"/>
        <v>0905076590</v>
      </c>
      <c r="G12152" s="1">
        <v>44909</v>
      </c>
      <c r="H12152" t="str">
        <f>"97111"</f>
        <v>97111</v>
      </c>
      <c r="I12152">
        <v>1</v>
      </c>
      <c r="J12152">
        <v>18</v>
      </c>
      <c r="K12152">
        <v>0</v>
      </c>
      <c r="L12152">
        <v>16.38</v>
      </c>
    </row>
    <row r="12153" spans="1:12" x14ac:dyDescent="0.25">
      <c r="A12153" t="str">
        <f t="shared" si="2629"/>
        <v>89301000</v>
      </c>
      <c r="B12153" t="str">
        <f t="shared" ref="B12153:B12172" si="2642">"95202000"</f>
        <v>95202000</v>
      </c>
      <c r="C12153" t="str">
        <f t="shared" ref="C12153:C12160" si="2643">"95202511"</f>
        <v>95202511</v>
      </c>
      <c r="D12153" t="str">
        <f t="shared" ref="D12153:D12160" si="2644">"809"</f>
        <v>809</v>
      </c>
      <c r="E12153" t="str">
        <f>"89301172"</f>
        <v>89301172</v>
      </c>
      <c r="F12153" t="str">
        <f>"6962275793"</f>
        <v>6962275793</v>
      </c>
      <c r="G12153" s="1">
        <v>44916</v>
      </c>
      <c r="H12153" t="str">
        <f>"89123"</f>
        <v>89123</v>
      </c>
      <c r="I12153">
        <v>1</v>
      </c>
      <c r="J12153">
        <v>139</v>
      </c>
      <c r="K12153">
        <v>0</v>
      </c>
      <c r="L12153">
        <v>194.6</v>
      </c>
    </row>
    <row r="12154" spans="1:12" x14ac:dyDescent="0.25">
      <c r="A12154" t="str">
        <f t="shared" si="2629"/>
        <v>89301000</v>
      </c>
      <c r="B12154" t="str">
        <f t="shared" si="2642"/>
        <v>95202000</v>
      </c>
      <c r="C12154" t="str">
        <f t="shared" si="2643"/>
        <v>95202511</v>
      </c>
      <c r="D12154" t="str">
        <f t="shared" si="2644"/>
        <v>809</v>
      </c>
      <c r="E12154" t="str">
        <f>"89301172"</f>
        <v>89301172</v>
      </c>
      <c r="F12154" t="str">
        <f>"6962275793"</f>
        <v>6962275793</v>
      </c>
      <c r="G12154" s="1">
        <v>44916</v>
      </c>
      <c r="H12154" t="str">
        <f>"89121"</f>
        <v>89121</v>
      </c>
      <c r="I12154">
        <v>1</v>
      </c>
      <c r="J12154">
        <v>176</v>
      </c>
      <c r="K12154">
        <v>0</v>
      </c>
      <c r="L12154">
        <v>246.4</v>
      </c>
    </row>
    <row r="12155" spans="1:12" x14ac:dyDescent="0.25">
      <c r="A12155" t="str">
        <f t="shared" si="2629"/>
        <v>89301000</v>
      </c>
      <c r="B12155" t="str">
        <f t="shared" si="2642"/>
        <v>95202000</v>
      </c>
      <c r="C12155" t="str">
        <f t="shared" si="2643"/>
        <v>95202511</v>
      </c>
      <c r="D12155" t="str">
        <f t="shared" si="2644"/>
        <v>809</v>
      </c>
      <c r="E12155" t="str">
        <f>"89301172"</f>
        <v>89301172</v>
      </c>
      <c r="F12155" t="str">
        <f>"6962275793"</f>
        <v>6962275793</v>
      </c>
      <c r="G12155" s="1">
        <v>44916</v>
      </c>
      <c r="H12155" t="str">
        <f>"09567"</f>
        <v>09567</v>
      </c>
      <c r="I12155">
        <v>1</v>
      </c>
      <c r="J12155">
        <v>0</v>
      </c>
      <c r="K12155">
        <v>0</v>
      </c>
      <c r="L12155">
        <v>0</v>
      </c>
    </row>
    <row r="12156" spans="1:12" x14ac:dyDescent="0.25">
      <c r="A12156" t="str">
        <f t="shared" si="2629"/>
        <v>89301000</v>
      </c>
      <c r="B12156" t="str">
        <f t="shared" si="2642"/>
        <v>95202000</v>
      </c>
      <c r="C12156" t="str">
        <f t="shared" si="2643"/>
        <v>95202511</v>
      </c>
      <c r="D12156" t="str">
        <f t="shared" si="2644"/>
        <v>809</v>
      </c>
      <c r="E12156" t="str">
        <f>"89301172"</f>
        <v>89301172</v>
      </c>
      <c r="F12156" t="str">
        <f>"6962275793"</f>
        <v>6962275793</v>
      </c>
      <c r="G12156" s="1">
        <v>44916</v>
      </c>
      <c r="H12156" t="str">
        <f>"89121"</f>
        <v>89121</v>
      </c>
      <c r="I12156">
        <v>1</v>
      </c>
      <c r="J12156">
        <v>176</v>
      </c>
      <c r="K12156">
        <v>0</v>
      </c>
      <c r="L12156">
        <v>246.4</v>
      </c>
    </row>
    <row r="12157" spans="1:12" x14ac:dyDescent="0.25">
      <c r="A12157" t="str">
        <f t="shared" si="2629"/>
        <v>89301000</v>
      </c>
      <c r="B12157" t="str">
        <f t="shared" si="2642"/>
        <v>95202000</v>
      </c>
      <c r="C12157" t="str">
        <f t="shared" si="2643"/>
        <v>95202511</v>
      </c>
      <c r="D12157" t="str">
        <f t="shared" si="2644"/>
        <v>809</v>
      </c>
      <c r="E12157" t="str">
        <f>"89301172"</f>
        <v>89301172</v>
      </c>
      <c r="F12157" t="str">
        <f>"6962275793"</f>
        <v>6962275793</v>
      </c>
      <c r="G12157" s="1">
        <v>44916</v>
      </c>
      <c r="H12157" t="str">
        <f>"09569"</f>
        <v>09569</v>
      </c>
      <c r="I12157">
        <v>1</v>
      </c>
      <c r="J12157">
        <v>0</v>
      </c>
      <c r="K12157">
        <v>0</v>
      </c>
      <c r="L12157">
        <v>0</v>
      </c>
    </row>
    <row r="12158" spans="1:12" x14ac:dyDescent="0.25">
      <c r="A12158" t="str">
        <f t="shared" si="2629"/>
        <v>89301000</v>
      </c>
      <c r="B12158" t="str">
        <f t="shared" si="2642"/>
        <v>95202000</v>
      </c>
      <c r="C12158" t="str">
        <f t="shared" si="2643"/>
        <v>95202511</v>
      </c>
      <c r="D12158" t="str">
        <f t="shared" si="2644"/>
        <v>809</v>
      </c>
      <c r="E12158" t="str">
        <f>"89301212"</f>
        <v>89301212</v>
      </c>
      <c r="F12158" t="str">
        <f>"486230409"</f>
        <v>486230409</v>
      </c>
      <c r="G12158" s="1">
        <v>44903</v>
      </c>
      <c r="H12158" t="str">
        <f>"89611"</f>
        <v>89611</v>
      </c>
      <c r="I12158">
        <v>2</v>
      </c>
      <c r="J12158">
        <v>4482</v>
      </c>
      <c r="K12158">
        <v>0</v>
      </c>
      <c r="L12158">
        <v>2689.2</v>
      </c>
    </row>
    <row r="12159" spans="1:12" x14ac:dyDescent="0.25">
      <c r="A12159" t="str">
        <f t="shared" si="2629"/>
        <v>89301000</v>
      </c>
      <c r="B12159" t="str">
        <f t="shared" si="2642"/>
        <v>95202000</v>
      </c>
      <c r="C12159" t="str">
        <f t="shared" si="2643"/>
        <v>95202511</v>
      </c>
      <c r="D12159" t="str">
        <f t="shared" si="2644"/>
        <v>809</v>
      </c>
      <c r="E12159" t="str">
        <f>"89301212"</f>
        <v>89301212</v>
      </c>
      <c r="F12159" t="str">
        <f>"486230409"</f>
        <v>486230409</v>
      </c>
      <c r="G12159" s="1">
        <v>44903</v>
      </c>
      <c r="H12159" t="str">
        <f>"0022077"</f>
        <v>0022077</v>
      </c>
      <c r="I12159">
        <v>0.5</v>
      </c>
      <c r="K12159">
        <v>1004.83</v>
      </c>
      <c r="L12159">
        <v>1004.83</v>
      </c>
    </row>
    <row r="12160" spans="1:12" x14ac:dyDescent="0.25">
      <c r="A12160" t="str">
        <f t="shared" si="2629"/>
        <v>89301000</v>
      </c>
      <c r="B12160" t="str">
        <f t="shared" si="2642"/>
        <v>95202000</v>
      </c>
      <c r="C12160" t="str">
        <f t="shared" si="2643"/>
        <v>95202511</v>
      </c>
      <c r="D12160" t="str">
        <f t="shared" si="2644"/>
        <v>809</v>
      </c>
      <c r="E12160" t="str">
        <f>"89301212"</f>
        <v>89301212</v>
      </c>
      <c r="F12160" t="str">
        <f>"486230409"</f>
        <v>486230409</v>
      </c>
      <c r="G12160" s="1">
        <v>44903</v>
      </c>
      <c r="H12160" t="str">
        <f>"0234018"</f>
        <v>0234018</v>
      </c>
      <c r="I12160">
        <v>0.01</v>
      </c>
      <c r="K12160">
        <v>2.44</v>
      </c>
      <c r="L12160">
        <v>2.44</v>
      </c>
    </row>
    <row r="12161" spans="1:12" x14ac:dyDescent="0.25">
      <c r="A12161" t="str">
        <f t="shared" si="2629"/>
        <v>89301000</v>
      </c>
      <c r="B12161" t="str">
        <f t="shared" si="2642"/>
        <v>95202000</v>
      </c>
      <c r="C12161" t="str">
        <f>"95202818"</f>
        <v>95202818</v>
      </c>
      <c r="D12161" t="str">
        <f>"818"</f>
        <v>818</v>
      </c>
      <c r="E12161" t="str">
        <f t="shared" ref="E12161:E12172" si="2645">"89301167"</f>
        <v>89301167</v>
      </c>
      <c r="F12161" t="str">
        <f t="shared" ref="F12161:F12172" si="2646">"520517127"</f>
        <v>520517127</v>
      </c>
      <c r="G12161" s="1">
        <v>44922</v>
      </c>
      <c r="H12161" t="str">
        <f>"96167"</f>
        <v>96167</v>
      </c>
      <c r="I12161">
        <v>1</v>
      </c>
      <c r="J12161">
        <v>67</v>
      </c>
      <c r="K12161">
        <v>0</v>
      </c>
      <c r="L12161">
        <v>60.97</v>
      </c>
    </row>
    <row r="12162" spans="1:12" x14ac:dyDescent="0.25">
      <c r="A12162" t="str">
        <f t="shared" ref="A12162:A12225" si="2647">"89301000"</f>
        <v>89301000</v>
      </c>
      <c r="B12162" t="str">
        <f t="shared" si="2642"/>
        <v>95202000</v>
      </c>
      <c r="C12162" t="str">
        <f t="shared" ref="C12162:C12172" si="2648">"95202096"</f>
        <v>95202096</v>
      </c>
      <c r="D12162" t="str">
        <f t="shared" ref="D12162:D12172" si="2649">"801"</f>
        <v>801</v>
      </c>
      <c r="E12162" t="str">
        <f t="shared" si="2645"/>
        <v>89301167</v>
      </c>
      <c r="F12162" t="str">
        <f t="shared" si="2646"/>
        <v>520517127</v>
      </c>
      <c r="G12162" s="1">
        <v>44922</v>
      </c>
      <c r="H12162" t="str">
        <f>"81337"</f>
        <v>81337</v>
      </c>
      <c r="I12162">
        <v>1</v>
      </c>
      <c r="J12162">
        <v>19</v>
      </c>
      <c r="K12162">
        <v>0</v>
      </c>
      <c r="L12162">
        <v>14.82</v>
      </c>
    </row>
    <row r="12163" spans="1:12" x14ac:dyDescent="0.25">
      <c r="A12163" t="str">
        <f t="shared" si="2647"/>
        <v>89301000</v>
      </c>
      <c r="B12163" t="str">
        <f t="shared" si="2642"/>
        <v>95202000</v>
      </c>
      <c r="C12163" t="str">
        <f t="shared" si="2648"/>
        <v>95202096</v>
      </c>
      <c r="D12163" t="str">
        <f t="shared" si="2649"/>
        <v>801</v>
      </c>
      <c r="E12163" t="str">
        <f t="shared" si="2645"/>
        <v>89301167</v>
      </c>
      <c r="F12163" t="str">
        <f t="shared" si="2646"/>
        <v>520517127</v>
      </c>
      <c r="G12163" s="1">
        <v>44922</v>
      </c>
      <c r="H12163" t="str">
        <f>"81357"</f>
        <v>81357</v>
      </c>
      <c r="I12163">
        <v>1</v>
      </c>
      <c r="J12163">
        <v>19</v>
      </c>
      <c r="K12163">
        <v>0</v>
      </c>
      <c r="L12163">
        <v>14.82</v>
      </c>
    </row>
    <row r="12164" spans="1:12" x14ac:dyDescent="0.25">
      <c r="A12164" t="str">
        <f t="shared" si="2647"/>
        <v>89301000</v>
      </c>
      <c r="B12164" t="str">
        <f t="shared" si="2642"/>
        <v>95202000</v>
      </c>
      <c r="C12164" t="str">
        <f t="shared" si="2648"/>
        <v>95202096</v>
      </c>
      <c r="D12164" t="str">
        <f t="shared" si="2649"/>
        <v>801</v>
      </c>
      <c r="E12164" t="str">
        <f t="shared" si="2645"/>
        <v>89301167</v>
      </c>
      <c r="F12164" t="str">
        <f t="shared" si="2646"/>
        <v>520517127</v>
      </c>
      <c r="G12164" s="1">
        <v>44922</v>
      </c>
      <c r="H12164" t="str">
        <f>"81393"</f>
        <v>81393</v>
      </c>
      <c r="I12164">
        <v>1</v>
      </c>
      <c r="J12164">
        <v>24</v>
      </c>
      <c r="K12164">
        <v>0</v>
      </c>
      <c r="L12164">
        <v>18.72</v>
      </c>
    </row>
    <row r="12165" spans="1:12" x14ac:dyDescent="0.25">
      <c r="A12165" t="str">
        <f t="shared" si="2647"/>
        <v>89301000</v>
      </c>
      <c r="B12165" t="str">
        <f t="shared" si="2642"/>
        <v>95202000</v>
      </c>
      <c r="C12165" t="str">
        <f t="shared" si="2648"/>
        <v>95202096</v>
      </c>
      <c r="D12165" t="str">
        <f t="shared" si="2649"/>
        <v>801</v>
      </c>
      <c r="E12165" t="str">
        <f t="shared" si="2645"/>
        <v>89301167</v>
      </c>
      <c r="F12165" t="str">
        <f t="shared" si="2646"/>
        <v>520517127</v>
      </c>
      <c r="G12165" s="1">
        <v>44922</v>
      </c>
      <c r="H12165" t="str">
        <f>"81421"</f>
        <v>81421</v>
      </c>
      <c r="I12165">
        <v>1</v>
      </c>
      <c r="J12165">
        <v>19</v>
      </c>
      <c r="K12165">
        <v>0</v>
      </c>
      <c r="L12165">
        <v>14.82</v>
      </c>
    </row>
    <row r="12166" spans="1:12" x14ac:dyDescent="0.25">
      <c r="A12166" t="str">
        <f t="shared" si="2647"/>
        <v>89301000</v>
      </c>
      <c r="B12166" t="str">
        <f t="shared" si="2642"/>
        <v>95202000</v>
      </c>
      <c r="C12166" t="str">
        <f t="shared" si="2648"/>
        <v>95202096</v>
      </c>
      <c r="D12166" t="str">
        <f t="shared" si="2649"/>
        <v>801</v>
      </c>
      <c r="E12166" t="str">
        <f t="shared" si="2645"/>
        <v>89301167</v>
      </c>
      <c r="F12166" t="str">
        <f t="shared" si="2646"/>
        <v>520517127</v>
      </c>
      <c r="G12166" s="1">
        <v>44922</v>
      </c>
      <c r="H12166" t="str">
        <f>"81435"</f>
        <v>81435</v>
      </c>
      <c r="I12166">
        <v>1</v>
      </c>
      <c r="J12166">
        <v>22</v>
      </c>
      <c r="K12166">
        <v>0</v>
      </c>
      <c r="L12166">
        <v>17.16</v>
      </c>
    </row>
    <row r="12167" spans="1:12" x14ac:dyDescent="0.25">
      <c r="A12167" t="str">
        <f t="shared" si="2647"/>
        <v>89301000</v>
      </c>
      <c r="B12167" t="str">
        <f t="shared" si="2642"/>
        <v>95202000</v>
      </c>
      <c r="C12167" t="str">
        <f t="shared" si="2648"/>
        <v>95202096</v>
      </c>
      <c r="D12167" t="str">
        <f t="shared" si="2649"/>
        <v>801</v>
      </c>
      <c r="E12167" t="str">
        <f t="shared" si="2645"/>
        <v>89301167</v>
      </c>
      <c r="F12167" t="str">
        <f t="shared" si="2646"/>
        <v>520517127</v>
      </c>
      <c r="G12167" s="1">
        <v>44922</v>
      </c>
      <c r="H12167" t="str">
        <f>"81469"</f>
        <v>81469</v>
      </c>
      <c r="I12167">
        <v>1</v>
      </c>
      <c r="J12167">
        <v>16</v>
      </c>
      <c r="K12167">
        <v>0</v>
      </c>
      <c r="L12167">
        <v>12.48</v>
      </c>
    </row>
    <row r="12168" spans="1:12" x14ac:dyDescent="0.25">
      <c r="A12168" t="str">
        <f t="shared" si="2647"/>
        <v>89301000</v>
      </c>
      <c r="B12168" t="str">
        <f t="shared" si="2642"/>
        <v>95202000</v>
      </c>
      <c r="C12168" t="str">
        <f t="shared" si="2648"/>
        <v>95202096</v>
      </c>
      <c r="D12168" t="str">
        <f t="shared" si="2649"/>
        <v>801</v>
      </c>
      <c r="E12168" t="str">
        <f t="shared" si="2645"/>
        <v>89301167</v>
      </c>
      <c r="F12168" t="str">
        <f t="shared" si="2646"/>
        <v>520517127</v>
      </c>
      <c r="G12168" s="1">
        <v>44922</v>
      </c>
      <c r="H12168" t="str">
        <f>"81499"</f>
        <v>81499</v>
      </c>
      <c r="I12168">
        <v>1</v>
      </c>
      <c r="J12168">
        <v>18</v>
      </c>
      <c r="K12168">
        <v>0</v>
      </c>
      <c r="L12168">
        <v>14.04</v>
      </c>
    </row>
    <row r="12169" spans="1:12" x14ac:dyDescent="0.25">
      <c r="A12169" t="str">
        <f t="shared" si="2647"/>
        <v>89301000</v>
      </c>
      <c r="B12169" t="str">
        <f t="shared" si="2642"/>
        <v>95202000</v>
      </c>
      <c r="C12169" t="str">
        <f t="shared" si="2648"/>
        <v>95202096</v>
      </c>
      <c r="D12169" t="str">
        <f t="shared" si="2649"/>
        <v>801</v>
      </c>
      <c r="E12169" t="str">
        <f t="shared" si="2645"/>
        <v>89301167</v>
      </c>
      <c r="F12169" t="str">
        <f t="shared" si="2646"/>
        <v>520517127</v>
      </c>
      <c r="G12169" s="1">
        <v>44922</v>
      </c>
      <c r="H12169" t="str">
        <f>"81593"</f>
        <v>81593</v>
      </c>
      <c r="I12169">
        <v>1</v>
      </c>
      <c r="J12169">
        <v>22</v>
      </c>
      <c r="K12169">
        <v>0</v>
      </c>
      <c r="L12169">
        <v>17.16</v>
      </c>
    </row>
    <row r="12170" spans="1:12" x14ac:dyDescent="0.25">
      <c r="A12170" t="str">
        <f t="shared" si="2647"/>
        <v>89301000</v>
      </c>
      <c r="B12170" t="str">
        <f t="shared" si="2642"/>
        <v>95202000</v>
      </c>
      <c r="C12170" t="str">
        <f t="shared" si="2648"/>
        <v>95202096</v>
      </c>
      <c r="D12170" t="str">
        <f t="shared" si="2649"/>
        <v>801</v>
      </c>
      <c r="E12170" t="str">
        <f t="shared" si="2645"/>
        <v>89301167</v>
      </c>
      <c r="F12170" t="str">
        <f t="shared" si="2646"/>
        <v>520517127</v>
      </c>
      <c r="G12170" s="1">
        <v>44922</v>
      </c>
      <c r="H12170" t="str">
        <f>"81621"</f>
        <v>81621</v>
      </c>
      <c r="I12170">
        <v>1</v>
      </c>
      <c r="J12170">
        <v>19</v>
      </c>
      <c r="K12170">
        <v>0</v>
      </c>
      <c r="L12170">
        <v>14.82</v>
      </c>
    </row>
    <row r="12171" spans="1:12" x14ac:dyDescent="0.25">
      <c r="A12171" t="str">
        <f t="shared" si="2647"/>
        <v>89301000</v>
      </c>
      <c r="B12171" t="str">
        <f t="shared" si="2642"/>
        <v>95202000</v>
      </c>
      <c r="C12171" t="str">
        <f t="shared" si="2648"/>
        <v>95202096</v>
      </c>
      <c r="D12171" t="str">
        <f t="shared" si="2649"/>
        <v>801</v>
      </c>
      <c r="E12171" t="str">
        <f t="shared" si="2645"/>
        <v>89301167</v>
      </c>
      <c r="F12171" t="str">
        <f t="shared" si="2646"/>
        <v>520517127</v>
      </c>
      <c r="G12171" s="1">
        <v>44922</v>
      </c>
      <c r="H12171" t="str">
        <f>"91153"</f>
        <v>91153</v>
      </c>
      <c r="I12171">
        <v>1</v>
      </c>
      <c r="J12171">
        <v>152</v>
      </c>
      <c r="K12171">
        <v>0</v>
      </c>
      <c r="L12171">
        <v>118.56</v>
      </c>
    </row>
    <row r="12172" spans="1:12" x14ac:dyDescent="0.25">
      <c r="A12172" t="str">
        <f t="shared" si="2647"/>
        <v>89301000</v>
      </c>
      <c r="B12172" t="str">
        <f t="shared" si="2642"/>
        <v>95202000</v>
      </c>
      <c r="C12172" t="str">
        <f t="shared" si="2648"/>
        <v>95202096</v>
      </c>
      <c r="D12172" t="str">
        <f t="shared" si="2649"/>
        <v>801</v>
      </c>
      <c r="E12172" t="str">
        <f t="shared" si="2645"/>
        <v>89301167</v>
      </c>
      <c r="F12172" t="str">
        <f t="shared" si="2646"/>
        <v>520517127</v>
      </c>
      <c r="G12172" s="1">
        <v>44922</v>
      </c>
      <c r="H12172" t="str">
        <f>"97111"</f>
        <v>97111</v>
      </c>
      <c r="I12172">
        <v>1</v>
      </c>
      <c r="J12172">
        <v>18</v>
      </c>
      <c r="K12172">
        <v>0</v>
      </c>
      <c r="L12172">
        <v>14.04</v>
      </c>
    </row>
    <row r="12173" spans="1:12" x14ac:dyDescent="0.25">
      <c r="A12173" t="str">
        <f t="shared" si="2647"/>
        <v>89301000</v>
      </c>
      <c r="B12173" t="str">
        <f>"93507000"</f>
        <v>93507000</v>
      </c>
      <c r="C12173" t="str">
        <f>"93507001"</f>
        <v>93507001</v>
      </c>
      <c r="D12173" t="str">
        <f t="shared" ref="D12173:D12208" si="2650">"809"</f>
        <v>809</v>
      </c>
      <c r="E12173" t="str">
        <f t="shared" ref="E12173:E12204" si="2651">"89301212"</f>
        <v>89301212</v>
      </c>
      <c r="F12173" t="str">
        <f>"475923411"</f>
        <v>475923411</v>
      </c>
      <c r="G12173" s="1">
        <v>44909</v>
      </c>
      <c r="H12173" t="str">
        <f>"89131"</f>
        <v>89131</v>
      </c>
      <c r="I12173">
        <v>1</v>
      </c>
      <c r="J12173">
        <v>187</v>
      </c>
      <c r="K12173">
        <v>0</v>
      </c>
      <c r="L12173">
        <v>261.8</v>
      </c>
    </row>
    <row r="12174" spans="1:12" x14ac:dyDescent="0.25">
      <c r="A12174" t="str">
        <f t="shared" si="2647"/>
        <v>89301000</v>
      </c>
      <c r="B12174" t="str">
        <f>"93507000"</f>
        <v>93507000</v>
      </c>
      <c r="C12174" t="str">
        <f>"93507001"</f>
        <v>93507001</v>
      </c>
      <c r="D12174" t="str">
        <f t="shared" si="2650"/>
        <v>809</v>
      </c>
      <c r="E12174" t="str">
        <f t="shared" si="2651"/>
        <v>89301212</v>
      </c>
      <c r="F12174" t="str">
        <f>"475923411"</f>
        <v>475923411</v>
      </c>
      <c r="G12174" s="1">
        <v>44909</v>
      </c>
      <c r="H12174" t="str">
        <f>"89514"</f>
        <v>89514</v>
      </c>
      <c r="I12174">
        <v>1</v>
      </c>
      <c r="J12174">
        <v>371</v>
      </c>
      <c r="K12174">
        <v>0</v>
      </c>
      <c r="L12174">
        <v>519.4</v>
      </c>
    </row>
    <row r="12175" spans="1:12" x14ac:dyDescent="0.25">
      <c r="A12175" t="str">
        <f t="shared" si="2647"/>
        <v>89301000</v>
      </c>
      <c r="B12175" t="str">
        <f>"93507000"</f>
        <v>93507000</v>
      </c>
      <c r="C12175" t="str">
        <f>"93507001"</f>
        <v>93507001</v>
      </c>
      <c r="D12175" t="str">
        <f t="shared" si="2650"/>
        <v>809</v>
      </c>
      <c r="E12175" t="str">
        <f t="shared" si="2651"/>
        <v>89301212</v>
      </c>
      <c r="F12175" t="str">
        <f>"475923411"</f>
        <v>475923411</v>
      </c>
      <c r="G12175" s="1">
        <v>44909</v>
      </c>
      <c r="H12175" t="str">
        <f>"89513"</f>
        <v>89513</v>
      </c>
      <c r="I12175">
        <v>1</v>
      </c>
      <c r="J12175">
        <v>371</v>
      </c>
      <c r="K12175">
        <v>0</v>
      </c>
      <c r="L12175">
        <v>519.4</v>
      </c>
    </row>
    <row r="12176" spans="1:12" x14ac:dyDescent="0.25">
      <c r="A12176" t="str">
        <f t="shared" si="2647"/>
        <v>89301000</v>
      </c>
      <c r="B12176" t="str">
        <f t="shared" ref="B12176:B12204" si="2652">"89895000"</f>
        <v>89895000</v>
      </c>
      <c r="C12176" t="str">
        <f t="shared" ref="C12176:C12204" si="2653">"89895002"</f>
        <v>89895002</v>
      </c>
      <c r="D12176" t="str">
        <f t="shared" si="2650"/>
        <v>809</v>
      </c>
      <c r="E12176" t="str">
        <f t="shared" si="2651"/>
        <v>89301212</v>
      </c>
      <c r="F12176" t="str">
        <f>"376127435"</f>
        <v>376127435</v>
      </c>
      <c r="G12176" s="1">
        <v>44900</v>
      </c>
      <c r="H12176" t="str">
        <f>"89180"</f>
        <v>89180</v>
      </c>
      <c r="I12176">
        <v>2</v>
      </c>
      <c r="J12176">
        <v>752</v>
      </c>
      <c r="K12176">
        <v>0</v>
      </c>
      <c r="L12176">
        <v>1052.8</v>
      </c>
    </row>
    <row r="12177" spans="1:12" x14ac:dyDescent="0.25">
      <c r="A12177" t="str">
        <f t="shared" si="2647"/>
        <v>89301000</v>
      </c>
      <c r="B12177" t="str">
        <f t="shared" si="2652"/>
        <v>89895000</v>
      </c>
      <c r="C12177" t="str">
        <f t="shared" si="2653"/>
        <v>89895002</v>
      </c>
      <c r="D12177" t="str">
        <f t="shared" si="2650"/>
        <v>809</v>
      </c>
      <c r="E12177" t="str">
        <f t="shared" si="2651"/>
        <v>89301212</v>
      </c>
      <c r="F12177" t="str">
        <f>"376127435"</f>
        <v>376127435</v>
      </c>
      <c r="G12177" s="1">
        <v>44900</v>
      </c>
      <c r="H12177" t="str">
        <f>"89512"</f>
        <v>89512</v>
      </c>
      <c r="I12177">
        <v>1</v>
      </c>
      <c r="J12177">
        <v>277</v>
      </c>
      <c r="K12177">
        <v>0</v>
      </c>
      <c r="L12177">
        <v>387.8</v>
      </c>
    </row>
    <row r="12178" spans="1:12" x14ac:dyDescent="0.25">
      <c r="A12178" t="str">
        <f t="shared" si="2647"/>
        <v>89301000</v>
      </c>
      <c r="B12178" t="str">
        <f t="shared" si="2652"/>
        <v>89895000</v>
      </c>
      <c r="C12178" t="str">
        <f t="shared" si="2653"/>
        <v>89895002</v>
      </c>
      <c r="D12178" t="str">
        <f t="shared" si="2650"/>
        <v>809</v>
      </c>
      <c r="E12178" t="str">
        <f t="shared" si="2651"/>
        <v>89301212</v>
      </c>
      <c r="F12178" t="str">
        <f>"465108034"</f>
        <v>465108034</v>
      </c>
      <c r="G12178" s="1">
        <v>44908</v>
      </c>
      <c r="H12178" t="str">
        <f>"89512"</f>
        <v>89512</v>
      </c>
      <c r="I12178">
        <v>1</v>
      </c>
      <c r="J12178">
        <v>277</v>
      </c>
      <c r="K12178">
        <v>0</v>
      </c>
      <c r="L12178">
        <v>387.8</v>
      </c>
    </row>
    <row r="12179" spans="1:12" x14ac:dyDescent="0.25">
      <c r="A12179" t="str">
        <f t="shared" si="2647"/>
        <v>89301000</v>
      </c>
      <c r="B12179" t="str">
        <f t="shared" si="2652"/>
        <v>89895000</v>
      </c>
      <c r="C12179" t="str">
        <f t="shared" si="2653"/>
        <v>89895002</v>
      </c>
      <c r="D12179" t="str">
        <f t="shared" si="2650"/>
        <v>809</v>
      </c>
      <c r="E12179" t="str">
        <f t="shared" si="2651"/>
        <v>89301212</v>
      </c>
      <c r="F12179" t="str">
        <f>"465108034"</f>
        <v>465108034</v>
      </c>
      <c r="G12179" s="1">
        <v>44908</v>
      </c>
      <c r="H12179" t="str">
        <f>"89513"</f>
        <v>89513</v>
      </c>
      <c r="I12179">
        <v>1</v>
      </c>
      <c r="J12179">
        <v>371</v>
      </c>
      <c r="K12179">
        <v>0</v>
      </c>
      <c r="L12179">
        <v>519.4</v>
      </c>
    </row>
    <row r="12180" spans="1:12" x14ac:dyDescent="0.25">
      <c r="A12180" t="str">
        <f t="shared" si="2647"/>
        <v>89301000</v>
      </c>
      <c r="B12180" t="str">
        <f t="shared" si="2652"/>
        <v>89895000</v>
      </c>
      <c r="C12180" t="str">
        <f t="shared" si="2653"/>
        <v>89895002</v>
      </c>
      <c r="D12180" t="str">
        <f t="shared" si="2650"/>
        <v>809</v>
      </c>
      <c r="E12180" t="str">
        <f t="shared" si="2651"/>
        <v>89301212</v>
      </c>
      <c r="F12180" t="str">
        <f>"465108034"</f>
        <v>465108034</v>
      </c>
      <c r="G12180" s="1">
        <v>44908</v>
      </c>
      <c r="H12180" t="str">
        <f>"89514"</f>
        <v>89514</v>
      </c>
      <c r="I12180">
        <v>1</v>
      </c>
      <c r="J12180">
        <v>371</v>
      </c>
      <c r="K12180">
        <v>0</v>
      </c>
      <c r="L12180">
        <v>519.4</v>
      </c>
    </row>
    <row r="12181" spans="1:12" x14ac:dyDescent="0.25">
      <c r="A12181" t="str">
        <f t="shared" si="2647"/>
        <v>89301000</v>
      </c>
      <c r="B12181" t="str">
        <f t="shared" si="2652"/>
        <v>89895000</v>
      </c>
      <c r="C12181" t="str">
        <f t="shared" si="2653"/>
        <v>89895002</v>
      </c>
      <c r="D12181" t="str">
        <f t="shared" si="2650"/>
        <v>809</v>
      </c>
      <c r="E12181" t="str">
        <f t="shared" si="2651"/>
        <v>89301212</v>
      </c>
      <c r="F12181" t="str">
        <f>"515418042"</f>
        <v>515418042</v>
      </c>
      <c r="G12181" s="1">
        <v>44911</v>
      </c>
      <c r="H12181" t="str">
        <f>"89512"</f>
        <v>89512</v>
      </c>
      <c r="I12181">
        <v>1</v>
      </c>
      <c r="J12181">
        <v>277</v>
      </c>
      <c r="K12181">
        <v>0</v>
      </c>
      <c r="L12181">
        <v>387.8</v>
      </c>
    </row>
    <row r="12182" spans="1:12" x14ac:dyDescent="0.25">
      <c r="A12182" t="str">
        <f t="shared" si="2647"/>
        <v>89301000</v>
      </c>
      <c r="B12182" t="str">
        <f t="shared" si="2652"/>
        <v>89895000</v>
      </c>
      <c r="C12182" t="str">
        <f t="shared" si="2653"/>
        <v>89895002</v>
      </c>
      <c r="D12182" t="str">
        <f t="shared" si="2650"/>
        <v>809</v>
      </c>
      <c r="E12182" t="str">
        <f t="shared" si="2651"/>
        <v>89301212</v>
      </c>
      <c r="F12182" t="str">
        <f>"525328055"</f>
        <v>525328055</v>
      </c>
      <c r="G12182" s="1">
        <v>44900</v>
      </c>
      <c r="H12182" t="str">
        <f>"89180"</f>
        <v>89180</v>
      </c>
      <c r="I12182">
        <v>2</v>
      </c>
      <c r="J12182">
        <v>752</v>
      </c>
      <c r="K12182">
        <v>0</v>
      </c>
      <c r="L12182">
        <v>1052.8</v>
      </c>
    </row>
    <row r="12183" spans="1:12" x14ac:dyDescent="0.25">
      <c r="A12183" t="str">
        <f t="shared" si="2647"/>
        <v>89301000</v>
      </c>
      <c r="B12183" t="str">
        <f t="shared" si="2652"/>
        <v>89895000</v>
      </c>
      <c r="C12183" t="str">
        <f t="shared" si="2653"/>
        <v>89895002</v>
      </c>
      <c r="D12183" t="str">
        <f t="shared" si="2650"/>
        <v>809</v>
      </c>
      <c r="E12183" t="str">
        <f t="shared" si="2651"/>
        <v>89301212</v>
      </c>
      <c r="F12183" t="str">
        <f>"525328055"</f>
        <v>525328055</v>
      </c>
      <c r="G12183" s="1">
        <v>44900</v>
      </c>
      <c r="H12183" t="str">
        <f>"89513"</f>
        <v>89513</v>
      </c>
      <c r="I12183">
        <v>1</v>
      </c>
      <c r="J12183">
        <v>371</v>
      </c>
      <c r="K12183">
        <v>0</v>
      </c>
      <c r="L12183">
        <v>519.4</v>
      </c>
    </row>
    <row r="12184" spans="1:12" x14ac:dyDescent="0.25">
      <c r="A12184" t="str">
        <f t="shared" si="2647"/>
        <v>89301000</v>
      </c>
      <c r="B12184" t="str">
        <f t="shared" si="2652"/>
        <v>89895000</v>
      </c>
      <c r="C12184" t="str">
        <f t="shared" si="2653"/>
        <v>89895002</v>
      </c>
      <c r="D12184" t="str">
        <f t="shared" si="2650"/>
        <v>809</v>
      </c>
      <c r="E12184" t="str">
        <f t="shared" si="2651"/>
        <v>89301212</v>
      </c>
      <c r="F12184" t="str">
        <f>"525328055"</f>
        <v>525328055</v>
      </c>
      <c r="G12184" s="1">
        <v>44900</v>
      </c>
      <c r="H12184" t="str">
        <f>"89514"</f>
        <v>89514</v>
      </c>
      <c r="I12184">
        <v>1</v>
      </c>
      <c r="J12184">
        <v>371</v>
      </c>
      <c r="K12184">
        <v>0</v>
      </c>
      <c r="L12184">
        <v>519.4</v>
      </c>
    </row>
    <row r="12185" spans="1:12" x14ac:dyDescent="0.25">
      <c r="A12185" t="str">
        <f t="shared" si="2647"/>
        <v>89301000</v>
      </c>
      <c r="B12185" t="str">
        <f t="shared" si="2652"/>
        <v>89895000</v>
      </c>
      <c r="C12185" t="str">
        <f t="shared" si="2653"/>
        <v>89895002</v>
      </c>
      <c r="D12185" t="str">
        <f t="shared" si="2650"/>
        <v>809</v>
      </c>
      <c r="E12185" t="str">
        <f t="shared" si="2651"/>
        <v>89301212</v>
      </c>
      <c r="F12185" t="str">
        <f>"5455051096"</f>
        <v>5455051096</v>
      </c>
      <c r="G12185" s="1">
        <v>44900</v>
      </c>
      <c r="H12185" t="str">
        <f>"89180"</f>
        <v>89180</v>
      </c>
      <c r="I12185">
        <v>1</v>
      </c>
      <c r="J12185">
        <v>376</v>
      </c>
      <c r="K12185">
        <v>0</v>
      </c>
      <c r="L12185">
        <v>526.4</v>
      </c>
    </row>
    <row r="12186" spans="1:12" x14ac:dyDescent="0.25">
      <c r="A12186" t="str">
        <f t="shared" si="2647"/>
        <v>89301000</v>
      </c>
      <c r="B12186" t="str">
        <f t="shared" si="2652"/>
        <v>89895000</v>
      </c>
      <c r="C12186" t="str">
        <f t="shared" si="2653"/>
        <v>89895002</v>
      </c>
      <c r="D12186" t="str">
        <f t="shared" si="2650"/>
        <v>809</v>
      </c>
      <c r="E12186" t="str">
        <f t="shared" si="2651"/>
        <v>89301212</v>
      </c>
      <c r="F12186" t="str">
        <f>"5558232427"</f>
        <v>5558232427</v>
      </c>
      <c r="G12186" s="1">
        <v>44902</v>
      </c>
      <c r="H12186" t="str">
        <f>"89513"</f>
        <v>89513</v>
      </c>
      <c r="I12186">
        <v>1</v>
      </c>
      <c r="J12186">
        <v>371</v>
      </c>
      <c r="K12186">
        <v>0</v>
      </c>
      <c r="L12186">
        <v>519.4</v>
      </c>
    </row>
    <row r="12187" spans="1:12" x14ac:dyDescent="0.25">
      <c r="A12187" t="str">
        <f t="shared" si="2647"/>
        <v>89301000</v>
      </c>
      <c r="B12187" t="str">
        <f t="shared" si="2652"/>
        <v>89895000</v>
      </c>
      <c r="C12187" t="str">
        <f t="shared" si="2653"/>
        <v>89895002</v>
      </c>
      <c r="D12187" t="str">
        <f t="shared" si="2650"/>
        <v>809</v>
      </c>
      <c r="E12187" t="str">
        <f t="shared" si="2651"/>
        <v>89301212</v>
      </c>
      <c r="F12187" t="str">
        <f>"5558232427"</f>
        <v>5558232427</v>
      </c>
      <c r="G12187" s="1">
        <v>44902</v>
      </c>
      <c r="H12187" t="str">
        <f>"89514"</f>
        <v>89514</v>
      </c>
      <c r="I12187">
        <v>1</v>
      </c>
      <c r="J12187">
        <v>371</v>
      </c>
      <c r="K12187">
        <v>0</v>
      </c>
      <c r="L12187">
        <v>519.4</v>
      </c>
    </row>
    <row r="12188" spans="1:12" x14ac:dyDescent="0.25">
      <c r="A12188" t="str">
        <f t="shared" si="2647"/>
        <v>89301000</v>
      </c>
      <c r="B12188" t="str">
        <f t="shared" si="2652"/>
        <v>89895000</v>
      </c>
      <c r="C12188" t="str">
        <f t="shared" si="2653"/>
        <v>89895002</v>
      </c>
      <c r="D12188" t="str">
        <f t="shared" si="2650"/>
        <v>809</v>
      </c>
      <c r="E12188" t="str">
        <f t="shared" si="2651"/>
        <v>89301212</v>
      </c>
      <c r="F12188" t="str">
        <f>"5657280486"</f>
        <v>5657280486</v>
      </c>
      <c r="G12188" s="1">
        <v>44918</v>
      </c>
      <c r="H12188" t="str">
        <f>"89513"</f>
        <v>89513</v>
      </c>
      <c r="I12188">
        <v>1</v>
      </c>
      <c r="J12188">
        <v>371</v>
      </c>
      <c r="K12188">
        <v>0</v>
      </c>
      <c r="L12188">
        <v>519.4</v>
      </c>
    </row>
    <row r="12189" spans="1:12" x14ac:dyDescent="0.25">
      <c r="A12189" t="str">
        <f t="shared" si="2647"/>
        <v>89301000</v>
      </c>
      <c r="B12189" t="str">
        <f t="shared" si="2652"/>
        <v>89895000</v>
      </c>
      <c r="C12189" t="str">
        <f t="shared" si="2653"/>
        <v>89895002</v>
      </c>
      <c r="D12189" t="str">
        <f t="shared" si="2650"/>
        <v>809</v>
      </c>
      <c r="E12189" t="str">
        <f t="shared" si="2651"/>
        <v>89301212</v>
      </c>
      <c r="F12189" t="str">
        <f>"5657280486"</f>
        <v>5657280486</v>
      </c>
      <c r="G12189" s="1">
        <v>44918</v>
      </c>
      <c r="H12189" t="str">
        <f>"89514"</f>
        <v>89514</v>
      </c>
      <c r="I12189">
        <v>1</v>
      </c>
      <c r="J12189">
        <v>371</v>
      </c>
      <c r="K12189">
        <v>0</v>
      </c>
      <c r="L12189">
        <v>519.4</v>
      </c>
    </row>
    <row r="12190" spans="1:12" x14ac:dyDescent="0.25">
      <c r="A12190" t="str">
        <f t="shared" si="2647"/>
        <v>89301000</v>
      </c>
      <c r="B12190" t="str">
        <f t="shared" si="2652"/>
        <v>89895000</v>
      </c>
      <c r="C12190" t="str">
        <f t="shared" si="2653"/>
        <v>89895002</v>
      </c>
      <c r="D12190" t="str">
        <f t="shared" si="2650"/>
        <v>809</v>
      </c>
      <c r="E12190" t="str">
        <f t="shared" si="2651"/>
        <v>89301212</v>
      </c>
      <c r="F12190" t="str">
        <f>"6461116244"</f>
        <v>6461116244</v>
      </c>
      <c r="G12190" s="1">
        <v>44908</v>
      </c>
      <c r="H12190" t="str">
        <f>"89180"</f>
        <v>89180</v>
      </c>
      <c r="I12190">
        <v>2</v>
      </c>
      <c r="J12190">
        <v>752</v>
      </c>
      <c r="K12190">
        <v>0</v>
      </c>
      <c r="L12190">
        <v>1052.8</v>
      </c>
    </row>
    <row r="12191" spans="1:12" x14ac:dyDescent="0.25">
      <c r="A12191" t="str">
        <f t="shared" si="2647"/>
        <v>89301000</v>
      </c>
      <c r="B12191" t="str">
        <f t="shared" si="2652"/>
        <v>89895000</v>
      </c>
      <c r="C12191" t="str">
        <f t="shared" si="2653"/>
        <v>89895002</v>
      </c>
      <c r="D12191" t="str">
        <f t="shared" si="2650"/>
        <v>809</v>
      </c>
      <c r="E12191" t="str">
        <f t="shared" si="2651"/>
        <v>89301212</v>
      </c>
      <c r="F12191" t="str">
        <f>"6461116244"</f>
        <v>6461116244</v>
      </c>
      <c r="G12191" s="1">
        <v>44908</v>
      </c>
      <c r="H12191" t="str">
        <f>"89513"</f>
        <v>89513</v>
      </c>
      <c r="I12191">
        <v>1</v>
      </c>
      <c r="J12191">
        <v>371</v>
      </c>
      <c r="K12191">
        <v>0</v>
      </c>
      <c r="L12191">
        <v>519.4</v>
      </c>
    </row>
    <row r="12192" spans="1:12" x14ac:dyDescent="0.25">
      <c r="A12192" t="str">
        <f t="shared" si="2647"/>
        <v>89301000</v>
      </c>
      <c r="B12192" t="str">
        <f t="shared" si="2652"/>
        <v>89895000</v>
      </c>
      <c r="C12192" t="str">
        <f t="shared" si="2653"/>
        <v>89895002</v>
      </c>
      <c r="D12192" t="str">
        <f t="shared" si="2650"/>
        <v>809</v>
      </c>
      <c r="E12192" t="str">
        <f t="shared" si="2651"/>
        <v>89301212</v>
      </c>
      <c r="F12192" t="str">
        <f>"6461116244"</f>
        <v>6461116244</v>
      </c>
      <c r="G12192" s="1">
        <v>44908</v>
      </c>
      <c r="H12192" t="str">
        <f>"89514"</f>
        <v>89514</v>
      </c>
      <c r="I12192">
        <v>1</v>
      </c>
      <c r="J12192">
        <v>371</v>
      </c>
      <c r="K12192">
        <v>0</v>
      </c>
      <c r="L12192">
        <v>519.4</v>
      </c>
    </row>
    <row r="12193" spans="1:12" x14ac:dyDescent="0.25">
      <c r="A12193" t="str">
        <f t="shared" si="2647"/>
        <v>89301000</v>
      </c>
      <c r="B12193" t="str">
        <f t="shared" si="2652"/>
        <v>89895000</v>
      </c>
      <c r="C12193" t="str">
        <f t="shared" si="2653"/>
        <v>89895002</v>
      </c>
      <c r="D12193" t="str">
        <f t="shared" si="2650"/>
        <v>809</v>
      </c>
      <c r="E12193" t="str">
        <f t="shared" si="2651"/>
        <v>89301212</v>
      </c>
      <c r="F12193" t="str">
        <f>"6461116244"</f>
        <v>6461116244</v>
      </c>
      <c r="G12193" s="1">
        <v>44908</v>
      </c>
      <c r="H12193" t="str">
        <f>"89512"</f>
        <v>89512</v>
      </c>
      <c r="I12193">
        <v>1</v>
      </c>
      <c r="J12193">
        <v>277</v>
      </c>
      <c r="K12193">
        <v>0</v>
      </c>
      <c r="L12193">
        <v>387.8</v>
      </c>
    </row>
    <row r="12194" spans="1:12" x14ac:dyDescent="0.25">
      <c r="A12194" t="str">
        <f t="shared" si="2647"/>
        <v>89301000</v>
      </c>
      <c r="B12194" t="str">
        <f t="shared" si="2652"/>
        <v>89895000</v>
      </c>
      <c r="C12194" t="str">
        <f t="shared" si="2653"/>
        <v>89895002</v>
      </c>
      <c r="D12194" t="str">
        <f t="shared" si="2650"/>
        <v>809</v>
      </c>
      <c r="E12194" t="str">
        <f t="shared" si="2651"/>
        <v>89301212</v>
      </c>
      <c r="F12194" t="str">
        <f>"7158186684"</f>
        <v>7158186684</v>
      </c>
      <c r="G12194" s="1">
        <v>44918</v>
      </c>
      <c r="H12194" t="str">
        <f>"89513"</f>
        <v>89513</v>
      </c>
      <c r="I12194">
        <v>1</v>
      </c>
      <c r="J12194">
        <v>371</v>
      </c>
      <c r="K12194">
        <v>0</v>
      </c>
      <c r="L12194">
        <v>519.4</v>
      </c>
    </row>
    <row r="12195" spans="1:12" x14ac:dyDescent="0.25">
      <c r="A12195" t="str">
        <f t="shared" si="2647"/>
        <v>89301000</v>
      </c>
      <c r="B12195" t="str">
        <f t="shared" si="2652"/>
        <v>89895000</v>
      </c>
      <c r="C12195" t="str">
        <f t="shared" si="2653"/>
        <v>89895002</v>
      </c>
      <c r="D12195" t="str">
        <f t="shared" si="2650"/>
        <v>809</v>
      </c>
      <c r="E12195" t="str">
        <f t="shared" si="2651"/>
        <v>89301212</v>
      </c>
      <c r="F12195" t="str">
        <f>"7158186684"</f>
        <v>7158186684</v>
      </c>
      <c r="G12195" s="1">
        <v>44918</v>
      </c>
      <c r="H12195" t="str">
        <f>"89514"</f>
        <v>89514</v>
      </c>
      <c r="I12195">
        <v>1</v>
      </c>
      <c r="J12195">
        <v>371</v>
      </c>
      <c r="K12195">
        <v>0</v>
      </c>
      <c r="L12195">
        <v>519.4</v>
      </c>
    </row>
    <row r="12196" spans="1:12" x14ac:dyDescent="0.25">
      <c r="A12196" t="str">
        <f t="shared" si="2647"/>
        <v>89301000</v>
      </c>
      <c r="B12196" t="str">
        <f t="shared" si="2652"/>
        <v>89895000</v>
      </c>
      <c r="C12196" t="str">
        <f t="shared" si="2653"/>
        <v>89895002</v>
      </c>
      <c r="D12196" t="str">
        <f t="shared" si="2650"/>
        <v>809</v>
      </c>
      <c r="E12196" t="str">
        <f t="shared" si="2651"/>
        <v>89301212</v>
      </c>
      <c r="F12196" t="str">
        <f>"7158186684"</f>
        <v>7158186684</v>
      </c>
      <c r="G12196" s="1">
        <v>44918</v>
      </c>
      <c r="H12196" t="str">
        <f>"89512"</f>
        <v>89512</v>
      </c>
      <c r="I12196">
        <v>1</v>
      </c>
      <c r="J12196">
        <v>277</v>
      </c>
      <c r="K12196">
        <v>0</v>
      </c>
      <c r="L12196">
        <v>387.8</v>
      </c>
    </row>
    <row r="12197" spans="1:12" x14ac:dyDescent="0.25">
      <c r="A12197" t="str">
        <f t="shared" si="2647"/>
        <v>89301000</v>
      </c>
      <c r="B12197" t="str">
        <f t="shared" si="2652"/>
        <v>89895000</v>
      </c>
      <c r="C12197" t="str">
        <f t="shared" si="2653"/>
        <v>89895002</v>
      </c>
      <c r="D12197" t="str">
        <f t="shared" si="2650"/>
        <v>809</v>
      </c>
      <c r="E12197" t="str">
        <f t="shared" si="2651"/>
        <v>89301212</v>
      </c>
      <c r="F12197" t="str">
        <f>"7462135395"</f>
        <v>7462135395</v>
      </c>
      <c r="G12197" s="1">
        <v>44914</v>
      </c>
      <c r="H12197" t="str">
        <f>"89180"</f>
        <v>89180</v>
      </c>
      <c r="I12197">
        <v>2</v>
      </c>
      <c r="J12197">
        <v>752</v>
      </c>
      <c r="K12197">
        <v>0</v>
      </c>
      <c r="L12197">
        <v>1052.8</v>
      </c>
    </row>
    <row r="12198" spans="1:12" x14ac:dyDescent="0.25">
      <c r="A12198" t="str">
        <f t="shared" si="2647"/>
        <v>89301000</v>
      </c>
      <c r="B12198" t="str">
        <f t="shared" si="2652"/>
        <v>89895000</v>
      </c>
      <c r="C12198" t="str">
        <f t="shared" si="2653"/>
        <v>89895002</v>
      </c>
      <c r="D12198" t="str">
        <f t="shared" si="2650"/>
        <v>809</v>
      </c>
      <c r="E12198" t="str">
        <f t="shared" si="2651"/>
        <v>89301212</v>
      </c>
      <c r="F12198" t="str">
        <f>"7462135395"</f>
        <v>7462135395</v>
      </c>
      <c r="G12198" s="1">
        <v>44914</v>
      </c>
      <c r="H12198" t="str">
        <f>"89513"</f>
        <v>89513</v>
      </c>
      <c r="I12198">
        <v>1</v>
      </c>
      <c r="J12198">
        <v>371</v>
      </c>
      <c r="K12198">
        <v>0</v>
      </c>
      <c r="L12198">
        <v>519.4</v>
      </c>
    </row>
    <row r="12199" spans="1:12" x14ac:dyDescent="0.25">
      <c r="A12199" t="str">
        <f t="shared" si="2647"/>
        <v>89301000</v>
      </c>
      <c r="B12199" t="str">
        <f t="shared" si="2652"/>
        <v>89895000</v>
      </c>
      <c r="C12199" t="str">
        <f t="shared" si="2653"/>
        <v>89895002</v>
      </c>
      <c r="D12199" t="str">
        <f t="shared" si="2650"/>
        <v>809</v>
      </c>
      <c r="E12199" t="str">
        <f t="shared" si="2651"/>
        <v>89301212</v>
      </c>
      <c r="F12199" t="str">
        <f>"7462135395"</f>
        <v>7462135395</v>
      </c>
      <c r="G12199" s="1">
        <v>44914</v>
      </c>
      <c r="H12199" t="str">
        <f>"89514"</f>
        <v>89514</v>
      </c>
      <c r="I12199">
        <v>1</v>
      </c>
      <c r="J12199">
        <v>371</v>
      </c>
      <c r="K12199">
        <v>0</v>
      </c>
      <c r="L12199">
        <v>519.4</v>
      </c>
    </row>
    <row r="12200" spans="1:12" x14ac:dyDescent="0.25">
      <c r="A12200" t="str">
        <f t="shared" si="2647"/>
        <v>89301000</v>
      </c>
      <c r="B12200" t="str">
        <f t="shared" si="2652"/>
        <v>89895000</v>
      </c>
      <c r="C12200" t="str">
        <f t="shared" si="2653"/>
        <v>89895002</v>
      </c>
      <c r="D12200" t="str">
        <f t="shared" si="2650"/>
        <v>809</v>
      </c>
      <c r="E12200" t="str">
        <f t="shared" si="2651"/>
        <v>89301212</v>
      </c>
      <c r="F12200" t="str">
        <f>"7554275696"</f>
        <v>7554275696</v>
      </c>
      <c r="G12200" s="1">
        <v>44902</v>
      </c>
      <c r="H12200" t="str">
        <f>"89512"</f>
        <v>89512</v>
      </c>
      <c r="I12200">
        <v>1</v>
      </c>
      <c r="J12200">
        <v>277</v>
      </c>
      <c r="K12200">
        <v>0</v>
      </c>
      <c r="L12200">
        <v>387.8</v>
      </c>
    </row>
    <row r="12201" spans="1:12" x14ac:dyDescent="0.25">
      <c r="A12201" t="str">
        <f t="shared" si="2647"/>
        <v>89301000</v>
      </c>
      <c r="B12201" t="str">
        <f t="shared" si="2652"/>
        <v>89895000</v>
      </c>
      <c r="C12201" t="str">
        <f t="shared" si="2653"/>
        <v>89895002</v>
      </c>
      <c r="D12201" t="str">
        <f t="shared" si="2650"/>
        <v>809</v>
      </c>
      <c r="E12201" t="str">
        <f t="shared" si="2651"/>
        <v>89301212</v>
      </c>
      <c r="F12201" t="str">
        <f>"7862045785"</f>
        <v>7862045785</v>
      </c>
      <c r="G12201" s="1">
        <v>44901</v>
      </c>
      <c r="H12201" t="str">
        <f>"89180"</f>
        <v>89180</v>
      </c>
      <c r="I12201">
        <v>2</v>
      </c>
      <c r="J12201">
        <v>752</v>
      </c>
      <c r="K12201">
        <v>0</v>
      </c>
      <c r="L12201">
        <v>1052.8</v>
      </c>
    </row>
    <row r="12202" spans="1:12" x14ac:dyDescent="0.25">
      <c r="A12202" t="str">
        <f t="shared" si="2647"/>
        <v>89301000</v>
      </c>
      <c r="B12202" t="str">
        <f t="shared" si="2652"/>
        <v>89895000</v>
      </c>
      <c r="C12202" t="str">
        <f t="shared" si="2653"/>
        <v>89895002</v>
      </c>
      <c r="D12202" t="str">
        <f t="shared" si="2650"/>
        <v>809</v>
      </c>
      <c r="E12202" t="str">
        <f t="shared" si="2651"/>
        <v>89301212</v>
      </c>
      <c r="F12202" t="str">
        <f>"7862045785"</f>
        <v>7862045785</v>
      </c>
      <c r="G12202" s="1">
        <v>44901</v>
      </c>
      <c r="H12202" t="str">
        <f>"89512"</f>
        <v>89512</v>
      </c>
      <c r="I12202">
        <v>1</v>
      </c>
      <c r="J12202">
        <v>277</v>
      </c>
      <c r="K12202">
        <v>0</v>
      </c>
      <c r="L12202">
        <v>387.8</v>
      </c>
    </row>
    <row r="12203" spans="1:12" x14ac:dyDescent="0.25">
      <c r="A12203" t="str">
        <f t="shared" si="2647"/>
        <v>89301000</v>
      </c>
      <c r="B12203" t="str">
        <f t="shared" si="2652"/>
        <v>89895000</v>
      </c>
      <c r="C12203" t="str">
        <f t="shared" si="2653"/>
        <v>89895002</v>
      </c>
      <c r="D12203" t="str">
        <f t="shared" si="2650"/>
        <v>809</v>
      </c>
      <c r="E12203" t="str">
        <f t="shared" si="2651"/>
        <v>89301212</v>
      </c>
      <c r="F12203" t="str">
        <f>"5759291967"</f>
        <v>5759291967</v>
      </c>
      <c r="G12203" s="1">
        <v>44872</v>
      </c>
      <c r="H12203" t="str">
        <f>"89514"</f>
        <v>89514</v>
      </c>
      <c r="I12203">
        <v>1</v>
      </c>
      <c r="J12203">
        <v>371</v>
      </c>
      <c r="K12203">
        <v>0</v>
      </c>
      <c r="L12203">
        <v>519.4</v>
      </c>
    </row>
    <row r="12204" spans="1:12" x14ac:dyDescent="0.25">
      <c r="A12204" t="str">
        <f t="shared" si="2647"/>
        <v>89301000</v>
      </c>
      <c r="B12204" t="str">
        <f t="shared" si="2652"/>
        <v>89895000</v>
      </c>
      <c r="C12204" t="str">
        <f t="shared" si="2653"/>
        <v>89895002</v>
      </c>
      <c r="D12204" t="str">
        <f t="shared" si="2650"/>
        <v>809</v>
      </c>
      <c r="E12204" t="str">
        <f t="shared" si="2651"/>
        <v>89301212</v>
      </c>
      <c r="F12204" t="str">
        <f>"5759291967"</f>
        <v>5759291967</v>
      </c>
      <c r="G12204" s="1">
        <v>44872</v>
      </c>
      <c r="H12204" t="str">
        <f>"89513"</f>
        <v>89513</v>
      </c>
      <c r="I12204">
        <v>1</v>
      </c>
      <c r="J12204">
        <v>371</v>
      </c>
      <c r="K12204">
        <v>0</v>
      </c>
      <c r="L12204">
        <v>519.4</v>
      </c>
    </row>
    <row r="12205" spans="1:12" x14ac:dyDescent="0.25">
      <c r="A12205" t="str">
        <f t="shared" si="2647"/>
        <v>89301000</v>
      </c>
      <c r="B12205" t="str">
        <f>"82086000"</f>
        <v>82086000</v>
      </c>
      <c r="C12205" t="str">
        <f>"82086001"</f>
        <v>82086001</v>
      </c>
      <c r="D12205" t="str">
        <f t="shared" si="2650"/>
        <v>809</v>
      </c>
      <c r="E12205" t="str">
        <f>"89301152"</f>
        <v>89301152</v>
      </c>
      <c r="F12205" t="str">
        <f>"9401204461"</f>
        <v>9401204461</v>
      </c>
      <c r="G12205" s="1">
        <v>44840</v>
      </c>
      <c r="H12205" t="str">
        <f>"89514"</f>
        <v>89514</v>
      </c>
      <c r="I12205">
        <v>1</v>
      </c>
      <c r="J12205">
        <v>371</v>
      </c>
      <c r="K12205">
        <v>0</v>
      </c>
      <c r="L12205">
        <v>519.4</v>
      </c>
    </row>
    <row r="12206" spans="1:12" x14ac:dyDescent="0.25">
      <c r="A12206" t="str">
        <f t="shared" si="2647"/>
        <v>89301000</v>
      </c>
      <c r="B12206" t="str">
        <f>"82086000"</f>
        <v>82086000</v>
      </c>
      <c r="C12206" t="str">
        <f>"82086001"</f>
        <v>82086001</v>
      </c>
      <c r="D12206" t="str">
        <f t="shared" si="2650"/>
        <v>809</v>
      </c>
      <c r="E12206" t="str">
        <f>"89301152"</f>
        <v>89301152</v>
      </c>
      <c r="F12206" t="str">
        <f>"9401204461"</f>
        <v>9401204461</v>
      </c>
      <c r="G12206" s="1">
        <v>44840</v>
      </c>
      <c r="H12206" t="str">
        <f>"89513"</f>
        <v>89513</v>
      </c>
      <c r="I12206">
        <v>1</v>
      </c>
      <c r="J12206">
        <v>371</v>
      </c>
      <c r="K12206">
        <v>0</v>
      </c>
      <c r="L12206">
        <v>519.4</v>
      </c>
    </row>
    <row r="12207" spans="1:12" x14ac:dyDescent="0.25">
      <c r="A12207" t="str">
        <f t="shared" si="2647"/>
        <v>89301000</v>
      </c>
      <c r="B12207" t="str">
        <f>"93223000"</f>
        <v>93223000</v>
      </c>
      <c r="C12207" t="str">
        <f>"93223001"</f>
        <v>93223001</v>
      </c>
      <c r="D12207" t="str">
        <f t="shared" si="2650"/>
        <v>809</v>
      </c>
      <c r="E12207" t="str">
        <f>"89301322"</f>
        <v>89301322</v>
      </c>
      <c r="F12207" t="str">
        <f>"460804504"</f>
        <v>460804504</v>
      </c>
      <c r="G12207" s="1">
        <v>44911</v>
      </c>
      <c r="H12207" t="str">
        <f>"89513"</f>
        <v>89513</v>
      </c>
      <c r="I12207">
        <v>1</v>
      </c>
      <c r="J12207">
        <v>371</v>
      </c>
      <c r="K12207">
        <v>0</v>
      </c>
      <c r="L12207">
        <v>519.4</v>
      </c>
    </row>
    <row r="12208" spans="1:12" x14ac:dyDescent="0.25">
      <c r="A12208" t="str">
        <f t="shared" si="2647"/>
        <v>89301000</v>
      </c>
      <c r="B12208" t="str">
        <f>"93223000"</f>
        <v>93223000</v>
      </c>
      <c r="C12208" t="str">
        <f>"93223001"</f>
        <v>93223001</v>
      </c>
      <c r="D12208" t="str">
        <f t="shared" si="2650"/>
        <v>809</v>
      </c>
      <c r="E12208" t="str">
        <f>"89301322"</f>
        <v>89301322</v>
      </c>
      <c r="F12208" t="str">
        <f>"460804504"</f>
        <v>460804504</v>
      </c>
      <c r="G12208" s="1">
        <v>44911</v>
      </c>
      <c r="H12208" t="str">
        <f>"89514"</f>
        <v>89514</v>
      </c>
      <c r="I12208">
        <v>1</v>
      </c>
      <c r="J12208">
        <v>371</v>
      </c>
      <c r="K12208">
        <v>0</v>
      </c>
      <c r="L12208">
        <v>519.4</v>
      </c>
    </row>
    <row r="12209" spans="1:12" x14ac:dyDescent="0.25">
      <c r="A12209" t="str">
        <f t="shared" si="2647"/>
        <v>89301000</v>
      </c>
      <c r="B12209" t="str">
        <f>"85200000"</f>
        <v>85200000</v>
      </c>
      <c r="C12209" t="str">
        <f>"85200332"</f>
        <v>85200332</v>
      </c>
      <c r="D12209" t="str">
        <f t="shared" ref="D12209:D12228" si="2654">"801"</f>
        <v>801</v>
      </c>
      <c r="E12209" t="str">
        <f>"89301082"</f>
        <v>89301082</v>
      </c>
      <c r="F12209" t="str">
        <f>"9159154191"</f>
        <v>9159154191</v>
      </c>
      <c r="G12209" s="1">
        <v>44908</v>
      </c>
      <c r="H12209" t="str">
        <f>"09119"</f>
        <v>09119</v>
      </c>
      <c r="I12209">
        <v>1</v>
      </c>
      <c r="J12209">
        <v>42</v>
      </c>
      <c r="K12209">
        <v>0</v>
      </c>
      <c r="L12209">
        <v>32.76</v>
      </c>
    </row>
    <row r="12210" spans="1:12" x14ac:dyDescent="0.25">
      <c r="A12210" t="str">
        <f t="shared" si="2647"/>
        <v>89301000</v>
      </c>
      <c r="B12210" t="str">
        <f>"85200000"</f>
        <v>85200000</v>
      </c>
      <c r="C12210" t="str">
        <f>"85200332"</f>
        <v>85200332</v>
      </c>
      <c r="D12210" t="str">
        <f t="shared" si="2654"/>
        <v>801</v>
      </c>
      <c r="E12210" t="str">
        <f>"89301082"</f>
        <v>89301082</v>
      </c>
      <c r="F12210" t="str">
        <f>"9159154191"</f>
        <v>9159154191</v>
      </c>
      <c r="G12210" s="1">
        <v>44908</v>
      </c>
      <c r="H12210" t="str">
        <f>"93159"</f>
        <v>93159</v>
      </c>
      <c r="I12210">
        <v>1</v>
      </c>
      <c r="J12210">
        <v>195</v>
      </c>
      <c r="K12210">
        <v>0</v>
      </c>
      <c r="L12210">
        <v>152.1</v>
      </c>
    </row>
    <row r="12211" spans="1:12" x14ac:dyDescent="0.25">
      <c r="A12211" t="str">
        <f t="shared" si="2647"/>
        <v>89301000</v>
      </c>
      <c r="B12211" t="str">
        <f>"85200000"</f>
        <v>85200000</v>
      </c>
      <c r="C12211" t="str">
        <f>"85200332"</f>
        <v>85200332</v>
      </c>
      <c r="D12211" t="str">
        <f t="shared" si="2654"/>
        <v>801</v>
      </c>
      <c r="E12211" t="str">
        <f>"89301082"</f>
        <v>89301082</v>
      </c>
      <c r="F12211" t="str">
        <f>"9159154191"</f>
        <v>9159154191</v>
      </c>
      <c r="G12211" s="1">
        <v>44908</v>
      </c>
      <c r="H12211" t="str">
        <f>"97111"</f>
        <v>97111</v>
      </c>
      <c r="I12211">
        <v>1</v>
      </c>
      <c r="J12211">
        <v>18</v>
      </c>
      <c r="K12211">
        <v>0</v>
      </c>
      <c r="L12211">
        <v>14.04</v>
      </c>
    </row>
    <row r="12212" spans="1:12" x14ac:dyDescent="0.25">
      <c r="A12212" t="str">
        <f t="shared" si="2647"/>
        <v>89301000</v>
      </c>
      <c r="B12212" t="str">
        <f t="shared" ref="B12212:B12229" si="2655">"75311000"</f>
        <v>75311000</v>
      </c>
      <c r="C12212" t="str">
        <f t="shared" ref="C12212:C12228" si="2656">"75311715"</f>
        <v>75311715</v>
      </c>
      <c r="D12212" t="str">
        <f t="shared" si="2654"/>
        <v>801</v>
      </c>
      <c r="E12212" t="str">
        <f t="shared" ref="E12212:E12229" si="2657">"89301167"</f>
        <v>89301167</v>
      </c>
      <c r="F12212" t="str">
        <f t="shared" ref="F12212:F12229" si="2658">"5957040397"</f>
        <v>5957040397</v>
      </c>
      <c r="G12212" s="1">
        <v>44902</v>
      </c>
      <c r="H12212" t="str">
        <f>"97111"</f>
        <v>97111</v>
      </c>
      <c r="I12212">
        <v>1</v>
      </c>
      <c r="J12212">
        <v>18</v>
      </c>
      <c r="K12212">
        <v>0</v>
      </c>
      <c r="L12212">
        <v>14.04</v>
      </c>
    </row>
    <row r="12213" spans="1:12" x14ac:dyDescent="0.25">
      <c r="A12213" t="str">
        <f t="shared" si="2647"/>
        <v>89301000</v>
      </c>
      <c r="B12213" t="str">
        <f t="shared" si="2655"/>
        <v>75311000</v>
      </c>
      <c r="C12213" t="str">
        <f t="shared" si="2656"/>
        <v>75311715</v>
      </c>
      <c r="D12213" t="str">
        <f t="shared" si="2654"/>
        <v>801</v>
      </c>
      <c r="E12213" t="str">
        <f t="shared" si="2657"/>
        <v>89301167</v>
      </c>
      <c r="F12213" t="str">
        <f t="shared" si="2658"/>
        <v>5957040397</v>
      </c>
      <c r="G12213" s="1">
        <v>44902</v>
      </c>
      <c r="H12213" t="str">
        <f>"81593"</f>
        <v>81593</v>
      </c>
      <c r="I12213">
        <v>1</v>
      </c>
      <c r="J12213">
        <v>22</v>
      </c>
      <c r="K12213">
        <v>0</v>
      </c>
      <c r="L12213">
        <v>17.16</v>
      </c>
    </row>
    <row r="12214" spans="1:12" x14ac:dyDescent="0.25">
      <c r="A12214" t="str">
        <f t="shared" si="2647"/>
        <v>89301000</v>
      </c>
      <c r="B12214" t="str">
        <f t="shared" si="2655"/>
        <v>75311000</v>
      </c>
      <c r="C12214" t="str">
        <f t="shared" si="2656"/>
        <v>75311715</v>
      </c>
      <c r="D12214" t="str">
        <f t="shared" si="2654"/>
        <v>801</v>
      </c>
      <c r="E12214" t="str">
        <f t="shared" si="2657"/>
        <v>89301167</v>
      </c>
      <c r="F12214" t="str">
        <f t="shared" si="2658"/>
        <v>5957040397</v>
      </c>
      <c r="G12214" s="1">
        <v>44902</v>
      </c>
      <c r="H12214" t="str">
        <f>"81393"</f>
        <v>81393</v>
      </c>
      <c r="I12214">
        <v>1</v>
      </c>
      <c r="J12214">
        <v>24</v>
      </c>
      <c r="K12214">
        <v>0</v>
      </c>
      <c r="L12214">
        <v>18.72</v>
      </c>
    </row>
    <row r="12215" spans="1:12" x14ac:dyDescent="0.25">
      <c r="A12215" t="str">
        <f t="shared" si="2647"/>
        <v>89301000</v>
      </c>
      <c r="B12215" t="str">
        <f t="shared" si="2655"/>
        <v>75311000</v>
      </c>
      <c r="C12215" t="str">
        <f t="shared" si="2656"/>
        <v>75311715</v>
      </c>
      <c r="D12215" t="str">
        <f t="shared" si="2654"/>
        <v>801</v>
      </c>
      <c r="E12215" t="str">
        <f t="shared" si="2657"/>
        <v>89301167</v>
      </c>
      <c r="F12215" t="str">
        <f t="shared" si="2658"/>
        <v>5957040397</v>
      </c>
      <c r="G12215" s="1">
        <v>44902</v>
      </c>
      <c r="H12215" t="str">
        <f>"81469"</f>
        <v>81469</v>
      </c>
      <c r="I12215">
        <v>1</v>
      </c>
      <c r="J12215">
        <v>16</v>
      </c>
      <c r="K12215">
        <v>0</v>
      </c>
      <c r="L12215">
        <v>12.48</v>
      </c>
    </row>
    <row r="12216" spans="1:12" x14ac:dyDescent="0.25">
      <c r="A12216" t="str">
        <f t="shared" si="2647"/>
        <v>89301000</v>
      </c>
      <c r="B12216" t="str">
        <f t="shared" si="2655"/>
        <v>75311000</v>
      </c>
      <c r="C12216" t="str">
        <f t="shared" si="2656"/>
        <v>75311715</v>
      </c>
      <c r="D12216" t="str">
        <f t="shared" si="2654"/>
        <v>801</v>
      </c>
      <c r="E12216" t="str">
        <f t="shared" si="2657"/>
        <v>89301167</v>
      </c>
      <c r="F12216" t="str">
        <f t="shared" si="2658"/>
        <v>5957040397</v>
      </c>
      <c r="G12216" s="1">
        <v>44902</v>
      </c>
      <c r="H12216" t="str">
        <f>"81329"</f>
        <v>81329</v>
      </c>
      <c r="I12216">
        <v>1</v>
      </c>
      <c r="J12216">
        <v>16</v>
      </c>
      <c r="K12216">
        <v>0</v>
      </c>
      <c r="L12216">
        <v>12.48</v>
      </c>
    </row>
    <row r="12217" spans="1:12" x14ac:dyDescent="0.25">
      <c r="A12217" t="str">
        <f t="shared" si="2647"/>
        <v>89301000</v>
      </c>
      <c r="B12217" t="str">
        <f t="shared" si="2655"/>
        <v>75311000</v>
      </c>
      <c r="C12217" t="str">
        <f t="shared" si="2656"/>
        <v>75311715</v>
      </c>
      <c r="D12217" t="str">
        <f t="shared" si="2654"/>
        <v>801</v>
      </c>
      <c r="E12217" t="str">
        <f t="shared" si="2657"/>
        <v>89301167</v>
      </c>
      <c r="F12217" t="str">
        <f t="shared" si="2658"/>
        <v>5957040397</v>
      </c>
      <c r="G12217" s="1">
        <v>44902</v>
      </c>
      <c r="H12217" t="str">
        <f>"81365"</f>
        <v>81365</v>
      </c>
      <c r="I12217">
        <v>1</v>
      </c>
      <c r="J12217">
        <v>16</v>
      </c>
      <c r="K12217">
        <v>0</v>
      </c>
      <c r="L12217">
        <v>12.48</v>
      </c>
    </row>
    <row r="12218" spans="1:12" x14ac:dyDescent="0.25">
      <c r="A12218" t="str">
        <f t="shared" si="2647"/>
        <v>89301000</v>
      </c>
      <c r="B12218" t="str">
        <f t="shared" si="2655"/>
        <v>75311000</v>
      </c>
      <c r="C12218" t="str">
        <f t="shared" si="2656"/>
        <v>75311715</v>
      </c>
      <c r="D12218" t="str">
        <f t="shared" si="2654"/>
        <v>801</v>
      </c>
      <c r="E12218" t="str">
        <f t="shared" si="2657"/>
        <v>89301167</v>
      </c>
      <c r="F12218" t="str">
        <f t="shared" si="2658"/>
        <v>5957040397</v>
      </c>
      <c r="G12218" s="1">
        <v>44902</v>
      </c>
      <c r="H12218" t="str">
        <f>"81421"</f>
        <v>81421</v>
      </c>
      <c r="I12218">
        <v>1</v>
      </c>
      <c r="J12218">
        <v>19</v>
      </c>
      <c r="K12218">
        <v>0</v>
      </c>
      <c r="L12218">
        <v>14.82</v>
      </c>
    </row>
    <row r="12219" spans="1:12" x14ac:dyDescent="0.25">
      <c r="A12219" t="str">
        <f t="shared" si="2647"/>
        <v>89301000</v>
      </c>
      <c r="B12219" t="str">
        <f t="shared" si="2655"/>
        <v>75311000</v>
      </c>
      <c r="C12219" t="str">
        <f t="shared" si="2656"/>
        <v>75311715</v>
      </c>
      <c r="D12219" t="str">
        <f t="shared" si="2654"/>
        <v>801</v>
      </c>
      <c r="E12219" t="str">
        <f t="shared" si="2657"/>
        <v>89301167</v>
      </c>
      <c r="F12219" t="str">
        <f t="shared" si="2658"/>
        <v>5957040397</v>
      </c>
      <c r="G12219" s="1">
        <v>44902</v>
      </c>
      <c r="H12219" t="str">
        <f>"91153"</f>
        <v>91153</v>
      </c>
      <c r="I12219">
        <v>1</v>
      </c>
      <c r="J12219">
        <v>152</v>
      </c>
      <c r="K12219">
        <v>0</v>
      </c>
      <c r="L12219">
        <v>118.56</v>
      </c>
    </row>
    <row r="12220" spans="1:12" x14ac:dyDescent="0.25">
      <c r="A12220" t="str">
        <f t="shared" si="2647"/>
        <v>89301000</v>
      </c>
      <c r="B12220" t="str">
        <f t="shared" si="2655"/>
        <v>75311000</v>
      </c>
      <c r="C12220" t="str">
        <f t="shared" si="2656"/>
        <v>75311715</v>
      </c>
      <c r="D12220" t="str">
        <f t="shared" si="2654"/>
        <v>801</v>
      </c>
      <c r="E12220" t="str">
        <f t="shared" si="2657"/>
        <v>89301167</v>
      </c>
      <c r="F12220" t="str">
        <f t="shared" si="2658"/>
        <v>5957040397</v>
      </c>
      <c r="G12220" s="1">
        <v>44902</v>
      </c>
      <c r="H12220" t="str">
        <f>"81621"</f>
        <v>81621</v>
      </c>
      <c r="I12220">
        <v>1</v>
      </c>
      <c r="J12220">
        <v>19</v>
      </c>
      <c r="K12220">
        <v>0</v>
      </c>
      <c r="L12220">
        <v>14.82</v>
      </c>
    </row>
    <row r="12221" spans="1:12" x14ac:dyDescent="0.25">
      <c r="A12221" t="str">
        <f t="shared" si="2647"/>
        <v>89301000</v>
      </c>
      <c r="B12221" t="str">
        <f t="shared" si="2655"/>
        <v>75311000</v>
      </c>
      <c r="C12221" t="str">
        <f t="shared" si="2656"/>
        <v>75311715</v>
      </c>
      <c r="D12221" t="str">
        <f t="shared" si="2654"/>
        <v>801</v>
      </c>
      <c r="E12221" t="str">
        <f t="shared" si="2657"/>
        <v>89301167</v>
      </c>
      <c r="F12221" t="str">
        <f t="shared" si="2658"/>
        <v>5957040397</v>
      </c>
      <c r="G12221" s="1">
        <v>44902</v>
      </c>
      <c r="H12221" t="str">
        <f>"81383"</f>
        <v>81383</v>
      </c>
      <c r="I12221">
        <v>1</v>
      </c>
      <c r="J12221">
        <v>23</v>
      </c>
      <c r="K12221">
        <v>0</v>
      </c>
      <c r="L12221">
        <v>17.940000000000001</v>
      </c>
    </row>
    <row r="12222" spans="1:12" x14ac:dyDescent="0.25">
      <c r="A12222" t="str">
        <f t="shared" si="2647"/>
        <v>89301000</v>
      </c>
      <c r="B12222" t="str">
        <f t="shared" si="2655"/>
        <v>75311000</v>
      </c>
      <c r="C12222" t="str">
        <f t="shared" si="2656"/>
        <v>75311715</v>
      </c>
      <c r="D12222" t="str">
        <f t="shared" si="2654"/>
        <v>801</v>
      </c>
      <c r="E12222" t="str">
        <f t="shared" si="2657"/>
        <v>89301167</v>
      </c>
      <c r="F12222" t="str">
        <f t="shared" si="2658"/>
        <v>5957040397</v>
      </c>
      <c r="G12222" s="1">
        <v>44902</v>
      </c>
      <c r="H12222" t="str">
        <f>"81337"</f>
        <v>81337</v>
      </c>
      <c r="I12222">
        <v>1</v>
      </c>
      <c r="J12222">
        <v>19</v>
      </c>
      <c r="K12222">
        <v>0</v>
      </c>
      <c r="L12222">
        <v>14.82</v>
      </c>
    </row>
    <row r="12223" spans="1:12" x14ac:dyDescent="0.25">
      <c r="A12223" t="str">
        <f t="shared" si="2647"/>
        <v>89301000</v>
      </c>
      <c r="B12223" t="str">
        <f t="shared" si="2655"/>
        <v>75311000</v>
      </c>
      <c r="C12223" t="str">
        <f t="shared" si="2656"/>
        <v>75311715</v>
      </c>
      <c r="D12223" t="str">
        <f t="shared" si="2654"/>
        <v>801</v>
      </c>
      <c r="E12223" t="str">
        <f t="shared" si="2657"/>
        <v>89301167</v>
      </c>
      <c r="F12223" t="str">
        <f t="shared" si="2658"/>
        <v>5957040397</v>
      </c>
      <c r="G12223" s="1">
        <v>44902</v>
      </c>
      <c r="H12223" t="str">
        <f>"81357"</f>
        <v>81357</v>
      </c>
      <c r="I12223">
        <v>1</v>
      </c>
      <c r="J12223">
        <v>19</v>
      </c>
      <c r="K12223">
        <v>0</v>
      </c>
      <c r="L12223">
        <v>14.82</v>
      </c>
    </row>
    <row r="12224" spans="1:12" x14ac:dyDescent="0.25">
      <c r="A12224" t="str">
        <f t="shared" si="2647"/>
        <v>89301000</v>
      </c>
      <c r="B12224" t="str">
        <f t="shared" si="2655"/>
        <v>75311000</v>
      </c>
      <c r="C12224" t="str">
        <f t="shared" si="2656"/>
        <v>75311715</v>
      </c>
      <c r="D12224" t="str">
        <f t="shared" si="2654"/>
        <v>801</v>
      </c>
      <c r="E12224" t="str">
        <f t="shared" si="2657"/>
        <v>89301167</v>
      </c>
      <c r="F12224" t="str">
        <f t="shared" si="2658"/>
        <v>5957040397</v>
      </c>
      <c r="G12224" s="1">
        <v>44902</v>
      </c>
      <c r="H12224" t="str">
        <f>"81435"</f>
        <v>81435</v>
      </c>
      <c r="I12224">
        <v>1</v>
      </c>
      <c r="J12224">
        <v>22</v>
      </c>
      <c r="K12224">
        <v>0</v>
      </c>
      <c r="L12224">
        <v>17.16</v>
      </c>
    </row>
    <row r="12225" spans="1:12" x14ac:dyDescent="0.25">
      <c r="A12225" t="str">
        <f t="shared" si="2647"/>
        <v>89301000</v>
      </c>
      <c r="B12225" t="str">
        <f t="shared" si="2655"/>
        <v>75311000</v>
      </c>
      <c r="C12225" t="str">
        <f t="shared" si="2656"/>
        <v>75311715</v>
      </c>
      <c r="D12225" t="str">
        <f t="shared" si="2654"/>
        <v>801</v>
      </c>
      <c r="E12225" t="str">
        <f t="shared" si="2657"/>
        <v>89301167</v>
      </c>
      <c r="F12225" t="str">
        <f t="shared" si="2658"/>
        <v>5957040397</v>
      </c>
      <c r="G12225" s="1">
        <v>44902</v>
      </c>
      <c r="H12225" t="str">
        <f>"81499"</f>
        <v>81499</v>
      </c>
      <c r="I12225">
        <v>1</v>
      </c>
      <c r="J12225">
        <v>18</v>
      </c>
      <c r="K12225">
        <v>0</v>
      </c>
      <c r="L12225">
        <v>14.04</v>
      </c>
    </row>
    <row r="12226" spans="1:12" x14ac:dyDescent="0.25">
      <c r="A12226" t="str">
        <f t="shared" ref="A12226:A12289" si="2659">"89301000"</f>
        <v>89301000</v>
      </c>
      <c r="B12226" t="str">
        <f t="shared" si="2655"/>
        <v>75311000</v>
      </c>
      <c r="C12226" t="str">
        <f t="shared" si="2656"/>
        <v>75311715</v>
      </c>
      <c r="D12226" t="str">
        <f t="shared" si="2654"/>
        <v>801</v>
      </c>
      <c r="E12226" t="str">
        <f t="shared" si="2657"/>
        <v>89301167</v>
      </c>
      <c r="F12226" t="str">
        <f t="shared" si="2658"/>
        <v>5957040397</v>
      </c>
      <c r="G12226" s="1">
        <v>44902</v>
      </c>
      <c r="H12226" t="str">
        <f>"81511"</f>
        <v>81511</v>
      </c>
      <c r="I12226">
        <v>1</v>
      </c>
      <c r="J12226">
        <v>9</v>
      </c>
      <c r="K12226">
        <v>0</v>
      </c>
      <c r="L12226">
        <v>7.02</v>
      </c>
    </row>
    <row r="12227" spans="1:12" x14ac:dyDescent="0.25">
      <c r="A12227" t="str">
        <f t="shared" si="2659"/>
        <v>89301000</v>
      </c>
      <c r="B12227" t="str">
        <f t="shared" si="2655"/>
        <v>75311000</v>
      </c>
      <c r="C12227" t="str">
        <f t="shared" si="2656"/>
        <v>75311715</v>
      </c>
      <c r="D12227" t="str">
        <f t="shared" si="2654"/>
        <v>801</v>
      </c>
      <c r="E12227" t="str">
        <f t="shared" si="2657"/>
        <v>89301167</v>
      </c>
      <c r="F12227" t="str">
        <f t="shared" si="2658"/>
        <v>5957040397</v>
      </c>
      <c r="G12227" s="1">
        <v>44902</v>
      </c>
      <c r="H12227" t="str">
        <f>"93189"</f>
        <v>93189</v>
      </c>
      <c r="I12227">
        <v>1</v>
      </c>
      <c r="J12227">
        <v>189</v>
      </c>
      <c r="K12227">
        <v>0</v>
      </c>
      <c r="L12227">
        <v>147.41999999999999</v>
      </c>
    </row>
    <row r="12228" spans="1:12" x14ac:dyDescent="0.25">
      <c r="A12228" t="str">
        <f t="shared" si="2659"/>
        <v>89301000</v>
      </c>
      <c r="B12228" t="str">
        <f t="shared" si="2655"/>
        <v>75311000</v>
      </c>
      <c r="C12228" t="str">
        <f t="shared" si="2656"/>
        <v>75311715</v>
      </c>
      <c r="D12228" t="str">
        <f t="shared" si="2654"/>
        <v>801</v>
      </c>
      <c r="E12228" t="str">
        <f t="shared" si="2657"/>
        <v>89301167</v>
      </c>
      <c r="F12228" t="str">
        <f t="shared" si="2658"/>
        <v>5957040397</v>
      </c>
      <c r="G12228" s="1">
        <v>44902</v>
      </c>
      <c r="H12228" t="str">
        <f>"93195"</f>
        <v>93195</v>
      </c>
      <c r="I12228">
        <v>1</v>
      </c>
      <c r="J12228">
        <v>181</v>
      </c>
      <c r="K12228">
        <v>0</v>
      </c>
      <c r="L12228">
        <v>141.18</v>
      </c>
    </row>
    <row r="12229" spans="1:12" x14ac:dyDescent="0.25">
      <c r="A12229" t="str">
        <f t="shared" si="2659"/>
        <v>89301000</v>
      </c>
      <c r="B12229" t="str">
        <f t="shared" si="2655"/>
        <v>75311000</v>
      </c>
      <c r="C12229" t="str">
        <f>"75311001"</f>
        <v>75311001</v>
      </c>
      <c r="D12229" t="str">
        <f>"818"</f>
        <v>818</v>
      </c>
      <c r="E12229" t="str">
        <f t="shared" si="2657"/>
        <v>89301167</v>
      </c>
      <c r="F12229" t="str">
        <f t="shared" si="2658"/>
        <v>5957040397</v>
      </c>
      <c r="G12229" s="1">
        <v>44902</v>
      </c>
      <c r="H12229" t="str">
        <f>"96167"</f>
        <v>96167</v>
      </c>
      <c r="I12229">
        <v>1</v>
      </c>
      <c r="J12229">
        <v>67</v>
      </c>
      <c r="K12229">
        <v>0</v>
      </c>
      <c r="L12229">
        <v>60.97</v>
      </c>
    </row>
    <row r="12230" spans="1:12" x14ac:dyDescent="0.25">
      <c r="A12230" t="str">
        <f t="shared" si="2659"/>
        <v>89301000</v>
      </c>
      <c r="B12230" t="str">
        <f>"88001000"</f>
        <v>88001000</v>
      </c>
      <c r="C12230" t="str">
        <f>"88001842"</f>
        <v>88001842</v>
      </c>
      <c r="D12230" t="str">
        <f t="shared" ref="D12230:D12246" si="2660">"809"</f>
        <v>809</v>
      </c>
      <c r="E12230" t="str">
        <f>"89301037"</f>
        <v>89301037</v>
      </c>
      <c r="F12230" t="str">
        <f>"7756174987"</f>
        <v>7756174987</v>
      </c>
      <c r="G12230" s="1">
        <v>44902</v>
      </c>
      <c r="H12230" t="str">
        <f>"89713"</f>
        <v>89713</v>
      </c>
      <c r="I12230">
        <v>1</v>
      </c>
      <c r="J12230">
        <v>5362</v>
      </c>
      <c r="K12230">
        <v>0</v>
      </c>
      <c r="L12230">
        <v>3217.2</v>
      </c>
    </row>
    <row r="12231" spans="1:12" x14ac:dyDescent="0.25">
      <c r="A12231" t="str">
        <f t="shared" si="2659"/>
        <v>89301000</v>
      </c>
      <c r="B12231" t="str">
        <f>"88001000"</f>
        <v>88001000</v>
      </c>
      <c r="C12231" t="str">
        <f>"88001842"</f>
        <v>88001842</v>
      </c>
      <c r="D12231" t="str">
        <f t="shared" si="2660"/>
        <v>809</v>
      </c>
      <c r="E12231" t="str">
        <f>"89301037"</f>
        <v>89301037</v>
      </c>
      <c r="F12231" t="str">
        <f>"7756174987"</f>
        <v>7756174987</v>
      </c>
      <c r="G12231" s="1">
        <v>44902</v>
      </c>
      <c r="H12231" t="str">
        <f>"89713"</f>
        <v>89713</v>
      </c>
      <c r="I12231">
        <v>1</v>
      </c>
      <c r="J12231">
        <v>5362</v>
      </c>
      <c r="K12231">
        <v>0</v>
      </c>
      <c r="L12231">
        <v>3217.2</v>
      </c>
    </row>
    <row r="12232" spans="1:12" x14ac:dyDescent="0.25">
      <c r="A12232" t="str">
        <f t="shared" si="2659"/>
        <v>89301000</v>
      </c>
      <c r="B12232" t="str">
        <f>"88001000"</f>
        <v>88001000</v>
      </c>
      <c r="C12232" t="str">
        <f>"88001842"</f>
        <v>88001842</v>
      </c>
      <c r="D12232" t="str">
        <f t="shared" si="2660"/>
        <v>809</v>
      </c>
      <c r="E12232" t="str">
        <f>"89301037"</f>
        <v>89301037</v>
      </c>
      <c r="F12232" t="str">
        <f>"7756174987"</f>
        <v>7756174987</v>
      </c>
      <c r="G12232" s="1">
        <v>44902</v>
      </c>
      <c r="H12232" t="str">
        <f>"89725"</f>
        <v>89725</v>
      </c>
      <c r="I12232">
        <v>1</v>
      </c>
      <c r="J12232">
        <v>2839</v>
      </c>
      <c r="K12232">
        <v>0</v>
      </c>
      <c r="L12232">
        <v>1703.4</v>
      </c>
    </row>
    <row r="12233" spans="1:12" x14ac:dyDescent="0.25">
      <c r="A12233" t="str">
        <f t="shared" si="2659"/>
        <v>89301000</v>
      </c>
      <c r="B12233" t="str">
        <f t="shared" ref="B12233:C12236" si="2661">"89434000"</f>
        <v>89434000</v>
      </c>
      <c r="C12233" t="str">
        <f t="shared" si="2661"/>
        <v>89434000</v>
      </c>
      <c r="D12233" t="str">
        <f t="shared" si="2660"/>
        <v>809</v>
      </c>
      <c r="E12233" t="str">
        <f>"89301212"</f>
        <v>89301212</v>
      </c>
      <c r="F12233" t="str">
        <f>"495101088"</f>
        <v>495101088</v>
      </c>
      <c r="G12233" s="1">
        <v>44914</v>
      </c>
      <c r="H12233" t="str">
        <f>"89131"</f>
        <v>89131</v>
      </c>
      <c r="I12233">
        <v>1</v>
      </c>
      <c r="J12233">
        <v>187</v>
      </c>
      <c r="K12233">
        <v>0</v>
      </c>
      <c r="L12233">
        <v>261.8</v>
      </c>
    </row>
    <row r="12234" spans="1:12" x14ac:dyDescent="0.25">
      <c r="A12234" t="str">
        <f t="shared" si="2659"/>
        <v>89301000</v>
      </c>
      <c r="B12234" t="str">
        <f t="shared" si="2661"/>
        <v>89434000</v>
      </c>
      <c r="C12234" t="str">
        <f t="shared" si="2661"/>
        <v>89434000</v>
      </c>
      <c r="D12234" t="str">
        <f t="shared" si="2660"/>
        <v>809</v>
      </c>
      <c r="E12234" t="str">
        <f>"89301172"</f>
        <v>89301172</v>
      </c>
      <c r="F12234" t="str">
        <f>"6011011325"</f>
        <v>6011011325</v>
      </c>
      <c r="G12234" s="1">
        <v>44907</v>
      </c>
      <c r="H12234" t="str">
        <f>"89513"</f>
        <v>89513</v>
      </c>
      <c r="I12234">
        <v>1</v>
      </c>
      <c r="J12234">
        <v>371</v>
      </c>
      <c r="K12234">
        <v>0</v>
      </c>
      <c r="L12234">
        <v>519.4</v>
      </c>
    </row>
    <row r="12235" spans="1:12" x14ac:dyDescent="0.25">
      <c r="A12235" t="str">
        <f t="shared" si="2659"/>
        <v>89301000</v>
      </c>
      <c r="B12235" t="str">
        <f t="shared" si="2661"/>
        <v>89434000</v>
      </c>
      <c r="C12235" t="str">
        <f t="shared" si="2661"/>
        <v>89434000</v>
      </c>
      <c r="D12235" t="str">
        <f t="shared" si="2660"/>
        <v>809</v>
      </c>
      <c r="E12235" t="str">
        <f>"89301172"</f>
        <v>89301172</v>
      </c>
      <c r="F12235" t="str">
        <f>"6011011325"</f>
        <v>6011011325</v>
      </c>
      <c r="G12235" s="1">
        <v>44907</v>
      </c>
      <c r="H12235" t="str">
        <f>"89514"</f>
        <v>89514</v>
      </c>
      <c r="I12235">
        <v>1</v>
      </c>
      <c r="J12235">
        <v>371</v>
      </c>
      <c r="K12235">
        <v>0</v>
      </c>
      <c r="L12235">
        <v>519.4</v>
      </c>
    </row>
    <row r="12236" spans="1:12" x14ac:dyDescent="0.25">
      <c r="A12236" t="str">
        <f t="shared" si="2659"/>
        <v>89301000</v>
      </c>
      <c r="B12236" t="str">
        <f t="shared" si="2661"/>
        <v>89434000</v>
      </c>
      <c r="C12236" t="str">
        <f t="shared" si="2661"/>
        <v>89434000</v>
      </c>
      <c r="D12236" t="str">
        <f t="shared" si="2660"/>
        <v>809</v>
      </c>
      <c r="E12236" t="str">
        <f>"89301034"</f>
        <v>89301034</v>
      </c>
      <c r="F12236" t="str">
        <f>"7658195369"</f>
        <v>7658195369</v>
      </c>
      <c r="G12236" s="1">
        <v>44907</v>
      </c>
      <c r="H12236" t="str">
        <f>"89123"</f>
        <v>89123</v>
      </c>
      <c r="I12236">
        <v>1</v>
      </c>
      <c r="J12236">
        <v>139</v>
      </c>
      <c r="K12236">
        <v>0</v>
      </c>
      <c r="L12236">
        <v>194.6</v>
      </c>
    </row>
    <row r="12237" spans="1:12" x14ac:dyDescent="0.25">
      <c r="A12237" t="str">
        <f t="shared" si="2659"/>
        <v>89301000</v>
      </c>
      <c r="B12237" t="str">
        <f>"87004000"</f>
        <v>87004000</v>
      </c>
      <c r="C12237" t="str">
        <f>"87004889"</f>
        <v>87004889</v>
      </c>
      <c r="D12237" t="str">
        <f t="shared" si="2660"/>
        <v>809</v>
      </c>
      <c r="E12237" t="str">
        <f>"89301112"</f>
        <v>89301112</v>
      </c>
      <c r="F12237" t="str">
        <f>"8751046227"</f>
        <v>8751046227</v>
      </c>
      <c r="G12237" s="1">
        <v>44897</v>
      </c>
      <c r="H12237" t="str">
        <f>"89615"</f>
        <v>89615</v>
      </c>
      <c r="I12237">
        <v>1</v>
      </c>
      <c r="J12237">
        <v>2170</v>
      </c>
      <c r="K12237">
        <v>0</v>
      </c>
      <c r="L12237">
        <v>1302</v>
      </c>
    </row>
    <row r="12238" spans="1:12" x14ac:dyDescent="0.25">
      <c r="A12238" t="str">
        <f t="shared" si="2659"/>
        <v>89301000</v>
      </c>
      <c r="B12238" t="str">
        <f t="shared" ref="B12238:B12244" si="2662">"93201000"</f>
        <v>93201000</v>
      </c>
      <c r="C12238" t="str">
        <f t="shared" ref="C12238:C12244" si="2663">"93201350"</f>
        <v>93201350</v>
      </c>
      <c r="D12238" t="str">
        <f t="shared" si="2660"/>
        <v>809</v>
      </c>
      <c r="E12238" t="str">
        <f>"89301036"</f>
        <v>89301036</v>
      </c>
      <c r="F12238" t="str">
        <f>"8656305823"</f>
        <v>8656305823</v>
      </c>
      <c r="G12238" s="1">
        <v>44897</v>
      </c>
      <c r="H12238" t="str">
        <f>"89517"</f>
        <v>89517</v>
      </c>
      <c r="I12238">
        <v>1</v>
      </c>
      <c r="J12238">
        <v>970</v>
      </c>
      <c r="K12238">
        <v>0</v>
      </c>
      <c r="L12238">
        <v>1358</v>
      </c>
    </row>
    <row r="12239" spans="1:12" x14ac:dyDescent="0.25">
      <c r="A12239" t="str">
        <f t="shared" si="2659"/>
        <v>89301000</v>
      </c>
      <c r="B12239" t="str">
        <f t="shared" si="2662"/>
        <v>93201000</v>
      </c>
      <c r="C12239" t="str">
        <f t="shared" si="2663"/>
        <v>93201350</v>
      </c>
      <c r="D12239" t="str">
        <f t="shared" si="2660"/>
        <v>809</v>
      </c>
      <c r="E12239" t="str">
        <f>"89301212"</f>
        <v>89301212</v>
      </c>
      <c r="F12239" t="str">
        <f>"495407110"</f>
        <v>495407110</v>
      </c>
      <c r="G12239" s="1">
        <v>44908</v>
      </c>
      <c r="H12239" t="str">
        <f>"89513"</f>
        <v>89513</v>
      </c>
      <c r="I12239">
        <v>1</v>
      </c>
      <c r="J12239">
        <v>371</v>
      </c>
      <c r="K12239">
        <v>0</v>
      </c>
      <c r="L12239">
        <v>519.4</v>
      </c>
    </row>
    <row r="12240" spans="1:12" x14ac:dyDescent="0.25">
      <c r="A12240" t="str">
        <f t="shared" si="2659"/>
        <v>89301000</v>
      </c>
      <c r="B12240" t="str">
        <f t="shared" si="2662"/>
        <v>93201000</v>
      </c>
      <c r="C12240" t="str">
        <f t="shared" si="2663"/>
        <v>93201350</v>
      </c>
      <c r="D12240" t="str">
        <f t="shared" si="2660"/>
        <v>809</v>
      </c>
      <c r="E12240" t="str">
        <f>"89301212"</f>
        <v>89301212</v>
      </c>
      <c r="F12240" t="str">
        <f>"495407110"</f>
        <v>495407110</v>
      </c>
      <c r="G12240" s="1">
        <v>44908</v>
      </c>
      <c r="H12240" t="str">
        <f>"89514"</f>
        <v>89514</v>
      </c>
      <c r="I12240">
        <v>1</v>
      </c>
      <c r="J12240">
        <v>371</v>
      </c>
      <c r="K12240">
        <v>0</v>
      </c>
      <c r="L12240">
        <v>519.4</v>
      </c>
    </row>
    <row r="12241" spans="1:12" x14ac:dyDescent="0.25">
      <c r="A12241" t="str">
        <f t="shared" si="2659"/>
        <v>89301000</v>
      </c>
      <c r="B12241" t="str">
        <f t="shared" si="2662"/>
        <v>93201000</v>
      </c>
      <c r="C12241" t="str">
        <f t="shared" si="2663"/>
        <v>93201350</v>
      </c>
      <c r="D12241" t="str">
        <f t="shared" si="2660"/>
        <v>809</v>
      </c>
      <c r="E12241" t="str">
        <f>"89301212"</f>
        <v>89301212</v>
      </c>
      <c r="F12241" t="str">
        <f>"6862130924"</f>
        <v>6862130924</v>
      </c>
      <c r="G12241" s="1">
        <v>44915</v>
      </c>
      <c r="H12241" t="str">
        <f>"89513"</f>
        <v>89513</v>
      </c>
      <c r="I12241">
        <v>1</v>
      </c>
      <c r="J12241">
        <v>371</v>
      </c>
      <c r="K12241">
        <v>0</v>
      </c>
      <c r="L12241">
        <v>519.4</v>
      </c>
    </row>
    <row r="12242" spans="1:12" x14ac:dyDescent="0.25">
      <c r="A12242" t="str">
        <f t="shared" si="2659"/>
        <v>89301000</v>
      </c>
      <c r="B12242" t="str">
        <f t="shared" si="2662"/>
        <v>93201000</v>
      </c>
      <c r="C12242" t="str">
        <f t="shared" si="2663"/>
        <v>93201350</v>
      </c>
      <c r="D12242" t="str">
        <f t="shared" si="2660"/>
        <v>809</v>
      </c>
      <c r="E12242" t="str">
        <f>"89301212"</f>
        <v>89301212</v>
      </c>
      <c r="F12242" t="str">
        <f>"6862130924"</f>
        <v>6862130924</v>
      </c>
      <c r="G12242" s="1">
        <v>44915</v>
      </c>
      <c r="H12242" t="str">
        <f>"89514"</f>
        <v>89514</v>
      </c>
      <c r="I12242">
        <v>1</v>
      </c>
      <c r="J12242">
        <v>371</v>
      </c>
      <c r="K12242">
        <v>0</v>
      </c>
      <c r="L12242">
        <v>519.4</v>
      </c>
    </row>
    <row r="12243" spans="1:12" x14ac:dyDescent="0.25">
      <c r="A12243" t="str">
        <f t="shared" si="2659"/>
        <v>89301000</v>
      </c>
      <c r="B12243" t="str">
        <f t="shared" si="2662"/>
        <v>93201000</v>
      </c>
      <c r="C12243" t="str">
        <f t="shared" si="2663"/>
        <v>93201350</v>
      </c>
      <c r="D12243" t="str">
        <f t="shared" si="2660"/>
        <v>809</v>
      </c>
      <c r="E12243" t="str">
        <f>"89301062"</f>
        <v>89301062</v>
      </c>
      <c r="F12243" t="str">
        <f>"7458155760"</f>
        <v>7458155760</v>
      </c>
      <c r="G12243" s="1">
        <v>44908</v>
      </c>
      <c r="H12243" t="str">
        <f>"89615"</f>
        <v>89615</v>
      </c>
      <c r="I12243">
        <v>1</v>
      </c>
      <c r="J12243">
        <v>2170</v>
      </c>
      <c r="K12243">
        <v>0</v>
      </c>
      <c r="L12243">
        <v>1302</v>
      </c>
    </row>
    <row r="12244" spans="1:12" x14ac:dyDescent="0.25">
      <c r="A12244" t="str">
        <f t="shared" si="2659"/>
        <v>89301000</v>
      </c>
      <c r="B12244" t="str">
        <f t="shared" si="2662"/>
        <v>93201000</v>
      </c>
      <c r="C12244" t="str">
        <f t="shared" si="2663"/>
        <v>93201350</v>
      </c>
      <c r="D12244" t="str">
        <f t="shared" si="2660"/>
        <v>809</v>
      </c>
      <c r="E12244" t="str">
        <f>"89301132"</f>
        <v>89301132</v>
      </c>
      <c r="F12244" t="str">
        <f>"6752220409"</f>
        <v>6752220409</v>
      </c>
      <c r="G12244" s="1">
        <v>44914</v>
      </c>
      <c r="H12244" t="str">
        <f>"89615"</f>
        <v>89615</v>
      </c>
      <c r="I12244">
        <v>1</v>
      </c>
      <c r="J12244">
        <v>2170</v>
      </c>
      <c r="K12244">
        <v>0</v>
      </c>
      <c r="L12244">
        <v>1302</v>
      </c>
    </row>
    <row r="12245" spans="1:12" x14ac:dyDescent="0.25">
      <c r="A12245" t="str">
        <f t="shared" si="2659"/>
        <v>89301000</v>
      </c>
      <c r="B12245" t="str">
        <f>"86102000"</f>
        <v>86102000</v>
      </c>
      <c r="C12245" t="str">
        <f>"86102496"</f>
        <v>86102496</v>
      </c>
      <c r="D12245" t="str">
        <f t="shared" si="2660"/>
        <v>809</v>
      </c>
      <c r="E12245" t="str">
        <f>"89301112"</f>
        <v>89301112</v>
      </c>
      <c r="F12245" t="str">
        <f>"6660171463"</f>
        <v>6660171463</v>
      </c>
      <c r="G12245" s="1">
        <v>44911</v>
      </c>
      <c r="H12245" t="str">
        <f>"89615"</f>
        <v>89615</v>
      </c>
      <c r="I12245">
        <v>1</v>
      </c>
      <c r="J12245">
        <v>2170</v>
      </c>
      <c r="K12245">
        <v>0</v>
      </c>
      <c r="L12245">
        <v>1302</v>
      </c>
    </row>
    <row r="12246" spans="1:12" x14ac:dyDescent="0.25">
      <c r="A12246" t="str">
        <f t="shared" si="2659"/>
        <v>89301000</v>
      </c>
      <c r="B12246" t="str">
        <f>"86102000"</f>
        <v>86102000</v>
      </c>
      <c r="C12246" t="str">
        <f>"86102496"</f>
        <v>86102496</v>
      </c>
      <c r="D12246" t="str">
        <f t="shared" si="2660"/>
        <v>809</v>
      </c>
      <c r="E12246" t="str">
        <f>"89301112"</f>
        <v>89301112</v>
      </c>
      <c r="F12246" t="str">
        <f>"8007195559"</f>
        <v>8007195559</v>
      </c>
      <c r="G12246" s="1">
        <v>44924</v>
      </c>
      <c r="H12246" t="str">
        <f>"89713"</f>
        <v>89713</v>
      </c>
      <c r="I12246">
        <v>1</v>
      </c>
      <c r="J12246">
        <v>5362</v>
      </c>
      <c r="K12246">
        <v>0</v>
      </c>
      <c r="L12246">
        <v>3217.2</v>
      </c>
    </row>
    <row r="12247" spans="1:12" x14ac:dyDescent="0.25">
      <c r="A12247" t="str">
        <f t="shared" si="2659"/>
        <v>89301000</v>
      </c>
      <c r="B12247" t="str">
        <f>"82001000"</f>
        <v>82001000</v>
      </c>
      <c r="C12247" t="str">
        <f>"82001846"</f>
        <v>82001846</v>
      </c>
      <c r="D12247" t="str">
        <f>"810"</f>
        <v>810</v>
      </c>
      <c r="E12247" t="str">
        <f>"89301037"</f>
        <v>89301037</v>
      </c>
      <c r="F12247" t="str">
        <f>"7403034122"</f>
        <v>7403034122</v>
      </c>
      <c r="G12247" s="1">
        <v>44903</v>
      </c>
      <c r="H12247" t="str">
        <f>"89713"</f>
        <v>89713</v>
      </c>
      <c r="I12247">
        <v>1</v>
      </c>
      <c r="J12247">
        <v>5362</v>
      </c>
      <c r="K12247">
        <v>0</v>
      </c>
      <c r="L12247">
        <v>3217.2</v>
      </c>
    </row>
    <row r="12248" spans="1:12" x14ac:dyDescent="0.25">
      <c r="A12248" t="str">
        <f t="shared" si="2659"/>
        <v>89301000</v>
      </c>
      <c r="B12248" t="str">
        <f>"82001000"</f>
        <v>82001000</v>
      </c>
      <c r="C12248" t="str">
        <f>"82001846"</f>
        <v>82001846</v>
      </c>
      <c r="D12248" t="str">
        <f>"810"</f>
        <v>810</v>
      </c>
      <c r="E12248" t="str">
        <f>"89301037"</f>
        <v>89301037</v>
      </c>
      <c r="F12248" t="str">
        <f>"7403034122"</f>
        <v>7403034122</v>
      </c>
      <c r="G12248" s="1">
        <v>44903</v>
      </c>
      <c r="H12248" t="str">
        <f>"89725"</f>
        <v>89725</v>
      </c>
      <c r="I12248">
        <v>1</v>
      </c>
      <c r="J12248">
        <v>2839</v>
      </c>
      <c r="K12248">
        <v>0</v>
      </c>
      <c r="L12248">
        <v>1703.4</v>
      </c>
    </row>
    <row r="12249" spans="1:12" x14ac:dyDescent="0.25">
      <c r="A12249" t="str">
        <f t="shared" si="2659"/>
        <v>89301000</v>
      </c>
      <c r="B12249" t="str">
        <f>"82001000"</f>
        <v>82001000</v>
      </c>
      <c r="C12249" t="str">
        <f>"82001846"</f>
        <v>82001846</v>
      </c>
      <c r="D12249" t="str">
        <f>"810"</f>
        <v>810</v>
      </c>
      <c r="E12249" t="str">
        <f>"89301037"</f>
        <v>89301037</v>
      </c>
      <c r="F12249" t="str">
        <f>"7403034122"</f>
        <v>7403034122</v>
      </c>
      <c r="G12249" s="1">
        <v>44903</v>
      </c>
      <c r="H12249" t="str">
        <f>"0207745"</f>
        <v>0207745</v>
      </c>
      <c r="I12249">
        <v>0.2</v>
      </c>
      <c r="K12249">
        <v>1255.8900000000001</v>
      </c>
      <c r="L12249">
        <v>1255.8900000000001</v>
      </c>
    </row>
    <row r="12250" spans="1:12" x14ac:dyDescent="0.25">
      <c r="A12250" t="str">
        <f t="shared" si="2659"/>
        <v>89301000</v>
      </c>
      <c r="B12250" t="str">
        <f>"85600000"</f>
        <v>85600000</v>
      </c>
      <c r="C12250" t="str">
        <f>"85600421"</f>
        <v>85600421</v>
      </c>
      <c r="D12250" t="str">
        <f t="shared" ref="D12250:D12257" si="2664">"809"</f>
        <v>809</v>
      </c>
      <c r="E12250" t="str">
        <f>"89301212"</f>
        <v>89301212</v>
      </c>
      <c r="F12250" t="str">
        <f>"7455264850"</f>
        <v>7455264850</v>
      </c>
      <c r="G12250" s="1">
        <v>44865</v>
      </c>
      <c r="H12250" t="str">
        <f>"89512"</f>
        <v>89512</v>
      </c>
      <c r="I12250">
        <v>1</v>
      </c>
      <c r="J12250">
        <v>277</v>
      </c>
      <c r="K12250">
        <v>0</v>
      </c>
      <c r="L12250">
        <v>387.8</v>
      </c>
    </row>
    <row r="12251" spans="1:12" x14ac:dyDescent="0.25">
      <c r="A12251" t="str">
        <f t="shared" si="2659"/>
        <v>89301000</v>
      </c>
      <c r="B12251" t="str">
        <f t="shared" ref="B12251:B12257" si="2665">"89903000"</f>
        <v>89903000</v>
      </c>
      <c r="C12251" t="str">
        <f t="shared" ref="C12251:C12257" si="2666">"89903503"</f>
        <v>89903503</v>
      </c>
      <c r="D12251" t="str">
        <f t="shared" si="2664"/>
        <v>809</v>
      </c>
      <c r="E12251" t="str">
        <f t="shared" ref="E12251:E12257" si="2667">"89301062"</f>
        <v>89301062</v>
      </c>
      <c r="F12251" t="str">
        <f t="shared" ref="F12251:F12257" si="2668">"6158110332"</f>
        <v>6158110332</v>
      </c>
      <c r="G12251" s="1">
        <v>44904</v>
      </c>
      <c r="H12251" t="str">
        <f>"09233"</f>
        <v>09233</v>
      </c>
      <c r="I12251">
        <v>1</v>
      </c>
      <c r="J12251">
        <v>99</v>
      </c>
      <c r="K12251">
        <v>0</v>
      </c>
      <c r="L12251">
        <v>138.6</v>
      </c>
    </row>
    <row r="12252" spans="1:12" x14ac:dyDescent="0.25">
      <c r="A12252" t="str">
        <f t="shared" si="2659"/>
        <v>89301000</v>
      </c>
      <c r="B12252" t="str">
        <f t="shared" si="2665"/>
        <v>89903000</v>
      </c>
      <c r="C12252" t="str">
        <f t="shared" si="2666"/>
        <v>89903503</v>
      </c>
      <c r="D12252" t="str">
        <f t="shared" si="2664"/>
        <v>809</v>
      </c>
      <c r="E12252" t="str">
        <f t="shared" si="2667"/>
        <v>89301062</v>
      </c>
      <c r="F12252" t="str">
        <f t="shared" si="2668"/>
        <v>6158110332</v>
      </c>
      <c r="G12252" s="1">
        <v>44904</v>
      </c>
      <c r="H12252" t="str">
        <f>"89311"</f>
        <v>89311</v>
      </c>
      <c r="I12252">
        <v>1</v>
      </c>
      <c r="J12252">
        <v>936</v>
      </c>
      <c r="K12252">
        <v>0</v>
      </c>
      <c r="L12252">
        <v>1310.4000000000001</v>
      </c>
    </row>
    <row r="12253" spans="1:12" x14ac:dyDescent="0.25">
      <c r="A12253" t="str">
        <f t="shared" si="2659"/>
        <v>89301000</v>
      </c>
      <c r="B12253" t="str">
        <f t="shared" si="2665"/>
        <v>89903000</v>
      </c>
      <c r="C12253" t="str">
        <f t="shared" si="2666"/>
        <v>89903503</v>
      </c>
      <c r="D12253" t="str">
        <f t="shared" si="2664"/>
        <v>809</v>
      </c>
      <c r="E12253" t="str">
        <f t="shared" si="2667"/>
        <v>89301062</v>
      </c>
      <c r="F12253" t="str">
        <f t="shared" si="2668"/>
        <v>6158110332</v>
      </c>
      <c r="G12253" s="1">
        <v>44904</v>
      </c>
      <c r="H12253" t="str">
        <f>"89615"</f>
        <v>89615</v>
      </c>
      <c r="I12253">
        <v>1</v>
      </c>
      <c r="J12253">
        <v>2170</v>
      </c>
      <c r="K12253">
        <v>0</v>
      </c>
      <c r="L12253">
        <v>1302</v>
      </c>
    </row>
    <row r="12254" spans="1:12" x14ac:dyDescent="0.25">
      <c r="A12254" t="str">
        <f t="shared" si="2659"/>
        <v>89301000</v>
      </c>
      <c r="B12254" t="str">
        <f t="shared" si="2665"/>
        <v>89903000</v>
      </c>
      <c r="C12254" t="str">
        <f t="shared" si="2666"/>
        <v>89903503</v>
      </c>
      <c r="D12254" t="str">
        <f t="shared" si="2664"/>
        <v>809</v>
      </c>
      <c r="E12254" t="str">
        <f t="shared" si="2667"/>
        <v>89301062</v>
      </c>
      <c r="F12254" t="str">
        <f t="shared" si="2668"/>
        <v>6158110332</v>
      </c>
      <c r="G12254" s="1">
        <v>44904</v>
      </c>
      <c r="H12254" t="str">
        <f>"0000502"</f>
        <v>0000502</v>
      </c>
      <c r="I12254">
        <v>0.1</v>
      </c>
      <c r="K12254">
        <v>6.97</v>
      </c>
      <c r="L12254">
        <v>6.97</v>
      </c>
    </row>
    <row r="12255" spans="1:12" x14ac:dyDescent="0.25">
      <c r="A12255" t="str">
        <f t="shared" si="2659"/>
        <v>89301000</v>
      </c>
      <c r="B12255" t="str">
        <f t="shared" si="2665"/>
        <v>89903000</v>
      </c>
      <c r="C12255" t="str">
        <f t="shared" si="2666"/>
        <v>89903503</v>
      </c>
      <c r="D12255" t="str">
        <f t="shared" si="2664"/>
        <v>809</v>
      </c>
      <c r="E12255" t="str">
        <f t="shared" si="2667"/>
        <v>89301062</v>
      </c>
      <c r="F12255" t="str">
        <f t="shared" si="2668"/>
        <v>6158110332</v>
      </c>
      <c r="G12255" s="1">
        <v>44904</v>
      </c>
      <c r="H12255" t="str">
        <f>"0084090"</f>
        <v>0084090</v>
      </c>
      <c r="I12255">
        <v>0.1</v>
      </c>
      <c r="K12255">
        <v>8.52</v>
      </c>
      <c r="L12255">
        <v>8.52</v>
      </c>
    </row>
    <row r="12256" spans="1:12" x14ac:dyDescent="0.25">
      <c r="A12256" t="str">
        <f t="shared" si="2659"/>
        <v>89301000</v>
      </c>
      <c r="B12256" t="str">
        <f t="shared" si="2665"/>
        <v>89903000</v>
      </c>
      <c r="C12256" t="str">
        <f t="shared" si="2666"/>
        <v>89903503</v>
      </c>
      <c r="D12256" t="str">
        <f t="shared" si="2664"/>
        <v>809</v>
      </c>
      <c r="E12256" t="str">
        <f t="shared" si="2667"/>
        <v>89301062</v>
      </c>
      <c r="F12256" t="str">
        <f t="shared" si="2668"/>
        <v>6158110332</v>
      </c>
      <c r="G12256" s="1">
        <v>44904</v>
      </c>
      <c r="H12256" t="str">
        <f>"0096251"</f>
        <v>0096251</v>
      </c>
      <c r="I12256">
        <v>8.0000000000000002E-3</v>
      </c>
      <c r="K12256">
        <v>9.36</v>
      </c>
      <c r="L12256">
        <v>9.36</v>
      </c>
    </row>
    <row r="12257" spans="1:12" x14ac:dyDescent="0.25">
      <c r="A12257" t="str">
        <f t="shared" si="2659"/>
        <v>89301000</v>
      </c>
      <c r="B12257" t="str">
        <f t="shared" si="2665"/>
        <v>89903000</v>
      </c>
      <c r="C12257" t="str">
        <f t="shared" si="2666"/>
        <v>89903503</v>
      </c>
      <c r="D12257" t="str">
        <f t="shared" si="2664"/>
        <v>809</v>
      </c>
      <c r="E12257" t="str">
        <f t="shared" si="2667"/>
        <v>89301062</v>
      </c>
      <c r="F12257" t="str">
        <f t="shared" si="2668"/>
        <v>6158110332</v>
      </c>
      <c r="G12257" s="1">
        <v>44904</v>
      </c>
      <c r="H12257" t="str">
        <f>"0194183"</f>
        <v>0194183</v>
      </c>
      <c r="I12257">
        <v>1</v>
      </c>
      <c r="K12257">
        <v>53</v>
      </c>
      <c r="L12257">
        <v>53</v>
      </c>
    </row>
    <row r="12258" spans="1:12" x14ac:dyDescent="0.25">
      <c r="A12258" t="str">
        <f t="shared" si="2659"/>
        <v>89301000</v>
      </c>
      <c r="B12258" t="str">
        <f t="shared" ref="B12258:B12289" si="2669">"72100000"</f>
        <v>72100000</v>
      </c>
      <c r="C12258" t="str">
        <f t="shared" ref="C12258:C12266" si="2670">"72100632"</f>
        <v>72100632</v>
      </c>
      <c r="D12258" t="str">
        <f t="shared" ref="D12258:D12266" si="2671">"816"</f>
        <v>816</v>
      </c>
      <c r="E12258" t="str">
        <f>"89301282"</f>
        <v>89301282</v>
      </c>
      <c r="F12258" t="str">
        <f>"1259221392"</f>
        <v>1259221392</v>
      </c>
      <c r="G12258" s="1">
        <v>44832</v>
      </c>
      <c r="H12258" t="str">
        <f>"94221"</f>
        <v>94221</v>
      </c>
      <c r="I12258">
        <v>1</v>
      </c>
      <c r="J12258">
        <v>2453</v>
      </c>
      <c r="K12258">
        <v>0</v>
      </c>
      <c r="L12258">
        <v>2085.0500000000002</v>
      </c>
    </row>
    <row r="12259" spans="1:12" x14ac:dyDescent="0.25">
      <c r="A12259" t="str">
        <f t="shared" si="2659"/>
        <v>89301000</v>
      </c>
      <c r="B12259" t="str">
        <f t="shared" si="2669"/>
        <v>72100000</v>
      </c>
      <c r="C12259" t="str">
        <f t="shared" si="2670"/>
        <v>72100632</v>
      </c>
      <c r="D12259" t="str">
        <f t="shared" si="2671"/>
        <v>816</v>
      </c>
      <c r="E12259" t="str">
        <f>"89301282"</f>
        <v>89301282</v>
      </c>
      <c r="F12259" t="str">
        <f>"1259221392"</f>
        <v>1259221392</v>
      </c>
      <c r="G12259" s="1">
        <v>44832</v>
      </c>
      <c r="H12259" t="str">
        <f>"94221"</f>
        <v>94221</v>
      </c>
      <c r="I12259">
        <v>8</v>
      </c>
      <c r="J12259">
        <v>19624</v>
      </c>
      <c r="K12259">
        <v>0</v>
      </c>
      <c r="L12259">
        <v>16680.400000000001</v>
      </c>
    </row>
    <row r="12260" spans="1:12" x14ac:dyDescent="0.25">
      <c r="A12260" t="str">
        <f t="shared" si="2659"/>
        <v>89301000</v>
      </c>
      <c r="B12260" t="str">
        <f t="shared" si="2669"/>
        <v>72100000</v>
      </c>
      <c r="C12260" t="str">
        <f t="shared" si="2670"/>
        <v>72100632</v>
      </c>
      <c r="D12260" t="str">
        <f t="shared" si="2671"/>
        <v>816</v>
      </c>
      <c r="E12260" t="str">
        <f>"89301282"</f>
        <v>89301282</v>
      </c>
      <c r="F12260" t="str">
        <f>"8957026166"</f>
        <v>8957026166</v>
      </c>
      <c r="G12260" s="1">
        <v>44754</v>
      </c>
      <c r="H12260" t="str">
        <f>"94221"</f>
        <v>94221</v>
      </c>
      <c r="I12260">
        <v>1</v>
      </c>
      <c r="J12260">
        <v>2453</v>
      </c>
      <c r="K12260">
        <v>0</v>
      </c>
      <c r="L12260">
        <v>2085.0500000000002</v>
      </c>
    </row>
    <row r="12261" spans="1:12" x14ac:dyDescent="0.25">
      <c r="A12261" t="str">
        <f t="shared" si="2659"/>
        <v>89301000</v>
      </c>
      <c r="B12261" t="str">
        <f t="shared" si="2669"/>
        <v>72100000</v>
      </c>
      <c r="C12261" t="str">
        <f t="shared" si="2670"/>
        <v>72100632</v>
      </c>
      <c r="D12261" t="str">
        <f t="shared" si="2671"/>
        <v>816</v>
      </c>
      <c r="E12261" t="str">
        <f>"89301282"</f>
        <v>89301282</v>
      </c>
      <c r="F12261" t="str">
        <f>"0701305275"</f>
        <v>0701305275</v>
      </c>
      <c r="G12261" s="1">
        <v>44900</v>
      </c>
      <c r="H12261" t="str">
        <f>"94964"</f>
        <v>94964</v>
      </c>
      <c r="I12261">
        <v>1</v>
      </c>
      <c r="J12261">
        <v>0</v>
      </c>
      <c r="K12261">
        <v>1952</v>
      </c>
      <c r="L12261">
        <v>1952</v>
      </c>
    </row>
    <row r="12262" spans="1:12" x14ac:dyDescent="0.25">
      <c r="A12262" t="str">
        <f t="shared" si="2659"/>
        <v>89301000</v>
      </c>
      <c r="B12262" t="str">
        <f t="shared" si="2669"/>
        <v>72100000</v>
      </c>
      <c r="C12262" t="str">
        <f t="shared" si="2670"/>
        <v>72100632</v>
      </c>
      <c r="D12262" t="str">
        <f t="shared" si="2671"/>
        <v>816</v>
      </c>
      <c r="E12262" t="str">
        <f>"89301091"</f>
        <v>89301091</v>
      </c>
      <c r="F12262" t="str">
        <f>"0062285729"</f>
        <v>0062285729</v>
      </c>
      <c r="G12262" s="1">
        <v>44910</v>
      </c>
      <c r="H12262" t="str">
        <f>"94297"</f>
        <v>94297</v>
      </c>
      <c r="I12262">
        <v>1</v>
      </c>
      <c r="J12262">
        <v>298</v>
      </c>
      <c r="K12262">
        <v>0</v>
      </c>
      <c r="L12262">
        <v>366.54</v>
      </c>
    </row>
    <row r="12263" spans="1:12" x14ac:dyDescent="0.25">
      <c r="A12263" t="str">
        <f t="shared" si="2659"/>
        <v>89301000</v>
      </c>
      <c r="B12263" t="str">
        <f t="shared" si="2669"/>
        <v>72100000</v>
      </c>
      <c r="C12263" t="str">
        <f t="shared" si="2670"/>
        <v>72100632</v>
      </c>
      <c r="D12263" t="str">
        <f t="shared" si="2671"/>
        <v>816</v>
      </c>
      <c r="E12263" t="str">
        <f>"89301091"</f>
        <v>89301091</v>
      </c>
      <c r="F12263" t="str">
        <f>"0057125750"</f>
        <v>0057125750</v>
      </c>
      <c r="G12263" s="1">
        <v>44917</v>
      </c>
      <c r="H12263" t="str">
        <f>"94297"</f>
        <v>94297</v>
      </c>
      <c r="I12263">
        <v>1</v>
      </c>
      <c r="J12263">
        <v>298</v>
      </c>
      <c r="K12263">
        <v>0</v>
      </c>
      <c r="L12263">
        <v>366.54</v>
      </c>
    </row>
    <row r="12264" spans="1:12" x14ac:dyDescent="0.25">
      <c r="A12264" t="str">
        <f t="shared" si="2659"/>
        <v>89301000</v>
      </c>
      <c r="B12264" t="str">
        <f t="shared" si="2669"/>
        <v>72100000</v>
      </c>
      <c r="C12264" t="str">
        <f t="shared" si="2670"/>
        <v>72100632</v>
      </c>
      <c r="D12264" t="str">
        <f t="shared" si="2671"/>
        <v>816</v>
      </c>
      <c r="E12264" t="str">
        <f>"89301091"</f>
        <v>89301091</v>
      </c>
      <c r="F12264" t="str">
        <f>"9058145371"</f>
        <v>9058145371</v>
      </c>
      <c r="G12264" s="1">
        <v>44918</v>
      </c>
      <c r="H12264" t="str">
        <f>"94297"</f>
        <v>94297</v>
      </c>
      <c r="I12264">
        <v>1</v>
      </c>
      <c r="J12264">
        <v>298</v>
      </c>
      <c r="K12264">
        <v>0</v>
      </c>
      <c r="L12264">
        <v>366.54</v>
      </c>
    </row>
    <row r="12265" spans="1:12" x14ac:dyDescent="0.25">
      <c r="A12265" t="str">
        <f t="shared" si="2659"/>
        <v>89301000</v>
      </c>
      <c r="B12265" t="str">
        <f t="shared" si="2669"/>
        <v>72100000</v>
      </c>
      <c r="C12265" t="str">
        <f t="shared" si="2670"/>
        <v>72100632</v>
      </c>
      <c r="D12265" t="str">
        <f t="shared" si="2671"/>
        <v>816</v>
      </c>
      <c r="E12265" t="str">
        <f>"89301282"</f>
        <v>89301282</v>
      </c>
      <c r="F12265" t="str">
        <f>"1409251206"</f>
        <v>1409251206</v>
      </c>
      <c r="G12265" s="1">
        <v>44870</v>
      </c>
      <c r="H12265" t="str">
        <f>"94982"</f>
        <v>94982</v>
      </c>
      <c r="I12265">
        <v>1</v>
      </c>
      <c r="J12265">
        <v>0</v>
      </c>
      <c r="K12265">
        <v>27500</v>
      </c>
      <c r="L12265">
        <v>27500</v>
      </c>
    </row>
    <row r="12266" spans="1:12" x14ac:dyDescent="0.25">
      <c r="A12266" t="str">
        <f t="shared" si="2659"/>
        <v>89301000</v>
      </c>
      <c r="B12266" t="str">
        <f t="shared" si="2669"/>
        <v>72100000</v>
      </c>
      <c r="C12266" t="str">
        <f t="shared" si="2670"/>
        <v>72100632</v>
      </c>
      <c r="D12266" t="str">
        <f t="shared" si="2671"/>
        <v>816</v>
      </c>
      <c r="E12266" t="str">
        <f>"89301282"</f>
        <v>89301282</v>
      </c>
      <c r="F12266" t="str">
        <f>"1409251206"</f>
        <v>1409251206</v>
      </c>
      <c r="G12266" s="1">
        <v>44870</v>
      </c>
      <c r="H12266" t="str">
        <f>"94996"</f>
        <v>94996</v>
      </c>
      <c r="I12266">
        <v>1</v>
      </c>
      <c r="J12266">
        <v>0</v>
      </c>
      <c r="K12266">
        <v>0</v>
      </c>
      <c r="L12266">
        <v>0</v>
      </c>
    </row>
    <row r="12267" spans="1:12" x14ac:dyDescent="0.25">
      <c r="A12267" t="str">
        <f t="shared" si="2659"/>
        <v>89301000</v>
      </c>
      <c r="B12267" t="str">
        <f t="shared" si="2669"/>
        <v>72100000</v>
      </c>
      <c r="C12267" t="str">
        <f>"72100659"</f>
        <v>72100659</v>
      </c>
      <c r="D12267" t="str">
        <f>"801"</f>
        <v>801</v>
      </c>
      <c r="E12267" t="str">
        <f>"89301109"</f>
        <v>89301109</v>
      </c>
      <c r="F12267" t="str">
        <f>"1560012212"</f>
        <v>1560012212</v>
      </c>
      <c r="G12267" s="1">
        <v>44867</v>
      </c>
      <c r="H12267" t="str">
        <f>"99141"</f>
        <v>99141</v>
      </c>
      <c r="I12267">
        <v>1</v>
      </c>
      <c r="J12267">
        <v>458</v>
      </c>
      <c r="K12267">
        <v>0</v>
      </c>
      <c r="L12267">
        <v>357.24</v>
      </c>
    </row>
    <row r="12268" spans="1:12" x14ac:dyDescent="0.25">
      <c r="A12268" t="str">
        <f t="shared" si="2659"/>
        <v>89301000</v>
      </c>
      <c r="B12268" t="str">
        <f t="shared" si="2669"/>
        <v>72100000</v>
      </c>
      <c r="C12268" t="str">
        <f>"72100659"</f>
        <v>72100659</v>
      </c>
      <c r="D12268" t="str">
        <f>"801"</f>
        <v>801</v>
      </c>
      <c r="E12268" t="str">
        <f>"89301109"</f>
        <v>89301109</v>
      </c>
      <c r="F12268" t="str">
        <f>"2109170943"</f>
        <v>2109170943</v>
      </c>
      <c r="G12268" s="1">
        <v>44872</v>
      </c>
      <c r="H12268" t="str">
        <f>"99141"</f>
        <v>99141</v>
      </c>
      <c r="I12268">
        <v>1</v>
      </c>
      <c r="J12268">
        <v>458</v>
      </c>
      <c r="K12268">
        <v>0</v>
      </c>
      <c r="L12268">
        <v>357.24</v>
      </c>
    </row>
    <row r="12269" spans="1:12" x14ac:dyDescent="0.25">
      <c r="A12269" t="str">
        <f t="shared" si="2659"/>
        <v>89301000</v>
      </c>
      <c r="B12269" t="str">
        <f t="shared" si="2669"/>
        <v>72100000</v>
      </c>
      <c r="C12269" t="str">
        <f t="shared" ref="C12269:C12300" si="2672">"72100632"</f>
        <v>72100632</v>
      </c>
      <c r="D12269" t="str">
        <f t="shared" ref="D12269:D12300" si="2673">"816"</f>
        <v>816</v>
      </c>
      <c r="E12269" t="str">
        <f t="shared" ref="E12269:E12305" si="2674">"89301091"</f>
        <v>89301091</v>
      </c>
      <c r="F12269" t="str">
        <f>"2260240103"</f>
        <v>2260240103</v>
      </c>
      <c r="G12269" s="1">
        <v>44866</v>
      </c>
      <c r="H12269" t="str">
        <f t="shared" ref="H12269:H12305" si="2675">"94297"</f>
        <v>94297</v>
      </c>
      <c r="I12269">
        <v>1</v>
      </c>
      <c r="J12269">
        <v>298</v>
      </c>
      <c r="K12269">
        <v>0</v>
      </c>
      <c r="L12269">
        <v>366.54</v>
      </c>
    </row>
    <row r="12270" spans="1:12" x14ac:dyDescent="0.25">
      <c r="A12270" t="str">
        <f t="shared" si="2659"/>
        <v>89301000</v>
      </c>
      <c r="B12270" t="str">
        <f t="shared" si="2669"/>
        <v>72100000</v>
      </c>
      <c r="C12270" t="str">
        <f t="shared" si="2672"/>
        <v>72100632</v>
      </c>
      <c r="D12270" t="str">
        <f t="shared" si="2673"/>
        <v>816</v>
      </c>
      <c r="E12270" t="str">
        <f t="shared" si="2674"/>
        <v>89301091</v>
      </c>
      <c r="F12270" t="str">
        <f>"2260240125"</f>
        <v>2260240125</v>
      </c>
      <c r="G12270" s="1">
        <v>44866</v>
      </c>
      <c r="H12270" t="str">
        <f t="shared" si="2675"/>
        <v>94297</v>
      </c>
      <c r="I12270">
        <v>1</v>
      </c>
      <c r="J12270">
        <v>298</v>
      </c>
      <c r="K12270">
        <v>0</v>
      </c>
      <c r="L12270">
        <v>366.54</v>
      </c>
    </row>
    <row r="12271" spans="1:12" x14ac:dyDescent="0.25">
      <c r="A12271" t="str">
        <f t="shared" si="2659"/>
        <v>89301000</v>
      </c>
      <c r="B12271" t="str">
        <f t="shared" si="2669"/>
        <v>72100000</v>
      </c>
      <c r="C12271" t="str">
        <f t="shared" si="2672"/>
        <v>72100632</v>
      </c>
      <c r="D12271" t="str">
        <f t="shared" si="2673"/>
        <v>816</v>
      </c>
      <c r="E12271" t="str">
        <f t="shared" si="2674"/>
        <v>89301091</v>
      </c>
      <c r="F12271" t="str">
        <f>"2260240114"</f>
        <v>2260240114</v>
      </c>
      <c r="G12271" s="1">
        <v>44866</v>
      </c>
      <c r="H12271" t="str">
        <f t="shared" si="2675"/>
        <v>94297</v>
      </c>
      <c r="I12271">
        <v>1</v>
      </c>
      <c r="J12271">
        <v>298</v>
      </c>
      <c r="K12271">
        <v>0</v>
      </c>
      <c r="L12271">
        <v>366.54</v>
      </c>
    </row>
    <row r="12272" spans="1:12" x14ac:dyDescent="0.25">
      <c r="A12272" t="str">
        <f t="shared" si="2659"/>
        <v>89301000</v>
      </c>
      <c r="B12272" t="str">
        <f t="shared" si="2669"/>
        <v>72100000</v>
      </c>
      <c r="C12272" t="str">
        <f t="shared" si="2672"/>
        <v>72100632</v>
      </c>
      <c r="D12272" t="str">
        <f t="shared" si="2673"/>
        <v>816</v>
      </c>
      <c r="E12272" t="str">
        <f t="shared" si="2674"/>
        <v>89301091</v>
      </c>
      <c r="F12272" t="str">
        <f>"2260240136"</f>
        <v>2260240136</v>
      </c>
      <c r="G12272" s="1">
        <v>44866</v>
      </c>
      <c r="H12272" t="str">
        <f t="shared" si="2675"/>
        <v>94297</v>
      </c>
      <c r="I12272">
        <v>1</v>
      </c>
      <c r="J12272">
        <v>298</v>
      </c>
      <c r="K12272">
        <v>0</v>
      </c>
      <c r="L12272">
        <v>366.54</v>
      </c>
    </row>
    <row r="12273" spans="1:12" x14ac:dyDescent="0.25">
      <c r="A12273" t="str">
        <f t="shared" si="2659"/>
        <v>89301000</v>
      </c>
      <c r="B12273" t="str">
        <f t="shared" si="2669"/>
        <v>72100000</v>
      </c>
      <c r="C12273" t="str">
        <f t="shared" si="2672"/>
        <v>72100632</v>
      </c>
      <c r="D12273" t="str">
        <f t="shared" si="2673"/>
        <v>816</v>
      </c>
      <c r="E12273" t="str">
        <f t="shared" si="2674"/>
        <v>89301091</v>
      </c>
      <c r="F12273" t="str">
        <f>"2260240576"</f>
        <v>2260240576</v>
      </c>
      <c r="G12273" s="1">
        <v>44866</v>
      </c>
      <c r="H12273" t="str">
        <f t="shared" si="2675"/>
        <v>94297</v>
      </c>
      <c r="I12273">
        <v>1</v>
      </c>
      <c r="J12273">
        <v>298</v>
      </c>
      <c r="K12273">
        <v>0</v>
      </c>
      <c r="L12273">
        <v>366.54</v>
      </c>
    </row>
    <row r="12274" spans="1:12" x14ac:dyDescent="0.25">
      <c r="A12274" t="str">
        <f t="shared" si="2659"/>
        <v>89301000</v>
      </c>
      <c r="B12274" t="str">
        <f t="shared" si="2669"/>
        <v>72100000</v>
      </c>
      <c r="C12274" t="str">
        <f t="shared" si="2672"/>
        <v>72100632</v>
      </c>
      <c r="D12274" t="str">
        <f t="shared" si="2673"/>
        <v>816</v>
      </c>
      <c r="E12274" t="str">
        <f t="shared" si="2674"/>
        <v>89301091</v>
      </c>
      <c r="F12274" t="str">
        <f>"2260240598"</f>
        <v>2260240598</v>
      </c>
      <c r="G12274" s="1">
        <v>44866</v>
      </c>
      <c r="H12274" t="str">
        <f t="shared" si="2675"/>
        <v>94297</v>
      </c>
      <c r="I12274">
        <v>1</v>
      </c>
      <c r="J12274">
        <v>298</v>
      </c>
      <c r="K12274">
        <v>0</v>
      </c>
      <c r="L12274">
        <v>366.54</v>
      </c>
    </row>
    <row r="12275" spans="1:12" x14ac:dyDescent="0.25">
      <c r="A12275" t="str">
        <f t="shared" si="2659"/>
        <v>89301000</v>
      </c>
      <c r="B12275" t="str">
        <f t="shared" si="2669"/>
        <v>72100000</v>
      </c>
      <c r="C12275" t="str">
        <f t="shared" si="2672"/>
        <v>72100632</v>
      </c>
      <c r="D12275" t="str">
        <f t="shared" si="2673"/>
        <v>816</v>
      </c>
      <c r="E12275" t="str">
        <f t="shared" si="2674"/>
        <v>89301091</v>
      </c>
      <c r="F12275" t="str">
        <f>"2260240631"</f>
        <v>2260240631</v>
      </c>
      <c r="G12275" s="1">
        <v>44866</v>
      </c>
      <c r="H12275" t="str">
        <f t="shared" si="2675"/>
        <v>94297</v>
      </c>
      <c r="I12275">
        <v>1</v>
      </c>
      <c r="J12275">
        <v>298</v>
      </c>
      <c r="K12275">
        <v>0</v>
      </c>
      <c r="L12275">
        <v>366.54</v>
      </c>
    </row>
    <row r="12276" spans="1:12" x14ac:dyDescent="0.25">
      <c r="A12276" t="str">
        <f t="shared" si="2659"/>
        <v>89301000</v>
      </c>
      <c r="B12276" t="str">
        <f t="shared" si="2669"/>
        <v>72100000</v>
      </c>
      <c r="C12276" t="str">
        <f t="shared" si="2672"/>
        <v>72100632</v>
      </c>
      <c r="D12276" t="str">
        <f t="shared" si="2673"/>
        <v>816</v>
      </c>
      <c r="E12276" t="str">
        <f t="shared" si="2674"/>
        <v>89301091</v>
      </c>
      <c r="F12276" t="str">
        <f>"2210250042"</f>
        <v>2210250042</v>
      </c>
      <c r="G12276" s="1">
        <v>44867</v>
      </c>
      <c r="H12276" t="str">
        <f t="shared" si="2675"/>
        <v>94297</v>
      </c>
      <c r="I12276">
        <v>1</v>
      </c>
      <c r="J12276">
        <v>298</v>
      </c>
      <c r="K12276">
        <v>0</v>
      </c>
      <c r="L12276">
        <v>366.54</v>
      </c>
    </row>
    <row r="12277" spans="1:12" x14ac:dyDescent="0.25">
      <c r="A12277" t="str">
        <f t="shared" si="2659"/>
        <v>89301000</v>
      </c>
      <c r="B12277" t="str">
        <f t="shared" si="2669"/>
        <v>72100000</v>
      </c>
      <c r="C12277" t="str">
        <f t="shared" si="2672"/>
        <v>72100632</v>
      </c>
      <c r="D12277" t="str">
        <f t="shared" si="2673"/>
        <v>816</v>
      </c>
      <c r="E12277" t="str">
        <f t="shared" si="2674"/>
        <v>89301091</v>
      </c>
      <c r="F12277" t="str">
        <f>"2210250515"</f>
        <v>2210250515</v>
      </c>
      <c r="G12277" s="1">
        <v>44867</v>
      </c>
      <c r="H12277" t="str">
        <f t="shared" si="2675"/>
        <v>94297</v>
      </c>
      <c r="I12277">
        <v>1</v>
      </c>
      <c r="J12277">
        <v>298</v>
      </c>
      <c r="K12277">
        <v>0</v>
      </c>
      <c r="L12277">
        <v>366.54</v>
      </c>
    </row>
    <row r="12278" spans="1:12" x14ac:dyDescent="0.25">
      <c r="A12278" t="str">
        <f t="shared" si="2659"/>
        <v>89301000</v>
      </c>
      <c r="B12278" t="str">
        <f t="shared" si="2669"/>
        <v>72100000</v>
      </c>
      <c r="C12278" t="str">
        <f t="shared" si="2672"/>
        <v>72100632</v>
      </c>
      <c r="D12278" t="str">
        <f t="shared" si="2673"/>
        <v>816</v>
      </c>
      <c r="E12278" t="str">
        <f t="shared" si="2674"/>
        <v>89301091</v>
      </c>
      <c r="F12278" t="str">
        <f>"2210250526"</f>
        <v>2210250526</v>
      </c>
      <c r="G12278" s="1">
        <v>44867</v>
      </c>
      <c r="H12278" t="str">
        <f t="shared" si="2675"/>
        <v>94297</v>
      </c>
      <c r="I12278">
        <v>1</v>
      </c>
      <c r="J12278">
        <v>298</v>
      </c>
      <c r="K12278">
        <v>0</v>
      </c>
      <c r="L12278">
        <v>366.54</v>
      </c>
    </row>
    <row r="12279" spans="1:12" x14ac:dyDescent="0.25">
      <c r="A12279" t="str">
        <f t="shared" si="2659"/>
        <v>89301000</v>
      </c>
      <c r="B12279" t="str">
        <f t="shared" si="2669"/>
        <v>72100000</v>
      </c>
      <c r="C12279" t="str">
        <f t="shared" si="2672"/>
        <v>72100632</v>
      </c>
      <c r="D12279" t="str">
        <f t="shared" si="2673"/>
        <v>816</v>
      </c>
      <c r="E12279" t="str">
        <f t="shared" si="2674"/>
        <v>89301091</v>
      </c>
      <c r="F12279" t="str">
        <f>"9456075838"</f>
        <v>9456075838</v>
      </c>
      <c r="G12279" s="1">
        <v>44867</v>
      </c>
      <c r="H12279" t="str">
        <f t="shared" si="2675"/>
        <v>94297</v>
      </c>
      <c r="I12279">
        <v>1</v>
      </c>
      <c r="J12279">
        <v>298</v>
      </c>
      <c r="K12279">
        <v>0</v>
      </c>
      <c r="L12279">
        <v>366.54</v>
      </c>
    </row>
    <row r="12280" spans="1:12" x14ac:dyDescent="0.25">
      <c r="A12280" t="str">
        <f t="shared" si="2659"/>
        <v>89301000</v>
      </c>
      <c r="B12280" t="str">
        <f t="shared" si="2669"/>
        <v>72100000</v>
      </c>
      <c r="C12280" t="str">
        <f t="shared" si="2672"/>
        <v>72100632</v>
      </c>
      <c r="D12280" t="str">
        <f t="shared" si="2673"/>
        <v>816</v>
      </c>
      <c r="E12280" t="str">
        <f t="shared" si="2674"/>
        <v>89301091</v>
      </c>
      <c r="F12280" t="str">
        <f>"9253165768"</f>
        <v>9253165768</v>
      </c>
      <c r="G12280" s="1">
        <v>44867</v>
      </c>
      <c r="H12280" t="str">
        <f t="shared" si="2675"/>
        <v>94297</v>
      </c>
      <c r="I12280">
        <v>1</v>
      </c>
      <c r="J12280">
        <v>298</v>
      </c>
      <c r="K12280">
        <v>0</v>
      </c>
      <c r="L12280">
        <v>366.54</v>
      </c>
    </row>
    <row r="12281" spans="1:12" x14ac:dyDescent="0.25">
      <c r="A12281" t="str">
        <f t="shared" si="2659"/>
        <v>89301000</v>
      </c>
      <c r="B12281" t="str">
        <f t="shared" si="2669"/>
        <v>72100000</v>
      </c>
      <c r="C12281" t="str">
        <f t="shared" si="2672"/>
        <v>72100632</v>
      </c>
      <c r="D12281" t="str">
        <f t="shared" si="2673"/>
        <v>816</v>
      </c>
      <c r="E12281" t="str">
        <f t="shared" si="2674"/>
        <v>89301091</v>
      </c>
      <c r="F12281" t="str">
        <f>"8958155734"</f>
        <v>8958155734</v>
      </c>
      <c r="G12281" s="1">
        <v>44867</v>
      </c>
      <c r="H12281" t="str">
        <f t="shared" si="2675"/>
        <v>94297</v>
      </c>
      <c r="I12281">
        <v>1</v>
      </c>
      <c r="J12281">
        <v>298</v>
      </c>
      <c r="K12281">
        <v>0</v>
      </c>
      <c r="L12281">
        <v>366.54</v>
      </c>
    </row>
    <row r="12282" spans="1:12" x14ac:dyDescent="0.25">
      <c r="A12282" t="str">
        <f t="shared" si="2659"/>
        <v>89301000</v>
      </c>
      <c r="B12282" t="str">
        <f t="shared" si="2669"/>
        <v>72100000</v>
      </c>
      <c r="C12282" t="str">
        <f t="shared" si="2672"/>
        <v>72100632</v>
      </c>
      <c r="D12282" t="str">
        <f t="shared" si="2673"/>
        <v>816</v>
      </c>
      <c r="E12282" t="str">
        <f t="shared" si="2674"/>
        <v>89301091</v>
      </c>
      <c r="F12282" t="str">
        <f>"9252255705"</f>
        <v>9252255705</v>
      </c>
      <c r="G12282" s="1">
        <v>44867</v>
      </c>
      <c r="H12282" t="str">
        <f t="shared" si="2675"/>
        <v>94297</v>
      </c>
      <c r="I12282">
        <v>1</v>
      </c>
      <c r="J12282">
        <v>298</v>
      </c>
      <c r="K12282">
        <v>0</v>
      </c>
      <c r="L12282">
        <v>366.54</v>
      </c>
    </row>
    <row r="12283" spans="1:12" x14ac:dyDescent="0.25">
      <c r="A12283" t="str">
        <f t="shared" si="2659"/>
        <v>89301000</v>
      </c>
      <c r="B12283" t="str">
        <f t="shared" si="2669"/>
        <v>72100000</v>
      </c>
      <c r="C12283" t="str">
        <f t="shared" si="2672"/>
        <v>72100632</v>
      </c>
      <c r="D12283" t="str">
        <f t="shared" si="2673"/>
        <v>816</v>
      </c>
      <c r="E12283" t="str">
        <f t="shared" si="2674"/>
        <v>89301091</v>
      </c>
      <c r="F12283" t="str">
        <f>"8658215797"</f>
        <v>8658215797</v>
      </c>
      <c r="G12283" s="1">
        <v>44867</v>
      </c>
      <c r="H12283" t="str">
        <f t="shared" si="2675"/>
        <v>94297</v>
      </c>
      <c r="I12283">
        <v>1</v>
      </c>
      <c r="J12283">
        <v>298</v>
      </c>
      <c r="K12283">
        <v>0</v>
      </c>
      <c r="L12283">
        <v>366.54</v>
      </c>
    </row>
    <row r="12284" spans="1:12" x14ac:dyDescent="0.25">
      <c r="A12284" t="str">
        <f t="shared" si="2659"/>
        <v>89301000</v>
      </c>
      <c r="B12284" t="str">
        <f t="shared" si="2669"/>
        <v>72100000</v>
      </c>
      <c r="C12284" t="str">
        <f t="shared" si="2672"/>
        <v>72100632</v>
      </c>
      <c r="D12284" t="str">
        <f t="shared" si="2673"/>
        <v>816</v>
      </c>
      <c r="E12284" t="str">
        <f t="shared" si="2674"/>
        <v>89301091</v>
      </c>
      <c r="F12284" t="str">
        <f>"9352055724"</f>
        <v>9352055724</v>
      </c>
      <c r="G12284" s="1">
        <v>44867</v>
      </c>
      <c r="H12284" t="str">
        <f t="shared" si="2675"/>
        <v>94297</v>
      </c>
      <c r="I12284">
        <v>1</v>
      </c>
      <c r="J12284">
        <v>298</v>
      </c>
      <c r="K12284">
        <v>0</v>
      </c>
      <c r="L12284">
        <v>366.54</v>
      </c>
    </row>
    <row r="12285" spans="1:12" x14ac:dyDescent="0.25">
      <c r="A12285" t="str">
        <f t="shared" si="2659"/>
        <v>89301000</v>
      </c>
      <c r="B12285" t="str">
        <f t="shared" si="2669"/>
        <v>72100000</v>
      </c>
      <c r="C12285" t="str">
        <f t="shared" si="2672"/>
        <v>72100632</v>
      </c>
      <c r="D12285" t="str">
        <f t="shared" si="2673"/>
        <v>816</v>
      </c>
      <c r="E12285" t="str">
        <f t="shared" si="2674"/>
        <v>89301091</v>
      </c>
      <c r="F12285" t="str">
        <f>"8952075748"</f>
        <v>8952075748</v>
      </c>
      <c r="G12285" s="1">
        <v>44868</v>
      </c>
      <c r="H12285" t="str">
        <f t="shared" si="2675"/>
        <v>94297</v>
      </c>
      <c r="I12285">
        <v>1</v>
      </c>
      <c r="J12285">
        <v>298</v>
      </c>
      <c r="K12285">
        <v>0</v>
      </c>
      <c r="L12285">
        <v>366.54</v>
      </c>
    </row>
    <row r="12286" spans="1:12" x14ac:dyDescent="0.25">
      <c r="A12286" t="str">
        <f t="shared" si="2659"/>
        <v>89301000</v>
      </c>
      <c r="B12286" t="str">
        <f t="shared" si="2669"/>
        <v>72100000</v>
      </c>
      <c r="C12286" t="str">
        <f t="shared" si="2672"/>
        <v>72100632</v>
      </c>
      <c r="D12286" t="str">
        <f t="shared" si="2673"/>
        <v>816</v>
      </c>
      <c r="E12286" t="str">
        <f t="shared" si="2674"/>
        <v>89301091</v>
      </c>
      <c r="F12286" t="str">
        <f>"8457075308"</f>
        <v>8457075308</v>
      </c>
      <c r="G12286" s="1">
        <v>44868</v>
      </c>
      <c r="H12286" t="str">
        <f t="shared" si="2675"/>
        <v>94297</v>
      </c>
      <c r="I12286">
        <v>1</v>
      </c>
      <c r="J12286">
        <v>298</v>
      </c>
      <c r="K12286">
        <v>0</v>
      </c>
      <c r="L12286">
        <v>366.54</v>
      </c>
    </row>
    <row r="12287" spans="1:12" x14ac:dyDescent="0.25">
      <c r="A12287" t="str">
        <f t="shared" si="2659"/>
        <v>89301000</v>
      </c>
      <c r="B12287" t="str">
        <f t="shared" si="2669"/>
        <v>72100000</v>
      </c>
      <c r="C12287" t="str">
        <f t="shared" si="2672"/>
        <v>72100632</v>
      </c>
      <c r="D12287" t="str">
        <f t="shared" si="2673"/>
        <v>816</v>
      </c>
      <c r="E12287" t="str">
        <f t="shared" si="2674"/>
        <v>89301091</v>
      </c>
      <c r="F12287" t="str">
        <f>"8954156189"</f>
        <v>8954156189</v>
      </c>
      <c r="G12287" s="1">
        <v>44868</v>
      </c>
      <c r="H12287" t="str">
        <f t="shared" si="2675"/>
        <v>94297</v>
      </c>
      <c r="I12287">
        <v>1</v>
      </c>
      <c r="J12287">
        <v>298</v>
      </c>
      <c r="K12287">
        <v>0</v>
      </c>
      <c r="L12287">
        <v>366.54</v>
      </c>
    </row>
    <row r="12288" spans="1:12" x14ac:dyDescent="0.25">
      <c r="A12288" t="str">
        <f t="shared" si="2659"/>
        <v>89301000</v>
      </c>
      <c r="B12288" t="str">
        <f t="shared" si="2669"/>
        <v>72100000</v>
      </c>
      <c r="C12288" t="str">
        <f t="shared" si="2672"/>
        <v>72100632</v>
      </c>
      <c r="D12288" t="str">
        <f t="shared" si="2673"/>
        <v>816</v>
      </c>
      <c r="E12288" t="str">
        <f t="shared" si="2674"/>
        <v>89301091</v>
      </c>
      <c r="F12288" t="str">
        <f>"2210290445"</f>
        <v>2210290445</v>
      </c>
      <c r="G12288" s="1">
        <v>44868</v>
      </c>
      <c r="H12288" t="str">
        <f t="shared" si="2675"/>
        <v>94297</v>
      </c>
      <c r="I12288">
        <v>1</v>
      </c>
      <c r="J12288">
        <v>298</v>
      </c>
      <c r="K12288">
        <v>0</v>
      </c>
      <c r="L12288">
        <v>366.54</v>
      </c>
    </row>
    <row r="12289" spans="1:12" x14ac:dyDescent="0.25">
      <c r="A12289" t="str">
        <f t="shared" si="2659"/>
        <v>89301000</v>
      </c>
      <c r="B12289" t="str">
        <f t="shared" si="2669"/>
        <v>72100000</v>
      </c>
      <c r="C12289" t="str">
        <f t="shared" si="2672"/>
        <v>72100632</v>
      </c>
      <c r="D12289" t="str">
        <f t="shared" si="2673"/>
        <v>816</v>
      </c>
      <c r="E12289" t="str">
        <f t="shared" si="2674"/>
        <v>89301091</v>
      </c>
      <c r="F12289" t="str">
        <f>"2210300532"</f>
        <v>2210300532</v>
      </c>
      <c r="G12289" s="1">
        <v>44869</v>
      </c>
      <c r="H12289" t="str">
        <f t="shared" si="2675"/>
        <v>94297</v>
      </c>
      <c r="I12289">
        <v>1</v>
      </c>
      <c r="J12289">
        <v>298</v>
      </c>
      <c r="K12289">
        <v>0</v>
      </c>
      <c r="L12289">
        <v>366.54</v>
      </c>
    </row>
    <row r="12290" spans="1:12" x14ac:dyDescent="0.25">
      <c r="A12290" t="str">
        <f t="shared" ref="A12290:A12353" si="2676">"89301000"</f>
        <v>89301000</v>
      </c>
      <c r="B12290" t="str">
        <f t="shared" ref="B12290:B12321" si="2677">"72100000"</f>
        <v>72100000</v>
      </c>
      <c r="C12290" t="str">
        <f t="shared" si="2672"/>
        <v>72100632</v>
      </c>
      <c r="D12290" t="str">
        <f t="shared" si="2673"/>
        <v>816</v>
      </c>
      <c r="E12290" t="str">
        <f t="shared" si="2674"/>
        <v>89301091</v>
      </c>
      <c r="F12290" t="str">
        <f>"2210300180"</f>
        <v>2210300180</v>
      </c>
      <c r="G12290" s="1">
        <v>44872</v>
      </c>
      <c r="H12290" t="str">
        <f t="shared" si="2675"/>
        <v>94297</v>
      </c>
      <c r="I12290">
        <v>1</v>
      </c>
      <c r="J12290">
        <v>298</v>
      </c>
      <c r="K12290">
        <v>0</v>
      </c>
      <c r="L12290">
        <v>366.54</v>
      </c>
    </row>
    <row r="12291" spans="1:12" x14ac:dyDescent="0.25">
      <c r="A12291" t="str">
        <f t="shared" si="2676"/>
        <v>89301000</v>
      </c>
      <c r="B12291" t="str">
        <f t="shared" si="2677"/>
        <v>72100000</v>
      </c>
      <c r="C12291" t="str">
        <f t="shared" si="2672"/>
        <v>72100632</v>
      </c>
      <c r="D12291" t="str">
        <f t="shared" si="2673"/>
        <v>816</v>
      </c>
      <c r="E12291" t="str">
        <f t="shared" si="2674"/>
        <v>89301091</v>
      </c>
      <c r="F12291" t="str">
        <f>"2260310404"</f>
        <v>2260310404</v>
      </c>
      <c r="G12291" s="1">
        <v>44872</v>
      </c>
      <c r="H12291" t="str">
        <f t="shared" si="2675"/>
        <v>94297</v>
      </c>
      <c r="I12291">
        <v>1</v>
      </c>
      <c r="J12291">
        <v>298</v>
      </c>
      <c r="K12291">
        <v>0</v>
      </c>
      <c r="L12291">
        <v>366.54</v>
      </c>
    </row>
    <row r="12292" spans="1:12" x14ac:dyDescent="0.25">
      <c r="A12292" t="str">
        <f t="shared" si="2676"/>
        <v>89301000</v>
      </c>
      <c r="B12292" t="str">
        <f t="shared" si="2677"/>
        <v>72100000</v>
      </c>
      <c r="C12292" t="str">
        <f t="shared" si="2672"/>
        <v>72100632</v>
      </c>
      <c r="D12292" t="str">
        <f t="shared" si="2673"/>
        <v>816</v>
      </c>
      <c r="E12292" t="str">
        <f t="shared" si="2674"/>
        <v>89301091</v>
      </c>
      <c r="F12292" t="str">
        <f>"2211010054"</f>
        <v>2211010054</v>
      </c>
      <c r="G12292" s="1">
        <v>44872</v>
      </c>
      <c r="H12292" t="str">
        <f t="shared" si="2675"/>
        <v>94297</v>
      </c>
      <c r="I12292">
        <v>1</v>
      </c>
      <c r="J12292">
        <v>298</v>
      </c>
      <c r="K12292">
        <v>0</v>
      </c>
      <c r="L12292">
        <v>366.54</v>
      </c>
    </row>
    <row r="12293" spans="1:12" x14ac:dyDescent="0.25">
      <c r="A12293" t="str">
        <f t="shared" si="2676"/>
        <v>89301000</v>
      </c>
      <c r="B12293" t="str">
        <f t="shared" si="2677"/>
        <v>72100000</v>
      </c>
      <c r="C12293" t="str">
        <f t="shared" si="2672"/>
        <v>72100632</v>
      </c>
      <c r="D12293" t="str">
        <f t="shared" si="2673"/>
        <v>816</v>
      </c>
      <c r="E12293" t="str">
        <f t="shared" si="2674"/>
        <v>89301091</v>
      </c>
      <c r="F12293" t="str">
        <f>"2261020509"</f>
        <v>2261020509</v>
      </c>
      <c r="G12293" s="1">
        <v>44874</v>
      </c>
      <c r="H12293" t="str">
        <f t="shared" si="2675"/>
        <v>94297</v>
      </c>
      <c r="I12293">
        <v>1</v>
      </c>
      <c r="J12293">
        <v>298</v>
      </c>
      <c r="K12293">
        <v>0</v>
      </c>
      <c r="L12293">
        <v>366.54</v>
      </c>
    </row>
    <row r="12294" spans="1:12" x14ac:dyDescent="0.25">
      <c r="A12294" t="str">
        <f t="shared" si="2676"/>
        <v>89301000</v>
      </c>
      <c r="B12294" t="str">
        <f t="shared" si="2677"/>
        <v>72100000</v>
      </c>
      <c r="C12294" t="str">
        <f t="shared" si="2672"/>
        <v>72100632</v>
      </c>
      <c r="D12294" t="str">
        <f t="shared" si="2673"/>
        <v>816</v>
      </c>
      <c r="E12294" t="str">
        <f t="shared" si="2674"/>
        <v>89301091</v>
      </c>
      <c r="F12294" t="str">
        <f>"2211020526"</f>
        <v>2211020526</v>
      </c>
      <c r="G12294" s="1">
        <v>44874</v>
      </c>
      <c r="H12294" t="str">
        <f t="shared" si="2675"/>
        <v>94297</v>
      </c>
      <c r="I12294">
        <v>1</v>
      </c>
      <c r="J12294">
        <v>298</v>
      </c>
      <c r="K12294">
        <v>0</v>
      </c>
      <c r="L12294">
        <v>366.54</v>
      </c>
    </row>
    <row r="12295" spans="1:12" x14ac:dyDescent="0.25">
      <c r="A12295" t="str">
        <f t="shared" si="2676"/>
        <v>89301000</v>
      </c>
      <c r="B12295" t="str">
        <f t="shared" si="2677"/>
        <v>72100000</v>
      </c>
      <c r="C12295" t="str">
        <f t="shared" si="2672"/>
        <v>72100632</v>
      </c>
      <c r="D12295" t="str">
        <f t="shared" si="2673"/>
        <v>816</v>
      </c>
      <c r="E12295" t="str">
        <f t="shared" si="2674"/>
        <v>89301091</v>
      </c>
      <c r="F12295" t="str">
        <f>"9451236146"</f>
        <v>9451236146</v>
      </c>
      <c r="G12295" s="1">
        <v>44875</v>
      </c>
      <c r="H12295" t="str">
        <f t="shared" si="2675"/>
        <v>94297</v>
      </c>
      <c r="I12295">
        <v>1</v>
      </c>
      <c r="J12295">
        <v>298</v>
      </c>
      <c r="K12295">
        <v>0</v>
      </c>
      <c r="L12295">
        <v>366.54</v>
      </c>
    </row>
    <row r="12296" spans="1:12" x14ac:dyDescent="0.25">
      <c r="A12296" t="str">
        <f t="shared" si="2676"/>
        <v>89301000</v>
      </c>
      <c r="B12296" t="str">
        <f t="shared" si="2677"/>
        <v>72100000</v>
      </c>
      <c r="C12296" t="str">
        <f t="shared" si="2672"/>
        <v>72100632</v>
      </c>
      <c r="D12296" t="str">
        <f t="shared" si="2673"/>
        <v>816</v>
      </c>
      <c r="E12296" t="str">
        <f t="shared" si="2674"/>
        <v>89301091</v>
      </c>
      <c r="F12296" t="str">
        <f>"9253195732"</f>
        <v>9253195732</v>
      </c>
      <c r="G12296" s="1">
        <v>44876</v>
      </c>
      <c r="H12296" t="str">
        <f t="shared" si="2675"/>
        <v>94297</v>
      </c>
      <c r="I12296">
        <v>1</v>
      </c>
      <c r="J12296">
        <v>298</v>
      </c>
      <c r="K12296">
        <v>0</v>
      </c>
      <c r="L12296">
        <v>366.54</v>
      </c>
    </row>
    <row r="12297" spans="1:12" x14ac:dyDescent="0.25">
      <c r="A12297" t="str">
        <f t="shared" si="2676"/>
        <v>89301000</v>
      </c>
      <c r="B12297" t="str">
        <f t="shared" si="2677"/>
        <v>72100000</v>
      </c>
      <c r="C12297" t="str">
        <f t="shared" si="2672"/>
        <v>72100632</v>
      </c>
      <c r="D12297" t="str">
        <f t="shared" si="2673"/>
        <v>816</v>
      </c>
      <c r="E12297" t="str">
        <f t="shared" si="2674"/>
        <v>89301091</v>
      </c>
      <c r="F12297" t="str">
        <f>"2211060357"</f>
        <v>2211060357</v>
      </c>
      <c r="G12297" s="1">
        <v>44876</v>
      </c>
      <c r="H12297" t="str">
        <f t="shared" si="2675"/>
        <v>94297</v>
      </c>
      <c r="I12297">
        <v>1</v>
      </c>
      <c r="J12297">
        <v>298</v>
      </c>
      <c r="K12297">
        <v>0</v>
      </c>
      <c r="L12297">
        <v>366.54</v>
      </c>
    </row>
    <row r="12298" spans="1:12" x14ac:dyDescent="0.25">
      <c r="A12298" t="str">
        <f t="shared" si="2676"/>
        <v>89301000</v>
      </c>
      <c r="B12298" t="str">
        <f t="shared" si="2677"/>
        <v>72100000</v>
      </c>
      <c r="C12298" t="str">
        <f t="shared" si="2672"/>
        <v>72100632</v>
      </c>
      <c r="D12298" t="str">
        <f t="shared" si="2673"/>
        <v>816</v>
      </c>
      <c r="E12298" t="str">
        <f t="shared" si="2674"/>
        <v>89301091</v>
      </c>
      <c r="F12298" t="str">
        <f>"2211060368"</f>
        <v>2211060368</v>
      </c>
      <c r="G12298" s="1">
        <v>44876</v>
      </c>
      <c r="H12298" t="str">
        <f t="shared" si="2675"/>
        <v>94297</v>
      </c>
      <c r="I12298">
        <v>1</v>
      </c>
      <c r="J12298">
        <v>298</v>
      </c>
      <c r="K12298">
        <v>0</v>
      </c>
      <c r="L12298">
        <v>366.54</v>
      </c>
    </row>
    <row r="12299" spans="1:12" x14ac:dyDescent="0.25">
      <c r="A12299" t="str">
        <f t="shared" si="2676"/>
        <v>89301000</v>
      </c>
      <c r="B12299" t="str">
        <f t="shared" si="2677"/>
        <v>72100000</v>
      </c>
      <c r="C12299" t="str">
        <f t="shared" si="2672"/>
        <v>72100632</v>
      </c>
      <c r="D12299" t="str">
        <f t="shared" si="2673"/>
        <v>816</v>
      </c>
      <c r="E12299" t="str">
        <f t="shared" si="2674"/>
        <v>89301091</v>
      </c>
      <c r="F12299" t="str">
        <f>"2211060379"</f>
        <v>2211060379</v>
      </c>
      <c r="G12299" s="1">
        <v>44876</v>
      </c>
      <c r="H12299" t="str">
        <f t="shared" si="2675"/>
        <v>94297</v>
      </c>
      <c r="I12299">
        <v>1</v>
      </c>
      <c r="J12299">
        <v>298</v>
      </c>
      <c r="K12299">
        <v>0</v>
      </c>
      <c r="L12299">
        <v>366.54</v>
      </c>
    </row>
    <row r="12300" spans="1:12" x14ac:dyDescent="0.25">
      <c r="A12300" t="str">
        <f t="shared" si="2676"/>
        <v>89301000</v>
      </c>
      <c r="B12300" t="str">
        <f t="shared" si="2677"/>
        <v>72100000</v>
      </c>
      <c r="C12300" t="str">
        <f t="shared" si="2672"/>
        <v>72100632</v>
      </c>
      <c r="D12300" t="str">
        <f t="shared" si="2673"/>
        <v>816</v>
      </c>
      <c r="E12300" t="str">
        <f t="shared" si="2674"/>
        <v>89301091</v>
      </c>
      <c r="F12300" t="str">
        <f>"2261070559"</f>
        <v>2261070559</v>
      </c>
      <c r="G12300" s="1">
        <v>44879</v>
      </c>
      <c r="H12300" t="str">
        <f t="shared" si="2675"/>
        <v>94297</v>
      </c>
      <c r="I12300">
        <v>1</v>
      </c>
      <c r="J12300">
        <v>298</v>
      </c>
      <c r="K12300">
        <v>0</v>
      </c>
      <c r="L12300">
        <v>366.54</v>
      </c>
    </row>
    <row r="12301" spans="1:12" x14ac:dyDescent="0.25">
      <c r="A12301" t="str">
        <f t="shared" si="2676"/>
        <v>89301000</v>
      </c>
      <c r="B12301" t="str">
        <f t="shared" si="2677"/>
        <v>72100000</v>
      </c>
      <c r="C12301" t="str">
        <f t="shared" ref="C12301:C12332" si="2678">"72100632"</f>
        <v>72100632</v>
      </c>
      <c r="D12301" t="str">
        <f t="shared" ref="D12301:D12332" si="2679">"816"</f>
        <v>816</v>
      </c>
      <c r="E12301" t="str">
        <f t="shared" si="2674"/>
        <v>89301091</v>
      </c>
      <c r="F12301" t="str">
        <f>"2261080052"</f>
        <v>2261080052</v>
      </c>
      <c r="G12301" s="1">
        <v>44880</v>
      </c>
      <c r="H12301" t="str">
        <f t="shared" si="2675"/>
        <v>94297</v>
      </c>
      <c r="I12301">
        <v>1</v>
      </c>
      <c r="J12301">
        <v>298</v>
      </c>
      <c r="K12301">
        <v>0</v>
      </c>
      <c r="L12301">
        <v>366.54</v>
      </c>
    </row>
    <row r="12302" spans="1:12" x14ac:dyDescent="0.25">
      <c r="A12302" t="str">
        <f t="shared" si="2676"/>
        <v>89301000</v>
      </c>
      <c r="B12302" t="str">
        <f t="shared" si="2677"/>
        <v>72100000</v>
      </c>
      <c r="C12302" t="str">
        <f t="shared" si="2678"/>
        <v>72100632</v>
      </c>
      <c r="D12302" t="str">
        <f t="shared" si="2679"/>
        <v>816</v>
      </c>
      <c r="E12302" t="str">
        <f t="shared" si="2674"/>
        <v>89301091</v>
      </c>
      <c r="F12302" t="str">
        <f>"2211080630"</f>
        <v>2211080630</v>
      </c>
      <c r="G12302" s="1">
        <v>44880</v>
      </c>
      <c r="H12302" t="str">
        <f t="shared" si="2675"/>
        <v>94297</v>
      </c>
      <c r="I12302">
        <v>1</v>
      </c>
      <c r="J12302">
        <v>298</v>
      </c>
      <c r="K12302">
        <v>0</v>
      </c>
      <c r="L12302">
        <v>366.54</v>
      </c>
    </row>
    <row r="12303" spans="1:12" x14ac:dyDescent="0.25">
      <c r="A12303" t="str">
        <f t="shared" si="2676"/>
        <v>89301000</v>
      </c>
      <c r="B12303" t="str">
        <f t="shared" si="2677"/>
        <v>72100000</v>
      </c>
      <c r="C12303" t="str">
        <f t="shared" si="2678"/>
        <v>72100632</v>
      </c>
      <c r="D12303" t="str">
        <f t="shared" si="2679"/>
        <v>816</v>
      </c>
      <c r="E12303" t="str">
        <f t="shared" si="2674"/>
        <v>89301091</v>
      </c>
      <c r="F12303" t="str">
        <f>"2261080514"</f>
        <v>2261080514</v>
      </c>
      <c r="G12303" s="1">
        <v>44880</v>
      </c>
      <c r="H12303" t="str">
        <f t="shared" si="2675"/>
        <v>94297</v>
      </c>
      <c r="I12303">
        <v>1</v>
      </c>
      <c r="J12303">
        <v>298</v>
      </c>
      <c r="K12303">
        <v>0</v>
      </c>
      <c r="L12303">
        <v>366.54</v>
      </c>
    </row>
    <row r="12304" spans="1:12" x14ac:dyDescent="0.25">
      <c r="A12304" t="str">
        <f t="shared" si="2676"/>
        <v>89301000</v>
      </c>
      <c r="B12304" t="str">
        <f t="shared" si="2677"/>
        <v>72100000</v>
      </c>
      <c r="C12304" t="str">
        <f t="shared" si="2678"/>
        <v>72100632</v>
      </c>
      <c r="D12304" t="str">
        <f t="shared" si="2679"/>
        <v>816</v>
      </c>
      <c r="E12304" t="str">
        <f t="shared" si="2674"/>
        <v>89301091</v>
      </c>
      <c r="F12304" t="str">
        <f>"2211080641"</f>
        <v>2211080641</v>
      </c>
      <c r="G12304" s="1">
        <v>44880</v>
      </c>
      <c r="H12304" t="str">
        <f t="shared" si="2675"/>
        <v>94297</v>
      </c>
      <c r="I12304">
        <v>1</v>
      </c>
      <c r="J12304">
        <v>298</v>
      </c>
      <c r="K12304">
        <v>0</v>
      </c>
      <c r="L12304">
        <v>366.54</v>
      </c>
    </row>
    <row r="12305" spans="1:12" x14ac:dyDescent="0.25">
      <c r="A12305" t="str">
        <f t="shared" si="2676"/>
        <v>89301000</v>
      </c>
      <c r="B12305" t="str">
        <f t="shared" si="2677"/>
        <v>72100000</v>
      </c>
      <c r="C12305" t="str">
        <f t="shared" si="2678"/>
        <v>72100632</v>
      </c>
      <c r="D12305" t="str">
        <f t="shared" si="2679"/>
        <v>816</v>
      </c>
      <c r="E12305" t="str">
        <f t="shared" si="2674"/>
        <v>89301091</v>
      </c>
      <c r="F12305" t="str">
        <f>"2261080536"</f>
        <v>2261080536</v>
      </c>
      <c r="G12305" s="1">
        <v>44880</v>
      </c>
      <c r="H12305" t="str">
        <f t="shared" si="2675"/>
        <v>94297</v>
      </c>
      <c r="I12305">
        <v>1</v>
      </c>
      <c r="J12305">
        <v>298</v>
      </c>
      <c r="K12305">
        <v>0</v>
      </c>
      <c r="L12305">
        <v>366.54</v>
      </c>
    </row>
    <row r="12306" spans="1:12" x14ac:dyDescent="0.25">
      <c r="A12306" t="str">
        <f t="shared" si="2676"/>
        <v>89301000</v>
      </c>
      <c r="B12306" t="str">
        <f t="shared" si="2677"/>
        <v>72100000</v>
      </c>
      <c r="C12306" t="str">
        <f t="shared" si="2678"/>
        <v>72100632</v>
      </c>
      <c r="D12306" t="str">
        <f t="shared" si="2679"/>
        <v>816</v>
      </c>
      <c r="E12306" t="str">
        <f>"89301282"</f>
        <v>89301282</v>
      </c>
      <c r="F12306" t="str">
        <f>"0411033227"</f>
        <v>0411033227</v>
      </c>
      <c r="G12306" s="1">
        <v>44887</v>
      </c>
      <c r="H12306" t="str">
        <f>"94983"</f>
        <v>94983</v>
      </c>
      <c r="I12306">
        <v>1</v>
      </c>
      <c r="J12306">
        <v>0</v>
      </c>
      <c r="K12306">
        <v>39600</v>
      </c>
      <c r="L12306">
        <v>39600</v>
      </c>
    </row>
    <row r="12307" spans="1:12" x14ac:dyDescent="0.25">
      <c r="A12307" t="str">
        <f t="shared" si="2676"/>
        <v>89301000</v>
      </c>
      <c r="B12307" t="str">
        <f t="shared" si="2677"/>
        <v>72100000</v>
      </c>
      <c r="C12307" t="str">
        <f t="shared" si="2678"/>
        <v>72100632</v>
      </c>
      <c r="D12307" t="str">
        <f t="shared" si="2679"/>
        <v>816</v>
      </c>
      <c r="E12307" t="str">
        <f>"89301282"</f>
        <v>89301282</v>
      </c>
      <c r="F12307" t="str">
        <f>"0411033227"</f>
        <v>0411033227</v>
      </c>
      <c r="G12307" s="1">
        <v>44887</v>
      </c>
      <c r="H12307" t="str">
        <f>"94996"</f>
        <v>94996</v>
      </c>
      <c r="I12307">
        <v>1</v>
      </c>
      <c r="J12307">
        <v>0</v>
      </c>
      <c r="K12307">
        <v>0</v>
      </c>
      <c r="L12307">
        <v>0</v>
      </c>
    </row>
    <row r="12308" spans="1:12" x14ac:dyDescent="0.25">
      <c r="A12308" t="str">
        <f t="shared" si="2676"/>
        <v>89301000</v>
      </c>
      <c r="B12308" t="str">
        <f t="shared" si="2677"/>
        <v>72100000</v>
      </c>
      <c r="C12308" t="str">
        <f t="shared" si="2678"/>
        <v>72100632</v>
      </c>
      <c r="D12308" t="str">
        <f t="shared" si="2679"/>
        <v>816</v>
      </c>
      <c r="E12308" t="str">
        <f t="shared" ref="E12308:E12345" si="2680">"89301091"</f>
        <v>89301091</v>
      </c>
      <c r="F12308" t="str">
        <f>"2261090623"</f>
        <v>2261090623</v>
      </c>
      <c r="G12308" s="1">
        <v>44883</v>
      </c>
      <c r="H12308" t="str">
        <f t="shared" ref="H12308:H12345" si="2681">"94297"</f>
        <v>94297</v>
      </c>
      <c r="I12308">
        <v>1</v>
      </c>
      <c r="J12308">
        <v>298</v>
      </c>
      <c r="K12308">
        <v>0</v>
      </c>
      <c r="L12308">
        <v>366.54</v>
      </c>
    </row>
    <row r="12309" spans="1:12" x14ac:dyDescent="0.25">
      <c r="A12309" t="str">
        <f t="shared" si="2676"/>
        <v>89301000</v>
      </c>
      <c r="B12309" t="str">
        <f t="shared" si="2677"/>
        <v>72100000</v>
      </c>
      <c r="C12309" t="str">
        <f t="shared" si="2678"/>
        <v>72100632</v>
      </c>
      <c r="D12309" t="str">
        <f t="shared" si="2679"/>
        <v>816</v>
      </c>
      <c r="E12309" t="str">
        <f t="shared" si="2680"/>
        <v>89301091</v>
      </c>
      <c r="F12309" t="str">
        <f>"2211090574"</f>
        <v>2211090574</v>
      </c>
      <c r="G12309" s="1">
        <v>44883</v>
      </c>
      <c r="H12309" t="str">
        <f t="shared" si="2681"/>
        <v>94297</v>
      </c>
      <c r="I12309">
        <v>1</v>
      </c>
      <c r="J12309">
        <v>298</v>
      </c>
      <c r="K12309">
        <v>0</v>
      </c>
      <c r="L12309">
        <v>366.54</v>
      </c>
    </row>
    <row r="12310" spans="1:12" x14ac:dyDescent="0.25">
      <c r="A12310" t="str">
        <f t="shared" si="2676"/>
        <v>89301000</v>
      </c>
      <c r="B12310" t="str">
        <f t="shared" si="2677"/>
        <v>72100000</v>
      </c>
      <c r="C12310" t="str">
        <f t="shared" si="2678"/>
        <v>72100632</v>
      </c>
      <c r="D12310" t="str">
        <f t="shared" si="2679"/>
        <v>816</v>
      </c>
      <c r="E12310" t="str">
        <f t="shared" si="2680"/>
        <v>89301091</v>
      </c>
      <c r="F12310" t="str">
        <f>"2261090645"</f>
        <v>2261090645</v>
      </c>
      <c r="G12310" s="1">
        <v>44883</v>
      </c>
      <c r="H12310" t="str">
        <f t="shared" si="2681"/>
        <v>94297</v>
      </c>
      <c r="I12310">
        <v>1</v>
      </c>
      <c r="J12310">
        <v>298</v>
      </c>
      <c r="K12310">
        <v>0</v>
      </c>
      <c r="L12310">
        <v>366.54</v>
      </c>
    </row>
    <row r="12311" spans="1:12" x14ac:dyDescent="0.25">
      <c r="A12311" t="str">
        <f t="shared" si="2676"/>
        <v>89301000</v>
      </c>
      <c r="B12311" t="str">
        <f t="shared" si="2677"/>
        <v>72100000</v>
      </c>
      <c r="C12311" t="str">
        <f t="shared" si="2678"/>
        <v>72100632</v>
      </c>
      <c r="D12311" t="str">
        <f t="shared" si="2679"/>
        <v>816</v>
      </c>
      <c r="E12311" t="str">
        <f t="shared" si="2680"/>
        <v>89301091</v>
      </c>
      <c r="F12311" t="str">
        <f>"2261100655"</f>
        <v>2261100655</v>
      </c>
      <c r="G12311" s="1">
        <v>44883</v>
      </c>
      <c r="H12311" t="str">
        <f t="shared" si="2681"/>
        <v>94297</v>
      </c>
      <c r="I12311">
        <v>1</v>
      </c>
      <c r="J12311">
        <v>298</v>
      </c>
      <c r="K12311">
        <v>0</v>
      </c>
      <c r="L12311">
        <v>366.54</v>
      </c>
    </row>
    <row r="12312" spans="1:12" x14ac:dyDescent="0.25">
      <c r="A12312" t="str">
        <f t="shared" si="2676"/>
        <v>89301000</v>
      </c>
      <c r="B12312" t="str">
        <f t="shared" si="2677"/>
        <v>72100000</v>
      </c>
      <c r="C12312" t="str">
        <f t="shared" si="2678"/>
        <v>72100632</v>
      </c>
      <c r="D12312" t="str">
        <f t="shared" si="2679"/>
        <v>816</v>
      </c>
      <c r="E12312" t="str">
        <f t="shared" si="2680"/>
        <v>89301091</v>
      </c>
      <c r="F12312" t="str">
        <f>"2261100666"</f>
        <v>2261100666</v>
      </c>
      <c r="G12312" s="1">
        <v>44883</v>
      </c>
      <c r="H12312" t="str">
        <f t="shared" si="2681"/>
        <v>94297</v>
      </c>
      <c r="I12312">
        <v>1</v>
      </c>
      <c r="J12312">
        <v>298</v>
      </c>
      <c r="K12312">
        <v>0</v>
      </c>
      <c r="L12312">
        <v>366.54</v>
      </c>
    </row>
    <row r="12313" spans="1:12" x14ac:dyDescent="0.25">
      <c r="A12313" t="str">
        <f t="shared" si="2676"/>
        <v>89301000</v>
      </c>
      <c r="B12313" t="str">
        <f t="shared" si="2677"/>
        <v>72100000</v>
      </c>
      <c r="C12313" t="str">
        <f t="shared" si="2678"/>
        <v>72100632</v>
      </c>
      <c r="D12313" t="str">
        <f t="shared" si="2679"/>
        <v>816</v>
      </c>
      <c r="E12313" t="str">
        <f t="shared" si="2680"/>
        <v>89301091</v>
      </c>
      <c r="F12313" t="str">
        <f>"2211100540"</f>
        <v>2211100540</v>
      </c>
      <c r="G12313" s="1">
        <v>44883</v>
      </c>
      <c r="H12313" t="str">
        <f t="shared" si="2681"/>
        <v>94297</v>
      </c>
      <c r="I12313">
        <v>1</v>
      </c>
      <c r="J12313">
        <v>298</v>
      </c>
      <c r="K12313">
        <v>0</v>
      </c>
      <c r="L12313">
        <v>366.54</v>
      </c>
    </row>
    <row r="12314" spans="1:12" x14ac:dyDescent="0.25">
      <c r="A12314" t="str">
        <f t="shared" si="2676"/>
        <v>89301000</v>
      </c>
      <c r="B12314" t="str">
        <f t="shared" si="2677"/>
        <v>72100000</v>
      </c>
      <c r="C12314" t="str">
        <f t="shared" si="2678"/>
        <v>72100632</v>
      </c>
      <c r="D12314" t="str">
        <f t="shared" si="2679"/>
        <v>816</v>
      </c>
      <c r="E12314" t="str">
        <f t="shared" si="2680"/>
        <v>89301091</v>
      </c>
      <c r="F12314" t="str">
        <f>"2261100677"</f>
        <v>2261100677</v>
      </c>
      <c r="G12314" s="1">
        <v>44883</v>
      </c>
      <c r="H12314" t="str">
        <f t="shared" si="2681"/>
        <v>94297</v>
      </c>
      <c r="I12314">
        <v>1</v>
      </c>
      <c r="J12314">
        <v>298</v>
      </c>
      <c r="K12314">
        <v>0</v>
      </c>
      <c r="L12314">
        <v>366.54</v>
      </c>
    </row>
    <row r="12315" spans="1:12" x14ac:dyDescent="0.25">
      <c r="A12315" t="str">
        <f t="shared" si="2676"/>
        <v>89301000</v>
      </c>
      <c r="B12315" t="str">
        <f t="shared" si="2677"/>
        <v>72100000</v>
      </c>
      <c r="C12315" t="str">
        <f t="shared" si="2678"/>
        <v>72100632</v>
      </c>
      <c r="D12315" t="str">
        <f t="shared" si="2679"/>
        <v>816</v>
      </c>
      <c r="E12315" t="str">
        <f t="shared" si="2680"/>
        <v>89301091</v>
      </c>
      <c r="F12315" t="str">
        <f>"8255215353"</f>
        <v>8255215353</v>
      </c>
      <c r="G12315" s="1">
        <v>44883</v>
      </c>
      <c r="H12315" t="str">
        <f t="shared" si="2681"/>
        <v>94297</v>
      </c>
      <c r="I12315">
        <v>1</v>
      </c>
      <c r="J12315">
        <v>298</v>
      </c>
      <c r="K12315">
        <v>0</v>
      </c>
      <c r="L12315">
        <v>366.54</v>
      </c>
    </row>
    <row r="12316" spans="1:12" x14ac:dyDescent="0.25">
      <c r="A12316" t="str">
        <f t="shared" si="2676"/>
        <v>89301000</v>
      </c>
      <c r="B12316" t="str">
        <f t="shared" si="2677"/>
        <v>72100000</v>
      </c>
      <c r="C12316" t="str">
        <f t="shared" si="2678"/>
        <v>72100632</v>
      </c>
      <c r="D12316" t="str">
        <f t="shared" si="2679"/>
        <v>816</v>
      </c>
      <c r="E12316" t="str">
        <f t="shared" si="2680"/>
        <v>89301091</v>
      </c>
      <c r="F12316" t="str">
        <f>"8753295793"</f>
        <v>8753295793</v>
      </c>
      <c r="G12316" s="1">
        <v>44883</v>
      </c>
      <c r="H12316" t="str">
        <f t="shared" si="2681"/>
        <v>94297</v>
      </c>
      <c r="I12316">
        <v>1</v>
      </c>
      <c r="J12316">
        <v>298</v>
      </c>
      <c r="K12316">
        <v>0</v>
      </c>
      <c r="L12316">
        <v>366.54</v>
      </c>
    </row>
    <row r="12317" spans="1:12" x14ac:dyDescent="0.25">
      <c r="A12317" t="str">
        <f t="shared" si="2676"/>
        <v>89301000</v>
      </c>
      <c r="B12317" t="str">
        <f t="shared" si="2677"/>
        <v>72100000</v>
      </c>
      <c r="C12317" t="str">
        <f t="shared" si="2678"/>
        <v>72100632</v>
      </c>
      <c r="D12317" t="str">
        <f t="shared" si="2679"/>
        <v>816</v>
      </c>
      <c r="E12317" t="str">
        <f t="shared" si="2680"/>
        <v>89301091</v>
      </c>
      <c r="F12317" t="str">
        <f>"8551286238"</f>
        <v>8551286238</v>
      </c>
      <c r="G12317" s="1">
        <v>44883</v>
      </c>
      <c r="H12317" t="str">
        <f t="shared" si="2681"/>
        <v>94297</v>
      </c>
      <c r="I12317">
        <v>1</v>
      </c>
      <c r="J12317">
        <v>298</v>
      </c>
      <c r="K12317">
        <v>0</v>
      </c>
      <c r="L12317">
        <v>366.54</v>
      </c>
    </row>
    <row r="12318" spans="1:12" x14ac:dyDescent="0.25">
      <c r="A12318" t="str">
        <f t="shared" si="2676"/>
        <v>89301000</v>
      </c>
      <c r="B12318" t="str">
        <f t="shared" si="2677"/>
        <v>72100000</v>
      </c>
      <c r="C12318" t="str">
        <f t="shared" si="2678"/>
        <v>72100632</v>
      </c>
      <c r="D12318" t="str">
        <f t="shared" si="2679"/>
        <v>816</v>
      </c>
      <c r="E12318" t="str">
        <f t="shared" si="2680"/>
        <v>89301091</v>
      </c>
      <c r="F12318" t="str">
        <f>"9355255294"</f>
        <v>9355255294</v>
      </c>
      <c r="G12318" s="1">
        <v>44883</v>
      </c>
      <c r="H12318" t="str">
        <f t="shared" si="2681"/>
        <v>94297</v>
      </c>
      <c r="I12318">
        <v>1</v>
      </c>
      <c r="J12318">
        <v>298</v>
      </c>
      <c r="K12318">
        <v>0</v>
      </c>
      <c r="L12318">
        <v>366.54</v>
      </c>
    </row>
    <row r="12319" spans="1:12" x14ac:dyDescent="0.25">
      <c r="A12319" t="str">
        <f t="shared" si="2676"/>
        <v>89301000</v>
      </c>
      <c r="B12319" t="str">
        <f t="shared" si="2677"/>
        <v>72100000</v>
      </c>
      <c r="C12319" t="str">
        <f t="shared" si="2678"/>
        <v>72100632</v>
      </c>
      <c r="D12319" t="str">
        <f t="shared" si="2679"/>
        <v>816</v>
      </c>
      <c r="E12319" t="str">
        <f t="shared" si="2680"/>
        <v>89301091</v>
      </c>
      <c r="F12319" t="str">
        <f>"2211130416"</f>
        <v>2211130416</v>
      </c>
      <c r="G12319" s="1">
        <v>44886</v>
      </c>
      <c r="H12319" t="str">
        <f t="shared" si="2681"/>
        <v>94297</v>
      </c>
      <c r="I12319">
        <v>1</v>
      </c>
      <c r="J12319">
        <v>298</v>
      </c>
      <c r="K12319">
        <v>0</v>
      </c>
      <c r="L12319">
        <v>366.54</v>
      </c>
    </row>
    <row r="12320" spans="1:12" x14ac:dyDescent="0.25">
      <c r="A12320" t="str">
        <f t="shared" si="2676"/>
        <v>89301000</v>
      </c>
      <c r="B12320" t="str">
        <f t="shared" si="2677"/>
        <v>72100000</v>
      </c>
      <c r="C12320" t="str">
        <f t="shared" si="2678"/>
        <v>72100632</v>
      </c>
      <c r="D12320" t="str">
        <f t="shared" si="2679"/>
        <v>816</v>
      </c>
      <c r="E12320" t="str">
        <f t="shared" si="2680"/>
        <v>89301091</v>
      </c>
      <c r="F12320" t="str">
        <f>"2261130322"</f>
        <v>2261130322</v>
      </c>
      <c r="G12320" s="1">
        <v>44886</v>
      </c>
      <c r="H12320" t="str">
        <f t="shared" si="2681"/>
        <v>94297</v>
      </c>
      <c r="I12320">
        <v>1</v>
      </c>
      <c r="J12320">
        <v>298</v>
      </c>
      <c r="K12320">
        <v>0</v>
      </c>
      <c r="L12320">
        <v>366.54</v>
      </c>
    </row>
    <row r="12321" spans="1:12" x14ac:dyDescent="0.25">
      <c r="A12321" t="str">
        <f t="shared" si="2676"/>
        <v>89301000</v>
      </c>
      <c r="B12321" t="str">
        <f t="shared" si="2677"/>
        <v>72100000</v>
      </c>
      <c r="C12321" t="str">
        <f t="shared" si="2678"/>
        <v>72100632</v>
      </c>
      <c r="D12321" t="str">
        <f t="shared" si="2679"/>
        <v>816</v>
      </c>
      <c r="E12321" t="str">
        <f t="shared" si="2680"/>
        <v>89301091</v>
      </c>
      <c r="F12321" t="str">
        <f>"0357265381"</f>
        <v>0357265381</v>
      </c>
      <c r="G12321" s="1">
        <v>44886</v>
      </c>
      <c r="H12321" t="str">
        <f t="shared" si="2681"/>
        <v>94297</v>
      </c>
      <c r="I12321">
        <v>1</v>
      </c>
      <c r="J12321">
        <v>298</v>
      </c>
      <c r="K12321">
        <v>0</v>
      </c>
      <c r="L12321">
        <v>366.54</v>
      </c>
    </row>
    <row r="12322" spans="1:12" x14ac:dyDescent="0.25">
      <c r="A12322" t="str">
        <f t="shared" si="2676"/>
        <v>89301000</v>
      </c>
      <c r="B12322" t="str">
        <f t="shared" ref="B12322:B12345" si="2682">"72100000"</f>
        <v>72100000</v>
      </c>
      <c r="C12322" t="str">
        <f t="shared" si="2678"/>
        <v>72100632</v>
      </c>
      <c r="D12322" t="str">
        <f t="shared" si="2679"/>
        <v>816</v>
      </c>
      <c r="E12322" t="str">
        <f t="shared" si="2680"/>
        <v>89301091</v>
      </c>
      <c r="F12322" t="str">
        <f>"2261130344"</f>
        <v>2261130344</v>
      </c>
      <c r="G12322" s="1">
        <v>44887</v>
      </c>
      <c r="H12322" t="str">
        <f t="shared" si="2681"/>
        <v>94297</v>
      </c>
      <c r="I12322">
        <v>1</v>
      </c>
      <c r="J12322">
        <v>298</v>
      </c>
      <c r="K12322">
        <v>0</v>
      </c>
      <c r="L12322">
        <v>366.54</v>
      </c>
    </row>
    <row r="12323" spans="1:12" x14ac:dyDescent="0.25">
      <c r="A12323" t="str">
        <f t="shared" si="2676"/>
        <v>89301000</v>
      </c>
      <c r="B12323" t="str">
        <f t="shared" si="2682"/>
        <v>72100000</v>
      </c>
      <c r="C12323" t="str">
        <f t="shared" si="2678"/>
        <v>72100632</v>
      </c>
      <c r="D12323" t="str">
        <f t="shared" si="2679"/>
        <v>816</v>
      </c>
      <c r="E12323" t="str">
        <f t="shared" si="2680"/>
        <v>89301091</v>
      </c>
      <c r="F12323" t="str">
        <f>"2261140057"</f>
        <v>2261140057</v>
      </c>
      <c r="G12323" s="1">
        <v>44887</v>
      </c>
      <c r="H12323" t="str">
        <f t="shared" si="2681"/>
        <v>94297</v>
      </c>
      <c r="I12323">
        <v>1</v>
      </c>
      <c r="J12323">
        <v>298</v>
      </c>
      <c r="K12323">
        <v>0</v>
      </c>
      <c r="L12323">
        <v>366.54</v>
      </c>
    </row>
    <row r="12324" spans="1:12" x14ac:dyDescent="0.25">
      <c r="A12324" t="str">
        <f t="shared" si="2676"/>
        <v>89301000</v>
      </c>
      <c r="B12324" t="str">
        <f t="shared" si="2682"/>
        <v>72100000</v>
      </c>
      <c r="C12324" t="str">
        <f t="shared" si="2678"/>
        <v>72100632</v>
      </c>
      <c r="D12324" t="str">
        <f t="shared" si="2679"/>
        <v>816</v>
      </c>
      <c r="E12324" t="str">
        <f t="shared" si="2680"/>
        <v>89301091</v>
      </c>
      <c r="F12324" t="str">
        <f>"2261140409"</f>
        <v>2261140409</v>
      </c>
      <c r="G12324" s="1">
        <v>44887</v>
      </c>
      <c r="H12324" t="str">
        <f t="shared" si="2681"/>
        <v>94297</v>
      </c>
      <c r="I12324">
        <v>1</v>
      </c>
      <c r="J12324">
        <v>298</v>
      </c>
      <c r="K12324">
        <v>0</v>
      </c>
      <c r="L12324">
        <v>366.54</v>
      </c>
    </row>
    <row r="12325" spans="1:12" x14ac:dyDescent="0.25">
      <c r="A12325" t="str">
        <f t="shared" si="2676"/>
        <v>89301000</v>
      </c>
      <c r="B12325" t="str">
        <f t="shared" si="2682"/>
        <v>72100000</v>
      </c>
      <c r="C12325" t="str">
        <f t="shared" si="2678"/>
        <v>72100632</v>
      </c>
      <c r="D12325" t="str">
        <f t="shared" si="2679"/>
        <v>816</v>
      </c>
      <c r="E12325" t="str">
        <f t="shared" si="2680"/>
        <v>89301091</v>
      </c>
      <c r="F12325" t="str">
        <f>"2211150678"</f>
        <v>2211150678</v>
      </c>
      <c r="G12325" s="1">
        <v>44887</v>
      </c>
      <c r="H12325" t="str">
        <f t="shared" si="2681"/>
        <v>94297</v>
      </c>
      <c r="I12325">
        <v>1</v>
      </c>
      <c r="J12325">
        <v>298</v>
      </c>
      <c r="K12325">
        <v>0</v>
      </c>
      <c r="L12325">
        <v>366.54</v>
      </c>
    </row>
    <row r="12326" spans="1:12" x14ac:dyDescent="0.25">
      <c r="A12326" t="str">
        <f t="shared" si="2676"/>
        <v>89301000</v>
      </c>
      <c r="B12326" t="str">
        <f t="shared" si="2682"/>
        <v>72100000</v>
      </c>
      <c r="C12326" t="str">
        <f t="shared" si="2678"/>
        <v>72100632</v>
      </c>
      <c r="D12326" t="str">
        <f t="shared" si="2679"/>
        <v>816</v>
      </c>
      <c r="E12326" t="str">
        <f t="shared" si="2680"/>
        <v>89301091</v>
      </c>
      <c r="F12326" t="str">
        <f>"2261150672"</f>
        <v>2261150672</v>
      </c>
      <c r="G12326" s="1">
        <v>44887</v>
      </c>
      <c r="H12326" t="str">
        <f t="shared" si="2681"/>
        <v>94297</v>
      </c>
      <c r="I12326">
        <v>1</v>
      </c>
      <c r="J12326">
        <v>298</v>
      </c>
      <c r="K12326">
        <v>0</v>
      </c>
      <c r="L12326">
        <v>366.54</v>
      </c>
    </row>
    <row r="12327" spans="1:12" x14ac:dyDescent="0.25">
      <c r="A12327" t="str">
        <f t="shared" si="2676"/>
        <v>89301000</v>
      </c>
      <c r="B12327" t="str">
        <f t="shared" si="2682"/>
        <v>72100000</v>
      </c>
      <c r="C12327" t="str">
        <f t="shared" si="2678"/>
        <v>72100632</v>
      </c>
      <c r="D12327" t="str">
        <f t="shared" si="2679"/>
        <v>816</v>
      </c>
      <c r="E12327" t="str">
        <f t="shared" si="2680"/>
        <v>89301091</v>
      </c>
      <c r="F12327" t="str">
        <f>"2211160138"</f>
        <v>2211160138</v>
      </c>
      <c r="G12327" s="1">
        <v>44889</v>
      </c>
      <c r="H12327" t="str">
        <f t="shared" si="2681"/>
        <v>94297</v>
      </c>
      <c r="I12327">
        <v>1</v>
      </c>
      <c r="J12327">
        <v>298</v>
      </c>
      <c r="K12327">
        <v>0</v>
      </c>
      <c r="L12327">
        <v>366.54</v>
      </c>
    </row>
    <row r="12328" spans="1:12" x14ac:dyDescent="0.25">
      <c r="A12328" t="str">
        <f t="shared" si="2676"/>
        <v>89301000</v>
      </c>
      <c r="B12328" t="str">
        <f t="shared" si="2682"/>
        <v>72100000</v>
      </c>
      <c r="C12328" t="str">
        <f t="shared" si="2678"/>
        <v>72100632</v>
      </c>
      <c r="D12328" t="str">
        <f t="shared" si="2679"/>
        <v>816</v>
      </c>
      <c r="E12328" t="str">
        <f t="shared" si="2680"/>
        <v>89301091</v>
      </c>
      <c r="F12328" t="str">
        <f>"8757305799"</f>
        <v>8757305799</v>
      </c>
      <c r="G12328" s="1">
        <v>44889</v>
      </c>
      <c r="H12328" t="str">
        <f t="shared" si="2681"/>
        <v>94297</v>
      </c>
      <c r="I12328">
        <v>1</v>
      </c>
      <c r="J12328">
        <v>298</v>
      </c>
      <c r="K12328">
        <v>0</v>
      </c>
      <c r="L12328">
        <v>366.54</v>
      </c>
    </row>
    <row r="12329" spans="1:12" x14ac:dyDescent="0.25">
      <c r="A12329" t="str">
        <f t="shared" si="2676"/>
        <v>89301000</v>
      </c>
      <c r="B12329" t="str">
        <f t="shared" si="2682"/>
        <v>72100000</v>
      </c>
      <c r="C12329" t="str">
        <f t="shared" si="2678"/>
        <v>72100632</v>
      </c>
      <c r="D12329" t="str">
        <f t="shared" si="2679"/>
        <v>816</v>
      </c>
      <c r="E12329" t="str">
        <f t="shared" si="2680"/>
        <v>89301091</v>
      </c>
      <c r="F12329" t="str">
        <f>"9355175764"</f>
        <v>9355175764</v>
      </c>
      <c r="G12329" s="1">
        <v>44889</v>
      </c>
      <c r="H12329" t="str">
        <f t="shared" si="2681"/>
        <v>94297</v>
      </c>
      <c r="I12329">
        <v>1</v>
      </c>
      <c r="J12329">
        <v>298</v>
      </c>
      <c r="K12329">
        <v>0</v>
      </c>
      <c r="L12329">
        <v>366.54</v>
      </c>
    </row>
    <row r="12330" spans="1:12" x14ac:dyDescent="0.25">
      <c r="A12330" t="str">
        <f t="shared" si="2676"/>
        <v>89301000</v>
      </c>
      <c r="B12330" t="str">
        <f t="shared" si="2682"/>
        <v>72100000</v>
      </c>
      <c r="C12330" t="str">
        <f t="shared" si="2678"/>
        <v>72100632</v>
      </c>
      <c r="D12330" t="str">
        <f t="shared" si="2679"/>
        <v>816</v>
      </c>
      <c r="E12330" t="str">
        <f t="shared" si="2680"/>
        <v>89301091</v>
      </c>
      <c r="F12330" t="str">
        <f>"2261180042"</f>
        <v>2261180042</v>
      </c>
      <c r="G12330" s="1">
        <v>44889</v>
      </c>
      <c r="H12330" t="str">
        <f t="shared" si="2681"/>
        <v>94297</v>
      </c>
      <c r="I12330">
        <v>1</v>
      </c>
      <c r="J12330">
        <v>298</v>
      </c>
      <c r="K12330">
        <v>0</v>
      </c>
      <c r="L12330">
        <v>366.54</v>
      </c>
    </row>
    <row r="12331" spans="1:12" x14ac:dyDescent="0.25">
      <c r="A12331" t="str">
        <f t="shared" si="2676"/>
        <v>89301000</v>
      </c>
      <c r="B12331" t="str">
        <f t="shared" si="2682"/>
        <v>72100000</v>
      </c>
      <c r="C12331" t="str">
        <f t="shared" si="2678"/>
        <v>72100632</v>
      </c>
      <c r="D12331" t="str">
        <f t="shared" si="2679"/>
        <v>816</v>
      </c>
      <c r="E12331" t="str">
        <f t="shared" si="2680"/>
        <v>89301091</v>
      </c>
      <c r="F12331" t="str">
        <f>"8852055784"</f>
        <v>8852055784</v>
      </c>
      <c r="G12331" s="1">
        <v>44889</v>
      </c>
      <c r="H12331" t="str">
        <f t="shared" si="2681"/>
        <v>94297</v>
      </c>
      <c r="I12331">
        <v>1</v>
      </c>
      <c r="J12331">
        <v>298</v>
      </c>
      <c r="K12331">
        <v>0</v>
      </c>
      <c r="L12331">
        <v>366.54</v>
      </c>
    </row>
    <row r="12332" spans="1:12" x14ac:dyDescent="0.25">
      <c r="A12332" t="str">
        <f t="shared" si="2676"/>
        <v>89301000</v>
      </c>
      <c r="B12332" t="str">
        <f t="shared" si="2682"/>
        <v>72100000</v>
      </c>
      <c r="C12332" t="str">
        <f t="shared" si="2678"/>
        <v>72100632</v>
      </c>
      <c r="D12332" t="str">
        <f t="shared" si="2679"/>
        <v>816</v>
      </c>
      <c r="E12332" t="str">
        <f t="shared" si="2680"/>
        <v>89301091</v>
      </c>
      <c r="F12332" t="str">
        <f>"8259075352"</f>
        <v>8259075352</v>
      </c>
      <c r="G12332" s="1">
        <v>44889</v>
      </c>
      <c r="H12332" t="str">
        <f t="shared" si="2681"/>
        <v>94297</v>
      </c>
      <c r="I12332">
        <v>1</v>
      </c>
      <c r="J12332">
        <v>298</v>
      </c>
      <c r="K12332">
        <v>0</v>
      </c>
      <c r="L12332">
        <v>366.54</v>
      </c>
    </row>
    <row r="12333" spans="1:12" x14ac:dyDescent="0.25">
      <c r="A12333" t="str">
        <f t="shared" si="2676"/>
        <v>89301000</v>
      </c>
      <c r="B12333" t="str">
        <f t="shared" si="2682"/>
        <v>72100000</v>
      </c>
      <c r="C12333" t="str">
        <f t="shared" ref="C12333:C12345" si="2683">"72100632"</f>
        <v>72100632</v>
      </c>
      <c r="D12333" t="str">
        <f t="shared" ref="D12333:D12345" si="2684">"816"</f>
        <v>816</v>
      </c>
      <c r="E12333" t="str">
        <f t="shared" si="2680"/>
        <v>89301091</v>
      </c>
      <c r="F12333" t="str">
        <f>"2261200425"</f>
        <v>2261200425</v>
      </c>
      <c r="G12333" s="1">
        <v>44890</v>
      </c>
      <c r="H12333" t="str">
        <f t="shared" si="2681"/>
        <v>94297</v>
      </c>
      <c r="I12333">
        <v>1</v>
      </c>
      <c r="J12333">
        <v>298</v>
      </c>
      <c r="K12333">
        <v>0</v>
      </c>
      <c r="L12333">
        <v>366.54</v>
      </c>
    </row>
    <row r="12334" spans="1:12" x14ac:dyDescent="0.25">
      <c r="A12334" t="str">
        <f t="shared" si="2676"/>
        <v>89301000</v>
      </c>
      <c r="B12334" t="str">
        <f t="shared" si="2682"/>
        <v>72100000</v>
      </c>
      <c r="C12334" t="str">
        <f t="shared" si="2683"/>
        <v>72100632</v>
      </c>
      <c r="D12334" t="str">
        <f t="shared" si="2684"/>
        <v>816</v>
      </c>
      <c r="E12334" t="str">
        <f t="shared" si="2680"/>
        <v>89301091</v>
      </c>
      <c r="F12334" t="str">
        <f>"2261200447"</f>
        <v>2261200447</v>
      </c>
      <c r="G12334" s="1">
        <v>44890</v>
      </c>
      <c r="H12334" t="str">
        <f t="shared" si="2681"/>
        <v>94297</v>
      </c>
      <c r="I12334">
        <v>1</v>
      </c>
      <c r="J12334">
        <v>298</v>
      </c>
      <c r="K12334">
        <v>0</v>
      </c>
      <c r="L12334">
        <v>366.54</v>
      </c>
    </row>
    <row r="12335" spans="1:12" x14ac:dyDescent="0.25">
      <c r="A12335" t="str">
        <f t="shared" si="2676"/>
        <v>89301000</v>
      </c>
      <c r="B12335" t="str">
        <f t="shared" si="2682"/>
        <v>72100000</v>
      </c>
      <c r="C12335" t="str">
        <f t="shared" si="2683"/>
        <v>72100632</v>
      </c>
      <c r="D12335" t="str">
        <f t="shared" si="2684"/>
        <v>816</v>
      </c>
      <c r="E12335" t="str">
        <f t="shared" si="2680"/>
        <v>89301091</v>
      </c>
      <c r="F12335" t="str">
        <f>"2261200458"</f>
        <v>2261200458</v>
      </c>
      <c r="G12335" s="1">
        <v>44890</v>
      </c>
      <c r="H12335" t="str">
        <f t="shared" si="2681"/>
        <v>94297</v>
      </c>
      <c r="I12335">
        <v>1</v>
      </c>
      <c r="J12335">
        <v>298</v>
      </c>
      <c r="K12335">
        <v>0</v>
      </c>
      <c r="L12335">
        <v>366.54</v>
      </c>
    </row>
    <row r="12336" spans="1:12" x14ac:dyDescent="0.25">
      <c r="A12336" t="str">
        <f t="shared" si="2676"/>
        <v>89301000</v>
      </c>
      <c r="B12336" t="str">
        <f t="shared" si="2682"/>
        <v>72100000</v>
      </c>
      <c r="C12336" t="str">
        <f t="shared" si="2683"/>
        <v>72100632</v>
      </c>
      <c r="D12336" t="str">
        <f t="shared" si="2684"/>
        <v>816</v>
      </c>
      <c r="E12336" t="str">
        <f t="shared" si="2680"/>
        <v>89301091</v>
      </c>
      <c r="F12336" t="str">
        <f>"2261200469"</f>
        <v>2261200469</v>
      </c>
      <c r="G12336" s="1">
        <v>44890</v>
      </c>
      <c r="H12336" t="str">
        <f t="shared" si="2681"/>
        <v>94297</v>
      </c>
      <c r="I12336">
        <v>1</v>
      </c>
      <c r="J12336">
        <v>298</v>
      </c>
      <c r="K12336">
        <v>0</v>
      </c>
      <c r="L12336">
        <v>366.54</v>
      </c>
    </row>
    <row r="12337" spans="1:12" x14ac:dyDescent="0.25">
      <c r="A12337" t="str">
        <f t="shared" si="2676"/>
        <v>89301000</v>
      </c>
      <c r="B12337" t="str">
        <f t="shared" si="2682"/>
        <v>72100000</v>
      </c>
      <c r="C12337" t="str">
        <f t="shared" si="2683"/>
        <v>72100632</v>
      </c>
      <c r="D12337" t="str">
        <f t="shared" si="2684"/>
        <v>816</v>
      </c>
      <c r="E12337" t="str">
        <f t="shared" si="2680"/>
        <v>89301091</v>
      </c>
      <c r="F12337" t="str">
        <f>"2211200354"</f>
        <v>2211200354</v>
      </c>
      <c r="G12337" s="1">
        <v>44890</v>
      </c>
      <c r="H12337" t="str">
        <f t="shared" si="2681"/>
        <v>94297</v>
      </c>
      <c r="I12337">
        <v>1</v>
      </c>
      <c r="J12337">
        <v>298</v>
      </c>
      <c r="K12337">
        <v>0</v>
      </c>
      <c r="L12337">
        <v>366.54</v>
      </c>
    </row>
    <row r="12338" spans="1:12" x14ac:dyDescent="0.25">
      <c r="A12338" t="str">
        <f t="shared" si="2676"/>
        <v>89301000</v>
      </c>
      <c r="B12338" t="str">
        <f t="shared" si="2682"/>
        <v>72100000</v>
      </c>
      <c r="C12338" t="str">
        <f t="shared" si="2683"/>
        <v>72100632</v>
      </c>
      <c r="D12338" t="str">
        <f t="shared" si="2684"/>
        <v>816</v>
      </c>
      <c r="E12338" t="str">
        <f t="shared" si="2680"/>
        <v>89301091</v>
      </c>
      <c r="F12338" t="str">
        <f>"8754246171"</f>
        <v>8754246171</v>
      </c>
      <c r="G12338" s="1">
        <v>44860</v>
      </c>
      <c r="H12338" t="str">
        <f t="shared" si="2681"/>
        <v>94297</v>
      </c>
      <c r="I12338">
        <v>1</v>
      </c>
      <c r="J12338">
        <v>298</v>
      </c>
      <c r="K12338">
        <v>0</v>
      </c>
      <c r="L12338">
        <v>366.54</v>
      </c>
    </row>
    <row r="12339" spans="1:12" x14ac:dyDescent="0.25">
      <c r="A12339" t="str">
        <f t="shared" si="2676"/>
        <v>89301000</v>
      </c>
      <c r="B12339" t="str">
        <f t="shared" si="2682"/>
        <v>72100000</v>
      </c>
      <c r="C12339" t="str">
        <f t="shared" si="2683"/>
        <v>72100632</v>
      </c>
      <c r="D12339" t="str">
        <f t="shared" si="2684"/>
        <v>816</v>
      </c>
      <c r="E12339" t="str">
        <f t="shared" si="2680"/>
        <v>89301091</v>
      </c>
      <c r="F12339" t="str">
        <f>"2260200052"</f>
        <v>2260200052</v>
      </c>
      <c r="G12339" s="1">
        <v>44860</v>
      </c>
      <c r="H12339" t="str">
        <f t="shared" si="2681"/>
        <v>94297</v>
      </c>
      <c r="I12339">
        <v>1</v>
      </c>
      <c r="J12339">
        <v>298</v>
      </c>
      <c r="K12339">
        <v>0</v>
      </c>
      <c r="L12339">
        <v>366.54</v>
      </c>
    </row>
    <row r="12340" spans="1:12" x14ac:dyDescent="0.25">
      <c r="A12340" t="str">
        <f t="shared" si="2676"/>
        <v>89301000</v>
      </c>
      <c r="B12340" t="str">
        <f t="shared" si="2682"/>
        <v>72100000</v>
      </c>
      <c r="C12340" t="str">
        <f t="shared" si="2683"/>
        <v>72100632</v>
      </c>
      <c r="D12340" t="str">
        <f t="shared" si="2684"/>
        <v>816</v>
      </c>
      <c r="E12340" t="str">
        <f t="shared" si="2680"/>
        <v>89301091</v>
      </c>
      <c r="F12340" t="str">
        <f>"2210200531"</f>
        <v>2210200531</v>
      </c>
      <c r="G12340" s="1">
        <v>44860</v>
      </c>
      <c r="H12340" t="str">
        <f t="shared" si="2681"/>
        <v>94297</v>
      </c>
      <c r="I12340">
        <v>1</v>
      </c>
      <c r="J12340">
        <v>298</v>
      </c>
      <c r="K12340">
        <v>0</v>
      </c>
      <c r="L12340">
        <v>366.54</v>
      </c>
    </row>
    <row r="12341" spans="1:12" x14ac:dyDescent="0.25">
      <c r="A12341" t="str">
        <f t="shared" si="2676"/>
        <v>89301000</v>
      </c>
      <c r="B12341" t="str">
        <f t="shared" si="2682"/>
        <v>72100000</v>
      </c>
      <c r="C12341" t="str">
        <f t="shared" si="2683"/>
        <v>72100632</v>
      </c>
      <c r="D12341" t="str">
        <f t="shared" si="2684"/>
        <v>816</v>
      </c>
      <c r="E12341" t="str">
        <f t="shared" si="2680"/>
        <v>89301091</v>
      </c>
      <c r="F12341" t="str">
        <f>"2210200564"</f>
        <v>2210200564</v>
      </c>
      <c r="G12341" s="1">
        <v>44860</v>
      </c>
      <c r="H12341" t="str">
        <f t="shared" si="2681"/>
        <v>94297</v>
      </c>
      <c r="I12341">
        <v>1</v>
      </c>
      <c r="J12341">
        <v>298</v>
      </c>
      <c r="K12341">
        <v>0</v>
      </c>
      <c r="L12341">
        <v>366.54</v>
      </c>
    </row>
    <row r="12342" spans="1:12" x14ac:dyDescent="0.25">
      <c r="A12342" t="str">
        <f t="shared" si="2676"/>
        <v>89301000</v>
      </c>
      <c r="B12342" t="str">
        <f t="shared" si="2682"/>
        <v>72100000</v>
      </c>
      <c r="C12342" t="str">
        <f t="shared" si="2683"/>
        <v>72100632</v>
      </c>
      <c r="D12342" t="str">
        <f t="shared" si="2684"/>
        <v>816</v>
      </c>
      <c r="E12342" t="str">
        <f t="shared" si="2680"/>
        <v>89301091</v>
      </c>
      <c r="F12342" t="str">
        <f>"2210200575"</f>
        <v>2210200575</v>
      </c>
      <c r="G12342" s="1">
        <v>44860</v>
      </c>
      <c r="H12342" t="str">
        <f t="shared" si="2681"/>
        <v>94297</v>
      </c>
      <c r="I12342">
        <v>1</v>
      </c>
      <c r="J12342">
        <v>298</v>
      </c>
      <c r="K12342">
        <v>0</v>
      </c>
      <c r="L12342">
        <v>366.54</v>
      </c>
    </row>
    <row r="12343" spans="1:12" x14ac:dyDescent="0.25">
      <c r="A12343" t="str">
        <f t="shared" si="2676"/>
        <v>89301000</v>
      </c>
      <c r="B12343" t="str">
        <f t="shared" si="2682"/>
        <v>72100000</v>
      </c>
      <c r="C12343" t="str">
        <f t="shared" si="2683"/>
        <v>72100632</v>
      </c>
      <c r="D12343" t="str">
        <f t="shared" si="2684"/>
        <v>816</v>
      </c>
      <c r="E12343" t="str">
        <f t="shared" si="2680"/>
        <v>89301091</v>
      </c>
      <c r="F12343" t="str">
        <f>"8957226256"</f>
        <v>8957226256</v>
      </c>
      <c r="G12343" s="1">
        <v>44861</v>
      </c>
      <c r="H12343" t="str">
        <f t="shared" si="2681"/>
        <v>94297</v>
      </c>
      <c r="I12343">
        <v>1</v>
      </c>
      <c r="J12343">
        <v>298</v>
      </c>
      <c r="K12343">
        <v>0</v>
      </c>
      <c r="L12343">
        <v>366.54</v>
      </c>
    </row>
    <row r="12344" spans="1:12" x14ac:dyDescent="0.25">
      <c r="A12344" t="str">
        <f t="shared" si="2676"/>
        <v>89301000</v>
      </c>
      <c r="B12344" t="str">
        <f t="shared" si="2682"/>
        <v>72100000</v>
      </c>
      <c r="C12344" t="str">
        <f t="shared" si="2683"/>
        <v>72100632</v>
      </c>
      <c r="D12344" t="str">
        <f t="shared" si="2684"/>
        <v>816</v>
      </c>
      <c r="E12344" t="str">
        <f t="shared" si="2680"/>
        <v>89301091</v>
      </c>
      <c r="F12344" t="str">
        <f>"8660208898"</f>
        <v>8660208898</v>
      </c>
      <c r="G12344" s="1">
        <v>44861</v>
      </c>
      <c r="H12344" t="str">
        <f t="shared" si="2681"/>
        <v>94297</v>
      </c>
      <c r="I12344">
        <v>1</v>
      </c>
      <c r="J12344">
        <v>298</v>
      </c>
      <c r="K12344">
        <v>0</v>
      </c>
      <c r="L12344">
        <v>366.54</v>
      </c>
    </row>
    <row r="12345" spans="1:12" x14ac:dyDescent="0.25">
      <c r="A12345" t="str">
        <f t="shared" si="2676"/>
        <v>89301000</v>
      </c>
      <c r="B12345" t="str">
        <f t="shared" si="2682"/>
        <v>72100000</v>
      </c>
      <c r="C12345" t="str">
        <f t="shared" si="2683"/>
        <v>72100632</v>
      </c>
      <c r="D12345" t="str">
        <f t="shared" si="2684"/>
        <v>816</v>
      </c>
      <c r="E12345" t="str">
        <f t="shared" si="2680"/>
        <v>89301091</v>
      </c>
      <c r="F12345" t="str">
        <f>"2260230192"</f>
        <v>2260230192</v>
      </c>
      <c r="G12345" s="1">
        <v>44865</v>
      </c>
      <c r="H12345" t="str">
        <f t="shared" si="2681"/>
        <v>94297</v>
      </c>
      <c r="I12345">
        <v>1</v>
      </c>
      <c r="J12345">
        <v>298</v>
      </c>
      <c r="K12345">
        <v>0</v>
      </c>
      <c r="L12345">
        <v>366.54</v>
      </c>
    </row>
    <row r="12346" spans="1:12" x14ac:dyDescent="0.25">
      <c r="A12346" t="str">
        <f t="shared" si="2676"/>
        <v>89301000</v>
      </c>
      <c r="B12346" t="str">
        <f>"89100260"</f>
        <v>89100260</v>
      </c>
      <c r="C12346" t="str">
        <f>"89100261"</f>
        <v>89100261</v>
      </c>
      <c r="D12346" t="str">
        <f>"809"</f>
        <v>809</v>
      </c>
      <c r="E12346" t="str">
        <f>"89301212"</f>
        <v>89301212</v>
      </c>
      <c r="F12346" t="str">
        <f>"525328055"</f>
        <v>525328055</v>
      </c>
      <c r="G12346" s="1">
        <v>44900</v>
      </c>
      <c r="H12346" t="str">
        <f>"89131"</f>
        <v>89131</v>
      </c>
      <c r="I12346">
        <v>1</v>
      </c>
      <c r="J12346">
        <v>187</v>
      </c>
      <c r="K12346">
        <v>0</v>
      </c>
      <c r="L12346">
        <v>261.8</v>
      </c>
    </row>
    <row r="12347" spans="1:12" x14ac:dyDescent="0.25">
      <c r="A12347" t="str">
        <f t="shared" si="2676"/>
        <v>89301000</v>
      </c>
      <c r="B12347" t="str">
        <f>"72001000"</f>
        <v>72001000</v>
      </c>
      <c r="C12347" t="str">
        <f>"72001844"</f>
        <v>72001844</v>
      </c>
      <c r="D12347" t="str">
        <f>"813"</f>
        <v>813</v>
      </c>
      <c r="E12347" t="str">
        <f>"89301152"</f>
        <v>89301152</v>
      </c>
      <c r="F12347" t="str">
        <f>"8155144459"</f>
        <v>8155144459</v>
      </c>
      <c r="G12347" s="1">
        <v>44883</v>
      </c>
      <c r="H12347" t="str">
        <f>"91135"</f>
        <v>91135</v>
      </c>
      <c r="I12347">
        <v>1</v>
      </c>
      <c r="J12347">
        <v>266</v>
      </c>
      <c r="K12347">
        <v>0</v>
      </c>
      <c r="L12347">
        <v>207.48</v>
      </c>
    </row>
    <row r="12348" spans="1:12" x14ac:dyDescent="0.25">
      <c r="A12348" t="str">
        <f t="shared" si="2676"/>
        <v>89301000</v>
      </c>
      <c r="B12348" t="str">
        <f>"72001000"</f>
        <v>72001000</v>
      </c>
      <c r="C12348" t="str">
        <f>"72001844"</f>
        <v>72001844</v>
      </c>
      <c r="D12348" t="str">
        <f>"813"</f>
        <v>813</v>
      </c>
      <c r="E12348" t="str">
        <f>"89301152"</f>
        <v>89301152</v>
      </c>
      <c r="F12348" t="str">
        <f>"8155144459"</f>
        <v>8155144459</v>
      </c>
      <c r="G12348" s="1">
        <v>44883</v>
      </c>
      <c r="H12348" t="str">
        <f>"97111"</f>
        <v>97111</v>
      </c>
      <c r="I12348">
        <v>1</v>
      </c>
      <c r="J12348">
        <v>18</v>
      </c>
      <c r="K12348">
        <v>0</v>
      </c>
      <c r="L12348">
        <v>14.04</v>
      </c>
    </row>
    <row r="12349" spans="1:12" x14ac:dyDescent="0.25">
      <c r="A12349" t="str">
        <f t="shared" si="2676"/>
        <v>89301000</v>
      </c>
      <c r="B12349" t="str">
        <f>"75002000"</f>
        <v>75002000</v>
      </c>
      <c r="C12349" t="str">
        <f>"75002526"</f>
        <v>75002526</v>
      </c>
      <c r="D12349" t="str">
        <f>"801"</f>
        <v>801</v>
      </c>
      <c r="E12349" t="str">
        <f>"89301167"</f>
        <v>89301167</v>
      </c>
      <c r="F12349" t="str">
        <f>"5957040397"</f>
        <v>5957040397</v>
      </c>
      <c r="G12349" s="1">
        <v>44902</v>
      </c>
      <c r="H12349" t="str">
        <f>"93221"</f>
        <v>93221</v>
      </c>
      <c r="I12349">
        <v>1</v>
      </c>
      <c r="J12349">
        <v>188</v>
      </c>
      <c r="K12349">
        <v>0</v>
      </c>
      <c r="L12349">
        <v>146.63999999999999</v>
      </c>
    </row>
    <row r="12350" spans="1:12" x14ac:dyDescent="0.25">
      <c r="A12350" t="str">
        <f t="shared" si="2676"/>
        <v>89301000</v>
      </c>
      <c r="B12350" t="str">
        <f>"75002000"</f>
        <v>75002000</v>
      </c>
      <c r="C12350" t="str">
        <f>"75002526"</f>
        <v>75002526</v>
      </c>
      <c r="D12350" t="str">
        <f>"801"</f>
        <v>801</v>
      </c>
      <c r="E12350" t="str">
        <f>"89301167"</f>
        <v>89301167</v>
      </c>
      <c r="F12350" t="str">
        <f>"5957040397"</f>
        <v>5957040397</v>
      </c>
      <c r="G12350" s="1">
        <v>44902</v>
      </c>
      <c r="H12350" t="str">
        <f>"97111"</f>
        <v>97111</v>
      </c>
      <c r="I12350">
        <v>1</v>
      </c>
      <c r="J12350">
        <v>18</v>
      </c>
      <c r="K12350">
        <v>0</v>
      </c>
      <c r="L12350">
        <v>14.04</v>
      </c>
    </row>
    <row r="12351" spans="1:12" x14ac:dyDescent="0.25">
      <c r="A12351" t="str">
        <f t="shared" si="2676"/>
        <v>89301000</v>
      </c>
      <c r="B12351" t="str">
        <f>"75002000"</f>
        <v>75002000</v>
      </c>
      <c r="C12351" t="str">
        <f>"75002418"</f>
        <v>75002418</v>
      </c>
      <c r="D12351" t="str">
        <f>"809"</f>
        <v>809</v>
      </c>
      <c r="E12351" t="str">
        <f>"89301132"</f>
        <v>89301132</v>
      </c>
      <c r="F12351" t="str">
        <f>"1308301170"</f>
        <v>1308301170</v>
      </c>
      <c r="G12351" s="1">
        <v>44917</v>
      </c>
      <c r="H12351" t="str">
        <f>"89615"</f>
        <v>89615</v>
      </c>
      <c r="I12351">
        <v>1</v>
      </c>
      <c r="J12351">
        <v>2170</v>
      </c>
      <c r="K12351">
        <v>0</v>
      </c>
      <c r="L12351">
        <v>1302</v>
      </c>
    </row>
    <row r="12352" spans="1:12" x14ac:dyDescent="0.25">
      <c r="A12352" t="str">
        <f t="shared" si="2676"/>
        <v>89301000</v>
      </c>
      <c r="B12352" t="str">
        <f t="shared" ref="B12352:B12386" si="2685">"10510000"</f>
        <v>10510000</v>
      </c>
      <c r="C12352" t="str">
        <f t="shared" ref="C12352:C12386" si="2686">"10510001"</f>
        <v>10510001</v>
      </c>
      <c r="D12352" t="str">
        <f t="shared" ref="D12352:D12386" si="2687">"802"</f>
        <v>802</v>
      </c>
      <c r="E12352" t="str">
        <f>"89301603"</f>
        <v>89301603</v>
      </c>
      <c r="F12352" t="str">
        <f>"7057145315"</f>
        <v>7057145315</v>
      </c>
      <c r="G12352" s="1">
        <v>44916</v>
      </c>
      <c r="H12352" t="str">
        <f>"82041"</f>
        <v>82041</v>
      </c>
      <c r="I12352">
        <v>1</v>
      </c>
      <c r="J12352">
        <v>1090</v>
      </c>
      <c r="K12352">
        <v>0</v>
      </c>
      <c r="L12352">
        <v>991.9</v>
      </c>
    </row>
    <row r="12353" spans="1:12" x14ac:dyDescent="0.25">
      <c r="A12353" t="str">
        <f t="shared" si="2676"/>
        <v>89301000</v>
      </c>
      <c r="B12353" t="str">
        <f t="shared" si="2685"/>
        <v>10510000</v>
      </c>
      <c r="C12353" t="str">
        <f t="shared" si="2686"/>
        <v>10510001</v>
      </c>
      <c r="D12353" t="str">
        <f t="shared" si="2687"/>
        <v>802</v>
      </c>
      <c r="E12353" t="str">
        <f>"89301322"</f>
        <v>89301322</v>
      </c>
      <c r="F12353" t="str">
        <f>"485316002"</f>
        <v>485316002</v>
      </c>
      <c r="G12353" s="1">
        <v>44901</v>
      </c>
      <c r="H12353" t="str">
        <f>"82040"</f>
        <v>82040</v>
      </c>
      <c r="I12353">
        <v>1</v>
      </c>
      <c r="J12353">
        <v>927</v>
      </c>
      <c r="K12353">
        <v>0</v>
      </c>
      <c r="L12353">
        <v>843.57</v>
      </c>
    </row>
    <row r="12354" spans="1:12" x14ac:dyDescent="0.25">
      <c r="A12354" t="str">
        <f t="shared" ref="A12354:A12417" si="2688">"89301000"</f>
        <v>89301000</v>
      </c>
      <c r="B12354" t="str">
        <f t="shared" si="2685"/>
        <v>10510000</v>
      </c>
      <c r="C12354" t="str">
        <f t="shared" si="2686"/>
        <v>10510001</v>
      </c>
      <c r="D12354" t="str">
        <f t="shared" si="2687"/>
        <v>802</v>
      </c>
      <c r="E12354" t="str">
        <f>"89301322"</f>
        <v>89301322</v>
      </c>
      <c r="F12354" t="str">
        <f>"485316002"</f>
        <v>485316002</v>
      </c>
      <c r="G12354" s="1">
        <v>44903</v>
      </c>
      <c r="H12354" t="str">
        <f>"82077"</f>
        <v>82077</v>
      </c>
      <c r="I12354">
        <v>1</v>
      </c>
      <c r="J12354">
        <v>350</v>
      </c>
      <c r="K12354">
        <v>0</v>
      </c>
      <c r="L12354">
        <v>318.5</v>
      </c>
    </row>
    <row r="12355" spans="1:12" x14ac:dyDescent="0.25">
      <c r="A12355" t="str">
        <f t="shared" si="2688"/>
        <v>89301000</v>
      </c>
      <c r="B12355" t="str">
        <f t="shared" si="2685"/>
        <v>10510000</v>
      </c>
      <c r="C12355" t="str">
        <f t="shared" si="2686"/>
        <v>10510001</v>
      </c>
      <c r="D12355" t="str">
        <f t="shared" si="2687"/>
        <v>802</v>
      </c>
      <c r="E12355" t="str">
        <f>"89301322"</f>
        <v>89301322</v>
      </c>
      <c r="F12355" t="str">
        <f>"485316002"</f>
        <v>485316002</v>
      </c>
      <c r="G12355" s="1">
        <v>44903</v>
      </c>
      <c r="H12355" t="str">
        <f>"82077"</f>
        <v>82077</v>
      </c>
      <c r="I12355">
        <v>1</v>
      </c>
      <c r="J12355">
        <v>350</v>
      </c>
      <c r="K12355">
        <v>0</v>
      </c>
      <c r="L12355">
        <v>318.5</v>
      </c>
    </row>
    <row r="12356" spans="1:12" x14ac:dyDescent="0.25">
      <c r="A12356" t="str">
        <f t="shared" si="2688"/>
        <v>89301000</v>
      </c>
      <c r="B12356" t="str">
        <f t="shared" si="2685"/>
        <v>10510000</v>
      </c>
      <c r="C12356" t="str">
        <f t="shared" si="2686"/>
        <v>10510001</v>
      </c>
      <c r="D12356" t="str">
        <f t="shared" si="2687"/>
        <v>802</v>
      </c>
      <c r="E12356" t="str">
        <f>"89301322"</f>
        <v>89301322</v>
      </c>
      <c r="F12356" t="str">
        <f>"485316002"</f>
        <v>485316002</v>
      </c>
      <c r="G12356" s="1">
        <v>44901</v>
      </c>
      <c r="H12356" t="str">
        <f>"82041"</f>
        <v>82041</v>
      </c>
      <c r="I12356">
        <v>1</v>
      </c>
      <c r="J12356">
        <v>1090</v>
      </c>
      <c r="K12356">
        <v>0</v>
      </c>
      <c r="L12356">
        <v>991.9</v>
      </c>
    </row>
    <row r="12357" spans="1:12" x14ac:dyDescent="0.25">
      <c r="A12357" t="str">
        <f t="shared" si="2688"/>
        <v>89301000</v>
      </c>
      <c r="B12357" t="str">
        <f t="shared" si="2685"/>
        <v>10510000</v>
      </c>
      <c r="C12357" t="str">
        <f t="shared" si="2686"/>
        <v>10510001</v>
      </c>
      <c r="D12357" t="str">
        <f t="shared" si="2687"/>
        <v>802</v>
      </c>
      <c r="E12357" t="str">
        <f t="shared" ref="E12357:E12386" si="2689">"89301171"</f>
        <v>89301171</v>
      </c>
      <c r="F12357" t="str">
        <f>"6412150679"</f>
        <v>6412150679</v>
      </c>
      <c r="G12357" s="1">
        <v>44901</v>
      </c>
      <c r="H12357" t="str">
        <f>"82034"</f>
        <v>82034</v>
      </c>
      <c r="I12357">
        <v>1</v>
      </c>
      <c r="J12357">
        <v>348</v>
      </c>
      <c r="K12357">
        <v>0</v>
      </c>
      <c r="L12357">
        <v>316.68</v>
      </c>
    </row>
    <row r="12358" spans="1:12" x14ac:dyDescent="0.25">
      <c r="A12358" t="str">
        <f t="shared" si="2688"/>
        <v>89301000</v>
      </c>
      <c r="B12358" t="str">
        <f t="shared" si="2685"/>
        <v>10510000</v>
      </c>
      <c r="C12358" t="str">
        <f t="shared" si="2686"/>
        <v>10510001</v>
      </c>
      <c r="D12358" t="str">
        <f t="shared" si="2687"/>
        <v>802</v>
      </c>
      <c r="E12358" t="str">
        <f t="shared" si="2689"/>
        <v>89301171</v>
      </c>
      <c r="F12358" t="str">
        <f>"6412150679"</f>
        <v>6412150679</v>
      </c>
      <c r="G12358" s="1">
        <v>44901</v>
      </c>
      <c r="H12358" t="str">
        <f>"82041"</f>
        <v>82041</v>
      </c>
      <c r="I12358">
        <v>1</v>
      </c>
      <c r="J12358">
        <v>1090</v>
      </c>
      <c r="K12358">
        <v>0</v>
      </c>
      <c r="L12358">
        <v>991.9</v>
      </c>
    </row>
    <row r="12359" spans="1:12" x14ac:dyDescent="0.25">
      <c r="A12359" t="str">
        <f t="shared" si="2688"/>
        <v>89301000</v>
      </c>
      <c r="B12359" t="str">
        <f t="shared" si="2685"/>
        <v>10510000</v>
      </c>
      <c r="C12359" t="str">
        <f t="shared" si="2686"/>
        <v>10510001</v>
      </c>
      <c r="D12359" t="str">
        <f t="shared" si="2687"/>
        <v>802</v>
      </c>
      <c r="E12359" t="str">
        <f t="shared" si="2689"/>
        <v>89301171</v>
      </c>
      <c r="F12359" t="str">
        <f>"6412150679"</f>
        <v>6412150679</v>
      </c>
      <c r="G12359" s="1">
        <v>44901</v>
      </c>
      <c r="H12359" t="str">
        <f>"82041"</f>
        <v>82041</v>
      </c>
      <c r="I12359">
        <v>1</v>
      </c>
      <c r="J12359">
        <v>1090</v>
      </c>
      <c r="K12359">
        <v>0</v>
      </c>
      <c r="L12359">
        <v>991.9</v>
      </c>
    </row>
    <row r="12360" spans="1:12" x14ac:dyDescent="0.25">
      <c r="A12360" t="str">
        <f t="shared" si="2688"/>
        <v>89301000</v>
      </c>
      <c r="B12360" t="str">
        <f t="shared" si="2685"/>
        <v>10510000</v>
      </c>
      <c r="C12360" t="str">
        <f t="shared" si="2686"/>
        <v>10510001</v>
      </c>
      <c r="D12360" t="str">
        <f t="shared" si="2687"/>
        <v>802</v>
      </c>
      <c r="E12360" t="str">
        <f t="shared" si="2689"/>
        <v>89301171</v>
      </c>
      <c r="F12360" t="str">
        <f>"9851045710"</f>
        <v>9851045710</v>
      </c>
      <c r="G12360" s="1">
        <v>44901</v>
      </c>
      <c r="H12360" t="str">
        <f>"82034"</f>
        <v>82034</v>
      </c>
      <c r="I12360">
        <v>1</v>
      </c>
      <c r="J12360">
        <v>348</v>
      </c>
      <c r="K12360">
        <v>0</v>
      </c>
      <c r="L12360">
        <v>316.68</v>
      </c>
    </row>
    <row r="12361" spans="1:12" x14ac:dyDescent="0.25">
      <c r="A12361" t="str">
        <f t="shared" si="2688"/>
        <v>89301000</v>
      </c>
      <c r="B12361" t="str">
        <f t="shared" si="2685"/>
        <v>10510000</v>
      </c>
      <c r="C12361" t="str">
        <f t="shared" si="2686"/>
        <v>10510001</v>
      </c>
      <c r="D12361" t="str">
        <f t="shared" si="2687"/>
        <v>802</v>
      </c>
      <c r="E12361" t="str">
        <f t="shared" si="2689"/>
        <v>89301171</v>
      </c>
      <c r="F12361" t="str">
        <f>"9851045710"</f>
        <v>9851045710</v>
      </c>
      <c r="G12361" s="1">
        <v>44901</v>
      </c>
      <c r="H12361" t="str">
        <f>"82041"</f>
        <v>82041</v>
      </c>
      <c r="I12361">
        <v>1</v>
      </c>
      <c r="J12361">
        <v>1090</v>
      </c>
      <c r="K12361">
        <v>0</v>
      </c>
      <c r="L12361">
        <v>991.9</v>
      </c>
    </row>
    <row r="12362" spans="1:12" x14ac:dyDescent="0.25">
      <c r="A12362" t="str">
        <f t="shared" si="2688"/>
        <v>89301000</v>
      </c>
      <c r="B12362" t="str">
        <f t="shared" si="2685"/>
        <v>10510000</v>
      </c>
      <c r="C12362" t="str">
        <f t="shared" si="2686"/>
        <v>10510001</v>
      </c>
      <c r="D12362" t="str">
        <f t="shared" si="2687"/>
        <v>802</v>
      </c>
      <c r="E12362" t="str">
        <f t="shared" si="2689"/>
        <v>89301171</v>
      </c>
      <c r="F12362" t="str">
        <f>"9851045710"</f>
        <v>9851045710</v>
      </c>
      <c r="G12362" s="1">
        <v>44901</v>
      </c>
      <c r="H12362" t="str">
        <f>"82041"</f>
        <v>82041</v>
      </c>
      <c r="I12362">
        <v>1</v>
      </c>
      <c r="J12362">
        <v>1090</v>
      </c>
      <c r="K12362">
        <v>0</v>
      </c>
      <c r="L12362">
        <v>991.9</v>
      </c>
    </row>
    <row r="12363" spans="1:12" x14ac:dyDescent="0.25">
      <c r="A12363" t="str">
        <f t="shared" si="2688"/>
        <v>89301000</v>
      </c>
      <c r="B12363" t="str">
        <f t="shared" si="2685"/>
        <v>10510000</v>
      </c>
      <c r="C12363" t="str">
        <f t="shared" si="2686"/>
        <v>10510001</v>
      </c>
      <c r="D12363" t="str">
        <f t="shared" si="2687"/>
        <v>802</v>
      </c>
      <c r="E12363" t="str">
        <f t="shared" si="2689"/>
        <v>89301171</v>
      </c>
      <c r="F12363" t="str">
        <f>"9302166170"</f>
        <v>9302166170</v>
      </c>
      <c r="G12363" s="1">
        <v>44901</v>
      </c>
      <c r="H12363" t="str">
        <f>"82041"</f>
        <v>82041</v>
      </c>
      <c r="I12363">
        <v>1</v>
      </c>
      <c r="J12363">
        <v>1090</v>
      </c>
      <c r="K12363">
        <v>0</v>
      </c>
      <c r="L12363">
        <v>991.9</v>
      </c>
    </row>
    <row r="12364" spans="1:12" x14ac:dyDescent="0.25">
      <c r="A12364" t="str">
        <f t="shared" si="2688"/>
        <v>89301000</v>
      </c>
      <c r="B12364" t="str">
        <f t="shared" si="2685"/>
        <v>10510000</v>
      </c>
      <c r="C12364" t="str">
        <f t="shared" si="2686"/>
        <v>10510001</v>
      </c>
      <c r="D12364" t="str">
        <f t="shared" si="2687"/>
        <v>802</v>
      </c>
      <c r="E12364" t="str">
        <f t="shared" si="2689"/>
        <v>89301171</v>
      </c>
      <c r="F12364" t="str">
        <f>"9302166170"</f>
        <v>9302166170</v>
      </c>
      <c r="G12364" s="1">
        <v>44901</v>
      </c>
      <c r="H12364" t="str">
        <f>"82041"</f>
        <v>82041</v>
      </c>
      <c r="I12364">
        <v>1</v>
      </c>
      <c r="J12364">
        <v>1090</v>
      </c>
      <c r="K12364">
        <v>0</v>
      </c>
      <c r="L12364">
        <v>991.9</v>
      </c>
    </row>
    <row r="12365" spans="1:12" x14ac:dyDescent="0.25">
      <c r="A12365" t="str">
        <f t="shared" si="2688"/>
        <v>89301000</v>
      </c>
      <c r="B12365" t="str">
        <f t="shared" si="2685"/>
        <v>10510000</v>
      </c>
      <c r="C12365" t="str">
        <f t="shared" si="2686"/>
        <v>10510001</v>
      </c>
      <c r="D12365" t="str">
        <f t="shared" si="2687"/>
        <v>802</v>
      </c>
      <c r="E12365" t="str">
        <f t="shared" si="2689"/>
        <v>89301171</v>
      </c>
      <c r="F12365" t="str">
        <f>"9302166170"</f>
        <v>9302166170</v>
      </c>
      <c r="G12365" s="1">
        <v>44901</v>
      </c>
      <c r="H12365" t="str">
        <f>"82034"</f>
        <v>82034</v>
      </c>
      <c r="I12365">
        <v>1</v>
      </c>
      <c r="J12365">
        <v>348</v>
      </c>
      <c r="K12365">
        <v>0</v>
      </c>
      <c r="L12365">
        <v>316.68</v>
      </c>
    </row>
    <row r="12366" spans="1:12" x14ac:dyDescent="0.25">
      <c r="A12366" t="str">
        <f t="shared" si="2688"/>
        <v>89301000</v>
      </c>
      <c r="B12366" t="str">
        <f t="shared" si="2685"/>
        <v>10510000</v>
      </c>
      <c r="C12366" t="str">
        <f t="shared" si="2686"/>
        <v>10510001</v>
      </c>
      <c r="D12366" t="str">
        <f t="shared" si="2687"/>
        <v>802</v>
      </c>
      <c r="E12366" t="str">
        <f t="shared" si="2689"/>
        <v>89301171</v>
      </c>
      <c r="F12366" t="str">
        <f>"9162276211"</f>
        <v>9162276211</v>
      </c>
      <c r="G12366" s="1">
        <v>44901</v>
      </c>
      <c r="H12366" t="str">
        <f>"82034"</f>
        <v>82034</v>
      </c>
      <c r="I12366">
        <v>1</v>
      </c>
      <c r="J12366">
        <v>348</v>
      </c>
      <c r="K12366">
        <v>0</v>
      </c>
      <c r="L12366">
        <v>316.68</v>
      </c>
    </row>
    <row r="12367" spans="1:12" x14ac:dyDescent="0.25">
      <c r="A12367" t="str">
        <f t="shared" si="2688"/>
        <v>89301000</v>
      </c>
      <c r="B12367" t="str">
        <f t="shared" si="2685"/>
        <v>10510000</v>
      </c>
      <c r="C12367" t="str">
        <f t="shared" si="2686"/>
        <v>10510001</v>
      </c>
      <c r="D12367" t="str">
        <f t="shared" si="2687"/>
        <v>802</v>
      </c>
      <c r="E12367" t="str">
        <f t="shared" si="2689"/>
        <v>89301171</v>
      </c>
      <c r="F12367" t="str">
        <f>"9162276211"</f>
        <v>9162276211</v>
      </c>
      <c r="G12367" s="1">
        <v>44901</v>
      </c>
      <c r="H12367" t="str">
        <f>"82041"</f>
        <v>82041</v>
      </c>
      <c r="I12367">
        <v>1</v>
      </c>
      <c r="J12367">
        <v>1090</v>
      </c>
      <c r="K12367">
        <v>0</v>
      </c>
      <c r="L12367">
        <v>991.9</v>
      </c>
    </row>
    <row r="12368" spans="1:12" x14ac:dyDescent="0.25">
      <c r="A12368" t="str">
        <f t="shared" si="2688"/>
        <v>89301000</v>
      </c>
      <c r="B12368" t="str">
        <f t="shared" si="2685"/>
        <v>10510000</v>
      </c>
      <c r="C12368" t="str">
        <f t="shared" si="2686"/>
        <v>10510001</v>
      </c>
      <c r="D12368" t="str">
        <f t="shared" si="2687"/>
        <v>802</v>
      </c>
      <c r="E12368" t="str">
        <f t="shared" si="2689"/>
        <v>89301171</v>
      </c>
      <c r="F12368" t="str">
        <f>"9162276211"</f>
        <v>9162276211</v>
      </c>
      <c r="G12368" s="1">
        <v>44901</v>
      </c>
      <c r="H12368" t="str">
        <f>"82041"</f>
        <v>82041</v>
      </c>
      <c r="I12368">
        <v>1</v>
      </c>
      <c r="J12368">
        <v>1090</v>
      </c>
      <c r="K12368">
        <v>0</v>
      </c>
      <c r="L12368">
        <v>991.9</v>
      </c>
    </row>
    <row r="12369" spans="1:12" x14ac:dyDescent="0.25">
      <c r="A12369" t="str">
        <f t="shared" si="2688"/>
        <v>89301000</v>
      </c>
      <c r="B12369" t="str">
        <f t="shared" si="2685"/>
        <v>10510000</v>
      </c>
      <c r="C12369" t="str">
        <f t="shared" si="2686"/>
        <v>10510001</v>
      </c>
      <c r="D12369" t="str">
        <f t="shared" si="2687"/>
        <v>802</v>
      </c>
      <c r="E12369" t="str">
        <f t="shared" si="2689"/>
        <v>89301171</v>
      </c>
      <c r="F12369" t="str">
        <f>"0406123223"</f>
        <v>0406123223</v>
      </c>
      <c r="G12369" s="1">
        <v>44907</v>
      </c>
      <c r="H12369" t="str">
        <f>"82041"</f>
        <v>82041</v>
      </c>
      <c r="I12369">
        <v>1</v>
      </c>
      <c r="J12369">
        <v>1090</v>
      </c>
      <c r="K12369">
        <v>0</v>
      </c>
      <c r="L12369">
        <v>991.9</v>
      </c>
    </row>
    <row r="12370" spans="1:12" x14ac:dyDescent="0.25">
      <c r="A12370" t="str">
        <f t="shared" si="2688"/>
        <v>89301000</v>
      </c>
      <c r="B12370" t="str">
        <f t="shared" si="2685"/>
        <v>10510000</v>
      </c>
      <c r="C12370" t="str">
        <f t="shared" si="2686"/>
        <v>10510001</v>
      </c>
      <c r="D12370" t="str">
        <f t="shared" si="2687"/>
        <v>802</v>
      </c>
      <c r="E12370" t="str">
        <f t="shared" si="2689"/>
        <v>89301171</v>
      </c>
      <c r="F12370" t="str">
        <f>"0406123223"</f>
        <v>0406123223</v>
      </c>
      <c r="G12370" s="1">
        <v>44907</v>
      </c>
      <c r="H12370" t="str">
        <f>"82041"</f>
        <v>82041</v>
      </c>
      <c r="I12370">
        <v>1</v>
      </c>
      <c r="J12370">
        <v>1090</v>
      </c>
      <c r="K12370">
        <v>0</v>
      </c>
      <c r="L12370">
        <v>991.9</v>
      </c>
    </row>
    <row r="12371" spans="1:12" x14ac:dyDescent="0.25">
      <c r="A12371" t="str">
        <f t="shared" si="2688"/>
        <v>89301000</v>
      </c>
      <c r="B12371" t="str">
        <f t="shared" si="2685"/>
        <v>10510000</v>
      </c>
      <c r="C12371" t="str">
        <f t="shared" si="2686"/>
        <v>10510001</v>
      </c>
      <c r="D12371" t="str">
        <f t="shared" si="2687"/>
        <v>802</v>
      </c>
      <c r="E12371" t="str">
        <f t="shared" si="2689"/>
        <v>89301171</v>
      </c>
      <c r="F12371" t="str">
        <f>"0406123223"</f>
        <v>0406123223</v>
      </c>
      <c r="G12371" s="1">
        <v>44907</v>
      </c>
      <c r="H12371" t="str">
        <f>"82034"</f>
        <v>82034</v>
      </c>
      <c r="I12371">
        <v>1</v>
      </c>
      <c r="J12371">
        <v>348</v>
      </c>
      <c r="K12371">
        <v>0</v>
      </c>
      <c r="L12371">
        <v>316.68</v>
      </c>
    </row>
    <row r="12372" spans="1:12" x14ac:dyDescent="0.25">
      <c r="A12372" t="str">
        <f t="shared" si="2688"/>
        <v>89301000</v>
      </c>
      <c r="B12372" t="str">
        <f t="shared" si="2685"/>
        <v>10510000</v>
      </c>
      <c r="C12372" t="str">
        <f t="shared" si="2686"/>
        <v>10510001</v>
      </c>
      <c r="D12372" t="str">
        <f t="shared" si="2687"/>
        <v>802</v>
      </c>
      <c r="E12372" t="str">
        <f t="shared" si="2689"/>
        <v>89301171</v>
      </c>
      <c r="F12372" t="str">
        <f>"0212195742"</f>
        <v>0212195742</v>
      </c>
      <c r="G12372" s="1">
        <v>44907</v>
      </c>
      <c r="H12372" t="str">
        <f>"82034"</f>
        <v>82034</v>
      </c>
      <c r="I12372">
        <v>1</v>
      </c>
      <c r="J12372">
        <v>348</v>
      </c>
      <c r="K12372">
        <v>0</v>
      </c>
      <c r="L12372">
        <v>316.68</v>
      </c>
    </row>
    <row r="12373" spans="1:12" x14ac:dyDescent="0.25">
      <c r="A12373" t="str">
        <f t="shared" si="2688"/>
        <v>89301000</v>
      </c>
      <c r="B12373" t="str">
        <f t="shared" si="2685"/>
        <v>10510000</v>
      </c>
      <c r="C12373" t="str">
        <f t="shared" si="2686"/>
        <v>10510001</v>
      </c>
      <c r="D12373" t="str">
        <f t="shared" si="2687"/>
        <v>802</v>
      </c>
      <c r="E12373" t="str">
        <f t="shared" si="2689"/>
        <v>89301171</v>
      </c>
      <c r="F12373" t="str">
        <f>"0212195742"</f>
        <v>0212195742</v>
      </c>
      <c r="G12373" s="1">
        <v>44907</v>
      </c>
      <c r="H12373" t="str">
        <f>"82041"</f>
        <v>82041</v>
      </c>
      <c r="I12373">
        <v>1</v>
      </c>
      <c r="J12373">
        <v>1090</v>
      </c>
      <c r="K12373">
        <v>0</v>
      </c>
      <c r="L12373">
        <v>991.9</v>
      </c>
    </row>
    <row r="12374" spans="1:12" x14ac:dyDescent="0.25">
      <c r="A12374" t="str">
        <f t="shared" si="2688"/>
        <v>89301000</v>
      </c>
      <c r="B12374" t="str">
        <f t="shared" si="2685"/>
        <v>10510000</v>
      </c>
      <c r="C12374" t="str">
        <f t="shared" si="2686"/>
        <v>10510001</v>
      </c>
      <c r="D12374" t="str">
        <f t="shared" si="2687"/>
        <v>802</v>
      </c>
      <c r="E12374" t="str">
        <f t="shared" si="2689"/>
        <v>89301171</v>
      </c>
      <c r="F12374" t="str">
        <f>"0212195742"</f>
        <v>0212195742</v>
      </c>
      <c r="G12374" s="1">
        <v>44907</v>
      </c>
      <c r="H12374" t="str">
        <f>"82041"</f>
        <v>82041</v>
      </c>
      <c r="I12374">
        <v>1</v>
      </c>
      <c r="J12374">
        <v>1090</v>
      </c>
      <c r="K12374">
        <v>0</v>
      </c>
      <c r="L12374">
        <v>991.9</v>
      </c>
    </row>
    <row r="12375" spans="1:12" x14ac:dyDescent="0.25">
      <c r="A12375" t="str">
        <f t="shared" si="2688"/>
        <v>89301000</v>
      </c>
      <c r="B12375" t="str">
        <f t="shared" si="2685"/>
        <v>10510000</v>
      </c>
      <c r="C12375" t="str">
        <f t="shared" si="2686"/>
        <v>10510001</v>
      </c>
      <c r="D12375" t="str">
        <f t="shared" si="2687"/>
        <v>802</v>
      </c>
      <c r="E12375" t="str">
        <f t="shared" si="2689"/>
        <v>89301171</v>
      </c>
      <c r="F12375" t="str">
        <f>"7504134880"</f>
        <v>7504134880</v>
      </c>
      <c r="G12375" s="1">
        <v>44907</v>
      </c>
      <c r="H12375" t="str">
        <f>"82034"</f>
        <v>82034</v>
      </c>
      <c r="I12375">
        <v>1</v>
      </c>
      <c r="J12375">
        <v>348</v>
      </c>
      <c r="K12375">
        <v>0</v>
      </c>
      <c r="L12375">
        <v>316.68</v>
      </c>
    </row>
    <row r="12376" spans="1:12" x14ac:dyDescent="0.25">
      <c r="A12376" t="str">
        <f t="shared" si="2688"/>
        <v>89301000</v>
      </c>
      <c r="B12376" t="str">
        <f t="shared" si="2685"/>
        <v>10510000</v>
      </c>
      <c r="C12376" t="str">
        <f t="shared" si="2686"/>
        <v>10510001</v>
      </c>
      <c r="D12376" t="str">
        <f t="shared" si="2687"/>
        <v>802</v>
      </c>
      <c r="E12376" t="str">
        <f t="shared" si="2689"/>
        <v>89301171</v>
      </c>
      <c r="F12376" t="str">
        <f>"7504134880"</f>
        <v>7504134880</v>
      </c>
      <c r="G12376" s="1">
        <v>44907</v>
      </c>
      <c r="H12376" t="str">
        <f>"82041"</f>
        <v>82041</v>
      </c>
      <c r="I12376">
        <v>1</v>
      </c>
      <c r="J12376">
        <v>1090</v>
      </c>
      <c r="K12376">
        <v>0</v>
      </c>
      <c r="L12376">
        <v>991.9</v>
      </c>
    </row>
    <row r="12377" spans="1:12" x14ac:dyDescent="0.25">
      <c r="A12377" t="str">
        <f t="shared" si="2688"/>
        <v>89301000</v>
      </c>
      <c r="B12377" t="str">
        <f t="shared" si="2685"/>
        <v>10510000</v>
      </c>
      <c r="C12377" t="str">
        <f t="shared" si="2686"/>
        <v>10510001</v>
      </c>
      <c r="D12377" t="str">
        <f t="shared" si="2687"/>
        <v>802</v>
      </c>
      <c r="E12377" t="str">
        <f t="shared" si="2689"/>
        <v>89301171</v>
      </c>
      <c r="F12377" t="str">
        <f>"7504134880"</f>
        <v>7504134880</v>
      </c>
      <c r="G12377" s="1">
        <v>44907</v>
      </c>
      <c r="H12377" t="str">
        <f>"82041"</f>
        <v>82041</v>
      </c>
      <c r="I12377">
        <v>1</v>
      </c>
      <c r="J12377">
        <v>1090</v>
      </c>
      <c r="K12377">
        <v>0</v>
      </c>
      <c r="L12377">
        <v>991.9</v>
      </c>
    </row>
    <row r="12378" spans="1:12" x14ac:dyDescent="0.25">
      <c r="A12378" t="str">
        <f t="shared" si="2688"/>
        <v>89301000</v>
      </c>
      <c r="B12378" t="str">
        <f t="shared" si="2685"/>
        <v>10510000</v>
      </c>
      <c r="C12378" t="str">
        <f t="shared" si="2686"/>
        <v>10510001</v>
      </c>
      <c r="D12378" t="str">
        <f t="shared" si="2687"/>
        <v>802</v>
      </c>
      <c r="E12378" t="str">
        <f t="shared" si="2689"/>
        <v>89301171</v>
      </c>
      <c r="F12378" t="str">
        <f>"6807051405"</f>
        <v>6807051405</v>
      </c>
      <c r="G12378" s="1">
        <v>44916</v>
      </c>
      <c r="H12378" t="str">
        <f>"82034"</f>
        <v>82034</v>
      </c>
      <c r="I12378">
        <v>1</v>
      </c>
      <c r="J12378">
        <v>348</v>
      </c>
      <c r="K12378">
        <v>0</v>
      </c>
      <c r="L12378">
        <v>316.68</v>
      </c>
    </row>
    <row r="12379" spans="1:12" x14ac:dyDescent="0.25">
      <c r="A12379" t="str">
        <f t="shared" si="2688"/>
        <v>89301000</v>
      </c>
      <c r="B12379" t="str">
        <f t="shared" si="2685"/>
        <v>10510000</v>
      </c>
      <c r="C12379" t="str">
        <f t="shared" si="2686"/>
        <v>10510001</v>
      </c>
      <c r="D12379" t="str">
        <f t="shared" si="2687"/>
        <v>802</v>
      </c>
      <c r="E12379" t="str">
        <f t="shared" si="2689"/>
        <v>89301171</v>
      </c>
      <c r="F12379" t="str">
        <f>"6807051405"</f>
        <v>6807051405</v>
      </c>
      <c r="G12379" s="1">
        <v>44916</v>
      </c>
      <c r="H12379" t="str">
        <f>"82041"</f>
        <v>82041</v>
      </c>
      <c r="I12379">
        <v>1</v>
      </c>
      <c r="J12379">
        <v>1090</v>
      </c>
      <c r="K12379">
        <v>0</v>
      </c>
      <c r="L12379">
        <v>991.9</v>
      </c>
    </row>
    <row r="12380" spans="1:12" x14ac:dyDescent="0.25">
      <c r="A12380" t="str">
        <f t="shared" si="2688"/>
        <v>89301000</v>
      </c>
      <c r="B12380" t="str">
        <f t="shared" si="2685"/>
        <v>10510000</v>
      </c>
      <c r="C12380" t="str">
        <f t="shared" si="2686"/>
        <v>10510001</v>
      </c>
      <c r="D12380" t="str">
        <f t="shared" si="2687"/>
        <v>802</v>
      </c>
      <c r="E12380" t="str">
        <f t="shared" si="2689"/>
        <v>89301171</v>
      </c>
      <c r="F12380" t="str">
        <f>"6807051405"</f>
        <v>6807051405</v>
      </c>
      <c r="G12380" s="1">
        <v>44916</v>
      </c>
      <c r="H12380" t="str">
        <f>"82041"</f>
        <v>82041</v>
      </c>
      <c r="I12380">
        <v>1</v>
      </c>
      <c r="J12380">
        <v>1090</v>
      </c>
      <c r="K12380">
        <v>0</v>
      </c>
      <c r="L12380">
        <v>991.9</v>
      </c>
    </row>
    <row r="12381" spans="1:12" x14ac:dyDescent="0.25">
      <c r="A12381" t="str">
        <f t="shared" si="2688"/>
        <v>89301000</v>
      </c>
      <c r="B12381" t="str">
        <f t="shared" si="2685"/>
        <v>10510000</v>
      </c>
      <c r="C12381" t="str">
        <f t="shared" si="2686"/>
        <v>10510001</v>
      </c>
      <c r="D12381" t="str">
        <f t="shared" si="2687"/>
        <v>802</v>
      </c>
      <c r="E12381" t="str">
        <f t="shared" si="2689"/>
        <v>89301171</v>
      </c>
      <c r="F12381" t="str">
        <f>"6854220362"</f>
        <v>6854220362</v>
      </c>
      <c r="G12381" s="1">
        <v>44916</v>
      </c>
      <c r="H12381" t="str">
        <f>"82034"</f>
        <v>82034</v>
      </c>
      <c r="I12381">
        <v>1</v>
      </c>
      <c r="J12381">
        <v>348</v>
      </c>
      <c r="K12381">
        <v>0</v>
      </c>
      <c r="L12381">
        <v>316.68</v>
      </c>
    </row>
    <row r="12382" spans="1:12" x14ac:dyDescent="0.25">
      <c r="A12382" t="str">
        <f t="shared" si="2688"/>
        <v>89301000</v>
      </c>
      <c r="B12382" t="str">
        <f t="shared" si="2685"/>
        <v>10510000</v>
      </c>
      <c r="C12382" t="str">
        <f t="shared" si="2686"/>
        <v>10510001</v>
      </c>
      <c r="D12382" t="str">
        <f t="shared" si="2687"/>
        <v>802</v>
      </c>
      <c r="E12382" t="str">
        <f t="shared" si="2689"/>
        <v>89301171</v>
      </c>
      <c r="F12382" t="str">
        <f>"6854220362"</f>
        <v>6854220362</v>
      </c>
      <c r="G12382" s="1">
        <v>44916</v>
      </c>
      <c r="H12382" t="str">
        <f>"82041"</f>
        <v>82041</v>
      </c>
      <c r="I12382">
        <v>1</v>
      </c>
      <c r="J12382">
        <v>1090</v>
      </c>
      <c r="K12382">
        <v>0</v>
      </c>
      <c r="L12382">
        <v>991.9</v>
      </c>
    </row>
    <row r="12383" spans="1:12" x14ac:dyDescent="0.25">
      <c r="A12383" t="str">
        <f t="shared" si="2688"/>
        <v>89301000</v>
      </c>
      <c r="B12383" t="str">
        <f t="shared" si="2685"/>
        <v>10510000</v>
      </c>
      <c r="C12383" t="str">
        <f t="shared" si="2686"/>
        <v>10510001</v>
      </c>
      <c r="D12383" t="str">
        <f t="shared" si="2687"/>
        <v>802</v>
      </c>
      <c r="E12383" t="str">
        <f t="shared" si="2689"/>
        <v>89301171</v>
      </c>
      <c r="F12383" t="str">
        <f>"6854220362"</f>
        <v>6854220362</v>
      </c>
      <c r="G12383" s="1">
        <v>44916</v>
      </c>
      <c r="H12383" t="str">
        <f>"82041"</f>
        <v>82041</v>
      </c>
      <c r="I12383">
        <v>1</v>
      </c>
      <c r="J12383">
        <v>1090</v>
      </c>
      <c r="K12383">
        <v>0</v>
      </c>
      <c r="L12383">
        <v>991.9</v>
      </c>
    </row>
    <row r="12384" spans="1:12" x14ac:dyDescent="0.25">
      <c r="A12384" t="str">
        <f t="shared" si="2688"/>
        <v>89301000</v>
      </c>
      <c r="B12384" t="str">
        <f t="shared" si="2685"/>
        <v>10510000</v>
      </c>
      <c r="C12384" t="str">
        <f t="shared" si="2686"/>
        <v>10510001</v>
      </c>
      <c r="D12384" t="str">
        <f t="shared" si="2687"/>
        <v>802</v>
      </c>
      <c r="E12384" t="str">
        <f t="shared" si="2689"/>
        <v>89301171</v>
      </c>
      <c r="F12384" t="str">
        <f>"485705124"</f>
        <v>485705124</v>
      </c>
      <c r="G12384" s="1">
        <v>44916</v>
      </c>
      <c r="H12384" t="str">
        <f>"82041"</f>
        <v>82041</v>
      </c>
      <c r="I12384">
        <v>1</v>
      </c>
      <c r="J12384">
        <v>1090</v>
      </c>
      <c r="K12384">
        <v>0</v>
      </c>
      <c r="L12384">
        <v>991.9</v>
      </c>
    </row>
    <row r="12385" spans="1:12" x14ac:dyDescent="0.25">
      <c r="A12385" t="str">
        <f t="shared" si="2688"/>
        <v>89301000</v>
      </c>
      <c r="B12385" t="str">
        <f t="shared" si="2685"/>
        <v>10510000</v>
      </c>
      <c r="C12385" t="str">
        <f t="shared" si="2686"/>
        <v>10510001</v>
      </c>
      <c r="D12385" t="str">
        <f t="shared" si="2687"/>
        <v>802</v>
      </c>
      <c r="E12385" t="str">
        <f t="shared" si="2689"/>
        <v>89301171</v>
      </c>
      <c r="F12385" t="str">
        <f>"485705124"</f>
        <v>485705124</v>
      </c>
      <c r="G12385" s="1">
        <v>44916</v>
      </c>
      <c r="H12385" t="str">
        <f>"82041"</f>
        <v>82041</v>
      </c>
      <c r="I12385">
        <v>1</v>
      </c>
      <c r="J12385">
        <v>1090</v>
      </c>
      <c r="K12385">
        <v>0</v>
      </c>
      <c r="L12385">
        <v>991.9</v>
      </c>
    </row>
    <row r="12386" spans="1:12" x14ac:dyDescent="0.25">
      <c r="A12386" t="str">
        <f t="shared" si="2688"/>
        <v>89301000</v>
      </c>
      <c r="B12386" t="str">
        <f t="shared" si="2685"/>
        <v>10510000</v>
      </c>
      <c r="C12386" t="str">
        <f t="shared" si="2686"/>
        <v>10510001</v>
      </c>
      <c r="D12386" t="str">
        <f t="shared" si="2687"/>
        <v>802</v>
      </c>
      <c r="E12386" t="str">
        <f t="shared" si="2689"/>
        <v>89301171</v>
      </c>
      <c r="F12386" t="str">
        <f>"485705124"</f>
        <v>485705124</v>
      </c>
      <c r="G12386" s="1">
        <v>44916</v>
      </c>
      <c r="H12386" t="str">
        <f>"82034"</f>
        <v>82034</v>
      </c>
      <c r="I12386">
        <v>1</v>
      </c>
      <c r="J12386">
        <v>348</v>
      </c>
      <c r="K12386">
        <v>0</v>
      </c>
      <c r="L12386">
        <v>316.68</v>
      </c>
    </row>
    <row r="12387" spans="1:12" x14ac:dyDescent="0.25">
      <c r="A12387" t="str">
        <f t="shared" si="2688"/>
        <v>89301000</v>
      </c>
      <c r="B12387" t="str">
        <f>"44564000"</f>
        <v>44564000</v>
      </c>
      <c r="C12387" t="str">
        <f>"44564006"</f>
        <v>44564006</v>
      </c>
      <c r="D12387" t="str">
        <f>"816"</f>
        <v>816</v>
      </c>
      <c r="E12387" t="str">
        <f>"89301212"</f>
        <v>89301212</v>
      </c>
      <c r="F12387" t="str">
        <f>"6910265340"</f>
        <v>6910265340</v>
      </c>
      <c r="G12387" s="1">
        <v>44607</v>
      </c>
      <c r="H12387" t="str">
        <f>"94365"</f>
        <v>94365</v>
      </c>
      <c r="I12387">
        <v>1</v>
      </c>
      <c r="J12387">
        <v>36422</v>
      </c>
      <c r="K12387">
        <v>0</v>
      </c>
      <c r="L12387">
        <v>30958.7</v>
      </c>
    </row>
    <row r="12388" spans="1:12" x14ac:dyDescent="0.25">
      <c r="A12388" t="str">
        <f t="shared" si="2688"/>
        <v>89301000</v>
      </c>
      <c r="B12388" t="str">
        <f>"44564000"</f>
        <v>44564000</v>
      </c>
      <c r="C12388" t="str">
        <f>"44564006"</f>
        <v>44564006</v>
      </c>
      <c r="D12388" t="str">
        <f>"816"</f>
        <v>816</v>
      </c>
      <c r="E12388" t="str">
        <f>"89301212"</f>
        <v>89301212</v>
      </c>
      <c r="F12388" t="str">
        <f>"505525119"</f>
        <v>505525119</v>
      </c>
      <c r="G12388" s="1">
        <v>44642</v>
      </c>
      <c r="H12388" t="str">
        <f>"94365"</f>
        <v>94365</v>
      </c>
      <c r="I12388">
        <v>1</v>
      </c>
      <c r="J12388">
        <v>36422</v>
      </c>
      <c r="K12388">
        <v>0</v>
      </c>
      <c r="L12388">
        <v>30958.7</v>
      </c>
    </row>
    <row r="12389" spans="1:12" x14ac:dyDescent="0.25">
      <c r="A12389" t="str">
        <f t="shared" si="2688"/>
        <v>89301000</v>
      </c>
      <c r="B12389" t="str">
        <f>"44564000"</f>
        <v>44564000</v>
      </c>
      <c r="C12389" t="str">
        <f>"44564006"</f>
        <v>44564006</v>
      </c>
      <c r="D12389" t="str">
        <f>"816"</f>
        <v>816</v>
      </c>
      <c r="E12389" t="str">
        <f>"89301212"</f>
        <v>89301212</v>
      </c>
      <c r="F12389" t="str">
        <f>"5660280538"</f>
        <v>5660280538</v>
      </c>
      <c r="G12389" s="1">
        <v>44649</v>
      </c>
      <c r="H12389" t="str">
        <f>"94365"</f>
        <v>94365</v>
      </c>
      <c r="I12389">
        <v>1</v>
      </c>
      <c r="J12389">
        <v>36422</v>
      </c>
      <c r="K12389">
        <v>0</v>
      </c>
      <c r="L12389">
        <v>30958.7</v>
      </c>
    </row>
    <row r="12390" spans="1:12" x14ac:dyDescent="0.25">
      <c r="A12390" t="str">
        <f t="shared" si="2688"/>
        <v>89301000</v>
      </c>
      <c r="B12390" t="str">
        <f>"44564000"</f>
        <v>44564000</v>
      </c>
      <c r="C12390" t="str">
        <f>"44564006"</f>
        <v>44564006</v>
      </c>
      <c r="D12390" t="str">
        <f>"816"</f>
        <v>816</v>
      </c>
      <c r="E12390" t="str">
        <f>"89301212"</f>
        <v>89301212</v>
      </c>
      <c r="F12390" t="str">
        <f>"350805412"</f>
        <v>350805412</v>
      </c>
      <c r="G12390" s="1">
        <v>44627</v>
      </c>
      <c r="H12390" t="str">
        <f>"94223"</f>
        <v>94223</v>
      </c>
      <c r="I12390">
        <v>9</v>
      </c>
      <c r="J12390">
        <v>22077</v>
      </c>
      <c r="K12390">
        <v>0</v>
      </c>
      <c r="L12390">
        <v>18765.45</v>
      </c>
    </row>
    <row r="12391" spans="1:12" x14ac:dyDescent="0.25">
      <c r="A12391" t="str">
        <f t="shared" si="2688"/>
        <v>89301000</v>
      </c>
      <c r="B12391" t="str">
        <f>"44564000"</f>
        <v>44564000</v>
      </c>
      <c r="C12391" t="str">
        <f>"44564006"</f>
        <v>44564006</v>
      </c>
      <c r="D12391" t="str">
        <f>"816"</f>
        <v>816</v>
      </c>
      <c r="E12391" t="str">
        <f>"89301212"</f>
        <v>89301212</v>
      </c>
      <c r="F12391" t="str">
        <f>"350805412"</f>
        <v>350805412</v>
      </c>
      <c r="G12391" s="1">
        <v>44627</v>
      </c>
      <c r="H12391" t="str">
        <f>"94223"</f>
        <v>94223</v>
      </c>
      <c r="I12391">
        <v>1</v>
      </c>
      <c r="J12391">
        <v>2453</v>
      </c>
      <c r="K12391">
        <v>0</v>
      </c>
      <c r="L12391">
        <v>2085.0500000000002</v>
      </c>
    </row>
    <row r="12392" spans="1:12" x14ac:dyDescent="0.25">
      <c r="A12392" t="str">
        <f t="shared" si="2688"/>
        <v>89301000</v>
      </c>
      <c r="B12392" t="str">
        <f t="shared" ref="B12392:B12423" si="2690">"89383000"</f>
        <v>89383000</v>
      </c>
      <c r="C12392" t="str">
        <f t="shared" ref="C12392:C12423" si="2691">"89383002"</f>
        <v>89383002</v>
      </c>
      <c r="D12392" t="str">
        <f t="shared" ref="D12392:D12423" si="2692">"809"</f>
        <v>809</v>
      </c>
      <c r="E12392" t="str">
        <f>"89301042"</f>
        <v>89301042</v>
      </c>
      <c r="F12392" t="str">
        <f>"7256244556"</f>
        <v>7256244556</v>
      </c>
      <c r="G12392" s="1">
        <v>44889</v>
      </c>
      <c r="H12392" t="str">
        <f>"89512"</f>
        <v>89512</v>
      </c>
      <c r="I12392">
        <v>1</v>
      </c>
      <c r="J12392">
        <v>277</v>
      </c>
      <c r="K12392">
        <v>0</v>
      </c>
      <c r="L12392">
        <v>387.8</v>
      </c>
    </row>
    <row r="12393" spans="1:12" x14ac:dyDescent="0.25">
      <c r="A12393" t="str">
        <f t="shared" si="2688"/>
        <v>89301000</v>
      </c>
      <c r="B12393" t="str">
        <f t="shared" si="2690"/>
        <v>89383000</v>
      </c>
      <c r="C12393" t="str">
        <f t="shared" si="2691"/>
        <v>89383002</v>
      </c>
      <c r="D12393" t="str">
        <f t="shared" si="2692"/>
        <v>809</v>
      </c>
      <c r="E12393" t="str">
        <f t="shared" ref="E12393:E12413" si="2693">"89301212"</f>
        <v>89301212</v>
      </c>
      <c r="F12393" t="str">
        <f>"8053135354"</f>
        <v>8053135354</v>
      </c>
      <c r="G12393" s="1">
        <v>44896</v>
      </c>
      <c r="H12393" t="str">
        <f>"89512"</f>
        <v>89512</v>
      </c>
      <c r="I12393">
        <v>1</v>
      </c>
      <c r="J12393">
        <v>277</v>
      </c>
      <c r="K12393">
        <v>0</v>
      </c>
      <c r="L12393">
        <v>387.8</v>
      </c>
    </row>
    <row r="12394" spans="1:12" x14ac:dyDescent="0.25">
      <c r="A12394" t="str">
        <f t="shared" si="2688"/>
        <v>89301000</v>
      </c>
      <c r="B12394" t="str">
        <f t="shared" si="2690"/>
        <v>89383000</v>
      </c>
      <c r="C12394" t="str">
        <f t="shared" si="2691"/>
        <v>89383002</v>
      </c>
      <c r="D12394" t="str">
        <f t="shared" si="2692"/>
        <v>809</v>
      </c>
      <c r="E12394" t="str">
        <f t="shared" si="2693"/>
        <v>89301212</v>
      </c>
      <c r="F12394" t="str">
        <f>"7655015346"</f>
        <v>7655015346</v>
      </c>
      <c r="G12394" s="1">
        <v>44896</v>
      </c>
      <c r="H12394" t="str">
        <f>"89180"</f>
        <v>89180</v>
      </c>
      <c r="I12394">
        <v>1</v>
      </c>
      <c r="J12394">
        <v>376</v>
      </c>
      <c r="K12394">
        <v>0</v>
      </c>
      <c r="L12394">
        <v>526.4</v>
      </c>
    </row>
    <row r="12395" spans="1:12" x14ac:dyDescent="0.25">
      <c r="A12395" t="str">
        <f t="shared" si="2688"/>
        <v>89301000</v>
      </c>
      <c r="B12395" t="str">
        <f t="shared" si="2690"/>
        <v>89383000</v>
      </c>
      <c r="C12395" t="str">
        <f t="shared" si="2691"/>
        <v>89383002</v>
      </c>
      <c r="D12395" t="str">
        <f t="shared" si="2692"/>
        <v>809</v>
      </c>
      <c r="E12395" t="str">
        <f t="shared" si="2693"/>
        <v>89301212</v>
      </c>
      <c r="F12395" t="str">
        <f>"7655015346"</f>
        <v>7655015346</v>
      </c>
      <c r="G12395" s="1">
        <v>44896</v>
      </c>
      <c r="H12395" t="str">
        <f>"89512"</f>
        <v>89512</v>
      </c>
      <c r="I12395">
        <v>1</v>
      </c>
      <c r="J12395">
        <v>277</v>
      </c>
      <c r="K12395">
        <v>0</v>
      </c>
      <c r="L12395">
        <v>387.8</v>
      </c>
    </row>
    <row r="12396" spans="1:12" x14ac:dyDescent="0.25">
      <c r="A12396" t="str">
        <f t="shared" si="2688"/>
        <v>89301000</v>
      </c>
      <c r="B12396" t="str">
        <f t="shared" si="2690"/>
        <v>89383000</v>
      </c>
      <c r="C12396" t="str">
        <f t="shared" si="2691"/>
        <v>89383002</v>
      </c>
      <c r="D12396" t="str">
        <f t="shared" si="2692"/>
        <v>809</v>
      </c>
      <c r="E12396" t="str">
        <f t="shared" si="2693"/>
        <v>89301212</v>
      </c>
      <c r="F12396" t="str">
        <f>"7151195315"</f>
        <v>7151195315</v>
      </c>
      <c r="G12396" s="1">
        <v>44897</v>
      </c>
      <c r="H12396" t="str">
        <f>"89180"</f>
        <v>89180</v>
      </c>
      <c r="I12396">
        <v>2</v>
      </c>
      <c r="J12396">
        <v>752</v>
      </c>
      <c r="K12396">
        <v>0</v>
      </c>
      <c r="L12396">
        <v>1052.8</v>
      </c>
    </row>
    <row r="12397" spans="1:12" x14ac:dyDescent="0.25">
      <c r="A12397" t="str">
        <f t="shared" si="2688"/>
        <v>89301000</v>
      </c>
      <c r="B12397" t="str">
        <f t="shared" si="2690"/>
        <v>89383000</v>
      </c>
      <c r="C12397" t="str">
        <f t="shared" si="2691"/>
        <v>89383002</v>
      </c>
      <c r="D12397" t="str">
        <f t="shared" si="2692"/>
        <v>809</v>
      </c>
      <c r="E12397" t="str">
        <f t="shared" si="2693"/>
        <v>89301212</v>
      </c>
      <c r="F12397" t="str">
        <f>"7151195315"</f>
        <v>7151195315</v>
      </c>
      <c r="G12397" s="1">
        <v>44897</v>
      </c>
      <c r="H12397" t="str">
        <f>"89512"</f>
        <v>89512</v>
      </c>
      <c r="I12397">
        <v>1</v>
      </c>
      <c r="J12397">
        <v>277</v>
      </c>
      <c r="K12397">
        <v>0</v>
      </c>
      <c r="L12397">
        <v>387.8</v>
      </c>
    </row>
    <row r="12398" spans="1:12" x14ac:dyDescent="0.25">
      <c r="A12398" t="str">
        <f t="shared" si="2688"/>
        <v>89301000</v>
      </c>
      <c r="B12398" t="str">
        <f t="shared" si="2690"/>
        <v>89383000</v>
      </c>
      <c r="C12398" t="str">
        <f t="shared" si="2691"/>
        <v>89383002</v>
      </c>
      <c r="D12398" t="str">
        <f t="shared" si="2692"/>
        <v>809</v>
      </c>
      <c r="E12398" t="str">
        <f t="shared" si="2693"/>
        <v>89301212</v>
      </c>
      <c r="F12398" t="str">
        <f>"7151195315"</f>
        <v>7151195315</v>
      </c>
      <c r="G12398" s="1">
        <v>44897</v>
      </c>
      <c r="H12398" t="str">
        <f>"89513"</f>
        <v>89513</v>
      </c>
      <c r="I12398">
        <v>1</v>
      </c>
      <c r="J12398">
        <v>371</v>
      </c>
      <c r="K12398">
        <v>0</v>
      </c>
      <c r="L12398">
        <v>519.4</v>
      </c>
    </row>
    <row r="12399" spans="1:12" x14ac:dyDescent="0.25">
      <c r="A12399" t="str">
        <f t="shared" si="2688"/>
        <v>89301000</v>
      </c>
      <c r="B12399" t="str">
        <f t="shared" si="2690"/>
        <v>89383000</v>
      </c>
      <c r="C12399" t="str">
        <f t="shared" si="2691"/>
        <v>89383002</v>
      </c>
      <c r="D12399" t="str">
        <f t="shared" si="2692"/>
        <v>809</v>
      </c>
      <c r="E12399" t="str">
        <f t="shared" si="2693"/>
        <v>89301212</v>
      </c>
      <c r="F12399" t="str">
        <f>"7151195315"</f>
        <v>7151195315</v>
      </c>
      <c r="G12399" s="1">
        <v>44897</v>
      </c>
      <c r="H12399" t="str">
        <f>"89514"</f>
        <v>89514</v>
      </c>
      <c r="I12399">
        <v>1</v>
      </c>
      <c r="J12399">
        <v>371</v>
      </c>
      <c r="K12399">
        <v>0</v>
      </c>
      <c r="L12399">
        <v>519.4</v>
      </c>
    </row>
    <row r="12400" spans="1:12" x14ac:dyDescent="0.25">
      <c r="A12400" t="str">
        <f t="shared" si="2688"/>
        <v>89301000</v>
      </c>
      <c r="B12400" t="str">
        <f t="shared" si="2690"/>
        <v>89383000</v>
      </c>
      <c r="C12400" t="str">
        <f t="shared" si="2691"/>
        <v>89383002</v>
      </c>
      <c r="D12400" t="str">
        <f t="shared" si="2692"/>
        <v>809</v>
      </c>
      <c r="E12400" t="str">
        <f t="shared" si="2693"/>
        <v>89301212</v>
      </c>
      <c r="F12400" t="str">
        <f>"5861161482"</f>
        <v>5861161482</v>
      </c>
      <c r="G12400" s="1">
        <v>44897</v>
      </c>
      <c r="H12400" t="str">
        <f>"89180"</f>
        <v>89180</v>
      </c>
      <c r="I12400">
        <v>1</v>
      </c>
      <c r="J12400">
        <v>376</v>
      </c>
      <c r="K12400">
        <v>0</v>
      </c>
      <c r="L12400">
        <v>526.4</v>
      </c>
    </row>
    <row r="12401" spans="1:12" x14ac:dyDescent="0.25">
      <c r="A12401" t="str">
        <f t="shared" si="2688"/>
        <v>89301000</v>
      </c>
      <c r="B12401" t="str">
        <f t="shared" si="2690"/>
        <v>89383000</v>
      </c>
      <c r="C12401" t="str">
        <f t="shared" si="2691"/>
        <v>89383002</v>
      </c>
      <c r="D12401" t="str">
        <f t="shared" si="2692"/>
        <v>809</v>
      </c>
      <c r="E12401" t="str">
        <f t="shared" si="2693"/>
        <v>89301212</v>
      </c>
      <c r="F12401" t="str">
        <f>"5861161482"</f>
        <v>5861161482</v>
      </c>
      <c r="G12401" s="1">
        <v>44897</v>
      </c>
      <c r="H12401" t="str">
        <f>"89512"</f>
        <v>89512</v>
      </c>
      <c r="I12401">
        <v>1</v>
      </c>
      <c r="J12401">
        <v>277</v>
      </c>
      <c r="K12401">
        <v>0</v>
      </c>
      <c r="L12401">
        <v>387.8</v>
      </c>
    </row>
    <row r="12402" spans="1:12" x14ac:dyDescent="0.25">
      <c r="A12402" t="str">
        <f t="shared" si="2688"/>
        <v>89301000</v>
      </c>
      <c r="B12402" t="str">
        <f t="shared" si="2690"/>
        <v>89383000</v>
      </c>
      <c r="C12402" t="str">
        <f t="shared" si="2691"/>
        <v>89383002</v>
      </c>
      <c r="D12402" t="str">
        <f t="shared" si="2692"/>
        <v>809</v>
      </c>
      <c r="E12402" t="str">
        <f t="shared" si="2693"/>
        <v>89301212</v>
      </c>
      <c r="F12402" t="str">
        <f>"0153055716"</f>
        <v>0153055716</v>
      </c>
      <c r="G12402" s="1">
        <v>44897</v>
      </c>
      <c r="H12402" t="str">
        <f>"89512"</f>
        <v>89512</v>
      </c>
      <c r="I12402">
        <v>1</v>
      </c>
      <c r="J12402">
        <v>277</v>
      </c>
      <c r="K12402">
        <v>0</v>
      </c>
      <c r="L12402">
        <v>387.8</v>
      </c>
    </row>
    <row r="12403" spans="1:12" x14ac:dyDescent="0.25">
      <c r="A12403" t="str">
        <f t="shared" si="2688"/>
        <v>89301000</v>
      </c>
      <c r="B12403" t="str">
        <f t="shared" si="2690"/>
        <v>89383000</v>
      </c>
      <c r="C12403" t="str">
        <f t="shared" si="2691"/>
        <v>89383002</v>
      </c>
      <c r="D12403" t="str">
        <f t="shared" si="2692"/>
        <v>809</v>
      </c>
      <c r="E12403" t="str">
        <f t="shared" si="2693"/>
        <v>89301212</v>
      </c>
      <c r="F12403" t="str">
        <f>"0153055716"</f>
        <v>0153055716</v>
      </c>
      <c r="G12403" s="1">
        <v>44897</v>
      </c>
      <c r="H12403" t="str">
        <f>"89513"</f>
        <v>89513</v>
      </c>
      <c r="I12403">
        <v>1</v>
      </c>
      <c r="J12403">
        <v>371</v>
      </c>
      <c r="K12403">
        <v>0</v>
      </c>
      <c r="L12403">
        <v>519.4</v>
      </c>
    </row>
    <row r="12404" spans="1:12" x14ac:dyDescent="0.25">
      <c r="A12404" t="str">
        <f t="shared" si="2688"/>
        <v>89301000</v>
      </c>
      <c r="B12404" t="str">
        <f t="shared" si="2690"/>
        <v>89383000</v>
      </c>
      <c r="C12404" t="str">
        <f t="shared" si="2691"/>
        <v>89383002</v>
      </c>
      <c r="D12404" t="str">
        <f t="shared" si="2692"/>
        <v>809</v>
      </c>
      <c r="E12404" t="str">
        <f t="shared" si="2693"/>
        <v>89301212</v>
      </c>
      <c r="F12404" t="str">
        <f>"0153055716"</f>
        <v>0153055716</v>
      </c>
      <c r="G12404" s="1">
        <v>44897</v>
      </c>
      <c r="H12404" t="str">
        <f>"89514"</f>
        <v>89514</v>
      </c>
      <c r="I12404">
        <v>1</v>
      </c>
      <c r="J12404">
        <v>371</v>
      </c>
      <c r="K12404">
        <v>0</v>
      </c>
      <c r="L12404">
        <v>519.4</v>
      </c>
    </row>
    <row r="12405" spans="1:12" x14ac:dyDescent="0.25">
      <c r="A12405" t="str">
        <f t="shared" si="2688"/>
        <v>89301000</v>
      </c>
      <c r="B12405" t="str">
        <f t="shared" si="2690"/>
        <v>89383000</v>
      </c>
      <c r="C12405" t="str">
        <f t="shared" si="2691"/>
        <v>89383002</v>
      </c>
      <c r="D12405" t="str">
        <f t="shared" si="2692"/>
        <v>809</v>
      </c>
      <c r="E12405" t="str">
        <f t="shared" si="2693"/>
        <v>89301212</v>
      </c>
      <c r="F12405" t="str">
        <f>"8056215310"</f>
        <v>8056215310</v>
      </c>
      <c r="G12405" s="1">
        <v>44900</v>
      </c>
      <c r="H12405" t="str">
        <f>"89180"</f>
        <v>89180</v>
      </c>
      <c r="I12405">
        <v>2</v>
      </c>
      <c r="J12405">
        <v>752</v>
      </c>
      <c r="K12405">
        <v>0</v>
      </c>
      <c r="L12405">
        <v>1052.8</v>
      </c>
    </row>
    <row r="12406" spans="1:12" x14ac:dyDescent="0.25">
      <c r="A12406" t="str">
        <f t="shared" si="2688"/>
        <v>89301000</v>
      </c>
      <c r="B12406" t="str">
        <f t="shared" si="2690"/>
        <v>89383000</v>
      </c>
      <c r="C12406" t="str">
        <f t="shared" si="2691"/>
        <v>89383002</v>
      </c>
      <c r="D12406" t="str">
        <f t="shared" si="2692"/>
        <v>809</v>
      </c>
      <c r="E12406" t="str">
        <f t="shared" si="2693"/>
        <v>89301212</v>
      </c>
      <c r="F12406" t="str">
        <f>"8056215310"</f>
        <v>8056215310</v>
      </c>
      <c r="G12406" s="1">
        <v>44900</v>
      </c>
      <c r="H12406" t="str">
        <f>"89512"</f>
        <v>89512</v>
      </c>
      <c r="I12406">
        <v>1</v>
      </c>
      <c r="J12406">
        <v>277</v>
      </c>
      <c r="K12406">
        <v>0</v>
      </c>
      <c r="L12406">
        <v>387.8</v>
      </c>
    </row>
    <row r="12407" spans="1:12" x14ac:dyDescent="0.25">
      <c r="A12407" t="str">
        <f t="shared" si="2688"/>
        <v>89301000</v>
      </c>
      <c r="B12407" t="str">
        <f t="shared" si="2690"/>
        <v>89383000</v>
      </c>
      <c r="C12407" t="str">
        <f t="shared" si="2691"/>
        <v>89383002</v>
      </c>
      <c r="D12407" t="str">
        <f t="shared" si="2692"/>
        <v>809</v>
      </c>
      <c r="E12407" t="str">
        <f t="shared" si="2693"/>
        <v>89301212</v>
      </c>
      <c r="F12407" t="str">
        <f>"7155031213"</f>
        <v>7155031213</v>
      </c>
      <c r="G12407" s="1">
        <v>44901</v>
      </c>
      <c r="H12407" t="str">
        <f>"89180"</f>
        <v>89180</v>
      </c>
      <c r="I12407">
        <v>2</v>
      </c>
      <c r="J12407">
        <v>752</v>
      </c>
      <c r="K12407">
        <v>0</v>
      </c>
      <c r="L12407">
        <v>1052.8</v>
      </c>
    </row>
    <row r="12408" spans="1:12" x14ac:dyDescent="0.25">
      <c r="A12408" t="str">
        <f t="shared" si="2688"/>
        <v>89301000</v>
      </c>
      <c r="B12408" t="str">
        <f t="shared" si="2690"/>
        <v>89383000</v>
      </c>
      <c r="C12408" t="str">
        <f t="shared" si="2691"/>
        <v>89383002</v>
      </c>
      <c r="D12408" t="str">
        <f t="shared" si="2692"/>
        <v>809</v>
      </c>
      <c r="E12408" t="str">
        <f t="shared" si="2693"/>
        <v>89301212</v>
      </c>
      <c r="F12408" t="str">
        <f>"7155031213"</f>
        <v>7155031213</v>
      </c>
      <c r="G12408" s="1">
        <v>44901</v>
      </c>
      <c r="H12408" t="str">
        <f>"89512"</f>
        <v>89512</v>
      </c>
      <c r="I12408">
        <v>1</v>
      </c>
      <c r="J12408">
        <v>277</v>
      </c>
      <c r="K12408">
        <v>0</v>
      </c>
      <c r="L12408">
        <v>387.8</v>
      </c>
    </row>
    <row r="12409" spans="1:12" x14ac:dyDescent="0.25">
      <c r="A12409" t="str">
        <f t="shared" si="2688"/>
        <v>89301000</v>
      </c>
      <c r="B12409" t="str">
        <f t="shared" si="2690"/>
        <v>89383000</v>
      </c>
      <c r="C12409" t="str">
        <f t="shared" si="2691"/>
        <v>89383002</v>
      </c>
      <c r="D12409" t="str">
        <f t="shared" si="2692"/>
        <v>809</v>
      </c>
      <c r="E12409" t="str">
        <f t="shared" si="2693"/>
        <v>89301212</v>
      </c>
      <c r="F12409" t="str">
        <f>"7155031213"</f>
        <v>7155031213</v>
      </c>
      <c r="G12409" s="1">
        <v>44901</v>
      </c>
      <c r="H12409" t="str">
        <f>"89513"</f>
        <v>89513</v>
      </c>
      <c r="I12409">
        <v>1</v>
      </c>
      <c r="J12409">
        <v>371</v>
      </c>
      <c r="K12409">
        <v>0</v>
      </c>
      <c r="L12409">
        <v>519.4</v>
      </c>
    </row>
    <row r="12410" spans="1:12" x14ac:dyDescent="0.25">
      <c r="A12410" t="str">
        <f t="shared" si="2688"/>
        <v>89301000</v>
      </c>
      <c r="B12410" t="str">
        <f t="shared" si="2690"/>
        <v>89383000</v>
      </c>
      <c r="C12410" t="str">
        <f t="shared" si="2691"/>
        <v>89383002</v>
      </c>
      <c r="D12410" t="str">
        <f t="shared" si="2692"/>
        <v>809</v>
      </c>
      <c r="E12410" t="str">
        <f t="shared" si="2693"/>
        <v>89301212</v>
      </c>
      <c r="F12410" t="str">
        <f>"7155031213"</f>
        <v>7155031213</v>
      </c>
      <c r="G12410" s="1">
        <v>44901</v>
      </c>
      <c r="H12410" t="str">
        <f>"89514"</f>
        <v>89514</v>
      </c>
      <c r="I12410">
        <v>1</v>
      </c>
      <c r="J12410">
        <v>371</v>
      </c>
      <c r="K12410">
        <v>0</v>
      </c>
      <c r="L12410">
        <v>519.4</v>
      </c>
    </row>
    <row r="12411" spans="1:12" x14ac:dyDescent="0.25">
      <c r="A12411" t="str">
        <f t="shared" si="2688"/>
        <v>89301000</v>
      </c>
      <c r="B12411" t="str">
        <f t="shared" si="2690"/>
        <v>89383000</v>
      </c>
      <c r="C12411" t="str">
        <f t="shared" si="2691"/>
        <v>89383002</v>
      </c>
      <c r="D12411" t="str">
        <f t="shared" si="2692"/>
        <v>809</v>
      </c>
      <c r="E12411" t="str">
        <f t="shared" si="2693"/>
        <v>89301212</v>
      </c>
      <c r="F12411" t="str">
        <f>"6354031101"</f>
        <v>6354031101</v>
      </c>
      <c r="G12411" s="1">
        <v>44901</v>
      </c>
      <c r="H12411" t="str">
        <f>"89512"</f>
        <v>89512</v>
      </c>
      <c r="I12411">
        <v>1</v>
      </c>
      <c r="J12411">
        <v>277</v>
      </c>
      <c r="K12411">
        <v>0</v>
      </c>
      <c r="L12411">
        <v>387.8</v>
      </c>
    </row>
    <row r="12412" spans="1:12" x14ac:dyDescent="0.25">
      <c r="A12412" t="str">
        <f t="shared" si="2688"/>
        <v>89301000</v>
      </c>
      <c r="B12412" t="str">
        <f t="shared" si="2690"/>
        <v>89383000</v>
      </c>
      <c r="C12412" t="str">
        <f t="shared" si="2691"/>
        <v>89383002</v>
      </c>
      <c r="D12412" t="str">
        <f t="shared" si="2692"/>
        <v>809</v>
      </c>
      <c r="E12412" t="str">
        <f t="shared" si="2693"/>
        <v>89301212</v>
      </c>
      <c r="F12412" t="str">
        <f>"6354031101"</f>
        <v>6354031101</v>
      </c>
      <c r="G12412" s="1">
        <v>44901</v>
      </c>
      <c r="H12412" t="str">
        <f>"89513"</f>
        <v>89513</v>
      </c>
      <c r="I12412">
        <v>1</v>
      </c>
      <c r="J12412">
        <v>371</v>
      </c>
      <c r="K12412">
        <v>0</v>
      </c>
      <c r="L12412">
        <v>519.4</v>
      </c>
    </row>
    <row r="12413" spans="1:12" x14ac:dyDescent="0.25">
      <c r="A12413" t="str">
        <f t="shared" si="2688"/>
        <v>89301000</v>
      </c>
      <c r="B12413" t="str">
        <f t="shared" si="2690"/>
        <v>89383000</v>
      </c>
      <c r="C12413" t="str">
        <f t="shared" si="2691"/>
        <v>89383002</v>
      </c>
      <c r="D12413" t="str">
        <f t="shared" si="2692"/>
        <v>809</v>
      </c>
      <c r="E12413" t="str">
        <f t="shared" si="2693"/>
        <v>89301212</v>
      </c>
      <c r="F12413" t="str">
        <f>"6354031101"</f>
        <v>6354031101</v>
      </c>
      <c r="G12413" s="1">
        <v>44901</v>
      </c>
      <c r="H12413" t="str">
        <f>"89514"</f>
        <v>89514</v>
      </c>
      <c r="I12413">
        <v>1</v>
      </c>
      <c r="J12413">
        <v>371</v>
      </c>
      <c r="K12413">
        <v>0</v>
      </c>
      <c r="L12413">
        <v>519.4</v>
      </c>
    </row>
    <row r="12414" spans="1:12" x14ac:dyDescent="0.25">
      <c r="A12414" t="str">
        <f t="shared" si="2688"/>
        <v>89301000</v>
      </c>
      <c r="B12414" t="str">
        <f t="shared" si="2690"/>
        <v>89383000</v>
      </c>
      <c r="C12414" t="str">
        <f t="shared" si="2691"/>
        <v>89383002</v>
      </c>
      <c r="D12414" t="str">
        <f t="shared" si="2692"/>
        <v>809</v>
      </c>
      <c r="E12414" t="str">
        <f t="shared" ref="E12414:E12425" si="2694">"89301045"</f>
        <v>89301045</v>
      </c>
      <c r="F12414" t="str">
        <f t="shared" ref="F12414:F12419" si="2695">"0008294385"</f>
        <v>0008294385</v>
      </c>
      <c r="G12414" s="1">
        <v>44901</v>
      </c>
      <c r="H12414" t="str">
        <f>"89313"</f>
        <v>89313</v>
      </c>
      <c r="I12414">
        <v>1</v>
      </c>
      <c r="J12414">
        <v>406</v>
      </c>
      <c r="K12414">
        <v>0</v>
      </c>
      <c r="L12414">
        <v>568.4</v>
      </c>
    </row>
    <row r="12415" spans="1:12" x14ac:dyDescent="0.25">
      <c r="A12415" t="str">
        <f t="shared" si="2688"/>
        <v>89301000</v>
      </c>
      <c r="B12415" t="str">
        <f t="shared" si="2690"/>
        <v>89383000</v>
      </c>
      <c r="C12415" t="str">
        <f t="shared" si="2691"/>
        <v>89383002</v>
      </c>
      <c r="D12415" t="str">
        <f t="shared" si="2692"/>
        <v>809</v>
      </c>
      <c r="E12415" t="str">
        <f t="shared" si="2694"/>
        <v>89301045</v>
      </c>
      <c r="F12415" t="str">
        <f t="shared" si="2695"/>
        <v>0008294385</v>
      </c>
      <c r="G12415" s="1">
        <v>44901</v>
      </c>
      <c r="H12415" t="str">
        <f>"09233"</f>
        <v>09233</v>
      </c>
      <c r="I12415">
        <v>1</v>
      </c>
      <c r="J12415">
        <v>99</v>
      </c>
      <c r="K12415">
        <v>0</v>
      </c>
      <c r="L12415">
        <v>138.6</v>
      </c>
    </row>
    <row r="12416" spans="1:12" x14ac:dyDescent="0.25">
      <c r="A12416" t="str">
        <f t="shared" si="2688"/>
        <v>89301000</v>
      </c>
      <c r="B12416" t="str">
        <f t="shared" si="2690"/>
        <v>89383000</v>
      </c>
      <c r="C12416" t="str">
        <f t="shared" si="2691"/>
        <v>89383002</v>
      </c>
      <c r="D12416" t="str">
        <f t="shared" si="2692"/>
        <v>809</v>
      </c>
      <c r="E12416" t="str">
        <f t="shared" si="2694"/>
        <v>89301045</v>
      </c>
      <c r="F12416" t="str">
        <f t="shared" si="2695"/>
        <v>0008294385</v>
      </c>
      <c r="G12416" s="1">
        <v>44901</v>
      </c>
      <c r="H12416" t="str">
        <f>"89515"</f>
        <v>89515</v>
      </c>
      <c r="I12416">
        <v>1</v>
      </c>
      <c r="J12416">
        <v>339</v>
      </c>
      <c r="K12416">
        <v>0</v>
      </c>
      <c r="L12416">
        <v>474.6</v>
      </c>
    </row>
    <row r="12417" spans="1:12" x14ac:dyDescent="0.25">
      <c r="A12417" t="str">
        <f t="shared" si="2688"/>
        <v>89301000</v>
      </c>
      <c r="B12417" t="str">
        <f t="shared" si="2690"/>
        <v>89383000</v>
      </c>
      <c r="C12417" t="str">
        <f t="shared" si="2691"/>
        <v>89383002</v>
      </c>
      <c r="D12417" t="str">
        <f t="shared" si="2692"/>
        <v>809</v>
      </c>
      <c r="E12417" t="str">
        <f t="shared" si="2694"/>
        <v>89301045</v>
      </c>
      <c r="F12417" t="str">
        <f t="shared" si="2695"/>
        <v>0008294385</v>
      </c>
      <c r="G12417" s="1">
        <v>44901</v>
      </c>
      <c r="H12417" t="str">
        <f>"89512"</f>
        <v>89512</v>
      </c>
      <c r="I12417">
        <v>1</v>
      </c>
      <c r="J12417">
        <v>277</v>
      </c>
      <c r="K12417">
        <v>0</v>
      </c>
      <c r="L12417">
        <v>387.8</v>
      </c>
    </row>
    <row r="12418" spans="1:12" x14ac:dyDescent="0.25">
      <c r="A12418" t="str">
        <f t="shared" ref="A12418:A12481" si="2696">"89301000"</f>
        <v>89301000</v>
      </c>
      <c r="B12418" t="str">
        <f t="shared" si="2690"/>
        <v>89383000</v>
      </c>
      <c r="C12418" t="str">
        <f t="shared" si="2691"/>
        <v>89383002</v>
      </c>
      <c r="D12418" t="str">
        <f t="shared" si="2692"/>
        <v>809</v>
      </c>
      <c r="E12418" t="str">
        <f t="shared" si="2694"/>
        <v>89301045</v>
      </c>
      <c r="F12418" t="str">
        <f t="shared" si="2695"/>
        <v>0008294385</v>
      </c>
      <c r="G12418" s="1">
        <v>44901</v>
      </c>
      <c r="H12418" t="str">
        <f>"0225891"</f>
        <v>0225891</v>
      </c>
      <c r="I12418">
        <v>0.02</v>
      </c>
      <c r="K12418">
        <v>7.35</v>
      </c>
      <c r="L12418">
        <v>7.35</v>
      </c>
    </row>
    <row r="12419" spans="1:12" x14ac:dyDescent="0.25">
      <c r="A12419" t="str">
        <f t="shared" si="2696"/>
        <v>89301000</v>
      </c>
      <c r="B12419" t="str">
        <f t="shared" si="2690"/>
        <v>89383000</v>
      </c>
      <c r="C12419" t="str">
        <f t="shared" si="2691"/>
        <v>89383002</v>
      </c>
      <c r="D12419" t="str">
        <f t="shared" si="2692"/>
        <v>809</v>
      </c>
      <c r="E12419" t="str">
        <f t="shared" si="2694"/>
        <v>89301045</v>
      </c>
      <c r="F12419" t="str">
        <f t="shared" si="2695"/>
        <v>0008294385</v>
      </c>
      <c r="G12419" s="1">
        <v>44901</v>
      </c>
      <c r="H12419" t="str">
        <f>"0142908"</f>
        <v>0142908</v>
      </c>
      <c r="I12419">
        <v>1</v>
      </c>
      <c r="K12419">
        <v>910</v>
      </c>
      <c r="L12419">
        <v>910</v>
      </c>
    </row>
    <row r="12420" spans="1:12" x14ac:dyDescent="0.25">
      <c r="A12420" t="str">
        <f t="shared" si="2696"/>
        <v>89301000</v>
      </c>
      <c r="B12420" t="str">
        <f t="shared" si="2690"/>
        <v>89383000</v>
      </c>
      <c r="C12420" t="str">
        <f t="shared" si="2691"/>
        <v>89383002</v>
      </c>
      <c r="D12420" t="str">
        <f t="shared" si="2692"/>
        <v>809</v>
      </c>
      <c r="E12420" t="str">
        <f t="shared" si="2694"/>
        <v>89301045</v>
      </c>
      <c r="F12420" t="str">
        <f t="shared" ref="F12420:F12425" si="2697">"446213405"</f>
        <v>446213405</v>
      </c>
      <c r="G12420" s="1">
        <v>44900</v>
      </c>
      <c r="H12420" t="str">
        <f>"89313"</f>
        <v>89313</v>
      </c>
      <c r="I12420">
        <v>1</v>
      </c>
      <c r="J12420">
        <v>406</v>
      </c>
      <c r="K12420">
        <v>0</v>
      </c>
      <c r="L12420">
        <v>568.4</v>
      </c>
    </row>
    <row r="12421" spans="1:12" x14ac:dyDescent="0.25">
      <c r="A12421" t="str">
        <f t="shared" si="2696"/>
        <v>89301000</v>
      </c>
      <c r="B12421" t="str">
        <f t="shared" si="2690"/>
        <v>89383000</v>
      </c>
      <c r="C12421" t="str">
        <f t="shared" si="2691"/>
        <v>89383002</v>
      </c>
      <c r="D12421" t="str">
        <f t="shared" si="2692"/>
        <v>809</v>
      </c>
      <c r="E12421" t="str">
        <f t="shared" si="2694"/>
        <v>89301045</v>
      </c>
      <c r="F12421" t="str">
        <f t="shared" si="2697"/>
        <v>446213405</v>
      </c>
      <c r="G12421" s="1">
        <v>44900</v>
      </c>
      <c r="H12421" t="str">
        <f>"09233"</f>
        <v>09233</v>
      </c>
      <c r="I12421">
        <v>1</v>
      </c>
      <c r="J12421">
        <v>99</v>
      </c>
      <c r="K12421">
        <v>0</v>
      </c>
      <c r="L12421">
        <v>138.6</v>
      </c>
    </row>
    <row r="12422" spans="1:12" x14ac:dyDescent="0.25">
      <c r="A12422" t="str">
        <f t="shared" si="2696"/>
        <v>89301000</v>
      </c>
      <c r="B12422" t="str">
        <f t="shared" si="2690"/>
        <v>89383000</v>
      </c>
      <c r="C12422" t="str">
        <f t="shared" si="2691"/>
        <v>89383002</v>
      </c>
      <c r="D12422" t="str">
        <f t="shared" si="2692"/>
        <v>809</v>
      </c>
      <c r="E12422" t="str">
        <f t="shared" si="2694"/>
        <v>89301045</v>
      </c>
      <c r="F12422" t="str">
        <f t="shared" si="2697"/>
        <v>446213405</v>
      </c>
      <c r="G12422" s="1">
        <v>44900</v>
      </c>
      <c r="H12422" t="str">
        <f>"89512"</f>
        <v>89512</v>
      </c>
      <c r="I12422">
        <v>1</v>
      </c>
      <c r="J12422">
        <v>277</v>
      </c>
      <c r="K12422">
        <v>0</v>
      </c>
      <c r="L12422">
        <v>387.8</v>
      </c>
    </row>
    <row r="12423" spans="1:12" x14ac:dyDescent="0.25">
      <c r="A12423" t="str">
        <f t="shared" si="2696"/>
        <v>89301000</v>
      </c>
      <c r="B12423" t="str">
        <f t="shared" si="2690"/>
        <v>89383000</v>
      </c>
      <c r="C12423" t="str">
        <f t="shared" si="2691"/>
        <v>89383002</v>
      </c>
      <c r="D12423" t="str">
        <f t="shared" si="2692"/>
        <v>809</v>
      </c>
      <c r="E12423" t="str">
        <f t="shared" si="2694"/>
        <v>89301045</v>
      </c>
      <c r="F12423" t="str">
        <f t="shared" si="2697"/>
        <v>446213405</v>
      </c>
      <c r="G12423" s="1">
        <v>44900</v>
      </c>
      <c r="H12423" t="str">
        <f>"89180"</f>
        <v>89180</v>
      </c>
      <c r="I12423">
        <v>1</v>
      </c>
      <c r="J12423">
        <v>376</v>
      </c>
      <c r="K12423">
        <v>0</v>
      </c>
      <c r="L12423">
        <v>526.4</v>
      </c>
    </row>
    <row r="12424" spans="1:12" x14ac:dyDescent="0.25">
      <c r="A12424" t="str">
        <f t="shared" si="2696"/>
        <v>89301000</v>
      </c>
      <c r="B12424" t="str">
        <f t="shared" ref="B12424:B12455" si="2698">"89383000"</f>
        <v>89383000</v>
      </c>
      <c r="C12424" t="str">
        <f t="shared" ref="C12424:C12455" si="2699">"89383002"</f>
        <v>89383002</v>
      </c>
      <c r="D12424" t="str">
        <f t="shared" ref="D12424:D12455" si="2700">"809"</f>
        <v>809</v>
      </c>
      <c r="E12424" t="str">
        <f t="shared" si="2694"/>
        <v>89301045</v>
      </c>
      <c r="F12424" t="str">
        <f t="shared" si="2697"/>
        <v>446213405</v>
      </c>
      <c r="G12424" s="1">
        <v>44900</v>
      </c>
      <c r="H12424" t="str">
        <f>"0225891"</f>
        <v>0225891</v>
      </c>
      <c r="I12424">
        <v>0.02</v>
      </c>
      <c r="K12424">
        <v>7.35</v>
      </c>
      <c r="L12424">
        <v>7.35</v>
      </c>
    </row>
    <row r="12425" spans="1:12" x14ac:dyDescent="0.25">
      <c r="A12425" t="str">
        <f t="shared" si="2696"/>
        <v>89301000</v>
      </c>
      <c r="B12425" t="str">
        <f t="shared" si="2698"/>
        <v>89383000</v>
      </c>
      <c r="C12425" t="str">
        <f t="shared" si="2699"/>
        <v>89383002</v>
      </c>
      <c r="D12425" t="str">
        <f t="shared" si="2700"/>
        <v>809</v>
      </c>
      <c r="E12425" t="str">
        <f t="shared" si="2694"/>
        <v>89301045</v>
      </c>
      <c r="F12425" t="str">
        <f t="shared" si="2697"/>
        <v>446213405</v>
      </c>
      <c r="G12425" s="1">
        <v>44900</v>
      </c>
      <c r="H12425" t="str">
        <f>"0082502"</f>
        <v>0082502</v>
      </c>
      <c r="I12425">
        <v>1</v>
      </c>
      <c r="K12425">
        <v>2093</v>
      </c>
      <c r="L12425">
        <v>2093</v>
      </c>
    </row>
    <row r="12426" spans="1:12" x14ac:dyDescent="0.25">
      <c r="A12426" t="str">
        <f t="shared" si="2696"/>
        <v>89301000</v>
      </c>
      <c r="B12426" t="str">
        <f t="shared" si="2698"/>
        <v>89383000</v>
      </c>
      <c r="C12426" t="str">
        <f t="shared" si="2699"/>
        <v>89383002</v>
      </c>
      <c r="D12426" t="str">
        <f t="shared" si="2700"/>
        <v>809</v>
      </c>
      <c r="E12426" t="str">
        <f t="shared" ref="E12426:E12431" si="2701">"89301212"</f>
        <v>89301212</v>
      </c>
      <c r="F12426" t="str">
        <f>"5459073125"</f>
        <v>5459073125</v>
      </c>
      <c r="G12426" s="1">
        <v>44902</v>
      </c>
      <c r="H12426" t="str">
        <f>"89180"</f>
        <v>89180</v>
      </c>
      <c r="I12426">
        <v>2</v>
      </c>
      <c r="J12426">
        <v>752</v>
      </c>
      <c r="K12426">
        <v>0</v>
      </c>
      <c r="L12426">
        <v>1052.8</v>
      </c>
    </row>
    <row r="12427" spans="1:12" x14ac:dyDescent="0.25">
      <c r="A12427" t="str">
        <f t="shared" si="2696"/>
        <v>89301000</v>
      </c>
      <c r="B12427" t="str">
        <f t="shared" si="2698"/>
        <v>89383000</v>
      </c>
      <c r="C12427" t="str">
        <f t="shared" si="2699"/>
        <v>89383002</v>
      </c>
      <c r="D12427" t="str">
        <f t="shared" si="2700"/>
        <v>809</v>
      </c>
      <c r="E12427" t="str">
        <f t="shared" si="2701"/>
        <v>89301212</v>
      </c>
      <c r="F12427" t="str">
        <f>"5459073125"</f>
        <v>5459073125</v>
      </c>
      <c r="G12427" s="1">
        <v>44902</v>
      </c>
      <c r="H12427" t="str">
        <f>"89512"</f>
        <v>89512</v>
      </c>
      <c r="I12427">
        <v>1</v>
      </c>
      <c r="J12427">
        <v>277</v>
      </c>
      <c r="K12427">
        <v>0</v>
      </c>
      <c r="L12427">
        <v>387.8</v>
      </c>
    </row>
    <row r="12428" spans="1:12" x14ac:dyDescent="0.25">
      <c r="A12428" t="str">
        <f t="shared" si="2696"/>
        <v>89301000</v>
      </c>
      <c r="B12428" t="str">
        <f t="shared" si="2698"/>
        <v>89383000</v>
      </c>
      <c r="C12428" t="str">
        <f t="shared" si="2699"/>
        <v>89383002</v>
      </c>
      <c r="D12428" t="str">
        <f t="shared" si="2700"/>
        <v>809</v>
      </c>
      <c r="E12428" t="str">
        <f t="shared" si="2701"/>
        <v>89301212</v>
      </c>
      <c r="F12428" t="str">
        <f>"5459073125"</f>
        <v>5459073125</v>
      </c>
      <c r="G12428" s="1">
        <v>44902</v>
      </c>
      <c r="H12428" t="str">
        <f>"89513"</f>
        <v>89513</v>
      </c>
      <c r="I12428">
        <v>1</v>
      </c>
      <c r="J12428">
        <v>371</v>
      </c>
      <c r="K12428">
        <v>0</v>
      </c>
      <c r="L12428">
        <v>519.4</v>
      </c>
    </row>
    <row r="12429" spans="1:12" x14ac:dyDescent="0.25">
      <c r="A12429" t="str">
        <f t="shared" si="2696"/>
        <v>89301000</v>
      </c>
      <c r="B12429" t="str">
        <f t="shared" si="2698"/>
        <v>89383000</v>
      </c>
      <c r="C12429" t="str">
        <f t="shared" si="2699"/>
        <v>89383002</v>
      </c>
      <c r="D12429" t="str">
        <f t="shared" si="2700"/>
        <v>809</v>
      </c>
      <c r="E12429" t="str">
        <f t="shared" si="2701"/>
        <v>89301212</v>
      </c>
      <c r="F12429" t="str">
        <f>"5459073125"</f>
        <v>5459073125</v>
      </c>
      <c r="G12429" s="1">
        <v>44902</v>
      </c>
      <c r="H12429" t="str">
        <f>"89514"</f>
        <v>89514</v>
      </c>
      <c r="I12429">
        <v>1</v>
      </c>
      <c r="J12429">
        <v>371</v>
      </c>
      <c r="K12429">
        <v>0</v>
      </c>
      <c r="L12429">
        <v>519.4</v>
      </c>
    </row>
    <row r="12430" spans="1:12" x14ac:dyDescent="0.25">
      <c r="A12430" t="str">
        <f t="shared" si="2696"/>
        <v>89301000</v>
      </c>
      <c r="B12430" t="str">
        <f t="shared" si="2698"/>
        <v>89383000</v>
      </c>
      <c r="C12430" t="str">
        <f t="shared" si="2699"/>
        <v>89383002</v>
      </c>
      <c r="D12430" t="str">
        <f t="shared" si="2700"/>
        <v>809</v>
      </c>
      <c r="E12430" t="str">
        <f t="shared" si="2701"/>
        <v>89301212</v>
      </c>
      <c r="F12430" t="str">
        <f>"6360061378"</f>
        <v>6360061378</v>
      </c>
      <c r="G12430" s="1">
        <v>44902</v>
      </c>
      <c r="H12430" t="str">
        <f>"89513"</f>
        <v>89513</v>
      </c>
      <c r="I12430">
        <v>1</v>
      </c>
      <c r="J12430">
        <v>371</v>
      </c>
      <c r="K12430">
        <v>0</v>
      </c>
      <c r="L12430">
        <v>519.4</v>
      </c>
    </row>
    <row r="12431" spans="1:12" x14ac:dyDescent="0.25">
      <c r="A12431" t="str">
        <f t="shared" si="2696"/>
        <v>89301000</v>
      </c>
      <c r="B12431" t="str">
        <f t="shared" si="2698"/>
        <v>89383000</v>
      </c>
      <c r="C12431" t="str">
        <f t="shared" si="2699"/>
        <v>89383002</v>
      </c>
      <c r="D12431" t="str">
        <f t="shared" si="2700"/>
        <v>809</v>
      </c>
      <c r="E12431" t="str">
        <f t="shared" si="2701"/>
        <v>89301212</v>
      </c>
      <c r="F12431" t="str">
        <f>"6360061378"</f>
        <v>6360061378</v>
      </c>
      <c r="G12431" s="1">
        <v>44902</v>
      </c>
      <c r="H12431" t="str">
        <f>"89514"</f>
        <v>89514</v>
      </c>
      <c r="I12431">
        <v>1</v>
      </c>
      <c r="J12431">
        <v>371</v>
      </c>
      <c r="K12431">
        <v>0</v>
      </c>
      <c r="L12431">
        <v>519.4</v>
      </c>
    </row>
    <row r="12432" spans="1:12" x14ac:dyDescent="0.25">
      <c r="A12432" t="str">
        <f t="shared" si="2696"/>
        <v>89301000</v>
      </c>
      <c r="B12432" t="str">
        <f t="shared" si="2698"/>
        <v>89383000</v>
      </c>
      <c r="C12432" t="str">
        <f t="shared" si="2699"/>
        <v>89383002</v>
      </c>
      <c r="D12432" t="str">
        <f t="shared" si="2700"/>
        <v>809</v>
      </c>
      <c r="E12432" t="str">
        <f>"89301215"</f>
        <v>89301215</v>
      </c>
      <c r="F12432" t="str">
        <f>"8258305363"</f>
        <v>8258305363</v>
      </c>
      <c r="G12432" s="1">
        <v>44902</v>
      </c>
      <c r="H12432" t="str">
        <f>"89512"</f>
        <v>89512</v>
      </c>
      <c r="I12432">
        <v>1</v>
      </c>
      <c r="J12432">
        <v>277</v>
      </c>
      <c r="K12432">
        <v>0</v>
      </c>
      <c r="L12432">
        <v>387.8</v>
      </c>
    </row>
    <row r="12433" spans="1:12" x14ac:dyDescent="0.25">
      <c r="A12433" t="str">
        <f t="shared" si="2696"/>
        <v>89301000</v>
      </c>
      <c r="B12433" t="str">
        <f t="shared" si="2698"/>
        <v>89383000</v>
      </c>
      <c r="C12433" t="str">
        <f t="shared" si="2699"/>
        <v>89383002</v>
      </c>
      <c r="D12433" t="str">
        <f t="shared" si="2700"/>
        <v>809</v>
      </c>
      <c r="E12433" t="str">
        <f>"89301215"</f>
        <v>89301215</v>
      </c>
      <c r="F12433" t="str">
        <f>"8258305363"</f>
        <v>8258305363</v>
      </c>
      <c r="G12433" s="1">
        <v>44902</v>
      </c>
      <c r="H12433" t="str">
        <f>"89180"</f>
        <v>89180</v>
      </c>
      <c r="I12433">
        <v>2</v>
      </c>
      <c r="J12433">
        <v>752</v>
      </c>
      <c r="K12433">
        <v>0</v>
      </c>
      <c r="L12433">
        <v>1052.8</v>
      </c>
    </row>
    <row r="12434" spans="1:12" x14ac:dyDescent="0.25">
      <c r="A12434" t="str">
        <f t="shared" si="2696"/>
        <v>89301000</v>
      </c>
      <c r="B12434" t="str">
        <f t="shared" si="2698"/>
        <v>89383000</v>
      </c>
      <c r="C12434" t="str">
        <f t="shared" si="2699"/>
        <v>89383002</v>
      </c>
      <c r="D12434" t="str">
        <f t="shared" si="2700"/>
        <v>809</v>
      </c>
      <c r="E12434" t="str">
        <f>"89301212"</f>
        <v>89301212</v>
      </c>
      <c r="F12434" t="str">
        <f>"7651292264"</f>
        <v>7651292264</v>
      </c>
      <c r="G12434" s="1">
        <v>44903</v>
      </c>
      <c r="H12434" t="str">
        <f>"89512"</f>
        <v>89512</v>
      </c>
      <c r="I12434">
        <v>1</v>
      </c>
      <c r="J12434">
        <v>277</v>
      </c>
      <c r="K12434">
        <v>0</v>
      </c>
      <c r="L12434">
        <v>387.8</v>
      </c>
    </row>
    <row r="12435" spans="1:12" x14ac:dyDescent="0.25">
      <c r="A12435" t="str">
        <f t="shared" si="2696"/>
        <v>89301000</v>
      </c>
      <c r="B12435" t="str">
        <f t="shared" si="2698"/>
        <v>89383000</v>
      </c>
      <c r="C12435" t="str">
        <f t="shared" si="2699"/>
        <v>89383002</v>
      </c>
      <c r="D12435" t="str">
        <f t="shared" si="2700"/>
        <v>809</v>
      </c>
      <c r="E12435" t="str">
        <f>"89301212"</f>
        <v>89301212</v>
      </c>
      <c r="F12435" t="str">
        <f>"7262285349"</f>
        <v>7262285349</v>
      </c>
      <c r="G12435" s="1">
        <v>44904</v>
      </c>
      <c r="H12435" t="str">
        <f>"89180"</f>
        <v>89180</v>
      </c>
      <c r="I12435">
        <v>1</v>
      </c>
      <c r="J12435">
        <v>376</v>
      </c>
      <c r="K12435">
        <v>0</v>
      </c>
      <c r="L12435">
        <v>526.4</v>
      </c>
    </row>
    <row r="12436" spans="1:12" x14ac:dyDescent="0.25">
      <c r="A12436" t="str">
        <f t="shared" si="2696"/>
        <v>89301000</v>
      </c>
      <c r="B12436" t="str">
        <f t="shared" si="2698"/>
        <v>89383000</v>
      </c>
      <c r="C12436" t="str">
        <f t="shared" si="2699"/>
        <v>89383002</v>
      </c>
      <c r="D12436" t="str">
        <f t="shared" si="2700"/>
        <v>809</v>
      </c>
      <c r="E12436" t="str">
        <f>"89301212"</f>
        <v>89301212</v>
      </c>
      <c r="F12436" t="str">
        <f>"7262285349"</f>
        <v>7262285349</v>
      </c>
      <c r="G12436" s="1">
        <v>44904</v>
      </c>
      <c r="H12436" t="str">
        <f>"89512"</f>
        <v>89512</v>
      </c>
      <c r="I12436">
        <v>1</v>
      </c>
      <c r="J12436">
        <v>277</v>
      </c>
      <c r="K12436">
        <v>0</v>
      </c>
      <c r="L12436">
        <v>387.8</v>
      </c>
    </row>
    <row r="12437" spans="1:12" x14ac:dyDescent="0.25">
      <c r="A12437" t="str">
        <f t="shared" si="2696"/>
        <v>89301000</v>
      </c>
      <c r="B12437" t="str">
        <f t="shared" si="2698"/>
        <v>89383000</v>
      </c>
      <c r="C12437" t="str">
        <f t="shared" si="2699"/>
        <v>89383002</v>
      </c>
      <c r="D12437" t="str">
        <f t="shared" si="2700"/>
        <v>809</v>
      </c>
      <c r="E12437" t="str">
        <f>"89301212"</f>
        <v>89301212</v>
      </c>
      <c r="F12437" t="str">
        <f>"7262285349"</f>
        <v>7262285349</v>
      </c>
      <c r="G12437" s="1">
        <v>44904</v>
      </c>
      <c r="H12437" t="str">
        <f>"89513"</f>
        <v>89513</v>
      </c>
      <c r="I12437">
        <v>1</v>
      </c>
      <c r="J12437">
        <v>371</v>
      </c>
      <c r="K12437">
        <v>0</v>
      </c>
      <c r="L12437">
        <v>519.4</v>
      </c>
    </row>
    <row r="12438" spans="1:12" x14ac:dyDescent="0.25">
      <c r="A12438" t="str">
        <f t="shared" si="2696"/>
        <v>89301000</v>
      </c>
      <c r="B12438" t="str">
        <f t="shared" si="2698"/>
        <v>89383000</v>
      </c>
      <c r="C12438" t="str">
        <f t="shared" si="2699"/>
        <v>89383002</v>
      </c>
      <c r="D12438" t="str">
        <f t="shared" si="2700"/>
        <v>809</v>
      </c>
      <c r="E12438" t="str">
        <f>"89301212"</f>
        <v>89301212</v>
      </c>
      <c r="F12438" t="str">
        <f>"7262285349"</f>
        <v>7262285349</v>
      </c>
      <c r="G12438" s="1">
        <v>44904</v>
      </c>
      <c r="H12438" t="str">
        <f>"89514"</f>
        <v>89514</v>
      </c>
      <c r="I12438">
        <v>1</v>
      </c>
      <c r="J12438">
        <v>371</v>
      </c>
      <c r="K12438">
        <v>0</v>
      </c>
      <c r="L12438">
        <v>519.4</v>
      </c>
    </row>
    <row r="12439" spans="1:12" x14ac:dyDescent="0.25">
      <c r="A12439" t="str">
        <f t="shared" si="2696"/>
        <v>89301000</v>
      </c>
      <c r="B12439" t="str">
        <f t="shared" si="2698"/>
        <v>89383000</v>
      </c>
      <c r="C12439" t="str">
        <f t="shared" si="2699"/>
        <v>89383002</v>
      </c>
      <c r="D12439" t="str">
        <f t="shared" si="2700"/>
        <v>809</v>
      </c>
      <c r="E12439" t="str">
        <f t="shared" ref="E12439:E12454" si="2702">"89301215"</f>
        <v>89301215</v>
      </c>
      <c r="F12439" t="str">
        <f t="shared" ref="F12439:F12444" si="2703">"6357170754"</f>
        <v>6357170754</v>
      </c>
      <c r="G12439" s="1">
        <v>44902</v>
      </c>
      <c r="H12439" t="str">
        <f>"89512"</f>
        <v>89512</v>
      </c>
      <c r="I12439">
        <v>1</v>
      </c>
      <c r="J12439">
        <v>277</v>
      </c>
      <c r="K12439">
        <v>0</v>
      </c>
      <c r="L12439">
        <v>387.8</v>
      </c>
    </row>
    <row r="12440" spans="1:12" x14ac:dyDescent="0.25">
      <c r="A12440" t="str">
        <f t="shared" si="2696"/>
        <v>89301000</v>
      </c>
      <c r="B12440" t="str">
        <f t="shared" si="2698"/>
        <v>89383000</v>
      </c>
      <c r="C12440" t="str">
        <f t="shared" si="2699"/>
        <v>89383002</v>
      </c>
      <c r="D12440" t="str">
        <f t="shared" si="2700"/>
        <v>809</v>
      </c>
      <c r="E12440" t="str">
        <f t="shared" si="2702"/>
        <v>89301215</v>
      </c>
      <c r="F12440" t="str">
        <f t="shared" si="2703"/>
        <v>6357170754</v>
      </c>
      <c r="G12440" s="1">
        <v>44902</v>
      </c>
      <c r="H12440" t="str">
        <f>"89313"</f>
        <v>89313</v>
      </c>
      <c r="I12440">
        <v>1</v>
      </c>
      <c r="J12440">
        <v>406</v>
      </c>
      <c r="K12440">
        <v>0</v>
      </c>
      <c r="L12440">
        <v>568.4</v>
      </c>
    </row>
    <row r="12441" spans="1:12" x14ac:dyDescent="0.25">
      <c r="A12441" t="str">
        <f t="shared" si="2696"/>
        <v>89301000</v>
      </c>
      <c r="B12441" t="str">
        <f t="shared" si="2698"/>
        <v>89383000</v>
      </c>
      <c r="C12441" t="str">
        <f t="shared" si="2699"/>
        <v>89383002</v>
      </c>
      <c r="D12441" t="str">
        <f t="shared" si="2700"/>
        <v>809</v>
      </c>
      <c r="E12441" t="str">
        <f t="shared" si="2702"/>
        <v>89301215</v>
      </c>
      <c r="F12441" t="str">
        <f t="shared" si="2703"/>
        <v>6357170754</v>
      </c>
      <c r="G12441" s="1">
        <v>44902</v>
      </c>
      <c r="H12441" t="str">
        <f>"09233"</f>
        <v>09233</v>
      </c>
      <c r="I12441">
        <v>1</v>
      </c>
      <c r="J12441">
        <v>99</v>
      </c>
      <c r="K12441">
        <v>0</v>
      </c>
      <c r="L12441">
        <v>138.6</v>
      </c>
    </row>
    <row r="12442" spans="1:12" x14ac:dyDescent="0.25">
      <c r="A12442" t="str">
        <f t="shared" si="2696"/>
        <v>89301000</v>
      </c>
      <c r="B12442" t="str">
        <f t="shared" si="2698"/>
        <v>89383000</v>
      </c>
      <c r="C12442" t="str">
        <f t="shared" si="2699"/>
        <v>89383002</v>
      </c>
      <c r="D12442" t="str">
        <f t="shared" si="2700"/>
        <v>809</v>
      </c>
      <c r="E12442" t="str">
        <f t="shared" si="2702"/>
        <v>89301215</v>
      </c>
      <c r="F12442" t="str">
        <f t="shared" si="2703"/>
        <v>6357170754</v>
      </c>
      <c r="G12442" s="1">
        <v>44902</v>
      </c>
      <c r="H12442" t="str">
        <f>"89180"</f>
        <v>89180</v>
      </c>
      <c r="I12442">
        <v>1</v>
      </c>
      <c r="J12442">
        <v>376</v>
      </c>
      <c r="K12442">
        <v>0</v>
      </c>
      <c r="L12442">
        <v>526.4</v>
      </c>
    </row>
    <row r="12443" spans="1:12" x14ac:dyDescent="0.25">
      <c r="A12443" t="str">
        <f t="shared" si="2696"/>
        <v>89301000</v>
      </c>
      <c r="B12443" t="str">
        <f t="shared" si="2698"/>
        <v>89383000</v>
      </c>
      <c r="C12443" t="str">
        <f t="shared" si="2699"/>
        <v>89383002</v>
      </c>
      <c r="D12443" t="str">
        <f t="shared" si="2700"/>
        <v>809</v>
      </c>
      <c r="E12443" t="str">
        <f t="shared" si="2702"/>
        <v>89301215</v>
      </c>
      <c r="F12443" t="str">
        <f t="shared" si="2703"/>
        <v>6357170754</v>
      </c>
      <c r="G12443" s="1">
        <v>44902</v>
      </c>
      <c r="H12443" t="str">
        <f>"0225891"</f>
        <v>0225891</v>
      </c>
      <c r="I12443">
        <v>0.01</v>
      </c>
      <c r="K12443">
        <v>3.68</v>
      </c>
      <c r="L12443">
        <v>3.68</v>
      </c>
    </row>
    <row r="12444" spans="1:12" x14ac:dyDescent="0.25">
      <c r="A12444" t="str">
        <f t="shared" si="2696"/>
        <v>89301000</v>
      </c>
      <c r="B12444" t="str">
        <f t="shared" si="2698"/>
        <v>89383000</v>
      </c>
      <c r="C12444" t="str">
        <f t="shared" si="2699"/>
        <v>89383002</v>
      </c>
      <c r="D12444" t="str">
        <f t="shared" si="2700"/>
        <v>809</v>
      </c>
      <c r="E12444" t="str">
        <f t="shared" si="2702"/>
        <v>89301215</v>
      </c>
      <c r="F12444" t="str">
        <f t="shared" si="2703"/>
        <v>6357170754</v>
      </c>
      <c r="G12444" s="1">
        <v>44902</v>
      </c>
      <c r="H12444" t="str">
        <f>"0082502"</f>
        <v>0082502</v>
      </c>
      <c r="I12444">
        <v>1</v>
      </c>
      <c r="K12444">
        <v>2093</v>
      </c>
      <c r="L12444">
        <v>2093</v>
      </c>
    </row>
    <row r="12445" spans="1:12" x14ac:dyDescent="0.25">
      <c r="A12445" t="str">
        <f t="shared" si="2696"/>
        <v>89301000</v>
      </c>
      <c r="B12445" t="str">
        <f t="shared" si="2698"/>
        <v>89383000</v>
      </c>
      <c r="C12445" t="str">
        <f t="shared" si="2699"/>
        <v>89383002</v>
      </c>
      <c r="D12445" t="str">
        <f t="shared" si="2700"/>
        <v>809</v>
      </c>
      <c r="E12445" t="str">
        <f t="shared" si="2702"/>
        <v>89301215</v>
      </c>
      <c r="F12445" t="str">
        <f t="shared" ref="F12445:F12450" si="2704">"6754070609"</f>
        <v>6754070609</v>
      </c>
      <c r="G12445" s="1">
        <v>44902</v>
      </c>
      <c r="H12445" t="str">
        <f>"89313"</f>
        <v>89313</v>
      </c>
      <c r="I12445">
        <v>1</v>
      </c>
      <c r="J12445">
        <v>406</v>
      </c>
      <c r="K12445">
        <v>0</v>
      </c>
      <c r="L12445">
        <v>568.4</v>
      </c>
    </row>
    <row r="12446" spans="1:12" x14ac:dyDescent="0.25">
      <c r="A12446" t="str">
        <f t="shared" si="2696"/>
        <v>89301000</v>
      </c>
      <c r="B12446" t="str">
        <f t="shared" si="2698"/>
        <v>89383000</v>
      </c>
      <c r="C12446" t="str">
        <f t="shared" si="2699"/>
        <v>89383002</v>
      </c>
      <c r="D12446" t="str">
        <f t="shared" si="2700"/>
        <v>809</v>
      </c>
      <c r="E12446" t="str">
        <f t="shared" si="2702"/>
        <v>89301215</v>
      </c>
      <c r="F12446" t="str">
        <f t="shared" si="2704"/>
        <v>6754070609</v>
      </c>
      <c r="G12446" s="1">
        <v>44902</v>
      </c>
      <c r="H12446" t="str">
        <f>"09233"</f>
        <v>09233</v>
      </c>
      <c r="I12446">
        <v>1</v>
      </c>
      <c r="J12446">
        <v>99</v>
      </c>
      <c r="K12446">
        <v>0</v>
      </c>
      <c r="L12446">
        <v>138.6</v>
      </c>
    </row>
    <row r="12447" spans="1:12" x14ac:dyDescent="0.25">
      <c r="A12447" t="str">
        <f t="shared" si="2696"/>
        <v>89301000</v>
      </c>
      <c r="B12447" t="str">
        <f t="shared" si="2698"/>
        <v>89383000</v>
      </c>
      <c r="C12447" t="str">
        <f t="shared" si="2699"/>
        <v>89383002</v>
      </c>
      <c r="D12447" t="str">
        <f t="shared" si="2700"/>
        <v>809</v>
      </c>
      <c r="E12447" t="str">
        <f t="shared" si="2702"/>
        <v>89301215</v>
      </c>
      <c r="F12447" t="str">
        <f t="shared" si="2704"/>
        <v>6754070609</v>
      </c>
      <c r="G12447" s="1">
        <v>44902</v>
      </c>
      <c r="H12447" t="str">
        <f>"89515"</f>
        <v>89515</v>
      </c>
      <c r="I12447">
        <v>1</v>
      </c>
      <c r="J12447">
        <v>339</v>
      </c>
      <c r="K12447">
        <v>0</v>
      </c>
      <c r="L12447">
        <v>474.6</v>
      </c>
    </row>
    <row r="12448" spans="1:12" x14ac:dyDescent="0.25">
      <c r="A12448" t="str">
        <f t="shared" si="2696"/>
        <v>89301000</v>
      </c>
      <c r="B12448" t="str">
        <f t="shared" si="2698"/>
        <v>89383000</v>
      </c>
      <c r="C12448" t="str">
        <f t="shared" si="2699"/>
        <v>89383002</v>
      </c>
      <c r="D12448" t="str">
        <f t="shared" si="2700"/>
        <v>809</v>
      </c>
      <c r="E12448" t="str">
        <f t="shared" si="2702"/>
        <v>89301215</v>
      </c>
      <c r="F12448" t="str">
        <f t="shared" si="2704"/>
        <v>6754070609</v>
      </c>
      <c r="G12448" s="1">
        <v>44902</v>
      </c>
      <c r="H12448" t="str">
        <f>"89512"</f>
        <v>89512</v>
      </c>
      <c r="I12448">
        <v>1</v>
      </c>
      <c r="J12448">
        <v>277</v>
      </c>
      <c r="K12448">
        <v>0</v>
      </c>
      <c r="L12448">
        <v>387.8</v>
      </c>
    </row>
    <row r="12449" spans="1:12" x14ac:dyDescent="0.25">
      <c r="A12449" t="str">
        <f t="shared" si="2696"/>
        <v>89301000</v>
      </c>
      <c r="B12449" t="str">
        <f t="shared" si="2698"/>
        <v>89383000</v>
      </c>
      <c r="C12449" t="str">
        <f t="shared" si="2699"/>
        <v>89383002</v>
      </c>
      <c r="D12449" t="str">
        <f t="shared" si="2700"/>
        <v>809</v>
      </c>
      <c r="E12449" t="str">
        <f t="shared" si="2702"/>
        <v>89301215</v>
      </c>
      <c r="F12449" t="str">
        <f t="shared" si="2704"/>
        <v>6754070609</v>
      </c>
      <c r="G12449" s="1">
        <v>44902</v>
      </c>
      <c r="H12449" t="str">
        <f>"0225891"</f>
        <v>0225891</v>
      </c>
      <c r="I12449">
        <v>0.05</v>
      </c>
      <c r="K12449">
        <v>18.39</v>
      </c>
      <c r="L12449">
        <v>18.39</v>
      </c>
    </row>
    <row r="12450" spans="1:12" x14ac:dyDescent="0.25">
      <c r="A12450" t="str">
        <f t="shared" si="2696"/>
        <v>89301000</v>
      </c>
      <c r="B12450" t="str">
        <f t="shared" si="2698"/>
        <v>89383000</v>
      </c>
      <c r="C12450" t="str">
        <f t="shared" si="2699"/>
        <v>89383002</v>
      </c>
      <c r="D12450" t="str">
        <f t="shared" si="2700"/>
        <v>809</v>
      </c>
      <c r="E12450" t="str">
        <f t="shared" si="2702"/>
        <v>89301215</v>
      </c>
      <c r="F12450" t="str">
        <f t="shared" si="2704"/>
        <v>6754070609</v>
      </c>
      <c r="G12450" s="1">
        <v>44902</v>
      </c>
      <c r="H12450" t="str">
        <f>"0142908"</f>
        <v>0142908</v>
      </c>
      <c r="I12450">
        <v>1</v>
      </c>
      <c r="K12450">
        <v>910</v>
      </c>
      <c r="L12450">
        <v>910</v>
      </c>
    </row>
    <row r="12451" spans="1:12" x14ac:dyDescent="0.25">
      <c r="A12451" t="str">
        <f t="shared" si="2696"/>
        <v>89301000</v>
      </c>
      <c r="B12451" t="str">
        <f t="shared" si="2698"/>
        <v>89383000</v>
      </c>
      <c r="C12451" t="str">
        <f t="shared" si="2699"/>
        <v>89383002</v>
      </c>
      <c r="D12451" t="str">
        <f t="shared" si="2700"/>
        <v>809</v>
      </c>
      <c r="E12451" t="str">
        <f t="shared" si="2702"/>
        <v>89301215</v>
      </c>
      <c r="F12451" t="str">
        <f>"525406089"</f>
        <v>525406089</v>
      </c>
      <c r="G12451" s="1">
        <v>44908</v>
      </c>
      <c r="H12451" t="str">
        <f>"89180"</f>
        <v>89180</v>
      </c>
      <c r="I12451">
        <v>2</v>
      </c>
      <c r="J12451">
        <v>752</v>
      </c>
      <c r="K12451">
        <v>0</v>
      </c>
      <c r="L12451">
        <v>1052.8</v>
      </c>
    </row>
    <row r="12452" spans="1:12" x14ac:dyDescent="0.25">
      <c r="A12452" t="str">
        <f t="shared" si="2696"/>
        <v>89301000</v>
      </c>
      <c r="B12452" t="str">
        <f t="shared" si="2698"/>
        <v>89383000</v>
      </c>
      <c r="C12452" t="str">
        <f t="shared" si="2699"/>
        <v>89383002</v>
      </c>
      <c r="D12452" t="str">
        <f t="shared" si="2700"/>
        <v>809</v>
      </c>
      <c r="E12452" t="str">
        <f t="shared" si="2702"/>
        <v>89301215</v>
      </c>
      <c r="F12452" t="str">
        <f>"525406089"</f>
        <v>525406089</v>
      </c>
      <c r="G12452" s="1">
        <v>44908</v>
      </c>
      <c r="H12452" t="str">
        <f>"89512"</f>
        <v>89512</v>
      </c>
      <c r="I12452">
        <v>1</v>
      </c>
      <c r="J12452">
        <v>277</v>
      </c>
      <c r="K12452">
        <v>0</v>
      </c>
      <c r="L12452">
        <v>387.8</v>
      </c>
    </row>
    <row r="12453" spans="1:12" x14ac:dyDescent="0.25">
      <c r="A12453" t="str">
        <f t="shared" si="2696"/>
        <v>89301000</v>
      </c>
      <c r="B12453" t="str">
        <f t="shared" si="2698"/>
        <v>89383000</v>
      </c>
      <c r="C12453" t="str">
        <f t="shared" si="2699"/>
        <v>89383002</v>
      </c>
      <c r="D12453" t="str">
        <f t="shared" si="2700"/>
        <v>809</v>
      </c>
      <c r="E12453" t="str">
        <f t="shared" si="2702"/>
        <v>89301215</v>
      </c>
      <c r="F12453" t="str">
        <f>"525406089"</f>
        <v>525406089</v>
      </c>
      <c r="G12453" s="1">
        <v>44908</v>
      </c>
      <c r="H12453" t="str">
        <f>"89513"</f>
        <v>89513</v>
      </c>
      <c r="I12453">
        <v>1</v>
      </c>
      <c r="J12453">
        <v>371</v>
      </c>
      <c r="K12453">
        <v>0</v>
      </c>
      <c r="L12453">
        <v>519.4</v>
      </c>
    </row>
    <row r="12454" spans="1:12" x14ac:dyDescent="0.25">
      <c r="A12454" t="str">
        <f t="shared" si="2696"/>
        <v>89301000</v>
      </c>
      <c r="B12454" t="str">
        <f t="shared" si="2698"/>
        <v>89383000</v>
      </c>
      <c r="C12454" t="str">
        <f t="shared" si="2699"/>
        <v>89383002</v>
      </c>
      <c r="D12454" t="str">
        <f t="shared" si="2700"/>
        <v>809</v>
      </c>
      <c r="E12454" t="str">
        <f t="shared" si="2702"/>
        <v>89301215</v>
      </c>
      <c r="F12454" t="str">
        <f>"525406089"</f>
        <v>525406089</v>
      </c>
      <c r="G12454" s="1">
        <v>44908</v>
      </c>
      <c r="H12454" t="str">
        <f>"89514"</f>
        <v>89514</v>
      </c>
      <c r="I12454">
        <v>1</v>
      </c>
      <c r="J12454">
        <v>371</v>
      </c>
      <c r="K12454">
        <v>0</v>
      </c>
      <c r="L12454">
        <v>519.4</v>
      </c>
    </row>
    <row r="12455" spans="1:12" x14ac:dyDescent="0.25">
      <c r="A12455" t="str">
        <f t="shared" si="2696"/>
        <v>89301000</v>
      </c>
      <c r="B12455" t="str">
        <f t="shared" si="2698"/>
        <v>89383000</v>
      </c>
      <c r="C12455" t="str">
        <f t="shared" si="2699"/>
        <v>89383002</v>
      </c>
      <c r="D12455" t="str">
        <f t="shared" si="2700"/>
        <v>809</v>
      </c>
      <c r="E12455" t="str">
        <f>"89301042"</f>
        <v>89301042</v>
      </c>
      <c r="F12455" t="str">
        <f>"495902091"</f>
        <v>495902091</v>
      </c>
      <c r="G12455" s="1">
        <v>44908</v>
      </c>
      <c r="H12455" t="str">
        <f>"89180"</f>
        <v>89180</v>
      </c>
      <c r="I12455">
        <v>2</v>
      </c>
      <c r="J12455">
        <v>752</v>
      </c>
      <c r="K12455">
        <v>0</v>
      </c>
      <c r="L12455">
        <v>1052.8</v>
      </c>
    </row>
    <row r="12456" spans="1:12" x14ac:dyDescent="0.25">
      <c r="A12456" t="str">
        <f t="shared" si="2696"/>
        <v>89301000</v>
      </c>
      <c r="B12456" t="str">
        <f t="shared" ref="B12456:B12487" si="2705">"89383000"</f>
        <v>89383000</v>
      </c>
      <c r="C12456" t="str">
        <f t="shared" ref="C12456:C12487" si="2706">"89383002"</f>
        <v>89383002</v>
      </c>
      <c r="D12456" t="str">
        <f t="shared" ref="D12456:D12487" si="2707">"809"</f>
        <v>809</v>
      </c>
      <c r="E12456" t="str">
        <f>"89301042"</f>
        <v>89301042</v>
      </c>
      <c r="F12456" t="str">
        <f>"495902091"</f>
        <v>495902091</v>
      </c>
      <c r="G12456" s="1">
        <v>44908</v>
      </c>
      <c r="H12456" t="str">
        <f>"89512"</f>
        <v>89512</v>
      </c>
      <c r="I12456">
        <v>1</v>
      </c>
      <c r="J12456">
        <v>277</v>
      </c>
      <c r="K12456">
        <v>0</v>
      </c>
      <c r="L12456">
        <v>387.8</v>
      </c>
    </row>
    <row r="12457" spans="1:12" x14ac:dyDescent="0.25">
      <c r="A12457" t="str">
        <f t="shared" si="2696"/>
        <v>89301000</v>
      </c>
      <c r="B12457" t="str">
        <f t="shared" si="2705"/>
        <v>89383000</v>
      </c>
      <c r="C12457" t="str">
        <f t="shared" si="2706"/>
        <v>89383002</v>
      </c>
      <c r="D12457" t="str">
        <f t="shared" si="2707"/>
        <v>809</v>
      </c>
      <c r="E12457" t="str">
        <f t="shared" ref="E12457:E12466" si="2708">"89301212"</f>
        <v>89301212</v>
      </c>
      <c r="F12457" t="str">
        <f>"6456041416"</f>
        <v>6456041416</v>
      </c>
      <c r="G12457" s="1">
        <v>44909</v>
      </c>
      <c r="H12457" t="str">
        <f>"89180"</f>
        <v>89180</v>
      </c>
      <c r="I12457">
        <v>2</v>
      </c>
      <c r="J12457">
        <v>752</v>
      </c>
      <c r="K12457">
        <v>0</v>
      </c>
      <c r="L12457">
        <v>1052.8</v>
      </c>
    </row>
    <row r="12458" spans="1:12" x14ac:dyDescent="0.25">
      <c r="A12458" t="str">
        <f t="shared" si="2696"/>
        <v>89301000</v>
      </c>
      <c r="B12458" t="str">
        <f t="shared" si="2705"/>
        <v>89383000</v>
      </c>
      <c r="C12458" t="str">
        <f t="shared" si="2706"/>
        <v>89383002</v>
      </c>
      <c r="D12458" t="str">
        <f t="shared" si="2707"/>
        <v>809</v>
      </c>
      <c r="E12458" t="str">
        <f t="shared" si="2708"/>
        <v>89301212</v>
      </c>
      <c r="F12458" t="str">
        <f>"6456041416"</f>
        <v>6456041416</v>
      </c>
      <c r="G12458" s="1">
        <v>44909</v>
      </c>
      <c r="H12458" t="str">
        <f>"89512"</f>
        <v>89512</v>
      </c>
      <c r="I12458">
        <v>1</v>
      </c>
      <c r="J12458">
        <v>277</v>
      </c>
      <c r="K12458">
        <v>0</v>
      </c>
      <c r="L12458">
        <v>387.8</v>
      </c>
    </row>
    <row r="12459" spans="1:12" x14ac:dyDescent="0.25">
      <c r="A12459" t="str">
        <f t="shared" si="2696"/>
        <v>89301000</v>
      </c>
      <c r="B12459" t="str">
        <f t="shared" si="2705"/>
        <v>89383000</v>
      </c>
      <c r="C12459" t="str">
        <f t="shared" si="2706"/>
        <v>89383002</v>
      </c>
      <c r="D12459" t="str">
        <f t="shared" si="2707"/>
        <v>809</v>
      </c>
      <c r="E12459" t="str">
        <f t="shared" si="2708"/>
        <v>89301212</v>
      </c>
      <c r="F12459" t="str">
        <f>"6456041416"</f>
        <v>6456041416</v>
      </c>
      <c r="G12459" s="1">
        <v>44909</v>
      </c>
      <c r="H12459" t="str">
        <f>"89513"</f>
        <v>89513</v>
      </c>
      <c r="I12459">
        <v>1</v>
      </c>
      <c r="J12459">
        <v>371</v>
      </c>
      <c r="K12459">
        <v>0</v>
      </c>
      <c r="L12459">
        <v>519.4</v>
      </c>
    </row>
    <row r="12460" spans="1:12" x14ac:dyDescent="0.25">
      <c r="A12460" t="str">
        <f t="shared" si="2696"/>
        <v>89301000</v>
      </c>
      <c r="B12460" t="str">
        <f t="shared" si="2705"/>
        <v>89383000</v>
      </c>
      <c r="C12460" t="str">
        <f t="shared" si="2706"/>
        <v>89383002</v>
      </c>
      <c r="D12460" t="str">
        <f t="shared" si="2707"/>
        <v>809</v>
      </c>
      <c r="E12460" t="str">
        <f t="shared" si="2708"/>
        <v>89301212</v>
      </c>
      <c r="F12460" t="str">
        <f>"6456041416"</f>
        <v>6456041416</v>
      </c>
      <c r="G12460" s="1">
        <v>44909</v>
      </c>
      <c r="H12460" t="str">
        <f>"89514"</f>
        <v>89514</v>
      </c>
      <c r="I12460">
        <v>1</v>
      </c>
      <c r="J12460">
        <v>371</v>
      </c>
      <c r="K12460">
        <v>0</v>
      </c>
      <c r="L12460">
        <v>519.4</v>
      </c>
    </row>
    <row r="12461" spans="1:12" x14ac:dyDescent="0.25">
      <c r="A12461" t="str">
        <f t="shared" si="2696"/>
        <v>89301000</v>
      </c>
      <c r="B12461" t="str">
        <f t="shared" si="2705"/>
        <v>89383000</v>
      </c>
      <c r="C12461" t="str">
        <f t="shared" si="2706"/>
        <v>89383002</v>
      </c>
      <c r="D12461" t="str">
        <f t="shared" si="2707"/>
        <v>809</v>
      </c>
      <c r="E12461" t="str">
        <f t="shared" si="2708"/>
        <v>89301212</v>
      </c>
      <c r="F12461" t="str">
        <f>"6456182216"</f>
        <v>6456182216</v>
      </c>
      <c r="G12461" s="1">
        <v>44909</v>
      </c>
      <c r="H12461" t="str">
        <f>"89180"</f>
        <v>89180</v>
      </c>
      <c r="I12461">
        <v>2</v>
      </c>
      <c r="J12461">
        <v>752</v>
      </c>
      <c r="K12461">
        <v>0</v>
      </c>
      <c r="L12461">
        <v>1052.8</v>
      </c>
    </row>
    <row r="12462" spans="1:12" x14ac:dyDescent="0.25">
      <c r="A12462" t="str">
        <f t="shared" si="2696"/>
        <v>89301000</v>
      </c>
      <c r="B12462" t="str">
        <f t="shared" si="2705"/>
        <v>89383000</v>
      </c>
      <c r="C12462" t="str">
        <f t="shared" si="2706"/>
        <v>89383002</v>
      </c>
      <c r="D12462" t="str">
        <f t="shared" si="2707"/>
        <v>809</v>
      </c>
      <c r="E12462" t="str">
        <f t="shared" si="2708"/>
        <v>89301212</v>
      </c>
      <c r="F12462" t="str">
        <f>"6456182216"</f>
        <v>6456182216</v>
      </c>
      <c r="G12462" s="1">
        <v>44909</v>
      </c>
      <c r="H12462" t="str">
        <f>"89512"</f>
        <v>89512</v>
      </c>
      <c r="I12462">
        <v>1</v>
      </c>
      <c r="J12462">
        <v>277</v>
      </c>
      <c r="K12462">
        <v>0</v>
      </c>
      <c r="L12462">
        <v>387.8</v>
      </c>
    </row>
    <row r="12463" spans="1:12" x14ac:dyDescent="0.25">
      <c r="A12463" t="str">
        <f t="shared" si="2696"/>
        <v>89301000</v>
      </c>
      <c r="B12463" t="str">
        <f t="shared" si="2705"/>
        <v>89383000</v>
      </c>
      <c r="C12463" t="str">
        <f t="shared" si="2706"/>
        <v>89383002</v>
      </c>
      <c r="D12463" t="str">
        <f t="shared" si="2707"/>
        <v>809</v>
      </c>
      <c r="E12463" t="str">
        <f t="shared" si="2708"/>
        <v>89301212</v>
      </c>
      <c r="F12463" t="str">
        <f>"6456182216"</f>
        <v>6456182216</v>
      </c>
      <c r="G12463" s="1">
        <v>44909</v>
      </c>
      <c r="H12463" t="str">
        <f>"89513"</f>
        <v>89513</v>
      </c>
      <c r="I12463">
        <v>1</v>
      </c>
      <c r="J12463">
        <v>371</v>
      </c>
      <c r="K12463">
        <v>0</v>
      </c>
      <c r="L12463">
        <v>519.4</v>
      </c>
    </row>
    <row r="12464" spans="1:12" x14ac:dyDescent="0.25">
      <c r="A12464" t="str">
        <f t="shared" si="2696"/>
        <v>89301000</v>
      </c>
      <c r="B12464" t="str">
        <f t="shared" si="2705"/>
        <v>89383000</v>
      </c>
      <c r="C12464" t="str">
        <f t="shared" si="2706"/>
        <v>89383002</v>
      </c>
      <c r="D12464" t="str">
        <f t="shared" si="2707"/>
        <v>809</v>
      </c>
      <c r="E12464" t="str">
        <f t="shared" si="2708"/>
        <v>89301212</v>
      </c>
      <c r="F12464" t="str">
        <f>"6456182216"</f>
        <v>6456182216</v>
      </c>
      <c r="G12464" s="1">
        <v>44909</v>
      </c>
      <c r="H12464" t="str">
        <f>"89514"</f>
        <v>89514</v>
      </c>
      <c r="I12464">
        <v>1</v>
      </c>
      <c r="J12464">
        <v>371</v>
      </c>
      <c r="K12464">
        <v>0</v>
      </c>
      <c r="L12464">
        <v>519.4</v>
      </c>
    </row>
    <row r="12465" spans="1:12" x14ac:dyDescent="0.25">
      <c r="A12465" t="str">
        <f t="shared" si="2696"/>
        <v>89301000</v>
      </c>
      <c r="B12465" t="str">
        <f t="shared" si="2705"/>
        <v>89383000</v>
      </c>
      <c r="C12465" t="str">
        <f t="shared" si="2706"/>
        <v>89383002</v>
      </c>
      <c r="D12465" t="str">
        <f t="shared" si="2707"/>
        <v>809</v>
      </c>
      <c r="E12465" t="str">
        <f t="shared" si="2708"/>
        <v>89301212</v>
      </c>
      <c r="F12465" t="str">
        <f>"5962191576"</f>
        <v>5962191576</v>
      </c>
      <c r="G12465" s="1">
        <v>44910</v>
      </c>
      <c r="H12465" t="str">
        <f>"89513"</f>
        <v>89513</v>
      </c>
      <c r="I12465">
        <v>1</v>
      </c>
      <c r="J12465">
        <v>371</v>
      </c>
      <c r="K12465">
        <v>0</v>
      </c>
      <c r="L12465">
        <v>519.4</v>
      </c>
    </row>
    <row r="12466" spans="1:12" x14ac:dyDescent="0.25">
      <c r="A12466" t="str">
        <f t="shared" si="2696"/>
        <v>89301000</v>
      </c>
      <c r="B12466" t="str">
        <f t="shared" si="2705"/>
        <v>89383000</v>
      </c>
      <c r="C12466" t="str">
        <f t="shared" si="2706"/>
        <v>89383002</v>
      </c>
      <c r="D12466" t="str">
        <f t="shared" si="2707"/>
        <v>809</v>
      </c>
      <c r="E12466" t="str">
        <f t="shared" si="2708"/>
        <v>89301212</v>
      </c>
      <c r="F12466" t="str">
        <f>"5962191576"</f>
        <v>5962191576</v>
      </c>
      <c r="G12466" s="1">
        <v>44910</v>
      </c>
      <c r="H12466" t="str">
        <f>"89514"</f>
        <v>89514</v>
      </c>
      <c r="I12466">
        <v>1</v>
      </c>
      <c r="J12466">
        <v>371</v>
      </c>
      <c r="K12466">
        <v>0</v>
      </c>
      <c r="L12466">
        <v>519.4</v>
      </c>
    </row>
    <row r="12467" spans="1:12" x14ac:dyDescent="0.25">
      <c r="A12467" t="str">
        <f t="shared" si="2696"/>
        <v>89301000</v>
      </c>
      <c r="B12467" t="str">
        <f t="shared" si="2705"/>
        <v>89383000</v>
      </c>
      <c r="C12467" t="str">
        <f t="shared" si="2706"/>
        <v>89383002</v>
      </c>
      <c r="D12467" t="str">
        <f t="shared" si="2707"/>
        <v>809</v>
      </c>
      <c r="E12467" t="str">
        <f t="shared" ref="E12467:E12472" si="2709">"89301045"</f>
        <v>89301045</v>
      </c>
      <c r="F12467" t="str">
        <f t="shared" ref="F12467:F12472" si="2710">"8059295343"</f>
        <v>8059295343</v>
      </c>
      <c r="G12467" s="1">
        <v>44909</v>
      </c>
      <c r="H12467" t="str">
        <f>"89313"</f>
        <v>89313</v>
      </c>
      <c r="I12467">
        <v>1</v>
      </c>
      <c r="J12467">
        <v>406</v>
      </c>
      <c r="K12467">
        <v>0</v>
      </c>
      <c r="L12467">
        <v>568.4</v>
      </c>
    </row>
    <row r="12468" spans="1:12" x14ac:dyDescent="0.25">
      <c r="A12468" t="str">
        <f t="shared" si="2696"/>
        <v>89301000</v>
      </c>
      <c r="B12468" t="str">
        <f t="shared" si="2705"/>
        <v>89383000</v>
      </c>
      <c r="C12468" t="str">
        <f t="shared" si="2706"/>
        <v>89383002</v>
      </c>
      <c r="D12468" t="str">
        <f t="shared" si="2707"/>
        <v>809</v>
      </c>
      <c r="E12468" t="str">
        <f t="shared" si="2709"/>
        <v>89301045</v>
      </c>
      <c r="F12468" t="str">
        <f t="shared" si="2710"/>
        <v>8059295343</v>
      </c>
      <c r="G12468" s="1">
        <v>44909</v>
      </c>
      <c r="H12468" t="str">
        <f>"09233"</f>
        <v>09233</v>
      </c>
      <c r="I12468">
        <v>1</v>
      </c>
      <c r="J12468">
        <v>99</v>
      </c>
      <c r="K12468">
        <v>0</v>
      </c>
      <c r="L12468">
        <v>138.6</v>
      </c>
    </row>
    <row r="12469" spans="1:12" x14ac:dyDescent="0.25">
      <c r="A12469" t="str">
        <f t="shared" si="2696"/>
        <v>89301000</v>
      </c>
      <c r="B12469" t="str">
        <f t="shared" si="2705"/>
        <v>89383000</v>
      </c>
      <c r="C12469" t="str">
        <f t="shared" si="2706"/>
        <v>89383002</v>
      </c>
      <c r="D12469" t="str">
        <f t="shared" si="2707"/>
        <v>809</v>
      </c>
      <c r="E12469" t="str">
        <f t="shared" si="2709"/>
        <v>89301045</v>
      </c>
      <c r="F12469" t="str">
        <f t="shared" si="2710"/>
        <v>8059295343</v>
      </c>
      <c r="G12469" s="1">
        <v>44909</v>
      </c>
      <c r="H12469" t="str">
        <f>"89512"</f>
        <v>89512</v>
      </c>
      <c r="I12469">
        <v>1</v>
      </c>
      <c r="J12469">
        <v>277</v>
      </c>
      <c r="K12469">
        <v>0</v>
      </c>
      <c r="L12469">
        <v>387.8</v>
      </c>
    </row>
    <row r="12470" spans="1:12" x14ac:dyDescent="0.25">
      <c r="A12470" t="str">
        <f t="shared" si="2696"/>
        <v>89301000</v>
      </c>
      <c r="B12470" t="str">
        <f t="shared" si="2705"/>
        <v>89383000</v>
      </c>
      <c r="C12470" t="str">
        <f t="shared" si="2706"/>
        <v>89383002</v>
      </c>
      <c r="D12470" t="str">
        <f t="shared" si="2707"/>
        <v>809</v>
      </c>
      <c r="E12470" t="str">
        <f t="shared" si="2709"/>
        <v>89301045</v>
      </c>
      <c r="F12470" t="str">
        <f t="shared" si="2710"/>
        <v>8059295343</v>
      </c>
      <c r="G12470" s="1">
        <v>44909</v>
      </c>
      <c r="H12470" t="str">
        <f>"89180"</f>
        <v>89180</v>
      </c>
      <c r="I12470">
        <v>1</v>
      </c>
      <c r="J12470">
        <v>376</v>
      </c>
      <c r="K12470">
        <v>0</v>
      </c>
      <c r="L12470">
        <v>526.4</v>
      </c>
    </row>
    <row r="12471" spans="1:12" x14ac:dyDescent="0.25">
      <c r="A12471" t="str">
        <f t="shared" si="2696"/>
        <v>89301000</v>
      </c>
      <c r="B12471" t="str">
        <f t="shared" si="2705"/>
        <v>89383000</v>
      </c>
      <c r="C12471" t="str">
        <f t="shared" si="2706"/>
        <v>89383002</v>
      </c>
      <c r="D12471" t="str">
        <f t="shared" si="2707"/>
        <v>809</v>
      </c>
      <c r="E12471" t="str">
        <f t="shared" si="2709"/>
        <v>89301045</v>
      </c>
      <c r="F12471" t="str">
        <f t="shared" si="2710"/>
        <v>8059295343</v>
      </c>
      <c r="G12471" s="1">
        <v>44909</v>
      </c>
      <c r="H12471" t="str">
        <f>"0225891"</f>
        <v>0225891</v>
      </c>
      <c r="I12471">
        <v>0.01</v>
      </c>
      <c r="K12471">
        <v>3.68</v>
      </c>
      <c r="L12471">
        <v>3.68</v>
      </c>
    </row>
    <row r="12472" spans="1:12" x14ac:dyDescent="0.25">
      <c r="A12472" t="str">
        <f t="shared" si="2696"/>
        <v>89301000</v>
      </c>
      <c r="B12472" t="str">
        <f t="shared" si="2705"/>
        <v>89383000</v>
      </c>
      <c r="C12472" t="str">
        <f t="shared" si="2706"/>
        <v>89383002</v>
      </c>
      <c r="D12472" t="str">
        <f t="shared" si="2707"/>
        <v>809</v>
      </c>
      <c r="E12472" t="str">
        <f t="shared" si="2709"/>
        <v>89301045</v>
      </c>
      <c r="F12472" t="str">
        <f t="shared" si="2710"/>
        <v>8059295343</v>
      </c>
      <c r="G12472" s="1">
        <v>44909</v>
      </c>
      <c r="H12472" t="str">
        <f>"0142906"</f>
        <v>0142906</v>
      </c>
      <c r="I12472">
        <v>1</v>
      </c>
      <c r="K12472">
        <v>6990</v>
      </c>
      <c r="L12472">
        <v>6990</v>
      </c>
    </row>
    <row r="12473" spans="1:12" x14ac:dyDescent="0.25">
      <c r="A12473" t="str">
        <f t="shared" si="2696"/>
        <v>89301000</v>
      </c>
      <c r="B12473" t="str">
        <f t="shared" si="2705"/>
        <v>89383000</v>
      </c>
      <c r="C12473" t="str">
        <f t="shared" si="2706"/>
        <v>89383002</v>
      </c>
      <c r="D12473" t="str">
        <f t="shared" si="2707"/>
        <v>809</v>
      </c>
      <c r="E12473" t="str">
        <f>"89301212"</f>
        <v>89301212</v>
      </c>
      <c r="F12473" t="str">
        <f>"7758205334"</f>
        <v>7758205334</v>
      </c>
      <c r="G12473" s="1">
        <v>44910</v>
      </c>
      <c r="H12473" t="str">
        <f>"89512"</f>
        <v>89512</v>
      </c>
      <c r="I12473">
        <v>1</v>
      </c>
      <c r="J12473">
        <v>277</v>
      </c>
      <c r="K12473">
        <v>0</v>
      </c>
      <c r="L12473">
        <v>387.8</v>
      </c>
    </row>
    <row r="12474" spans="1:12" x14ac:dyDescent="0.25">
      <c r="A12474" t="str">
        <f t="shared" si="2696"/>
        <v>89301000</v>
      </c>
      <c r="B12474" t="str">
        <f t="shared" si="2705"/>
        <v>89383000</v>
      </c>
      <c r="C12474" t="str">
        <f t="shared" si="2706"/>
        <v>89383002</v>
      </c>
      <c r="D12474" t="str">
        <f t="shared" si="2707"/>
        <v>809</v>
      </c>
      <c r="E12474" t="str">
        <f>"89301045"</f>
        <v>89301045</v>
      </c>
      <c r="F12474" t="str">
        <f>"5756240281"</f>
        <v>5756240281</v>
      </c>
      <c r="G12474" s="1">
        <v>44910</v>
      </c>
      <c r="H12474" t="str">
        <f>"89512"</f>
        <v>89512</v>
      </c>
      <c r="I12474">
        <v>1</v>
      </c>
      <c r="J12474">
        <v>277</v>
      </c>
      <c r="K12474">
        <v>0</v>
      </c>
      <c r="L12474">
        <v>387.8</v>
      </c>
    </row>
    <row r="12475" spans="1:12" x14ac:dyDescent="0.25">
      <c r="A12475" t="str">
        <f t="shared" si="2696"/>
        <v>89301000</v>
      </c>
      <c r="B12475" t="str">
        <f t="shared" si="2705"/>
        <v>89383000</v>
      </c>
      <c r="C12475" t="str">
        <f t="shared" si="2706"/>
        <v>89383002</v>
      </c>
      <c r="D12475" t="str">
        <f t="shared" si="2707"/>
        <v>809</v>
      </c>
      <c r="E12475" t="str">
        <f t="shared" ref="E12475:E12484" si="2711">"89301212"</f>
        <v>89301212</v>
      </c>
      <c r="F12475" t="str">
        <f>"386209422"</f>
        <v>386209422</v>
      </c>
      <c r="G12475" s="1">
        <v>44911</v>
      </c>
      <c r="H12475" t="str">
        <f>"89513"</f>
        <v>89513</v>
      </c>
      <c r="I12475">
        <v>1</v>
      </c>
      <c r="J12475">
        <v>371</v>
      </c>
      <c r="K12475">
        <v>0</v>
      </c>
      <c r="L12475">
        <v>519.4</v>
      </c>
    </row>
    <row r="12476" spans="1:12" x14ac:dyDescent="0.25">
      <c r="A12476" t="str">
        <f t="shared" si="2696"/>
        <v>89301000</v>
      </c>
      <c r="B12476" t="str">
        <f t="shared" si="2705"/>
        <v>89383000</v>
      </c>
      <c r="C12476" t="str">
        <f t="shared" si="2706"/>
        <v>89383002</v>
      </c>
      <c r="D12476" t="str">
        <f t="shared" si="2707"/>
        <v>809</v>
      </c>
      <c r="E12476" t="str">
        <f t="shared" si="2711"/>
        <v>89301212</v>
      </c>
      <c r="F12476" t="str">
        <f>"386209422"</f>
        <v>386209422</v>
      </c>
      <c r="G12476" s="1">
        <v>44911</v>
      </c>
      <c r="H12476" t="str">
        <f>"89514"</f>
        <v>89514</v>
      </c>
      <c r="I12476">
        <v>1</v>
      </c>
      <c r="J12476">
        <v>371</v>
      </c>
      <c r="K12476">
        <v>0</v>
      </c>
      <c r="L12476">
        <v>519.4</v>
      </c>
    </row>
    <row r="12477" spans="1:12" x14ac:dyDescent="0.25">
      <c r="A12477" t="str">
        <f t="shared" si="2696"/>
        <v>89301000</v>
      </c>
      <c r="B12477" t="str">
        <f t="shared" si="2705"/>
        <v>89383000</v>
      </c>
      <c r="C12477" t="str">
        <f t="shared" si="2706"/>
        <v>89383002</v>
      </c>
      <c r="D12477" t="str">
        <f t="shared" si="2707"/>
        <v>809</v>
      </c>
      <c r="E12477" t="str">
        <f t="shared" si="2711"/>
        <v>89301212</v>
      </c>
      <c r="F12477" t="str">
        <f>"6452210721"</f>
        <v>6452210721</v>
      </c>
      <c r="G12477" s="1">
        <v>44914</v>
      </c>
      <c r="H12477" t="str">
        <f>"89180"</f>
        <v>89180</v>
      </c>
      <c r="I12477">
        <v>2</v>
      </c>
      <c r="J12477">
        <v>752</v>
      </c>
      <c r="K12477">
        <v>0</v>
      </c>
      <c r="L12477">
        <v>1052.8</v>
      </c>
    </row>
    <row r="12478" spans="1:12" x14ac:dyDescent="0.25">
      <c r="A12478" t="str">
        <f t="shared" si="2696"/>
        <v>89301000</v>
      </c>
      <c r="B12478" t="str">
        <f t="shared" si="2705"/>
        <v>89383000</v>
      </c>
      <c r="C12478" t="str">
        <f t="shared" si="2706"/>
        <v>89383002</v>
      </c>
      <c r="D12478" t="str">
        <f t="shared" si="2707"/>
        <v>809</v>
      </c>
      <c r="E12478" t="str">
        <f t="shared" si="2711"/>
        <v>89301212</v>
      </c>
      <c r="F12478" t="str">
        <f>"6452210721"</f>
        <v>6452210721</v>
      </c>
      <c r="G12478" s="1">
        <v>44914</v>
      </c>
      <c r="H12478" t="str">
        <f>"89512"</f>
        <v>89512</v>
      </c>
      <c r="I12478">
        <v>1</v>
      </c>
      <c r="J12478">
        <v>277</v>
      </c>
      <c r="K12478">
        <v>0</v>
      </c>
      <c r="L12478">
        <v>387.8</v>
      </c>
    </row>
    <row r="12479" spans="1:12" x14ac:dyDescent="0.25">
      <c r="A12479" t="str">
        <f t="shared" si="2696"/>
        <v>89301000</v>
      </c>
      <c r="B12479" t="str">
        <f t="shared" si="2705"/>
        <v>89383000</v>
      </c>
      <c r="C12479" t="str">
        <f t="shared" si="2706"/>
        <v>89383002</v>
      </c>
      <c r="D12479" t="str">
        <f t="shared" si="2707"/>
        <v>809</v>
      </c>
      <c r="E12479" t="str">
        <f t="shared" si="2711"/>
        <v>89301212</v>
      </c>
      <c r="F12479" t="str">
        <f>"6452210721"</f>
        <v>6452210721</v>
      </c>
      <c r="G12479" s="1">
        <v>44914</v>
      </c>
      <c r="H12479" t="str">
        <f>"89513"</f>
        <v>89513</v>
      </c>
      <c r="I12479">
        <v>1</v>
      </c>
      <c r="J12479">
        <v>371</v>
      </c>
      <c r="K12479">
        <v>0</v>
      </c>
      <c r="L12479">
        <v>519.4</v>
      </c>
    </row>
    <row r="12480" spans="1:12" x14ac:dyDescent="0.25">
      <c r="A12480" t="str">
        <f t="shared" si="2696"/>
        <v>89301000</v>
      </c>
      <c r="B12480" t="str">
        <f t="shared" si="2705"/>
        <v>89383000</v>
      </c>
      <c r="C12480" t="str">
        <f t="shared" si="2706"/>
        <v>89383002</v>
      </c>
      <c r="D12480" t="str">
        <f t="shared" si="2707"/>
        <v>809</v>
      </c>
      <c r="E12480" t="str">
        <f t="shared" si="2711"/>
        <v>89301212</v>
      </c>
      <c r="F12480" t="str">
        <f>"6452210721"</f>
        <v>6452210721</v>
      </c>
      <c r="G12480" s="1">
        <v>44914</v>
      </c>
      <c r="H12480" t="str">
        <f>"89514"</f>
        <v>89514</v>
      </c>
      <c r="I12480">
        <v>1</v>
      </c>
      <c r="J12480">
        <v>371</v>
      </c>
      <c r="K12480">
        <v>0</v>
      </c>
      <c r="L12480">
        <v>519.4</v>
      </c>
    </row>
    <row r="12481" spans="1:12" x14ac:dyDescent="0.25">
      <c r="A12481" t="str">
        <f t="shared" si="2696"/>
        <v>89301000</v>
      </c>
      <c r="B12481" t="str">
        <f t="shared" si="2705"/>
        <v>89383000</v>
      </c>
      <c r="C12481" t="str">
        <f t="shared" si="2706"/>
        <v>89383002</v>
      </c>
      <c r="D12481" t="str">
        <f t="shared" si="2707"/>
        <v>809</v>
      </c>
      <c r="E12481" t="str">
        <f t="shared" si="2711"/>
        <v>89301212</v>
      </c>
      <c r="F12481" t="str">
        <f>"5857200492"</f>
        <v>5857200492</v>
      </c>
      <c r="G12481" s="1">
        <v>44914</v>
      </c>
      <c r="H12481" t="str">
        <f>"89180"</f>
        <v>89180</v>
      </c>
      <c r="I12481">
        <v>2</v>
      </c>
      <c r="J12481">
        <v>752</v>
      </c>
      <c r="K12481">
        <v>0</v>
      </c>
      <c r="L12481">
        <v>1052.8</v>
      </c>
    </row>
    <row r="12482" spans="1:12" x14ac:dyDescent="0.25">
      <c r="A12482" t="str">
        <f t="shared" ref="A12482:A12545" si="2712">"89301000"</f>
        <v>89301000</v>
      </c>
      <c r="B12482" t="str">
        <f t="shared" si="2705"/>
        <v>89383000</v>
      </c>
      <c r="C12482" t="str">
        <f t="shared" si="2706"/>
        <v>89383002</v>
      </c>
      <c r="D12482" t="str">
        <f t="shared" si="2707"/>
        <v>809</v>
      </c>
      <c r="E12482" t="str">
        <f t="shared" si="2711"/>
        <v>89301212</v>
      </c>
      <c r="F12482" t="str">
        <f>"5857200492"</f>
        <v>5857200492</v>
      </c>
      <c r="G12482" s="1">
        <v>44914</v>
      </c>
      <c r="H12482" t="str">
        <f>"89512"</f>
        <v>89512</v>
      </c>
      <c r="I12482">
        <v>1</v>
      </c>
      <c r="J12482">
        <v>277</v>
      </c>
      <c r="K12482">
        <v>0</v>
      </c>
      <c r="L12482">
        <v>387.8</v>
      </c>
    </row>
    <row r="12483" spans="1:12" x14ac:dyDescent="0.25">
      <c r="A12483" t="str">
        <f t="shared" si="2712"/>
        <v>89301000</v>
      </c>
      <c r="B12483" t="str">
        <f t="shared" si="2705"/>
        <v>89383000</v>
      </c>
      <c r="C12483" t="str">
        <f t="shared" si="2706"/>
        <v>89383002</v>
      </c>
      <c r="D12483" t="str">
        <f t="shared" si="2707"/>
        <v>809</v>
      </c>
      <c r="E12483" t="str">
        <f t="shared" si="2711"/>
        <v>89301212</v>
      </c>
      <c r="F12483" t="str">
        <f>"5857200492"</f>
        <v>5857200492</v>
      </c>
      <c r="G12483" s="1">
        <v>44914</v>
      </c>
      <c r="H12483" t="str">
        <f>"89513"</f>
        <v>89513</v>
      </c>
      <c r="I12483">
        <v>1</v>
      </c>
      <c r="J12483">
        <v>371</v>
      </c>
      <c r="K12483">
        <v>0</v>
      </c>
      <c r="L12483">
        <v>519.4</v>
      </c>
    </row>
    <row r="12484" spans="1:12" x14ac:dyDescent="0.25">
      <c r="A12484" t="str">
        <f t="shared" si="2712"/>
        <v>89301000</v>
      </c>
      <c r="B12484" t="str">
        <f t="shared" si="2705"/>
        <v>89383000</v>
      </c>
      <c r="C12484" t="str">
        <f t="shared" si="2706"/>
        <v>89383002</v>
      </c>
      <c r="D12484" t="str">
        <f t="shared" si="2707"/>
        <v>809</v>
      </c>
      <c r="E12484" t="str">
        <f t="shared" si="2711"/>
        <v>89301212</v>
      </c>
      <c r="F12484" t="str">
        <f>"5857200492"</f>
        <v>5857200492</v>
      </c>
      <c r="G12484" s="1">
        <v>44914</v>
      </c>
      <c r="H12484" t="str">
        <f>"89514"</f>
        <v>89514</v>
      </c>
      <c r="I12484">
        <v>1</v>
      </c>
      <c r="J12484">
        <v>371</v>
      </c>
      <c r="K12484">
        <v>0</v>
      </c>
      <c r="L12484">
        <v>519.4</v>
      </c>
    </row>
    <row r="12485" spans="1:12" x14ac:dyDescent="0.25">
      <c r="A12485" t="str">
        <f t="shared" si="2712"/>
        <v>89301000</v>
      </c>
      <c r="B12485" t="str">
        <f t="shared" si="2705"/>
        <v>89383000</v>
      </c>
      <c r="C12485" t="str">
        <f t="shared" si="2706"/>
        <v>89383002</v>
      </c>
      <c r="D12485" t="str">
        <f t="shared" si="2707"/>
        <v>809</v>
      </c>
      <c r="E12485" t="str">
        <f>"89301045"</f>
        <v>89301045</v>
      </c>
      <c r="F12485" t="str">
        <f>"5861161482"</f>
        <v>5861161482</v>
      </c>
      <c r="G12485" s="1">
        <v>44914</v>
      </c>
      <c r="H12485" t="str">
        <f>"89813"</f>
        <v>89813</v>
      </c>
      <c r="I12485">
        <v>1</v>
      </c>
      <c r="J12485">
        <v>130</v>
      </c>
      <c r="K12485">
        <v>0</v>
      </c>
      <c r="L12485">
        <v>182</v>
      </c>
    </row>
    <row r="12486" spans="1:12" x14ac:dyDescent="0.25">
      <c r="A12486" t="str">
        <f t="shared" si="2712"/>
        <v>89301000</v>
      </c>
      <c r="B12486" t="str">
        <f t="shared" si="2705"/>
        <v>89383000</v>
      </c>
      <c r="C12486" t="str">
        <f t="shared" si="2706"/>
        <v>89383002</v>
      </c>
      <c r="D12486" t="str">
        <f t="shared" si="2707"/>
        <v>809</v>
      </c>
      <c r="E12486" t="str">
        <f>"89301212"</f>
        <v>89301212</v>
      </c>
      <c r="F12486" t="str">
        <f>"8153115399"</f>
        <v>8153115399</v>
      </c>
      <c r="G12486" s="1">
        <v>44915</v>
      </c>
      <c r="H12486" t="str">
        <f>"89512"</f>
        <v>89512</v>
      </c>
      <c r="I12486">
        <v>1</v>
      </c>
      <c r="J12486">
        <v>277</v>
      </c>
      <c r="K12486">
        <v>0</v>
      </c>
      <c r="L12486">
        <v>387.8</v>
      </c>
    </row>
    <row r="12487" spans="1:12" x14ac:dyDescent="0.25">
      <c r="A12487" t="str">
        <f t="shared" si="2712"/>
        <v>89301000</v>
      </c>
      <c r="B12487" t="str">
        <f t="shared" si="2705"/>
        <v>89383000</v>
      </c>
      <c r="C12487" t="str">
        <f t="shared" si="2706"/>
        <v>89383002</v>
      </c>
      <c r="D12487" t="str">
        <f t="shared" si="2707"/>
        <v>809</v>
      </c>
      <c r="E12487" t="str">
        <f>"89301212"</f>
        <v>89301212</v>
      </c>
      <c r="F12487" t="str">
        <f>"7253245780"</f>
        <v>7253245780</v>
      </c>
      <c r="G12487" s="1">
        <v>44916</v>
      </c>
      <c r="H12487" t="str">
        <f>"89513"</f>
        <v>89513</v>
      </c>
      <c r="I12487">
        <v>1</v>
      </c>
      <c r="J12487">
        <v>371</v>
      </c>
      <c r="K12487">
        <v>0</v>
      </c>
      <c r="L12487">
        <v>519.4</v>
      </c>
    </row>
    <row r="12488" spans="1:12" x14ac:dyDescent="0.25">
      <c r="A12488" t="str">
        <f t="shared" si="2712"/>
        <v>89301000</v>
      </c>
      <c r="B12488" t="str">
        <f t="shared" ref="B12488:B12502" si="2713">"89383000"</f>
        <v>89383000</v>
      </c>
      <c r="C12488" t="str">
        <f t="shared" ref="C12488:C12502" si="2714">"89383002"</f>
        <v>89383002</v>
      </c>
      <c r="D12488" t="str">
        <f t="shared" ref="D12488:D12502" si="2715">"809"</f>
        <v>809</v>
      </c>
      <c r="E12488" t="str">
        <f>"89301212"</f>
        <v>89301212</v>
      </c>
      <c r="F12488" t="str">
        <f>"7253245780"</f>
        <v>7253245780</v>
      </c>
      <c r="G12488" s="1">
        <v>44916</v>
      </c>
      <c r="H12488" t="str">
        <f>"89514"</f>
        <v>89514</v>
      </c>
      <c r="I12488">
        <v>1</v>
      </c>
      <c r="J12488">
        <v>371</v>
      </c>
      <c r="K12488">
        <v>0</v>
      </c>
      <c r="L12488">
        <v>519.4</v>
      </c>
    </row>
    <row r="12489" spans="1:12" x14ac:dyDescent="0.25">
      <c r="A12489" t="str">
        <f t="shared" si="2712"/>
        <v>89301000</v>
      </c>
      <c r="B12489" t="str">
        <f t="shared" si="2713"/>
        <v>89383000</v>
      </c>
      <c r="C12489" t="str">
        <f t="shared" si="2714"/>
        <v>89383002</v>
      </c>
      <c r="D12489" t="str">
        <f t="shared" si="2715"/>
        <v>809</v>
      </c>
      <c r="E12489" t="str">
        <f>"89301215"</f>
        <v>89301215</v>
      </c>
      <c r="F12489" t="str">
        <f>"8253114474"</f>
        <v>8253114474</v>
      </c>
      <c r="G12489" s="1">
        <v>44916</v>
      </c>
      <c r="H12489" t="str">
        <f>"89512"</f>
        <v>89512</v>
      </c>
      <c r="I12489">
        <v>1</v>
      </c>
      <c r="J12489">
        <v>277</v>
      </c>
      <c r="K12489">
        <v>0</v>
      </c>
      <c r="L12489">
        <v>387.8</v>
      </c>
    </row>
    <row r="12490" spans="1:12" x14ac:dyDescent="0.25">
      <c r="A12490" t="str">
        <f t="shared" si="2712"/>
        <v>89301000</v>
      </c>
      <c r="B12490" t="str">
        <f t="shared" si="2713"/>
        <v>89383000</v>
      </c>
      <c r="C12490" t="str">
        <f t="shared" si="2714"/>
        <v>89383002</v>
      </c>
      <c r="D12490" t="str">
        <f t="shared" si="2715"/>
        <v>809</v>
      </c>
      <c r="E12490" t="str">
        <f>"89301215"</f>
        <v>89301215</v>
      </c>
      <c r="F12490" t="str">
        <f>"8253114474"</f>
        <v>8253114474</v>
      </c>
      <c r="G12490" s="1">
        <v>44916</v>
      </c>
      <c r="H12490" t="str">
        <f>"89311"</f>
        <v>89311</v>
      </c>
      <c r="I12490">
        <v>1</v>
      </c>
      <c r="J12490">
        <v>936</v>
      </c>
      <c r="K12490">
        <v>0</v>
      </c>
      <c r="L12490">
        <v>1310.4000000000001</v>
      </c>
    </row>
    <row r="12491" spans="1:12" x14ac:dyDescent="0.25">
      <c r="A12491" t="str">
        <f t="shared" si="2712"/>
        <v>89301000</v>
      </c>
      <c r="B12491" t="str">
        <f t="shared" si="2713"/>
        <v>89383000</v>
      </c>
      <c r="C12491" t="str">
        <f t="shared" si="2714"/>
        <v>89383002</v>
      </c>
      <c r="D12491" t="str">
        <f t="shared" si="2715"/>
        <v>809</v>
      </c>
      <c r="E12491" t="str">
        <f>"89301045"</f>
        <v>89301045</v>
      </c>
      <c r="F12491" t="str">
        <f>"5962191576"</f>
        <v>5962191576</v>
      </c>
      <c r="G12491" s="1">
        <v>44914</v>
      </c>
      <c r="H12491" t="str">
        <f>"89813"</f>
        <v>89813</v>
      </c>
      <c r="I12491">
        <v>1</v>
      </c>
      <c r="J12491">
        <v>130</v>
      </c>
      <c r="K12491">
        <v>0</v>
      </c>
      <c r="L12491">
        <v>182</v>
      </c>
    </row>
    <row r="12492" spans="1:12" x14ac:dyDescent="0.25">
      <c r="A12492" t="str">
        <f t="shared" si="2712"/>
        <v>89301000</v>
      </c>
      <c r="B12492" t="str">
        <f t="shared" si="2713"/>
        <v>89383000</v>
      </c>
      <c r="C12492" t="str">
        <f t="shared" si="2714"/>
        <v>89383002</v>
      </c>
      <c r="D12492" t="str">
        <f t="shared" si="2715"/>
        <v>809</v>
      </c>
      <c r="E12492" t="str">
        <f>"89301212"</f>
        <v>89301212</v>
      </c>
      <c r="F12492" t="str">
        <f>"7551055380"</f>
        <v>7551055380</v>
      </c>
      <c r="G12492" s="1">
        <v>44917</v>
      </c>
      <c r="H12492" t="str">
        <f>"89180"</f>
        <v>89180</v>
      </c>
      <c r="I12492">
        <v>2</v>
      </c>
      <c r="J12492">
        <v>752</v>
      </c>
      <c r="K12492">
        <v>0</v>
      </c>
      <c r="L12492">
        <v>1052.8</v>
      </c>
    </row>
    <row r="12493" spans="1:12" x14ac:dyDescent="0.25">
      <c r="A12493" t="str">
        <f t="shared" si="2712"/>
        <v>89301000</v>
      </c>
      <c r="B12493" t="str">
        <f t="shared" si="2713"/>
        <v>89383000</v>
      </c>
      <c r="C12493" t="str">
        <f t="shared" si="2714"/>
        <v>89383002</v>
      </c>
      <c r="D12493" t="str">
        <f t="shared" si="2715"/>
        <v>809</v>
      </c>
      <c r="E12493" t="str">
        <f>"89301212"</f>
        <v>89301212</v>
      </c>
      <c r="F12493" t="str">
        <f>"7551055380"</f>
        <v>7551055380</v>
      </c>
      <c r="G12493" s="1">
        <v>44917</v>
      </c>
      <c r="H12493" t="str">
        <f>"89512"</f>
        <v>89512</v>
      </c>
      <c r="I12493">
        <v>1</v>
      </c>
      <c r="J12493">
        <v>277</v>
      </c>
      <c r="K12493">
        <v>0</v>
      </c>
      <c r="L12493">
        <v>387.8</v>
      </c>
    </row>
    <row r="12494" spans="1:12" x14ac:dyDescent="0.25">
      <c r="A12494" t="str">
        <f t="shared" si="2712"/>
        <v>89301000</v>
      </c>
      <c r="B12494" t="str">
        <f t="shared" si="2713"/>
        <v>89383000</v>
      </c>
      <c r="C12494" t="str">
        <f t="shared" si="2714"/>
        <v>89383002</v>
      </c>
      <c r="D12494" t="str">
        <f t="shared" si="2715"/>
        <v>809</v>
      </c>
      <c r="E12494" t="str">
        <f>"89301212"</f>
        <v>89301212</v>
      </c>
      <c r="F12494" t="str">
        <f>"7551055380"</f>
        <v>7551055380</v>
      </c>
      <c r="G12494" s="1">
        <v>44917</v>
      </c>
      <c r="H12494" t="str">
        <f>"89513"</f>
        <v>89513</v>
      </c>
      <c r="I12494">
        <v>1</v>
      </c>
      <c r="J12494">
        <v>371</v>
      </c>
      <c r="K12494">
        <v>0</v>
      </c>
      <c r="L12494">
        <v>519.4</v>
      </c>
    </row>
    <row r="12495" spans="1:12" x14ac:dyDescent="0.25">
      <c r="A12495" t="str">
        <f t="shared" si="2712"/>
        <v>89301000</v>
      </c>
      <c r="B12495" t="str">
        <f t="shared" si="2713"/>
        <v>89383000</v>
      </c>
      <c r="C12495" t="str">
        <f t="shared" si="2714"/>
        <v>89383002</v>
      </c>
      <c r="D12495" t="str">
        <f t="shared" si="2715"/>
        <v>809</v>
      </c>
      <c r="E12495" t="str">
        <f>"89301212"</f>
        <v>89301212</v>
      </c>
      <c r="F12495" t="str">
        <f>"7551055380"</f>
        <v>7551055380</v>
      </c>
      <c r="G12495" s="1">
        <v>44917</v>
      </c>
      <c r="H12495" t="str">
        <f>"89514"</f>
        <v>89514</v>
      </c>
      <c r="I12495">
        <v>1</v>
      </c>
      <c r="J12495">
        <v>371</v>
      </c>
      <c r="K12495">
        <v>0</v>
      </c>
      <c r="L12495">
        <v>519.4</v>
      </c>
    </row>
    <row r="12496" spans="1:12" x14ac:dyDescent="0.25">
      <c r="A12496" t="str">
        <f t="shared" si="2712"/>
        <v>89301000</v>
      </c>
      <c r="B12496" t="str">
        <f t="shared" si="2713"/>
        <v>89383000</v>
      </c>
      <c r="C12496" t="str">
        <f t="shared" si="2714"/>
        <v>89383002</v>
      </c>
      <c r="D12496" t="str">
        <f t="shared" si="2715"/>
        <v>809</v>
      </c>
      <c r="E12496" t="str">
        <f t="shared" ref="E12496:E12501" si="2716">"89301045"</f>
        <v>89301045</v>
      </c>
      <c r="F12496" t="str">
        <f t="shared" ref="F12496:F12501" si="2717">"0456720517"</f>
        <v>0456720517</v>
      </c>
      <c r="G12496" s="1">
        <v>44923</v>
      </c>
      <c r="H12496" t="str">
        <f>"89313"</f>
        <v>89313</v>
      </c>
      <c r="I12496">
        <v>1</v>
      </c>
      <c r="J12496">
        <v>406</v>
      </c>
      <c r="K12496">
        <v>0</v>
      </c>
      <c r="L12496">
        <v>568.4</v>
      </c>
    </row>
    <row r="12497" spans="1:12" x14ac:dyDescent="0.25">
      <c r="A12497" t="str">
        <f t="shared" si="2712"/>
        <v>89301000</v>
      </c>
      <c r="B12497" t="str">
        <f t="shared" si="2713"/>
        <v>89383000</v>
      </c>
      <c r="C12497" t="str">
        <f t="shared" si="2714"/>
        <v>89383002</v>
      </c>
      <c r="D12497" t="str">
        <f t="shared" si="2715"/>
        <v>809</v>
      </c>
      <c r="E12497" t="str">
        <f t="shared" si="2716"/>
        <v>89301045</v>
      </c>
      <c r="F12497" t="str">
        <f t="shared" si="2717"/>
        <v>0456720517</v>
      </c>
      <c r="G12497" s="1">
        <v>44923</v>
      </c>
      <c r="H12497" t="str">
        <f>"09233"</f>
        <v>09233</v>
      </c>
      <c r="I12497">
        <v>1</v>
      </c>
      <c r="J12497">
        <v>99</v>
      </c>
      <c r="K12497">
        <v>0</v>
      </c>
      <c r="L12497">
        <v>138.6</v>
      </c>
    </row>
    <row r="12498" spans="1:12" x14ac:dyDescent="0.25">
      <c r="A12498" t="str">
        <f t="shared" si="2712"/>
        <v>89301000</v>
      </c>
      <c r="B12498" t="str">
        <f t="shared" si="2713"/>
        <v>89383000</v>
      </c>
      <c r="C12498" t="str">
        <f t="shared" si="2714"/>
        <v>89383002</v>
      </c>
      <c r="D12498" t="str">
        <f t="shared" si="2715"/>
        <v>809</v>
      </c>
      <c r="E12498" t="str">
        <f t="shared" si="2716"/>
        <v>89301045</v>
      </c>
      <c r="F12498" t="str">
        <f t="shared" si="2717"/>
        <v>0456720517</v>
      </c>
      <c r="G12498" s="1">
        <v>44923</v>
      </c>
      <c r="H12498" t="str">
        <f>"89515"</f>
        <v>89515</v>
      </c>
      <c r="I12498">
        <v>1</v>
      </c>
      <c r="J12498">
        <v>339</v>
      </c>
      <c r="K12498">
        <v>0</v>
      </c>
      <c r="L12498">
        <v>474.6</v>
      </c>
    </row>
    <row r="12499" spans="1:12" x14ac:dyDescent="0.25">
      <c r="A12499" t="str">
        <f t="shared" si="2712"/>
        <v>89301000</v>
      </c>
      <c r="B12499" t="str">
        <f t="shared" si="2713"/>
        <v>89383000</v>
      </c>
      <c r="C12499" t="str">
        <f t="shared" si="2714"/>
        <v>89383002</v>
      </c>
      <c r="D12499" t="str">
        <f t="shared" si="2715"/>
        <v>809</v>
      </c>
      <c r="E12499" t="str">
        <f t="shared" si="2716"/>
        <v>89301045</v>
      </c>
      <c r="F12499" t="str">
        <f t="shared" si="2717"/>
        <v>0456720517</v>
      </c>
      <c r="G12499" s="1">
        <v>44923</v>
      </c>
      <c r="H12499" t="str">
        <f>"89512"</f>
        <v>89512</v>
      </c>
      <c r="I12499">
        <v>1</v>
      </c>
      <c r="J12499">
        <v>277</v>
      </c>
      <c r="K12499">
        <v>0</v>
      </c>
      <c r="L12499">
        <v>387.8</v>
      </c>
    </row>
    <row r="12500" spans="1:12" x14ac:dyDescent="0.25">
      <c r="A12500" t="str">
        <f t="shared" si="2712"/>
        <v>89301000</v>
      </c>
      <c r="B12500" t="str">
        <f t="shared" si="2713"/>
        <v>89383000</v>
      </c>
      <c r="C12500" t="str">
        <f t="shared" si="2714"/>
        <v>89383002</v>
      </c>
      <c r="D12500" t="str">
        <f t="shared" si="2715"/>
        <v>809</v>
      </c>
      <c r="E12500" t="str">
        <f t="shared" si="2716"/>
        <v>89301045</v>
      </c>
      <c r="F12500" t="str">
        <f t="shared" si="2717"/>
        <v>0456720517</v>
      </c>
      <c r="G12500" s="1">
        <v>44923</v>
      </c>
      <c r="H12500" t="str">
        <f>"0225891"</f>
        <v>0225891</v>
      </c>
      <c r="I12500">
        <v>0.02</v>
      </c>
      <c r="K12500">
        <v>7.35</v>
      </c>
      <c r="L12500">
        <v>7.35</v>
      </c>
    </row>
    <row r="12501" spans="1:12" x14ac:dyDescent="0.25">
      <c r="A12501" t="str">
        <f t="shared" si="2712"/>
        <v>89301000</v>
      </c>
      <c r="B12501" t="str">
        <f t="shared" si="2713"/>
        <v>89383000</v>
      </c>
      <c r="C12501" t="str">
        <f t="shared" si="2714"/>
        <v>89383002</v>
      </c>
      <c r="D12501" t="str">
        <f t="shared" si="2715"/>
        <v>809</v>
      </c>
      <c r="E12501" t="str">
        <f t="shared" si="2716"/>
        <v>89301045</v>
      </c>
      <c r="F12501" t="str">
        <f t="shared" si="2717"/>
        <v>0456720517</v>
      </c>
      <c r="G12501" s="1">
        <v>44923</v>
      </c>
      <c r="H12501" t="str">
        <f>"0142908"</f>
        <v>0142908</v>
      </c>
      <c r="I12501">
        <v>1</v>
      </c>
      <c r="K12501">
        <v>910</v>
      </c>
      <c r="L12501">
        <v>910</v>
      </c>
    </row>
    <row r="12502" spans="1:12" x14ac:dyDescent="0.25">
      <c r="A12502" t="str">
        <f t="shared" si="2712"/>
        <v>89301000</v>
      </c>
      <c r="B12502" t="str">
        <f t="shared" si="2713"/>
        <v>89383000</v>
      </c>
      <c r="C12502" t="str">
        <f t="shared" si="2714"/>
        <v>89383002</v>
      </c>
      <c r="D12502" t="str">
        <f t="shared" si="2715"/>
        <v>809</v>
      </c>
      <c r="E12502" t="str">
        <f>"89301042"</f>
        <v>89301042</v>
      </c>
      <c r="F12502" t="str">
        <f>"7256244556"</f>
        <v>7256244556</v>
      </c>
      <c r="G12502" s="1">
        <v>44907</v>
      </c>
      <c r="H12502" t="str">
        <f>"89512"</f>
        <v>89512</v>
      </c>
      <c r="I12502">
        <v>1</v>
      </c>
      <c r="J12502">
        <v>277</v>
      </c>
      <c r="K12502">
        <v>0</v>
      </c>
      <c r="L12502">
        <v>387.8</v>
      </c>
    </row>
    <row r="12503" spans="1:12" x14ac:dyDescent="0.25">
      <c r="A12503" t="str">
        <f t="shared" si="2712"/>
        <v>89301000</v>
      </c>
      <c r="B12503" t="str">
        <f t="shared" ref="B12503:B12534" si="2718">"78006000"</f>
        <v>78006000</v>
      </c>
      <c r="C12503" t="str">
        <f>"78006201"</f>
        <v>78006201</v>
      </c>
      <c r="D12503" t="str">
        <f>"801"</f>
        <v>801</v>
      </c>
      <c r="E12503" t="str">
        <f>"89301167"</f>
        <v>89301167</v>
      </c>
      <c r="F12503" t="str">
        <f>"470127462"</f>
        <v>470127462</v>
      </c>
      <c r="G12503" s="1">
        <v>44859</v>
      </c>
      <c r="H12503" t="str">
        <f>"93131"</f>
        <v>93131</v>
      </c>
      <c r="I12503">
        <v>1</v>
      </c>
      <c r="J12503">
        <v>195</v>
      </c>
      <c r="K12503">
        <v>0</v>
      </c>
      <c r="L12503">
        <v>152.1</v>
      </c>
    </row>
    <row r="12504" spans="1:12" x14ac:dyDescent="0.25">
      <c r="A12504" t="str">
        <f t="shared" si="2712"/>
        <v>89301000</v>
      </c>
      <c r="B12504" t="str">
        <f t="shared" si="2718"/>
        <v>78006000</v>
      </c>
      <c r="C12504" t="str">
        <f>"78006201"</f>
        <v>78006201</v>
      </c>
      <c r="D12504" t="str">
        <f>"801"</f>
        <v>801</v>
      </c>
      <c r="E12504" t="str">
        <f>"89301167"</f>
        <v>89301167</v>
      </c>
      <c r="F12504" t="str">
        <f>"470127462"</f>
        <v>470127462</v>
      </c>
      <c r="G12504" s="1">
        <v>44841</v>
      </c>
      <c r="H12504" t="str">
        <f>"93131"</f>
        <v>93131</v>
      </c>
      <c r="I12504">
        <v>1</v>
      </c>
      <c r="J12504">
        <v>195</v>
      </c>
      <c r="K12504">
        <v>0</v>
      </c>
      <c r="L12504">
        <v>152.1</v>
      </c>
    </row>
    <row r="12505" spans="1:12" x14ac:dyDescent="0.25">
      <c r="A12505" t="str">
        <f t="shared" si="2712"/>
        <v>89301000</v>
      </c>
      <c r="B12505" t="str">
        <f t="shared" si="2718"/>
        <v>78006000</v>
      </c>
      <c r="C12505" t="str">
        <f>"78006205"</f>
        <v>78006205</v>
      </c>
      <c r="D12505" t="str">
        <f>"818"</f>
        <v>818</v>
      </c>
      <c r="E12505" t="str">
        <f>"89301082"</f>
        <v>89301082</v>
      </c>
      <c r="F12505" t="str">
        <f>"9952015700"</f>
        <v>9952015700</v>
      </c>
      <c r="G12505" s="1">
        <v>44901</v>
      </c>
      <c r="H12505" t="str">
        <f>"96163"</f>
        <v>96163</v>
      </c>
      <c r="I12505">
        <v>1</v>
      </c>
      <c r="J12505">
        <v>27</v>
      </c>
      <c r="K12505">
        <v>0</v>
      </c>
      <c r="L12505">
        <v>24.57</v>
      </c>
    </row>
    <row r="12506" spans="1:12" x14ac:dyDescent="0.25">
      <c r="A12506" t="str">
        <f t="shared" si="2712"/>
        <v>89301000</v>
      </c>
      <c r="B12506" t="str">
        <f t="shared" si="2718"/>
        <v>78006000</v>
      </c>
      <c r="C12506" t="str">
        <f>"78006205"</f>
        <v>78006205</v>
      </c>
      <c r="D12506" t="str">
        <f>"818"</f>
        <v>818</v>
      </c>
      <c r="E12506" t="str">
        <f>"89301167"</f>
        <v>89301167</v>
      </c>
      <c r="F12506" t="str">
        <f>"5854210813"</f>
        <v>5854210813</v>
      </c>
      <c r="G12506" s="1">
        <v>44917</v>
      </c>
      <c r="H12506" t="str">
        <f>"96167"</f>
        <v>96167</v>
      </c>
      <c r="I12506">
        <v>1</v>
      </c>
      <c r="J12506">
        <v>67</v>
      </c>
      <c r="K12506">
        <v>0</v>
      </c>
      <c r="L12506">
        <v>60.97</v>
      </c>
    </row>
    <row r="12507" spans="1:12" x14ac:dyDescent="0.25">
      <c r="A12507" t="str">
        <f t="shared" si="2712"/>
        <v>89301000</v>
      </c>
      <c r="B12507" t="str">
        <f t="shared" si="2718"/>
        <v>78006000</v>
      </c>
      <c r="C12507" t="str">
        <f t="shared" ref="C12507:C12514" si="2719">"78006207"</f>
        <v>78006207</v>
      </c>
      <c r="D12507" t="str">
        <f t="shared" ref="D12507:D12514" si="2720">"813"</f>
        <v>813</v>
      </c>
      <c r="E12507" t="str">
        <f>"89301171"</f>
        <v>89301171</v>
      </c>
      <c r="F12507" t="str">
        <f>"9302166170"</f>
        <v>9302166170</v>
      </c>
      <c r="G12507" s="1">
        <v>44915</v>
      </c>
      <c r="H12507" t="str">
        <f>"91197"</f>
        <v>91197</v>
      </c>
      <c r="I12507">
        <v>2</v>
      </c>
      <c r="J12507">
        <v>2092</v>
      </c>
      <c r="K12507">
        <v>0</v>
      </c>
      <c r="L12507">
        <v>1631.76</v>
      </c>
    </row>
    <row r="12508" spans="1:12" x14ac:dyDescent="0.25">
      <c r="A12508" t="str">
        <f t="shared" si="2712"/>
        <v>89301000</v>
      </c>
      <c r="B12508" t="str">
        <f t="shared" si="2718"/>
        <v>78006000</v>
      </c>
      <c r="C12508" t="str">
        <f t="shared" si="2719"/>
        <v>78006207</v>
      </c>
      <c r="D12508" t="str">
        <f t="shared" si="2720"/>
        <v>813</v>
      </c>
      <c r="E12508" t="str">
        <f>"89301171"</f>
        <v>89301171</v>
      </c>
      <c r="F12508" t="str">
        <f>"9302166170"</f>
        <v>9302166170</v>
      </c>
      <c r="G12508" s="1">
        <v>44915</v>
      </c>
      <c r="H12508" t="str">
        <f>"91197"</f>
        <v>91197</v>
      </c>
      <c r="I12508">
        <v>4</v>
      </c>
      <c r="J12508">
        <v>4184</v>
      </c>
      <c r="K12508">
        <v>0</v>
      </c>
      <c r="L12508">
        <v>3263.52</v>
      </c>
    </row>
    <row r="12509" spans="1:12" x14ac:dyDescent="0.25">
      <c r="A12509" t="str">
        <f t="shared" si="2712"/>
        <v>89301000</v>
      </c>
      <c r="B12509" t="str">
        <f t="shared" si="2718"/>
        <v>78006000</v>
      </c>
      <c r="C12509" t="str">
        <f t="shared" si="2719"/>
        <v>78006207</v>
      </c>
      <c r="D12509" t="str">
        <f t="shared" si="2720"/>
        <v>813</v>
      </c>
      <c r="E12509" t="str">
        <f>"89301167"</f>
        <v>89301167</v>
      </c>
      <c r="F12509" t="str">
        <f>"5854210813"</f>
        <v>5854210813</v>
      </c>
      <c r="G12509" s="1">
        <v>44917</v>
      </c>
      <c r="H12509" t="str">
        <f>"91153"</f>
        <v>91153</v>
      </c>
      <c r="I12509">
        <v>1</v>
      </c>
      <c r="J12509">
        <v>152</v>
      </c>
      <c r="K12509">
        <v>0</v>
      </c>
      <c r="L12509">
        <v>118.56</v>
      </c>
    </row>
    <row r="12510" spans="1:12" x14ac:dyDescent="0.25">
      <c r="A12510" t="str">
        <f t="shared" si="2712"/>
        <v>89301000</v>
      </c>
      <c r="B12510" t="str">
        <f t="shared" si="2718"/>
        <v>78006000</v>
      </c>
      <c r="C12510" t="str">
        <f t="shared" si="2719"/>
        <v>78006207</v>
      </c>
      <c r="D12510" t="str">
        <f t="shared" si="2720"/>
        <v>813</v>
      </c>
      <c r="E12510" t="str">
        <f>"89301082"</f>
        <v>89301082</v>
      </c>
      <c r="F12510" t="str">
        <f>"9952015700"</f>
        <v>9952015700</v>
      </c>
      <c r="G12510" s="1">
        <v>44901</v>
      </c>
      <c r="H12510" t="str">
        <f>"91153"</f>
        <v>91153</v>
      </c>
      <c r="I12510">
        <v>1</v>
      </c>
      <c r="J12510">
        <v>152</v>
      </c>
      <c r="K12510">
        <v>0</v>
      </c>
      <c r="L12510">
        <v>118.56</v>
      </c>
    </row>
    <row r="12511" spans="1:12" x14ac:dyDescent="0.25">
      <c r="A12511" t="str">
        <f t="shared" si="2712"/>
        <v>89301000</v>
      </c>
      <c r="B12511" t="str">
        <f t="shared" si="2718"/>
        <v>78006000</v>
      </c>
      <c r="C12511" t="str">
        <f t="shared" si="2719"/>
        <v>78006207</v>
      </c>
      <c r="D12511" t="str">
        <f t="shared" si="2720"/>
        <v>813</v>
      </c>
      <c r="E12511" t="str">
        <f>"89301171"</f>
        <v>89301171</v>
      </c>
      <c r="F12511" t="str">
        <f>"6307022183"</f>
        <v>6307022183</v>
      </c>
      <c r="G12511" s="1">
        <v>44904</v>
      </c>
      <c r="H12511" t="str">
        <f>"91197"</f>
        <v>91197</v>
      </c>
      <c r="I12511">
        <v>6</v>
      </c>
      <c r="J12511">
        <v>6276</v>
      </c>
      <c r="K12511">
        <v>0</v>
      </c>
      <c r="L12511">
        <v>4895.28</v>
      </c>
    </row>
    <row r="12512" spans="1:12" x14ac:dyDescent="0.25">
      <c r="A12512" t="str">
        <f t="shared" si="2712"/>
        <v>89301000</v>
      </c>
      <c r="B12512" t="str">
        <f t="shared" si="2718"/>
        <v>78006000</v>
      </c>
      <c r="C12512" t="str">
        <f t="shared" si="2719"/>
        <v>78006207</v>
      </c>
      <c r="D12512" t="str">
        <f t="shared" si="2720"/>
        <v>813</v>
      </c>
      <c r="E12512" t="str">
        <f>"89301171"</f>
        <v>89301171</v>
      </c>
      <c r="F12512" t="str">
        <f>"9162276211"</f>
        <v>9162276211</v>
      </c>
      <c r="G12512" s="1">
        <v>44915</v>
      </c>
      <c r="H12512" t="str">
        <f>"91197"</f>
        <v>91197</v>
      </c>
      <c r="I12512">
        <v>6</v>
      </c>
      <c r="J12512">
        <v>6276</v>
      </c>
      <c r="K12512">
        <v>0</v>
      </c>
      <c r="L12512">
        <v>4895.28</v>
      </c>
    </row>
    <row r="12513" spans="1:12" x14ac:dyDescent="0.25">
      <c r="A12513" t="str">
        <f t="shared" si="2712"/>
        <v>89301000</v>
      </c>
      <c r="B12513" t="str">
        <f t="shared" si="2718"/>
        <v>78006000</v>
      </c>
      <c r="C12513" t="str">
        <f t="shared" si="2719"/>
        <v>78006207</v>
      </c>
      <c r="D12513" t="str">
        <f t="shared" si="2720"/>
        <v>813</v>
      </c>
      <c r="E12513" t="str">
        <f>"89301171"</f>
        <v>89301171</v>
      </c>
      <c r="F12513" t="str">
        <f>"6412150679"</f>
        <v>6412150679</v>
      </c>
      <c r="G12513" s="1">
        <v>44904</v>
      </c>
      <c r="H12513" t="str">
        <f>"91197"</f>
        <v>91197</v>
      </c>
      <c r="I12513">
        <v>6</v>
      </c>
      <c r="J12513">
        <v>6276</v>
      </c>
      <c r="K12513">
        <v>0</v>
      </c>
      <c r="L12513">
        <v>4895.28</v>
      </c>
    </row>
    <row r="12514" spans="1:12" x14ac:dyDescent="0.25">
      <c r="A12514" t="str">
        <f t="shared" si="2712"/>
        <v>89301000</v>
      </c>
      <c r="B12514" t="str">
        <f t="shared" si="2718"/>
        <v>78006000</v>
      </c>
      <c r="C12514" t="str">
        <f t="shared" si="2719"/>
        <v>78006207</v>
      </c>
      <c r="D12514" t="str">
        <f t="shared" si="2720"/>
        <v>813</v>
      </c>
      <c r="E12514" t="str">
        <f>"89301171"</f>
        <v>89301171</v>
      </c>
      <c r="F12514" t="str">
        <f>"9851045710"</f>
        <v>9851045710</v>
      </c>
      <c r="G12514" s="1">
        <v>44904</v>
      </c>
      <c r="H12514" t="str">
        <f>"91197"</f>
        <v>91197</v>
      </c>
      <c r="I12514">
        <v>6</v>
      </c>
      <c r="J12514">
        <v>6276</v>
      </c>
      <c r="K12514">
        <v>0</v>
      </c>
      <c r="L12514">
        <v>4895.28</v>
      </c>
    </row>
    <row r="12515" spans="1:12" x14ac:dyDescent="0.25">
      <c r="A12515" t="str">
        <f t="shared" si="2712"/>
        <v>89301000</v>
      </c>
      <c r="B12515" t="str">
        <f t="shared" si="2718"/>
        <v>78006000</v>
      </c>
      <c r="C12515" t="str">
        <f t="shared" ref="C12515:C12528" si="2721">"78006201"</f>
        <v>78006201</v>
      </c>
      <c r="D12515" t="str">
        <f t="shared" ref="D12515:D12528" si="2722">"801"</f>
        <v>801</v>
      </c>
      <c r="E12515" t="str">
        <f t="shared" ref="E12515:E12528" si="2723">"89301167"</f>
        <v>89301167</v>
      </c>
      <c r="F12515" t="str">
        <f t="shared" ref="F12515:F12528" si="2724">"7003135304"</f>
        <v>7003135304</v>
      </c>
      <c r="G12515" s="1">
        <v>44901</v>
      </c>
      <c r="H12515" t="str">
        <f>"81329"</f>
        <v>81329</v>
      </c>
      <c r="I12515">
        <v>1</v>
      </c>
      <c r="J12515">
        <v>16</v>
      </c>
      <c r="K12515">
        <v>0</v>
      </c>
      <c r="L12515">
        <v>12.48</v>
      </c>
    </row>
    <row r="12516" spans="1:12" x14ac:dyDescent="0.25">
      <c r="A12516" t="str">
        <f t="shared" si="2712"/>
        <v>89301000</v>
      </c>
      <c r="B12516" t="str">
        <f t="shared" si="2718"/>
        <v>78006000</v>
      </c>
      <c r="C12516" t="str">
        <f t="shared" si="2721"/>
        <v>78006201</v>
      </c>
      <c r="D12516" t="str">
        <f t="shared" si="2722"/>
        <v>801</v>
      </c>
      <c r="E12516" t="str">
        <f t="shared" si="2723"/>
        <v>89301167</v>
      </c>
      <c r="F12516" t="str">
        <f t="shared" si="2724"/>
        <v>7003135304</v>
      </c>
      <c r="G12516" s="1">
        <v>44901</v>
      </c>
      <c r="H12516" t="str">
        <f>"81383"</f>
        <v>81383</v>
      </c>
      <c r="I12516">
        <v>1</v>
      </c>
      <c r="J12516">
        <v>23</v>
      </c>
      <c r="K12516">
        <v>0</v>
      </c>
      <c r="L12516">
        <v>17.940000000000001</v>
      </c>
    </row>
    <row r="12517" spans="1:12" x14ac:dyDescent="0.25">
      <c r="A12517" t="str">
        <f t="shared" si="2712"/>
        <v>89301000</v>
      </c>
      <c r="B12517" t="str">
        <f t="shared" si="2718"/>
        <v>78006000</v>
      </c>
      <c r="C12517" t="str">
        <f t="shared" si="2721"/>
        <v>78006201</v>
      </c>
      <c r="D12517" t="str">
        <f t="shared" si="2722"/>
        <v>801</v>
      </c>
      <c r="E12517" t="str">
        <f t="shared" si="2723"/>
        <v>89301167</v>
      </c>
      <c r="F12517" t="str">
        <f t="shared" si="2724"/>
        <v>7003135304</v>
      </c>
      <c r="G12517" s="1">
        <v>44901</v>
      </c>
      <c r="H12517" t="str">
        <f>"81495"</f>
        <v>81495</v>
      </c>
      <c r="I12517">
        <v>1</v>
      </c>
      <c r="J12517">
        <v>31</v>
      </c>
      <c r="K12517">
        <v>0</v>
      </c>
      <c r="L12517">
        <v>24.18</v>
      </c>
    </row>
    <row r="12518" spans="1:12" x14ac:dyDescent="0.25">
      <c r="A12518" t="str">
        <f t="shared" si="2712"/>
        <v>89301000</v>
      </c>
      <c r="B12518" t="str">
        <f t="shared" si="2718"/>
        <v>78006000</v>
      </c>
      <c r="C12518" t="str">
        <f t="shared" si="2721"/>
        <v>78006201</v>
      </c>
      <c r="D12518" t="str">
        <f t="shared" si="2722"/>
        <v>801</v>
      </c>
      <c r="E12518" t="str">
        <f t="shared" si="2723"/>
        <v>89301167</v>
      </c>
      <c r="F12518" t="str">
        <f t="shared" si="2724"/>
        <v>7003135304</v>
      </c>
      <c r="G12518" s="1">
        <v>44901</v>
      </c>
      <c r="H12518" t="str">
        <f>"81625"</f>
        <v>81625</v>
      </c>
      <c r="I12518">
        <v>1</v>
      </c>
      <c r="J12518">
        <v>20</v>
      </c>
      <c r="K12518">
        <v>0</v>
      </c>
      <c r="L12518">
        <v>15.6</v>
      </c>
    </row>
    <row r="12519" spans="1:12" x14ac:dyDescent="0.25">
      <c r="A12519" t="str">
        <f t="shared" si="2712"/>
        <v>89301000</v>
      </c>
      <c r="B12519" t="str">
        <f t="shared" si="2718"/>
        <v>78006000</v>
      </c>
      <c r="C12519" t="str">
        <f t="shared" si="2721"/>
        <v>78006201</v>
      </c>
      <c r="D12519" t="str">
        <f t="shared" si="2722"/>
        <v>801</v>
      </c>
      <c r="E12519" t="str">
        <f t="shared" si="2723"/>
        <v>89301167</v>
      </c>
      <c r="F12519" t="str">
        <f t="shared" si="2724"/>
        <v>7003135304</v>
      </c>
      <c r="G12519" s="1">
        <v>44901</v>
      </c>
      <c r="H12519" t="str">
        <f>"93135"</f>
        <v>93135</v>
      </c>
      <c r="I12519">
        <v>1</v>
      </c>
      <c r="J12519">
        <v>300</v>
      </c>
      <c r="K12519">
        <v>0</v>
      </c>
      <c r="L12519">
        <v>234</v>
      </c>
    </row>
    <row r="12520" spans="1:12" x14ac:dyDescent="0.25">
      <c r="A12520" t="str">
        <f t="shared" si="2712"/>
        <v>89301000</v>
      </c>
      <c r="B12520" t="str">
        <f t="shared" si="2718"/>
        <v>78006000</v>
      </c>
      <c r="C12520" t="str">
        <f t="shared" si="2721"/>
        <v>78006201</v>
      </c>
      <c r="D12520" t="str">
        <f t="shared" si="2722"/>
        <v>801</v>
      </c>
      <c r="E12520" t="str">
        <f t="shared" si="2723"/>
        <v>89301167</v>
      </c>
      <c r="F12520" t="str">
        <f t="shared" si="2724"/>
        <v>7003135304</v>
      </c>
      <c r="G12520" s="1">
        <v>44901</v>
      </c>
      <c r="H12520" t="str">
        <f>"93189"</f>
        <v>93189</v>
      </c>
      <c r="I12520">
        <v>1</v>
      </c>
      <c r="J12520">
        <v>189</v>
      </c>
      <c r="K12520">
        <v>0</v>
      </c>
      <c r="L12520">
        <v>147.41999999999999</v>
      </c>
    </row>
    <row r="12521" spans="1:12" x14ac:dyDescent="0.25">
      <c r="A12521" t="str">
        <f t="shared" si="2712"/>
        <v>89301000</v>
      </c>
      <c r="B12521" t="str">
        <f t="shared" si="2718"/>
        <v>78006000</v>
      </c>
      <c r="C12521" t="str">
        <f t="shared" si="2721"/>
        <v>78006201</v>
      </c>
      <c r="D12521" t="str">
        <f t="shared" si="2722"/>
        <v>801</v>
      </c>
      <c r="E12521" t="str">
        <f t="shared" si="2723"/>
        <v>89301167</v>
      </c>
      <c r="F12521" t="str">
        <f t="shared" si="2724"/>
        <v>7003135304</v>
      </c>
      <c r="G12521" s="1">
        <v>44901</v>
      </c>
      <c r="H12521" t="str">
        <f>"93195"</f>
        <v>93195</v>
      </c>
      <c r="I12521">
        <v>1</v>
      </c>
      <c r="J12521">
        <v>181</v>
      </c>
      <c r="K12521">
        <v>0</v>
      </c>
      <c r="L12521">
        <v>141.18</v>
      </c>
    </row>
    <row r="12522" spans="1:12" x14ac:dyDescent="0.25">
      <c r="A12522" t="str">
        <f t="shared" si="2712"/>
        <v>89301000</v>
      </c>
      <c r="B12522" t="str">
        <f t="shared" si="2718"/>
        <v>78006000</v>
      </c>
      <c r="C12522" t="str">
        <f t="shared" si="2721"/>
        <v>78006201</v>
      </c>
      <c r="D12522" t="str">
        <f t="shared" si="2722"/>
        <v>801</v>
      </c>
      <c r="E12522" t="str">
        <f t="shared" si="2723"/>
        <v>89301167</v>
      </c>
      <c r="F12522" t="str">
        <f t="shared" si="2724"/>
        <v>7003135304</v>
      </c>
      <c r="G12522" s="1">
        <v>44901</v>
      </c>
      <c r="H12522" t="str">
        <f>"97111"</f>
        <v>97111</v>
      </c>
      <c r="I12522">
        <v>1</v>
      </c>
      <c r="J12522">
        <v>18</v>
      </c>
      <c r="K12522">
        <v>0</v>
      </c>
      <c r="L12522">
        <v>14.04</v>
      </c>
    </row>
    <row r="12523" spans="1:12" x14ac:dyDescent="0.25">
      <c r="A12523" t="str">
        <f t="shared" si="2712"/>
        <v>89301000</v>
      </c>
      <c r="B12523" t="str">
        <f t="shared" si="2718"/>
        <v>78006000</v>
      </c>
      <c r="C12523" t="str">
        <f t="shared" si="2721"/>
        <v>78006201</v>
      </c>
      <c r="D12523" t="str">
        <f t="shared" si="2722"/>
        <v>801</v>
      </c>
      <c r="E12523" t="str">
        <f t="shared" si="2723"/>
        <v>89301167</v>
      </c>
      <c r="F12523" t="str">
        <f t="shared" si="2724"/>
        <v>7003135304</v>
      </c>
      <c r="G12523" s="1">
        <v>44907</v>
      </c>
      <c r="H12523" t="str">
        <f>"81329"</f>
        <v>81329</v>
      </c>
      <c r="I12523">
        <v>1</v>
      </c>
      <c r="J12523">
        <v>16</v>
      </c>
      <c r="K12523">
        <v>0</v>
      </c>
      <c r="L12523">
        <v>12.48</v>
      </c>
    </row>
    <row r="12524" spans="1:12" x14ac:dyDescent="0.25">
      <c r="A12524" t="str">
        <f t="shared" si="2712"/>
        <v>89301000</v>
      </c>
      <c r="B12524" t="str">
        <f t="shared" si="2718"/>
        <v>78006000</v>
      </c>
      <c r="C12524" t="str">
        <f t="shared" si="2721"/>
        <v>78006201</v>
      </c>
      <c r="D12524" t="str">
        <f t="shared" si="2722"/>
        <v>801</v>
      </c>
      <c r="E12524" t="str">
        <f t="shared" si="2723"/>
        <v>89301167</v>
      </c>
      <c r="F12524" t="str">
        <f t="shared" si="2724"/>
        <v>7003135304</v>
      </c>
      <c r="G12524" s="1">
        <v>44907</v>
      </c>
      <c r="H12524" t="str">
        <f>"81383"</f>
        <v>81383</v>
      </c>
      <c r="I12524">
        <v>1</v>
      </c>
      <c r="J12524">
        <v>23</v>
      </c>
      <c r="K12524">
        <v>0</v>
      </c>
      <c r="L12524">
        <v>17.940000000000001</v>
      </c>
    </row>
    <row r="12525" spans="1:12" x14ac:dyDescent="0.25">
      <c r="A12525" t="str">
        <f t="shared" si="2712"/>
        <v>89301000</v>
      </c>
      <c r="B12525" t="str">
        <f t="shared" si="2718"/>
        <v>78006000</v>
      </c>
      <c r="C12525" t="str">
        <f t="shared" si="2721"/>
        <v>78006201</v>
      </c>
      <c r="D12525" t="str">
        <f t="shared" si="2722"/>
        <v>801</v>
      </c>
      <c r="E12525" t="str">
        <f t="shared" si="2723"/>
        <v>89301167</v>
      </c>
      <c r="F12525" t="str">
        <f t="shared" si="2724"/>
        <v>7003135304</v>
      </c>
      <c r="G12525" s="1">
        <v>44907</v>
      </c>
      <c r="H12525" t="str">
        <f>"81625"</f>
        <v>81625</v>
      </c>
      <c r="I12525">
        <v>1</v>
      </c>
      <c r="J12525">
        <v>20</v>
      </c>
      <c r="K12525">
        <v>0</v>
      </c>
      <c r="L12525">
        <v>15.6</v>
      </c>
    </row>
    <row r="12526" spans="1:12" x14ac:dyDescent="0.25">
      <c r="A12526" t="str">
        <f t="shared" si="2712"/>
        <v>89301000</v>
      </c>
      <c r="B12526" t="str">
        <f t="shared" si="2718"/>
        <v>78006000</v>
      </c>
      <c r="C12526" t="str">
        <f t="shared" si="2721"/>
        <v>78006201</v>
      </c>
      <c r="D12526" t="str">
        <f t="shared" si="2722"/>
        <v>801</v>
      </c>
      <c r="E12526" t="str">
        <f t="shared" si="2723"/>
        <v>89301167</v>
      </c>
      <c r="F12526" t="str">
        <f t="shared" si="2724"/>
        <v>7003135304</v>
      </c>
      <c r="G12526" s="1">
        <v>44907</v>
      </c>
      <c r="H12526" t="str">
        <f>"93189"</f>
        <v>93189</v>
      </c>
      <c r="I12526">
        <v>1</v>
      </c>
      <c r="J12526">
        <v>189</v>
      </c>
      <c r="K12526">
        <v>0</v>
      </c>
      <c r="L12526">
        <v>147.41999999999999</v>
      </c>
    </row>
    <row r="12527" spans="1:12" x14ac:dyDescent="0.25">
      <c r="A12527" t="str">
        <f t="shared" si="2712"/>
        <v>89301000</v>
      </c>
      <c r="B12527" t="str">
        <f t="shared" si="2718"/>
        <v>78006000</v>
      </c>
      <c r="C12527" t="str">
        <f t="shared" si="2721"/>
        <v>78006201</v>
      </c>
      <c r="D12527" t="str">
        <f t="shared" si="2722"/>
        <v>801</v>
      </c>
      <c r="E12527" t="str">
        <f t="shared" si="2723"/>
        <v>89301167</v>
      </c>
      <c r="F12527" t="str">
        <f t="shared" si="2724"/>
        <v>7003135304</v>
      </c>
      <c r="G12527" s="1">
        <v>44907</v>
      </c>
      <c r="H12527" t="str">
        <f>"93195"</f>
        <v>93195</v>
      </c>
      <c r="I12527">
        <v>1</v>
      </c>
      <c r="J12527">
        <v>181</v>
      </c>
      <c r="K12527">
        <v>0</v>
      </c>
      <c r="L12527">
        <v>141.18</v>
      </c>
    </row>
    <row r="12528" spans="1:12" x14ac:dyDescent="0.25">
      <c r="A12528" t="str">
        <f t="shared" si="2712"/>
        <v>89301000</v>
      </c>
      <c r="B12528" t="str">
        <f t="shared" si="2718"/>
        <v>78006000</v>
      </c>
      <c r="C12528" t="str">
        <f t="shared" si="2721"/>
        <v>78006201</v>
      </c>
      <c r="D12528" t="str">
        <f t="shared" si="2722"/>
        <v>801</v>
      </c>
      <c r="E12528" t="str">
        <f t="shared" si="2723"/>
        <v>89301167</v>
      </c>
      <c r="F12528" t="str">
        <f t="shared" si="2724"/>
        <v>7003135304</v>
      </c>
      <c r="G12528" s="1">
        <v>44907</v>
      </c>
      <c r="H12528" t="str">
        <f>"97111"</f>
        <v>97111</v>
      </c>
      <c r="I12528">
        <v>1</v>
      </c>
      <c r="J12528">
        <v>18</v>
      </c>
      <c r="K12528">
        <v>0</v>
      </c>
      <c r="L12528">
        <v>14.04</v>
      </c>
    </row>
    <row r="12529" spans="1:12" x14ac:dyDescent="0.25">
      <c r="A12529" t="str">
        <f t="shared" si="2712"/>
        <v>89301000</v>
      </c>
      <c r="B12529" t="str">
        <f t="shared" si="2718"/>
        <v>78006000</v>
      </c>
      <c r="C12529" t="str">
        <f t="shared" ref="C12529:C12536" si="2725">"78006231"</f>
        <v>78006231</v>
      </c>
      <c r="D12529" t="str">
        <f t="shared" ref="D12529:D12536" si="2726">"809"</f>
        <v>809</v>
      </c>
      <c r="E12529" t="str">
        <f t="shared" ref="E12529:E12536" si="2727">"89301212"</f>
        <v>89301212</v>
      </c>
      <c r="F12529" t="str">
        <f>"6260160346"</f>
        <v>6260160346</v>
      </c>
      <c r="G12529" s="1">
        <v>44915</v>
      </c>
      <c r="H12529" t="str">
        <f>"89180"</f>
        <v>89180</v>
      </c>
      <c r="I12529">
        <v>2</v>
      </c>
      <c r="J12529">
        <v>752</v>
      </c>
      <c r="K12529">
        <v>0</v>
      </c>
      <c r="L12529">
        <v>1052.8</v>
      </c>
    </row>
    <row r="12530" spans="1:12" x14ac:dyDescent="0.25">
      <c r="A12530" t="str">
        <f t="shared" si="2712"/>
        <v>89301000</v>
      </c>
      <c r="B12530" t="str">
        <f t="shared" si="2718"/>
        <v>78006000</v>
      </c>
      <c r="C12530" t="str">
        <f t="shared" si="2725"/>
        <v>78006231</v>
      </c>
      <c r="D12530" t="str">
        <f t="shared" si="2726"/>
        <v>809</v>
      </c>
      <c r="E12530" t="str">
        <f t="shared" si="2727"/>
        <v>89301212</v>
      </c>
      <c r="F12530" t="str">
        <f>"8556184934"</f>
        <v>8556184934</v>
      </c>
      <c r="G12530" s="1">
        <v>44901</v>
      </c>
      <c r="H12530" t="str">
        <f>"89513"</f>
        <v>89513</v>
      </c>
      <c r="I12530">
        <v>1</v>
      </c>
      <c r="J12530">
        <v>371</v>
      </c>
      <c r="K12530">
        <v>0</v>
      </c>
      <c r="L12530">
        <v>519.4</v>
      </c>
    </row>
    <row r="12531" spans="1:12" x14ac:dyDescent="0.25">
      <c r="A12531" t="str">
        <f t="shared" si="2712"/>
        <v>89301000</v>
      </c>
      <c r="B12531" t="str">
        <f t="shared" si="2718"/>
        <v>78006000</v>
      </c>
      <c r="C12531" t="str">
        <f t="shared" si="2725"/>
        <v>78006231</v>
      </c>
      <c r="D12531" t="str">
        <f t="shared" si="2726"/>
        <v>809</v>
      </c>
      <c r="E12531" t="str">
        <f t="shared" si="2727"/>
        <v>89301212</v>
      </c>
      <c r="F12531" t="str">
        <f>"8556184934"</f>
        <v>8556184934</v>
      </c>
      <c r="G12531" s="1">
        <v>44901</v>
      </c>
      <c r="H12531" t="str">
        <f>"89514"</f>
        <v>89514</v>
      </c>
      <c r="I12531">
        <v>1</v>
      </c>
      <c r="J12531">
        <v>371</v>
      </c>
      <c r="K12531">
        <v>0</v>
      </c>
      <c r="L12531">
        <v>519.4</v>
      </c>
    </row>
    <row r="12532" spans="1:12" x14ac:dyDescent="0.25">
      <c r="A12532" t="str">
        <f t="shared" si="2712"/>
        <v>89301000</v>
      </c>
      <c r="B12532" t="str">
        <f t="shared" si="2718"/>
        <v>78006000</v>
      </c>
      <c r="C12532" t="str">
        <f t="shared" si="2725"/>
        <v>78006231</v>
      </c>
      <c r="D12532" t="str">
        <f t="shared" si="2726"/>
        <v>809</v>
      </c>
      <c r="E12532" t="str">
        <f t="shared" si="2727"/>
        <v>89301212</v>
      </c>
      <c r="F12532" t="str">
        <f>"5653021352"</f>
        <v>5653021352</v>
      </c>
      <c r="G12532" s="1">
        <v>44901</v>
      </c>
      <c r="H12532" t="str">
        <f>"89512"</f>
        <v>89512</v>
      </c>
      <c r="I12532">
        <v>1</v>
      </c>
      <c r="J12532">
        <v>277</v>
      </c>
      <c r="K12532">
        <v>0</v>
      </c>
      <c r="L12532">
        <v>387.8</v>
      </c>
    </row>
    <row r="12533" spans="1:12" x14ac:dyDescent="0.25">
      <c r="A12533" t="str">
        <f t="shared" si="2712"/>
        <v>89301000</v>
      </c>
      <c r="B12533" t="str">
        <f t="shared" si="2718"/>
        <v>78006000</v>
      </c>
      <c r="C12533" t="str">
        <f t="shared" si="2725"/>
        <v>78006231</v>
      </c>
      <c r="D12533" t="str">
        <f t="shared" si="2726"/>
        <v>809</v>
      </c>
      <c r="E12533" t="str">
        <f t="shared" si="2727"/>
        <v>89301212</v>
      </c>
      <c r="F12533" t="str">
        <f>"485830415"</f>
        <v>485830415</v>
      </c>
      <c r="G12533" s="1">
        <v>44903</v>
      </c>
      <c r="H12533" t="str">
        <f>"89513"</f>
        <v>89513</v>
      </c>
      <c r="I12533">
        <v>1</v>
      </c>
      <c r="J12533">
        <v>371</v>
      </c>
      <c r="K12533">
        <v>0</v>
      </c>
      <c r="L12533">
        <v>519.4</v>
      </c>
    </row>
    <row r="12534" spans="1:12" x14ac:dyDescent="0.25">
      <c r="A12534" t="str">
        <f t="shared" si="2712"/>
        <v>89301000</v>
      </c>
      <c r="B12534" t="str">
        <f t="shared" si="2718"/>
        <v>78006000</v>
      </c>
      <c r="C12534" t="str">
        <f t="shared" si="2725"/>
        <v>78006231</v>
      </c>
      <c r="D12534" t="str">
        <f t="shared" si="2726"/>
        <v>809</v>
      </c>
      <c r="E12534" t="str">
        <f t="shared" si="2727"/>
        <v>89301212</v>
      </c>
      <c r="F12534" t="str">
        <f>"485830415"</f>
        <v>485830415</v>
      </c>
      <c r="G12534" s="1">
        <v>44903</v>
      </c>
      <c r="H12534" t="str">
        <f>"89514"</f>
        <v>89514</v>
      </c>
      <c r="I12534">
        <v>1</v>
      </c>
      <c r="J12534">
        <v>371</v>
      </c>
      <c r="K12534">
        <v>0</v>
      </c>
      <c r="L12534">
        <v>519.4</v>
      </c>
    </row>
    <row r="12535" spans="1:12" x14ac:dyDescent="0.25">
      <c r="A12535" t="str">
        <f t="shared" si="2712"/>
        <v>89301000</v>
      </c>
      <c r="B12535" t="str">
        <f t="shared" ref="B12535:B12558" si="2728">"78006000"</f>
        <v>78006000</v>
      </c>
      <c r="C12535" t="str">
        <f t="shared" si="2725"/>
        <v>78006231</v>
      </c>
      <c r="D12535" t="str">
        <f t="shared" si="2726"/>
        <v>809</v>
      </c>
      <c r="E12535" t="str">
        <f t="shared" si="2727"/>
        <v>89301212</v>
      </c>
      <c r="F12535" t="str">
        <f>"8511025809"</f>
        <v>8511025809</v>
      </c>
      <c r="G12535" s="1">
        <v>44916</v>
      </c>
      <c r="H12535" t="str">
        <f>"89513"</f>
        <v>89513</v>
      </c>
      <c r="I12535">
        <v>1</v>
      </c>
      <c r="J12535">
        <v>371</v>
      </c>
      <c r="K12535">
        <v>0</v>
      </c>
      <c r="L12535">
        <v>519.4</v>
      </c>
    </row>
    <row r="12536" spans="1:12" x14ac:dyDescent="0.25">
      <c r="A12536" t="str">
        <f t="shared" si="2712"/>
        <v>89301000</v>
      </c>
      <c r="B12536" t="str">
        <f t="shared" si="2728"/>
        <v>78006000</v>
      </c>
      <c r="C12536" t="str">
        <f t="shared" si="2725"/>
        <v>78006231</v>
      </c>
      <c r="D12536" t="str">
        <f t="shared" si="2726"/>
        <v>809</v>
      </c>
      <c r="E12536" t="str">
        <f t="shared" si="2727"/>
        <v>89301212</v>
      </c>
      <c r="F12536" t="str">
        <f>"8511025809"</f>
        <v>8511025809</v>
      </c>
      <c r="G12536" s="1">
        <v>44916</v>
      </c>
      <c r="H12536" t="str">
        <f>"89514"</f>
        <v>89514</v>
      </c>
      <c r="I12536">
        <v>1</v>
      </c>
      <c r="J12536">
        <v>371</v>
      </c>
      <c r="K12536">
        <v>0</v>
      </c>
      <c r="L12536">
        <v>519.4</v>
      </c>
    </row>
    <row r="12537" spans="1:12" x14ac:dyDescent="0.25">
      <c r="A12537" t="str">
        <f t="shared" si="2712"/>
        <v>89301000</v>
      </c>
      <c r="B12537" t="str">
        <f t="shared" si="2728"/>
        <v>78006000</v>
      </c>
      <c r="C12537" t="str">
        <f t="shared" ref="C12537:C12554" si="2729">"78006201"</f>
        <v>78006201</v>
      </c>
      <c r="D12537" t="str">
        <f t="shared" ref="D12537:D12554" si="2730">"801"</f>
        <v>801</v>
      </c>
      <c r="E12537" t="str">
        <f>"89301171"</f>
        <v>89301171</v>
      </c>
      <c r="F12537" t="str">
        <f>"9302166170"</f>
        <v>9302166170</v>
      </c>
      <c r="G12537" s="1">
        <v>44900</v>
      </c>
      <c r="H12537" t="str">
        <f>"81703"</f>
        <v>81703</v>
      </c>
      <c r="I12537">
        <v>2</v>
      </c>
      <c r="J12537">
        <v>556</v>
      </c>
      <c r="K12537">
        <v>0</v>
      </c>
      <c r="L12537">
        <v>433.68</v>
      </c>
    </row>
    <row r="12538" spans="1:12" x14ac:dyDescent="0.25">
      <c r="A12538" t="str">
        <f t="shared" si="2712"/>
        <v>89301000</v>
      </c>
      <c r="B12538" t="str">
        <f t="shared" si="2728"/>
        <v>78006000</v>
      </c>
      <c r="C12538" t="str">
        <f t="shared" si="2729"/>
        <v>78006201</v>
      </c>
      <c r="D12538" t="str">
        <f t="shared" si="2730"/>
        <v>801</v>
      </c>
      <c r="E12538" t="str">
        <f>"89301167"</f>
        <v>89301167</v>
      </c>
      <c r="F12538" t="str">
        <f>"7003135304"</f>
        <v>7003135304</v>
      </c>
      <c r="G12538" s="1">
        <v>44907</v>
      </c>
      <c r="H12538" t="str">
        <f>"93131"</f>
        <v>93131</v>
      </c>
      <c r="I12538">
        <v>1</v>
      </c>
      <c r="J12538">
        <v>195</v>
      </c>
      <c r="K12538">
        <v>0</v>
      </c>
      <c r="L12538">
        <v>152.1</v>
      </c>
    </row>
    <row r="12539" spans="1:12" x14ac:dyDescent="0.25">
      <c r="A12539" t="str">
        <f t="shared" si="2712"/>
        <v>89301000</v>
      </c>
      <c r="B12539" t="str">
        <f t="shared" si="2728"/>
        <v>78006000</v>
      </c>
      <c r="C12539" t="str">
        <f t="shared" si="2729"/>
        <v>78006201</v>
      </c>
      <c r="D12539" t="str">
        <f t="shared" si="2730"/>
        <v>801</v>
      </c>
      <c r="E12539" t="str">
        <f>"89301082"</f>
        <v>89301082</v>
      </c>
      <c r="F12539" t="str">
        <f>"9952015700"</f>
        <v>9952015700</v>
      </c>
      <c r="G12539" s="1">
        <v>44901</v>
      </c>
      <c r="H12539" t="str">
        <f>"97111"</f>
        <v>97111</v>
      </c>
      <c r="I12539">
        <v>1</v>
      </c>
      <c r="J12539">
        <v>18</v>
      </c>
      <c r="K12539">
        <v>0</v>
      </c>
      <c r="L12539">
        <v>14.04</v>
      </c>
    </row>
    <row r="12540" spans="1:12" x14ac:dyDescent="0.25">
      <c r="A12540" t="str">
        <f t="shared" si="2712"/>
        <v>89301000</v>
      </c>
      <c r="B12540" t="str">
        <f t="shared" si="2728"/>
        <v>78006000</v>
      </c>
      <c r="C12540" t="str">
        <f t="shared" si="2729"/>
        <v>78006201</v>
      </c>
      <c r="D12540" t="str">
        <f t="shared" si="2730"/>
        <v>801</v>
      </c>
      <c r="E12540" t="str">
        <f>"89301171"</f>
        <v>89301171</v>
      </c>
      <c r="F12540" t="str">
        <f>"9851045710"</f>
        <v>9851045710</v>
      </c>
      <c r="G12540" s="1">
        <v>44904</v>
      </c>
      <c r="H12540" t="str">
        <f>"97111"</f>
        <v>97111</v>
      </c>
      <c r="I12540">
        <v>1</v>
      </c>
      <c r="J12540">
        <v>18</v>
      </c>
      <c r="K12540">
        <v>0</v>
      </c>
      <c r="L12540">
        <v>14.04</v>
      </c>
    </row>
    <row r="12541" spans="1:12" x14ac:dyDescent="0.25">
      <c r="A12541" t="str">
        <f t="shared" si="2712"/>
        <v>89301000</v>
      </c>
      <c r="B12541" t="str">
        <f t="shared" si="2728"/>
        <v>78006000</v>
      </c>
      <c r="C12541" t="str">
        <f t="shared" si="2729"/>
        <v>78006201</v>
      </c>
      <c r="D12541" t="str">
        <f t="shared" si="2730"/>
        <v>801</v>
      </c>
      <c r="E12541" t="str">
        <f>"89301171"</f>
        <v>89301171</v>
      </c>
      <c r="F12541" t="str">
        <f>"6412150679"</f>
        <v>6412150679</v>
      </c>
      <c r="G12541" s="1">
        <v>44904</v>
      </c>
      <c r="H12541" t="str">
        <f>"97111"</f>
        <v>97111</v>
      </c>
      <c r="I12541">
        <v>1</v>
      </c>
      <c r="J12541">
        <v>18</v>
      </c>
      <c r="K12541">
        <v>0</v>
      </c>
      <c r="L12541">
        <v>14.04</v>
      </c>
    </row>
    <row r="12542" spans="1:12" x14ac:dyDescent="0.25">
      <c r="A12542" t="str">
        <f t="shared" si="2712"/>
        <v>89301000</v>
      </c>
      <c r="B12542" t="str">
        <f t="shared" si="2728"/>
        <v>78006000</v>
      </c>
      <c r="C12542" t="str">
        <f t="shared" si="2729"/>
        <v>78006201</v>
      </c>
      <c r="D12542" t="str">
        <f t="shared" si="2730"/>
        <v>801</v>
      </c>
      <c r="E12542" t="str">
        <f t="shared" ref="E12542:E12549" si="2731">"89301167"</f>
        <v>89301167</v>
      </c>
      <c r="F12542" t="str">
        <f>"7003135304"</f>
        <v>7003135304</v>
      </c>
      <c r="G12542" s="1">
        <v>44901</v>
      </c>
      <c r="H12542" t="str">
        <f>"81249"</f>
        <v>81249</v>
      </c>
      <c r="I12542">
        <v>1</v>
      </c>
      <c r="J12542">
        <v>333</v>
      </c>
      <c r="K12542">
        <v>0</v>
      </c>
      <c r="L12542">
        <v>259.74</v>
      </c>
    </row>
    <row r="12543" spans="1:12" x14ac:dyDescent="0.25">
      <c r="A12543" t="str">
        <f t="shared" si="2712"/>
        <v>89301000</v>
      </c>
      <c r="B12543" t="str">
        <f t="shared" si="2728"/>
        <v>78006000</v>
      </c>
      <c r="C12543" t="str">
        <f t="shared" si="2729"/>
        <v>78006201</v>
      </c>
      <c r="D12543" t="str">
        <f t="shared" si="2730"/>
        <v>801</v>
      </c>
      <c r="E12543" t="str">
        <f t="shared" si="2731"/>
        <v>89301167</v>
      </c>
      <c r="F12543" t="str">
        <f>"7003135304"</f>
        <v>7003135304</v>
      </c>
      <c r="G12543" s="1">
        <v>44901</v>
      </c>
      <c r="H12543" t="str">
        <f>"93131"</f>
        <v>93131</v>
      </c>
      <c r="I12543">
        <v>1</v>
      </c>
      <c r="J12543">
        <v>195</v>
      </c>
      <c r="K12543">
        <v>0</v>
      </c>
      <c r="L12543">
        <v>152.1</v>
      </c>
    </row>
    <row r="12544" spans="1:12" x14ac:dyDescent="0.25">
      <c r="A12544" t="str">
        <f t="shared" si="2712"/>
        <v>89301000</v>
      </c>
      <c r="B12544" t="str">
        <f t="shared" si="2728"/>
        <v>78006000</v>
      </c>
      <c r="C12544" t="str">
        <f t="shared" si="2729"/>
        <v>78006201</v>
      </c>
      <c r="D12544" t="str">
        <f t="shared" si="2730"/>
        <v>801</v>
      </c>
      <c r="E12544" t="str">
        <f t="shared" si="2731"/>
        <v>89301167</v>
      </c>
      <c r="F12544" t="str">
        <f t="shared" ref="F12544:F12549" si="2732">"5854210813"</f>
        <v>5854210813</v>
      </c>
      <c r="G12544" s="1">
        <v>44917</v>
      </c>
      <c r="H12544" t="str">
        <f>"81329"</f>
        <v>81329</v>
      </c>
      <c r="I12544">
        <v>1</v>
      </c>
      <c r="J12544">
        <v>16</v>
      </c>
      <c r="K12544">
        <v>0</v>
      </c>
      <c r="L12544">
        <v>12.48</v>
      </c>
    </row>
    <row r="12545" spans="1:12" x14ac:dyDescent="0.25">
      <c r="A12545" t="str">
        <f t="shared" si="2712"/>
        <v>89301000</v>
      </c>
      <c r="B12545" t="str">
        <f t="shared" si="2728"/>
        <v>78006000</v>
      </c>
      <c r="C12545" t="str">
        <f t="shared" si="2729"/>
        <v>78006201</v>
      </c>
      <c r="D12545" t="str">
        <f t="shared" si="2730"/>
        <v>801</v>
      </c>
      <c r="E12545" t="str">
        <f t="shared" si="2731"/>
        <v>89301167</v>
      </c>
      <c r="F12545" t="str">
        <f t="shared" si="2732"/>
        <v>5854210813</v>
      </c>
      <c r="G12545" s="1">
        <v>44917</v>
      </c>
      <c r="H12545" t="str">
        <f>"81383"</f>
        <v>81383</v>
      </c>
      <c r="I12545">
        <v>1</v>
      </c>
      <c r="J12545">
        <v>23</v>
      </c>
      <c r="K12545">
        <v>0</v>
      </c>
      <c r="L12545">
        <v>17.940000000000001</v>
      </c>
    </row>
    <row r="12546" spans="1:12" x14ac:dyDescent="0.25">
      <c r="A12546" t="str">
        <f t="shared" ref="A12546:A12609" si="2733">"89301000"</f>
        <v>89301000</v>
      </c>
      <c r="B12546" t="str">
        <f t="shared" si="2728"/>
        <v>78006000</v>
      </c>
      <c r="C12546" t="str">
        <f t="shared" si="2729"/>
        <v>78006201</v>
      </c>
      <c r="D12546" t="str">
        <f t="shared" si="2730"/>
        <v>801</v>
      </c>
      <c r="E12546" t="str">
        <f t="shared" si="2731"/>
        <v>89301167</v>
      </c>
      <c r="F12546" t="str">
        <f t="shared" si="2732"/>
        <v>5854210813</v>
      </c>
      <c r="G12546" s="1">
        <v>44917</v>
      </c>
      <c r="H12546" t="str">
        <f>"81625"</f>
        <v>81625</v>
      </c>
      <c r="I12546">
        <v>1</v>
      </c>
      <c r="J12546">
        <v>20</v>
      </c>
      <c r="K12546">
        <v>0</v>
      </c>
      <c r="L12546">
        <v>15.6</v>
      </c>
    </row>
    <row r="12547" spans="1:12" x14ac:dyDescent="0.25">
      <c r="A12547" t="str">
        <f t="shared" si="2733"/>
        <v>89301000</v>
      </c>
      <c r="B12547" t="str">
        <f t="shared" si="2728"/>
        <v>78006000</v>
      </c>
      <c r="C12547" t="str">
        <f t="shared" si="2729"/>
        <v>78006201</v>
      </c>
      <c r="D12547" t="str">
        <f t="shared" si="2730"/>
        <v>801</v>
      </c>
      <c r="E12547" t="str">
        <f t="shared" si="2731"/>
        <v>89301167</v>
      </c>
      <c r="F12547" t="str">
        <f t="shared" si="2732"/>
        <v>5854210813</v>
      </c>
      <c r="G12547" s="1">
        <v>44917</v>
      </c>
      <c r="H12547" t="str">
        <f>"93189"</f>
        <v>93189</v>
      </c>
      <c r="I12547">
        <v>1</v>
      </c>
      <c r="J12547">
        <v>189</v>
      </c>
      <c r="K12547">
        <v>0</v>
      </c>
      <c r="L12547">
        <v>147.41999999999999</v>
      </c>
    </row>
    <row r="12548" spans="1:12" x14ac:dyDescent="0.25">
      <c r="A12548" t="str">
        <f t="shared" si="2733"/>
        <v>89301000</v>
      </c>
      <c r="B12548" t="str">
        <f t="shared" si="2728"/>
        <v>78006000</v>
      </c>
      <c r="C12548" t="str">
        <f t="shared" si="2729"/>
        <v>78006201</v>
      </c>
      <c r="D12548" t="str">
        <f t="shared" si="2730"/>
        <v>801</v>
      </c>
      <c r="E12548" t="str">
        <f t="shared" si="2731"/>
        <v>89301167</v>
      </c>
      <c r="F12548" t="str">
        <f t="shared" si="2732"/>
        <v>5854210813</v>
      </c>
      <c r="G12548" s="1">
        <v>44917</v>
      </c>
      <c r="H12548" t="str">
        <f>"93195"</f>
        <v>93195</v>
      </c>
      <c r="I12548">
        <v>1</v>
      </c>
      <c r="J12548">
        <v>181</v>
      </c>
      <c r="K12548">
        <v>0</v>
      </c>
      <c r="L12548">
        <v>141.18</v>
      </c>
    </row>
    <row r="12549" spans="1:12" x14ac:dyDescent="0.25">
      <c r="A12549" t="str">
        <f t="shared" si="2733"/>
        <v>89301000</v>
      </c>
      <c r="B12549" t="str">
        <f t="shared" si="2728"/>
        <v>78006000</v>
      </c>
      <c r="C12549" t="str">
        <f t="shared" si="2729"/>
        <v>78006201</v>
      </c>
      <c r="D12549" t="str">
        <f t="shared" si="2730"/>
        <v>801</v>
      </c>
      <c r="E12549" t="str">
        <f t="shared" si="2731"/>
        <v>89301167</v>
      </c>
      <c r="F12549" t="str">
        <f t="shared" si="2732"/>
        <v>5854210813</v>
      </c>
      <c r="G12549" s="1">
        <v>44917</v>
      </c>
      <c r="H12549" t="str">
        <f>"97111"</f>
        <v>97111</v>
      </c>
      <c r="I12549">
        <v>1</v>
      </c>
      <c r="J12549">
        <v>18</v>
      </c>
      <c r="K12549">
        <v>0</v>
      </c>
      <c r="L12549">
        <v>14.04</v>
      </c>
    </row>
    <row r="12550" spans="1:12" x14ac:dyDescent="0.25">
      <c r="A12550" t="str">
        <f t="shared" si="2733"/>
        <v>89301000</v>
      </c>
      <c r="B12550" t="str">
        <f t="shared" si="2728"/>
        <v>78006000</v>
      </c>
      <c r="C12550" t="str">
        <f t="shared" si="2729"/>
        <v>78006201</v>
      </c>
      <c r="D12550" t="str">
        <f t="shared" si="2730"/>
        <v>801</v>
      </c>
      <c r="E12550" t="str">
        <f>"89301171"</f>
        <v>89301171</v>
      </c>
      <c r="F12550" t="str">
        <f>"0406123223"</f>
        <v>0406123223</v>
      </c>
      <c r="G12550" s="1">
        <v>44903</v>
      </c>
      <c r="H12550" t="str">
        <f>"81703"</f>
        <v>81703</v>
      </c>
      <c r="I12550">
        <v>2</v>
      </c>
      <c r="J12550">
        <v>556</v>
      </c>
      <c r="K12550">
        <v>0</v>
      </c>
      <c r="L12550">
        <v>433.68</v>
      </c>
    </row>
    <row r="12551" spans="1:12" x14ac:dyDescent="0.25">
      <c r="A12551" t="str">
        <f t="shared" si="2733"/>
        <v>89301000</v>
      </c>
      <c r="B12551" t="str">
        <f t="shared" si="2728"/>
        <v>78006000</v>
      </c>
      <c r="C12551" t="str">
        <f t="shared" si="2729"/>
        <v>78006201</v>
      </c>
      <c r="D12551" t="str">
        <f t="shared" si="2730"/>
        <v>801</v>
      </c>
      <c r="E12551" t="str">
        <f>"89301171"</f>
        <v>89301171</v>
      </c>
      <c r="F12551" t="str">
        <f>"9162276211"</f>
        <v>9162276211</v>
      </c>
      <c r="G12551" s="1">
        <v>44900</v>
      </c>
      <c r="H12551" t="str">
        <f>"81703"</f>
        <v>81703</v>
      </c>
      <c r="I12551">
        <v>2</v>
      </c>
      <c r="J12551">
        <v>556</v>
      </c>
      <c r="K12551">
        <v>0</v>
      </c>
      <c r="L12551">
        <v>433.68</v>
      </c>
    </row>
    <row r="12552" spans="1:12" x14ac:dyDescent="0.25">
      <c r="A12552" t="str">
        <f t="shared" si="2733"/>
        <v>89301000</v>
      </c>
      <c r="B12552" t="str">
        <f t="shared" si="2728"/>
        <v>78006000</v>
      </c>
      <c r="C12552" t="str">
        <f t="shared" si="2729"/>
        <v>78006201</v>
      </c>
      <c r="D12552" t="str">
        <f t="shared" si="2730"/>
        <v>801</v>
      </c>
      <c r="E12552" t="str">
        <f>"89301171"</f>
        <v>89301171</v>
      </c>
      <c r="F12552" t="str">
        <f>"7504134880"</f>
        <v>7504134880</v>
      </c>
      <c r="G12552" s="1">
        <v>44907</v>
      </c>
      <c r="H12552" t="str">
        <f>"81703"</f>
        <v>81703</v>
      </c>
      <c r="I12552">
        <v>2</v>
      </c>
      <c r="J12552">
        <v>556</v>
      </c>
      <c r="K12552">
        <v>0</v>
      </c>
      <c r="L12552">
        <v>433.68</v>
      </c>
    </row>
    <row r="12553" spans="1:12" x14ac:dyDescent="0.25">
      <c r="A12553" t="str">
        <f t="shared" si="2733"/>
        <v>89301000</v>
      </c>
      <c r="B12553" t="str">
        <f t="shared" si="2728"/>
        <v>78006000</v>
      </c>
      <c r="C12553" t="str">
        <f t="shared" si="2729"/>
        <v>78006201</v>
      </c>
      <c r="D12553" t="str">
        <f t="shared" si="2730"/>
        <v>801</v>
      </c>
      <c r="E12553" t="str">
        <f>"89301171"</f>
        <v>89301171</v>
      </c>
      <c r="F12553" t="str">
        <f>"9851045710"</f>
        <v>9851045710</v>
      </c>
      <c r="G12553" s="1">
        <v>44896</v>
      </c>
      <c r="H12553" t="str">
        <f>"81703"</f>
        <v>81703</v>
      </c>
      <c r="I12553">
        <v>2</v>
      </c>
      <c r="J12553">
        <v>556</v>
      </c>
      <c r="K12553">
        <v>0</v>
      </c>
      <c r="L12553">
        <v>433.68</v>
      </c>
    </row>
    <row r="12554" spans="1:12" x14ac:dyDescent="0.25">
      <c r="A12554" t="str">
        <f t="shared" si="2733"/>
        <v>89301000</v>
      </c>
      <c r="B12554" t="str">
        <f t="shared" si="2728"/>
        <v>78006000</v>
      </c>
      <c r="C12554" t="str">
        <f t="shared" si="2729"/>
        <v>78006201</v>
      </c>
      <c r="D12554" t="str">
        <f t="shared" si="2730"/>
        <v>801</v>
      </c>
      <c r="E12554" t="str">
        <f>"89301165"</f>
        <v>89301165</v>
      </c>
      <c r="F12554" t="str">
        <f>"5854210813"</f>
        <v>5854210813</v>
      </c>
      <c r="G12554" s="1">
        <v>44917</v>
      </c>
      <c r="H12554" t="str">
        <f>"09119"</f>
        <v>09119</v>
      </c>
      <c r="I12554">
        <v>1</v>
      </c>
      <c r="J12554">
        <v>42</v>
      </c>
      <c r="K12554">
        <v>0</v>
      </c>
      <c r="L12554">
        <v>32.76</v>
      </c>
    </row>
    <row r="12555" spans="1:12" x14ac:dyDescent="0.25">
      <c r="A12555" t="str">
        <f t="shared" si="2733"/>
        <v>89301000</v>
      </c>
      <c r="B12555" t="str">
        <f t="shared" si="2728"/>
        <v>78006000</v>
      </c>
      <c r="C12555" t="str">
        <f>"78006205"</f>
        <v>78006205</v>
      </c>
      <c r="D12555" t="str">
        <f>"818"</f>
        <v>818</v>
      </c>
      <c r="E12555" t="str">
        <f>"89301167"</f>
        <v>89301167</v>
      </c>
      <c r="F12555" t="str">
        <f>"7003135304"</f>
        <v>7003135304</v>
      </c>
      <c r="G12555" s="1">
        <v>44901</v>
      </c>
      <c r="H12555" t="str">
        <f>"96167"</f>
        <v>96167</v>
      </c>
      <c r="I12555">
        <v>1</v>
      </c>
      <c r="J12555">
        <v>67</v>
      </c>
      <c r="K12555">
        <v>0</v>
      </c>
      <c r="L12555">
        <v>60.97</v>
      </c>
    </row>
    <row r="12556" spans="1:12" x14ac:dyDescent="0.25">
      <c r="A12556" t="str">
        <f t="shared" si="2733"/>
        <v>89301000</v>
      </c>
      <c r="B12556" t="str">
        <f t="shared" si="2728"/>
        <v>78006000</v>
      </c>
      <c r="C12556" t="str">
        <f>"78006205"</f>
        <v>78006205</v>
      </c>
      <c r="D12556" t="str">
        <f>"818"</f>
        <v>818</v>
      </c>
      <c r="E12556" t="str">
        <f>"89301167"</f>
        <v>89301167</v>
      </c>
      <c r="F12556" t="str">
        <f>"7003135304"</f>
        <v>7003135304</v>
      </c>
      <c r="G12556" s="1">
        <v>44907</v>
      </c>
      <c r="H12556" t="str">
        <f>"96167"</f>
        <v>96167</v>
      </c>
      <c r="I12556">
        <v>1</v>
      </c>
      <c r="J12556">
        <v>67</v>
      </c>
      <c r="K12556">
        <v>0</v>
      </c>
      <c r="L12556">
        <v>60.97</v>
      </c>
    </row>
    <row r="12557" spans="1:12" x14ac:dyDescent="0.25">
      <c r="A12557" t="str">
        <f t="shared" si="2733"/>
        <v>89301000</v>
      </c>
      <c r="B12557" t="str">
        <f t="shared" si="2728"/>
        <v>78006000</v>
      </c>
      <c r="C12557" t="str">
        <f>"78006207"</f>
        <v>78006207</v>
      </c>
      <c r="D12557" t="str">
        <f>"813"</f>
        <v>813</v>
      </c>
      <c r="E12557" t="str">
        <f>"89301167"</f>
        <v>89301167</v>
      </c>
      <c r="F12557" t="str">
        <f>"7003135304"</f>
        <v>7003135304</v>
      </c>
      <c r="G12557" s="1">
        <v>44907</v>
      </c>
      <c r="H12557" t="str">
        <f>"91153"</f>
        <v>91153</v>
      </c>
      <c r="I12557">
        <v>1</v>
      </c>
      <c r="J12557">
        <v>152</v>
      </c>
      <c r="K12557">
        <v>0</v>
      </c>
      <c r="L12557">
        <v>118.56</v>
      </c>
    </row>
    <row r="12558" spans="1:12" x14ac:dyDescent="0.25">
      <c r="A12558" t="str">
        <f t="shared" si="2733"/>
        <v>89301000</v>
      </c>
      <c r="B12558" t="str">
        <f t="shared" si="2728"/>
        <v>78006000</v>
      </c>
      <c r="C12558" t="str">
        <f>"78006207"</f>
        <v>78006207</v>
      </c>
      <c r="D12558" t="str">
        <f>"813"</f>
        <v>813</v>
      </c>
      <c r="E12558" t="str">
        <f>"89301167"</f>
        <v>89301167</v>
      </c>
      <c r="F12558" t="str">
        <f>"7003135304"</f>
        <v>7003135304</v>
      </c>
      <c r="G12558" s="1">
        <v>44901</v>
      </c>
      <c r="H12558" t="str">
        <f>"91153"</f>
        <v>91153</v>
      </c>
      <c r="I12558">
        <v>1</v>
      </c>
      <c r="J12558">
        <v>152</v>
      </c>
      <c r="K12558">
        <v>0</v>
      </c>
      <c r="L12558">
        <v>118.56</v>
      </c>
    </row>
    <row r="12559" spans="1:12" x14ac:dyDescent="0.25">
      <c r="A12559" t="str">
        <f t="shared" si="2733"/>
        <v>89301000</v>
      </c>
      <c r="B12559" t="str">
        <f>"02001000"</f>
        <v>02001000</v>
      </c>
      <c r="C12559" t="str">
        <f>"02001171"</f>
        <v>02001171</v>
      </c>
      <c r="D12559" t="str">
        <f>"813"</f>
        <v>813</v>
      </c>
      <c r="E12559" t="str">
        <f>"89301704"</f>
        <v>89301704</v>
      </c>
      <c r="F12559" t="str">
        <f>"1054056080"</f>
        <v>1054056080</v>
      </c>
      <c r="G12559" s="1">
        <v>44896</v>
      </c>
      <c r="H12559" t="str">
        <f>"91567"</f>
        <v>91567</v>
      </c>
      <c r="I12559">
        <v>1</v>
      </c>
      <c r="J12559">
        <v>316</v>
      </c>
      <c r="K12559">
        <v>0</v>
      </c>
      <c r="L12559">
        <v>246.48</v>
      </c>
    </row>
    <row r="12560" spans="1:12" x14ac:dyDescent="0.25">
      <c r="A12560" t="str">
        <f t="shared" si="2733"/>
        <v>89301000</v>
      </c>
      <c r="B12560" t="str">
        <f>"90001000"</f>
        <v>90001000</v>
      </c>
      <c r="C12560" t="str">
        <f>"90001525"</f>
        <v>90001525</v>
      </c>
      <c r="D12560" t="str">
        <f>"809"</f>
        <v>809</v>
      </c>
      <c r="E12560" t="str">
        <f>"89301112"</f>
        <v>89301112</v>
      </c>
      <c r="F12560" t="str">
        <f>"7501095514"</f>
        <v>7501095514</v>
      </c>
      <c r="G12560" s="1">
        <v>44902</v>
      </c>
      <c r="H12560" t="str">
        <f>"89713"</f>
        <v>89713</v>
      </c>
      <c r="I12560">
        <v>1</v>
      </c>
      <c r="J12560">
        <v>5362</v>
      </c>
      <c r="K12560">
        <v>0</v>
      </c>
      <c r="L12560">
        <v>3217.2</v>
      </c>
    </row>
    <row r="12561" spans="1:12" x14ac:dyDescent="0.25">
      <c r="A12561" t="str">
        <f t="shared" si="2733"/>
        <v>89301000</v>
      </c>
      <c r="B12561" t="str">
        <f t="shared" ref="B12561:B12594" si="2734">"02004000"</f>
        <v>02004000</v>
      </c>
      <c r="C12561" t="str">
        <f>"02004545"</f>
        <v>02004545</v>
      </c>
      <c r="D12561" t="str">
        <f>"816"</f>
        <v>816</v>
      </c>
      <c r="E12561" t="str">
        <f>"89301282"</f>
        <v>89301282</v>
      </c>
      <c r="F12561" t="str">
        <f>"0060025713"</f>
        <v>0060025713</v>
      </c>
      <c r="G12561" s="1">
        <v>44743</v>
      </c>
      <c r="H12561" t="str">
        <f>"94221"</f>
        <v>94221</v>
      </c>
      <c r="I12561">
        <v>6</v>
      </c>
      <c r="J12561">
        <v>14718</v>
      </c>
      <c r="K12561">
        <v>0</v>
      </c>
      <c r="L12561">
        <v>12510.3</v>
      </c>
    </row>
    <row r="12562" spans="1:12" x14ac:dyDescent="0.25">
      <c r="A12562" t="str">
        <f t="shared" si="2733"/>
        <v>89301000</v>
      </c>
      <c r="B12562" t="str">
        <f t="shared" si="2734"/>
        <v>02004000</v>
      </c>
      <c r="C12562" t="str">
        <f>"02004545"</f>
        <v>02004545</v>
      </c>
      <c r="D12562" t="str">
        <f>"816"</f>
        <v>816</v>
      </c>
      <c r="E12562" t="str">
        <f>"89301704"</f>
        <v>89301704</v>
      </c>
      <c r="F12562" t="str">
        <f>"1906051994"</f>
        <v>1906051994</v>
      </c>
      <c r="G12562" s="1">
        <v>44896</v>
      </c>
      <c r="H12562" t="str">
        <f>"94221"</f>
        <v>94221</v>
      </c>
      <c r="I12562">
        <v>9</v>
      </c>
      <c r="J12562">
        <v>22077</v>
      </c>
      <c r="K12562">
        <v>0</v>
      </c>
      <c r="L12562">
        <v>18765.45</v>
      </c>
    </row>
    <row r="12563" spans="1:12" x14ac:dyDescent="0.25">
      <c r="A12563" t="str">
        <f t="shared" si="2733"/>
        <v>89301000</v>
      </c>
      <c r="B12563" t="str">
        <f t="shared" si="2734"/>
        <v>02004000</v>
      </c>
      <c r="C12563" t="str">
        <f>"02004561"</f>
        <v>02004561</v>
      </c>
      <c r="D12563" t="str">
        <f>"801"</f>
        <v>801</v>
      </c>
      <c r="E12563" t="str">
        <f>"89301702"</f>
        <v>89301702</v>
      </c>
      <c r="F12563" t="str">
        <f>"2203311748"</f>
        <v>2203311748</v>
      </c>
      <c r="G12563" s="1">
        <v>44904</v>
      </c>
      <c r="H12563" t="str">
        <f>"81655"</f>
        <v>81655</v>
      </c>
      <c r="I12563">
        <v>2</v>
      </c>
      <c r="J12563">
        <v>1144</v>
      </c>
      <c r="K12563">
        <v>0</v>
      </c>
      <c r="L12563">
        <v>892.32</v>
      </c>
    </row>
    <row r="12564" spans="1:12" x14ac:dyDescent="0.25">
      <c r="A12564" t="str">
        <f t="shared" si="2733"/>
        <v>89301000</v>
      </c>
      <c r="B12564" t="str">
        <f t="shared" si="2734"/>
        <v>02004000</v>
      </c>
      <c r="C12564" t="str">
        <f>"02004153"</f>
        <v>02004153</v>
      </c>
      <c r="D12564" t="str">
        <f t="shared" ref="D12564:D12569" si="2735">"816"</f>
        <v>816</v>
      </c>
      <c r="E12564" t="str">
        <f>"89301282"</f>
        <v>89301282</v>
      </c>
      <c r="F12564" t="str">
        <f>"7705115330"</f>
        <v>7705115330</v>
      </c>
      <c r="G12564" s="1">
        <v>44868</v>
      </c>
      <c r="H12564" t="str">
        <f>"94221"</f>
        <v>94221</v>
      </c>
      <c r="I12564">
        <v>4</v>
      </c>
      <c r="J12564">
        <v>9812</v>
      </c>
      <c r="K12564">
        <v>0</v>
      </c>
      <c r="L12564">
        <v>8340.2000000000007</v>
      </c>
    </row>
    <row r="12565" spans="1:12" x14ac:dyDescent="0.25">
      <c r="A12565" t="str">
        <f t="shared" si="2733"/>
        <v>89301000</v>
      </c>
      <c r="B12565" t="str">
        <f t="shared" si="2734"/>
        <v>02004000</v>
      </c>
      <c r="C12565" t="str">
        <f>"02004153"</f>
        <v>02004153</v>
      </c>
      <c r="D12565" t="str">
        <f t="shared" si="2735"/>
        <v>816</v>
      </c>
      <c r="E12565" t="str">
        <f>"89301282"</f>
        <v>89301282</v>
      </c>
      <c r="F12565" t="str">
        <f>"7705115330"</f>
        <v>7705115330</v>
      </c>
      <c r="G12565" s="1">
        <v>44868</v>
      </c>
      <c r="H12565" t="str">
        <f>"94221"</f>
        <v>94221</v>
      </c>
      <c r="I12565">
        <v>9</v>
      </c>
      <c r="J12565">
        <v>22077</v>
      </c>
      <c r="K12565">
        <v>0</v>
      </c>
      <c r="L12565">
        <v>18765.45</v>
      </c>
    </row>
    <row r="12566" spans="1:12" x14ac:dyDescent="0.25">
      <c r="A12566" t="str">
        <f t="shared" si="2733"/>
        <v>89301000</v>
      </c>
      <c r="B12566" t="str">
        <f t="shared" si="2734"/>
        <v>02004000</v>
      </c>
      <c r="C12566" t="str">
        <f>"02004153"</f>
        <v>02004153</v>
      </c>
      <c r="D12566" t="str">
        <f t="shared" si="2735"/>
        <v>816</v>
      </c>
      <c r="E12566" t="str">
        <f>"89301282"</f>
        <v>89301282</v>
      </c>
      <c r="F12566" t="str">
        <f>"7705115330"</f>
        <v>7705115330</v>
      </c>
      <c r="G12566" s="1">
        <v>44868</v>
      </c>
      <c r="H12566" t="str">
        <f>"94221"</f>
        <v>94221</v>
      </c>
      <c r="I12566">
        <v>9</v>
      </c>
      <c r="J12566">
        <v>22077</v>
      </c>
      <c r="K12566">
        <v>0</v>
      </c>
      <c r="L12566">
        <v>18765.45</v>
      </c>
    </row>
    <row r="12567" spans="1:12" x14ac:dyDescent="0.25">
      <c r="A12567" t="str">
        <f t="shared" si="2733"/>
        <v>89301000</v>
      </c>
      <c r="B12567" t="str">
        <f t="shared" si="2734"/>
        <v>02004000</v>
      </c>
      <c r="C12567" t="str">
        <f>"02004545"</f>
        <v>02004545</v>
      </c>
      <c r="D12567" t="str">
        <f t="shared" si="2735"/>
        <v>816</v>
      </c>
      <c r="E12567" t="str">
        <f>"89301704"</f>
        <v>89301704</v>
      </c>
      <c r="F12567" t="str">
        <f>"1906051994"</f>
        <v>1906051994</v>
      </c>
      <c r="G12567" s="1">
        <v>44830</v>
      </c>
      <c r="H12567" t="str">
        <f>"94221"</f>
        <v>94221</v>
      </c>
      <c r="I12567">
        <v>9</v>
      </c>
      <c r="J12567">
        <v>22077</v>
      </c>
      <c r="K12567">
        <v>0</v>
      </c>
      <c r="L12567">
        <v>18765.45</v>
      </c>
    </row>
    <row r="12568" spans="1:12" x14ac:dyDescent="0.25">
      <c r="A12568" t="str">
        <f t="shared" si="2733"/>
        <v>89301000</v>
      </c>
      <c r="B12568" t="str">
        <f t="shared" si="2734"/>
        <v>02004000</v>
      </c>
      <c r="C12568" t="str">
        <f>"02004545"</f>
        <v>02004545</v>
      </c>
      <c r="D12568" t="str">
        <f t="shared" si="2735"/>
        <v>816</v>
      </c>
      <c r="E12568" t="str">
        <f>"89301704"</f>
        <v>89301704</v>
      </c>
      <c r="F12568" t="str">
        <f>"1906051994"</f>
        <v>1906051994</v>
      </c>
      <c r="G12568" s="1">
        <v>44830</v>
      </c>
      <c r="H12568" t="str">
        <f>"94221"</f>
        <v>94221</v>
      </c>
      <c r="I12568">
        <v>3</v>
      </c>
      <c r="J12568">
        <v>7359</v>
      </c>
      <c r="K12568">
        <v>0</v>
      </c>
      <c r="L12568">
        <v>6255.15</v>
      </c>
    </row>
    <row r="12569" spans="1:12" x14ac:dyDescent="0.25">
      <c r="A12569" t="str">
        <f t="shared" si="2733"/>
        <v>89301000</v>
      </c>
      <c r="B12569" t="str">
        <f t="shared" si="2734"/>
        <v>02004000</v>
      </c>
      <c r="C12569" t="str">
        <f>"02004545"</f>
        <v>02004545</v>
      </c>
      <c r="D12569" t="str">
        <f t="shared" si="2735"/>
        <v>816</v>
      </c>
      <c r="E12569" t="str">
        <f>"89301704"</f>
        <v>89301704</v>
      </c>
      <c r="F12569" t="str">
        <f>"1906051994"</f>
        <v>1906051994</v>
      </c>
      <c r="G12569" s="1">
        <v>44830</v>
      </c>
      <c r="H12569" t="str">
        <f>"94225"</f>
        <v>94225</v>
      </c>
      <c r="I12569">
        <v>1</v>
      </c>
      <c r="J12569">
        <v>1187</v>
      </c>
      <c r="K12569">
        <v>0</v>
      </c>
      <c r="L12569">
        <v>1008.95</v>
      </c>
    </row>
    <row r="12570" spans="1:12" x14ac:dyDescent="0.25">
      <c r="A12570" t="str">
        <f t="shared" si="2733"/>
        <v>89301000</v>
      </c>
      <c r="B12570" t="str">
        <f t="shared" si="2734"/>
        <v>02004000</v>
      </c>
      <c r="C12570" t="str">
        <f>"02004561"</f>
        <v>02004561</v>
      </c>
      <c r="D12570" t="str">
        <f>"801"</f>
        <v>801</v>
      </c>
      <c r="E12570" t="str">
        <f>"89301702"</f>
        <v>89301702</v>
      </c>
      <c r="F12570" t="str">
        <f>"2159071475"</f>
        <v>2159071475</v>
      </c>
      <c r="G12570" s="1">
        <v>44834</v>
      </c>
      <c r="H12570" t="str">
        <f>"81395"</f>
        <v>81395</v>
      </c>
      <c r="I12570">
        <v>2</v>
      </c>
      <c r="J12570">
        <v>716</v>
      </c>
      <c r="K12570">
        <v>0</v>
      </c>
      <c r="L12570">
        <v>558.48</v>
      </c>
    </row>
    <row r="12571" spans="1:12" x14ac:dyDescent="0.25">
      <c r="A12571" t="str">
        <f t="shared" si="2733"/>
        <v>89301000</v>
      </c>
      <c r="B12571" t="str">
        <f t="shared" si="2734"/>
        <v>02004000</v>
      </c>
      <c r="C12571" t="str">
        <f t="shared" ref="C12571:C12576" si="2736">"02004545"</f>
        <v>02004545</v>
      </c>
      <c r="D12571" t="str">
        <f t="shared" ref="D12571:D12576" si="2737">"816"</f>
        <v>816</v>
      </c>
      <c r="E12571" t="str">
        <f>"89301702"</f>
        <v>89301702</v>
      </c>
      <c r="F12571" t="str">
        <f>"2159071475"</f>
        <v>2159071475</v>
      </c>
      <c r="G12571" s="1">
        <v>44834</v>
      </c>
      <c r="H12571" t="str">
        <f>"94191"</f>
        <v>94191</v>
      </c>
      <c r="I12571">
        <v>1</v>
      </c>
      <c r="J12571">
        <v>14</v>
      </c>
      <c r="K12571">
        <v>0</v>
      </c>
      <c r="L12571">
        <v>11.9</v>
      </c>
    </row>
    <row r="12572" spans="1:12" x14ac:dyDescent="0.25">
      <c r="A12572" t="str">
        <f t="shared" si="2733"/>
        <v>89301000</v>
      </c>
      <c r="B12572" t="str">
        <f t="shared" si="2734"/>
        <v>02004000</v>
      </c>
      <c r="C12572" t="str">
        <f t="shared" si="2736"/>
        <v>02004545</v>
      </c>
      <c r="D12572" t="str">
        <f t="shared" si="2737"/>
        <v>816</v>
      </c>
      <c r="E12572" t="str">
        <f>"89301704"</f>
        <v>89301704</v>
      </c>
      <c r="F12572" t="str">
        <f>"1906051994"</f>
        <v>1906051994</v>
      </c>
      <c r="G12572" s="1">
        <v>44876</v>
      </c>
      <c r="H12572" t="str">
        <f>"94221"</f>
        <v>94221</v>
      </c>
      <c r="I12572">
        <v>5</v>
      </c>
      <c r="J12572">
        <v>12265</v>
      </c>
      <c r="K12572">
        <v>0</v>
      </c>
      <c r="L12572">
        <v>10425.25</v>
      </c>
    </row>
    <row r="12573" spans="1:12" x14ac:dyDescent="0.25">
      <c r="A12573" t="str">
        <f t="shared" si="2733"/>
        <v>89301000</v>
      </c>
      <c r="B12573" t="str">
        <f t="shared" si="2734"/>
        <v>02004000</v>
      </c>
      <c r="C12573" t="str">
        <f t="shared" si="2736"/>
        <v>02004545</v>
      </c>
      <c r="D12573" t="str">
        <f t="shared" si="2737"/>
        <v>816</v>
      </c>
      <c r="E12573" t="str">
        <f>"89301282"</f>
        <v>89301282</v>
      </c>
      <c r="F12573" t="str">
        <f>"9904055711"</f>
        <v>9904055711</v>
      </c>
      <c r="G12573" s="1">
        <v>44873</v>
      </c>
      <c r="H12573" t="str">
        <f>"94351"</f>
        <v>94351</v>
      </c>
      <c r="I12573">
        <v>3</v>
      </c>
      <c r="J12573">
        <v>5127</v>
      </c>
      <c r="K12573">
        <v>0</v>
      </c>
      <c r="L12573">
        <v>4357.95</v>
      </c>
    </row>
    <row r="12574" spans="1:12" x14ac:dyDescent="0.25">
      <c r="A12574" t="str">
        <f t="shared" si="2733"/>
        <v>89301000</v>
      </c>
      <c r="B12574" t="str">
        <f t="shared" si="2734"/>
        <v>02004000</v>
      </c>
      <c r="C12574" t="str">
        <f t="shared" si="2736"/>
        <v>02004545</v>
      </c>
      <c r="D12574" t="str">
        <f t="shared" si="2737"/>
        <v>816</v>
      </c>
      <c r="E12574" t="str">
        <f>"89301704"</f>
        <v>89301704</v>
      </c>
      <c r="F12574" t="str">
        <f>"1905051214"</f>
        <v>1905051214</v>
      </c>
      <c r="G12574" s="1">
        <v>44874</v>
      </c>
      <c r="H12574" t="str">
        <f>"94221"</f>
        <v>94221</v>
      </c>
      <c r="I12574">
        <v>9</v>
      </c>
      <c r="J12574">
        <v>22077</v>
      </c>
      <c r="K12574">
        <v>0</v>
      </c>
      <c r="L12574">
        <v>18765.45</v>
      </c>
    </row>
    <row r="12575" spans="1:12" x14ac:dyDescent="0.25">
      <c r="A12575" t="str">
        <f t="shared" si="2733"/>
        <v>89301000</v>
      </c>
      <c r="B12575" t="str">
        <f t="shared" si="2734"/>
        <v>02004000</v>
      </c>
      <c r="C12575" t="str">
        <f t="shared" si="2736"/>
        <v>02004545</v>
      </c>
      <c r="D12575" t="str">
        <f t="shared" si="2737"/>
        <v>816</v>
      </c>
      <c r="E12575" t="str">
        <f>"89301704"</f>
        <v>89301704</v>
      </c>
      <c r="F12575" t="str">
        <f>"1905051214"</f>
        <v>1905051214</v>
      </c>
      <c r="G12575" s="1">
        <v>44874</v>
      </c>
      <c r="H12575" t="str">
        <f>"94221"</f>
        <v>94221</v>
      </c>
      <c r="I12575">
        <v>1</v>
      </c>
      <c r="J12575">
        <v>2453</v>
      </c>
      <c r="K12575">
        <v>0</v>
      </c>
      <c r="L12575">
        <v>2085.0500000000002</v>
      </c>
    </row>
    <row r="12576" spans="1:12" x14ac:dyDescent="0.25">
      <c r="A12576" t="str">
        <f t="shared" si="2733"/>
        <v>89301000</v>
      </c>
      <c r="B12576" t="str">
        <f t="shared" si="2734"/>
        <v>02004000</v>
      </c>
      <c r="C12576" t="str">
        <f t="shared" si="2736"/>
        <v>02004545</v>
      </c>
      <c r="D12576" t="str">
        <f t="shared" si="2737"/>
        <v>816</v>
      </c>
      <c r="E12576" t="str">
        <f>"89301704"</f>
        <v>89301704</v>
      </c>
      <c r="F12576" t="str">
        <f>"1905051214"</f>
        <v>1905051214</v>
      </c>
      <c r="G12576" s="1">
        <v>44874</v>
      </c>
      <c r="H12576" t="str">
        <f>"94225"</f>
        <v>94225</v>
      </c>
      <c r="I12576">
        <v>1</v>
      </c>
      <c r="J12576">
        <v>1187</v>
      </c>
      <c r="K12576">
        <v>0</v>
      </c>
      <c r="L12576">
        <v>1008.95</v>
      </c>
    </row>
    <row r="12577" spans="1:12" x14ac:dyDescent="0.25">
      <c r="A12577" t="str">
        <f t="shared" si="2733"/>
        <v>89301000</v>
      </c>
      <c r="B12577" t="str">
        <f t="shared" si="2734"/>
        <v>02004000</v>
      </c>
      <c r="C12577" t="str">
        <f t="shared" ref="C12577:C12592" si="2738">"02004556"</f>
        <v>02004556</v>
      </c>
      <c r="D12577" t="str">
        <f t="shared" ref="D12577:D12592" si="2739">"813"</f>
        <v>813</v>
      </c>
      <c r="E12577" t="str">
        <f>"89301028"</f>
        <v>89301028</v>
      </c>
      <c r="F12577" t="str">
        <f>"8401215757"</f>
        <v>8401215757</v>
      </c>
      <c r="G12577" s="1">
        <v>44881</v>
      </c>
      <c r="H12577" t="str">
        <f>"91249"</f>
        <v>91249</v>
      </c>
      <c r="I12577">
        <v>1</v>
      </c>
      <c r="J12577">
        <v>1489</v>
      </c>
      <c r="K12577">
        <v>0</v>
      </c>
      <c r="L12577">
        <v>1161.42</v>
      </c>
    </row>
    <row r="12578" spans="1:12" x14ac:dyDescent="0.25">
      <c r="A12578" t="str">
        <f t="shared" si="2733"/>
        <v>89301000</v>
      </c>
      <c r="B12578" t="str">
        <f t="shared" si="2734"/>
        <v>02004000</v>
      </c>
      <c r="C12578" t="str">
        <f t="shared" si="2738"/>
        <v>02004556</v>
      </c>
      <c r="D12578" t="str">
        <f t="shared" si="2739"/>
        <v>813</v>
      </c>
      <c r="E12578" t="str">
        <f>"89301028"</f>
        <v>89301028</v>
      </c>
      <c r="F12578" t="str">
        <f>"8401215757"</f>
        <v>8401215757</v>
      </c>
      <c r="G12578" s="1">
        <v>44881</v>
      </c>
      <c r="H12578" t="str">
        <f>"91251"</f>
        <v>91251</v>
      </c>
      <c r="I12578">
        <v>1</v>
      </c>
      <c r="J12578">
        <v>1489</v>
      </c>
      <c r="K12578">
        <v>0</v>
      </c>
      <c r="L12578">
        <v>1161.42</v>
      </c>
    </row>
    <row r="12579" spans="1:12" x14ac:dyDescent="0.25">
      <c r="A12579" t="str">
        <f t="shared" si="2733"/>
        <v>89301000</v>
      </c>
      <c r="B12579" t="str">
        <f t="shared" si="2734"/>
        <v>02004000</v>
      </c>
      <c r="C12579" t="str">
        <f t="shared" si="2738"/>
        <v>02004556</v>
      </c>
      <c r="D12579" t="str">
        <f t="shared" si="2739"/>
        <v>813</v>
      </c>
      <c r="E12579" t="str">
        <f>"89301028"</f>
        <v>89301028</v>
      </c>
      <c r="F12579" t="str">
        <f>"8353145317"</f>
        <v>8353145317</v>
      </c>
      <c r="G12579" s="1">
        <v>44887</v>
      </c>
      <c r="H12579" t="str">
        <f>"91249"</f>
        <v>91249</v>
      </c>
      <c r="I12579">
        <v>1</v>
      </c>
      <c r="J12579">
        <v>1489</v>
      </c>
      <c r="K12579">
        <v>0</v>
      </c>
      <c r="L12579">
        <v>1161.42</v>
      </c>
    </row>
    <row r="12580" spans="1:12" x14ac:dyDescent="0.25">
      <c r="A12580" t="str">
        <f t="shared" si="2733"/>
        <v>89301000</v>
      </c>
      <c r="B12580" t="str">
        <f t="shared" si="2734"/>
        <v>02004000</v>
      </c>
      <c r="C12580" t="str">
        <f t="shared" si="2738"/>
        <v>02004556</v>
      </c>
      <c r="D12580" t="str">
        <f t="shared" si="2739"/>
        <v>813</v>
      </c>
      <c r="E12580" t="str">
        <f>"89301028"</f>
        <v>89301028</v>
      </c>
      <c r="F12580" t="str">
        <f>"8353145317"</f>
        <v>8353145317</v>
      </c>
      <c r="G12580" s="1">
        <v>44887</v>
      </c>
      <c r="H12580" t="str">
        <f>"91251"</f>
        <v>91251</v>
      </c>
      <c r="I12580">
        <v>1</v>
      </c>
      <c r="J12580">
        <v>1489</v>
      </c>
      <c r="K12580">
        <v>0</v>
      </c>
      <c r="L12580">
        <v>1161.42</v>
      </c>
    </row>
    <row r="12581" spans="1:12" x14ac:dyDescent="0.25">
      <c r="A12581" t="str">
        <f t="shared" si="2733"/>
        <v>89301000</v>
      </c>
      <c r="B12581" t="str">
        <f t="shared" si="2734"/>
        <v>02004000</v>
      </c>
      <c r="C12581" t="str">
        <f t="shared" si="2738"/>
        <v>02004556</v>
      </c>
      <c r="D12581" t="str">
        <f t="shared" si="2739"/>
        <v>813</v>
      </c>
      <c r="E12581" t="str">
        <f t="shared" ref="E12581:E12590" si="2740">"89301102"</f>
        <v>89301102</v>
      </c>
      <c r="F12581" t="str">
        <f>"0658303239"</f>
        <v>0658303239</v>
      </c>
      <c r="G12581" s="1">
        <v>44893</v>
      </c>
      <c r="H12581" t="str">
        <f>"91249"</f>
        <v>91249</v>
      </c>
      <c r="I12581">
        <v>1</v>
      </c>
      <c r="J12581">
        <v>1489</v>
      </c>
      <c r="K12581">
        <v>0</v>
      </c>
      <c r="L12581">
        <v>1161.42</v>
      </c>
    </row>
    <row r="12582" spans="1:12" x14ac:dyDescent="0.25">
      <c r="A12582" t="str">
        <f t="shared" si="2733"/>
        <v>89301000</v>
      </c>
      <c r="B12582" t="str">
        <f t="shared" si="2734"/>
        <v>02004000</v>
      </c>
      <c r="C12582" t="str">
        <f t="shared" si="2738"/>
        <v>02004556</v>
      </c>
      <c r="D12582" t="str">
        <f t="shared" si="2739"/>
        <v>813</v>
      </c>
      <c r="E12582" t="str">
        <f t="shared" si="2740"/>
        <v>89301102</v>
      </c>
      <c r="F12582" t="str">
        <f>"0658303239"</f>
        <v>0658303239</v>
      </c>
      <c r="G12582" s="1">
        <v>44893</v>
      </c>
      <c r="H12582" t="str">
        <f>"91251"</f>
        <v>91251</v>
      </c>
      <c r="I12582">
        <v>1</v>
      </c>
      <c r="J12582">
        <v>1489</v>
      </c>
      <c r="K12582">
        <v>0</v>
      </c>
      <c r="L12582">
        <v>1161.42</v>
      </c>
    </row>
    <row r="12583" spans="1:12" x14ac:dyDescent="0.25">
      <c r="A12583" t="str">
        <f t="shared" si="2733"/>
        <v>89301000</v>
      </c>
      <c r="B12583" t="str">
        <f t="shared" si="2734"/>
        <v>02004000</v>
      </c>
      <c r="C12583" t="str">
        <f t="shared" si="2738"/>
        <v>02004556</v>
      </c>
      <c r="D12583" t="str">
        <f t="shared" si="2739"/>
        <v>813</v>
      </c>
      <c r="E12583" t="str">
        <f t="shared" si="2740"/>
        <v>89301102</v>
      </c>
      <c r="F12583" t="str">
        <f>"1754070054"</f>
        <v>1754070054</v>
      </c>
      <c r="G12583" s="1">
        <v>44901</v>
      </c>
      <c r="H12583" t="str">
        <f>"91249"</f>
        <v>91249</v>
      </c>
      <c r="I12583">
        <v>1</v>
      </c>
      <c r="J12583">
        <v>1489</v>
      </c>
      <c r="K12583">
        <v>0</v>
      </c>
      <c r="L12583">
        <v>1161.42</v>
      </c>
    </row>
    <row r="12584" spans="1:12" x14ac:dyDescent="0.25">
      <c r="A12584" t="str">
        <f t="shared" si="2733"/>
        <v>89301000</v>
      </c>
      <c r="B12584" t="str">
        <f t="shared" si="2734"/>
        <v>02004000</v>
      </c>
      <c r="C12584" t="str">
        <f t="shared" si="2738"/>
        <v>02004556</v>
      </c>
      <c r="D12584" t="str">
        <f t="shared" si="2739"/>
        <v>813</v>
      </c>
      <c r="E12584" t="str">
        <f t="shared" si="2740"/>
        <v>89301102</v>
      </c>
      <c r="F12584" t="str">
        <f>"1754070054"</f>
        <v>1754070054</v>
      </c>
      <c r="G12584" s="1">
        <v>44901</v>
      </c>
      <c r="H12584" t="str">
        <f>"91251"</f>
        <v>91251</v>
      </c>
      <c r="I12584">
        <v>1</v>
      </c>
      <c r="J12584">
        <v>1489</v>
      </c>
      <c r="K12584">
        <v>0</v>
      </c>
      <c r="L12584">
        <v>1161.42</v>
      </c>
    </row>
    <row r="12585" spans="1:12" x14ac:dyDescent="0.25">
      <c r="A12585" t="str">
        <f t="shared" si="2733"/>
        <v>89301000</v>
      </c>
      <c r="B12585" t="str">
        <f t="shared" si="2734"/>
        <v>02004000</v>
      </c>
      <c r="C12585" t="str">
        <f t="shared" si="2738"/>
        <v>02004556</v>
      </c>
      <c r="D12585" t="str">
        <f t="shared" si="2739"/>
        <v>813</v>
      </c>
      <c r="E12585" t="str">
        <f t="shared" si="2740"/>
        <v>89301102</v>
      </c>
      <c r="F12585" t="str">
        <f>"0606161380"</f>
        <v>0606161380</v>
      </c>
      <c r="G12585" s="1">
        <v>44908</v>
      </c>
      <c r="H12585" t="str">
        <f>"91249"</f>
        <v>91249</v>
      </c>
      <c r="I12585">
        <v>1</v>
      </c>
      <c r="J12585">
        <v>1489</v>
      </c>
      <c r="K12585">
        <v>0</v>
      </c>
      <c r="L12585">
        <v>1161.42</v>
      </c>
    </row>
    <row r="12586" spans="1:12" x14ac:dyDescent="0.25">
      <c r="A12586" t="str">
        <f t="shared" si="2733"/>
        <v>89301000</v>
      </c>
      <c r="B12586" t="str">
        <f t="shared" si="2734"/>
        <v>02004000</v>
      </c>
      <c r="C12586" t="str">
        <f t="shared" si="2738"/>
        <v>02004556</v>
      </c>
      <c r="D12586" t="str">
        <f t="shared" si="2739"/>
        <v>813</v>
      </c>
      <c r="E12586" t="str">
        <f t="shared" si="2740"/>
        <v>89301102</v>
      </c>
      <c r="F12586" t="str">
        <f>"0606161380"</f>
        <v>0606161380</v>
      </c>
      <c r="G12586" s="1">
        <v>44908</v>
      </c>
      <c r="H12586" t="str">
        <f>"91251"</f>
        <v>91251</v>
      </c>
      <c r="I12586">
        <v>1</v>
      </c>
      <c r="J12586">
        <v>1489</v>
      </c>
      <c r="K12586">
        <v>0</v>
      </c>
      <c r="L12586">
        <v>1161.42</v>
      </c>
    </row>
    <row r="12587" spans="1:12" x14ac:dyDescent="0.25">
      <c r="A12587" t="str">
        <f t="shared" si="2733"/>
        <v>89301000</v>
      </c>
      <c r="B12587" t="str">
        <f t="shared" si="2734"/>
        <v>02004000</v>
      </c>
      <c r="C12587" t="str">
        <f t="shared" si="2738"/>
        <v>02004556</v>
      </c>
      <c r="D12587" t="str">
        <f t="shared" si="2739"/>
        <v>813</v>
      </c>
      <c r="E12587" t="str">
        <f t="shared" si="2740"/>
        <v>89301102</v>
      </c>
      <c r="F12587" t="str">
        <f>"0312085719"</f>
        <v>0312085719</v>
      </c>
      <c r="G12587" s="1">
        <v>44897</v>
      </c>
      <c r="H12587" t="str">
        <f>"91249"</f>
        <v>91249</v>
      </c>
      <c r="I12587">
        <v>1</v>
      </c>
      <c r="J12587">
        <v>1489</v>
      </c>
      <c r="K12587">
        <v>0</v>
      </c>
      <c r="L12587">
        <v>1161.42</v>
      </c>
    </row>
    <row r="12588" spans="1:12" x14ac:dyDescent="0.25">
      <c r="A12588" t="str">
        <f t="shared" si="2733"/>
        <v>89301000</v>
      </c>
      <c r="B12588" t="str">
        <f t="shared" si="2734"/>
        <v>02004000</v>
      </c>
      <c r="C12588" t="str">
        <f t="shared" si="2738"/>
        <v>02004556</v>
      </c>
      <c r="D12588" t="str">
        <f t="shared" si="2739"/>
        <v>813</v>
      </c>
      <c r="E12588" t="str">
        <f t="shared" si="2740"/>
        <v>89301102</v>
      </c>
      <c r="F12588" t="str">
        <f>"0312085719"</f>
        <v>0312085719</v>
      </c>
      <c r="G12588" s="1">
        <v>44897</v>
      </c>
      <c r="H12588" t="str">
        <f>"91251"</f>
        <v>91251</v>
      </c>
      <c r="I12588">
        <v>1</v>
      </c>
      <c r="J12588">
        <v>1489</v>
      </c>
      <c r="K12588">
        <v>0</v>
      </c>
      <c r="L12588">
        <v>1161.42</v>
      </c>
    </row>
    <row r="12589" spans="1:12" x14ac:dyDescent="0.25">
      <c r="A12589" t="str">
        <f t="shared" si="2733"/>
        <v>89301000</v>
      </c>
      <c r="B12589" t="str">
        <f t="shared" si="2734"/>
        <v>02004000</v>
      </c>
      <c r="C12589" t="str">
        <f t="shared" si="2738"/>
        <v>02004556</v>
      </c>
      <c r="D12589" t="str">
        <f t="shared" si="2739"/>
        <v>813</v>
      </c>
      <c r="E12589" t="str">
        <f t="shared" si="2740"/>
        <v>89301102</v>
      </c>
      <c r="F12589" t="str">
        <f>"0410225343"</f>
        <v>0410225343</v>
      </c>
      <c r="G12589" s="1">
        <v>44896</v>
      </c>
      <c r="H12589" t="str">
        <f>"91249"</f>
        <v>91249</v>
      </c>
      <c r="I12589">
        <v>1</v>
      </c>
      <c r="J12589">
        <v>1489</v>
      </c>
      <c r="K12589">
        <v>0</v>
      </c>
      <c r="L12589">
        <v>1161.42</v>
      </c>
    </row>
    <row r="12590" spans="1:12" x14ac:dyDescent="0.25">
      <c r="A12590" t="str">
        <f t="shared" si="2733"/>
        <v>89301000</v>
      </c>
      <c r="B12590" t="str">
        <f t="shared" si="2734"/>
        <v>02004000</v>
      </c>
      <c r="C12590" t="str">
        <f t="shared" si="2738"/>
        <v>02004556</v>
      </c>
      <c r="D12590" t="str">
        <f t="shared" si="2739"/>
        <v>813</v>
      </c>
      <c r="E12590" t="str">
        <f t="shared" si="2740"/>
        <v>89301102</v>
      </c>
      <c r="F12590" t="str">
        <f>"0410225343"</f>
        <v>0410225343</v>
      </c>
      <c r="G12590" s="1">
        <v>44896</v>
      </c>
      <c r="H12590" t="str">
        <f>"91251"</f>
        <v>91251</v>
      </c>
      <c r="I12590">
        <v>1</v>
      </c>
      <c r="J12590">
        <v>1489</v>
      </c>
      <c r="K12590">
        <v>0</v>
      </c>
      <c r="L12590">
        <v>1161.42</v>
      </c>
    </row>
    <row r="12591" spans="1:12" x14ac:dyDescent="0.25">
      <c r="A12591" t="str">
        <f t="shared" si="2733"/>
        <v>89301000</v>
      </c>
      <c r="B12591" t="str">
        <f t="shared" si="2734"/>
        <v>02004000</v>
      </c>
      <c r="C12591" t="str">
        <f t="shared" si="2738"/>
        <v>02004556</v>
      </c>
      <c r="D12591" t="str">
        <f t="shared" si="2739"/>
        <v>813</v>
      </c>
      <c r="E12591" t="str">
        <f>"89301702"</f>
        <v>89301702</v>
      </c>
      <c r="F12591" t="str">
        <f>"0756083383"</f>
        <v>0756083383</v>
      </c>
      <c r="G12591" s="1">
        <v>44896</v>
      </c>
      <c r="H12591" t="str">
        <f>"91249"</f>
        <v>91249</v>
      </c>
      <c r="I12591">
        <v>1</v>
      </c>
      <c r="J12591">
        <v>1489</v>
      </c>
      <c r="K12591">
        <v>0</v>
      </c>
      <c r="L12591">
        <v>1161.42</v>
      </c>
    </row>
    <row r="12592" spans="1:12" x14ac:dyDescent="0.25">
      <c r="A12592" t="str">
        <f t="shared" si="2733"/>
        <v>89301000</v>
      </c>
      <c r="B12592" t="str">
        <f t="shared" si="2734"/>
        <v>02004000</v>
      </c>
      <c r="C12592" t="str">
        <f t="shared" si="2738"/>
        <v>02004556</v>
      </c>
      <c r="D12592" t="str">
        <f t="shared" si="2739"/>
        <v>813</v>
      </c>
      <c r="E12592" t="str">
        <f>"89301702"</f>
        <v>89301702</v>
      </c>
      <c r="F12592" t="str">
        <f>"0756083383"</f>
        <v>0756083383</v>
      </c>
      <c r="G12592" s="1">
        <v>44896</v>
      </c>
      <c r="H12592" t="str">
        <f>"91251"</f>
        <v>91251</v>
      </c>
      <c r="I12592">
        <v>1</v>
      </c>
      <c r="J12592">
        <v>1489</v>
      </c>
      <c r="K12592">
        <v>0</v>
      </c>
      <c r="L12592">
        <v>1161.42</v>
      </c>
    </row>
    <row r="12593" spans="1:12" x14ac:dyDescent="0.25">
      <c r="A12593" t="str">
        <f t="shared" si="2733"/>
        <v>89301000</v>
      </c>
      <c r="B12593" t="str">
        <f t="shared" si="2734"/>
        <v>02004000</v>
      </c>
      <c r="C12593" t="str">
        <f>"02004545"</f>
        <v>02004545</v>
      </c>
      <c r="D12593" t="str">
        <f>"816"</f>
        <v>816</v>
      </c>
      <c r="E12593" t="str">
        <f>"89301702"</f>
        <v>89301702</v>
      </c>
      <c r="F12593" t="str">
        <f>"2159071475"</f>
        <v>2159071475</v>
      </c>
      <c r="G12593" s="1">
        <v>44835</v>
      </c>
      <c r="H12593" t="str">
        <f>"94191"</f>
        <v>94191</v>
      </c>
      <c r="I12593">
        <v>1</v>
      </c>
      <c r="J12593">
        <v>14</v>
      </c>
      <c r="K12593">
        <v>0</v>
      </c>
      <c r="L12593">
        <v>11.9</v>
      </c>
    </row>
    <row r="12594" spans="1:12" x14ac:dyDescent="0.25">
      <c r="A12594" t="str">
        <f t="shared" si="2733"/>
        <v>89301000</v>
      </c>
      <c r="B12594" t="str">
        <f t="shared" si="2734"/>
        <v>02004000</v>
      </c>
      <c r="C12594" t="str">
        <f>"02004370"</f>
        <v>02004370</v>
      </c>
      <c r="D12594" t="str">
        <f>"810"</f>
        <v>810</v>
      </c>
      <c r="E12594" t="str">
        <f>"89301112"</f>
        <v>89301112</v>
      </c>
      <c r="F12594" t="str">
        <f>"9703024848"</f>
        <v>9703024848</v>
      </c>
      <c r="G12594" s="1">
        <v>44914</v>
      </c>
      <c r="H12594" t="str">
        <f>"89713"</f>
        <v>89713</v>
      </c>
      <c r="I12594">
        <v>2</v>
      </c>
      <c r="J12594">
        <v>10724</v>
      </c>
      <c r="K12594">
        <v>0</v>
      </c>
      <c r="L12594">
        <v>6434.4</v>
      </c>
    </row>
    <row r="12595" spans="1:12" x14ac:dyDescent="0.25">
      <c r="A12595" t="str">
        <f t="shared" si="2733"/>
        <v>89301000</v>
      </c>
      <c r="B12595" t="str">
        <f t="shared" ref="B12595:B12600" si="2741">"06223000"</f>
        <v>06223000</v>
      </c>
      <c r="C12595" t="str">
        <f t="shared" ref="C12595:C12600" si="2742">"06223043"</f>
        <v>06223043</v>
      </c>
      <c r="D12595" t="str">
        <f t="shared" ref="D12595:D12600" si="2743">"801"</f>
        <v>801</v>
      </c>
      <c r="E12595" t="str">
        <f>"89301122"</f>
        <v>89301122</v>
      </c>
      <c r="F12595" t="str">
        <f>"7302234467"</f>
        <v>7302234467</v>
      </c>
      <c r="G12595" s="1">
        <v>44900</v>
      </c>
      <c r="H12595" t="str">
        <f>"81485"</f>
        <v>81485</v>
      </c>
      <c r="I12595">
        <v>1</v>
      </c>
      <c r="J12595">
        <v>453</v>
      </c>
      <c r="K12595">
        <v>0</v>
      </c>
      <c r="L12595">
        <v>353.34</v>
      </c>
    </row>
    <row r="12596" spans="1:12" x14ac:dyDescent="0.25">
      <c r="A12596" t="str">
        <f t="shared" si="2733"/>
        <v>89301000</v>
      </c>
      <c r="B12596" t="str">
        <f t="shared" si="2741"/>
        <v>06223000</v>
      </c>
      <c r="C12596" t="str">
        <f t="shared" si="2742"/>
        <v>06223043</v>
      </c>
      <c r="D12596" t="str">
        <f t="shared" si="2743"/>
        <v>801</v>
      </c>
      <c r="E12596" t="str">
        <f>"89301101"</f>
        <v>89301101</v>
      </c>
      <c r="F12596" t="str">
        <f>"1160251389"</f>
        <v>1160251389</v>
      </c>
      <c r="G12596" s="1">
        <v>44907</v>
      </c>
      <c r="H12596" t="str">
        <f>"92165"</f>
        <v>92165</v>
      </c>
      <c r="I12596">
        <v>1</v>
      </c>
      <c r="J12596">
        <v>2113</v>
      </c>
      <c r="K12596">
        <v>0</v>
      </c>
      <c r="L12596">
        <v>1648.14</v>
      </c>
    </row>
    <row r="12597" spans="1:12" x14ac:dyDescent="0.25">
      <c r="A12597" t="str">
        <f t="shared" si="2733"/>
        <v>89301000</v>
      </c>
      <c r="B12597" t="str">
        <f t="shared" si="2741"/>
        <v>06223000</v>
      </c>
      <c r="C12597" t="str">
        <f t="shared" si="2742"/>
        <v>06223043</v>
      </c>
      <c r="D12597" t="str">
        <f t="shared" si="2743"/>
        <v>801</v>
      </c>
      <c r="E12597" t="str">
        <f>"89301122"</f>
        <v>89301122</v>
      </c>
      <c r="F12597" t="str">
        <f>"6856020160"</f>
        <v>6856020160</v>
      </c>
      <c r="G12597" s="1">
        <v>44914</v>
      </c>
      <c r="H12597" t="str">
        <f>"92165"</f>
        <v>92165</v>
      </c>
      <c r="I12597">
        <v>1</v>
      </c>
      <c r="J12597">
        <v>2113</v>
      </c>
      <c r="K12597">
        <v>0</v>
      </c>
      <c r="L12597">
        <v>1648.14</v>
      </c>
    </row>
    <row r="12598" spans="1:12" x14ac:dyDescent="0.25">
      <c r="A12598" t="str">
        <f t="shared" si="2733"/>
        <v>89301000</v>
      </c>
      <c r="B12598" t="str">
        <f t="shared" si="2741"/>
        <v>06223000</v>
      </c>
      <c r="C12598" t="str">
        <f t="shared" si="2742"/>
        <v>06223043</v>
      </c>
      <c r="D12598" t="str">
        <f t="shared" si="2743"/>
        <v>801</v>
      </c>
      <c r="E12598" t="str">
        <f>"89301122"</f>
        <v>89301122</v>
      </c>
      <c r="F12598" t="str">
        <f>"8411115317"</f>
        <v>8411115317</v>
      </c>
      <c r="G12598" s="1">
        <v>44911</v>
      </c>
      <c r="H12598" t="str">
        <f>"81485"</f>
        <v>81485</v>
      </c>
      <c r="I12598">
        <v>1</v>
      </c>
      <c r="J12598">
        <v>453</v>
      </c>
      <c r="K12598">
        <v>0</v>
      </c>
      <c r="L12598">
        <v>353.34</v>
      </c>
    </row>
    <row r="12599" spans="1:12" x14ac:dyDescent="0.25">
      <c r="A12599" t="str">
        <f t="shared" si="2733"/>
        <v>89301000</v>
      </c>
      <c r="B12599" t="str">
        <f t="shared" si="2741"/>
        <v>06223000</v>
      </c>
      <c r="C12599" t="str">
        <f t="shared" si="2742"/>
        <v>06223043</v>
      </c>
      <c r="D12599" t="str">
        <f t="shared" si="2743"/>
        <v>801</v>
      </c>
      <c r="E12599" t="str">
        <f>"89301122"</f>
        <v>89301122</v>
      </c>
      <c r="F12599" t="str">
        <f>"9111205774"</f>
        <v>9111205774</v>
      </c>
      <c r="G12599" s="1">
        <v>44914</v>
      </c>
      <c r="H12599" t="str">
        <f>"92165"</f>
        <v>92165</v>
      </c>
      <c r="I12599">
        <v>1</v>
      </c>
      <c r="J12599">
        <v>2113</v>
      </c>
      <c r="K12599">
        <v>0</v>
      </c>
      <c r="L12599">
        <v>1648.14</v>
      </c>
    </row>
    <row r="12600" spans="1:12" x14ac:dyDescent="0.25">
      <c r="A12600" t="str">
        <f t="shared" si="2733"/>
        <v>89301000</v>
      </c>
      <c r="B12600" t="str">
        <f t="shared" si="2741"/>
        <v>06223000</v>
      </c>
      <c r="C12600" t="str">
        <f t="shared" si="2742"/>
        <v>06223043</v>
      </c>
      <c r="D12600" t="str">
        <f t="shared" si="2743"/>
        <v>801</v>
      </c>
      <c r="E12600" t="str">
        <f>"89301122"</f>
        <v>89301122</v>
      </c>
      <c r="F12600" t="str">
        <f>"9311214858"</f>
        <v>9311214858</v>
      </c>
      <c r="G12600" s="1">
        <v>44900</v>
      </c>
      <c r="H12600" t="str">
        <f>"81485"</f>
        <v>81485</v>
      </c>
      <c r="I12600">
        <v>1</v>
      </c>
      <c r="J12600">
        <v>453</v>
      </c>
      <c r="K12600">
        <v>0</v>
      </c>
      <c r="L12600">
        <v>353.34</v>
      </c>
    </row>
    <row r="12601" spans="1:12" x14ac:dyDescent="0.25">
      <c r="A12601" t="str">
        <f t="shared" si="2733"/>
        <v>89301000</v>
      </c>
      <c r="B12601" t="str">
        <f t="shared" ref="B12601:B12620" si="2744">"91009000"</f>
        <v>91009000</v>
      </c>
      <c r="C12601" t="str">
        <f>"91009132"</f>
        <v>91009132</v>
      </c>
      <c r="D12601" t="str">
        <f>"812"</f>
        <v>812</v>
      </c>
      <c r="E12601" t="str">
        <f>"89301212"</f>
        <v>89301212</v>
      </c>
      <c r="F12601" t="str">
        <f>"8556125776"</f>
        <v>8556125776</v>
      </c>
      <c r="G12601" s="1">
        <v>44908</v>
      </c>
      <c r="H12601" t="str">
        <f>"92157"</f>
        <v>92157</v>
      </c>
      <c r="I12601">
        <v>1</v>
      </c>
      <c r="J12601">
        <v>1754</v>
      </c>
      <c r="K12601">
        <v>0</v>
      </c>
      <c r="L12601">
        <v>1368.12</v>
      </c>
    </row>
    <row r="12602" spans="1:12" x14ac:dyDescent="0.25">
      <c r="A12602" t="str">
        <f t="shared" si="2733"/>
        <v>89301000</v>
      </c>
      <c r="B12602" t="str">
        <f t="shared" si="2744"/>
        <v>91009000</v>
      </c>
      <c r="C12602" t="str">
        <f>"91009132"</f>
        <v>91009132</v>
      </c>
      <c r="D12602" t="str">
        <f>"812"</f>
        <v>812</v>
      </c>
      <c r="E12602" t="str">
        <f>"89301212"</f>
        <v>89301212</v>
      </c>
      <c r="F12602" t="str">
        <f>"8556125776"</f>
        <v>8556125776</v>
      </c>
      <c r="G12602" s="1">
        <v>44908</v>
      </c>
      <c r="H12602" t="str">
        <f>"99111"</f>
        <v>99111</v>
      </c>
      <c r="I12602">
        <v>1</v>
      </c>
      <c r="J12602">
        <v>206</v>
      </c>
      <c r="K12602">
        <v>0</v>
      </c>
      <c r="L12602">
        <v>160.68</v>
      </c>
    </row>
    <row r="12603" spans="1:12" x14ac:dyDescent="0.25">
      <c r="A12603" t="str">
        <f t="shared" si="2733"/>
        <v>89301000</v>
      </c>
      <c r="B12603" t="str">
        <f t="shared" si="2744"/>
        <v>91009000</v>
      </c>
      <c r="C12603" t="str">
        <f t="shared" ref="C12603:C12613" si="2745">"91009522"</f>
        <v>91009522</v>
      </c>
      <c r="D12603" t="str">
        <f t="shared" ref="D12603:D12613" si="2746">"816"</f>
        <v>816</v>
      </c>
      <c r="E12603" t="str">
        <f t="shared" ref="E12603:E12613" si="2747">"89301282"</f>
        <v>89301282</v>
      </c>
      <c r="F12603" t="str">
        <f>"9162046234"</f>
        <v>9162046234</v>
      </c>
      <c r="G12603" s="1">
        <v>44925</v>
      </c>
      <c r="H12603" t="str">
        <f>"94948"</f>
        <v>94948</v>
      </c>
      <c r="I12603">
        <v>2</v>
      </c>
      <c r="J12603">
        <v>0</v>
      </c>
      <c r="K12603">
        <v>0</v>
      </c>
      <c r="L12603">
        <v>0</v>
      </c>
    </row>
    <row r="12604" spans="1:12" x14ac:dyDescent="0.25">
      <c r="A12604" t="str">
        <f t="shared" si="2733"/>
        <v>89301000</v>
      </c>
      <c r="B12604" t="str">
        <f t="shared" si="2744"/>
        <v>91009000</v>
      </c>
      <c r="C12604" t="str">
        <f t="shared" si="2745"/>
        <v>91009522</v>
      </c>
      <c r="D12604" t="str">
        <f t="shared" si="2746"/>
        <v>816</v>
      </c>
      <c r="E12604" t="str">
        <f t="shared" si="2747"/>
        <v>89301282</v>
      </c>
      <c r="F12604" t="str">
        <f>"9162046234"</f>
        <v>9162046234</v>
      </c>
      <c r="G12604" s="1">
        <v>44925</v>
      </c>
      <c r="H12604" t="str">
        <f>"94982"</f>
        <v>94982</v>
      </c>
      <c r="I12604">
        <v>1</v>
      </c>
      <c r="J12604">
        <v>0</v>
      </c>
      <c r="K12604">
        <v>27500</v>
      </c>
      <c r="L12604">
        <v>27500</v>
      </c>
    </row>
    <row r="12605" spans="1:12" x14ac:dyDescent="0.25">
      <c r="A12605" t="str">
        <f t="shared" si="2733"/>
        <v>89301000</v>
      </c>
      <c r="B12605" t="str">
        <f t="shared" si="2744"/>
        <v>91009000</v>
      </c>
      <c r="C12605" t="str">
        <f t="shared" si="2745"/>
        <v>91009522</v>
      </c>
      <c r="D12605" t="str">
        <f t="shared" si="2746"/>
        <v>816</v>
      </c>
      <c r="E12605" t="str">
        <f t="shared" si="2747"/>
        <v>89301282</v>
      </c>
      <c r="F12605" t="str">
        <f>"9162046234"</f>
        <v>9162046234</v>
      </c>
      <c r="G12605" s="1">
        <v>44925</v>
      </c>
      <c r="H12605" t="str">
        <f>"94996"</f>
        <v>94996</v>
      </c>
      <c r="I12605">
        <v>1</v>
      </c>
      <c r="J12605">
        <v>0</v>
      </c>
      <c r="K12605">
        <v>0</v>
      </c>
      <c r="L12605">
        <v>0</v>
      </c>
    </row>
    <row r="12606" spans="1:12" x14ac:dyDescent="0.25">
      <c r="A12606" t="str">
        <f t="shared" si="2733"/>
        <v>89301000</v>
      </c>
      <c r="B12606" t="str">
        <f t="shared" si="2744"/>
        <v>91009000</v>
      </c>
      <c r="C12606" t="str">
        <f t="shared" si="2745"/>
        <v>91009522</v>
      </c>
      <c r="D12606" t="str">
        <f t="shared" si="2746"/>
        <v>816</v>
      </c>
      <c r="E12606" t="str">
        <f t="shared" si="2747"/>
        <v>89301282</v>
      </c>
      <c r="F12606" t="str">
        <f>"0555246076"</f>
        <v>0555246076</v>
      </c>
      <c r="G12606" s="1">
        <v>44916</v>
      </c>
      <c r="H12606" t="str">
        <f>"94345"</f>
        <v>94345</v>
      </c>
      <c r="I12606">
        <v>2</v>
      </c>
      <c r="J12606">
        <v>9250</v>
      </c>
      <c r="K12606">
        <v>0</v>
      </c>
      <c r="L12606">
        <v>7862.5</v>
      </c>
    </row>
    <row r="12607" spans="1:12" x14ac:dyDescent="0.25">
      <c r="A12607" t="str">
        <f t="shared" si="2733"/>
        <v>89301000</v>
      </c>
      <c r="B12607" t="str">
        <f t="shared" si="2744"/>
        <v>91009000</v>
      </c>
      <c r="C12607" t="str">
        <f t="shared" si="2745"/>
        <v>91009522</v>
      </c>
      <c r="D12607" t="str">
        <f t="shared" si="2746"/>
        <v>816</v>
      </c>
      <c r="E12607" t="str">
        <f t="shared" si="2747"/>
        <v>89301282</v>
      </c>
      <c r="F12607" t="str">
        <f>"0555246076"</f>
        <v>0555246076</v>
      </c>
      <c r="G12607" s="1">
        <v>44916</v>
      </c>
      <c r="H12607" t="str">
        <f>"94948"</f>
        <v>94948</v>
      </c>
      <c r="I12607">
        <v>2</v>
      </c>
      <c r="J12607">
        <v>0</v>
      </c>
      <c r="K12607">
        <v>0</v>
      </c>
      <c r="L12607">
        <v>0</v>
      </c>
    </row>
    <row r="12608" spans="1:12" x14ac:dyDescent="0.25">
      <c r="A12608" t="str">
        <f t="shared" si="2733"/>
        <v>89301000</v>
      </c>
      <c r="B12608" t="str">
        <f t="shared" si="2744"/>
        <v>91009000</v>
      </c>
      <c r="C12608" t="str">
        <f t="shared" si="2745"/>
        <v>91009522</v>
      </c>
      <c r="D12608" t="str">
        <f t="shared" si="2746"/>
        <v>816</v>
      </c>
      <c r="E12608" t="str">
        <f t="shared" si="2747"/>
        <v>89301282</v>
      </c>
      <c r="F12608" t="str">
        <f>"9151110199"</f>
        <v>9151110199</v>
      </c>
      <c r="G12608" s="1">
        <v>44899</v>
      </c>
      <c r="H12608" t="str">
        <f>"94948"</f>
        <v>94948</v>
      </c>
      <c r="I12608">
        <v>2</v>
      </c>
      <c r="J12608">
        <v>0</v>
      </c>
      <c r="K12608">
        <v>0</v>
      </c>
      <c r="L12608">
        <v>0</v>
      </c>
    </row>
    <row r="12609" spans="1:12" x14ac:dyDescent="0.25">
      <c r="A12609" t="str">
        <f t="shared" si="2733"/>
        <v>89301000</v>
      </c>
      <c r="B12609" t="str">
        <f t="shared" si="2744"/>
        <v>91009000</v>
      </c>
      <c r="C12609" t="str">
        <f t="shared" si="2745"/>
        <v>91009522</v>
      </c>
      <c r="D12609" t="str">
        <f t="shared" si="2746"/>
        <v>816</v>
      </c>
      <c r="E12609" t="str">
        <f t="shared" si="2747"/>
        <v>89301282</v>
      </c>
      <c r="F12609" t="str">
        <f>"9151110199"</f>
        <v>9151110199</v>
      </c>
      <c r="G12609" s="1">
        <v>44899</v>
      </c>
      <c r="H12609" t="str">
        <f>"94984"</f>
        <v>94984</v>
      </c>
      <c r="I12609">
        <v>1</v>
      </c>
      <c r="J12609">
        <v>0</v>
      </c>
      <c r="K12609">
        <v>57200</v>
      </c>
      <c r="L12609">
        <v>57200</v>
      </c>
    </row>
    <row r="12610" spans="1:12" x14ac:dyDescent="0.25">
      <c r="A12610" t="str">
        <f t="shared" ref="A12610:A12673" si="2748">"89301000"</f>
        <v>89301000</v>
      </c>
      <c r="B12610" t="str">
        <f t="shared" si="2744"/>
        <v>91009000</v>
      </c>
      <c r="C12610" t="str">
        <f t="shared" si="2745"/>
        <v>91009522</v>
      </c>
      <c r="D12610" t="str">
        <f t="shared" si="2746"/>
        <v>816</v>
      </c>
      <c r="E12610" t="str">
        <f t="shared" si="2747"/>
        <v>89301282</v>
      </c>
      <c r="F12610" t="str">
        <f>"9151110199"</f>
        <v>9151110199</v>
      </c>
      <c r="G12610" s="1">
        <v>44899</v>
      </c>
      <c r="H12610" t="str">
        <f>"94996"</f>
        <v>94996</v>
      </c>
      <c r="I12610">
        <v>1</v>
      </c>
      <c r="J12610">
        <v>0</v>
      </c>
      <c r="K12610">
        <v>0</v>
      </c>
      <c r="L12610">
        <v>0</v>
      </c>
    </row>
    <row r="12611" spans="1:12" x14ac:dyDescent="0.25">
      <c r="A12611" t="str">
        <f t="shared" si="2748"/>
        <v>89301000</v>
      </c>
      <c r="B12611" t="str">
        <f t="shared" si="2744"/>
        <v>91009000</v>
      </c>
      <c r="C12611" t="str">
        <f t="shared" si="2745"/>
        <v>91009522</v>
      </c>
      <c r="D12611" t="str">
        <f t="shared" si="2746"/>
        <v>816</v>
      </c>
      <c r="E12611" t="str">
        <f t="shared" si="2747"/>
        <v>89301282</v>
      </c>
      <c r="F12611" t="str">
        <f>"1704300246"</f>
        <v>1704300246</v>
      </c>
      <c r="G12611" s="1">
        <v>44896</v>
      </c>
      <c r="H12611" t="str">
        <f>"94948"</f>
        <v>94948</v>
      </c>
      <c r="I12611">
        <v>2</v>
      </c>
      <c r="J12611">
        <v>0</v>
      </c>
      <c r="K12611">
        <v>0</v>
      </c>
      <c r="L12611">
        <v>0</v>
      </c>
    </row>
    <row r="12612" spans="1:12" x14ac:dyDescent="0.25">
      <c r="A12612" t="str">
        <f t="shared" si="2748"/>
        <v>89301000</v>
      </c>
      <c r="B12612" t="str">
        <f t="shared" si="2744"/>
        <v>91009000</v>
      </c>
      <c r="C12612" t="str">
        <f t="shared" si="2745"/>
        <v>91009522</v>
      </c>
      <c r="D12612" t="str">
        <f t="shared" si="2746"/>
        <v>816</v>
      </c>
      <c r="E12612" t="str">
        <f t="shared" si="2747"/>
        <v>89301282</v>
      </c>
      <c r="F12612" t="str">
        <f>"1704300246"</f>
        <v>1704300246</v>
      </c>
      <c r="G12612" s="1">
        <v>44896</v>
      </c>
      <c r="H12612" t="str">
        <f>"94984"</f>
        <v>94984</v>
      </c>
      <c r="I12612">
        <v>1</v>
      </c>
      <c r="J12612">
        <v>0</v>
      </c>
      <c r="K12612">
        <v>57200</v>
      </c>
      <c r="L12612">
        <v>57200</v>
      </c>
    </row>
    <row r="12613" spans="1:12" x14ac:dyDescent="0.25">
      <c r="A12613" t="str">
        <f t="shared" si="2748"/>
        <v>89301000</v>
      </c>
      <c r="B12613" t="str">
        <f t="shared" si="2744"/>
        <v>91009000</v>
      </c>
      <c r="C12613" t="str">
        <f t="shared" si="2745"/>
        <v>91009522</v>
      </c>
      <c r="D12613" t="str">
        <f t="shared" si="2746"/>
        <v>816</v>
      </c>
      <c r="E12613" t="str">
        <f t="shared" si="2747"/>
        <v>89301282</v>
      </c>
      <c r="F12613" t="str">
        <f>"1704300246"</f>
        <v>1704300246</v>
      </c>
      <c r="G12613" s="1">
        <v>44896</v>
      </c>
      <c r="H12613" t="str">
        <f>"94996"</f>
        <v>94996</v>
      </c>
      <c r="I12613">
        <v>1</v>
      </c>
      <c r="J12613">
        <v>0</v>
      </c>
      <c r="K12613">
        <v>0</v>
      </c>
      <c r="L12613">
        <v>0</v>
      </c>
    </row>
    <row r="12614" spans="1:12" x14ac:dyDescent="0.25">
      <c r="A12614" t="str">
        <f t="shared" si="2748"/>
        <v>89301000</v>
      </c>
      <c r="B12614" t="str">
        <f t="shared" si="2744"/>
        <v>91009000</v>
      </c>
      <c r="C12614" t="str">
        <f>"91009581"</f>
        <v>91009581</v>
      </c>
      <c r="D12614" t="str">
        <f>"801"</f>
        <v>801</v>
      </c>
      <c r="E12614" t="str">
        <f>"89301212"</f>
        <v>89301212</v>
      </c>
      <c r="F12614" t="str">
        <f>"8556125776"</f>
        <v>8556125776</v>
      </c>
      <c r="G12614" s="1">
        <v>44908</v>
      </c>
      <c r="H12614" t="str">
        <f>"97111"</f>
        <v>97111</v>
      </c>
      <c r="I12614">
        <v>1</v>
      </c>
      <c r="J12614">
        <v>18</v>
      </c>
      <c r="K12614">
        <v>0</v>
      </c>
      <c r="L12614">
        <v>14.04</v>
      </c>
    </row>
    <row r="12615" spans="1:12" x14ac:dyDescent="0.25">
      <c r="A12615" t="str">
        <f t="shared" si="2748"/>
        <v>89301000</v>
      </c>
      <c r="B12615" t="str">
        <f t="shared" si="2744"/>
        <v>91009000</v>
      </c>
      <c r="C12615" t="str">
        <f t="shared" ref="C12615:C12620" si="2749">"91009605"</f>
        <v>91009605</v>
      </c>
      <c r="D12615" t="str">
        <f t="shared" ref="D12615:D12620" si="2750">"818"</f>
        <v>818</v>
      </c>
      <c r="E12615" t="str">
        <f>"89301109"</f>
        <v>89301109</v>
      </c>
      <c r="F12615" t="str">
        <f>"1008040220"</f>
        <v>1008040220</v>
      </c>
      <c r="G12615" s="1">
        <v>44896</v>
      </c>
      <c r="H12615" t="str">
        <f>"22122"</f>
        <v>22122</v>
      </c>
      <c r="I12615">
        <v>1</v>
      </c>
      <c r="J12615">
        <v>573</v>
      </c>
      <c r="K12615">
        <v>0</v>
      </c>
      <c r="L12615">
        <v>521.42999999999995</v>
      </c>
    </row>
    <row r="12616" spans="1:12" x14ac:dyDescent="0.25">
      <c r="A12616" t="str">
        <f t="shared" si="2748"/>
        <v>89301000</v>
      </c>
      <c r="B12616" t="str">
        <f t="shared" si="2744"/>
        <v>91009000</v>
      </c>
      <c r="C12616" t="str">
        <f t="shared" si="2749"/>
        <v>91009605</v>
      </c>
      <c r="D12616" t="str">
        <f t="shared" si="2750"/>
        <v>818</v>
      </c>
      <c r="E12616" t="str">
        <f>"89301109"</f>
        <v>89301109</v>
      </c>
      <c r="F12616" t="str">
        <f>"1008040220"</f>
        <v>1008040220</v>
      </c>
      <c r="G12616" s="1">
        <v>44896</v>
      </c>
      <c r="H12616" t="str">
        <f>"22123"</f>
        <v>22123</v>
      </c>
      <c r="I12616">
        <v>1</v>
      </c>
      <c r="J12616">
        <v>322</v>
      </c>
      <c r="K12616">
        <v>0</v>
      </c>
      <c r="L12616">
        <v>293.02</v>
      </c>
    </row>
    <row r="12617" spans="1:12" x14ac:dyDescent="0.25">
      <c r="A12617" t="str">
        <f t="shared" si="2748"/>
        <v>89301000</v>
      </c>
      <c r="B12617" t="str">
        <f t="shared" si="2744"/>
        <v>91009000</v>
      </c>
      <c r="C12617" t="str">
        <f t="shared" si="2749"/>
        <v>91009605</v>
      </c>
      <c r="D12617" t="str">
        <f t="shared" si="2750"/>
        <v>818</v>
      </c>
      <c r="E12617" t="str">
        <f>"89301109"</f>
        <v>89301109</v>
      </c>
      <c r="F12617" t="str">
        <f>"1008040220"</f>
        <v>1008040220</v>
      </c>
      <c r="G12617" s="1">
        <v>44896</v>
      </c>
      <c r="H12617" t="str">
        <f>"22127"</f>
        <v>22127</v>
      </c>
      <c r="I12617">
        <v>1</v>
      </c>
      <c r="J12617">
        <v>330</v>
      </c>
      <c r="K12617">
        <v>0</v>
      </c>
      <c r="L12617">
        <v>300.3</v>
      </c>
    </row>
    <row r="12618" spans="1:12" x14ac:dyDescent="0.25">
      <c r="A12618" t="str">
        <f t="shared" si="2748"/>
        <v>89301000</v>
      </c>
      <c r="B12618" t="str">
        <f t="shared" si="2744"/>
        <v>91009000</v>
      </c>
      <c r="C12618" t="str">
        <f t="shared" si="2749"/>
        <v>91009605</v>
      </c>
      <c r="D12618" t="str">
        <f t="shared" si="2750"/>
        <v>818</v>
      </c>
      <c r="E12618" t="str">
        <f>"89301322"</f>
        <v>89301322</v>
      </c>
      <c r="F12618" t="str">
        <f>"7051035321"</f>
        <v>7051035321</v>
      </c>
      <c r="G12618" s="1">
        <v>44908</v>
      </c>
      <c r="H12618" t="str">
        <f>"91431"</f>
        <v>91431</v>
      </c>
      <c r="I12618">
        <v>1</v>
      </c>
      <c r="J12618">
        <v>535</v>
      </c>
      <c r="K12618">
        <v>0</v>
      </c>
      <c r="L12618">
        <v>486.85</v>
      </c>
    </row>
    <row r="12619" spans="1:12" x14ac:dyDescent="0.25">
      <c r="A12619" t="str">
        <f t="shared" si="2748"/>
        <v>89301000</v>
      </c>
      <c r="B12619" t="str">
        <f t="shared" si="2744"/>
        <v>91009000</v>
      </c>
      <c r="C12619" t="str">
        <f t="shared" si="2749"/>
        <v>91009605</v>
      </c>
      <c r="D12619" t="str">
        <f t="shared" si="2750"/>
        <v>818</v>
      </c>
      <c r="E12619" t="str">
        <f>"89301322"</f>
        <v>89301322</v>
      </c>
      <c r="F12619" t="str">
        <f>"7051035321"</f>
        <v>7051035321</v>
      </c>
      <c r="G12619" s="1">
        <v>44910</v>
      </c>
      <c r="H12619" t="str">
        <f>"22123"</f>
        <v>22123</v>
      </c>
      <c r="I12619">
        <v>1</v>
      </c>
      <c r="J12619">
        <v>322</v>
      </c>
      <c r="K12619">
        <v>0</v>
      </c>
      <c r="L12619">
        <v>293.02</v>
      </c>
    </row>
    <row r="12620" spans="1:12" x14ac:dyDescent="0.25">
      <c r="A12620" t="str">
        <f t="shared" si="2748"/>
        <v>89301000</v>
      </c>
      <c r="B12620" t="str">
        <f t="shared" si="2744"/>
        <v>91009000</v>
      </c>
      <c r="C12620" t="str">
        <f t="shared" si="2749"/>
        <v>91009605</v>
      </c>
      <c r="D12620" t="str">
        <f t="shared" si="2750"/>
        <v>818</v>
      </c>
      <c r="E12620" t="str">
        <f>"89301322"</f>
        <v>89301322</v>
      </c>
      <c r="F12620" t="str">
        <f>"7051035321"</f>
        <v>7051035321</v>
      </c>
      <c r="G12620" s="1">
        <v>44910</v>
      </c>
      <c r="H12620" t="str">
        <f>"22127"</f>
        <v>22127</v>
      </c>
      <c r="I12620">
        <v>1</v>
      </c>
      <c r="J12620">
        <v>330</v>
      </c>
      <c r="K12620">
        <v>0</v>
      </c>
      <c r="L12620">
        <v>300.3</v>
      </c>
    </row>
    <row r="12621" spans="1:12" x14ac:dyDescent="0.25">
      <c r="A12621" t="str">
        <f t="shared" si="2748"/>
        <v>89301000</v>
      </c>
      <c r="B12621" t="str">
        <f>"44101000"</f>
        <v>44101000</v>
      </c>
      <c r="C12621" t="str">
        <f>"44101884"</f>
        <v>44101884</v>
      </c>
      <c r="D12621" t="str">
        <f>"222"</f>
        <v>222</v>
      </c>
      <c r="E12621" t="str">
        <f>"89301054"</f>
        <v>89301054</v>
      </c>
      <c r="F12621" t="str">
        <f>"6705070977"</f>
        <v>6705070977</v>
      </c>
      <c r="G12621" s="1">
        <v>44893</v>
      </c>
      <c r="H12621" t="str">
        <f>"86125"</f>
        <v>86125</v>
      </c>
      <c r="I12621">
        <v>1</v>
      </c>
      <c r="J12621">
        <v>1868</v>
      </c>
      <c r="K12621">
        <v>0</v>
      </c>
      <c r="L12621">
        <v>1457.04</v>
      </c>
    </row>
    <row r="12622" spans="1:12" x14ac:dyDescent="0.25">
      <c r="A12622" t="str">
        <f t="shared" si="2748"/>
        <v>89301000</v>
      </c>
      <c r="B12622" t="str">
        <f>"44101000"</f>
        <v>44101000</v>
      </c>
      <c r="C12622" t="str">
        <f>"44101884"</f>
        <v>44101884</v>
      </c>
      <c r="D12622" t="str">
        <f>"222"</f>
        <v>222</v>
      </c>
      <c r="E12622" t="str">
        <f>"89301054"</f>
        <v>89301054</v>
      </c>
      <c r="F12622" t="str">
        <f>"6705070977"</f>
        <v>6705070977</v>
      </c>
      <c r="G12622" s="1">
        <v>44893</v>
      </c>
      <c r="H12622" t="str">
        <f>"91579"</f>
        <v>91579</v>
      </c>
      <c r="I12622">
        <v>4</v>
      </c>
      <c r="J12622">
        <v>31524</v>
      </c>
      <c r="K12622">
        <v>0</v>
      </c>
      <c r="L12622">
        <v>24588.720000000001</v>
      </c>
    </row>
    <row r="12623" spans="1:12" x14ac:dyDescent="0.25">
      <c r="A12623" t="str">
        <f t="shared" si="2748"/>
        <v>89301000</v>
      </c>
      <c r="B12623" t="str">
        <f>"05002000"</f>
        <v>05002000</v>
      </c>
      <c r="C12623" t="str">
        <f>"05002397"</f>
        <v>05002397</v>
      </c>
      <c r="D12623" t="str">
        <f>"818"</f>
        <v>818</v>
      </c>
      <c r="E12623" t="str">
        <f>"89301109"</f>
        <v>89301109</v>
      </c>
      <c r="F12623" t="str">
        <f>"0905183224"</f>
        <v>0905183224</v>
      </c>
      <c r="G12623" s="1">
        <v>44914</v>
      </c>
      <c r="H12623" t="str">
        <f>"94225"</f>
        <v>94225</v>
      </c>
      <c r="I12623">
        <v>1</v>
      </c>
      <c r="J12623">
        <v>1187</v>
      </c>
      <c r="K12623">
        <v>0</v>
      </c>
      <c r="L12623">
        <v>1080.17</v>
      </c>
    </row>
    <row r="12624" spans="1:12" x14ac:dyDescent="0.25">
      <c r="A12624" t="str">
        <f t="shared" si="2748"/>
        <v>89301000</v>
      </c>
      <c r="B12624" t="str">
        <f>"05002000"</f>
        <v>05002000</v>
      </c>
      <c r="C12624" t="str">
        <f>"05002397"</f>
        <v>05002397</v>
      </c>
      <c r="D12624" t="str">
        <f>"818"</f>
        <v>818</v>
      </c>
      <c r="E12624" t="str">
        <f>"89301109"</f>
        <v>89301109</v>
      </c>
      <c r="F12624" t="str">
        <f>"0905183224"</f>
        <v>0905183224</v>
      </c>
      <c r="G12624" s="1">
        <v>44914</v>
      </c>
      <c r="H12624" t="str">
        <f>"94195"</f>
        <v>94195</v>
      </c>
      <c r="I12624">
        <v>1</v>
      </c>
      <c r="J12624">
        <v>378</v>
      </c>
      <c r="K12624">
        <v>0</v>
      </c>
      <c r="L12624">
        <v>343.98</v>
      </c>
    </row>
    <row r="12625" spans="1:12" x14ac:dyDescent="0.25">
      <c r="A12625" t="str">
        <f t="shared" si="2748"/>
        <v>89301000</v>
      </c>
      <c r="B12625" t="str">
        <f>"05002000"</f>
        <v>05002000</v>
      </c>
      <c r="C12625" t="str">
        <f>"05002397"</f>
        <v>05002397</v>
      </c>
      <c r="D12625" t="str">
        <f>"818"</f>
        <v>818</v>
      </c>
      <c r="E12625" t="str">
        <f>"89301109"</f>
        <v>89301109</v>
      </c>
      <c r="F12625" t="str">
        <f>"0905183224"</f>
        <v>0905183224</v>
      </c>
      <c r="G12625" s="1">
        <v>44914</v>
      </c>
      <c r="H12625" t="str">
        <f>"94337"</f>
        <v>94337</v>
      </c>
      <c r="I12625">
        <v>3</v>
      </c>
      <c r="J12625">
        <v>26880</v>
      </c>
      <c r="K12625">
        <v>0</v>
      </c>
      <c r="L12625">
        <v>24460.799999999999</v>
      </c>
    </row>
    <row r="12626" spans="1:12" x14ac:dyDescent="0.25">
      <c r="A12626" t="str">
        <f t="shared" si="2748"/>
        <v>89301000</v>
      </c>
      <c r="B12626" t="str">
        <f>"05002000"</f>
        <v>05002000</v>
      </c>
      <c r="C12626" t="str">
        <f>"05002397"</f>
        <v>05002397</v>
      </c>
      <c r="D12626" t="str">
        <f>"818"</f>
        <v>818</v>
      </c>
      <c r="E12626" t="str">
        <f>"89301109"</f>
        <v>89301109</v>
      </c>
      <c r="F12626" t="str">
        <f>"0905183224"</f>
        <v>0905183224</v>
      </c>
      <c r="G12626" s="1">
        <v>44915</v>
      </c>
      <c r="H12626" t="str">
        <f>"94225"</f>
        <v>94225</v>
      </c>
      <c r="I12626">
        <v>1</v>
      </c>
      <c r="J12626">
        <v>1187</v>
      </c>
      <c r="K12626">
        <v>0</v>
      </c>
      <c r="L12626">
        <v>1080.17</v>
      </c>
    </row>
    <row r="12627" spans="1:12" x14ac:dyDescent="0.25">
      <c r="A12627" t="str">
        <f t="shared" si="2748"/>
        <v>89301000</v>
      </c>
      <c r="B12627" t="str">
        <f>"05002000"</f>
        <v>05002000</v>
      </c>
      <c r="C12627" t="str">
        <f>"05002141"</f>
        <v>05002141</v>
      </c>
      <c r="D12627" t="str">
        <f t="shared" ref="D12627:D12634" si="2751">"816"</f>
        <v>816</v>
      </c>
      <c r="E12627" t="str">
        <f>"89301282"</f>
        <v>89301282</v>
      </c>
      <c r="F12627" t="str">
        <f>"475626163"</f>
        <v>475626163</v>
      </c>
      <c r="G12627" s="1">
        <v>44911</v>
      </c>
      <c r="H12627" t="str">
        <f>"94221"</f>
        <v>94221</v>
      </c>
      <c r="I12627">
        <v>6</v>
      </c>
      <c r="J12627">
        <v>14718</v>
      </c>
      <c r="K12627">
        <v>0</v>
      </c>
      <c r="L12627">
        <v>12510.3</v>
      </c>
    </row>
    <row r="12628" spans="1:12" x14ac:dyDescent="0.25">
      <c r="A12628" t="str">
        <f t="shared" si="2748"/>
        <v>89301000</v>
      </c>
      <c r="B12628" t="str">
        <f t="shared" ref="B12628:B12634" si="2752">"44564000"</f>
        <v>44564000</v>
      </c>
      <c r="C12628" t="str">
        <f t="shared" ref="C12628:C12634" si="2753">"44564006"</f>
        <v>44564006</v>
      </c>
      <c r="D12628" t="str">
        <f t="shared" si="2751"/>
        <v>816</v>
      </c>
      <c r="E12628" t="str">
        <f t="shared" ref="E12628:E12634" si="2754">"89301212"</f>
        <v>89301212</v>
      </c>
      <c r="F12628" t="str">
        <f>"5454153320"</f>
        <v>5454153320</v>
      </c>
      <c r="G12628" s="1">
        <v>44684</v>
      </c>
      <c r="H12628" t="str">
        <f>"94365"</f>
        <v>94365</v>
      </c>
      <c r="I12628">
        <v>1</v>
      </c>
      <c r="J12628">
        <v>36422</v>
      </c>
      <c r="K12628">
        <v>0</v>
      </c>
      <c r="L12628">
        <v>30958.7</v>
      </c>
    </row>
    <row r="12629" spans="1:12" x14ac:dyDescent="0.25">
      <c r="A12629" t="str">
        <f t="shared" si="2748"/>
        <v>89301000</v>
      </c>
      <c r="B12629" t="str">
        <f t="shared" si="2752"/>
        <v>44564000</v>
      </c>
      <c r="C12629" t="str">
        <f t="shared" si="2753"/>
        <v>44564006</v>
      </c>
      <c r="D12629" t="str">
        <f t="shared" si="2751"/>
        <v>816</v>
      </c>
      <c r="E12629" t="str">
        <f t="shared" si="2754"/>
        <v>89301212</v>
      </c>
      <c r="F12629" t="str">
        <f>"6557290575"</f>
        <v>6557290575</v>
      </c>
      <c r="G12629" s="1">
        <v>44712</v>
      </c>
      <c r="H12629" t="str">
        <f>"94365"</f>
        <v>94365</v>
      </c>
      <c r="I12629">
        <v>1</v>
      </c>
      <c r="J12629">
        <v>36422</v>
      </c>
      <c r="K12629">
        <v>0</v>
      </c>
      <c r="L12629">
        <v>30958.7</v>
      </c>
    </row>
    <row r="12630" spans="1:12" x14ac:dyDescent="0.25">
      <c r="A12630" t="str">
        <f t="shared" si="2748"/>
        <v>89301000</v>
      </c>
      <c r="B12630" t="str">
        <f t="shared" si="2752"/>
        <v>44564000</v>
      </c>
      <c r="C12630" t="str">
        <f t="shared" si="2753"/>
        <v>44564006</v>
      </c>
      <c r="D12630" t="str">
        <f t="shared" si="2751"/>
        <v>816</v>
      </c>
      <c r="E12630" t="str">
        <f t="shared" si="2754"/>
        <v>89301212</v>
      </c>
      <c r="F12630" t="str">
        <f>"505728251"</f>
        <v>505728251</v>
      </c>
      <c r="G12630" s="1">
        <v>44712</v>
      </c>
      <c r="H12630" t="str">
        <f>"94365"</f>
        <v>94365</v>
      </c>
      <c r="I12630">
        <v>1</v>
      </c>
      <c r="J12630">
        <v>36422</v>
      </c>
      <c r="K12630">
        <v>0</v>
      </c>
      <c r="L12630">
        <v>30958.7</v>
      </c>
    </row>
    <row r="12631" spans="1:12" x14ac:dyDescent="0.25">
      <c r="A12631" t="str">
        <f t="shared" si="2748"/>
        <v>89301000</v>
      </c>
      <c r="B12631" t="str">
        <f t="shared" si="2752"/>
        <v>44564000</v>
      </c>
      <c r="C12631" t="str">
        <f t="shared" si="2753"/>
        <v>44564006</v>
      </c>
      <c r="D12631" t="str">
        <f t="shared" si="2751"/>
        <v>816</v>
      </c>
      <c r="E12631" t="str">
        <f t="shared" si="2754"/>
        <v>89301212</v>
      </c>
      <c r="F12631" t="str">
        <f>"7901154481"</f>
        <v>7901154481</v>
      </c>
      <c r="G12631" s="1">
        <v>44683</v>
      </c>
      <c r="H12631" t="str">
        <f>"94223"</f>
        <v>94223</v>
      </c>
      <c r="I12631">
        <v>9</v>
      </c>
      <c r="J12631">
        <v>22077</v>
      </c>
      <c r="K12631">
        <v>0</v>
      </c>
      <c r="L12631">
        <v>18765.45</v>
      </c>
    </row>
    <row r="12632" spans="1:12" x14ac:dyDescent="0.25">
      <c r="A12632" t="str">
        <f t="shared" si="2748"/>
        <v>89301000</v>
      </c>
      <c r="B12632" t="str">
        <f t="shared" si="2752"/>
        <v>44564000</v>
      </c>
      <c r="C12632" t="str">
        <f t="shared" si="2753"/>
        <v>44564006</v>
      </c>
      <c r="D12632" t="str">
        <f t="shared" si="2751"/>
        <v>816</v>
      </c>
      <c r="E12632" t="str">
        <f t="shared" si="2754"/>
        <v>89301212</v>
      </c>
      <c r="F12632" t="str">
        <f>"7901154481"</f>
        <v>7901154481</v>
      </c>
      <c r="G12632" s="1">
        <v>44683</v>
      </c>
      <c r="H12632" t="str">
        <f>"94223"</f>
        <v>94223</v>
      </c>
      <c r="I12632">
        <v>1</v>
      </c>
      <c r="J12632">
        <v>2453</v>
      </c>
      <c r="K12632">
        <v>0</v>
      </c>
      <c r="L12632">
        <v>2085.0500000000002</v>
      </c>
    </row>
    <row r="12633" spans="1:12" x14ac:dyDescent="0.25">
      <c r="A12633" t="str">
        <f t="shared" si="2748"/>
        <v>89301000</v>
      </c>
      <c r="B12633" t="str">
        <f t="shared" si="2752"/>
        <v>44564000</v>
      </c>
      <c r="C12633" t="str">
        <f t="shared" si="2753"/>
        <v>44564006</v>
      </c>
      <c r="D12633" t="str">
        <f t="shared" si="2751"/>
        <v>816</v>
      </c>
      <c r="E12633" t="str">
        <f t="shared" si="2754"/>
        <v>89301212</v>
      </c>
      <c r="F12633" t="str">
        <f>"8156164456"</f>
        <v>8156164456</v>
      </c>
      <c r="G12633" s="1">
        <v>44718</v>
      </c>
      <c r="H12633" t="str">
        <f>"94223"</f>
        <v>94223</v>
      </c>
      <c r="I12633">
        <v>9</v>
      </c>
      <c r="J12633">
        <v>22077</v>
      </c>
      <c r="K12633">
        <v>0</v>
      </c>
      <c r="L12633">
        <v>18765.45</v>
      </c>
    </row>
    <row r="12634" spans="1:12" x14ac:dyDescent="0.25">
      <c r="A12634" t="str">
        <f t="shared" si="2748"/>
        <v>89301000</v>
      </c>
      <c r="B12634" t="str">
        <f t="shared" si="2752"/>
        <v>44564000</v>
      </c>
      <c r="C12634" t="str">
        <f t="shared" si="2753"/>
        <v>44564006</v>
      </c>
      <c r="D12634" t="str">
        <f t="shared" si="2751"/>
        <v>816</v>
      </c>
      <c r="E12634" t="str">
        <f t="shared" si="2754"/>
        <v>89301212</v>
      </c>
      <c r="F12634" t="str">
        <f>"8156164456"</f>
        <v>8156164456</v>
      </c>
      <c r="G12634" s="1">
        <v>44718</v>
      </c>
      <c r="H12634" t="str">
        <f>"94223"</f>
        <v>94223</v>
      </c>
      <c r="I12634">
        <v>1</v>
      </c>
      <c r="J12634">
        <v>2453</v>
      </c>
      <c r="K12634">
        <v>0</v>
      </c>
      <c r="L12634">
        <v>2085.0500000000002</v>
      </c>
    </row>
    <row r="12635" spans="1:12" x14ac:dyDescent="0.25">
      <c r="A12635" t="str">
        <f t="shared" si="2748"/>
        <v>89301000</v>
      </c>
      <c r="B12635" t="str">
        <f t="shared" ref="B12635:B12698" si="2755">"06539000"</f>
        <v>06539000</v>
      </c>
      <c r="C12635" t="str">
        <f t="shared" ref="C12635:C12662" si="2756">"06539003"</f>
        <v>06539003</v>
      </c>
      <c r="D12635" t="str">
        <f t="shared" ref="D12635:D12662" si="2757">"813"</f>
        <v>813</v>
      </c>
      <c r="E12635" t="str">
        <f t="shared" ref="E12635:E12666" si="2758">"89301171"</f>
        <v>89301171</v>
      </c>
      <c r="F12635" t="str">
        <f t="shared" ref="F12635:F12662" si="2759">"9811214017"</f>
        <v>9811214017</v>
      </c>
      <c r="G12635" s="1">
        <v>44881</v>
      </c>
      <c r="H12635" t="str">
        <f t="shared" ref="H12635:H12644" si="2760">"91413"</f>
        <v>91413</v>
      </c>
      <c r="I12635">
        <v>1</v>
      </c>
      <c r="J12635">
        <v>853</v>
      </c>
      <c r="K12635">
        <v>0</v>
      </c>
      <c r="L12635">
        <v>665.34</v>
      </c>
    </row>
    <row r="12636" spans="1:12" x14ac:dyDescent="0.25">
      <c r="A12636" t="str">
        <f t="shared" si="2748"/>
        <v>89301000</v>
      </c>
      <c r="B12636" t="str">
        <f t="shared" si="2755"/>
        <v>06539000</v>
      </c>
      <c r="C12636" t="str">
        <f t="shared" si="2756"/>
        <v>06539003</v>
      </c>
      <c r="D12636" t="str">
        <f t="shared" si="2757"/>
        <v>813</v>
      </c>
      <c r="E12636" t="str">
        <f t="shared" si="2758"/>
        <v>89301171</v>
      </c>
      <c r="F12636" t="str">
        <f t="shared" si="2759"/>
        <v>9811214017</v>
      </c>
      <c r="G12636" s="1">
        <v>44881</v>
      </c>
      <c r="H12636" t="str">
        <f t="shared" si="2760"/>
        <v>91413</v>
      </c>
      <c r="I12636">
        <v>1</v>
      </c>
      <c r="J12636">
        <v>853</v>
      </c>
      <c r="K12636">
        <v>0</v>
      </c>
      <c r="L12636">
        <v>665.34</v>
      </c>
    </row>
    <row r="12637" spans="1:12" x14ac:dyDescent="0.25">
      <c r="A12637" t="str">
        <f t="shared" si="2748"/>
        <v>89301000</v>
      </c>
      <c r="B12637" t="str">
        <f t="shared" si="2755"/>
        <v>06539000</v>
      </c>
      <c r="C12637" t="str">
        <f t="shared" si="2756"/>
        <v>06539003</v>
      </c>
      <c r="D12637" t="str">
        <f t="shared" si="2757"/>
        <v>813</v>
      </c>
      <c r="E12637" t="str">
        <f t="shared" si="2758"/>
        <v>89301171</v>
      </c>
      <c r="F12637" t="str">
        <f t="shared" si="2759"/>
        <v>9811214017</v>
      </c>
      <c r="G12637" s="1">
        <v>44894</v>
      </c>
      <c r="H12637" t="str">
        <f t="shared" si="2760"/>
        <v>91413</v>
      </c>
      <c r="I12637">
        <v>1</v>
      </c>
      <c r="J12637">
        <v>853</v>
      </c>
      <c r="K12637">
        <v>0</v>
      </c>
      <c r="L12637">
        <v>665.34</v>
      </c>
    </row>
    <row r="12638" spans="1:12" x14ac:dyDescent="0.25">
      <c r="A12638" t="str">
        <f t="shared" si="2748"/>
        <v>89301000</v>
      </c>
      <c r="B12638" t="str">
        <f t="shared" si="2755"/>
        <v>06539000</v>
      </c>
      <c r="C12638" t="str">
        <f t="shared" si="2756"/>
        <v>06539003</v>
      </c>
      <c r="D12638" t="str">
        <f t="shared" si="2757"/>
        <v>813</v>
      </c>
      <c r="E12638" t="str">
        <f t="shared" si="2758"/>
        <v>89301171</v>
      </c>
      <c r="F12638" t="str">
        <f t="shared" si="2759"/>
        <v>9811214017</v>
      </c>
      <c r="G12638" s="1">
        <v>44894</v>
      </c>
      <c r="H12638" t="str">
        <f t="shared" si="2760"/>
        <v>91413</v>
      </c>
      <c r="I12638">
        <v>1</v>
      </c>
      <c r="J12638">
        <v>853</v>
      </c>
      <c r="K12638">
        <v>0</v>
      </c>
      <c r="L12638">
        <v>665.34</v>
      </c>
    </row>
    <row r="12639" spans="1:12" x14ac:dyDescent="0.25">
      <c r="A12639" t="str">
        <f t="shared" si="2748"/>
        <v>89301000</v>
      </c>
      <c r="B12639" t="str">
        <f t="shared" si="2755"/>
        <v>06539000</v>
      </c>
      <c r="C12639" t="str">
        <f t="shared" si="2756"/>
        <v>06539003</v>
      </c>
      <c r="D12639" t="str">
        <f t="shared" si="2757"/>
        <v>813</v>
      </c>
      <c r="E12639" t="str">
        <f t="shared" si="2758"/>
        <v>89301171</v>
      </c>
      <c r="F12639" t="str">
        <f t="shared" si="2759"/>
        <v>9811214017</v>
      </c>
      <c r="G12639" s="1">
        <v>44893</v>
      </c>
      <c r="H12639" t="str">
        <f t="shared" si="2760"/>
        <v>91413</v>
      </c>
      <c r="I12639">
        <v>1</v>
      </c>
      <c r="J12639">
        <v>853</v>
      </c>
      <c r="K12639">
        <v>0</v>
      </c>
      <c r="L12639">
        <v>665.34</v>
      </c>
    </row>
    <row r="12640" spans="1:12" x14ac:dyDescent="0.25">
      <c r="A12640" t="str">
        <f t="shared" si="2748"/>
        <v>89301000</v>
      </c>
      <c r="B12640" t="str">
        <f t="shared" si="2755"/>
        <v>06539000</v>
      </c>
      <c r="C12640" t="str">
        <f t="shared" si="2756"/>
        <v>06539003</v>
      </c>
      <c r="D12640" t="str">
        <f t="shared" si="2757"/>
        <v>813</v>
      </c>
      <c r="E12640" t="str">
        <f t="shared" si="2758"/>
        <v>89301171</v>
      </c>
      <c r="F12640" t="str">
        <f t="shared" si="2759"/>
        <v>9811214017</v>
      </c>
      <c r="G12640" s="1">
        <v>44893</v>
      </c>
      <c r="H12640" t="str">
        <f t="shared" si="2760"/>
        <v>91413</v>
      </c>
      <c r="I12640">
        <v>1</v>
      </c>
      <c r="J12640">
        <v>853</v>
      </c>
      <c r="K12640">
        <v>0</v>
      </c>
      <c r="L12640">
        <v>665.34</v>
      </c>
    </row>
    <row r="12641" spans="1:12" x14ac:dyDescent="0.25">
      <c r="A12641" t="str">
        <f t="shared" si="2748"/>
        <v>89301000</v>
      </c>
      <c r="B12641" t="str">
        <f t="shared" si="2755"/>
        <v>06539000</v>
      </c>
      <c r="C12641" t="str">
        <f t="shared" si="2756"/>
        <v>06539003</v>
      </c>
      <c r="D12641" t="str">
        <f t="shared" si="2757"/>
        <v>813</v>
      </c>
      <c r="E12641" t="str">
        <f t="shared" si="2758"/>
        <v>89301171</v>
      </c>
      <c r="F12641" t="str">
        <f t="shared" si="2759"/>
        <v>9811214017</v>
      </c>
      <c r="G12641" s="1">
        <v>44896</v>
      </c>
      <c r="H12641" t="str">
        <f t="shared" si="2760"/>
        <v>91413</v>
      </c>
      <c r="I12641">
        <v>1</v>
      </c>
      <c r="J12641">
        <v>853</v>
      </c>
      <c r="K12641">
        <v>0</v>
      </c>
      <c r="L12641">
        <v>665.34</v>
      </c>
    </row>
    <row r="12642" spans="1:12" x14ac:dyDescent="0.25">
      <c r="A12642" t="str">
        <f t="shared" si="2748"/>
        <v>89301000</v>
      </c>
      <c r="B12642" t="str">
        <f t="shared" si="2755"/>
        <v>06539000</v>
      </c>
      <c r="C12642" t="str">
        <f t="shared" si="2756"/>
        <v>06539003</v>
      </c>
      <c r="D12642" t="str">
        <f t="shared" si="2757"/>
        <v>813</v>
      </c>
      <c r="E12642" t="str">
        <f t="shared" si="2758"/>
        <v>89301171</v>
      </c>
      <c r="F12642" t="str">
        <f t="shared" si="2759"/>
        <v>9811214017</v>
      </c>
      <c r="G12642" s="1">
        <v>44896</v>
      </c>
      <c r="H12642" t="str">
        <f t="shared" si="2760"/>
        <v>91413</v>
      </c>
      <c r="I12642">
        <v>1</v>
      </c>
      <c r="J12642">
        <v>853</v>
      </c>
      <c r="K12642">
        <v>0</v>
      </c>
      <c r="L12642">
        <v>665.34</v>
      </c>
    </row>
    <row r="12643" spans="1:12" x14ac:dyDescent="0.25">
      <c r="A12643" t="str">
        <f t="shared" si="2748"/>
        <v>89301000</v>
      </c>
      <c r="B12643" t="str">
        <f t="shared" si="2755"/>
        <v>06539000</v>
      </c>
      <c r="C12643" t="str">
        <f t="shared" si="2756"/>
        <v>06539003</v>
      </c>
      <c r="D12643" t="str">
        <f t="shared" si="2757"/>
        <v>813</v>
      </c>
      <c r="E12643" t="str">
        <f t="shared" si="2758"/>
        <v>89301171</v>
      </c>
      <c r="F12643" t="str">
        <f t="shared" si="2759"/>
        <v>9811214017</v>
      </c>
      <c r="G12643" s="1">
        <v>44896</v>
      </c>
      <c r="H12643" t="str">
        <f t="shared" si="2760"/>
        <v>91413</v>
      </c>
      <c r="I12643">
        <v>1</v>
      </c>
      <c r="J12643">
        <v>853</v>
      </c>
      <c r="K12643">
        <v>0</v>
      </c>
      <c r="L12643">
        <v>665.34</v>
      </c>
    </row>
    <row r="12644" spans="1:12" x14ac:dyDescent="0.25">
      <c r="A12644" t="str">
        <f t="shared" si="2748"/>
        <v>89301000</v>
      </c>
      <c r="B12644" t="str">
        <f t="shared" si="2755"/>
        <v>06539000</v>
      </c>
      <c r="C12644" t="str">
        <f t="shared" si="2756"/>
        <v>06539003</v>
      </c>
      <c r="D12644" t="str">
        <f t="shared" si="2757"/>
        <v>813</v>
      </c>
      <c r="E12644" t="str">
        <f t="shared" si="2758"/>
        <v>89301171</v>
      </c>
      <c r="F12644" t="str">
        <f t="shared" si="2759"/>
        <v>9811214017</v>
      </c>
      <c r="G12644" s="1">
        <v>44896</v>
      </c>
      <c r="H12644" t="str">
        <f t="shared" si="2760"/>
        <v>91413</v>
      </c>
      <c r="I12644">
        <v>1</v>
      </c>
      <c r="J12644">
        <v>853</v>
      </c>
      <c r="K12644">
        <v>0</v>
      </c>
      <c r="L12644">
        <v>665.34</v>
      </c>
    </row>
    <row r="12645" spans="1:12" x14ac:dyDescent="0.25">
      <c r="A12645" t="str">
        <f t="shared" si="2748"/>
        <v>89301000</v>
      </c>
      <c r="B12645" t="str">
        <f t="shared" si="2755"/>
        <v>06539000</v>
      </c>
      <c r="C12645" t="str">
        <f t="shared" si="2756"/>
        <v>06539003</v>
      </c>
      <c r="D12645" t="str">
        <f t="shared" si="2757"/>
        <v>813</v>
      </c>
      <c r="E12645" t="str">
        <f t="shared" si="2758"/>
        <v>89301171</v>
      </c>
      <c r="F12645" t="str">
        <f t="shared" si="2759"/>
        <v>9811214017</v>
      </c>
      <c r="G12645" s="1">
        <v>44879</v>
      </c>
      <c r="H12645" t="str">
        <f t="shared" ref="H12645:H12650" si="2761">"91197"</f>
        <v>91197</v>
      </c>
      <c r="I12645">
        <v>1</v>
      </c>
      <c r="J12645">
        <v>1046</v>
      </c>
      <c r="K12645">
        <v>0</v>
      </c>
      <c r="L12645">
        <v>815.88</v>
      </c>
    </row>
    <row r="12646" spans="1:12" x14ac:dyDescent="0.25">
      <c r="A12646" t="str">
        <f t="shared" si="2748"/>
        <v>89301000</v>
      </c>
      <c r="B12646" t="str">
        <f t="shared" si="2755"/>
        <v>06539000</v>
      </c>
      <c r="C12646" t="str">
        <f t="shared" si="2756"/>
        <v>06539003</v>
      </c>
      <c r="D12646" t="str">
        <f t="shared" si="2757"/>
        <v>813</v>
      </c>
      <c r="E12646" t="str">
        <f t="shared" si="2758"/>
        <v>89301171</v>
      </c>
      <c r="F12646" t="str">
        <f t="shared" si="2759"/>
        <v>9811214017</v>
      </c>
      <c r="G12646" s="1">
        <v>44879</v>
      </c>
      <c r="H12646" t="str">
        <f t="shared" si="2761"/>
        <v>91197</v>
      </c>
      <c r="I12646">
        <v>1</v>
      </c>
      <c r="J12646">
        <v>1046</v>
      </c>
      <c r="K12646">
        <v>0</v>
      </c>
      <c r="L12646">
        <v>815.88</v>
      </c>
    </row>
    <row r="12647" spans="1:12" x14ac:dyDescent="0.25">
      <c r="A12647" t="str">
        <f t="shared" si="2748"/>
        <v>89301000</v>
      </c>
      <c r="B12647" t="str">
        <f t="shared" si="2755"/>
        <v>06539000</v>
      </c>
      <c r="C12647" t="str">
        <f t="shared" si="2756"/>
        <v>06539003</v>
      </c>
      <c r="D12647" t="str">
        <f t="shared" si="2757"/>
        <v>813</v>
      </c>
      <c r="E12647" t="str">
        <f t="shared" si="2758"/>
        <v>89301171</v>
      </c>
      <c r="F12647" t="str">
        <f t="shared" si="2759"/>
        <v>9811214017</v>
      </c>
      <c r="G12647" s="1">
        <v>44878</v>
      </c>
      <c r="H12647" t="str">
        <f t="shared" si="2761"/>
        <v>91197</v>
      </c>
      <c r="I12647">
        <v>1</v>
      </c>
      <c r="J12647">
        <v>1046</v>
      </c>
      <c r="K12647">
        <v>0</v>
      </c>
      <c r="L12647">
        <v>815.88</v>
      </c>
    </row>
    <row r="12648" spans="1:12" x14ac:dyDescent="0.25">
      <c r="A12648" t="str">
        <f t="shared" si="2748"/>
        <v>89301000</v>
      </c>
      <c r="B12648" t="str">
        <f t="shared" si="2755"/>
        <v>06539000</v>
      </c>
      <c r="C12648" t="str">
        <f t="shared" si="2756"/>
        <v>06539003</v>
      </c>
      <c r="D12648" t="str">
        <f t="shared" si="2757"/>
        <v>813</v>
      </c>
      <c r="E12648" t="str">
        <f t="shared" si="2758"/>
        <v>89301171</v>
      </c>
      <c r="F12648" t="str">
        <f t="shared" si="2759"/>
        <v>9811214017</v>
      </c>
      <c r="G12648" s="1">
        <v>44878</v>
      </c>
      <c r="H12648" t="str">
        <f t="shared" si="2761"/>
        <v>91197</v>
      </c>
      <c r="I12648">
        <v>1</v>
      </c>
      <c r="J12648">
        <v>1046</v>
      </c>
      <c r="K12648">
        <v>0</v>
      </c>
      <c r="L12648">
        <v>815.88</v>
      </c>
    </row>
    <row r="12649" spans="1:12" x14ac:dyDescent="0.25">
      <c r="A12649" t="str">
        <f t="shared" si="2748"/>
        <v>89301000</v>
      </c>
      <c r="B12649" t="str">
        <f t="shared" si="2755"/>
        <v>06539000</v>
      </c>
      <c r="C12649" t="str">
        <f t="shared" si="2756"/>
        <v>06539003</v>
      </c>
      <c r="D12649" t="str">
        <f t="shared" si="2757"/>
        <v>813</v>
      </c>
      <c r="E12649" t="str">
        <f t="shared" si="2758"/>
        <v>89301171</v>
      </c>
      <c r="F12649" t="str">
        <f t="shared" si="2759"/>
        <v>9811214017</v>
      </c>
      <c r="G12649" s="1">
        <v>44877</v>
      </c>
      <c r="H12649" t="str">
        <f t="shared" si="2761"/>
        <v>91197</v>
      </c>
      <c r="I12649">
        <v>1</v>
      </c>
      <c r="J12649">
        <v>1046</v>
      </c>
      <c r="K12649">
        <v>0</v>
      </c>
      <c r="L12649">
        <v>815.88</v>
      </c>
    </row>
    <row r="12650" spans="1:12" x14ac:dyDescent="0.25">
      <c r="A12650" t="str">
        <f t="shared" si="2748"/>
        <v>89301000</v>
      </c>
      <c r="B12650" t="str">
        <f t="shared" si="2755"/>
        <v>06539000</v>
      </c>
      <c r="C12650" t="str">
        <f t="shared" si="2756"/>
        <v>06539003</v>
      </c>
      <c r="D12650" t="str">
        <f t="shared" si="2757"/>
        <v>813</v>
      </c>
      <c r="E12650" t="str">
        <f t="shared" si="2758"/>
        <v>89301171</v>
      </c>
      <c r="F12650" t="str">
        <f t="shared" si="2759"/>
        <v>9811214017</v>
      </c>
      <c r="G12650" s="1">
        <v>44877</v>
      </c>
      <c r="H12650" t="str">
        <f t="shared" si="2761"/>
        <v>91197</v>
      </c>
      <c r="I12650">
        <v>1</v>
      </c>
      <c r="J12650">
        <v>1046</v>
      </c>
      <c r="K12650">
        <v>0</v>
      </c>
      <c r="L12650">
        <v>815.88</v>
      </c>
    </row>
    <row r="12651" spans="1:12" x14ac:dyDescent="0.25">
      <c r="A12651" t="str">
        <f t="shared" si="2748"/>
        <v>89301000</v>
      </c>
      <c r="B12651" t="str">
        <f t="shared" si="2755"/>
        <v>06539000</v>
      </c>
      <c r="C12651" t="str">
        <f t="shared" si="2756"/>
        <v>06539003</v>
      </c>
      <c r="D12651" t="str">
        <f t="shared" si="2757"/>
        <v>813</v>
      </c>
      <c r="E12651" t="str">
        <f t="shared" si="2758"/>
        <v>89301171</v>
      </c>
      <c r="F12651" t="str">
        <f t="shared" si="2759"/>
        <v>9811214017</v>
      </c>
      <c r="G12651" s="1">
        <v>44896</v>
      </c>
      <c r="H12651" t="str">
        <f>"91329"</f>
        <v>91329</v>
      </c>
      <c r="I12651">
        <v>2</v>
      </c>
      <c r="J12651">
        <v>428</v>
      </c>
      <c r="K12651">
        <v>0</v>
      </c>
      <c r="L12651">
        <v>333.84</v>
      </c>
    </row>
    <row r="12652" spans="1:12" x14ac:dyDescent="0.25">
      <c r="A12652" t="str">
        <f t="shared" si="2748"/>
        <v>89301000</v>
      </c>
      <c r="B12652" t="str">
        <f t="shared" si="2755"/>
        <v>06539000</v>
      </c>
      <c r="C12652" t="str">
        <f t="shared" si="2756"/>
        <v>06539003</v>
      </c>
      <c r="D12652" t="str">
        <f t="shared" si="2757"/>
        <v>813</v>
      </c>
      <c r="E12652" t="str">
        <f t="shared" si="2758"/>
        <v>89301171</v>
      </c>
      <c r="F12652" t="str">
        <f t="shared" si="2759"/>
        <v>9811214017</v>
      </c>
      <c r="G12652" s="1">
        <v>44896</v>
      </c>
      <c r="H12652" t="str">
        <f>"91329"</f>
        <v>91329</v>
      </c>
      <c r="I12652">
        <v>2</v>
      </c>
      <c r="J12652">
        <v>428</v>
      </c>
      <c r="K12652">
        <v>0</v>
      </c>
      <c r="L12652">
        <v>333.84</v>
      </c>
    </row>
    <row r="12653" spans="1:12" x14ac:dyDescent="0.25">
      <c r="A12653" t="str">
        <f t="shared" si="2748"/>
        <v>89301000</v>
      </c>
      <c r="B12653" t="str">
        <f t="shared" si="2755"/>
        <v>06539000</v>
      </c>
      <c r="C12653" t="str">
        <f t="shared" si="2756"/>
        <v>06539003</v>
      </c>
      <c r="D12653" t="str">
        <f t="shared" si="2757"/>
        <v>813</v>
      </c>
      <c r="E12653" t="str">
        <f t="shared" si="2758"/>
        <v>89301171</v>
      </c>
      <c r="F12653" t="str">
        <f t="shared" si="2759"/>
        <v>9811214017</v>
      </c>
      <c r="G12653" s="1">
        <v>44896</v>
      </c>
      <c r="H12653" t="str">
        <f>"91329"</f>
        <v>91329</v>
      </c>
      <c r="I12653">
        <v>2</v>
      </c>
      <c r="J12653">
        <v>428</v>
      </c>
      <c r="K12653">
        <v>0</v>
      </c>
      <c r="L12653">
        <v>333.84</v>
      </c>
    </row>
    <row r="12654" spans="1:12" x14ac:dyDescent="0.25">
      <c r="A12654" t="str">
        <f t="shared" si="2748"/>
        <v>89301000</v>
      </c>
      <c r="B12654" t="str">
        <f t="shared" si="2755"/>
        <v>06539000</v>
      </c>
      <c r="C12654" t="str">
        <f t="shared" si="2756"/>
        <v>06539003</v>
      </c>
      <c r="D12654" t="str">
        <f t="shared" si="2757"/>
        <v>813</v>
      </c>
      <c r="E12654" t="str">
        <f t="shared" si="2758"/>
        <v>89301171</v>
      </c>
      <c r="F12654" t="str">
        <f t="shared" si="2759"/>
        <v>9811214017</v>
      </c>
      <c r="G12654" s="1">
        <v>44896</v>
      </c>
      <c r="H12654" t="str">
        <f>"91329"</f>
        <v>91329</v>
      </c>
      <c r="I12654">
        <v>2</v>
      </c>
      <c r="J12654">
        <v>428</v>
      </c>
      <c r="K12654">
        <v>0</v>
      </c>
      <c r="L12654">
        <v>333.84</v>
      </c>
    </row>
    <row r="12655" spans="1:12" x14ac:dyDescent="0.25">
      <c r="A12655" t="str">
        <f t="shared" si="2748"/>
        <v>89301000</v>
      </c>
      <c r="B12655" t="str">
        <f t="shared" si="2755"/>
        <v>06539000</v>
      </c>
      <c r="C12655" t="str">
        <f t="shared" si="2756"/>
        <v>06539003</v>
      </c>
      <c r="D12655" t="str">
        <f t="shared" si="2757"/>
        <v>813</v>
      </c>
      <c r="E12655" t="str">
        <f t="shared" si="2758"/>
        <v>89301171</v>
      </c>
      <c r="F12655" t="str">
        <f t="shared" si="2759"/>
        <v>9811214017</v>
      </c>
      <c r="G12655" s="1">
        <v>44879</v>
      </c>
      <c r="H12655" t="str">
        <f>"91129"</f>
        <v>91129</v>
      </c>
      <c r="I12655">
        <v>1</v>
      </c>
      <c r="J12655">
        <v>174</v>
      </c>
      <c r="K12655">
        <v>0</v>
      </c>
      <c r="L12655">
        <v>135.72</v>
      </c>
    </row>
    <row r="12656" spans="1:12" x14ac:dyDescent="0.25">
      <c r="A12656" t="str">
        <f t="shared" si="2748"/>
        <v>89301000</v>
      </c>
      <c r="B12656" t="str">
        <f t="shared" si="2755"/>
        <v>06539000</v>
      </c>
      <c r="C12656" t="str">
        <f t="shared" si="2756"/>
        <v>06539003</v>
      </c>
      <c r="D12656" t="str">
        <f t="shared" si="2757"/>
        <v>813</v>
      </c>
      <c r="E12656" t="str">
        <f t="shared" si="2758"/>
        <v>89301171</v>
      </c>
      <c r="F12656" t="str">
        <f t="shared" si="2759"/>
        <v>9811214017</v>
      </c>
      <c r="G12656" s="1">
        <v>44879</v>
      </c>
      <c r="H12656" t="str">
        <f>"91131"</f>
        <v>91131</v>
      </c>
      <c r="I12656">
        <v>1</v>
      </c>
      <c r="J12656">
        <v>171</v>
      </c>
      <c r="K12656">
        <v>0</v>
      </c>
      <c r="L12656">
        <v>133.38</v>
      </c>
    </row>
    <row r="12657" spans="1:12" x14ac:dyDescent="0.25">
      <c r="A12657" t="str">
        <f t="shared" si="2748"/>
        <v>89301000</v>
      </c>
      <c r="B12657" t="str">
        <f t="shared" si="2755"/>
        <v>06539000</v>
      </c>
      <c r="C12657" t="str">
        <f t="shared" si="2756"/>
        <v>06539003</v>
      </c>
      <c r="D12657" t="str">
        <f t="shared" si="2757"/>
        <v>813</v>
      </c>
      <c r="E12657" t="str">
        <f t="shared" si="2758"/>
        <v>89301171</v>
      </c>
      <c r="F12657" t="str">
        <f t="shared" si="2759"/>
        <v>9811214017</v>
      </c>
      <c r="G12657" s="1">
        <v>44879</v>
      </c>
      <c r="H12657" t="str">
        <f>"91133"</f>
        <v>91133</v>
      </c>
      <c r="I12657">
        <v>1</v>
      </c>
      <c r="J12657">
        <v>176</v>
      </c>
      <c r="K12657">
        <v>0</v>
      </c>
      <c r="L12657">
        <v>137.28</v>
      </c>
    </row>
    <row r="12658" spans="1:12" x14ac:dyDescent="0.25">
      <c r="A12658" t="str">
        <f t="shared" si="2748"/>
        <v>89301000</v>
      </c>
      <c r="B12658" t="str">
        <f t="shared" si="2755"/>
        <v>06539000</v>
      </c>
      <c r="C12658" t="str">
        <f t="shared" si="2756"/>
        <v>06539003</v>
      </c>
      <c r="D12658" t="str">
        <f t="shared" si="2757"/>
        <v>813</v>
      </c>
      <c r="E12658" t="str">
        <f t="shared" si="2758"/>
        <v>89301171</v>
      </c>
      <c r="F12658" t="str">
        <f t="shared" si="2759"/>
        <v>9811214017</v>
      </c>
      <c r="G12658" s="1">
        <v>44879</v>
      </c>
      <c r="H12658" t="str">
        <f>"91171"</f>
        <v>91171</v>
      </c>
      <c r="I12658">
        <v>1</v>
      </c>
      <c r="J12658">
        <v>360</v>
      </c>
      <c r="K12658">
        <v>0</v>
      </c>
      <c r="L12658">
        <v>280.8</v>
      </c>
    </row>
    <row r="12659" spans="1:12" x14ac:dyDescent="0.25">
      <c r="A12659" t="str">
        <f t="shared" si="2748"/>
        <v>89301000</v>
      </c>
      <c r="B12659" t="str">
        <f t="shared" si="2755"/>
        <v>06539000</v>
      </c>
      <c r="C12659" t="str">
        <f t="shared" si="2756"/>
        <v>06539003</v>
      </c>
      <c r="D12659" t="str">
        <f t="shared" si="2757"/>
        <v>813</v>
      </c>
      <c r="E12659" t="str">
        <f t="shared" si="2758"/>
        <v>89301171</v>
      </c>
      <c r="F12659" t="str">
        <f t="shared" si="2759"/>
        <v>9811214017</v>
      </c>
      <c r="G12659" s="1">
        <v>44879</v>
      </c>
      <c r="H12659" t="str">
        <f>"91175"</f>
        <v>91175</v>
      </c>
      <c r="I12659">
        <v>1</v>
      </c>
      <c r="J12659">
        <v>360</v>
      </c>
      <c r="K12659">
        <v>0</v>
      </c>
      <c r="L12659">
        <v>280.8</v>
      </c>
    </row>
    <row r="12660" spans="1:12" x14ac:dyDescent="0.25">
      <c r="A12660" t="str">
        <f t="shared" si="2748"/>
        <v>89301000</v>
      </c>
      <c r="B12660" t="str">
        <f t="shared" si="2755"/>
        <v>06539000</v>
      </c>
      <c r="C12660" t="str">
        <f t="shared" si="2756"/>
        <v>06539003</v>
      </c>
      <c r="D12660" t="str">
        <f t="shared" si="2757"/>
        <v>813</v>
      </c>
      <c r="E12660" t="str">
        <f t="shared" si="2758"/>
        <v>89301171</v>
      </c>
      <c r="F12660" t="str">
        <f t="shared" si="2759"/>
        <v>9811214017</v>
      </c>
      <c r="G12660" s="1">
        <v>44877</v>
      </c>
      <c r="H12660" t="str">
        <f>"91167"</f>
        <v>91167</v>
      </c>
      <c r="I12660">
        <v>1</v>
      </c>
      <c r="J12660">
        <v>425</v>
      </c>
      <c r="K12660">
        <v>0</v>
      </c>
      <c r="L12660">
        <v>331.5</v>
      </c>
    </row>
    <row r="12661" spans="1:12" x14ac:dyDescent="0.25">
      <c r="A12661" t="str">
        <f t="shared" si="2748"/>
        <v>89301000</v>
      </c>
      <c r="B12661" t="str">
        <f t="shared" si="2755"/>
        <v>06539000</v>
      </c>
      <c r="C12661" t="str">
        <f t="shared" si="2756"/>
        <v>06539003</v>
      </c>
      <c r="D12661" t="str">
        <f t="shared" si="2757"/>
        <v>813</v>
      </c>
      <c r="E12661" t="str">
        <f t="shared" si="2758"/>
        <v>89301171</v>
      </c>
      <c r="F12661" t="str">
        <f t="shared" si="2759"/>
        <v>9811214017</v>
      </c>
      <c r="G12661" s="1">
        <v>44877</v>
      </c>
      <c r="H12661" t="str">
        <f>"91169"</f>
        <v>91169</v>
      </c>
      <c r="I12661">
        <v>1</v>
      </c>
      <c r="J12661">
        <v>425</v>
      </c>
      <c r="K12661">
        <v>0</v>
      </c>
      <c r="L12661">
        <v>331.5</v>
      </c>
    </row>
    <row r="12662" spans="1:12" x14ac:dyDescent="0.25">
      <c r="A12662" t="str">
        <f t="shared" si="2748"/>
        <v>89301000</v>
      </c>
      <c r="B12662" t="str">
        <f t="shared" si="2755"/>
        <v>06539000</v>
      </c>
      <c r="C12662" t="str">
        <f t="shared" si="2756"/>
        <v>06539003</v>
      </c>
      <c r="D12662" t="str">
        <f t="shared" si="2757"/>
        <v>813</v>
      </c>
      <c r="E12662" t="str">
        <f t="shared" si="2758"/>
        <v>89301171</v>
      </c>
      <c r="F12662" t="str">
        <f t="shared" si="2759"/>
        <v>9811214017</v>
      </c>
      <c r="G12662" s="1">
        <v>44881</v>
      </c>
      <c r="H12662" t="str">
        <f>"91475"</f>
        <v>91475</v>
      </c>
      <c r="I12662">
        <v>1</v>
      </c>
      <c r="J12662">
        <v>206</v>
      </c>
      <c r="K12662">
        <v>0</v>
      </c>
      <c r="L12662">
        <v>160.68</v>
      </c>
    </row>
    <row r="12663" spans="1:12" x14ac:dyDescent="0.25">
      <c r="A12663" t="str">
        <f t="shared" si="2748"/>
        <v>89301000</v>
      </c>
      <c r="B12663" t="str">
        <f t="shared" si="2755"/>
        <v>06539000</v>
      </c>
      <c r="C12663" t="str">
        <f>"06539001"</f>
        <v>06539001</v>
      </c>
      <c r="D12663" t="str">
        <f>"801"</f>
        <v>801</v>
      </c>
      <c r="E12663" t="str">
        <f t="shared" si="2758"/>
        <v>89301171</v>
      </c>
      <c r="F12663" t="str">
        <f t="shared" ref="F12663:F12704" si="2762">"7802250896"</f>
        <v>7802250896</v>
      </c>
      <c r="G12663" s="1">
        <v>44883</v>
      </c>
      <c r="H12663" t="str">
        <f>"81329"</f>
        <v>81329</v>
      </c>
      <c r="I12663">
        <v>1</v>
      </c>
      <c r="J12663">
        <v>16</v>
      </c>
      <c r="K12663">
        <v>0</v>
      </c>
      <c r="L12663">
        <v>12.48</v>
      </c>
    </row>
    <row r="12664" spans="1:12" x14ac:dyDescent="0.25">
      <c r="A12664" t="str">
        <f t="shared" si="2748"/>
        <v>89301000</v>
      </c>
      <c r="B12664" t="str">
        <f t="shared" si="2755"/>
        <v>06539000</v>
      </c>
      <c r="C12664" t="str">
        <f>"06539001"</f>
        <v>06539001</v>
      </c>
      <c r="D12664" t="str">
        <f>"801"</f>
        <v>801</v>
      </c>
      <c r="E12664" t="str">
        <f t="shared" si="2758"/>
        <v>89301171</v>
      </c>
      <c r="F12664" t="str">
        <f t="shared" si="2762"/>
        <v>7802250896</v>
      </c>
      <c r="G12664" s="1">
        <v>44883</v>
      </c>
      <c r="H12664" t="str">
        <f>"81331"</f>
        <v>81331</v>
      </c>
      <c r="I12664">
        <v>1</v>
      </c>
      <c r="J12664">
        <v>193</v>
      </c>
      <c r="K12664">
        <v>0</v>
      </c>
      <c r="L12664">
        <v>150.54</v>
      </c>
    </row>
    <row r="12665" spans="1:12" x14ac:dyDescent="0.25">
      <c r="A12665" t="str">
        <f t="shared" si="2748"/>
        <v>89301000</v>
      </c>
      <c r="B12665" t="str">
        <f t="shared" si="2755"/>
        <v>06539000</v>
      </c>
      <c r="C12665" t="str">
        <f t="shared" ref="C12665:C12672" si="2763">"06539002"</f>
        <v>06539002</v>
      </c>
      <c r="D12665" t="str">
        <f t="shared" ref="D12665:D12672" si="2764">"802"</f>
        <v>802</v>
      </c>
      <c r="E12665" t="str">
        <f t="shared" si="2758"/>
        <v>89301171</v>
      </c>
      <c r="F12665" t="str">
        <f t="shared" si="2762"/>
        <v>7802250896</v>
      </c>
      <c r="G12665" s="1">
        <v>44883</v>
      </c>
      <c r="H12665" t="str">
        <f t="shared" ref="H12665:H12672" si="2765">"82097"</f>
        <v>82097</v>
      </c>
      <c r="I12665">
        <v>1</v>
      </c>
      <c r="J12665">
        <v>380</v>
      </c>
      <c r="K12665">
        <v>0</v>
      </c>
      <c r="L12665">
        <v>345.8</v>
      </c>
    </row>
    <row r="12666" spans="1:12" x14ac:dyDescent="0.25">
      <c r="A12666" t="str">
        <f t="shared" si="2748"/>
        <v>89301000</v>
      </c>
      <c r="B12666" t="str">
        <f t="shared" si="2755"/>
        <v>06539000</v>
      </c>
      <c r="C12666" t="str">
        <f t="shared" si="2763"/>
        <v>06539002</v>
      </c>
      <c r="D12666" t="str">
        <f t="shared" si="2764"/>
        <v>802</v>
      </c>
      <c r="E12666" t="str">
        <f t="shared" si="2758"/>
        <v>89301171</v>
      </c>
      <c r="F12666" t="str">
        <f t="shared" si="2762"/>
        <v>7802250896</v>
      </c>
      <c r="G12666" s="1">
        <v>44883</v>
      </c>
      <c r="H12666" t="str">
        <f t="shared" si="2765"/>
        <v>82097</v>
      </c>
      <c r="I12666">
        <v>1</v>
      </c>
      <c r="J12666">
        <v>380</v>
      </c>
      <c r="K12666">
        <v>0</v>
      </c>
      <c r="L12666">
        <v>345.8</v>
      </c>
    </row>
    <row r="12667" spans="1:12" x14ac:dyDescent="0.25">
      <c r="A12667" t="str">
        <f t="shared" si="2748"/>
        <v>89301000</v>
      </c>
      <c r="B12667" t="str">
        <f t="shared" si="2755"/>
        <v>06539000</v>
      </c>
      <c r="C12667" t="str">
        <f t="shared" si="2763"/>
        <v>06539002</v>
      </c>
      <c r="D12667" t="str">
        <f t="shared" si="2764"/>
        <v>802</v>
      </c>
      <c r="E12667" t="str">
        <f t="shared" ref="E12667:E12698" si="2766">"89301171"</f>
        <v>89301171</v>
      </c>
      <c r="F12667" t="str">
        <f t="shared" si="2762"/>
        <v>7802250896</v>
      </c>
      <c r="G12667" s="1">
        <v>44883</v>
      </c>
      <c r="H12667" t="str">
        <f t="shared" si="2765"/>
        <v>82097</v>
      </c>
      <c r="I12667">
        <v>1</v>
      </c>
      <c r="J12667">
        <v>380</v>
      </c>
      <c r="K12667">
        <v>0</v>
      </c>
      <c r="L12667">
        <v>345.8</v>
      </c>
    </row>
    <row r="12668" spans="1:12" x14ac:dyDescent="0.25">
      <c r="A12668" t="str">
        <f t="shared" si="2748"/>
        <v>89301000</v>
      </c>
      <c r="B12668" t="str">
        <f t="shared" si="2755"/>
        <v>06539000</v>
      </c>
      <c r="C12668" t="str">
        <f t="shared" si="2763"/>
        <v>06539002</v>
      </c>
      <c r="D12668" t="str">
        <f t="shared" si="2764"/>
        <v>802</v>
      </c>
      <c r="E12668" t="str">
        <f t="shared" si="2766"/>
        <v>89301171</v>
      </c>
      <c r="F12668" t="str">
        <f t="shared" si="2762"/>
        <v>7802250896</v>
      </c>
      <c r="G12668" s="1">
        <v>44883</v>
      </c>
      <c r="H12668" t="str">
        <f t="shared" si="2765"/>
        <v>82097</v>
      </c>
      <c r="I12668">
        <v>1</v>
      </c>
      <c r="J12668">
        <v>380</v>
      </c>
      <c r="K12668">
        <v>0</v>
      </c>
      <c r="L12668">
        <v>345.8</v>
      </c>
    </row>
    <row r="12669" spans="1:12" x14ac:dyDescent="0.25">
      <c r="A12669" t="str">
        <f t="shared" si="2748"/>
        <v>89301000</v>
      </c>
      <c r="B12669" t="str">
        <f t="shared" si="2755"/>
        <v>06539000</v>
      </c>
      <c r="C12669" t="str">
        <f t="shared" si="2763"/>
        <v>06539002</v>
      </c>
      <c r="D12669" t="str">
        <f t="shared" si="2764"/>
        <v>802</v>
      </c>
      <c r="E12669" t="str">
        <f t="shared" si="2766"/>
        <v>89301171</v>
      </c>
      <c r="F12669" t="str">
        <f t="shared" si="2762"/>
        <v>7802250896</v>
      </c>
      <c r="G12669" s="1">
        <v>44883</v>
      </c>
      <c r="H12669" t="str">
        <f t="shared" si="2765"/>
        <v>82097</v>
      </c>
      <c r="I12669">
        <v>1</v>
      </c>
      <c r="J12669">
        <v>380</v>
      </c>
      <c r="K12669">
        <v>0</v>
      </c>
      <c r="L12669">
        <v>345.8</v>
      </c>
    </row>
    <row r="12670" spans="1:12" x14ac:dyDescent="0.25">
      <c r="A12670" t="str">
        <f t="shared" si="2748"/>
        <v>89301000</v>
      </c>
      <c r="B12670" t="str">
        <f t="shared" si="2755"/>
        <v>06539000</v>
      </c>
      <c r="C12670" t="str">
        <f t="shared" si="2763"/>
        <v>06539002</v>
      </c>
      <c r="D12670" t="str">
        <f t="shared" si="2764"/>
        <v>802</v>
      </c>
      <c r="E12670" t="str">
        <f t="shared" si="2766"/>
        <v>89301171</v>
      </c>
      <c r="F12670" t="str">
        <f t="shared" si="2762"/>
        <v>7802250896</v>
      </c>
      <c r="G12670" s="1">
        <v>44883</v>
      </c>
      <c r="H12670" t="str">
        <f t="shared" si="2765"/>
        <v>82097</v>
      </c>
      <c r="I12670">
        <v>1</v>
      </c>
      <c r="J12670">
        <v>380</v>
      </c>
      <c r="K12670">
        <v>0</v>
      </c>
      <c r="L12670">
        <v>345.8</v>
      </c>
    </row>
    <row r="12671" spans="1:12" x14ac:dyDescent="0.25">
      <c r="A12671" t="str">
        <f t="shared" si="2748"/>
        <v>89301000</v>
      </c>
      <c r="B12671" t="str">
        <f t="shared" si="2755"/>
        <v>06539000</v>
      </c>
      <c r="C12671" t="str">
        <f t="shared" si="2763"/>
        <v>06539002</v>
      </c>
      <c r="D12671" t="str">
        <f t="shared" si="2764"/>
        <v>802</v>
      </c>
      <c r="E12671" t="str">
        <f t="shared" si="2766"/>
        <v>89301171</v>
      </c>
      <c r="F12671" t="str">
        <f t="shared" si="2762"/>
        <v>7802250896</v>
      </c>
      <c r="G12671" s="1">
        <v>44883</v>
      </c>
      <c r="H12671" t="str">
        <f t="shared" si="2765"/>
        <v>82097</v>
      </c>
      <c r="I12671">
        <v>1</v>
      </c>
      <c r="J12671">
        <v>380</v>
      </c>
      <c r="K12671">
        <v>0</v>
      </c>
      <c r="L12671">
        <v>345.8</v>
      </c>
    </row>
    <row r="12672" spans="1:12" x14ac:dyDescent="0.25">
      <c r="A12672" t="str">
        <f t="shared" si="2748"/>
        <v>89301000</v>
      </c>
      <c r="B12672" t="str">
        <f t="shared" si="2755"/>
        <v>06539000</v>
      </c>
      <c r="C12672" t="str">
        <f t="shared" si="2763"/>
        <v>06539002</v>
      </c>
      <c r="D12672" t="str">
        <f t="shared" si="2764"/>
        <v>802</v>
      </c>
      <c r="E12672" t="str">
        <f t="shared" si="2766"/>
        <v>89301171</v>
      </c>
      <c r="F12672" t="str">
        <f t="shared" si="2762"/>
        <v>7802250896</v>
      </c>
      <c r="G12672" s="1">
        <v>44883</v>
      </c>
      <c r="H12672" t="str">
        <f t="shared" si="2765"/>
        <v>82097</v>
      </c>
      <c r="I12672">
        <v>1</v>
      </c>
      <c r="J12672">
        <v>380</v>
      </c>
      <c r="K12672">
        <v>0</v>
      </c>
      <c r="L12672">
        <v>345.8</v>
      </c>
    </row>
    <row r="12673" spans="1:12" x14ac:dyDescent="0.25">
      <c r="A12673" t="str">
        <f t="shared" si="2748"/>
        <v>89301000</v>
      </c>
      <c r="B12673" t="str">
        <f t="shared" si="2755"/>
        <v>06539000</v>
      </c>
      <c r="C12673" t="str">
        <f t="shared" ref="C12673:C12704" si="2767">"06539003"</f>
        <v>06539003</v>
      </c>
      <c r="D12673" t="str">
        <f t="shared" ref="D12673:D12704" si="2768">"813"</f>
        <v>813</v>
      </c>
      <c r="E12673" t="str">
        <f t="shared" si="2766"/>
        <v>89301171</v>
      </c>
      <c r="F12673" t="str">
        <f t="shared" si="2762"/>
        <v>7802250896</v>
      </c>
      <c r="G12673" s="1">
        <v>44889</v>
      </c>
      <c r="H12673" t="str">
        <f t="shared" ref="H12673:H12682" si="2769">"91413"</f>
        <v>91413</v>
      </c>
      <c r="I12673">
        <v>1</v>
      </c>
      <c r="J12673">
        <v>853</v>
      </c>
      <c r="K12673">
        <v>0</v>
      </c>
      <c r="L12673">
        <v>665.34</v>
      </c>
    </row>
    <row r="12674" spans="1:12" x14ac:dyDescent="0.25">
      <c r="A12674" t="str">
        <f t="shared" ref="A12674:A12737" si="2770">"89301000"</f>
        <v>89301000</v>
      </c>
      <c r="B12674" t="str">
        <f t="shared" si="2755"/>
        <v>06539000</v>
      </c>
      <c r="C12674" t="str">
        <f t="shared" si="2767"/>
        <v>06539003</v>
      </c>
      <c r="D12674" t="str">
        <f t="shared" si="2768"/>
        <v>813</v>
      </c>
      <c r="E12674" t="str">
        <f t="shared" si="2766"/>
        <v>89301171</v>
      </c>
      <c r="F12674" t="str">
        <f t="shared" si="2762"/>
        <v>7802250896</v>
      </c>
      <c r="G12674" s="1">
        <v>44889</v>
      </c>
      <c r="H12674" t="str">
        <f t="shared" si="2769"/>
        <v>91413</v>
      </c>
      <c r="I12674">
        <v>1</v>
      </c>
      <c r="J12674">
        <v>853</v>
      </c>
      <c r="K12674">
        <v>0</v>
      </c>
      <c r="L12674">
        <v>665.34</v>
      </c>
    </row>
    <row r="12675" spans="1:12" x14ac:dyDescent="0.25">
      <c r="A12675" t="str">
        <f t="shared" si="2770"/>
        <v>89301000</v>
      </c>
      <c r="B12675" t="str">
        <f t="shared" si="2755"/>
        <v>06539000</v>
      </c>
      <c r="C12675" t="str">
        <f t="shared" si="2767"/>
        <v>06539003</v>
      </c>
      <c r="D12675" t="str">
        <f t="shared" si="2768"/>
        <v>813</v>
      </c>
      <c r="E12675" t="str">
        <f t="shared" si="2766"/>
        <v>89301171</v>
      </c>
      <c r="F12675" t="str">
        <f t="shared" si="2762"/>
        <v>7802250896</v>
      </c>
      <c r="G12675" s="1">
        <v>44901</v>
      </c>
      <c r="H12675" t="str">
        <f t="shared" si="2769"/>
        <v>91413</v>
      </c>
      <c r="I12675">
        <v>1</v>
      </c>
      <c r="J12675">
        <v>853</v>
      </c>
      <c r="K12675">
        <v>0</v>
      </c>
      <c r="L12675">
        <v>665.34</v>
      </c>
    </row>
    <row r="12676" spans="1:12" x14ac:dyDescent="0.25">
      <c r="A12676" t="str">
        <f t="shared" si="2770"/>
        <v>89301000</v>
      </c>
      <c r="B12676" t="str">
        <f t="shared" si="2755"/>
        <v>06539000</v>
      </c>
      <c r="C12676" t="str">
        <f t="shared" si="2767"/>
        <v>06539003</v>
      </c>
      <c r="D12676" t="str">
        <f t="shared" si="2768"/>
        <v>813</v>
      </c>
      <c r="E12676" t="str">
        <f t="shared" si="2766"/>
        <v>89301171</v>
      </c>
      <c r="F12676" t="str">
        <f t="shared" si="2762"/>
        <v>7802250896</v>
      </c>
      <c r="G12676" s="1">
        <v>44901</v>
      </c>
      <c r="H12676" t="str">
        <f t="shared" si="2769"/>
        <v>91413</v>
      </c>
      <c r="I12676">
        <v>1</v>
      </c>
      <c r="J12676">
        <v>853</v>
      </c>
      <c r="K12676">
        <v>0</v>
      </c>
      <c r="L12676">
        <v>665.34</v>
      </c>
    </row>
    <row r="12677" spans="1:12" x14ac:dyDescent="0.25">
      <c r="A12677" t="str">
        <f t="shared" si="2770"/>
        <v>89301000</v>
      </c>
      <c r="B12677" t="str">
        <f t="shared" si="2755"/>
        <v>06539000</v>
      </c>
      <c r="C12677" t="str">
        <f t="shared" si="2767"/>
        <v>06539003</v>
      </c>
      <c r="D12677" t="str">
        <f t="shared" si="2768"/>
        <v>813</v>
      </c>
      <c r="E12677" t="str">
        <f t="shared" si="2766"/>
        <v>89301171</v>
      </c>
      <c r="F12677" t="str">
        <f t="shared" si="2762"/>
        <v>7802250896</v>
      </c>
      <c r="G12677" s="1">
        <v>44900</v>
      </c>
      <c r="H12677" t="str">
        <f t="shared" si="2769"/>
        <v>91413</v>
      </c>
      <c r="I12677">
        <v>1</v>
      </c>
      <c r="J12677">
        <v>853</v>
      </c>
      <c r="K12677">
        <v>0</v>
      </c>
      <c r="L12677">
        <v>665.34</v>
      </c>
    </row>
    <row r="12678" spans="1:12" x14ac:dyDescent="0.25">
      <c r="A12678" t="str">
        <f t="shared" si="2770"/>
        <v>89301000</v>
      </c>
      <c r="B12678" t="str">
        <f t="shared" si="2755"/>
        <v>06539000</v>
      </c>
      <c r="C12678" t="str">
        <f t="shared" si="2767"/>
        <v>06539003</v>
      </c>
      <c r="D12678" t="str">
        <f t="shared" si="2768"/>
        <v>813</v>
      </c>
      <c r="E12678" t="str">
        <f t="shared" si="2766"/>
        <v>89301171</v>
      </c>
      <c r="F12678" t="str">
        <f t="shared" si="2762"/>
        <v>7802250896</v>
      </c>
      <c r="G12678" s="1">
        <v>44900</v>
      </c>
      <c r="H12678" t="str">
        <f t="shared" si="2769"/>
        <v>91413</v>
      </c>
      <c r="I12678">
        <v>1</v>
      </c>
      <c r="J12678">
        <v>853</v>
      </c>
      <c r="K12678">
        <v>0</v>
      </c>
      <c r="L12678">
        <v>665.34</v>
      </c>
    </row>
    <row r="12679" spans="1:12" x14ac:dyDescent="0.25">
      <c r="A12679" t="str">
        <f t="shared" si="2770"/>
        <v>89301000</v>
      </c>
      <c r="B12679" t="str">
        <f t="shared" si="2755"/>
        <v>06539000</v>
      </c>
      <c r="C12679" t="str">
        <f t="shared" si="2767"/>
        <v>06539003</v>
      </c>
      <c r="D12679" t="str">
        <f t="shared" si="2768"/>
        <v>813</v>
      </c>
      <c r="E12679" t="str">
        <f t="shared" si="2766"/>
        <v>89301171</v>
      </c>
      <c r="F12679" t="str">
        <f t="shared" si="2762"/>
        <v>7802250896</v>
      </c>
      <c r="G12679" s="1">
        <v>44902</v>
      </c>
      <c r="H12679" t="str">
        <f t="shared" si="2769"/>
        <v>91413</v>
      </c>
      <c r="I12679">
        <v>1</v>
      </c>
      <c r="J12679">
        <v>853</v>
      </c>
      <c r="K12679">
        <v>0</v>
      </c>
      <c r="L12679">
        <v>665.34</v>
      </c>
    </row>
    <row r="12680" spans="1:12" x14ac:dyDescent="0.25">
      <c r="A12680" t="str">
        <f t="shared" si="2770"/>
        <v>89301000</v>
      </c>
      <c r="B12680" t="str">
        <f t="shared" si="2755"/>
        <v>06539000</v>
      </c>
      <c r="C12680" t="str">
        <f t="shared" si="2767"/>
        <v>06539003</v>
      </c>
      <c r="D12680" t="str">
        <f t="shared" si="2768"/>
        <v>813</v>
      </c>
      <c r="E12680" t="str">
        <f t="shared" si="2766"/>
        <v>89301171</v>
      </c>
      <c r="F12680" t="str">
        <f t="shared" si="2762"/>
        <v>7802250896</v>
      </c>
      <c r="G12680" s="1">
        <v>44902</v>
      </c>
      <c r="H12680" t="str">
        <f t="shared" si="2769"/>
        <v>91413</v>
      </c>
      <c r="I12680">
        <v>1</v>
      </c>
      <c r="J12680">
        <v>853</v>
      </c>
      <c r="K12680">
        <v>0</v>
      </c>
      <c r="L12680">
        <v>665.34</v>
      </c>
    </row>
    <row r="12681" spans="1:12" x14ac:dyDescent="0.25">
      <c r="A12681" t="str">
        <f t="shared" si="2770"/>
        <v>89301000</v>
      </c>
      <c r="B12681" t="str">
        <f t="shared" si="2755"/>
        <v>06539000</v>
      </c>
      <c r="C12681" t="str">
        <f t="shared" si="2767"/>
        <v>06539003</v>
      </c>
      <c r="D12681" t="str">
        <f t="shared" si="2768"/>
        <v>813</v>
      </c>
      <c r="E12681" t="str">
        <f t="shared" si="2766"/>
        <v>89301171</v>
      </c>
      <c r="F12681" t="str">
        <f t="shared" si="2762"/>
        <v>7802250896</v>
      </c>
      <c r="G12681" s="1">
        <v>44902</v>
      </c>
      <c r="H12681" t="str">
        <f t="shared" si="2769"/>
        <v>91413</v>
      </c>
      <c r="I12681">
        <v>1</v>
      </c>
      <c r="J12681">
        <v>853</v>
      </c>
      <c r="K12681">
        <v>0</v>
      </c>
      <c r="L12681">
        <v>665.34</v>
      </c>
    </row>
    <row r="12682" spans="1:12" x14ac:dyDescent="0.25">
      <c r="A12682" t="str">
        <f t="shared" si="2770"/>
        <v>89301000</v>
      </c>
      <c r="B12682" t="str">
        <f t="shared" si="2755"/>
        <v>06539000</v>
      </c>
      <c r="C12682" t="str">
        <f t="shared" si="2767"/>
        <v>06539003</v>
      </c>
      <c r="D12682" t="str">
        <f t="shared" si="2768"/>
        <v>813</v>
      </c>
      <c r="E12682" t="str">
        <f t="shared" si="2766"/>
        <v>89301171</v>
      </c>
      <c r="F12682" t="str">
        <f t="shared" si="2762"/>
        <v>7802250896</v>
      </c>
      <c r="G12682" s="1">
        <v>44902</v>
      </c>
      <c r="H12682" t="str">
        <f t="shared" si="2769"/>
        <v>91413</v>
      </c>
      <c r="I12682">
        <v>1</v>
      </c>
      <c r="J12682">
        <v>853</v>
      </c>
      <c r="K12682">
        <v>0</v>
      </c>
      <c r="L12682">
        <v>665.34</v>
      </c>
    </row>
    <row r="12683" spans="1:12" x14ac:dyDescent="0.25">
      <c r="A12683" t="str">
        <f t="shared" si="2770"/>
        <v>89301000</v>
      </c>
      <c r="B12683" t="str">
        <f t="shared" si="2755"/>
        <v>06539000</v>
      </c>
      <c r="C12683" t="str">
        <f t="shared" si="2767"/>
        <v>06539003</v>
      </c>
      <c r="D12683" t="str">
        <f t="shared" si="2768"/>
        <v>813</v>
      </c>
      <c r="E12683" t="str">
        <f t="shared" si="2766"/>
        <v>89301171</v>
      </c>
      <c r="F12683" t="str">
        <f t="shared" si="2762"/>
        <v>7802250896</v>
      </c>
      <c r="G12683" s="1">
        <v>44883</v>
      </c>
      <c r="H12683" t="str">
        <f t="shared" ref="H12683:H12689" si="2771">"91197"</f>
        <v>91197</v>
      </c>
      <c r="I12683">
        <v>1</v>
      </c>
      <c r="J12683">
        <v>1046</v>
      </c>
      <c r="K12683">
        <v>0</v>
      </c>
      <c r="L12683">
        <v>815.88</v>
      </c>
    </row>
    <row r="12684" spans="1:12" x14ac:dyDescent="0.25">
      <c r="A12684" t="str">
        <f t="shared" si="2770"/>
        <v>89301000</v>
      </c>
      <c r="B12684" t="str">
        <f t="shared" si="2755"/>
        <v>06539000</v>
      </c>
      <c r="C12684" t="str">
        <f t="shared" si="2767"/>
        <v>06539003</v>
      </c>
      <c r="D12684" t="str">
        <f t="shared" si="2768"/>
        <v>813</v>
      </c>
      <c r="E12684" t="str">
        <f t="shared" si="2766"/>
        <v>89301171</v>
      </c>
      <c r="F12684" t="str">
        <f t="shared" si="2762"/>
        <v>7802250896</v>
      </c>
      <c r="G12684" s="1">
        <v>44886</v>
      </c>
      <c r="H12684" t="str">
        <f t="shared" si="2771"/>
        <v>91197</v>
      </c>
      <c r="I12684">
        <v>1</v>
      </c>
      <c r="J12684">
        <v>1046</v>
      </c>
      <c r="K12684">
        <v>0</v>
      </c>
      <c r="L12684">
        <v>815.88</v>
      </c>
    </row>
    <row r="12685" spans="1:12" x14ac:dyDescent="0.25">
      <c r="A12685" t="str">
        <f t="shared" si="2770"/>
        <v>89301000</v>
      </c>
      <c r="B12685" t="str">
        <f t="shared" si="2755"/>
        <v>06539000</v>
      </c>
      <c r="C12685" t="str">
        <f t="shared" si="2767"/>
        <v>06539003</v>
      </c>
      <c r="D12685" t="str">
        <f t="shared" si="2768"/>
        <v>813</v>
      </c>
      <c r="E12685" t="str">
        <f t="shared" si="2766"/>
        <v>89301171</v>
      </c>
      <c r="F12685" t="str">
        <f t="shared" si="2762"/>
        <v>7802250896</v>
      </c>
      <c r="G12685" s="1">
        <v>44886</v>
      </c>
      <c r="H12685" t="str">
        <f t="shared" si="2771"/>
        <v>91197</v>
      </c>
      <c r="I12685">
        <v>1</v>
      </c>
      <c r="J12685">
        <v>1046</v>
      </c>
      <c r="K12685">
        <v>0</v>
      </c>
      <c r="L12685">
        <v>815.88</v>
      </c>
    </row>
    <row r="12686" spans="1:12" x14ac:dyDescent="0.25">
      <c r="A12686" t="str">
        <f t="shared" si="2770"/>
        <v>89301000</v>
      </c>
      <c r="B12686" t="str">
        <f t="shared" si="2755"/>
        <v>06539000</v>
      </c>
      <c r="C12686" t="str">
        <f t="shared" si="2767"/>
        <v>06539003</v>
      </c>
      <c r="D12686" t="str">
        <f t="shared" si="2768"/>
        <v>813</v>
      </c>
      <c r="E12686" t="str">
        <f t="shared" si="2766"/>
        <v>89301171</v>
      </c>
      <c r="F12686" t="str">
        <f t="shared" si="2762"/>
        <v>7802250896</v>
      </c>
      <c r="G12686" s="1">
        <v>44885</v>
      </c>
      <c r="H12686" t="str">
        <f t="shared" si="2771"/>
        <v>91197</v>
      </c>
      <c r="I12686">
        <v>1</v>
      </c>
      <c r="J12686">
        <v>1046</v>
      </c>
      <c r="K12686">
        <v>0</v>
      </c>
      <c r="L12686">
        <v>815.88</v>
      </c>
    </row>
    <row r="12687" spans="1:12" x14ac:dyDescent="0.25">
      <c r="A12687" t="str">
        <f t="shared" si="2770"/>
        <v>89301000</v>
      </c>
      <c r="B12687" t="str">
        <f t="shared" si="2755"/>
        <v>06539000</v>
      </c>
      <c r="C12687" t="str">
        <f t="shared" si="2767"/>
        <v>06539003</v>
      </c>
      <c r="D12687" t="str">
        <f t="shared" si="2768"/>
        <v>813</v>
      </c>
      <c r="E12687" t="str">
        <f t="shared" si="2766"/>
        <v>89301171</v>
      </c>
      <c r="F12687" t="str">
        <f t="shared" si="2762"/>
        <v>7802250896</v>
      </c>
      <c r="G12687" s="1">
        <v>44885</v>
      </c>
      <c r="H12687" t="str">
        <f t="shared" si="2771"/>
        <v>91197</v>
      </c>
      <c r="I12687">
        <v>1</v>
      </c>
      <c r="J12687">
        <v>1046</v>
      </c>
      <c r="K12687">
        <v>0</v>
      </c>
      <c r="L12687">
        <v>815.88</v>
      </c>
    </row>
    <row r="12688" spans="1:12" x14ac:dyDescent="0.25">
      <c r="A12688" t="str">
        <f t="shared" si="2770"/>
        <v>89301000</v>
      </c>
      <c r="B12688" t="str">
        <f t="shared" si="2755"/>
        <v>06539000</v>
      </c>
      <c r="C12688" t="str">
        <f t="shared" si="2767"/>
        <v>06539003</v>
      </c>
      <c r="D12688" t="str">
        <f t="shared" si="2768"/>
        <v>813</v>
      </c>
      <c r="E12688" t="str">
        <f t="shared" si="2766"/>
        <v>89301171</v>
      </c>
      <c r="F12688" t="str">
        <f t="shared" si="2762"/>
        <v>7802250896</v>
      </c>
      <c r="G12688" s="1">
        <v>44884</v>
      </c>
      <c r="H12688" t="str">
        <f t="shared" si="2771"/>
        <v>91197</v>
      </c>
      <c r="I12688">
        <v>1</v>
      </c>
      <c r="J12688">
        <v>1046</v>
      </c>
      <c r="K12688">
        <v>0</v>
      </c>
      <c r="L12688">
        <v>815.88</v>
      </c>
    </row>
    <row r="12689" spans="1:12" x14ac:dyDescent="0.25">
      <c r="A12689" t="str">
        <f t="shared" si="2770"/>
        <v>89301000</v>
      </c>
      <c r="B12689" t="str">
        <f t="shared" si="2755"/>
        <v>06539000</v>
      </c>
      <c r="C12689" t="str">
        <f t="shared" si="2767"/>
        <v>06539003</v>
      </c>
      <c r="D12689" t="str">
        <f t="shared" si="2768"/>
        <v>813</v>
      </c>
      <c r="E12689" t="str">
        <f t="shared" si="2766"/>
        <v>89301171</v>
      </c>
      <c r="F12689" t="str">
        <f t="shared" si="2762"/>
        <v>7802250896</v>
      </c>
      <c r="G12689" s="1">
        <v>44884</v>
      </c>
      <c r="H12689" t="str">
        <f t="shared" si="2771"/>
        <v>91197</v>
      </c>
      <c r="I12689">
        <v>1</v>
      </c>
      <c r="J12689">
        <v>1046</v>
      </c>
      <c r="K12689">
        <v>0</v>
      </c>
      <c r="L12689">
        <v>815.88</v>
      </c>
    </row>
    <row r="12690" spans="1:12" x14ac:dyDescent="0.25">
      <c r="A12690" t="str">
        <f t="shared" si="2770"/>
        <v>89301000</v>
      </c>
      <c r="B12690" t="str">
        <f t="shared" si="2755"/>
        <v>06539000</v>
      </c>
      <c r="C12690" t="str">
        <f t="shared" si="2767"/>
        <v>06539003</v>
      </c>
      <c r="D12690" t="str">
        <f t="shared" si="2768"/>
        <v>813</v>
      </c>
      <c r="E12690" t="str">
        <f t="shared" si="2766"/>
        <v>89301171</v>
      </c>
      <c r="F12690" t="str">
        <f t="shared" si="2762"/>
        <v>7802250896</v>
      </c>
      <c r="G12690" s="1">
        <v>44886</v>
      </c>
      <c r="H12690" t="str">
        <f>"91329"</f>
        <v>91329</v>
      </c>
      <c r="I12690">
        <v>2</v>
      </c>
      <c r="J12690">
        <v>428</v>
      </c>
      <c r="K12690">
        <v>0</v>
      </c>
      <c r="L12690">
        <v>333.84</v>
      </c>
    </row>
    <row r="12691" spans="1:12" x14ac:dyDescent="0.25">
      <c r="A12691" t="str">
        <f t="shared" si="2770"/>
        <v>89301000</v>
      </c>
      <c r="B12691" t="str">
        <f t="shared" si="2755"/>
        <v>06539000</v>
      </c>
      <c r="C12691" t="str">
        <f t="shared" si="2767"/>
        <v>06539003</v>
      </c>
      <c r="D12691" t="str">
        <f t="shared" si="2768"/>
        <v>813</v>
      </c>
      <c r="E12691" t="str">
        <f t="shared" si="2766"/>
        <v>89301171</v>
      </c>
      <c r="F12691" t="str">
        <f t="shared" si="2762"/>
        <v>7802250896</v>
      </c>
      <c r="G12691" s="1">
        <v>44886</v>
      </c>
      <c r="H12691" t="str">
        <f>"91329"</f>
        <v>91329</v>
      </c>
      <c r="I12691">
        <v>2</v>
      </c>
      <c r="J12691">
        <v>428</v>
      </c>
      <c r="K12691">
        <v>0</v>
      </c>
      <c r="L12691">
        <v>333.84</v>
      </c>
    </row>
    <row r="12692" spans="1:12" x14ac:dyDescent="0.25">
      <c r="A12692" t="str">
        <f t="shared" si="2770"/>
        <v>89301000</v>
      </c>
      <c r="B12692" t="str">
        <f t="shared" si="2755"/>
        <v>06539000</v>
      </c>
      <c r="C12692" t="str">
        <f t="shared" si="2767"/>
        <v>06539003</v>
      </c>
      <c r="D12692" t="str">
        <f t="shared" si="2768"/>
        <v>813</v>
      </c>
      <c r="E12692" t="str">
        <f t="shared" si="2766"/>
        <v>89301171</v>
      </c>
      <c r="F12692" t="str">
        <f t="shared" si="2762"/>
        <v>7802250896</v>
      </c>
      <c r="G12692" s="1">
        <v>44886</v>
      </c>
      <c r="H12692" t="str">
        <f>"91329"</f>
        <v>91329</v>
      </c>
      <c r="I12692">
        <v>2</v>
      </c>
      <c r="J12692">
        <v>428</v>
      </c>
      <c r="K12692">
        <v>0</v>
      </c>
      <c r="L12692">
        <v>333.84</v>
      </c>
    </row>
    <row r="12693" spans="1:12" x14ac:dyDescent="0.25">
      <c r="A12693" t="str">
        <f t="shared" si="2770"/>
        <v>89301000</v>
      </c>
      <c r="B12693" t="str">
        <f t="shared" si="2755"/>
        <v>06539000</v>
      </c>
      <c r="C12693" t="str">
        <f t="shared" si="2767"/>
        <v>06539003</v>
      </c>
      <c r="D12693" t="str">
        <f t="shared" si="2768"/>
        <v>813</v>
      </c>
      <c r="E12693" t="str">
        <f t="shared" si="2766"/>
        <v>89301171</v>
      </c>
      <c r="F12693" t="str">
        <f t="shared" si="2762"/>
        <v>7802250896</v>
      </c>
      <c r="G12693" s="1">
        <v>44886</v>
      </c>
      <c r="H12693" t="str">
        <f>"91329"</f>
        <v>91329</v>
      </c>
      <c r="I12693">
        <v>2</v>
      </c>
      <c r="J12693">
        <v>428</v>
      </c>
      <c r="K12693">
        <v>0</v>
      </c>
      <c r="L12693">
        <v>333.84</v>
      </c>
    </row>
    <row r="12694" spans="1:12" x14ac:dyDescent="0.25">
      <c r="A12694" t="str">
        <f t="shared" si="2770"/>
        <v>89301000</v>
      </c>
      <c r="B12694" t="str">
        <f t="shared" si="2755"/>
        <v>06539000</v>
      </c>
      <c r="C12694" t="str">
        <f t="shared" si="2767"/>
        <v>06539003</v>
      </c>
      <c r="D12694" t="str">
        <f t="shared" si="2768"/>
        <v>813</v>
      </c>
      <c r="E12694" t="str">
        <f t="shared" si="2766"/>
        <v>89301171</v>
      </c>
      <c r="F12694" t="str">
        <f t="shared" si="2762"/>
        <v>7802250896</v>
      </c>
      <c r="G12694" s="1">
        <v>44886</v>
      </c>
      <c r="H12694" t="str">
        <f>"91129"</f>
        <v>91129</v>
      </c>
      <c r="I12694">
        <v>1</v>
      </c>
      <c r="J12694">
        <v>174</v>
      </c>
      <c r="K12694">
        <v>0</v>
      </c>
      <c r="L12694">
        <v>135.72</v>
      </c>
    </row>
    <row r="12695" spans="1:12" x14ac:dyDescent="0.25">
      <c r="A12695" t="str">
        <f t="shared" si="2770"/>
        <v>89301000</v>
      </c>
      <c r="B12695" t="str">
        <f t="shared" si="2755"/>
        <v>06539000</v>
      </c>
      <c r="C12695" t="str">
        <f t="shared" si="2767"/>
        <v>06539003</v>
      </c>
      <c r="D12695" t="str">
        <f t="shared" si="2768"/>
        <v>813</v>
      </c>
      <c r="E12695" t="str">
        <f t="shared" si="2766"/>
        <v>89301171</v>
      </c>
      <c r="F12695" t="str">
        <f t="shared" si="2762"/>
        <v>7802250896</v>
      </c>
      <c r="G12695" s="1">
        <v>44886</v>
      </c>
      <c r="H12695" t="str">
        <f>"91131"</f>
        <v>91131</v>
      </c>
      <c r="I12695">
        <v>1</v>
      </c>
      <c r="J12695">
        <v>171</v>
      </c>
      <c r="K12695">
        <v>0</v>
      </c>
      <c r="L12695">
        <v>133.38</v>
      </c>
    </row>
    <row r="12696" spans="1:12" x14ac:dyDescent="0.25">
      <c r="A12696" t="str">
        <f t="shared" si="2770"/>
        <v>89301000</v>
      </c>
      <c r="B12696" t="str">
        <f t="shared" si="2755"/>
        <v>06539000</v>
      </c>
      <c r="C12696" t="str">
        <f t="shared" si="2767"/>
        <v>06539003</v>
      </c>
      <c r="D12696" t="str">
        <f t="shared" si="2768"/>
        <v>813</v>
      </c>
      <c r="E12696" t="str">
        <f t="shared" si="2766"/>
        <v>89301171</v>
      </c>
      <c r="F12696" t="str">
        <f t="shared" si="2762"/>
        <v>7802250896</v>
      </c>
      <c r="G12696" s="1">
        <v>44886</v>
      </c>
      <c r="H12696" t="str">
        <f>"91133"</f>
        <v>91133</v>
      </c>
      <c r="I12696">
        <v>1</v>
      </c>
      <c r="J12696">
        <v>176</v>
      </c>
      <c r="K12696">
        <v>0</v>
      </c>
      <c r="L12696">
        <v>137.28</v>
      </c>
    </row>
    <row r="12697" spans="1:12" x14ac:dyDescent="0.25">
      <c r="A12697" t="str">
        <f t="shared" si="2770"/>
        <v>89301000</v>
      </c>
      <c r="B12697" t="str">
        <f t="shared" si="2755"/>
        <v>06539000</v>
      </c>
      <c r="C12697" t="str">
        <f t="shared" si="2767"/>
        <v>06539003</v>
      </c>
      <c r="D12697" t="str">
        <f t="shared" si="2768"/>
        <v>813</v>
      </c>
      <c r="E12697" t="str">
        <f t="shared" si="2766"/>
        <v>89301171</v>
      </c>
      <c r="F12697" t="str">
        <f t="shared" si="2762"/>
        <v>7802250896</v>
      </c>
      <c r="G12697" s="1">
        <v>44886</v>
      </c>
      <c r="H12697" t="str">
        <f>"91171"</f>
        <v>91171</v>
      </c>
      <c r="I12697">
        <v>1</v>
      </c>
      <c r="J12697">
        <v>360</v>
      </c>
      <c r="K12697">
        <v>0</v>
      </c>
      <c r="L12697">
        <v>280.8</v>
      </c>
    </row>
    <row r="12698" spans="1:12" x14ac:dyDescent="0.25">
      <c r="A12698" t="str">
        <f t="shared" si="2770"/>
        <v>89301000</v>
      </c>
      <c r="B12698" t="str">
        <f t="shared" si="2755"/>
        <v>06539000</v>
      </c>
      <c r="C12698" t="str">
        <f t="shared" si="2767"/>
        <v>06539003</v>
      </c>
      <c r="D12698" t="str">
        <f t="shared" si="2768"/>
        <v>813</v>
      </c>
      <c r="E12698" t="str">
        <f t="shared" si="2766"/>
        <v>89301171</v>
      </c>
      <c r="F12698" t="str">
        <f t="shared" si="2762"/>
        <v>7802250896</v>
      </c>
      <c r="G12698" s="1">
        <v>44883</v>
      </c>
      <c r="H12698" t="str">
        <f>"91173"</f>
        <v>91173</v>
      </c>
      <c r="I12698">
        <v>1</v>
      </c>
      <c r="J12698">
        <v>335</v>
      </c>
      <c r="K12698">
        <v>0</v>
      </c>
      <c r="L12698">
        <v>261.3</v>
      </c>
    </row>
    <row r="12699" spans="1:12" x14ac:dyDescent="0.25">
      <c r="A12699" t="str">
        <f t="shared" si="2770"/>
        <v>89301000</v>
      </c>
      <c r="B12699" t="str">
        <f t="shared" ref="B12699:B12762" si="2772">"06539000"</f>
        <v>06539000</v>
      </c>
      <c r="C12699" t="str">
        <f t="shared" si="2767"/>
        <v>06539003</v>
      </c>
      <c r="D12699" t="str">
        <f t="shared" si="2768"/>
        <v>813</v>
      </c>
      <c r="E12699" t="str">
        <f t="shared" ref="E12699:E12712" si="2773">"89301171"</f>
        <v>89301171</v>
      </c>
      <c r="F12699" t="str">
        <f t="shared" si="2762"/>
        <v>7802250896</v>
      </c>
      <c r="G12699" s="1">
        <v>44886</v>
      </c>
      <c r="H12699" t="str">
        <f>"91175"</f>
        <v>91175</v>
      </c>
      <c r="I12699">
        <v>1</v>
      </c>
      <c r="J12699">
        <v>360</v>
      </c>
      <c r="K12699">
        <v>0</v>
      </c>
      <c r="L12699">
        <v>280.8</v>
      </c>
    </row>
    <row r="12700" spans="1:12" x14ac:dyDescent="0.25">
      <c r="A12700" t="str">
        <f t="shared" si="2770"/>
        <v>89301000</v>
      </c>
      <c r="B12700" t="str">
        <f t="shared" si="2772"/>
        <v>06539000</v>
      </c>
      <c r="C12700" t="str">
        <f t="shared" si="2767"/>
        <v>06539003</v>
      </c>
      <c r="D12700" t="str">
        <f t="shared" si="2768"/>
        <v>813</v>
      </c>
      <c r="E12700" t="str">
        <f t="shared" si="2773"/>
        <v>89301171</v>
      </c>
      <c r="F12700" t="str">
        <f t="shared" si="2762"/>
        <v>7802250896</v>
      </c>
      <c r="G12700" s="1">
        <v>44884</v>
      </c>
      <c r="H12700" t="str">
        <f>"91167"</f>
        <v>91167</v>
      </c>
      <c r="I12700">
        <v>1</v>
      </c>
      <c r="J12700">
        <v>425</v>
      </c>
      <c r="K12700">
        <v>0</v>
      </c>
      <c r="L12700">
        <v>331.5</v>
      </c>
    </row>
    <row r="12701" spans="1:12" x14ac:dyDescent="0.25">
      <c r="A12701" t="str">
        <f t="shared" si="2770"/>
        <v>89301000</v>
      </c>
      <c r="B12701" t="str">
        <f t="shared" si="2772"/>
        <v>06539000</v>
      </c>
      <c r="C12701" t="str">
        <f t="shared" si="2767"/>
        <v>06539003</v>
      </c>
      <c r="D12701" t="str">
        <f t="shared" si="2768"/>
        <v>813</v>
      </c>
      <c r="E12701" t="str">
        <f t="shared" si="2773"/>
        <v>89301171</v>
      </c>
      <c r="F12701" t="str">
        <f t="shared" si="2762"/>
        <v>7802250896</v>
      </c>
      <c r="G12701" s="1">
        <v>44884</v>
      </c>
      <c r="H12701" t="str">
        <f>"91169"</f>
        <v>91169</v>
      </c>
      <c r="I12701">
        <v>1</v>
      </c>
      <c r="J12701">
        <v>425</v>
      </c>
      <c r="K12701">
        <v>0</v>
      </c>
      <c r="L12701">
        <v>331.5</v>
      </c>
    </row>
    <row r="12702" spans="1:12" x14ac:dyDescent="0.25">
      <c r="A12702" t="str">
        <f t="shared" si="2770"/>
        <v>89301000</v>
      </c>
      <c r="B12702" t="str">
        <f t="shared" si="2772"/>
        <v>06539000</v>
      </c>
      <c r="C12702" t="str">
        <f t="shared" si="2767"/>
        <v>06539003</v>
      </c>
      <c r="D12702" t="str">
        <f t="shared" si="2768"/>
        <v>813</v>
      </c>
      <c r="E12702" t="str">
        <f t="shared" si="2773"/>
        <v>89301171</v>
      </c>
      <c r="F12702" t="str">
        <f t="shared" si="2762"/>
        <v>7802250896</v>
      </c>
      <c r="G12702" s="1">
        <v>44883</v>
      </c>
      <c r="H12702" t="str">
        <f>"91167"</f>
        <v>91167</v>
      </c>
      <c r="I12702">
        <v>1</v>
      </c>
      <c r="J12702">
        <v>425</v>
      </c>
      <c r="K12702">
        <v>0</v>
      </c>
      <c r="L12702">
        <v>331.5</v>
      </c>
    </row>
    <row r="12703" spans="1:12" x14ac:dyDescent="0.25">
      <c r="A12703" t="str">
        <f t="shared" si="2770"/>
        <v>89301000</v>
      </c>
      <c r="B12703" t="str">
        <f t="shared" si="2772"/>
        <v>06539000</v>
      </c>
      <c r="C12703" t="str">
        <f t="shared" si="2767"/>
        <v>06539003</v>
      </c>
      <c r="D12703" t="str">
        <f t="shared" si="2768"/>
        <v>813</v>
      </c>
      <c r="E12703" t="str">
        <f t="shared" si="2773"/>
        <v>89301171</v>
      </c>
      <c r="F12703" t="str">
        <f t="shared" si="2762"/>
        <v>7802250896</v>
      </c>
      <c r="G12703" s="1">
        <v>44883</v>
      </c>
      <c r="H12703" t="str">
        <f>"91169"</f>
        <v>91169</v>
      </c>
      <c r="I12703">
        <v>1</v>
      </c>
      <c r="J12703">
        <v>425</v>
      </c>
      <c r="K12703">
        <v>0</v>
      </c>
      <c r="L12703">
        <v>331.5</v>
      </c>
    </row>
    <row r="12704" spans="1:12" x14ac:dyDescent="0.25">
      <c r="A12704" t="str">
        <f t="shared" si="2770"/>
        <v>89301000</v>
      </c>
      <c r="B12704" t="str">
        <f t="shared" si="2772"/>
        <v>06539000</v>
      </c>
      <c r="C12704" t="str">
        <f t="shared" si="2767"/>
        <v>06539003</v>
      </c>
      <c r="D12704" t="str">
        <f t="shared" si="2768"/>
        <v>813</v>
      </c>
      <c r="E12704" t="str">
        <f t="shared" si="2773"/>
        <v>89301171</v>
      </c>
      <c r="F12704" t="str">
        <f t="shared" si="2762"/>
        <v>7802250896</v>
      </c>
      <c r="G12704" s="1">
        <v>44889</v>
      </c>
      <c r="H12704" t="str">
        <f>"91475"</f>
        <v>91475</v>
      </c>
      <c r="I12704">
        <v>1</v>
      </c>
      <c r="J12704">
        <v>206</v>
      </c>
      <c r="K12704">
        <v>0</v>
      </c>
      <c r="L12704">
        <v>160.68</v>
      </c>
    </row>
    <row r="12705" spans="1:12" x14ac:dyDescent="0.25">
      <c r="A12705" t="str">
        <f t="shared" si="2770"/>
        <v>89301000</v>
      </c>
      <c r="B12705" t="str">
        <f t="shared" si="2772"/>
        <v>06539000</v>
      </c>
      <c r="C12705" t="str">
        <f t="shared" ref="C12705:C12736" si="2774">"06539003"</f>
        <v>06539003</v>
      </c>
      <c r="D12705" t="str">
        <f t="shared" ref="D12705:D12736" si="2775">"813"</f>
        <v>813</v>
      </c>
      <c r="E12705" t="str">
        <f t="shared" si="2773"/>
        <v>89301171</v>
      </c>
      <c r="F12705" t="str">
        <f t="shared" ref="F12705:F12712" si="2776">"6307022183"</f>
        <v>6307022183</v>
      </c>
      <c r="G12705" s="1">
        <v>44907</v>
      </c>
      <c r="H12705" t="str">
        <f t="shared" ref="H12705:H12722" si="2777">"91413"</f>
        <v>91413</v>
      </c>
      <c r="I12705">
        <v>1</v>
      </c>
      <c r="J12705">
        <v>853</v>
      </c>
      <c r="K12705">
        <v>0</v>
      </c>
      <c r="L12705">
        <v>665.34</v>
      </c>
    </row>
    <row r="12706" spans="1:12" x14ac:dyDescent="0.25">
      <c r="A12706" t="str">
        <f t="shared" si="2770"/>
        <v>89301000</v>
      </c>
      <c r="B12706" t="str">
        <f t="shared" si="2772"/>
        <v>06539000</v>
      </c>
      <c r="C12706" t="str">
        <f t="shared" si="2774"/>
        <v>06539003</v>
      </c>
      <c r="D12706" t="str">
        <f t="shared" si="2775"/>
        <v>813</v>
      </c>
      <c r="E12706" t="str">
        <f t="shared" si="2773"/>
        <v>89301171</v>
      </c>
      <c r="F12706" t="str">
        <f t="shared" si="2776"/>
        <v>6307022183</v>
      </c>
      <c r="G12706" s="1">
        <v>44907</v>
      </c>
      <c r="H12706" t="str">
        <f t="shared" si="2777"/>
        <v>91413</v>
      </c>
      <c r="I12706">
        <v>1</v>
      </c>
      <c r="J12706">
        <v>853</v>
      </c>
      <c r="K12706">
        <v>0</v>
      </c>
      <c r="L12706">
        <v>665.34</v>
      </c>
    </row>
    <row r="12707" spans="1:12" x14ac:dyDescent="0.25">
      <c r="A12707" t="str">
        <f t="shared" si="2770"/>
        <v>89301000</v>
      </c>
      <c r="B12707" t="str">
        <f t="shared" si="2772"/>
        <v>06539000</v>
      </c>
      <c r="C12707" t="str">
        <f t="shared" si="2774"/>
        <v>06539003</v>
      </c>
      <c r="D12707" t="str">
        <f t="shared" si="2775"/>
        <v>813</v>
      </c>
      <c r="E12707" t="str">
        <f t="shared" si="2773"/>
        <v>89301171</v>
      </c>
      <c r="F12707" t="str">
        <f t="shared" si="2776"/>
        <v>6307022183</v>
      </c>
      <c r="G12707" s="1">
        <v>44903</v>
      </c>
      <c r="H12707" t="str">
        <f t="shared" si="2777"/>
        <v>91413</v>
      </c>
      <c r="I12707">
        <v>1</v>
      </c>
      <c r="J12707">
        <v>853</v>
      </c>
      <c r="K12707">
        <v>0</v>
      </c>
      <c r="L12707">
        <v>665.34</v>
      </c>
    </row>
    <row r="12708" spans="1:12" x14ac:dyDescent="0.25">
      <c r="A12708" t="str">
        <f t="shared" si="2770"/>
        <v>89301000</v>
      </c>
      <c r="B12708" t="str">
        <f t="shared" si="2772"/>
        <v>06539000</v>
      </c>
      <c r="C12708" t="str">
        <f t="shared" si="2774"/>
        <v>06539003</v>
      </c>
      <c r="D12708" t="str">
        <f t="shared" si="2775"/>
        <v>813</v>
      </c>
      <c r="E12708" t="str">
        <f t="shared" si="2773"/>
        <v>89301171</v>
      </c>
      <c r="F12708" t="str">
        <f t="shared" si="2776"/>
        <v>6307022183</v>
      </c>
      <c r="G12708" s="1">
        <v>44903</v>
      </c>
      <c r="H12708" t="str">
        <f t="shared" si="2777"/>
        <v>91413</v>
      </c>
      <c r="I12708">
        <v>1</v>
      </c>
      <c r="J12708">
        <v>853</v>
      </c>
      <c r="K12708">
        <v>0</v>
      </c>
      <c r="L12708">
        <v>665.34</v>
      </c>
    </row>
    <row r="12709" spans="1:12" x14ac:dyDescent="0.25">
      <c r="A12709" t="str">
        <f t="shared" si="2770"/>
        <v>89301000</v>
      </c>
      <c r="B12709" t="str">
        <f t="shared" si="2772"/>
        <v>06539000</v>
      </c>
      <c r="C12709" t="str">
        <f t="shared" si="2774"/>
        <v>06539003</v>
      </c>
      <c r="D12709" t="str">
        <f t="shared" si="2775"/>
        <v>813</v>
      </c>
      <c r="E12709" t="str">
        <f t="shared" si="2773"/>
        <v>89301171</v>
      </c>
      <c r="F12709" t="str">
        <f t="shared" si="2776"/>
        <v>6307022183</v>
      </c>
      <c r="G12709" s="1">
        <v>44907</v>
      </c>
      <c r="H12709" t="str">
        <f t="shared" si="2777"/>
        <v>91413</v>
      </c>
      <c r="I12709">
        <v>1</v>
      </c>
      <c r="J12709">
        <v>853</v>
      </c>
      <c r="K12709">
        <v>0</v>
      </c>
      <c r="L12709">
        <v>665.34</v>
      </c>
    </row>
    <row r="12710" spans="1:12" x14ac:dyDescent="0.25">
      <c r="A12710" t="str">
        <f t="shared" si="2770"/>
        <v>89301000</v>
      </c>
      <c r="B12710" t="str">
        <f t="shared" si="2772"/>
        <v>06539000</v>
      </c>
      <c r="C12710" t="str">
        <f t="shared" si="2774"/>
        <v>06539003</v>
      </c>
      <c r="D12710" t="str">
        <f t="shared" si="2775"/>
        <v>813</v>
      </c>
      <c r="E12710" t="str">
        <f t="shared" si="2773"/>
        <v>89301171</v>
      </c>
      <c r="F12710" t="str">
        <f t="shared" si="2776"/>
        <v>6307022183</v>
      </c>
      <c r="G12710" s="1">
        <v>44907</v>
      </c>
      <c r="H12710" t="str">
        <f t="shared" si="2777"/>
        <v>91413</v>
      </c>
      <c r="I12710">
        <v>1</v>
      </c>
      <c r="J12710">
        <v>853</v>
      </c>
      <c r="K12710">
        <v>0</v>
      </c>
      <c r="L12710">
        <v>665.34</v>
      </c>
    </row>
    <row r="12711" spans="1:12" x14ac:dyDescent="0.25">
      <c r="A12711" t="str">
        <f t="shared" si="2770"/>
        <v>89301000</v>
      </c>
      <c r="B12711" t="str">
        <f t="shared" si="2772"/>
        <v>06539000</v>
      </c>
      <c r="C12711" t="str">
        <f t="shared" si="2774"/>
        <v>06539003</v>
      </c>
      <c r="D12711" t="str">
        <f t="shared" si="2775"/>
        <v>813</v>
      </c>
      <c r="E12711" t="str">
        <f t="shared" si="2773"/>
        <v>89301171</v>
      </c>
      <c r="F12711" t="str">
        <f t="shared" si="2776"/>
        <v>6307022183</v>
      </c>
      <c r="G12711" s="1">
        <v>44907</v>
      </c>
      <c r="H12711" t="str">
        <f t="shared" si="2777"/>
        <v>91413</v>
      </c>
      <c r="I12711">
        <v>1</v>
      </c>
      <c r="J12711">
        <v>853</v>
      </c>
      <c r="K12711">
        <v>0</v>
      </c>
      <c r="L12711">
        <v>665.34</v>
      </c>
    </row>
    <row r="12712" spans="1:12" x14ac:dyDescent="0.25">
      <c r="A12712" t="str">
        <f t="shared" si="2770"/>
        <v>89301000</v>
      </c>
      <c r="B12712" t="str">
        <f t="shared" si="2772"/>
        <v>06539000</v>
      </c>
      <c r="C12712" t="str">
        <f t="shared" si="2774"/>
        <v>06539003</v>
      </c>
      <c r="D12712" t="str">
        <f t="shared" si="2775"/>
        <v>813</v>
      </c>
      <c r="E12712" t="str">
        <f t="shared" si="2773"/>
        <v>89301171</v>
      </c>
      <c r="F12712" t="str">
        <f t="shared" si="2776"/>
        <v>6307022183</v>
      </c>
      <c r="G12712" s="1">
        <v>44907</v>
      </c>
      <c r="H12712" t="str">
        <f t="shared" si="2777"/>
        <v>91413</v>
      </c>
      <c r="I12712">
        <v>1</v>
      </c>
      <c r="J12712">
        <v>853</v>
      </c>
      <c r="K12712">
        <v>0</v>
      </c>
      <c r="L12712">
        <v>665.34</v>
      </c>
    </row>
    <row r="12713" spans="1:12" x14ac:dyDescent="0.25">
      <c r="A12713" t="str">
        <f t="shared" si="2770"/>
        <v>89301000</v>
      </c>
      <c r="B12713" t="str">
        <f t="shared" si="2772"/>
        <v>06539000</v>
      </c>
      <c r="C12713" t="str">
        <f t="shared" si="2774"/>
        <v>06539003</v>
      </c>
      <c r="D12713" t="str">
        <f t="shared" si="2775"/>
        <v>813</v>
      </c>
      <c r="E12713" t="str">
        <f t="shared" ref="E12713:E12742" si="2778">"89301101"</f>
        <v>89301101</v>
      </c>
      <c r="F12713" t="str">
        <f t="shared" ref="F12713:F12742" si="2779">"0854276225"</f>
        <v>0854276225</v>
      </c>
      <c r="G12713" s="1">
        <v>44895</v>
      </c>
      <c r="H12713" t="str">
        <f t="shared" si="2777"/>
        <v>91413</v>
      </c>
      <c r="I12713">
        <v>1</v>
      </c>
      <c r="J12713">
        <v>853</v>
      </c>
      <c r="K12713">
        <v>0</v>
      </c>
      <c r="L12713">
        <v>665.34</v>
      </c>
    </row>
    <row r="12714" spans="1:12" x14ac:dyDescent="0.25">
      <c r="A12714" t="str">
        <f t="shared" si="2770"/>
        <v>89301000</v>
      </c>
      <c r="B12714" t="str">
        <f t="shared" si="2772"/>
        <v>06539000</v>
      </c>
      <c r="C12714" t="str">
        <f t="shared" si="2774"/>
        <v>06539003</v>
      </c>
      <c r="D12714" t="str">
        <f t="shared" si="2775"/>
        <v>813</v>
      </c>
      <c r="E12714" t="str">
        <f t="shared" si="2778"/>
        <v>89301101</v>
      </c>
      <c r="F12714" t="str">
        <f t="shared" si="2779"/>
        <v>0854276225</v>
      </c>
      <c r="G12714" s="1">
        <v>44895</v>
      </c>
      <c r="H12714" t="str">
        <f t="shared" si="2777"/>
        <v>91413</v>
      </c>
      <c r="I12714">
        <v>1</v>
      </c>
      <c r="J12714">
        <v>853</v>
      </c>
      <c r="K12714">
        <v>0</v>
      </c>
      <c r="L12714">
        <v>665.34</v>
      </c>
    </row>
    <row r="12715" spans="1:12" x14ac:dyDescent="0.25">
      <c r="A12715" t="str">
        <f t="shared" si="2770"/>
        <v>89301000</v>
      </c>
      <c r="B12715" t="str">
        <f t="shared" si="2772"/>
        <v>06539000</v>
      </c>
      <c r="C12715" t="str">
        <f t="shared" si="2774"/>
        <v>06539003</v>
      </c>
      <c r="D12715" t="str">
        <f t="shared" si="2775"/>
        <v>813</v>
      </c>
      <c r="E12715" t="str">
        <f t="shared" si="2778"/>
        <v>89301101</v>
      </c>
      <c r="F12715" t="str">
        <f t="shared" si="2779"/>
        <v>0854276225</v>
      </c>
      <c r="G12715" s="1">
        <v>44907</v>
      </c>
      <c r="H12715" t="str">
        <f t="shared" si="2777"/>
        <v>91413</v>
      </c>
      <c r="I12715">
        <v>1</v>
      </c>
      <c r="J12715">
        <v>853</v>
      </c>
      <c r="K12715">
        <v>0</v>
      </c>
      <c r="L12715">
        <v>665.34</v>
      </c>
    </row>
    <row r="12716" spans="1:12" x14ac:dyDescent="0.25">
      <c r="A12716" t="str">
        <f t="shared" si="2770"/>
        <v>89301000</v>
      </c>
      <c r="B12716" t="str">
        <f t="shared" si="2772"/>
        <v>06539000</v>
      </c>
      <c r="C12716" t="str">
        <f t="shared" si="2774"/>
        <v>06539003</v>
      </c>
      <c r="D12716" t="str">
        <f t="shared" si="2775"/>
        <v>813</v>
      </c>
      <c r="E12716" t="str">
        <f t="shared" si="2778"/>
        <v>89301101</v>
      </c>
      <c r="F12716" t="str">
        <f t="shared" si="2779"/>
        <v>0854276225</v>
      </c>
      <c r="G12716" s="1">
        <v>44907</v>
      </c>
      <c r="H12716" t="str">
        <f t="shared" si="2777"/>
        <v>91413</v>
      </c>
      <c r="I12716">
        <v>1</v>
      </c>
      <c r="J12716">
        <v>853</v>
      </c>
      <c r="K12716">
        <v>0</v>
      </c>
      <c r="L12716">
        <v>665.34</v>
      </c>
    </row>
    <row r="12717" spans="1:12" x14ac:dyDescent="0.25">
      <c r="A12717" t="str">
        <f t="shared" si="2770"/>
        <v>89301000</v>
      </c>
      <c r="B12717" t="str">
        <f t="shared" si="2772"/>
        <v>06539000</v>
      </c>
      <c r="C12717" t="str">
        <f t="shared" si="2774"/>
        <v>06539003</v>
      </c>
      <c r="D12717" t="str">
        <f t="shared" si="2775"/>
        <v>813</v>
      </c>
      <c r="E12717" t="str">
        <f t="shared" si="2778"/>
        <v>89301101</v>
      </c>
      <c r="F12717" t="str">
        <f t="shared" si="2779"/>
        <v>0854276225</v>
      </c>
      <c r="G12717" s="1">
        <v>44903</v>
      </c>
      <c r="H12717" t="str">
        <f t="shared" si="2777"/>
        <v>91413</v>
      </c>
      <c r="I12717">
        <v>1</v>
      </c>
      <c r="J12717">
        <v>853</v>
      </c>
      <c r="K12717">
        <v>0</v>
      </c>
      <c r="L12717">
        <v>665.34</v>
      </c>
    </row>
    <row r="12718" spans="1:12" x14ac:dyDescent="0.25">
      <c r="A12718" t="str">
        <f t="shared" si="2770"/>
        <v>89301000</v>
      </c>
      <c r="B12718" t="str">
        <f t="shared" si="2772"/>
        <v>06539000</v>
      </c>
      <c r="C12718" t="str">
        <f t="shared" si="2774"/>
        <v>06539003</v>
      </c>
      <c r="D12718" t="str">
        <f t="shared" si="2775"/>
        <v>813</v>
      </c>
      <c r="E12718" t="str">
        <f t="shared" si="2778"/>
        <v>89301101</v>
      </c>
      <c r="F12718" t="str">
        <f t="shared" si="2779"/>
        <v>0854276225</v>
      </c>
      <c r="G12718" s="1">
        <v>44903</v>
      </c>
      <c r="H12718" t="str">
        <f t="shared" si="2777"/>
        <v>91413</v>
      </c>
      <c r="I12718">
        <v>1</v>
      </c>
      <c r="J12718">
        <v>853</v>
      </c>
      <c r="K12718">
        <v>0</v>
      </c>
      <c r="L12718">
        <v>665.34</v>
      </c>
    </row>
    <row r="12719" spans="1:12" x14ac:dyDescent="0.25">
      <c r="A12719" t="str">
        <f t="shared" si="2770"/>
        <v>89301000</v>
      </c>
      <c r="B12719" t="str">
        <f t="shared" si="2772"/>
        <v>06539000</v>
      </c>
      <c r="C12719" t="str">
        <f t="shared" si="2774"/>
        <v>06539003</v>
      </c>
      <c r="D12719" t="str">
        <f t="shared" si="2775"/>
        <v>813</v>
      </c>
      <c r="E12719" t="str">
        <f t="shared" si="2778"/>
        <v>89301101</v>
      </c>
      <c r="F12719" t="str">
        <f t="shared" si="2779"/>
        <v>0854276225</v>
      </c>
      <c r="G12719" s="1">
        <v>44907</v>
      </c>
      <c r="H12719" t="str">
        <f t="shared" si="2777"/>
        <v>91413</v>
      </c>
      <c r="I12719">
        <v>1</v>
      </c>
      <c r="J12719">
        <v>853</v>
      </c>
      <c r="K12719">
        <v>0</v>
      </c>
      <c r="L12719">
        <v>665.34</v>
      </c>
    </row>
    <row r="12720" spans="1:12" x14ac:dyDescent="0.25">
      <c r="A12720" t="str">
        <f t="shared" si="2770"/>
        <v>89301000</v>
      </c>
      <c r="B12720" t="str">
        <f t="shared" si="2772"/>
        <v>06539000</v>
      </c>
      <c r="C12720" t="str">
        <f t="shared" si="2774"/>
        <v>06539003</v>
      </c>
      <c r="D12720" t="str">
        <f t="shared" si="2775"/>
        <v>813</v>
      </c>
      <c r="E12720" t="str">
        <f t="shared" si="2778"/>
        <v>89301101</v>
      </c>
      <c r="F12720" t="str">
        <f t="shared" si="2779"/>
        <v>0854276225</v>
      </c>
      <c r="G12720" s="1">
        <v>44907</v>
      </c>
      <c r="H12720" t="str">
        <f t="shared" si="2777"/>
        <v>91413</v>
      </c>
      <c r="I12720">
        <v>1</v>
      </c>
      <c r="J12720">
        <v>853</v>
      </c>
      <c r="K12720">
        <v>0</v>
      </c>
      <c r="L12720">
        <v>665.34</v>
      </c>
    </row>
    <row r="12721" spans="1:12" x14ac:dyDescent="0.25">
      <c r="A12721" t="str">
        <f t="shared" si="2770"/>
        <v>89301000</v>
      </c>
      <c r="B12721" t="str">
        <f t="shared" si="2772"/>
        <v>06539000</v>
      </c>
      <c r="C12721" t="str">
        <f t="shared" si="2774"/>
        <v>06539003</v>
      </c>
      <c r="D12721" t="str">
        <f t="shared" si="2775"/>
        <v>813</v>
      </c>
      <c r="E12721" t="str">
        <f t="shared" si="2778"/>
        <v>89301101</v>
      </c>
      <c r="F12721" t="str">
        <f t="shared" si="2779"/>
        <v>0854276225</v>
      </c>
      <c r="G12721" s="1">
        <v>44907</v>
      </c>
      <c r="H12721" t="str">
        <f t="shared" si="2777"/>
        <v>91413</v>
      </c>
      <c r="I12721">
        <v>1</v>
      </c>
      <c r="J12721">
        <v>853</v>
      </c>
      <c r="K12721">
        <v>0</v>
      </c>
      <c r="L12721">
        <v>665.34</v>
      </c>
    </row>
    <row r="12722" spans="1:12" x14ac:dyDescent="0.25">
      <c r="A12722" t="str">
        <f t="shared" si="2770"/>
        <v>89301000</v>
      </c>
      <c r="B12722" t="str">
        <f t="shared" si="2772"/>
        <v>06539000</v>
      </c>
      <c r="C12722" t="str">
        <f t="shared" si="2774"/>
        <v>06539003</v>
      </c>
      <c r="D12722" t="str">
        <f t="shared" si="2775"/>
        <v>813</v>
      </c>
      <c r="E12722" t="str">
        <f t="shared" si="2778"/>
        <v>89301101</v>
      </c>
      <c r="F12722" t="str">
        <f t="shared" si="2779"/>
        <v>0854276225</v>
      </c>
      <c r="G12722" s="1">
        <v>44907</v>
      </c>
      <c r="H12722" t="str">
        <f t="shared" si="2777"/>
        <v>91413</v>
      </c>
      <c r="I12722">
        <v>1</v>
      </c>
      <c r="J12722">
        <v>853</v>
      </c>
      <c r="K12722">
        <v>0</v>
      </c>
      <c r="L12722">
        <v>665.34</v>
      </c>
    </row>
    <row r="12723" spans="1:12" x14ac:dyDescent="0.25">
      <c r="A12723" t="str">
        <f t="shared" si="2770"/>
        <v>89301000</v>
      </c>
      <c r="B12723" t="str">
        <f t="shared" si="2772"/>
        <v>06539000</v>
      </c>
      <c r="C12723" t="str">
        <f t="shared" si="2774"/>
        <v>06539003</v>
      </c>
      <c r="D12723" t="str">
        <f t="shared" si="2775"/>
        <v>813</v>
      </c>
      <c r="E12723" t="str">
        <f t="shared" si="2778"/>
        <v>89301101</v>
      </c>
      <c r="F12723" t="str">
        <f t="shared" si="2779"/>
        <v>0854276225</v>
      </c>
      <c r="G12723" s="1">
        <v>44907</v>
      </c>
      <c r="H12723" t="str">
        <f t="shared" ref="H12723:H12740" si="2780">"91329"</f>
        <v>91329</v>
      </c>
      <c r="I12723">
        <v>2</v>
      </c>
      <c r="J12723">
        <v>428</v>
      </c>
      <c r="K12723">
        <v>0</v>
      </c>
      <c r="L12723">
        <v>333.84</v>
      </c>
    </row>
    <row r="12724" spans="1:12" x14ac:dyDescent="0.25">
      <c r="A12724" t="str">
        <f t="shared" si="2770"/>
        <v>89301000</v>
      </c>
      <c r="B12724" t="str">
        <f t="shared" si="2772"/>
        <v>06539000</v>
      </c>
      <c r="C12724" t="str">
        <f t="shared" si="2774"/>
        <v>06539003</v>
      </c>
      <c r="D12724" t="str">
        <f t="shared" si="2775"/>
        <v>813</v>
      </c>
      <c r="E12724" t="str">
        <f t="shared" si="2778"/>
        <v>89301101</v>
      </c>
      <c r="F12724" t="str">
        <f t="shared" si="2779"/>
        <v>0854276225</v>
      </c>
      <c r="G12724" s="1">
        <v>44907</v>
      </c>
      <c r="H12724" t="str">
        <f t="shared" si="2780"/>
        <v>91329</v>
      </c>
      <c r="I12724">
        <v>2</v>
      </c>
      <c r="J12724">
        <v>428</v>
      </c>
      <c r="K12724">
        <v>0</v>
      </c>
      <c r="L12724">
        <v>333.84</v>
      </c>
    </row>
    <row r="12725" spans="1:12" x14ac:dyDescent="0.25">
      <c r="A12725" t="str">
        <f t="shared" si="2770"/>
        <v>89301000</v>
      </c>
      <c r="B12725" t="str">
        <f t="shared" si="2772"/>
        <v>06539000</v>
      </c>
      <c r="C12725" t="str">
        <f t="shared" si="2774"/>
        <v>06539003</v>
      </c>
      <c r="D12725" t="str">
        <f t="shared" si="2775"/>
        <v>813</v>
      </c>
      <c r="E12725" t="str">
        <f t="shared" si="2778"/>
        <v>89301101</v>
      </c>
      <c r="F12725" t="str">
        <f t="shared" si="2779"/>
        <v>0854276225</v>
      </c>
      <c r="G12725" s="1">
        <v>44907</v>
      </c>
      <c r="H12725" t="str">
        <f t="shared" si="2780"/>
        <v>91329</v>
      </c>
      <c r="I12725">
        <v>2</v>
      </c>
      <c r="J12725">
        <v>428</v>
      </c>
      <c r="K12725">
        <v>0</v>
      </c>
      <c r="L12725">
        <v>333.84</v>
      </c>
    </row>
    <row r="12726" spans="1:12" x14ac:dyDescent="0.25">
      <c r="A12726" t="str">
        <f t="shared" si="2770"/>
        <v>89301000</v>
      </c>
      <c r="B12726" t="str">
        <f t="shared" si="2772"/>
        <v>06539000</v>
      </c>
      <c r="C12726" t="str">
        <f t="shared" si="2774"/>
        <v>06539003</v>
      </c>
      <c r="D12726" t="str">
        <f t="shared" si="2775"/>
        <v>813</v>
      </c>
      <c r="E12726" t="str">
        <f t="shared" si="2778"/>
        <v>89301101</v>
      </c>
      <c r="F12726" t="str">
        <f t="shared" si="2779"/>
        <v>0854276225</v>
      </c>
      <c r="G12726" s="1">
        <v>44907</v>
      </c>
      <c r="H12726" t="str">
        <f t="shared" si="2780"/>
        <v>91329</v>
      </c>
      <c r="I12726">
        <v>2</v>
      </c>
      <c r="J12726">
        <v>428</v>
      </c>
      <c r="K12726">
        <v>0</v>
      </c>
      <c r="L12726">
        <v>333.84</v>
      </c>
    </row>
    <row r="12727" spans="1:12" x14ac:dyDescent="0.25">
      <c r="A12727" t="str">
        <f t="shared" si="2770"/>
        <v>89301000</v>
      </c>
      <c r="B12727" t="str">
        <f t="shared" si="2772"/>
        <v>06539000</v>
      </c>
      <c r="C12727" t="str">
        <f t="shared" si="2774"/>
        <v>06539003</v>
      </c>
      <c r="D12727" t="str">
        <f t="shared" si="2775"/>
        <v>813</v>
      </c>
      <c r="E12727" t="str">
        <f t="shared" si="2778"/>
        <v>89301101</v>
      </c>
      <c r="F12727" t="str">
        <f t="shared" si="2779"/>
        <v>0854276225</v>
      </c>
      <c r="G12727" s="1">
        <v>44907</v>
      </c>
      <c r="H12727" t="str">
        <f t="shared" si="2780"/>
        <v>91329</v>
      </c>
      <c r="I12727">
        <v>2</v>
      </c>
      <c r="J12727">
        <v>428</v>
      </c>
      <c r="K12727">
        <v>0</v>
      </c>
      <c r="L12727">
        <v>333.84</v>
      </c>
    </row>
    <row r="12728" spans="1:12" x14ac:dyDescent="0.25">
      <c r="A12728" t="str">
        <f t="shared" si="2770"/>
        <v>89301000</v>
      </c>
      <c r="B12728" t="str">
        <f t="shared" si="2772"/>
        <v>06539000</v>
      </c>
      <c r="C12728" t="str">
        <f t="shared" si="2774"/>
        <v>06539003</v>
      </c>
      <c r="D12728" t="str">
        <f t="shared" si="2775"/>
        <v>813</v>
      </c>
      <c r="E12728" t="str">
        <f t="shared" si="2778"/>
        <v>89301101</v>
      </c>
      <c r="F12728" t="str">
        <f t="shared" si="2779"/>
        <v>0854276225</v>
      </c>
      <c r="G12728" s="1">
        <v>44907</v>
      </c>
      <c r="H12728" t="str">
        <f t="shared" si="2780"/>
        <v>91329</v>
      </c>
      <c r="I12728">
        <v>2</v>
      </c>
      <c r="J12728">
        <v>428</v>
      </c>
      <c r="K12728">
        <v>0</v>
      </c>
      <c r="L12728">
        <v>333.84</v>
      </c>
    </row>
    <row r="12729" spans="1:12" x14ac:dyDescent="0.25">
      <c r="A12729" t="str">
        <f t="shared" si="2770"/>
        <v>89301000</v>
      </c>
      <c r="B12729" t="str">
        <f t="shared" si="2772"/>
        <v>06539000</v>
      </c>
      <c r="C12729" t="str">
        <f t="shared" si="2774"/>
        <v>06539003</v>
      </c>
      <c r="D12729" t="str">
        <f t="shared" si="2775"/>
        <v>813</v>
      </c>
      <c r="E12729" t="str">
        <f t="shared" si="2778"/>
        <v>89301101</v>
      </c>
      <c r="F12729" t="str">
        <f t="shared" si="2779"/>
        <v>0854276225</v>
      </c>
      <c r="G12729" s="1">
        <v>44907</v>
      </c>
      <c r="H12729" t="str">
        <f t="shared" si="2780"/>
        <v>91329</v>
      </c>
      <c r="I12729">
        <v>2</v>
      </c>
      <c r="J12729">
        <v>428</v>
      </c>
      <c r="K12729">
        <v>0</v>
      </c>
      <c r="L12729">
        <v>333.84</v>
      </c>
    </row>
    <row r="12730" spans="1:12" x14ac:dyDescent="0.25">
      <c r="A12730" t="str">
        <f t="shared" si="2770"/>
        <v>89301000</v>
      </c>
      <c r="B12730" t="str">
        <f t="shared" si="2772"/>
        <v>06539000</v>
      </c>
      <c r="C12730" t="str">
        <f t="shared" si="2774"/>
        <v>06539003</v>
      </c>
      <c r="D12730" t="str">
        <f t="shared" si="2775"/>
        <v>813</v>
      </c>
      <c r="E12730" t="str">
        <f t="shared" si="2778"/>
        <v>89301101</v>
      </c>
      <c r="F12730" t="str">
        <f t="shared" si="2779"/>
        <v>0854276225</v>
      </c>
      <c r="G12730" s="1">
        <v>44907</v>
      </c>
      <c r="H12730" t="str">
        <f t="shared" si="2780"/>
        <v>91329</v>
      </c>
      <c r="I12730">
        <v>2</v>
      </c>
      <c r="J12730">
        <v>428</v>
      </c>
      <c r="K12730">
        <v>0</v>
      </c>
      <c r="L12730">
        <v>333.84</v>
      </c>
    </row>
    <row r="12731" spans="1:12" x14ac:dyDescent="0.25">
      <c r="A12731" t="str">
        <f t="shared" si="2770"/>
        <v>89301000</v>
      </c>
      <c r="B12731" t="str">
        <f t="shared" si="2772"/>
        <v>06539000</v>
      </c>
      <c r="C12731" t="str">
        <f t="shared" si="2774"/>
        <v>06539003</v>
      </c>
      <c r="D12731" t="str">
        <f t="shared" si="2775"/>
        <v>813</v>
      </c>
      <c r="E12731" t="str">
        <f t="shared" si="2778"/>
        <v>89301101</v>
      </c>
      <c r="F12731" t="str">
        <f t="shared" si="2779"/>
        <v>0854276225</v>
      </c>
      <c r="G12731" s="1">
        <v>44907</v>
      </c>
      <c r="H12731" t="str">
        <f t="shared" si="2780"/>
        <v>91329</v>
      </c>
      <c r="I12731">
        <v>2</v>
      </c>
      <c r="J12731">
        <v>428</v>
      </c>
      <c r="K12731">
        <v>0</v>
      </c>
      <c r="L12731">
        <v>333.84</v>
      </c>
    </row>
    <row r="12732" spans="1:12" x14ac:dyDescent="0.25">
      <c r="A12732" t="str">
        <f t="shared" si="2770"/>
        <v>89301000</v>
      </c>
      <c r="B12732" t="str">
        <f t="shared" si="2772"/>
        <v>06539000</v>
      </c>
      <c r="C12732" t="str">
        <f t="shared" si="2774"/>
        <v>06539003</v>
      </c>
      <c r="D12732" t="str">
        <f t="shared" si="2775"/>
        <v>813</v>
      </c>
      <c r="E12732" t="str">
        <f t="shared" si="2778"/>
        <v>89301101</v>
      </c>
      <c r="F12732" t="str">
        <f t="shared" si="2779"/>
        <v>0854276225</v>
      </c>
      <c r="G12732" s="1">
        <v>44907</v>
      </c>
      <c r="H12732" t="str">
        <f t="shared" si="2780"/>
        <v>91329</v>
      </c>
      <c r="I12732">
        <v>2</v>
      </c>
      <c r="J12732">
        <v>428</v>
      </c>
      <c r="K12732">
        <v>0</v>
      </c>
      <c r="L12732">
        <v>333.84</v>
      </c>
    </row>
    <row r="12733" spans="1:12" x14ac:dyDescent="0.25">
      <c r="A12733" t="str">
        <f t="shared" si="2770"/>
        <v>89301000</v>
      </c>
      <c r="B12733" t="str">
        <f t="shared" si="2772"/>
        <v>06539000</v>
      </c>
      <c r="C12733" t="str">
        <f t="shared" si="2774"/>
        <v>06539003</v>
      </c>
      <c r="D12733" t="str">
        <f t="shared" si="2775"/>
        <v>813</v>
      </c>
      <c r="E12733" t="str">
        <f t="shared" si="2778"/>
        <v>89301101</v>
      </c>
      <c r="F12733" t="str">
        <f t="shared" si="2779"/>
        <v>0854276225</v>
      </c>
      <c r="G12733" s="1">
        <v>44907</v>
      </c>
      <c r="H12733" t="str">
        <f t="shared" si="2780"/>
        <v>91329</v>
      </c>
      <c r="I12733">
        <v>2</v>
      </c>
      <c r="J12733">
        <v>428</v>
      </c>
      <c r="K12733">
        <v>0</v>
      </c>
      <c r="L12733">
        <v>333.84</v>
      </c>
    </row>
    <row r="12734" spans="1:12" x14ac:dyDescent="0.25">
      <c r="A12734" t="str">
        <f t="shared" si="2770"/>
        <v>89301000</v>
      </c>
      <c r="B12734" t="str">
        <f t="shared" si="2772"/>
        <v>06539000</v>
      </c>
      <c r="C12734" t="str">
        <f t="shared" si="2774"/>
        <v>06539003</v>
      </c>
      <c r="D12734" t="str">
        <f t="shared" si="2775"/>
        <v>813</v>
      </c>
      <c r="E12734" t="str">
        <f t="shared" si="2778"/>
        <v>89301101</v>
      </c>
      <c r="F12734" t="str">
        <f t="shared" si="2779"/>
        <v>0854276225</v>
      </c>
      <c r="G12734" s="1">
        <v>44907</v>
      </c>
      <c r="H12734" t="str">
        <f t="shared" si="2780"/>
        <v>91329</v>
      </c>
      <c r="I12734">
        <v>2</v>
      </c>
      <c r="J12734">
        <v>428</v>
      </c>
      <c r="K12734">
        <v>0</v>
      </c>
      <c r="L12734">
        <v>333.84</v>
      </c>
    </row>
    <row r="12735" spans="1:12" x14ac:dyDescent="0.25">
      <c r="A12735" t="str">
        <f t="shared" si="2770"/>
        <v>89301000</v>
      </c>
      <c r="B12735" t="str">
        <f t="shared" si="2772"/>
        <v>06539000</v>
      </c>
      <c r="C12735" t="str">
        <f t="shared" si="2774"/>
        <v>06539003</v>
      </c>
      <c r="D12735" t="str">
        <f t="shared" si="2775"/>
        <v>813</v>
      </c>
      <c r="E12735" t="str">
        <f t="shared" si="2778"/>
        <v>89301101</v>
      </c>
      <c r="F12735" t="str">
        <f t="shared" si="2779"/>
        <v>0854276225</v>
      </c>
      <c r="G12735" s="1">
        <v>44907</v>
      </c>
      <c r="H12735" t="str">
        <f t="shared" si="2780"/>
        <v>91329</v>
      </c>
      <c r="I12735">
        <v>2</v>
      </c>
      <c r="J12735">
        <v>428</v>
      </c>
      <c r="K12735">
        <v>0</v>
      </c>
      <c r="L12735">
        <v>333.84</v>
      </c>
    </row>
    <row r="12736" spans="1:12" x14ac:dyDescent="0.25">
      <c r="A12736" t="str">
        <f t="shared" si="2770"/>
        <v>89301000</v>
      </c>
      <c r="B12736" t="str">
        <f t="shared" si="2772"/>
        <v>06539000</v>
      </c>
      <c r="C12736" t="str">
        <f t="shared" si="2774"/>
        <v>06539003</v>
      </c>
      <c r="D12736" t="str">
        <f t="shared" si="2775"/>
        <v>813</v>
      </c>
      <c r="E12736" t="str">
        <f t="shared" si="2778"/>
        <v>89301101</v>
      </c>
      <c r="F12736" t="str">
        <f t="shared" si="2779"/>
        <v>0854276225</v>
      </c>
      <c r="G12736" s="1">
        <v>44907</v>
      </c>
      <c r="H12736" t="str">
        <f t="shared" si="2780"/>
        <v>91329</v>
      </c>
      <c r="I12736">
        <v>2</v>
      </c>
      <c r="J12736">
        <v>428</v>
      </c>
      <c r="K12736">
        <v>0</v>
      </c>
      <c r="L12736">
        <v>333.84</v>
      </c>
    </row>
    <row r="12737" spans="1:12" x14ac:dyDescent="0.25">
      <c r="A12737" t="str">
        <f t="shared" si="2770"/>
        <v>89301000</v>
      </c>
      <c r="B12737" t="str">
        <f t="shared" si="2772"/>
        <v>06539000</v>
      </c>
      <c r="C12737" t="str">
        <f t="shared" ref="C12737:C12742" si="2781">"06539003"</f>
        <v>06539003</v>
      </c>
      <c r="D12737" t="str">
        <f t="shared" ref="D12737:D12742" si="2782">"813"</f>
        <v>813</v>
      </c>
      <c r="E12737" t="str">
        <f t="shared" si="2778"/>
        <v>89301101</v>
      </c>
      <c r="F12737" t="str">
        <f t="shared" si="2779"/>
        <v>0854276225</v>
      </c>
      <c r="G12737" s="1">
        <v>44907</v>
      </c>
      <c r="H12737" t="str">
        <f t="shared" si="2780"/>
        <v>91329</v>
      </c>
      <c r="I12737">
        <v>2</v>
      </c>
      <c r="J12737">
        <v>428</v>
      </c>
      <c r="K12737">
        <v>0</v>
      </c>
      <c r="L12737">
        <v>333.84</v>
      </c>
    </row>
    <row r="12738" spans="1:12" x14ac:dyDescent="0.25">
      <c r="A12738" t="str">
        <f t="shared" ref="A12738:A12801" si="2783">"89301000"</f>
        <v>89301000</v>
      </c>
      <c r="B12738" t="str">
        <f t="shared" si="2772"/>
        <v>06539000</v>
      </c>
      <c r="C12738" t="str">
        <f t="shared" si="2781"/>
        <v>06539003</v>
      </c>
      <c r="D12738" t="str">
        <f t="shared" si="2782"/>
        <v>813</v>
      </c>
      <c r="E12738" t="str">
        <f t="shared" si="2778"/>
        <v>89301101</v>
      </c>
      <c r="F12738" t="str">
        <f t="shared" si="2779"/>
        <v>0854276225</v>
      </c>
      <c r="G12738" s="1">
        <v>44907</v>
      </c>
      <c r="H12738" t="str">
        <f t="shared" si="2780"/>
        <v>91329</v>
      </c>
      <c r="I12738">
        <v>2</v>
      </c>
      <c r="J12738">
        <v>428</v>
      </c>
      <c r="K12738">
        <v>0</v>
      </c>
      <c r="L12738">
        <v>333.84</v>
      </c>
    </row>
    <row r="12739" spans="1:12" x14ac:dyDescent="0.25">
      <c r="A12739" t="str">
        <f t="shared" si="2783"/>
        <v>89301000</v>
      </c>
      <c r="B12739" t="str">
        <f t="shared" si="2772"/>
        <v>06539000</v>
      </c>
      <c r="C12739" t="str">
        <f t="shared" si="2781"/>
        <v>06539003</v>
      </c>
      <c r="D12739" t="str">
        <f t="shared" si="2782"/>
        <v>813</v>
      </c>
      <c r="E12739" t="str">
        <f t="shared" si="2778"/>
        <v>89301101</v>
      </c>
      <c r="F12739" t="str">
        <f t="shared" si="2779"/>
        <v>0854276225</v>
      </c>
      <c r="G12739" s="1">
        <v>44907</v>
      </c>
      <c r="H12739" t="str">
        <f t="shared" si="2780"/>
        <v>91329</v>
      </c>
      <c r="I12739">
        <v>2</v>
      </c>
      <c r="J12739">
        <v>428</v>
      </c>
      <c r="K12739">
        <v>0</v>
      </c>
      <c r="L12739">
        <v>333.84</v>
      </c>
    </row>
    <row r="12740" spans="1:12" x14ac:dyDescent="0.25">
      <c r="A12740" t="str">
        <f t="shared" si="2783"/>
        <v>89301000</v>
      </c>
      <c r="B12740" t="str">
        <f t="shared" si="2772"/>
        <v>06539000</v>
      </c>
      <c r="C12740" t="str">
        <f t="shared" si="2781"/>
        <v>06539003</v>
      </c>
      <c r="D12740" t="str">
        <f t="shared" si="2782"/>
        <v>813</v>
      </c>
      <c r="E12740" t="str">
        <f t="shared" si="2778"/>
        <v>89301101</v>
      </c>
      <c r="F12740" t="str">
        <f t="shared" si="2779"/>
        <v>0854276225</v>
      </c>
      <c r="G12740" s="1">
        <v>44907</v>
      </c>
      <c r="H12740" t="str">
        <f t="shared" si="2780"/>
        <v>91329</v>
      </c>
      <c r="I12740">
        <v>2</v>
      </c>
      <c r="J12740">
        <v>428</v>
      </c>
      <c r="K12740">
        <v>0</v>
      </c>
      <c r="L12740">
        <v>333.84</v>
      </c>
    </row>
    <row r="12741" spans="1:12" x14ac:dyDescent="0.25">
      <c r="A12741" t="str">
        <f t="shared" si="2783"/>
        <v>89301000</v>
      </c>
      <c r="B12741" t="str">
        <f t="shared" si="2772"/>
        <v>06539000</v>
      </c>
      <c r="C12741" t="str">
        <f t="shared" si="2781"/>
        <v>06539003</v>
      </c>
      <c r="D12741" t="str">
        <f t="shared" si="2782"/>
        <v>813</v>
      </c>
      <c r="E12741" t="str">
        <f t="shared" si="2778"/>
        <v>89301101</v>
      </c>
      <c r="F12741" t="str">
        <f t="shared" si="2779"/>
        <v>0854276225</v>
      </c>
      <c r="G12741" s="1">
        <v>44900</v>
      </c>
      <c r="H12741" t="str">
        <f>"91495"</f>
        <v>91495</v>
      </c>
      <c r="I12741">
        <v>1</v>
      </c>
      <c r="J12741">
        <v>592</v>
      </c>
      <c r="K12741">
        <v>0</v>
      </c>
      <c r="L12741">
        <v>461.76</v>
      </c>
    </row>
    <row r="12742" spans="1:12" x14ac:dyDescent="0.25">
      <c r="A12742" t="str">
        <f t="shared" si="2783"/>
        <v>89301000</v>
      </c>
      <c r="B12742" t="str">
        <f t="shared" si="2772"/>
        <v>06539000</v>
      </c>
      <c r="C12742" t="str">
        <f t="shared" si="2781"/>
        <v>06539003</v>
      </c>
      <c r="D12742" t="str">
        <f t="shared" si="2782"/>
        <v>813</v>
      </c>
      <c r="E12742" t="str">
        <f t="shared" si="2778"/>
        <v>89301101</v>
      </c>
      <c r="F12742" t="str">
        <f t="shared" si="2779"/>
        <v>0854276225</v>
      </c>
      <c r="G12742" s="1">
        <v>44895</v>
      </c>
      <c r="H12742" t="str">
        <f>"91475"</f>
        <v>91475</v>
      </c>
      <c r="I12742">
        <v>1</v>
      </c>
      <c r="J12742">
        <v>206</v>
      </c>
      <c r="K12742">
        <v>0</v>
      </c>
      <c r="L12742">
        <v>160.68</v>
      </c>
    </row>
    <row r="12743" spans="1:12" x14ac:dyDescent="0.25">
      <c r="A12743" t="str">
        <f t="shared" si="2783"/>
        <v>89301000</v>
      </c>
      <c r="B12743" t="str">
        <f t="shared" si="2772"/>
        <v>06539000</v>
      </c>
      <c r="C12743" t="str">
        <f>"06539001"</f>
        <v>06539001</v>
      </c>
      <c r="D12743" t="str">
        <f>"801"</f>
        <v>801</v>
      </c>
      <c r="E12743" t="str">
        <f t="shared" ref="E12743:E12774" si="2784">"89301171"</f>
        <v>89301171</v>
      </c>
      <c r="F12743" t="str">
        <f t="shared" ref="F12743:F12784" si="2785">"6412150679"</f>
        <v>6412150679</v>
      </c>
      <c r="G12743" s="1">
        <v>44897</v>
      </c>
      <c r="H12743" t="str">
        <f>"81329"</f>
        <v>81329</v>
      </c>
      <c r="I12743">
        <v>1</v>
      </c>
      <c r="J12743">
        <v>16</v>
      </c>
      <c r="K12743">
        <v>0</v>
      </c>
      <c r="L12743">
        <v>12.48</v>
      </c>
    </row>
    <row r="12744" spans="1:12" x14ac:dyDescent="0.25">
      <c r="A12744" t="str">
        <f t="shared" si="2783"/>
        <v>89301000</v>
      </c>
      <c r="B12744" t="str">
        <f t="shared" si="2772"/>
        <v>06539000</v>
      </c>
      <c r="C12744" t="str">
        <f>"06539001"</f>
        <v>06539001</v>
      </c>
      <c r="D12744" t="str">
        <f>"801"</f>
        <v>801</v>
      </c>
      <c r="E12744" t="str">
        <f t="shared" si="2784"/>
        <v>89301171</v>
      </c>
      <c r="F12744" t="str">
        <f t="shared" si="2785"/>
        <v>6412150679</v>
      </c>
      <c r="G12744" s="1">
        <v>44897</v>
      </c>
      <c r="H12744" t="str">
        <f>"81331"</f>
        <v>81331</v>
      </c>
      <c r="I12744">
        <v>1</v>
      </c>
      <c r="J12744">
        <v>193</v>
      </c>
      <c r="K12744">
        <v>0</v>
      </c>
      <c r="L12744">
        <v>150.54</v>
      </c>
    </row>
    <row r="12745" spans="1:12" x14ac:dyDescent="0.25">
      <c r="A12745" t="str">
        <f t="shared" si="2783"/>
        <v>89301000</v>
      </c>
      <c r="B12745" t="str">
        <f t="shared" si="2772"/>
        <v>06539000</v>
      </c>
      <c r="C12745" t="str">
        <f t="shared" ref="C12745:C12752" si="2786">"06539002"</f>
        <v>06539002</v>
      </c>
      <c r="D12745" t="str">
        <f t="shared" ref="D12745:D12752" si="2787">"802"</f>
        <v>802</v>
      </c>
      <c r="E12745" t="str">
        <f t="shared" si="2784"/>
        <v>89301171</v>
      </c>
      <c r="F12745" t="str">
        <f t="shared" si="2785"/>
        <v>6412150679</v>
      </c>
      <c r="G12745" s="1">
        <v>44897</v>
      </c>
      <c r="H12745" t="str">
        <f t="shared" ref="H12745:H12752" si="2788">"82097"</f>
        <v>82097</v>
      </c>
      <c r="I12745">
        <v>1</v>
      </c>
      <c r="J12745">
        <v>380</v>
      </c>
      <c r="K12745">
        <v>0</v>
      </c>
      <c r="L12745">
        <v>345.8</v>
      </c>
    </row>
    <row r="12746" spans="1:12" x14ac:dyDescent="0.25">
      <c r="A12746" t="str">
        <f t="shared" si="2783"/>
        <v>89301000</v>
      </c>
      <c r="B12746" t="str">
        <f t="shared" si="2772"/>
        <v>06539000</v>
      </c>
      <c r="C12746" t="str">
        <f t="shared" si="2786"/>
        <v>06539002</v>
      </c>
      <c r="D12746" t="str">
        <f t="shared" si="2787"/>
        <v>802</v>
      </c>
      <c r="E12746" t="str">
        <f t="shared" si="2784"/>
        <v>89301171</v>
      </c>
      <c r="F12746" t="str">
        <f t="shared" si="2785"/>
        <v>6412150679</v>
      </c>
      <c r="G12746" s="1">
        <v>44897</v>
      </c>
      <c r="H12746" t="str">
        <f t="shared" si="2788"/>
        <v>82097</v>
      </c>
      <c r="I12746">
        <v>1</v>
      </c>
      <c r="J12746">
        <v>380</v>
      </c>
      <c r="K12746">
        <v>0</v>
      </c>
      <c r="L12746">
        <v>345.8</v>
      </c>
    </row>
    <row r="12747" spans="1:12" x14ac:dyDescent="0.25">
      <c r="A12747" t="str">
        <f t="shared" si="2783"/>
        <v>89301000</v>
      </c>
      <c r="B12747" t="str">
        <f t="shared" si="2772"/>
        <v>06539000</v>
      </c>
      <c r="C12747" t="str">
        <f t="shared" si="2786"/>
        <v>06539002</v>
      </c>
      <c r="D12747" t="str">
        <f t="shared" si="2787"/>
        <v>802</v>
      </c>
      <c r="E12747" t="str">
        <f t="shared" si="2784"/>
        <v>89301171</v>
      </c>
      <c r="F12747" t="str">
        <f t="shared" si="2785"/>
        <v>6412150679</v>
      </c>
      <c r="G12747" s="1">
        <v>44897</v>
      </c>
      <c r="H12747" t="str">
        <f t="shared" si="2788"/>
        <v>82097</v>
      </c>
      <c r="I12747">
        <v>1</v>
      </c>
      <c r="J12747">
        <v>380</v>
      </c>
      <c r="K12747">
        <v>0</v>
      </c>
      <c r="L12747">
        <v>345.8</v>
      </c>
    </row>
    <row r="12748" spans="1:12" x14ac:dyDescent="0.25">
      <c r="A12748" t="str">
        <f t="shared" si="2783"/>
        <v>89301000</v>
      </c>
      <c r="B12748" t="str">
        <f t="shared" si="2772"/>
        <v>06539000</v>
      </c>
      <c r="C12748" t="str">
        <f t="shared" si="2786"/>
        <v>06539002</v>
      </c>
      <c r="D12748" t="str">
        <f t="shared" si="2787"/>
        <v>802</v>
      </c>
      <c r="E12748" t="str">
        <f t="shared" si="2784"/>
        <v>89301171</v>
      </c>
      <c r="F12748" t="str">
        <f t="shared" si="2785"/>
        <v>6412150679</v>
      </c>
      <c r="G12748" s="1">
        <v>44897</v>
      </c>
      <c r="H12748" t="str">
        <f t="shared" si="2788"/>
        <v>82097</v>
      </c>
      <c r="I12748">
        <v>1</v>
      </c>
      <c r="J12748">
        <v>380</v>
      </c>
      <c r="K12748">
        <v>0</v>
      </c>
      <c r="L12748">
        <v>345.8</v>
      </c>
    </row>
    <row r="12749" spans="1:12" x14ac:dyDescent="0.25">
      <c r="A12749" t="str">
        <f t="shared" si="2783"/>
        <v>89301000</v>
      </c>
      <c r="B12749" t="str">
        <f t="shared" si="2772"/>
        <v>06539000</v>
      </c>
      <c r="C12749" t="str">
        <f t="shared" si="2786"/>
        <v>06539002</v>
      </c>
      <c r="D12749" t="str">
        <f t="shared" si="2787"/>
        <v>802</v>
      </c>
      <c r="E12749" t="str">
        <f t="shared" si="2784"/>
        <v>89301171</v>
      </c>
      <c r="F12749" t="str">
        <f t="shared" si="2785"/>
        <v>6412150679</v>
      </c>
      <c r="G12749" s="1">
        <v>44897</v>
      </c>
      <c r="H12749" t="str">
        <f t="shared" si="2788"/>
        <v>82097</v>
      </c>
      <c r="I12749">
        <v>1</v>
      </c>
      <c r="J12749">
        <v>380</v>
      </c>
      <c r="K12749">
        <v>0</v>
      </c>
      <c r="L12749">
        <v>345.8</v>
      </c>
    </row>
    <row r="12750" spans="1:12" x14ac:dyDescent="0.25">
      <c r="A12750" t="str">
        <f t="shared" si="2783"/>
        <v>89301000</v>
      </c>
      <c r="B12750" t="str">
        <f t="shared" si="2772"/>
        <v>06539000</v>
      </c>
      <c r="C12750" t="str">
        <f t="shared" si="2786"/>
        <v>06539002</v>
      </c>
      <c r="D12750" t="str">
        <f t="shared" si="2787"/>
        <v>802</v>
      </c>
      <c r="E12750" t="str">
        <f t="shared" si="2784"/>
        <v>89301171</v>
      </c>
      <c r="F12750" t="str">
        <f t="shared" si="2785"/>
        <v>6412150679</v>
      </c>
      <c r="G12750" s="1">
        <v>44897</v>
      </c>
      <c r="H12750" t="str">
        <f t="shared" si="2788"/>
        <v>82097</v>
      </c>
      <c r="I12750">
        <v>1</v>
      </c>
      <c r="J12750">
        <v>380</v>
      </c>
      <c r="K12750">
        <v>0</v>
      </c>
      <c r="L12750">
        <v>345.8</v>
      </c>
    </row>
    <row r="12751" spans="1:12" x14ac:dyDescent="0.25">
      <c r="A12751" t="str">
        <f t="shared" si="2783"/>
        <v>89301000</v>
      </c>
      <c r="B12751" t="str">
        <f t="shared" si="2772"/>
        <v>06539000</v>
      </c>
      <c r="C12751" t="str">
        <f t="shared" si="2786"/>
        <v>06539002</v>
      </c>
      <c r="D12751" t="str">
        <f t="shared" si="2787"/>
        <v>802</v>
      </c>
      <c r="E12751" t="str">
        <f t="shared" si="2784"/>
        <v>89301171</v>
      </c>
      <c r="F12751" t="str">
        <f t="shared" si="2785"/>
        <v>6412150679</v>
      </c>
      <c r="G12751" s="1">
        <v>44897</v>
      </c>
      <c r="H12751" t="str">
        <f t="shared" si="2788"/>
        <v>82097</v>
      </c>
      <c r="I12751">
        <v>1</v>
      </c>
      <c r="J12751">
        <v>380</v>
      </c>
      <c r="K12751">
        <v>0</v>
      </c>
      <c r="L12751">
        <v>345.8</v>
      </c>
    </row>
    <row r="12752" spans="1:12" x14ac:dyDescent="0.25">
      <c r="A12752" t="str">
        <f t="shared" si="2783"/>
        <v>89301000</v>
      </c>
      <c r="B12752" t="str">
        <f t="shared" si="2772"/>
        <v>06539000</v>
      </c>
      <c r="C12752" t="str">
        <f t="shared" si="2786"/>
        <v>06539002</v>
      </c>
      <c r="D12752" t="str">
        <f t="shared" si="2787"/>
        <v>802</v>
      </c>
      <c r="E12752" t="str">
        <f t="shared" si="2784"/>
        <v>89301171</v>
      </c>
      <c r="F12752" t="str">
        <f t="shared" si="2785"/>
        <v>6412150679</v>
      </c>
      <c r="G12752" s="1">
        <v>44897</v>
      </c>
      <c r="H12752" t="str">
        <f t="shared" si="2788"/>
        <v>82097</v>
      </c>
      <c r="I12752">
        <v>1</v>
      </c>
      <c r="J12752">
        <v>380</v>
      </c>
      <c r="K12752">
        <v>0</v>
      </c>
      <c r="L12752">
        <v>345.8</v>
      </c>
    </row>
    <row r="12753" spans="1:12" x14ac:dyDescent="0.25">
      <c r="A12753" t="str">
        <f t="shared" si="2783"/>
        <v>89301000</v>
      </c>
      <c r="B12753" t="str">
        <f t="shared" si="2772"/>
        <v>06539000</v>
      </c>
      <c r="C12753" t="str">
        <f t="shared" ref="C12753:C12784" si="2789">"06539003"</f>
        <v>06539003</v>
      </c>
      <c r="D12753" t="str">
        <f t="shared" ref="D12753:D12784" si="2790">"813"</f>
        <v>813</v>
      </c>
      <c r="E12753" t="str">
        <f t="shared" si="2784"/>
        <v>89301171</v>
      </c>
      <c r="F12753" t="str">
        <f t="shared" si="2785"/>
        <v>6412150679</v>
      </c>
      <c r="G12753" s="1">
        <v>44902</v>
      </c>
      <c r="H12753" t="str">
        <f t="shared" ref="H12753:H12762" si="2791">"91413"</f>
        <v>91413</v>
      </c>
      <c r="I12753">
        <v>1</v>
      </c>
      <c r="J12753">
        <v>853</v>
      </c>
      <c r="K12753">
        <v>0</v>
      </c>
      <c r="L12753">
        <v>665.34</v>
      </c>
    </row>
    <row r="12754" spans="1:12" x14ac:dyDescent="0.25">
      <c r="A12754" t="str">
        <f t="shared" si="2783"/>
        <v>89301000</v>
      </c>
      <c r="B12754" t="str">
        <f t="shared" si="2772"/>
        <v>06539000</v>
      </c>
      <c r="C12754" t="str">
        <f t="shared" si="2789"/>
        <v>06539003</v>
      </c>
      <c r="D12754" t="str">
        <f t="shared" si="2790"/>
        <v>813</v>
      </c>
      <c r="E12754" t="str">
        <f t="shared" si="2784"/>
        <v>89301171</v>
      </c>
      <c r="F12754" t="str">
        <f t="shared" si="2785"/>
        <v>6412150679</v>
      </c>
      <c r="G12754" s="1">
        <v>44902</v>
      </c>
      <c r="H12754" t="str">
        <f t="shared" si="2791"/>
        <v>91413</v>
      </c>
      <c r="I12754">
        <v>1</v>
      </c>
      <c r="J12754">
        <v>853</v>
      </c>
      <c r="K12754">
        <v>0</v>
      </c>
      <c r="L12754">
        <v>665.34</v>
      </c>
    </row>
    <row r="12755" spans="1:12" x14ac:dyDescent="0.25">
      <c r="A12755" t="str">
        <f t="shared" si="2783"/>
        <v>89301000</v>
      </c>
      <c r="B12755" t="str">
        <f t="shared" si="2772"/>
        <v>06539000</v>
      </c>
      <c r="C12755" t="str">
        <f t="shared" si="2789"/>
        <v>06539003</v>
      </c>
      <c r="D12755" t="str">
        <f t="shared" si="2790"/>
        <v>813</v>
      </c>
      <c r="E12755" t="str">
        <f t="shared" si="2784"/>
        <v>89301171</v>
      </c>
      <c r="F12755" t="str">
        <f t="shared" si="2785"/>
        <v>6412150679</v>
      </c>
      <c r="G12755" s="1">
        <v>44913</v>
      </c>
      <c r="H12755" t="str">
        <f t="shared" si="2791"/>
        <v>91413</v>
      </c>
      <c r="I12755">
        <v>1</v>
      </c>
      <c r="J12755">
        <v>853</v>
      </c>
      <c r="K12755">
        <v>0</v>
      </c>
      <c r="L12755">
        <v>665.34</v>
      </c>
    </row>
    <row r="12756" spans="1:12" x14ac:dyDescent="0.25">
      <c r="A12756" t="str">
        <f t="shared" si="2783"/>
        <v>89301000</v>
      </c>
      <c r="B12756" t="str">
        <f t="shared" si="2772"/>
        <v>06539000</v>
      </c>
      <c r="C12756" t="str">
        <f t="shared" si="2789"/>
        <v>06539003</v>
      </c>
      <c r="D12756" t="str">
        <f t="shared" si="2790"/>
        <v>813</v>
      </c>
      <c r="E12756" t="str">
        <f t="shared" si="2784"/>
        <v>89301171</v>
      </c>
      <c r="F12756" t="str">
        <f t="shared" si="2785"/>
        <v>6412150679</v>
      </c>
      <c r="G12756" s="1">
        <v>44913</v>
      </c>
      <c r="H12756" t="str">
        <f t="shared" si="2791"/>
        <v>91413</v>
      </c>
      <c r="I12756">
        <v>1</v>
      </c>
      <c r="J12756">
        <v>853</v>
      </c>
      <c r="K12756">
        <v>0</v>
      </c>
      <c r="L12756">
        <v>665.34</v>
      </c>
    </row>
    <row r="12757" spans="1:12" x14ac:dyDescent="0.25">
      <c r="A12757" t="str">
        <f t="shared" si="2783"/>
        <v>89301000</v>
      </c>
      <c r="B12757" t="str">
        <f t="shared" si="2772"/>
        <v>06539000</v>
      </c>
      <c r="C12757" t="str">
        <f t="shared" si="2789"/>
        <v>06539003</v>
      </c>
      <c r="D12757" t="str">
        <f t="shared" si="2790"/>
        <v>813</v>
      </c>
      <c r="E12757" t="str">
        <f t="shared" si="2784"/>
        <v>89301171</v>
      </c>
      <c r="F12757" t="str">
        <f t="shared" si="2785"/>
        <v>6412150679</v>
      </c>
      <c r="G12757" s="1">
        <v>44910</v>
      </c>
      <c r="H12757" t="str">
        <f t="shared" si="2791"/>
        <v>91413</v>
      </c>
      <c r="I12757">
        <v>1</v>
      </c>
      <c r="J12757">
        <v>853</v>
      </c>
      <c r="K12757">
        <v>0</v>
      </c>
      <c r="L12757">
        <v>665.34</v>
      </c>
    </row>
    <row r="12758" spans="1:12" x14ac:dyDescent="0.25">
      <c r="A12758" t="str">
        <f t="shared" si="2783"/>
        <v>89301000</v>
      </c>
      <c r="B12758" t="str">
        <f t="shared" si="2772"/>
        <v>06539000</v>
      </c>
      <c r="C12758" t="str">
        <f t="shared" si="2789"/>
        <v>06539003</v>
      </c>
      <c r="D12758" t="str">
        <f t="shared" si="2790"/>
        <v>813</v>
      </c>
      <c r="E12758" t="str">
        <f t="shared" si="2784"/>
        <v>89301171</v>
      </c>
      <c r="F12758" t="str">
        <f t="shared" si="2785"/>
        <v>6412150679</v>
      </c>
      <c r="G12758" s="1">
        <v>44910</v>
      </c>
      <c r="H12758" t="str">
        <f t="shared" si="2791"/>
        <v>91413</v>
      </c>
      <c r="I12758">
        <v>1</v>
      </c>
      <c r="J12758">
        <v>853</v>
      </c>
      <c r="K12758">
        <v>0</v>
      </c>
      <c r="L12758">
        <v>665.34</v>
      </c>
    </row>
    <row r="12759" spans="1:12" x14ac:dyDescent="0.25">
      <c r="A12759" t="str">
        <f t="shared" si="2783"/>
        <v>89301000</v>
      </c>
      <c r="B12759" t="str">
        <f t="shared" si="2772"/>
        <v>06539000</v>
      </c>
      <c r="C12759" t="str">
        <f t="shared" si="2789"/>
        <v>06539003</v>
      </c>
      <c r="D12759" t="str">
        <f t="shared" si="2790"/>
        <v>813</v>
      </c>
      <c r="E12759" t="str">
        <f t="shared" si="2784"/>
        <v>89301171</v>
      </c>
      <c r="F12759" t="str">
        <f t="shared" si="2785"/>
        <v>6412150679</v>
      </c>
      <c r="G12759" s="1">
        <v>44913</v>
      </c>
      <c r="H12759" t="str">
        <f t="shared" si="2791"/>
        <v>91413</v>
      </c>
      <c r="I12759">
        <v>1</v>
      </c>
      <c r="J12759">
        <v>853</v>
      </c>
      <c r="K12759">
        <v>0</v>
      </c>
      <c r="L12759">
        <v>665.34</v>
      </c>
    </row>
    <row r="12760" spans="1:12" x14ac:dyDescent="0.25">
      <c r="A12760" t="str">
        <f t="shared" si="2783"/>
        <v>89301000</v>
      </c>
      <c r="B12760" t="str">
        <f t="shared" si="2772"/>
        <v>06539000</v>
      </c>
      <c r="C12760" t="str">
        <f t="shared" si="2789"/>
        <v>06539003</v>
      </c>
      <c r="D12760" t="str">
        <f t="shared" si="2790"/>
        <v>813</v>
      </c>
      <c r="E12760" t="str">
        <f t="shared" si="2784"/>
        <v>89301171</v>
      </c>
      <c r="F12760" t="str">
        <f t="shared" si="2785"/>
        <v>6412150679</v>
      </c>
      <c r="G12760" s="1">
        <v>44913</v>
      </c>
      <c r="H12760" t="str">
        <f t="shared" si="2791"/>
        <v>91413</v>
      </c>
      <c r="I12760">
        <v>1</v>
      </c>
      <c r="J12760">
        <v>853</v>
      </c>
      <c r="K12760">
        <v>0</v>
      </c>
      <c r="L12760">
        <v>665.34</v>
      </c>
    </row>
    <row r="12761" spans="1:12" x14ac:dyDescent="0.25">
      <c r="A12761" t="str">
        <f t="shared" si="2783"/>
        <v>89301000</v>
      </c>
      <c r="B12761" t="str">
        <f t="shared" si="2772"/>
        <v>06539000</v>
      </c>
      <c r="C12761" t="str">
        <f t="shared" si="2789"/>
        <v>06539003</v>
      </c>
      <c r="D12761" t="str">
        <f t="shared" si="2790"/>
        <v>813</v>
      </c>
      <c r="E12761" t="str">
        <f t="shared" si="2784"/>
        <v>89301171</v>
      </c>
      <c r="F12761" t="str">
        <f t="shared" si="2785"/>
        <v>6412150679</v>
      </c>
      <c r="G12761" s="1">
        <v>44913</v>
      </c>
      <c r="H12761" t="str">
        <f t="shared" si="2791"/>
        <v>91413</v>
      </c>
      <c r="I12761">
        <v>1</v>
      </c>
      <c r="J12761">
        <v>853</v>
      </c>
      <c r="K12761">
        <v>0</v>
      </c>
      <c r="L12761">
        <v>665.34</v>
      </c>
    </row>
    <row r="12762" spans="1:12" x14ac:dyDescent="0.25">
      <c r="A12762" t="str">
        <f t="shared" si="2783"/>
        <v>89301000</v>
      </c>
      <c r="B12762" t="str">
        <f t="shared" si="2772"/>
        <v>06539000</v>
      </c>
      <c r="C12762" t="str">
        <f t="shared" si="2789"/>
        <v>06539003</v>
      </c>
      <c r="D12762" t="str">
        <f t="shared" si="2790"/>
        <v>813</v>
      </c>
      <c r="E12762" t="str">
        <f t="shared" si="2784"/>
        <v>89301171</v>
      </c>
      <c r="F12762" t="str">
        <f t="shared" si="2785"/>
        <v>6412150679</v>
      </c>
      <c r="G12762" s="1">
        <v>44913</v>
      </c>
      <c r="H12762" t="str">
        <f t="shared" si="2791"/>
        <v>91413</v>
      </c>
      <c r="I12762">
        <v>1</v>
      </c>
      <c r="J12762">
        <v>853</v>
      </c>
      <c r="K12762">
        <v>0</v>
      </c>
      <c r="L12762">
        <v>665.34</v>
      </c>
    </row>
    <row r="12763" spans="1:12" x14ac:dyDescent="0.25">
      <c r="A12763" t="str">
        <f t="shared" si="2783"/>
        <v>89301000</v>
      </c>
      <c r="B12763" t="str">
        <f t="shared" ref="B12763:B12826" si="2792">"06539000"</f>
        <v>06539000</v>
      </c>
      <c r="C12763" t="str">
        <f t="shared" si="2789"/>
        <v>06539003</v>
      </c>
      <c r="D12763" t="str">
        <f t="shared" si="2790"/>
        <v>813</v>
      </c>
      <c r="E12763" t="str">
        <f t="shared" si="2784"/>
        <v>89301171</v>
      </c>
      <c r="F12763" t="str">
        <f t="shared" si="2785"/>
        <v>6412150679</v>
      </c>
      <c r="G12763" s="1">
        <v>44897</v>
      </c>
      <c r="H12763" t="str">
        <f t="shared" ref="H12763:H12769" si="2793">"91197"</f>
        <v>91197</v>
      </c>
      <c r="I12763">
        <v>1</v>
      </c>
      <c r="J12763">
        <v>1046</v>
      </c>
      <c r="K12763">
        <v>0</v>
      </c>
      <c r="L12763">
        <v>815.88</v>
      </c>
    </row>
    <row r="12764" spans="1:12" x14ac:dyDescent="0.25">
      <c r="A12764" t="str">
        <f t="shared" si="2783"/>
        <v>89301000</v>
      </c>
      <c r="B12764" t="str">
        <f t="shared" si="2792"/>
        <v>06539000</v>
      </c>
      <c r="C12764" t="str">
        <f t="shared" si="2789"/>
        <v>06539003</v>
      </c>
      <c r="D12764" t="str">
        <f t="shared" si="2790"/>
        <v>813</v>
      </c>
      <c r="E12764" t="str">
        <f t="shared" si="2784"/>
        <v>89301171</v>
      </c>
      <c r="F12764" t="str">
        <f t="shared" si="2785"/>
        <v>6412150679</v>
      </c>
      <c r="G12764" s="1">
        <v>44900</v>
      </c>
      <c r="H12764" t="str">
        <f t="shared" si="2793"/>
        <v>91197</v>
      </c>
      <c r="I12764">
        <v>1</v>
      </c>
      <c r="J12764">
        <v>1046</v>
      </c>
      <c r="K12764">
        <v>0</v>
      </c>
      <c r="L12764">
        <v>815.88</v>
      </c>
    </row>
    <row r="12765" spans="1:12" x14ac:dyDescent="0.25">
      <c r="A12765" t="str">
        <f t="shared" si="2783"/>
        <v>89301000</v>
      </c>
      <c r="B12765" t="str">
        <f t="shared" si="2792"/>
        <v>06539000</v>
      </c>
      <c r="C12765" t="str">
        <f t="shared" si="2789"/>
        <v>06539003</v>
      </c>
      <c r="D12765" t="str">
        <f t="shared" si="2790"/>
        <v>813</v>
      </c>
      <c r="E12765" t="str">
        <f t="shared" si="2784"/>
        <v>89301171</v>
      </c>
      <c r="F12765" t="str">
        <f t="shared" si="2785"/>
        <v>6412150679</v>
      </c>
      <c r="G12765" s="1">
        <v>44900</v>
      </c>
      <c r="H12765" t="str">
        <f t="shared" si="2793"/>
        <v>91197</v>
      </c>
      <c r="I12765">
        <v>1</v>
      </c>
      <c r="J12765">
        <v>1046</v>
      </c>
      <c r="K12765">
        <v>0</v>
      </c>
      <c r="L12765">
        <v>815.88</v>
      </c>
    </row>
    <row r="12766" spans="1:12" x14ac:dyDescent="0.25">
      <c r="A12766" t="str">
        <f t="shared" si="2783"/>
        <v>89301000</v>
      </c>
      <c r="B12766" t="str">
        <f t="shared" si="2792"/>
        <v>06539000</v>
      </c>
      <c r="C12766" t="str">
        <f t="shared" si="2789"/>
        <v>06539003</v>
      </c>
      <c r="D12766" t="str">
        <f t="shared" si="2790"/>
        <v>813</v>
      </c>
      <c r="E12766" t="str">
        <f t="shared" si="2784"/>
        <v>89301171</v>
      </c>
      <c r="F12766" t="str">
        <f t="shared" si="2785"/>
        <v>6412150679</v>
      </c>
      <c r="G12766" s="1">
        <v>44899</v>
      </c>
      <c r="H12766" t="str">
        <f t="shared" si="2793"/>
        <v>91197</v>
      </c>
      <c r="I12766">
        <v>1</v>
      </c>
      <c r="J12766">
        <v>1046</v>
      </c>
      <c r="K12766">
        <v>0</v>
      </c>
      <c r="L12766">
        <v>815.88</v>
      </c>
    </row>
    <row r="12767" spans="1:12" x14ac:dyDescent="0.25">
      <c r="A12767" t="str">
        <f t="shared" si="2783"/>
        <v>89301000</v>
      </c>
      <c r="B12767" t="str">
        <f t="shared" si="2792"/>
        <v>06539000</v>
      </c>
      <c r="C12767" t="str">
        <f t="shared" si="2789"/>
        <v>06539003</v>
      </c>
      <c r="D12767" t="str">
        <f t="shared" si="2790"/>
        <v>813</v>
      </c>
      <c r="E12767" t="str">
        <f t="shared" si="2784"/>
        <v>89301171</v>
      </c>
      <c r="F12767" t="str">
        <f t="shared" si="2785"/>
        <v>6412150679</v>
      </c>
      <c r="G12767" s="1">
        <v>44899</v>
      </c>
      <c r="H12767" t="str">
        <f t="shared" si="2793"/>
        <v>91197</v>
      </c>
      <c r="I12767">
        <v>1</v>
      </c>
      <c r="J12767">
        <v>1046</v>
      </c>
      <c r="K12767">
        <v>0</v>
      </c>
      <c r="L12767">
        <v>815.88</v>
      </c>
    </row>
    <row r="12768" spans="1:12" x14ac:dyDescent="0.25">
      <c r="A12768" t="str">
        <f t="shared" si="2783"/>
        <v>89301000</v>
      </c>
      <c r="B12768" t="str">
        <f t="shared" si="2792"/>
        <v>06539000</v>
      </c>
      <c r="C12768" t="str">
        <f t="shared" si="2789"/>
        <v>06539003</v>
      </c>
      <c r="D12768" t="str">
        <f t="shared" si="2790"/>
        <v>813</v>
      </c>
      <c r="E12768" t="str">
        <f t="shared" si="2784"/>
        <v>89301171</v>
      </c>
      <c r="F12768" t="str">
        <f t="shared" si="2785"/>
        <v>6412150679</v>
      </c>
      <c r="G12768" s="1">
        <v>44898</v>
      </c>
      <c r="H12768" t="str">
        <f t="shared" si="2793"/>
        <v>91197</v>
      </c>
      <c r="I12768">
        <v>1</v>
      </c>
      <c r="J12768">
        <v>1046</v>
      </c>
      <c r="K12768">
        <v>0</v>
      </c>
      <c r="L12768">
        <v>815.88</v>
      </c>
    </row>
    <row r="12769" spans="1:12" x14ac:dyDescent="0.25">
      <c r="A12769" t="str">
        <f t="shared" si="2783"/>
        <v>89301000</v>
      </c>
      <c r="B12769" t="str">
        <f t="shared" si="2792"/>
        <v>06539000</v>
      </c>
      <c r="C12769" t="str">
        <f t="shared" si="2789"/>
        <v>06539003</v>
      </c>
      <c r="D12769" t="str">
        <f t="shared" si="2790"/>
        <v>813</v>
      </c>
      <c r="E12769" t="str">
        <f t="shared" si="2784"/>
        <v>89301171</v>
      </c>
      <c r="F12769" t="str">
        <f t="shared" si="2785"/>
        <v>6412150679</v>
      </c>
      <c r="G12769" s="1">
        <v>44898</v>
      </c>
      <c r="H12769" t="str">
        <f t="shared" si="2793"/>
        <v>91197</v>
      </c>
      <c r="I12769">
        <v>1</v>
      </c>
      <c r="J12769">
        <v>1046</v>
      </c>
      <c r="K12769">
        <v>0</v>
      </c>
      <c r="L12769">
        <v>815.88</v>
      </c>
    </row>
    <row r="12770" spans="1:12" x14ac:dyDescent="0.25">
      <c r="A12770" t="str">
        <f t="shared" si="2783"/>
        <v>89301000</v>
      </c>
      <c r="B12770" t="str">
        <f t="shared" si="2792"/>
        <v>06539000</v>
      </c>
      <c r="C12770" t="str">
        <f t="shared" si="2789"/>
        <v>06539003</v>
      </c>
      <c r="D12770" t="str">
        <f t="shared" si="2790"/>
        <v>813</v>
      </c>
      <c r="E12770" t="str">
        <f t="shared" si="2784"/>
        <v>89301171</v>
      </c>
      <c r="F12770" t="str">
        <f t="shared" si="2785"/>
        <v>6412150679</v>
      </c>
      <c r="G12770" s="1">
        <v>44913</v>
      </c>
      <c r="H12770" t="str">
        <f>"91329"</f>
        <v>91329</v>
      </c>
      <c r="I12770">
        <v>2</v>
      </c>
      <c r="J12770">
        <v>428</v>
      </c>
      <c r="K12770">
        <v>0</v>
      </c>
      <c r="L12770">
        <v>333.84</v>
      </c>
    </row>
    <row r="12771" spans="1:12" x14ac:dyDescent="0.25">
      <c r="A12771" t="str">
        <f t="shared" si="2783"/>
        <v>89301000</v>
      </c>
      <c r="B12771" t="str">
        <f t="shared" si="2792"/>
        <v>06539000</v>
      </c>
      <c r="C12771" t="str">
        <f t="shared" si="2789"/>
        <v>06539003</v>
      </c>
      <c r="D12771" t="str">
        <f t="shared" si="2790"/>
        <v>813</v>
      </c>
      <c r="E12771" t="str">
        <f t="shared" si="2784"/>
        <v>89301171</v>
      </c>
      <c r="F12771" t="str">
        <f t="shared" si="2785"/>
        <v>6412150679</v>
      </c>
      <c r="G12771" s="1">
        <v>44913</v>
      </c>
      <c r="H12771" t="str">
        <f>"91329"</f>
        <v>91329</v>
      </c>
      <c r="I12771">
        <v>2</v>
      </c>
      <c r="J12771">
        <v>428</v>
      </c>
      <c r="K12771">
        <v>0</v>
      </c>
      <c r="L12771">
        <v>333.84</v>
      </c>
    </row>
    <row r="12772" spans="1:12" x14ac:dyDescent="0.25">
      <c r="A12772" t="str">
        <f t="shared" si="2783"/>
        <v>89301000</v>
      </c>
      <c r="B12772" t="str">
        <f t="shared" si="2792"/>
        <v>06539000</v>
      </c>
      <c r="C12772" t="str">
        <f t="shared" si="2789"/>
        <v>06539003</v>
      </c>
      <c r="D12772" t="str">
        <f t="shared" si="2790"/>
        <v>813</v>
      </c>
      <c r="E12772" t="str">
        <f t="shared" si="2784"/>
        <v>89301171</v>
      </c>
      <c r="F12772" t="str">
        <f t="shared" si="2785"/>
        <v>6412150679</v>
      </c>
      <c r="G12772" s="1">
        <v>44913</v>
      </c>
      <c r="H12772" t="str">
        <f>"91329"</f>
        <v>91329</v>
      </c>
      <c r="I12772">
        <v>2</v>
      </c>
      <c r="J12772">
        <v>428</v>
      </c>
      <c r="K12772">
        <v>0</v>
      </c>
      <c r="L12772">
        <v>333.84</v>
      </c>
    </row>
    <row r="12773" spans="1:12" x14ac:dyDescent="0.25">
      <c r="A12773" t="str">
        <f t="shared" si="2783"/>
        <v>89301000</v>
      </c>
      <c r="B12773" t="str">
        <f t="shared" si="2792"/>
        <v>06539000</v>
      </c>
      <c r="C12773" t="str">
        <f t="shared" si="2789"/>
        <v>06539003</v>
      </c>
      <c r="D12773" t="str">
        <f t="shared" si="2790"/>
        <v>813</v>
      </c>
      <c r="E12773" t="str">
        <f t="shared" si="2784"/>
        <v>89301171</v>
      </c>
      <c r="F12773" t="str">
        <f t="shared" si="2785"/>
        <v>6412150679</v>
      </c>
      <c r="G12773" s="1">
        <v>44913</v>
      </c>
      <c r="H12773" t="str">
        <f>"91329"</f>
        <v>91329</v>
      </c>
      <c r="I12773">
        <v>2</v>
      </c>
      <c r="J12773">
        <v>428</v>
      </c>
      <c r="K12773">
        <v>0</v>
      </c>
      <c r="L12773">
        <v>333.84</v>
      </c>
    </row>
    <row r="12774" spans="1:12" x14ac:dyDescent="0.25">
      <c r="A12774" t="str">
        <f t="shared" si="2783"/>
        <v>89301000</v>
      </c>
      <c r="B12774" t="str">
        <f t="shared" si="2792"/>
        <v>06539000</v>
      </c>
      <c r="C12774" t="str">
        <f t="shared" si="2789"/>
        <v>06539003</v>
      </c>
      <c r="D12774" t="str">
        <f t="shared" si="2790"/>
        <v>813</v>
      </c>
      <c r="E12774" t="str">
        <f t="shared" si="2784"/>
        <v>89301171</v>
      </c>
      <c r="F12774" t="str">
        <f t="shared" si="2785"/>
        <v>6412150679</v>
      </c>
      <c r="G12774" s="1">
        <v>44900</v>
      </c>
      <c r="H12774" t="str">
        <f>"91129"</f>
        <v>91129</v>
      </c>
      <c r="I12774">
        <v>1</v>
      </c>
      <c r="J12774">
        <v>174</v>
      </c>
      <c r="K12774">
        <v>0</v>
      </c>
      <c r="L12774">
        <v>135.72</v>
      </c>
    </row>
    <row r="12775" spans="1:12" x14ac:dyDescent="0.25">
      <c r="A12775" t="str">
        <f t="shared" si="2783"/>
        <v>89301000</v>
      </c>
      <c r="B12775" t="str">
        <f t="shared" si="2792"/>
        <v>06539000</v>
      </c>
      <c r="C12775" t="str">
        <f t="shared" si="2789"/>
        <v>06539003</v>
      </c>
      <c r="D12775" t="str">
        <f t="shared" si="2790"/>
        <v>813</v>
      </c>
      <c r="E12775" t="str">
        <f t="shared" ref="E12775:E12806" si="2794">"89301171"</f>
        <v>89301171</v>
      </c>
      <c r="F12775" t="str">
        <f t="shared" si="2785"/>
        <v>6412150679</v>
      </c>
      <c r="G12775" s="1">
        <v>44900</v>
      </c>
      <c r="H12775" t="str">
        <f>"91131"</f>
        <v>91131</v>
      </c>
      <c r="I12775">
        <v>1</v>
      </c>
      <c r="J12775">
        <v>171</v>
      </c>
      <c r="K12775">
        <v>0</v>
      </c>
      <c r="L12775">
        <v>133.38</v>
      </c>
    </row>
    <row r="12776" spans="1:12" x14ac:dyDescent="0.25">
      <c r="A12776" t="str">
        <f t="shared" si="2783"/>
        <v>89301000</v>
      </c>
      <c r="B12776" t="str">
        <f t="shared" si="2792"/>
        <v>06539000</v>
      </c>
      <c r="C12776" t="str">
        <f t="shared" si="2789"/>
        <v>06539003</v>
      </c>
      <c r="D12776" t="str">
        <f t="shared" si="2790"/>
        <v>813</v>
      </c>
      <c r="E12776" t="str">
        <f t="shared" si="2794"/>
        <v>89301171</v>
      </c>
      <c r="F12776" t="str">
        <f t="shared" si="2785"/>
        <v>6412150679</v>
      </c>
      <c r="G12776" s="1">
        <v>44900</v>
      </c>
      <c r="H12776" t="str">
        <f>"91133"</f>
        <v>91133</v>
      </c>
      <c r="I12776">
        <v>1</v>
      </c>
      <c r="J12776">
        <v>176</v>
      </c>
      <c r="K12776">
        <v>0</v>
      </c>
      <c r="L12776">
        <v>137.28</v>
      </c>
    </row>
    <row r="12777" spans="1:12" x14ac:dyDescent="0.25">
      <c r="A12777" t="str">
        <f t="shared" si="2783"/>
        <v>89301000</v>
      </c>
      <c r="B12777" t="str">
        <f t="shared" si="2792"/>
        <v>06539000</v>
      </c>
      <c r="C12777" t="str">
        <f t="shared" si="2789"/>
        <v>06539003</v>
      </c>
      <c r="D12777" t="str">
        <f t="shared" si="2790"/>
        <v>813</v>
      </c>
      <c r="E12777" t="str">
        <f t="shared" si="2794"/>
        <v>89301171</v>
      </c>
      <c r="F12777" t="str">
        <f t="shared" si="2785"/>
        <v>6412150679</v>
      </c>
      <c r="G12777" s="1">
        <v>44900</v>
      </c>
      <c r="H12777" t="str">
        <f>"91171"</f>
        <v>91171</v>
      </c>
      <c r="I12777">
        <v>1</v>
      </c>
      <c r="J12777">
        <v>360</v>
      </c>
      <c r="K12777">
        <v>0</v>
      </c>
      <c r="L12777">
        <v>280.8</v>
      </c>
    </row>
    <row r="12778" spans="1:12" x14ac:dyDescent="0.25">
      <c r="A12778" t="str">
        <f t="shared" si="2783"/>
        <v>89301000</v>
      </c>
      <c r="B12778" t="str">
        <f t="shared" si="2792"/>
        <v>06539000</v>
      </c>
      <c r="C12778" t="str">
        <f t="shared" si="2789"/>
        <v>06539003</v>
      </c>
      <c r="D12778" t="str">
        <f t="shared" si="2790"/>
        <v>813</v>
      </c>
      <c r="E12778" t="str">
        <f t="shared" si="2794"/>
        <v>89301171</v>
      </c>
      <c r="F12778" t="str">
        <f t="shared" si="2785"/>
        <v>6412150679</v>
      </c>
      <c r="G12778" s="1">
        <v>44897</v>
      </c>
      <c r="H12778" t="str">
        <f>"91173"</f>
        <v>91173</v>
      </c>
      <c r="I12778">
        <v>1</v>
      </c>
      <c r="J12778">
        <v>335</v>
      </c>
      <c r="K12778">
        <v>0</v>
      </c>
      <c r="L12778">
        <v>261.3</v>
      </c>
    </row>
    <row r="12779" spans="1:12" x14ac:dyDescent="0.25">
      <c r="A12779" t="str">
        <f t="shared" si="2783"/>
        <v>89301000</v>
      </c>
      <c r="B12779" t="str">
        <f t="shared" si="2792"/>
        <v>06539000</v>
      </c>
      <c r="C12779" t="str">
        <f t="shared" si="2789"/>
        <v>06539003</v>
      </c>
      <c r="D12779" t="str">
        <f t="shared" si="2790"/>
        <v>813</v>
      </c>
      <c r="E12779" t="str">
        <f t="shared" si="2794"/>
        <v>89301171</v>
      </c>
      <c r="F12779" t="str">
        <f t="shared" si="2785"/>
        <v>6412150679</v>
      </c>
      <c r="G12779" s="1">
        <v>44900</v>
      </c>
      <c r="H12779" t="str">
        <f>"91175"</f>
        <v>91175</v>
      </c>
      <c r="I12779">
        <v>1</v>
      </c>
      <c r="J12779">
        <v>360</v>
      </c>
      <c r="K12779">
        <v>0</v>
      </c>
      <c r="L12779">
        <v>280.8</v>
      </c>
    </row>
    <row r="12780" spans="1:12" x14ac:dyDescent="0.25">
      <c r="A12780" t="str">
        <f t="shared" si="2783"/>
        <v>89301000</v>
      </c>
      <c r="B12780" t="str">
        <f t="shared" si="2792"/>
        <v>06539000</v>
      </c>
      <c r="C12780" t="str">
        <f t="shared" si="2789"/>
        <v>06539003</v>
      </c>
      <c r="D12780" t="str">
        <f t="shared" si="2790"/>
        <v>813</v>
      </c>
      <c r="E12780" t="str">
        <f t="shared" si="2794"/>
        <v>89301171</v>
      </c>
      <c r="F12780" t="str">
        <f t="shared" si="2785"/>
        <v>6412150679</v>
      </c>
      <c r="G12780" s="1">
        <v>44898</v>
      </c>
      <c r="H12780" t="str">
        <f>"91167"</f>
        <v>91167</v>
      </c>
      <c r="I12780">
        <v>1</v>
      </c>
      <c r="J12780">
        <v>425</v>
      </c>
      <c r="K12780">
        <v>0</v>
      </c>
      <c r="L12780">
        <v>331.5</v>
      </c>
    </row>
    <row r="12781" spans="1:12" x14ac:dyDescent="0.25">
      <c r="A12781" t="str">
        <f t="shared" si="2783"/>
        <v>89301000</v>
      </c>
      <c r="B12781" t="str">
        <f t="shared" si="2792"/>
        <v>06539000</v>
      </c>
      <c r="C12781" t="str">
        <f t="shared" si="2789"/>
        <v>06539003</v>
      </c>
      <c r="D12781" t="str">
        <f t="shared" si="2790"/>
        <v>813</v>
      </c>
      <c r="E12781" t="str">
        <f t="shared" si="2794"/>
        <v>89301171</v>
      </c>
      <c r="F12781" t="str">
        <f t="shared" si="2785"/>
        <v>6412150679</v>
      </c>
      <c r="G12781" s="1">
        <v>44898</v>
      </c>
      <c r="H12781" t="str">
        <f>"91169"</f>
        <v>91169</v>
      </c>
      <c r="I12781">
        <v>1</v>
      </c>
      <c r="J12781">
        <v>425</v>
      </c>
      <c r="K12781">
        <v>0</v>
      </c>
      <c r="L12781">
        <v>331.5</v>
      </c>
    </row>
    <row r="12782" spans="1:12" x14ac:dyDescent="0.25">
      <c r="A12782" t="str">
        <f t="shared" si="2783"/>
        <v>89301000</v>
      </c>
      <c r="B12782" t="str">
        <f t="shared" si="2792"/>
        <v>06539000</v>
      </c>
      <c r="C12782" t="str">
        <f t="shared" si="2789"/>
        <v>06539003</v>
      </c>
      <c r="D12782" t="str">
        <f t="shared" si="2790"/>
        <v>813</v>
      </c>
      <c r="E12782" t="str">
        <f t="shared" si="2794"/>
        <v>89301171</v>
      </c>
      <c r="F12782" t="str">
        <f t="shared" si="2785"/>
        <v>6412150679</v>
      </c>
      <c r="G12782" s="1">
        <v>44897</v>
      </c>
      <c r="H12782" t="str">
        <f>"91167"</f>
        <v>91167</v>
      </c>
      <c r="I12782">
        <v>1</v>
      </c>
      <c r="J12782">
        <v>425</v>
      </c>
      <c r="K12782">
        <v>0</v>
      </c>
      <c r="L12782">
        <v>331.5</v>
      </c>
    </row>
    <row r="12783" spans="1:12" x14ac:dyDescent="0.25">
      <c r="A12783" t="str">
        <f t="shared" si="2783"/>
        <v>89301000</v>
      </c>
      <c r="B12783" t="str">
        <f t="shared" si="2792"/>
        <v>06539000</v>
      </c>
      <c r="C12783" t="str">
        <f t="shared" si="2789"/>
        <v>06539003</v>
      </c>
      <c r="D12783" t="str">
        <f t="shared" si="2790"/>
        <v>813</v>
      </c>
      <c r="E12783" t="str">
        <f t="shared" si="2794"/>
        <v>89301171</v>
      </c>
      <c r="F12783" t="str">
        <f t="shared" si="2785"/>
        <v>6412150679</v>
      </c>
      <c r="G12783" s="1">
        <v>44897</v>
      </c>
      <c r="H12783" t="str">
        <f>"91169"</f>
        <v>91169</v>
      </c>
      <c r="I12783">
        <v>1</v>
      </c>
      <c r="J12783">
        <v>425</v>
      </c>
      <c r="K12783">
        <v>0</v>
      </c>
      <c r="L12783">
        <v>331.5</v>
      </c>
    </row>
    <row r="12784" spans="1:12" x14ac:dyDescent="0.25">
      <c r="A12784" t="str">
        <f t="shared" si="2783"/>
        <v>89301000</v>
      </c>
      <c r="B12784" t="str">
        <f t="shared" si="2792"/>
        <v>06539000</v>
      </c>
      <c r="C12784" t="str">
        <f t="shared" si="2789"/>
        <v>06539003</v>
      </c>
      <c r="D12784" t="str">
        <f t="shared" si="2790"/>
        <v>813</v>
      </c>
      <c r="E12784" t="str">
        <f t="shared" si="2794"/>
        <v>89301171</v>
      </c>
      <c r="F12784" t="str">
        <f t="shared" si="2785"/>
        <v>6412150679</v>
      </c>
      <c r="G12784" s="1">
        <v>44902</v>
      </c>
      <c r="H12784" t="str">
        <f>"91475"</f>
        <v>91475</v>
      </c>
      <c r="I12784">
        <v>1</v>
      </c>
      <c r="J12784">
        <v>206</v>
      </c>
      <c r="K12784">
        <v>0</v>
      </c>
      <c r="L12784">
        <v>160.68</v>
      </c>
    </row>
    <row r="12785" spans="1:12" x14ac:dyDescent="0.25">
      <c r="A12785" t="str">
        <f t="shared" si="2783"/>
        <v>89301000</v>
      </c>
      <c r="B12785" t="str">
        <f t="shared" si="2792"/>
        <v>06539000</v>
      </c>
      <c r="C12785" t="str">
        <f>"06539001"</f>
        <v>06539001</v>
      </c>
      <c r="D12785" t="str">
        <f>"801"</f>
        <v>801</v>
      </c>
      <c r="E12785" t="str">
        <f t="shared" si="2794"/>
        <v>89301171</v>
      </c>
      <c r="F12785" t="str">
        <f t="shared" ref="F12785:F12826" si="2795">"9851045710"</f>
        <v>9851045710</v>
      </c>
      <c r="G12785" s="1">
        <v>44897</v>
      </c>
      <c r="H12785" t="str">
        <f>"81329"</f>
        <v>81329</v>
      </c>
      <c r="I12785">
        <v>1</v>
      </c>
      <c r="J12785">
        <v>16</v>
      </c>
      <c r="K12785">
        <v>0</v>
      </c>
      <c r="L12785">
        <v>12.48</v>
      </c>
    </row>
    <row r="12786" spans="1:12" x14ac:dyDescent="0.25">
      <c r="A12786" t="str">
        <f t="shared" si="2783"/>
        <v>89301000</v>
      </c>
      <c r="B12786" t="str">
        <f t="shared" si="2792"/>
        <v>06539000</v>
      </c>
      <c r="C12786" t="str">
        <f>"06539001"</f>
        <v>06539001</v>
      </c>
      <c r="D12786" t="str">
        <f>"801"</f>
        <v>801</v>
      </c>
      <c r="E12786" t="str">
        <f t="shared" si="2794"/>
        <v>89301171</v>
      </c>
      <c r="F12786" t="str">
        <f t="shared" si="2795"/>
        <v>9851045710</v>
      </c>
      <c r="G12786" s="1">
        <v>44897</v>
      </c>
      <c r="H12786" t="str">
        <f>"81331"</f>
        <v>81331</v>
      </c>
      <c r="I12786">
        <v>1</v>
      </c>
      <c r="J12786">
        <v>193</v>
      </c>
      <c r="K12786">
        <v>0</v>
      </c>
      <c r="L12786">
        <v>150.54</v>
      </c>
    </row>
    <row r="12787" spans="1:12" x14ac:dyDescent="0.25">
      <c r="A12787" t="str">
        <f t="shared" si="2783"/>
        <v>89301000</v>
      </c>
      <c r="B12787" t="str">
        <f t="shared" si="2792"/>
        <v>06539000</v>
      </c>
      <c r="C12787" t="str">
        <f t="shared" ref="C12787:C12794" si="2796">"06539002"</f>
        <v>06539002</v>
      </c>
      <c r="D12787" t="str">
        <f t="shared" ref="D12787:D12794" si="2797">"802"</f>
        <v>802</v>
      </c>
      <c r="E12787" t="str">
        <f t="shared" si="2794"/>
        <v>89301171</v>
      </c>
      <c r="F12787" t="str">
        <f t="shared" si="2795"/>
        <v>9851045710</v>
      </c>
      <c r="G12787" s="1">
        <v>44897</v>
      </c>
      <c r="H12787" t="str">
        <f t="shared" ref="H12787:H12794" si="2798">"82097"</f>
        <v>82097</v>
      </c>
      <c r="I12787">
        <v>1</v>
      </c>
      <c r="J12787">
        <v>380</v>
      </c>
      <c r="K12787">
        <v>0</v>
      </c>
      <c r="L12787">
        <v>345.8</v>
      </c>
    </row>
    <row r="12788" spans="1:12" x14ac:dyDescent="0.25">
      <c r="A12788" t="str">
        <f t="shared" si="2783"/>
        <v>89301000</v>
      </c>
      <c r="B12788" t="str">
        <f t="shared" si="2792"/>
        <v>06539000</v>
      </c>
      <c r="C12788" t="str">
        <f t="shared" si="2796"/>
        <v>06539002</v>
      </c>
      <c r="D12788" t="str">
        <f t="shared" si="2797"/>
        <v>802</v>
      </c>
      <c r="E12788" t="str">
        <f t="shared" si="2794"/>
        <v>89301171</v>
      </c>
      <c r="F12788" t="str">
        <f t="shared" si="2795"/>
        <v>9851045710</v>
      </c>
      <c r="G12788" s="1">
        <v>44897</v>
      </c>
      <c r="H12788" t="str">
        <f t="shared" si="2798"/>
        <v>82097</v>
      </c>
      <c r="I12788">
        <v>1</v>
      </c>
      <c r="J12788">
        <v>380</v>
      </c>
      <c r="K12788">
        <v>0</v>
      </c>
      <c r="L12788">
        <v>345.8</v>
      </c>
    </row>
    <row r="12789" spans="1:12" x14ac:dyDescent="0.25">
      <c r="A12789" t="str">
        <f t="shared" si="2783"/>
        <v>89301000</v>
      </c>
      <c r="B12789" t="str">
        <f t="shared" si="2792"/>
        <v>06539000</v>
      </c>
      <c r="C12789" t="str">
        <f t="shared" si="2796"/>
        <v>06539002</v>
      </c>
      <c r="D12789" t="str">
        <f t="shared" si="2797"/>
        <v>802</v>
      </c>
      <c r="E12789" t="str">
        <f t="shared" si="2794"/>
        <v>89301171</v>
      </c>
      <c r="F12789" t="str">
        <f t="shared" si="2795"/>
        <v>9851045710</v>
      </c>
      <c r="G12789" s="1">
        <v>44897</v>
      </c>
      <c r="H12789" t="str">
        <f t="shared" si="2798"/>
        <v>82097</v>
      </c>
      <c r="I12789">
        <v>1</v>
      </c>
      <c r="J12789">
        <v>380</v>
      </c>
      <c r="K12789">
        <v>0</v>
      </c>
      <c r="L12789">
        <v>345.8</v>
      </c>
    </row>
    <row r="12790" spans="1:12" x14ac:dyDescent="0.25">
      <c r="A12790" t="str">
        <f t="shared" si="2783"/>
        <v>89301000</v>
      </c>
      <c r="B12790" t="str">
        <f t="shared" si="2792"/>
        <v>06539000</v>
      </c>
      <c r="C12790" t="str">
        <f t="shared" si="2796"/>
        <v>06539002</v>
      </c>
      <c r="D12790" t="str">
        <f t="shared" si="2797"/>
        <v>802</v>
      </c>
      <c r="E12790" t="str">
        <f t="shared" si="2794"/>
        <v>89301171</v>
      </c>
      <c r="F12790" t="str">
        <f t="shared" si="2795"/>
        <v>9851045710</v>
      </c>
      <c r="G12790" s="1">
        <v>44897</v>
      </c>
      <c r="H12790" t="str">
        <f t="shared" si="2798"/>
        <v>82097</v>
      </c>
      <c r="I12790">
        <v>1</v>
      </c>
      <c r="J12790">
        <v>380</v>
      </c>
      <c r="K12790">
        <v>0</v>
      </c>
      <c r="L12790">
        <v>345.8</v>
      </c>
    </row>
    <row r="12791" spans="1:12" x14ac:dyDescent="0.25">
      <c r="A12791" t="str">
        <f t="shared" si="2783"/>
        <v>89301000</v>
      </c>
      <c r="B12791" t="str">
        <f t="shared" si="2792"/>
        <v>06539000</v>
      </c>
      <c r="C12791" t="str">
        <f t="shared" si="2796"/>
        <v>06539002</v>
      </c>
      <c r="D12791" t="str">
        <f t="shared" si="2797"/>
        <v>802</v>
      </c>
      <c r="E12791" t="str">
        <f t="shared" si="2794"/>
        <v>89301171</v>
      </c>
      <c r="F12791" t="str">
        <f t="shared" si="2795"/>
        <v>9851045710</v>
      </c>
      <c r="G12791" s="1">
        <v>44897</v>
      </c>
      <c r="H12791" t="str">
        <f t="shared" si="2798"/>
        <v>82097</v>
      </c>
      <c r="I12791">
        <v>1</v>
      </c>
      <c r="J12791">
        <v>380</v>
      </c>
      <c r="K12791">
        <v>0</v>
      </c>
      <c r="L12791">
        <v>345.8</v>
      </c>
    </row>
    <row r="12792" spans="1:12" x14ac:dyDescent="0.25">
      <c r="A12792" t="str">
        <f t="shared" si="2783"/>
        <v>89301000</v>
      </c>
      <c r="B12792" t="str">
        <f t="shared" si="2792"/>
        <v>06539000</v>
      </c>
      <c r="C12792" t="str">
        <f t="shared" si="2796"/>
        <v>06539002</v>
      </c>
      <c r="D12792" t="str">
        <f t="shared" si="2797"/>
        <v>802</v>
      </c>
      <c r="E12792" t="str">
        <f t="shared" si="2794"/>
        <v>89301171</v>
      </c>
      <c r="F12792" t="str">
        <f t="shared" si="2795"/>
        <v>9851045710</v>
      </c>
      <c r="G12792" s="1">
        <v>44897</v>
      </c>
      <c r="H12792" t="str">
        <f t="shared" si="2798"/>
        <v>82097</v>
      </c>
      <c r="I12792">
        <v>1</v>
      </c>
      <c r="J12792">
        <v>380</v>
      </c>
      <c r="K12792">
        <v>0</v>
      </c>
      <c r="L12792">
        <v>345.8</v>
      </c>
    </row>
    <row r="12793" spans="1:12" x14ac:dyDescent="0.25">
      <c r="A12793" t="str">
        <f t="shared" si="2783"/>
        <v>89301000</v>
      </c>
      <c r="B12793" t="str">
        <f t="shared" si="2792"/>
        <v>06539000</v>
      </c>
      <c r="C12793" t="str">
        <f t="shared" si="2796"/>
        <v>06539002</v>
      </c>
      <c r="D12793" t="str">
        <f t="shared" si="2797"/>
        <v>802</v>
      </c>
      <c r="E12793" t="str">
        <f t="shared" si="2794"/>
        <v>89301171</v>
      </c>
      <c r="F12793" t="str">
        <f t="shared" si="2795"/>
        <v>9851045710</v>
      </c>
      <c r="G12793" s="1">
        <v>44897</v>
      </c>
      <c r="H12793" t="str">
        <f t="shared" si="2798"/>
        <v>82097</v>
      </c>
      <c r="I12793">
        <v>1</v>
      </c>
      <c r="J12793">
        <v>380</v>
      </c>
      <c r="K12793">
        <v>0</v>
      </c>
      <c r="L12793">
        <v>345.8</v>
      </c>
    </row>
    <row r="12794" spans="1:12" x14ac:dyDescent="0.25">
      <c r="A12794" t="str">
        <f t="shared" si="2783"/>
        <v>89301000</v>
      </c>
      <c r="B12794" t="str">
        <f t="shared" si="2792"/>
        <v>06539000</v>
      </c>
      <c r="C12794" t="str">
        <f t="shared" si="2796"/>
        <v>06539002</v>
      </c>
      <c r="D12794" t="str">
        <f t="shared" si="2797"/>
        <v>802</v>
      </c>
      <c r="E12794" t="str">
        <f t="shared" si="2794"/>
        <v>89301171</v>
      </c>
      <c r="F12794" t="str">
        <f t="shared" si="2795"/>
        <v>9851045710</v>
      </c>
      <c r="G12794" s="1">
        <v>44897</v>
      </c>
      <c r="H12794" t="str">
        <f t="shared" si="2798"/>
        <v>82097</v>
      </c>
      <c r="I12794">
        <v>1</v>
      </c>
      <c r="J12794">
        <v>380</v>
      </c>
      <c r="K12794">
        <v>0</v>
      </c>
      <c r="L12794">
        <v>345.8</v>
      </c>
    </row>
    <row r="12795" spans="1:12" x14ac:dyDescent="0.25">
      <c r="A12795" t="str">
        <f t="shared" si="2783"/>
        <v>89301000</v>
      </c>
      <c r="B12795" t="str">
        <f t="shared" si="2792"/>
        <v>06539000</v>
      </c>
      <c r="C12795" t="str">
        <f t="shared" ref="C12795:C12826" si="2799">"06539003"</f>
        <v>06539003</v>
      </c>
      <c r="D12795" t="str">
        <f t="shared" ref="D12795:D12826" si="2800">"813"</f>
        <v>813</v>
      </c>
      <c r="E12795" t="str">
        <f t="shared" si="2794"/>
        <v>89301171</v>
      </c>
      <c r="F12795" t="str">
        <f t="shared" si="2795"/>
        <v>9851045710</v>
      </c>
      <c r="G12795" s="1">
        <v>44902</v>
      </c>
      <c r="H12795" t="str">
        <f t="shared" ref="H12795:H12804" si="2801">"91413"</f>
        <v>91413</v>
      </c>
      <c r="I12795">
        <v>1</v>
      </c>
      <c r="J12795">
        <v>853</v>
      </c>
      <c r="K12795">
        <v>0</v>
      </c>
      <c r="L12795">
        <v>665.34</v>
      </c>
    </row>
    <row r="12796" spans="1:12" x14ac:dyDescent="0.25">
      <c r="A12796" t="str">
        <f t="shared" si="2783"/>
        <v>89301000</v>
      </c>
      <c r="B12796" t="str">
        <f t="shared" si="2792"/>
        <v>06539000</v>
      </c>
      <c r="C12796" t="str">
        <f t="shared" si="2799"/>
        <v>06539003</v>
      </c>
      <c r="D12796" t="str">
        <f t="shared" si="2800"/>
        <v>813</v>
      </c>
      <c r="E12796" t="str">
        <f t="shared" si="2794"/>
        <v>89301171</v>
      </c>
      <c r="F12796" t="str">
        <f t="shared" si="2795"/>
        <v>9851045710</v>
      </c>
      <c r="G12796" s="1">
        <v>44902</v>
      </c>
      <c r="H12796" t="str">
        <f t="shared" si="2801"/>
        <v>91413</v>
      </c>
      <c r="I12796">
        <v>1</v>
      </c>
      <c r="J12796">
        <v>853</v>
      </c>
      <c r="K12796">
        <v>0</v>
      </c>
      <c r="L12796">
        <v>665.34</v>
      </c>
    </row>
    <row r="12797" spans="1:12" x14ac:dyDescent="0.25">
      <c r="A12797" t="str">
        <f t="shared" si="2783"/>
        <v>89301000</v>
      </c>
      <c r="B12797" t="str">
        <f t="shared" si="2792"/>
        <v>06539000</v>
      </c>
      <c r="C12797" t="str">
        <f t="shared" si="2799"/>
        <v>06539003</v>
      </c>
      <c r="D12797" t="str">
        <f t="shared" si="2800"/>
        <v>813</v>
      </c>
      <c r="E12797" t="str">
        <f t="shared" si="2794"/>
        <v>89301171</v>
      </c>
      <c r="F12797" t="str">
        <f t="shared" si="2795"/>
        <v>9851045710</v>
      </c>
      <c r="G12797" s="1">
        <v>44913</v>
      </c>
      <c r="H12797" t="str">
        <f t="shared" si="2801"/>
        <v>91413</v>
      </c>
      <c r="I12797">
        <v>1</v>
      </c>
      <c r="J12797">
        <v>853</v>
      </c>
      <c r="K12797">
        <v>0</v>
      </c>
      <c r="L12797">
        <v>665.34</v>
      </c>
    </row>
    <row r="12798" spans="1:12" x14ac:dyDescent="0.25">
      <c r="A12798" t="str">
        <f t="shared" si="2783"/>
        <v>89301000</v>
      </c>
      <c r="B12798" t="str">
        <f t="shared" si="2792"/>
        <v>06539000</v>
      </c>
      <c r="C12798" t="str">
        <f t="shared" si="2799"/>
        <v>06539003</v>
      </c>
      <c r="D12798" t="str">
        <f t="shared" si="2800"/>
        <v>813</v>
      </c>
      <c r="E12798" t="str">
        <f t="shared" si="2794"/>
        <v>89301171</v>
      </c>
      <c r="F12798" t="str">
        <f t="shared" si="2795"/>
        <v>9851045710</v>
      </c>
      <c r="G12798" s="1">
        <v>44913</v>
      </c>
      <c r="H12798" t="str">
        <f t="shared" si="2801"/>
        <v>91413</v>
      </c>
      <c r="I12798">
        <v>1</v>
      </c>
      <c r="J12798">
        <v>853</v>
      </c>
      <c r="K12798">
        <v>0</v>
      </c>
      <c r="L12798">
        <v>665.34</v>
      </c>
    </row>
    <row r="12799" spans="1:12" x14ac:dyDescent="0.25">
      <c r="A12799" t="str">
        <f t="shared" si="2783"/>
        <v>89301000</v>
      </c>
      <c r="B12799" t="str">
        <f t="shared" si="2792"/>
        <v>06539000</v>
      </c>
      <c r="C12799" t="str">
        <f t="shared" si="2799"/>
        <v>06539003</v>
      </c>
      <c r="D12799" t="str">
        <f t="shared" si="2800"/>
        <v>813</v>
      </c>
      <c r="E12799" t="str">
        <f t="shared" si="2794"/>
        <v>89301171</v>
      </c>
      <c r="F12799" t="str">
        <f t="shared" si="2795"/>
        <v>9851045710</v>
      </c>
      <c r="G12799" s="1">
        <v>44910</v>
      </c>
      <c r="H12799" t="str">
        <f t="shared" si="2801"/>
        <v>91413</v>
      </c>
      <c r="I12799">
        <v>1</v>
      </c>
      <c r="J12799">
        <v>853</v>
      </c>
      <c r="K12799">
        <v>0</v>
      </c>
      <c r="L12799">
        <v>665.34</v>
      </c>
    </row>
    <row r="12800" spans="1:12" x14ac:dyDescent="0.25">
      <c r="A12800" t="str">
        <f t="shared" si="2783"/>
        <v>89301000</v>
      </c>
      <c r="B12800" t="str">
        <f t="shared" si="2792"/>
        <v>06539000</v>
      </c>
      <c r="C12800" t="str">
        <f t="shared" si="2799"/>
        <v>06539003</v>
      </c>
      <c r="D12800" t="str">
        <f t="shared" si="2800"/>
        <v>813</v>
      </c>
      <c r="E12800" t="str">
        <f t="shared" si="2794"/>
        <v>89301171</v>
      </c>
      <c r="F12800" t="str">
        <f t="shared" si="2795"/>
        <v>9851045710</v>
      </c>
      <c r="G12800" s="1">
        <v>44910</v>
      </c>
      <c r="H12800" t="str">
        <f t="shared" si="2801"/>
        <v>91413</v>
      </c>
      <c r="I12800">
        <v>1</v>
      </c>
      <c r="J12800">
        <v>853</v>
      </c>
      <c r="K12800">
        <v>0</v>
      </c>
      <c r="L12800">
        <v>665.34</v>
      </c>
    </row>
    <row r="12801" spans="1:12" x14ac:dyDescent="0.25">
      <c r="A12801" t="str">
        <f t="shared" si="2783"/>
        <v>89301000</v>
      </c>
      <c r="B12801" t="str">
        <f t="shared" si="2792"/>
        <v>06539000</v>
      </c>
      <c r="C12801" t="str">
        <f t="shared" si="2799"/>
        <v>06539003</v>
      </c>
      <c r="D12801" t="str">
        <f t="shared" si="2800"/>
        <v>813</v>
      </c>
      <c r="E12801" t="str">
        <f t="shared" si="2794"/>
        <v>89301171</v>
      </c>
      <c r="F12801" t="str">
        <f t="shared" si="2795"/>
        <v>9851045710</v>
      </c>
      <c r="G12801" s="1">
        <v>44913</v>
      </c>
      <c r="H12801" t="str">
        <f t="shared" si="2801"/>
        <v>91413</v>
      </c>
      <c r="I12801">
        <v>1</v>
      </c>
      <c r="J12801">
        <v>853</v>
      </c>
      <c r="K12801">
        <v>0</v>
      </c>
      <c r="L12801">
        <v>665.34</v>
      </c>
    </row>
    <row r="12802" spans="1:12" x14ac:dyDescent="0.25">
      <c r="A12802" t="str">
        <f t="shared" ref="A12802:A12865" si="2802">"89301000"</f>
        <v>89301000</v>
      </c>
      <c r="B12802" t="str">
        <f t="shared" si="2792"/>
        <v>06539000</v>
      </c>
      <c r="C12802" t="str">
        <f t="shared" si="2799"/>
        <v>06539003</v>
      </c>
      <c r="D12802" t="str">
        <f t="shared" si="2800"/>
        <v>813</v>
      </c>
      <c r="E12802" t="str">
        <f t="shared" si="2794"/>
        <v>89301171</v>
      </c>
      <c r="F12802" t="str">
        <f t="shared" si="2795"/>
        <v>9851045710</v>
      </c>
      <c r="G12802" s="1">
        <v>44913</v>
      </c>
      <c r="H12802" t="str">
        <f t="shared" si="2801"/>
        <v>91413</v>
      </c>
      <c r="I12802">
        <v>1</v>
      </c>
      <c r="J12802">
        <v>853</v>
      </c>
      <c r="K12802">
        <v>0</v>
      </c>
      <c r="L12802">
        <v>665.34</v>
      </c>
    </row>
    <row r="12803" spans="1:12" x14ac:dyDescent="0.25">
      <c r="A12803" t="str">
        <f t="shared" si="2802"/>
        <v>89301000</v>
      </c>
      <c r="B12803" t="str">
        <f t="shared" si="2792"/>
        <v>06539000</v>
      </c>
      <c r="C12803" t="str">
        <f t="shared" si="2799"/>
        <v>06539003</v>
      </c>
      <c r="D12803" t="str">
        <f t="shared" si="2800"/>
        <v>813</v>
      </c>
      <c r="E12803" t="str">
        <f t="shared" si="2794"/>
        <v>89301171</v>
      </c>
      <c r="F12803" t="str">
        <f t="shared" si="2795"/>
        <v>9851045710</v>
      </c>
      <c r="G12803" s="1">
        <v>44913</v>
      </c>
      <c r="H12803" t="str">
        <f t="shared" si="2801"/>
        <v>91413</v>
      </c>
      <c r="I12803">
        <v>1</v>
      </c>
      <c r="J12803">
        <v>853</v>
      </c>
      <c r="K12803">
        <v>0</v>
      </c>
      <c r="L12803">
        <v>665.34</v>
      </c>
    </row>
    <row r="12804" spans="1:12" x14ac:dyDescent="0.25">
      <c r="A12804" t="str">
        <f t="shared" si="2802"/>
        <v>89301000</v>
      </c>
      <c r="B12804" t="str">
        <f t="shared" si="2792"/>
        <v>06539000</v>
      </c>
      <c r="C12804" t="str">
        <f t="shared" si="2799"/>
        <v>06539003</v>
      </c>
      <c r="D12804" t="str">
        <f t="shared" si="2800"/>
        <v>813</v>
      </c>
      <c r="E12804" t="str">
        <f t="shared" si="2794"/>
        <v>89301171</v>
      </c>
      <c r="F12804" t="str">
        <f t="shared" si="2795"/>
        <v>9851045710</v>
      </c>
      <c r="G12804" s="1">
        <v>44913</v>
      </c>
      <c r="H12804" t="str">
        <f t="shared" si="2801"/>
        <v>91413</v>
      </c>
      <c r="I12804">
        <v>1</v>
      </c>
      <c r="J12804">
        <v>853</v>
      </c>
      <c r="K12804">
        <v>0</v>
      </c>
      <c r="L12804">
        <v>665.34</v>
      </c>
    </row>
    <row r="12805" spans="1:12" x14ac:dyDescent="0.25">
      <c r="A12805" t="str">
        <f t="shared" si="2802"/>
        <v>89301000</v>
      </c>
      <c r="B12805" t="str">
        <f t="shared" si="2792"/>
        <v>06539000</v>
      </c>
      <c r="C12805" t="str">
        <f t="shared" si="2799"/>
        <v>06539003</v>
      </c>
      <c r="D12805" t="str">
        <f t="shared" si="2800"/>
        <v>813</v>
      </c>
      <c r="E12805" t="str">
        <f t="shared" si="2794"/>
        <v>89301171</v>
      </c>
      <c r="F12805" t="str">
        <f t="shared" si="2795"/>
        <v>9851045710</v>
      </c>
      <c r="G12805" s="1">
        <v>44897</v>
      </c>
      <c r="H12805" t="str">
        <f t="shared" ref="H12805:H12811" si="2803">"91197"</f>
        <v>91197</v>
      </c>
      <c r="I12805">
        <v>1</v>
      </c>
      <c r="J12805">
        <v>1046</v>
      </c>
      <c r="K12805">
        <v>0</v>
      </c>
      <c r="L12805">
        <v>815.88</v>
      </c>
    </row>
    <row r="12806" spans="1:12" x14ac:dyDescent="0.25">
      <c r="A12806" t="str">
        <f t="shared" si="2802"/>
        <v>89301000</v>
      </c>
      <c r="B12806" t="str">
        <f t="shared" si="2792"/>
        <v>06539000</v>
      </c>
      <c r="C12806" t="str">
        <f t="shared" si="2799"/>
        <v>06539003</v>
      </c>
      <c r="D12806" t="str">
        <f t="shared" si="2800"/>
        <v>813</v>
      </c>
      <c r="E12806" t="str">
        <f t="shared" si="2794"/>
        <v>89301171</v>
      </c>
      <c r="F12806" t="str">
        <f t="shared" si="2795"/>
        <v>9851045710</v>
      </c>
      <c r="G12806" s="1">
        <v>44900</v>
      </c>
      <c r="H12806" t="str">
        <f t="shared" si="2803"/>
        <v>91197</v>
      </c>
      <c r="I12806">
        <v>1</v>
      </c>
      <c r="J12806">
        <v>1046</v>
      </c>
      <c r="K12806">
        <v>0</v>
      </c>
      <c r="L12806">
        <v>815.88</v>
      </c>
    </row>
    <row r="12807" spans="1:12" x14ac:dyDescent="0.25">
      <c r="A12807" t="str">
        <f t="shared" si="2802"/>
        <v>89301000</v>
      </c>
      <c r="B12807" t="str">
        <f t="shared" si="2792"/>
        <v>06539000</v>
      </c>
      <c r="C12807" t="str">
        <f t="shared" si="2799"/>
        <v>06539003</v>
      </c>
      <c r="D12807" t="str">
        <f t="shared" si="2800"/>
        <v>813</v>
      </c>
      <c r="E12807" t="str">
        <f t="shared" ref="E12807:E12841" si="2804">"89301171"</f>
        <v>89301171</v>
      </c>
      <c r="F12807" t="str">
        <f t="shared" si="2795"/>
        <v>9851045710</v>
      </c>
      <c r="G12807" s="1">
        <v>44900</v>
      </c>
      <c r="H12807" t="str">
        <f t="shared" si="2803"/>
        <v>91197</v>
      </c>
      <c r="I12807">
        <v>1</v>
      </c>
      <c r="J12807">
        <v>1046</v>
      </c>
      <c r="K12807">
        <v>0</v>
      </c>
      <c r="L12807">
        <v>815.88</v>
      </c>
    </row>
    <row r="12808" spans="1:12" x14ac:dyDescent="0.25">
      <c r="A12808" t="str">
        <f t="shared" si="2802"/>
        <v>89301000</v>
      </c>
      <c r="B12808" t="str">
        <f t="shared" si="2792"/>
        <v>06539000</v>
      </c>
      <c r="C12808" t="str">
        <f t="shared" si="2799"/>
        <v>06539003</v>
      </c>
      <c r="D12808" t="str">
        <f t="shared" si="2800"/>
        <v>813</v>
      </c>
      <c r="E12808" t="str">
        <f t="shared" si="2804"/>
        <v>89301171</v>
      </c>
      <c r="F12808" t="str">
        <f t="shared" si="2795"/>
        <v>9851045710</v>
      </c>
      <c r="G12808" s="1">
        <v>44899</v>
      </c>
      <c r="H12808" t="str">
        <f t="shared" si="2803"/>
        <v>91197</v>
      </c>
      <c r="I12808">
        <v>1</v>
      </c>
      <c r="J12808">
        <v>1046</v>
      </c>
      <c r="K12808">
        <v>0</v>
      </c>
      <c r="L12808">
        <v>815.88</v>
      </c>
    </row>
    <row r="12809" spans="1:12" x14ac:dyDescent="0.25">
      <c r="A12809" t="str">
        <f t="shared" si="2802"/>
        <v>89301000</v>
      </c>
      <c r="B12809" t="str">
        <f t="shared" si="2792"/>
        <v>06539000</v>
      </c>
      <c r="C12809" t="str">
        <f t="shared" si="2799"/>
        <v>06539003</v>
      </c>
      <c r="D12809" t="str">
        <f t="shared" si="2800"/>
        <v>813</v>
      </c>
      <c r="E12809" t="str">
        <f t="shared" si="2804"/>
        <v>89301171</v>
      </c>
      <c r="F12809" t="str">
        <f t="shared" si="2795"/>
        <v>9851045710</v>
      </c>
      <c r="G12809" s="1">
        <v>44899</v>
      </c>
      <c r="H12809" t="str">
        <f t="shared" si="2803"/>
        <v>91197</v>
      </c>
      <c r="I12809">
        <v>1</v>
      </c>
      <c r="J12809">
        <v>1046</v>
      </c>
      <c r="K12809">
        <v>0</v>
      </c>
      <c r="L12809">
        <v>815.88</v>
      </c>
    </row>
    <row r="12810" spans="1:12" x14ac:dyDescent="0.25">
      <c r="A12810" t="str">
        <f t="shared" si="2802"/>
        <v>89301000</v>
      </c>
      <c r="B12810" t="str">
        <f t="shared" si="2792"/>
        <v>06539000</v>
      </c>
      <c r="C12810" t="str">
        <f t="shared" si="2799"/>
        <v>06539003</v>
      </c>
      <c r="D12810" t="str">
        <f t="shared" si="2800"/>
        <v>813</v>
      </c>
      <c r="E12810" t="str">
        <f t="shared" si="2804"/>
        <v>89301171</v>
      </c>
      <c r="F12810" t="str">
        <f t="shared" si="2795"/>
        <v>9851045710</v>
      </c>
      <c r="G12810" s="1">
        <v>44898</v>
      </c>
      <c r="H12810" t="str">
        <f t="shared" si="2803"/>
        <v>91197</v>
      </c>
      <c r="I12810">
        <v>1</v>
      </c>
      <c r="J12810">
        <v>1046</v>
      </c>
      <c r="K12810">
        <v>0</v>
      </c>
      <c r="L12810">
        <v>815.88</v>
      </c>
    </row>
    <row r="12811" spans="1:12" x14ac:dyDescent="0.25">
      <c r="A12811" t="str">
        <f t="shared" si="2802"/>
        <v>89301000</v>
      </c>
      <c r="B12811" t="str">
        <f t="shared" si="2792"/>
        <v>06539000</v>
      </c>
      <c r="C12811" t="str">
        <f t="shared" si="2799"/>
        <v>06539003</v>
      </c>
      <c r="D12811" t="str">
        <f t="shared" si="2800"/>
        <v>813</v>
      </c>
      <c r="E12811" t="str">
        <f t="shared" si="2804"/>
        <v>89301171</v>
      </c>
      <c r="F12811" t="str">
        <f t="shared" si="2795"/>
        <v>9851045710</v>
      </c>
      <c r="G12811" s="1">
        <v>44898</v>
      </c>
      <c r="H12811" t="str">
        <f t="shared" si="2803"/>
        <v>91197</v>
      </c>
      <c r="I12811">
        <v>1</v>
      </c>
      <c r="J12811">
        <v>1046</v>
      </c>
      <c r="K12811">
        <v>0</v>
      </c>
      <c r="L12811">
        <v>815.88</v>
      </c>
    </row>
    <row r="12812" spans="1:12" x14ac:dyDescent="0.25">
      <c r="A12812" t="str">
        <f t="shared" si="2802"/>
        <v>89301000</v>
      </c>
      <c r="B12812" t="str">
        <f t="shared" si="2792"/>
        <v>06539000</v>
      </c>
      <c r="C12812" t="str">
        <f t="shared" si="2799"/>
        <v>06539003</v>
      </c>
      <c r="D12812" t="str">
        <f t="shared" si="2800"/>
        <v>813</v>
      </c>
      <c r="E12812" t="str">
        <f t="shared" si="2804"/>
        <v>89301171</v>
      </c>
      <c r="F12812" t="str">
        <f t="shared" si="2795"/>
        <v>9851045710</v>
      </c>
      <c r="G12812" s="1">
        <v>44913</v>
      </c>
      <c r="H12812" t="str">
        <f>"91329"</f>
        <v>91329</v>
      </c>
      <c r="I12812">
        <v>2</v>
      </c>
      <c r="J12812">
        <v>428</v>
      </c>
      <c r="K12812">
        <v>0</v>
      </c>
      <c r="L12812">
        <v>333.84</v>
      </c>
    </row>
    <row r="12813" spans="1:12" x14ac:dyDescent="0.25">
      <c r="A12813" t="str">
        <f t="shared" si="2802"/>
        <v>89301000</v>
      </c>
      <c r="B12813" t="str">
        <f t="shared" si="2792"/>
        <v>06539000</v>
      </c>
      <c r="C12813" t="str">
        <f t="shared" si="2799"/>
        <v>06539003</v>
      </c>
      <c r="D12813" t="str">
        <f t="shared" si="2800"/>
        <v>813</v>
      </c>
      <c r="E12813" t="str">
        <f t="shared" si="2804"/>
        <v>89301171</v>
      </c>
      <c r="F12813" t="str">
        <f t="shared" si="2795"/>
        <v>9851045710</v>
      </c>
      <c r="G12813" s="1">
        <v>44913</v>
      </c>
      <c r="H12813" t="str">
        <f>"91329"</f>
        <v>91329</v>
      </c>
      <c r="I12813">
        <v>2</v>
      </c>
      <c r="J12813">
        <v>428</v>
      </c>
      <c r="K12813">
        <v>0</v>
      </c>
      <c r="L12813">
        <v>333.84</v>
      </c>
    </row>
    <row r="12814" spans="1:12" x14ac:dyDescent="0.25">
      <c r="A12814" t="str">
        <f t="shared" si="2802"/>
        <v>89301000</v>
      </c>
      <c r="B12814" t="str">
        <f t="shared" si="2792"/>
        <v>06539000</v>
      </c>
      <c r="C12814" t="str">
        <f t="shared" si="2799"/>
        <v>06539003</v>
      </c>
      <c r="D12814" t="str">
        <f t="shared" si="2800"/>
        <v>813</v>
      </c>
      <c r="E12814" t="str">
        <f t="shared" si="2804"/>
        <v>89301171</v>
      </c>
      <c r="F12814" t="str">
        <f t="shared" si="2795"/>
        <v>9851045710</v>
      </c>
      <c r="G12814" s="1">
        <v>44913</v>
      </c>
      <c r="H12814" t="str">
        <f>"91329"</f>
        <v>91329</v>
      </c>
      <c r="I12814">
        <v>2</v>
      </c>
      <c r="J12814">
        <v>428</v>
      </c>
      <c r="K12814">
        <v>0</v>
      </c>
      <c r="L12814">
        <v>333.84</v>
      </c>
    </row>
    <row r="12815" spans="1:12" x14ac:dyDescent="0.25">
      <c r="A12815" t="str">
        <f t="shared" si="2802"/>
        <v>89301000</v>
      </c>
      <c r="B12815" t="str">
        <f t="shared" si="2792"/>
        <v>06539000</v>
      </c>
      <c r="C12815" t="str">
        <f t="shared" si="2799"/>
        <v>06539003</v>
      </c>
      <c r="D12815" t="str">
        <f t="shared" si="2800"/>
        <v>813</v>
      </c>
      <c r="E12815" t="str">
        <f t="shared" si="2804"/>
        <v>89301171</v>
      </c>
      <c r="F12815" t="str">
        <f t="shared" si="2795"/>
        <v>9851045710</v>
      </c>
      <c r="G12815" s="1">
        <v>44913</v>
      </c>
      <c r="H12815" t="str">
        <f>"91329"</f>
        <v>91329</v>
      </c>
      <c r="I12815">
        <v>2</v>
      </c>
      <c r="J12815">
        <v>428</v>
      </c>
      <c r="K12815">
        <v>0</v>
      </c>
      <c r="L12815">
        <v>333.84</v>
      </c>
    </row>
    <row r="12816" spans="1:12" x14ac:dyDescent="0.25">
      <c r="A12816" t="str">
        <f t="shared" si="2802"/>
        <v>89301000</v>
      </c>
      <c r="B12816" t="str">
        <f t="shared" si="2792"/>
        <v>06539000</v>
      </c>
      <c r="C12816" t="str">
        <f t="shared" si="2799"/>
        <v>06539003</v>
      </c>
      <c r="D12816" t="str">
        <f t="shared" si="2800"/>
        <v>813</v>
      </c>
      <c r="E12816" t="str">
        <f t="shared" si="2804"/>
        <v>89301171</v>
      </c>
      <c r="F12816" t="str">
        <f t="shared" si="2795"/>
        <v>9851045710</v>
      </c>
      <c r="G12816" s="1">
        <v>44900</v>
      </c>
      <c r="H12816" t="str">
        <f>"91129"</f>
        <v>91129</v>
      </c>
      <c r="I12816">
        <v>1</v>
      </c>
      <c r="J12816">
        <v>174</v>
      </c>
      <c r="K12816">
        <v>0</v>
      </c>
      <c r="L12816">
        <v>135.72</v>
      </c>
    </row>
    <row r="12817" spans="1:12" x14ac:dyDescent="0.25">
      <c r="A12817" t="str">
        <f t="shared" si="2802"/>
        <v>89301000</v>
      </c>
      <c r="B12817" t="str">
        <f t="shared" si="2792"/>
        <v>06539000</v>
      </c>
      <c r="C12817" t="str">
        <f t="shared" si="2799"/>
        <v>06539003</v>
      </c>
      <c r="D12817" t="str">
        <f t="shared" si="2800"/>
        <v>813</v>
      </c>
      <c r="E12817" t="str">
        <f t="shared" si="2804"/>
        <v>89301171</v>
      </c>
      <c r="F12817" t="str">
        <f t="shared" si="2795"/>
        <v>9851045710</v>
      </c>
      <c r="G12817" s="1">
        <v>44900</v>
      </c>
      <c r="H12817" t="str">
        <f>"91131"</f>
        <v>91131</v>
      </c>
      <c r="I12817">
        <v>1</v>
      </c>
      <c r="J12817">
        <v>171</v>
      </c>
      <c r="K12817">
        <v>0</v>
      </c>
      <c r="L12817">
        <v>133.38</v>
      </c>
    </row>
    <row r="12818" spans="1:12" x14ac:dyDescent="0.25">
      <c r="A12818" t="str">
        <f t="shared" si="2802"/>
        <v>89301000</v>
      </c>
      <c r="B12818" t="str">
        <f t="shared" si="2792"/>
        <v>06539000</v>
      </c>
      <c r="C12818" t="str">
        <f t="shared" si="2799"/>
        <v>06539003</v>
      </c>
      <c r="D12818" t="str">
        <f t="shared" si="2800"/>
        <v>813</v>
      </c>
      <c r="E12818" t="str">
        <f t="shared" si="2804"/>
        <v>89301171</v>
      </c>
      <c r="F12818" t="str">
        <f t="shared" si="2795"/>
        <v>9851045710</v>
      </c>
      <c r="G12818" s="1">
        <v>44900</v>
      </c>
      <c r="H12818" t="str">
        <f>"91133"</f>
        <v>91133</v>
      </c>
      <c r="I12818">
        <v>1</v>
      </c>
      <c r="J12818">
        <v>176</v>
      </c>
      <c r="K12818">
        <v>0</v>
      </c>
      <c r="L12818">
        <v>137.28</v>
      </c>
    </row>
    <row r="12819" spans="1:12" x14ac:dyDescent="0.25">
      <c r="A12819" t="str">
        <f t="shared" si="2802"/>
        <v>89301000</v>
      </c>
      <c r="B12819" t="str">
        <f t="shared" si="2792"/>
        <v>06539000</v>
      </c>
      <c r="C12819" t="str">
        <f t="shared" si="2799"/>
        <v>06539003</v>
      </c>
      <c r="D12819" t="str">
        <f t="shared" si="2800"/>
        <v>813</v>
      </c>
      <c r="E12819" t="str">
        <f t="shared" si="2804"/>
        <v>89301171</v>
      </c>
      <c r="F12819" t="str">
        <f t="shared" si="2795"/>
        <v>9851045710</v>
      </c>
      <c r="G12819" s="1">
        <v>44900</v>
      </c>
      <c r="H12819" t="str">
        <f>"91171"</f>
        <v>91171</v>
      </c>
      <c r="I12819">
        <v>1</v>
      </c>
      <c r="J12819">
        <v>360</v>
      </c>
      <c r="K12819">
        <v>0</v>
      </c>
      <c r="L12819">
        <v>280.8</v>
      </c>
    </row>
    <row r="12820" spans="1:12" x14ac:dyDescent="0.25">
      <c r="A12820" t="str">
        <f t="shared" si="2802"/>
        <v>89301000</v>
      </c>
      <c r="B12820" t="str">
        <f t="shared" si="2792"/>
        <v>06539000</v>
      </c>
      <c r="C12820" t="str">
        <f t="shared" si="2799"/>
        <v>06539003</v>
      </c>
      <c r="D12820" t="str">
        <f t="shared" si="2800"/>
        <v>813</v>
      </c>
      <c r="E12820" t="str">
        <f t="shared" si="2804"/>
        <v>89301171</v>
      </c>
      <c r="F12820" t="str">
        <f t="shared" si="2795"/>
        <v>9851045710</v>
      </c>
      <c r="G12820" s="1">
        <v>44897</v>
      </c>
      <c r="H12820" t="str">
        <f>"91173"</f>
        <v>91173</v>
      </c>
      <c r="I12820">
        <v>1</v>
      </c>
      <c r="J12820">
        <v>335</v>
      </c>
      <c r="K12820">
        <v>0</v>
      </c>
      <c r="L12820">
        <v>261.3</v>
      </c>
    </row>
    <row r="12821" spans="1:12" x14ac:dyDescent="0.25">
      <c r="A12821" t="str">
        <f t="shared" si="2802"/>
        <v>89301000</v>
      </c>
      <c r="B12821" t="str">
        <f t="shared" si="2792"/>
        <v>06539000</v>
      </c>
      <c r="C12821" t="str">
        <f t="shared" si="2799"/>
        <v>06539003</v>
      </c>
      <c r="D12821" t="str">
        <f t="shared" si="2800"/>
        <v>813</v>
      </c>
      <c r="E12821" t="str">
        <f t="shared" si="2804"/>
        <v>89301171</v>
      </c>
      <c r="F12821" t="str">
        <f t="shared" si="2795"/>
        <v>9851045710</v>
      </c>
      <c r="G12821" s="1">
        <v>44900</v>
      </c>
      <c r="H12821" t="str">
        <f>"91175"</f>
        <v>91175</v>
      </c>
      <c r="I12821">
        <v>1</v>
      </c>
      <c r="J12821">
        <v>360</v>
      </c>
      <c r="K12821">
        <v>0</v>
      </c>
      <c r="L12821">
        <v>280.8</v>
      </c>
    </row>
    <row r="12822" spans="1:12" x14ac:dyDescent="0.25">
      <c r="A12822" t="str">
        <f t="shared" si="2802"/>
        <v>89301000</v>
      </c>
      <c r="B12822" t="str">
        <f t="shared" si="2792"/>
        <v>06539000</v>
      </c>
      <c r="C12822" t="str">
        <f t="shared" si="2799"/>
        <v>06539003</v>
      </c>
      <c r="D12822" t="str">
        <f t="shared" si="2800"/>
        <v>813</v>
      </c>
      <c r="E12822" t="str">
        <f t="shared" si="2804"/>
        <v>89301171</v>
      </c>
      <c r="F12822" t="str">
        <f t="shared" si="2795"/>
        <v>9851045710</v>
      </c>
      <c r="G12822" s="1">
        <v>44898</v>
      </c>
      <c r="H12822" t="str">
        <f>"91167"</f>
        <v>91167</v>
      </c>
      <c r="I12822">
        <v>1</v>
      </c>
      <c r="J12822">
        <v>425</v>
      </c>
      <c r="K12822">
        <v>0</v>
      </c>
      <c r="L12822">
        <v>331.5</v>
      </c>
    </row>
    <row r="12823" spans="1:12" x14ac:dyDescent="0.25">
      <c r="A12823" t="str">
        <f t="shared" si="2802"/>
        <v>89301000</v>
      </c>
      <c r="B12823" t="str">
        <f t="shared" si="2792"/>
        <v>06539000</v>
      </c>
      <c r="C12823" t="str">
        <f t="shared" si="2799"/>
        <v>06539003</v>
      </c>
      <c r="D12823" t="str">
        <f t="shared" si="2800"/>
        <v>813</v>
      </c>
      <c r="E12823" t="str">
        <f t="shared" si="2804"/>
        <v>89301171</v>
      </c>
      <c r="F12823" t="str">
        <f t="shared" si="2795"/>
        <v>9851045710</v>
      </c>
      <c r="G12823" s="1">
        <v>44898</v>
      </c>
      <c r="H12823" t="str">
        <f>"91169"</f>
        <v>91169</v>
      </c>
      <c r="I12823">
        <v>1</v>
      </c>
      <c r="J12823">
        <v>425</v>
      </c>
      <c r="K12823">
        <v>0</v>
      </c>
      <c r="L12823">
        <v>331.5</v>
      </c>
    </row>
    <row r="12824" spans="1:12" x14ac:dyDescent="0.25">
      <c r="A12824" t="str">
        <f t="shared" si="2802"/>
        <v>89301000</v>
      </c>
      <c r="B12824" t="str">
        <f t="shared" si="2792"/>
        <v>06539000</v>
      </c>
      <c r="C12824" t="str">
        <f t="shared" si="2799"/>
        <v>06539003</v>
      </c>
      <c r="D12824" t="str">
        <f t="shared" si="2800"/>
        <v>813</v>
      </c>
      <c r="E12824" t="str">
        <f t="shared" si="2804"/>
        <v>89301171</v>
      </c>
      <c r="F12824" t="str">
        <f t="shared" si="2795"/>
        <v>9851045710</v>
      </c>
      <c r="G12824" s="1">
        <v>44897</v>
      </c>
      <c r="H12824" t="str">
        <f>"91167"</f>
        <v>91167</v>
      </c>
      <c r="I12824">
        <v>1</v>
      </c>
      <c r="J12824">
        <v>425</v>
      </c>
      <c r="K12824">
        <v>0</v>
      </c>
      <c r="L12824">
        <v>331.5</v>
      </c>
    </row>
    <row r="12825" spans="1:12" x14ac:dyDescent="0.25">
      <c r="A12825" t="str">
        <f t="shared" si="2802"/>
        <v>89301000</v>
      </c>
      <c r="B12825" t="str">
        <f t="shared" si="2792"/>
        <v>06539000</v>
      </c>
      <c r="C12825" t="str">
        <f t="shared" si="2799"/>
        <v>06539003</v>
      </c>
      <c r="D12825" t="str">
        <f t="shared" si="2800"/>
        <v>813</v>
      </c>
      <c r="E12825" t="str">
        <f t="shared" si="2804"/>
        <v>89301171</v>
      </c>
      <c r="F12825" t="str">
        <f t="shared" si="2795"/>
        <v>9851045710</v>
      </c>
      <c r="G12825" s="1">
        <v>44897</v>
      </c>
      <c r="H12825" t="str">
        <f>"91169"</f>
        <v>91169</v>
      </c>
      <c r="I12825">
        <v>1</v>
      </c>
      <c r="J12825">
        <v>425</v>
      </c>
      <c r="K12825">
        <v>0</v>
      </c>
      <c r="L12825">
        <v>331.5</v>
      </c>
    </row>
    <row r="12826" spans="1:12" x14ac:dyDescent="0.25">
      <c r="A12826" t="str">
        <f t="shared" si="2802"/>
        <v>89301000</v>
      </c>
      <c r="B12826" t="str">
        <f t="shared" si="2792"/>
        <v>06539000</v>
      </c>
      <c r="C12826" t="str">
        <f t="shared" si="2799"/>
        <v>06539003</v>
      </c>
      <c r="D12826" t="str">
        <f t="shared" si="2800"/>
        <v>813</v>
      </c>
      <c r="E12826" t="str">
        <f t="shared" si="2804"/>
        <v>89301171</v>
      </c>
      <c r="F12826" t="str">
        <f t="shared" si="2795"/>
        <v>9851045710</v>
      </c>
      <c r="G12826" s="1">
        <v>44902</v>
      </c>
      <c r="H12826" t="str">
        <f>"91475"</f>
        <v>91475</v>
      </c>
      <c r="I12826">
        <v>1</v>
      </c>
      <c r="J12826">
        <v>206</v>
      </c>
      <c r="K12826">
        <v>0</v>
      </c>
      <c r="L12826">
        <v>160.68</v>
      </c>
    </row>
    <row r="12827" spans="1:12" x14ac:dyDescent="0.25">
      <c r="A12827" t="str">
        <f t="shared" si="2802"/>
        <v>89301000</v>
      </c>
      <c r="B12827" t="str">
        <f t="shared" ref="B12827:B12890" si="2805">"06539000"</f>
        <v>06539000</v>
      </c>
      <c r="C12827" t="str">
        <f t="shared" ref="C12827:C12858" si="2806">"06539003"</f>
        <v>06539003</v>
      </c>
      <c r="D12827" t="str">
        <f t="shared" ref="D12827:D12858" si="2807">"813"</f>
        <v>813</v>
      </c>
      <c r="E12827" t="str">
        <f t="shared" si="2804"/>
        <v>89301171</v>
      </c>
      <c r="F12827" t="str">
        <f t="shared" ref="F12827:F12841" si="2808">"465511401"</f>
        <v>465511401</v>
      </c>
      <c r="G12827" s="1">
        <v>44910</v>
      </c>
      <c r="H12827" t="str">
        <f>"91495"</f>
        <v>91495</v>
      </c>
      <c r="I12827">
        <v>1</v>
      </c>
      <c r="J12827">
        <v>592</v>
      </c>
      <c r="K12827">
        <v>0</v>
      </c>
      <c r="L12827">
        <v>461.76</v>
      </c>
    </row>
    <row r="12828" spans="1:12" x14ac:dyDescent="0.25">
      <c r="A12828" t="str">
        <f t="shared" si="2802"/>
        <v>89301000</v>
      </c>
      <c r="B12828" t="str">
        <f t="shared" si="2805"/>
        <v>06539000</v>
      </c>
      <c r="C12828" t="str">
        <f t="shared" si="2806"/>
        <v>06539003</v>
      </c>
      <c r="D12828" t="str">
        <f t="shared" si="2807"/>
        <v>813</v>
      </c>
      <c r="E12828" t="str">
        <f t="shared" si="2804"/>
        <v>89301171</v>
      </c>
      <c r="F12828" t="str">
        <f t="shared" si="2808"/>
        <v>465511401</v>
      </c>
      <c r="G12828" s="1">
        <v>44910</v>
      </c>
      <c r="H12828" t="str">
        <f t="shared" ref="H12828:H12843" si="2809">"91329"</f>
        <v>91329</v>
      </c>
      <c r="I12828">
        <v>2</v>
      </c>
      <c r="J12828">
        <v>428</v>
      </c>
      <c r="K12828">
        <v>0</v>
      </c>
      <c r="L12828">
        <v>333.84</v>
      </c>
    </row>
    <row r="12829" spans="1:12" x14ac:dyDescent="0.25">
      <c r="A12829" t="str">
        <f t="shared" si="2802"/>
        <v>89301000</v>
      </c>
      <c r="B12829" t="str">
        <f t="shared" si="2805"/>
        <v>06539000</v>
      </c>
      <c r="C12829" t="str">
        <f t="shared" si="2806"/>
        <v>06539003</v>
      </c>
      <c r="D12829" t="str">
        <f t="shared" si="2807"/>
        <v>813</v>
      </c>
      <c r="E12829" t="str">
        <f t="shared" si="2804"/>
        <v>89301171</v>
      </c>
      <c r="F12829" t="str">
        <f t="shared" si="2808"/>
        <v>465511401</v>
      </c>
      <c r="G12829" s="1">
        <v>44910</v>
      </c>
      <c r="H12829" t="str">
        <f t="shared" si="2809"/>
        <v>91329</v>
      </c>
      <c r="I12829">
        <v>2</v>
      </c>
      <c r="J12829">
        <v>428</v>
      </c>
      <c r="K12829">
        <v>0</v>
      </c>
      <c r="L12829">
        <v>333.84</v>
      </c>
    </row>
    <row r="12830" spans="1:12" x14ac:dyDescent="0.25">
      <c r="A12830" t="str">
        <f t="shared" si="2802"/>
        <v>89301000</v>
      </c>
      <c r="B12830" t="str">
        <f t="shared" si="2805"/>
        <v>06539000</v>
      </c>
      <c r="C12830" t="str">
        <f t="shared" si="2806"/>
        <v>06539003</v>
      </c>
      <c r="D12830" t="str">
        <f t="shared" si="2807"/>
        <v>813</v>
      </c>
      <c r="E12830" t="str">
        <f t="shared" si="2804"/>
        <v>89301171</v>
      </c>
      <c r="F12830" t="str">
        <f t="shared" si="2808"/>
        <v>465511401</v>
      </c>
      <c r="G12830" s="1">
        <v>44910</v>
      </c>
      <c r="H12830" t="str">
        <f t="shared" si="2809"/>
        <v>91329</v>
      </c>
      <c r="I12830">
        <v>2</v>
      </c>
      <c r="J12830">
        <v>428</v>
      </c>
      <c r="K12830">
        <v>0</v>
      </c>
      <c r="L12830">
        <v>333.84</v>
      </c>
    </row>
    <row r="12831" spans="1:12" x14ac:dyDescent="0.25">
      <c r="A12831" t="str">
        <f t="shared" si="2802"/>
        <v>89301000</v>
      </c>
      <c r="B12831" t="str">
        <f t="shared" si="2805"/>
        <v>06539000</v>
      </c>
      <c r="C12831" t="str">
        <f t="shared" si="2806"/>
        <v>06539003</v>
      </c>
      <c r="D12831" t="str">
        <f t="shared" si="2807"/>
        <v>813</v>
      </c>
      <c r="E12831" t="str">
        <f t="shared" si="2804"/>
        <v>89301171</v>
      </c>
      <c r="F12831" t="str">
        <f t="shared" si="2808"/>
        <v>465511401</v>
      </c>
      <c r="G12831" s="1">
        <v>44910</v>
      </c>
      <c r="H12831" t="str">
        <f t="shared" si="2809"/>
        <v>91329</v>
      </c>
      <c r="I12831">
        <v>2</v>
      </c>
      <c r="J12831">
        <v>428</v>
      </c>
      <c r="K12831">
        <v>0</v>
      </c>
      <c r="L12831">
        <v>333.84</v>
      </c>
    </row>
    <row r="12832" spans="1:12" x14ac:dyDescent="0.25">
      <c r="A12832" t="str">
        <f t="shared" si="2802"/>
        <v>89301000</v>
      </c>
      <c r="B12832" t="str">
        <f t="shared" si="2805"/>
        <v>06539000</v>
      </c>
      <c r="C12832" t="str">
        <f t="shared" si="2806"/>
        <v>06539003</v>
      </c>
      <c r="D12832" t="str">
        <f t="shared" si="2807"/>
        <v>813</v>
      </c>
      <c r="E12832" t="str">
        <f t="shared" si="2804"/>
        <v>89301171</v>
      </c>
      <c r="F12832" t="str">
        <f t="shared" si="2808"/>
        <v>465511401</v>
      </c>
      <c r="G12832" s="1">
        <v>44910</v>
      </c>
      <c r="H12832" t="str">
        <f t="shared" si="2809"/>
        <v>91329</v>
      </c>
      <c r="I12832">
        <v>2</v>
      </c>
      <c r="J12832">
        <v>428</v>
      </c>
      <c r="K12832">
        <v>0</v>
      </c>
      <c r="L12832">
        <v>333.84</v>
      </c>
    </row>
    <row r="12833" spans="1:12" x14ac:dyDescent="0.25">
      <c r="A12833" t="str">
        <f t="shared" si="2802"/>
        <v>89301000</v>
      </c>
      <c r="B12833" t="str">
        <f t="shared" si="2805"/>
        <v>06539000</v>
      </c>
      <c r="C12833" t="str">
        <f t="shared" si="2806"/>
        <v>06539003</v>
      </c>
      <c r="D12833" t="str">
        <f t="shared" si="2807"/>
        <v>813</v>
      </c>
      <c r="E12833" t="str">
        <f t="shared" si="2804"/>
        <v>89301171</v>
      </c>
      <c r="F12833" t="str">
        <f t="shared" si="2808"/>
        <v>465511401</v>
      </c>
      <c r="G12833" s="1">
        <v>44910</v>
      </c>
      <c r="H12833" t="str">
        <f t="shared" si="2809"/>
        <v>91329</v>
      </c>
      <c r="I12833">
        <v>2</v>
      </c>
      <c r="J12833">
        <v>428</v>
      </c>
      <c r="K12833">
        <v>0</v>
      </c>
      <c r="L12833">
        <v>333.84</v>
      </c>
    </row>
    <row r="12834" spans="1:12" x14ac:dyDescent="0.25">
      <c r="A12834" t="str">
        <f t="shared" si="2802"/>
        <v>89301000</v>
      </c>
      <c r="B12834" t="str">
        <f t="shared" si="2805"/>
        <v>06539000</v>
      </c>
      <c r="C12834" t="str">
        <f t="shared" si="2806"/>
        <v>06539003</v>
      </c>
      <c r="D12834" t="str">
        <f t="shared" si="2807"/>
        <v>813</v>
      </c>
      <c r="E12834" t="str">
        <f t="shared" si="2804"/>
        <v>89301171</v>
      </c>
      <c r="F12834" t="str">
        <f t="shared" si="2808"/>
        <v>465511401</v>
      </c>
      <c r="G12834" s="1">
        <v>44910</v>
      </c>
      <c r="H12834" t="str">
        <f t="shared" si="2809"/>
        <v>91329</v>
      </c>
      <c r="I12834">
        <v>2</v>
      </c>
      <c r="J12834">
        <v>428</v>
      </c>
      <c r="K12834">
        <v>0</v>
      </c>
      <c r="L12834">
        <v>333.84</v>
      </c>
    </row>
    <row r="12835" spans="1:12" x14ac:dyDescent="0.25">
      <c r="A12835" t="str">
        <f t="shared" si="2802"/>
        <v>89301000</v>
      </c>
      <c r="B12835" t="str">
        <f t="shared" si="2805"/>
        <v>06539000</v>
      </c>
      <c r="C12835" t="str">
        <f t="shared" si="2806"/>
        <v>06539003</v>
      </c>
      <c r="D12835" t="str">
        <f t="shared" si="2807"/>
        <v>813</v>
      </c>
      <c r="E12835" t="str">
        <f t="shared" si="2804"/>
        <v>89301171</v>
      </c>
      <c r="F12835" t="str">
        <f t="shared" si="2808"/>
        <v>465511401</v>
      </c>
      <c r="G12835" s="1">
        <v>44910</v>
      </c>
      <c r="H12835" t="str">
        <f t="shared" si="2809"/>
        <v>91329</v>
      </c>
      <c r="I12835">
        <v>2</v>
      </c>
      <c r="J12835">
        <v>428</v>
      </c>
      <c r="K12835">
        <v>0</v>
      </c>
      <c r="L12835">
        <v>333.84</v>
      </c>
    </row>
    <row r="12836" spans="1:12" x14ac:dyDescent="0.25">
      <c r="A12836" t="str">
        <f t="shared" si="2802"/>
        <v>89301000</v>
      </c>
      <c r="B12836" t="str">
        <f t="shared" si="2805"/>
        <v>06539000</v>
      </c>
      <c r="C12836" t="str">
        <f t="shared" si="2806"/>
        <v>06539003</v>
      </c>
      <c r="D12836" t="str">
        <f t="shared" si="2807"/>
        <v>813</v>
      </c>
      <c r="E12836" t="str">
        <f t="shared" si="2804"/>
        <v>89301171</v>
      </c>
      <c r="F12836" t="str">
        <f t="shared" si="2808"/>
        <v>465511401</v>
      </c>
      <c r="G12836" s="1">
        <v>44910</v>
      </c>
      <c r="H12836" t="str">
        <f t="shared" si="2809"/>
        <v>91329</v>
      </c>
      <c r="I12836">
        <v>2</v>
      </c>
      <c r="J12836">
        <v>428</v>
      </c>
      <c r="K12836">
        <v>0</v>
      </c>
      <c r="L12836">
        <v>333.84</v>
      </c>
    </row>
    <row r="12837" spans="1:12" x14ac:dyDescent="0.25">
      <c r="A12837" t="str">
        <f t="shared" si="2802"/>
        <v>89301000</v>
      </c>
      <c r="B12837" t="str">
        <f t="shared" si="2805"/>
        <v>06539000</v>
      </c>
      <c r="C12837" t="str">
        <f t="shared" si="2806"/>
        <v>06539003</v>
      </c>
      <c r="D12837" t="str">
        <f t="shared" si="2807"/>
        <v>813</v>
      </c>
      <c r="E12837" t="str">
        <f t="shared" si="2804"/>
        <v>89301171</v>
      </c>
      <c r="F12837" t="str">
        <f t="shared" si="2808"/>
        <v>465511401</v>
      </c>
      <c r="G12837" s="1">
        <v>44910</v>
      </c>
      <c r="H12837" t="str">
        <f t="shared" si="2809"/>
        <v>91329</v>
      </c>
      <c r="I12837">
        <v>2</v>
      </c>
      <c r="J12837">
        <v>428</v>
      </c>
      <c r="K12837">
        <v>0</v>
      </c>
      <c r="L12837">
        <v>333.84</v>
      </c>
    </row>
    <row r="12838" spans="1:12" x14ac:dyDescent="0.25">
      <c r="A12838" t="str">
        <f t="shared" si="2802"/>
        <v>89301000</v>
      </c>
      <c r="B12838" t="str">
        <f t="shared" si="2805"/>
        <v>06539000</v>
      </c>
      <c r="C12838" t="str">
        <f t="shared" si="2806"/>
        <v>06539003</v>
      </c>
      <c r="D12838" t="str">
        <f t="shared" si="2807"/>
        <v>813</v>
      </c>
      <c r="E12838" t="str">
        <f t="shared" si="2804"/>
        <v>89301171</v>
      </c>
      <c r="F12838" t="str">
        <f t="shared" si="2808"/>
        <v>465511401</v>
      </c>
      <c r="G12838" s="1">
        <v>44910</v>
      </c>
      <c r="H12838" t="str">
        <f t="shared" si="2809"/>
        <v>91329</v>
      </c>
      <c r="I12838">
        <v>2</v>
      </c>
      <c r="J12838">
        <v>428</v>
      </c>
      <c r="K12838">
        <v>0</v>
      </c>
      <c r="L12838">
        <v>333.84</v>
      </c>
    </row>
    <row r="12839" spans="1:12" x14ac:dyDescent="0.25">
      <c r="A12839" t="str">
        <f t="shared" si="2802"/>
        <v>89301000</v>
      </c>
      <c r="B12839" t="str">
        <f t="shared" si="2805"/>
        <v>06539000</v>
      </c>
      <c r="C12839" t="str">
        <f t="shared" si="2806"/>
        <v>06539003</v>
      </c>
      <c r="D12839" t="str">
        <f t="shared" si="2807"/>
        <v>813</v>
      </c>
      <c r="E12839" t="str">
        <f t="shared" si="2804"/>
        <v>89301171</v>
      </c>
      <c r="F12839" t="str">
        <f t="shared" si="2808"/>
        <v>465511401</v>
      </c>
      <c r="G12839" s="1">
        <v>44910</v>
      </c>
      <c r="H12839" t="str">
        <f t="shared" si="2809"/>
        <v>91329</v>
      </c>
      <c r="I12839">
        <v>2</v>
      </c>
      <c r="J12839">
        <v>428</v>
      </c>
      <c r="K12839">
        <v>0</v>
      </c>
      <c r="L12839">
        <v>333.84</v>
      </c>
    </row>
    <row r="12840" spans="1:12" x14ac:dyDescent="0.25">
      <c r="A12840" t="str">
        <f t="shared" si="2802"/>
        <v>89301000</v>
      </c>
      <c r="B12840" t="str">
        <f t="shared" si="2805"/>
        <v>06539000</v>
      </c>
      <c r="C12840" t="str">
        <f t="shared" si="2806"/>
        <v>06539003</v>
      </c>
      <c r="D12840" t="str">
        <f t="shared" si="2807"/>
        <v>813</v>
      </c>
      <c r="E12840" t="str">
        <f t="shared" si="2804"/>
        <v>89301171</v>
      </c>
      <c r="F12840" t="str">
        <f t="shared" si="2808"/>
        <v>465511401</v>
      </c>
      <c r="G12840" s="1">
        <v>44910</v>
      </c>
      <c r="H12840" t="str">
        <f t="shared" si="2809"/>
        <v>91329</v>
      </c>
      <c r="I12840">
        <v>2</v>
      </c>
      <c r="J12840">
        <v>428</v>
      </c>
      <c r="K12840">
        <v>0</v>
      </c>
      <c r="L12840">
        <v>333.84</v>
      </c>
    </row>
    <row r="12841" spans="1:12" x14ac:dyDescent="0.25">
      <c r="A12841" t="str">
        <f t="shared" si="2802"/>
        <v>89301000</v>
      </c>
      <c r="B12841" t="str">
        <f t="shared" si="2805"/>
        <v>06539000</v>
      </c>
      <c r="C12841" t="str">
        <f t="shared" si="2806"/>
        <v>06539003</v>
      </c>
      <c r="D12841" t="str">
        <f t="shared" si="2807"/>
        <v>813</v>
      </c>
      <c r="E12841" t="str">
        <f t="shared" si="2804"/>
        <v>89301171</v>
      </c>
      <c r="F12841" t="str">
        <f t="shared" si="2808"/>
        <v>465511401</v>
      </c>
      <c r="G12841" s="1">
        <v>44910</v>
      </c>
      <c r="H12841" t="str">
        <f t="shared" si="2809"/>
        <v>91329</v>
      </c>
      <c r="I12841">
        <v>2</v>
      </c>
      <c r="J12841">
        <v>428</v>
      </c>
      <c r="K12841">
        <v>0</v>
      </c>
      <c r="L12841">
        <v>333.84</v>
      </c>
    </row>
    <row r="12842" spans="1:12" x14ac:dyDescent="0.25">
      <c r="A12842" t="str">
        <f t="shared" si="2802"/>
        <v>89301000</v>
      </c>
      <c r="B12842" t="str">
        <f t="shared" si="2805"/>
        <v>06539000</v>
      </c>
      <c r="C12842" t="str">
        <f t="shared" si="2806"/>
        <v>06539003</v>
      </c>
      <c r="D12842" t="str">
        <f t="shared" si="2807"/>
        <v>813</v>
      </c>
      <c r="E12842" t="str">
        <f>"89301172"</f>
        <v>89301172</v>
      </c>
      <c r="F12842" t="str">
        <f>"7853145311"</f>
        <v>7853145311</v>
      </c>
      <c r="G12842" s="1">
        <v>44901</v>
      </c>
      <c r="H12842" t="str">
        <f t="shared" si="2809"/>
        <v>91329</v>
      </c>
      <c r="I12842">
        <v>2</v>
      </c>
      <c r="J12842">
        <v>428</v>
      </c>
      <c r="K12842">
        <v>0</v>
      </c>
      <c r="L12842">
        <v>333.84</v>
      </c>
    </row>
    <row r="12843" spans="1:12" x14ac:dyDescent="0.25">
      <c r="A12843" t="str">
        <f t="shared" si="2802"/>
        <v>89301000</v>
      </c>
      <c r="B12843" t="str">
        <f t="shared" si="2805"/>
        <v>06539000</v>
      </c>
      <c r="C12843" t="str">
        <f t="shared" si="2806"/>
        <v>06539003</v>
      </c>
      <c r="D12843" t="str">
        <f t="shared" si="2807"/>
        <v>813</v>
      </c>
      <c r="E12843" t="str">
        <f>"89301172"</f>
        <v>89301172</v>
      </c>
      <c r="F12843" t="str">
        <f>"7853145311"</f>
        <v>7853145311</v>
      </c>
      <c r="G12843" s="1">
        <v>44901</v>
      </c>
      <c r="H12843" t="str">
        <f t="shared" si="2809"/>
        <v>91329</v>
      </c>
      <c r="I12843">
        <v>2</v>
      </c>
      <c r="J12843">
        <v>428</v>
      </c>
      <c r="K12843">
        <v>0</v>
      </c>
      <c r="L12843">
        <v>333.84</v>
      </c>
    </row>
    <row r="12844" spans="1:12" x14ac:dyDescent="0.25">
      <c r="A12844" t="str">
        <f t="shared" si="2802"/>
        <v>89301000</v>
      </c>
      <c r="B12844" t="str">
        <f t="shared" si="2805"/>
        <v>06539000</v>
      </c>
      <c r="C12844" t="str">
        <f t="shared" si="2806"/>
        <v>06539003</v>
      </c>
      <c r="D12844" t="str">
        <f t="shared" si="2807"/>
        <v>813</v>
      </c>
      <c r="E12844" t="str">
        <f>"89301172"</f>
        <v>89301172</v>
      </c>
      <c r="F12844" t="str">
        <f>"7853145311"</f>
        <v>7853145311</v>
      </c>
      <c r="G12844" s="1">
        <v>44900</v>
      </c>
      <c r="H12844" t="str">
        <f>"91475"</f>
        <v>91475</v>
      </c>
      <c r="I12844">
        <v>1</v>
      </c>
      <c r="J12844">
        <v>206</v>
      </c>
      <c r="K12844">
        <v>0</v>
      </c>
      <c r="L12844">
        <v>160.68</v>
      </c>
    </row>
    <row r="12845" spans="1:12" x14ac:dyDescent="0.25">
      <c r="A12845" t="str">
        <f t="shared" si="2802"/>
        <v>89301000</v>
      </c>
      <c r="B12845" t="str">
        <f t="shared" si="2805"/>
        <v>06539000</v>
      </c>
      <c r="C12845" t="str">
        <f t="shared" si="2806"/>
        <v>06539003</v>
      </c>
      <c r="D12845" t="str">
        <f t="shared" si="2807"/>
        <v>813</v>
      </c>
      <c r="E12845" t="str">
        <f t="shared" ref="E12845:E12876" si="2810">"89301171"</f>
        <v>89301171</v>
      </c>
      <c r="F12845" t="str">
        <f t="shared" ref="F12845:F12872" si="2811">"9162276211"</f>
        <v>9162276211</v>
      </c>
      <c r="G12845" s="1">
        <v>44902</v>
      </c>
      <c r="H12845" t="str">
        <f t="shared" ref="H12845:H12854" si="2812">"91413"</f>
        <v>91413</v>
      </c>
      <c r="I12845">
        <v>1</v>
      </c>
      <c r="J12845">
        <v>853</v>
      </c>
      <c r="K12845">
        <v>0</v>
      </c>
      <c r="L12845">
        <v>665.34</v>
      </c>
    </row>
    <row r="12846" spans="1:12" x14ac:dyDescent="0.25">
      <c r="A12846" t="str">
        <f t="shared" si="2802"/>
        <v>89301000</v>
      </c>
      <c r="B12846" t="str">
        <f t="shared" si="2805"/>
        <v>06539000</v>
      </c>
      <c r="C12846" t="str">
        <f t="shared" si="2806"/>
        <v>06539003</v>
      </c>
      <c r="D12846" t="str">
        <f t="shared" si="2807"/>
        <v>813</v>
      </c>
      <c r="E12846" t="str">
        <f t="shared" si="2810"/>
        <v>89301171</v>
      </c>
      <c r="F12846" t="str">
        <f t="shared" si="2811"/>
        <v>9162276211</v>
      </c>
      <c r="G12846" s="1">
        <v>44902</v>
      </c>
      <c r="H12846" t="str">
        <f t="shared" si="2812"/>
        <v>91413</v>
      </c>
      <c r="I12846">
        <v>1</v>
      </c>
      <c r="J12846">
        <v>853</v>
      </c>
      <c r="K12846">
        <v>0</v>
      </c>
      <c r="L12846">
        <v>665.34</v>
      </c>
    </row>
    <row r="12847" spans="1:12" x14ac:dyDescent="0.25">
      <c r="A12847" t="str">
        <f t="shared" si="2802"/>
        <v>89301000</v>
      </c>
      <c r="B12847" t="str">
        <f t="shared" si="2805"/>
        <v>06539000</v>
      </c>
      <c r="C12847" t="str">
        <f t="shared" si="2806"/>
        <v>06539003</v>
      </c>
      <c r="D12847" t="str">
        <f t="shared" si="2807"/>
        <v>813</v>
      </c>
      <c r="E12847" t="str">
        <f t="shared" si="2810"/>
        <v>89301171</v>
      </c>
      <c r="F12847" t="str">
        <f t="shared" si="2811"/>
        <v>9162276211</v>
      </c>
      <c r="G12847" s="1">
        <v>44913</v>
      </c>
      <c r="H12847" t="str">
        <f t="shared" si="2812"/>
        <v>91413</v>
      </c>
      <c r="I12847">
        <v>1</v>
      </c>
      <c r="J12847">
        <v>853</v>
      </c>
      <c r="K12847">
        <v>0</v>
      </c>
      <c r="L12847">
        <v>665.34</v>
      </c>
    </row>
    <row r="12848" spans="1:12" x14ac:dyDescent="0.25">
      <c r="A12848" t="str">
        <f t="shared" si="2802"/>
        <v>89301000</v>
      </c>
      <c r="B12848" t="str">
        <f t="shared" si="2805"/>
        <v>06539000</v>
      </c>
      <c r="C12848" t="str">
        <f t="shared" si="2806"/>
        <v>06539003</v>
      </c>
      <c r="D12848" t="str">
        <f t="shared" si="2807"/>
        <v>813</v>
      </c>
      <c r="E12848" t="str">
        <f t="shared" si="2810"/>
        <v>89301171</v>
      </c>
      <c r="F12848" t="str">
        <f t="shared" si="2811"/>
        <v>9162276211</v>
      </c>
      <c r="G12848" s="1">
        <v>44913</v>
      </c>
      <c r="H12848" t="str">
        <f t="shared" si="2812"/>
        <v>91413</v>
      </c>
      <c r="I12848">
        <v>1</v>
      </c>
      <c r="J12848">
        <v>853</v>
      </c>
      <c r="K12848">
        <v>0</v>
      </c>
      <c r="L12848">
        <v>665.34</v>
      </c>
    </row>
    <row r="12849" spans="1:12" x14ac:dyDescent="0.25">
      <c r="A12849" t="str">
        <f t="shared" si="2802"/>
        <v>89301000</v>
      </c>
      <c r="B12849" t="str">
        <f t="shared" si="2805"/>
        <v>06539000</v>
      </c>
      <c r="C12849" t="str">
        <f t="shared" si="2806"/>
        <v>06539003</v>
      </c>
      <c r="D12849" t="str">
        <f t="shared" si="2807"/>
        <v>813</v>
      </c>
      <c r="E12849" t="str">
        <f t="shared" si="2810"/>
        <v>89301171</v>
      </c>
      <c r="F12849" t="str">
        <f t="shared" si="2811"/>
        <v>9162276211</v>
      </c>
      <c r="G12849" s="1">
        <v>44910</v>
      </c>
      <c r="H12849" t="str">
        <f t="shared" si="2812"/>
        <v>91413</v>
      </c>
      <c r="I12849">
        <v>1</v>
      </c>
      <c r="J12849">
        <v>853</v>
      </c>
      <c r="K12849">
        <v>0</v>
      </c>
      <c r="L12849">
        <v>665.34</v>
      </c>
    </row>
    <row r="12850" spans="1:12" x14ac:dyDescent="0.25">
      <c r="A12850" t="str">
        <f t="shared" si="2802"/>
        <v>89301000</v>
      </c>
      <c r="B12850" t="str">
        <f t="shared" si="2805"/>
        <v>06539000</v>
      </c>
      <c r="C12850" t="str">
        <f t="shared" si="2806"/>
        <v>06539003</v>
      </c>
      <c r="D12850" t="str">
        <f t="shared" si="2807"/>
        <v>813</v>
      </c>
      <c r="E12850" t="str">
        <f t="shared" si="2810"/>
        <v>89301171</v>
      </c>
      <c r="F12850" t="str">
        <f t="shared" si="2811"/>
        <v>9162276211</v>
      </c>
      <c r="G12850" s="1">
        <v>44910</v>
      </c>
      <c r="H12850" t="str">
        <f t="shared" si="2812"/>
        <v>91413</v>
      </c>
      <c r="I12850">
        <v>1</v>
      </c>
      <c r="J12850">
        <v>853</v>
      </c>
      <c r="K12850">
        <v>0</v>
      </c>
      <c r="L12850">
        <v>665.34</v>
      </c>
    </row>
    <row r="12851" spans="1:12" x14ac:dyDescent="0.25">
      <c r="A12851" t="str">
        <f t="shared" si="2802"/>
        <v>89301000</v>
      </c>
      <c r="B12851" t="str">
        <f t="shared" si="2805"/>
        <v>06539000</v>
      </c>
      <c r="C12851" t="str">
        <f t="shared" si="2806"/>
        <v>06539003</v>
      </c>
      <c r="D12851" t="str">
        <f t="shared" si="2807"/>
        <v>813</v>
      </c>
      <c r="E12851" t="str">
        <f t="shared" si="2810"/>
        <v>89301171</v>
      </c>
      <c r="F12851" t="str">
        <f t="shared" si="2811"/>
        <v>9162276211</v>
      </c>
      <c r="G12851" s="1">
        <v>44913</v>
      </c>
      <c r="H12851" t="str">
        <f t="shared" si="2812"/>
        <v>91413</v>
      </c>
      <c r="I12851">
        <v>1</v>
      </c>
      <c r="J12851">
        <v>853</v>
      </c>
      <c r="K12851">
        <v>0</v>
      </c>
      <c r="L12851">
        <v>665.34</v>
      </c>
    </row>
    <row r="12852" spans="1:12" x14ac:dyDescent="0.25">
      <c r="A12852" t="str">
        <f t="shared" si="2802"/>
        <v>89301000</v>
      </c>
      <c r="B12852" t="str">
        <f t="shared" si="2805"/>
        <v>06539000</v>
      </c>
      <c r="C12852" t="str">
        <f t="shared" si="2806"/>
        <v>06539003</v>
      </c>
      <c r="D12852" t="str">
        <f t="shared" si="2807"/>
        <v>813</v>
      </c>
      <c r="E12852" t="str">
        <f t="shared" si="2810"/>
        <v>89301171</v>
      </c>
      <c r="F12852" t="str">
        <f t="shared" si="2811"/>
        <v>9162276211</v>
      </c>
      <c r="G12852" s="1">
        <v>44913</v>
      </c>
      <c r="H12852" t="str">
        <f t="shared" si="2812"/>
        <v>91413</v>
      </c>
      <c r="I12852">
        <v>1</v>
      </c>
      <c r="J12852">
        <v>853</v>
      </c>
      <c r="K12852">
        <v>0</v>
      </c>
      <c r="L12852">
        <v>665.34</v>
      </c>
    </row>
    <row r="12853" spans="1:12" x14ac:dyDescent="0.25">
      <c r="A12853" t="str">
        <f t="shared" si="2802"/>
        <v>89301000</v>
      </c>
      <c r="B12853" t="str">
        <f t="shared" si="2805"/>
        <v>06539000</v>
      </c>
      <c r="C12853" t="str">
        <f t="shared" si="2806"/>
        <v>06539003</v>
      </c>
      <c r="D12853" t="str">
        <f t="shared" si="2807"/>
        <v>813</v>
      </c>
      <c r="E12853" t="str">
        <f t="shared" si="2810"/>
        <v>89301171</v>
      </c>
      <c r="F12853" t="str">
        <f t="shared" si="2811"/>
        <v>9162276211</v>
      </c>
      <c r="G12853" s="1">
        <v>44913</v>
      </c>
      <c r="H12853" t="str">
        <f t="shared" si="2812"/>
        <v>91413</v>
      </c>
      <c r="I12853">
        <v>1</v>
      </c>
      <c r="J12853">
        <v>853</v>
      </c>
      <c r="K12853">
        <v>0</v>
      </c>
      <c r="L12853">
        <v>665.34</v>
      </c>
    </row>
    <row r="12854" spans="1:12" x14ac:dyDescent="0.25">
      <c r="A12854" t="str">
        <f t="shared" si="2802"/>
        <v>89301000</v>
      </c>
      <c r="B12854" t="str">
        <f t="shared" si="2805"/>
        <v>06539000</v>
      </c>
      <c r="C12854" t="str">
        <f t="shared" si="2806"/>
        <v>06539003</v>
      </c>
      <c r="D12854" t="str">
        <f t="shared" si="2807"/>
        <v>813</v>
      </c>
      <c r="E12854" t="str">
        <f t="shared" si="2810"/>
        <v>89301171</v>
      </c>
      <c r="F12854" t="str">
        <f t="shared" si="2811"/>
        <v>9162276211</v>
      </c>
      <c r="G12854" s="1">
        <v>44913</v>
      </c>
      <c r="H12854" t="str">
        <f t="shared" si="2812"/>
        <v>91413</v>
      </c>
      <c r="I12854">
        <v>1</v>
      </c>
      <c r="J12854">
        <v>853</v>
      </c>
      <c r="K12854">
        <v>0</v>
      </c>
      <c r="L12854">
        <v>665.34</v>
      </c>
    </row>
    <row r="12855" spans="1:12" x14ac:dyDescent="0.25">
      <c r="A12855" t="str">
        <f t="shared" si="2802"/>
        <v>89301000</v>
      </c>
      <c r="B12855" t="str">
        <f t="shared" si="2805"/>
        <v>06539000</v>
      </c>
      <c r="C12855" t="str">
        <f t="shared" si="2806"/>
        <v>06539003</v>
      </c>
      <c r="D12855" t="str">
        <f t="shared" si="2807"/>
        <v>813</v>
      </c>
      <c r="E12855" t="str">
        <f t="shared" si="2810"/>
        <v>89301171</v>
      </c>
      <c r="F12855" t="str">
        <f t="shared" si="2811"/>
        <v>9162276211</v>
      </c>
      <c r="G12855" s="1">
        <v>44900</v>
      </c>
      <c r="H12855" t="str">
        <f t="shared" ref="H12855:H12860" si="2813">"91197"</f>
        <v>91197</v>
      </c>
      <c r="I12855">
        <v>1</v>
      </c>
      <c r="J12855">
        <v>1046</v>
      </c>
      <c r="K12855">
        <v>0</v>
      </c>
      <c r="L12855">
        <v>815.88</v>
      </c>
    </row>
    <row r="12856" spans="1:12" x14ac:dyDescent="0.25">
      <c r="A12856" t="str">
        <f t="shared" si="2802"/>
        <v>89301000</v>
      </c>
      <c r="B12856" t="str">
        <f t="shared" si="2805"/>
        <v>06539000</v>
      </c>
      <c r="C12856" t="str">
        <f t="shared" si="2806"/>
        <v>06539003</v>
      </c>
      <c r="D12856" t="str">
        <f t="shared" si="2807"/>
        <v>813</v>
      </c>
      <c r="E12856" t="str">
        <f t="shared" si="2810"/>
        <v>89301171</v>
      </c>
      <c r="F12856" t="str">
        <f t="shared" si="2811"/>
        <v>9162276211</v>
      </c>
      <c r="G12856" s="1">
        <v>44900</v>
      </c>
      <c r="H12856" t="str">
        <f t="shared" si="2813"/>
        <v>91197</v>
      </c>
      <c r="I12856">
        <v>1</v>
      </c>
      <c r="J12856">
        <v>1046</v>
      </c>
      <c r="K12856">
        <v>0</v>
      </c>
      <c r="L12856">
        <v>815.88</v>
      </c>
    </row>
    <row r="12857" spans="1:12" x14ac:dyDescent="0.25">
      <c r="A12857" t="str">
        <f t="shared" si="2802"/>
        <v>89301000</v>
      </c>
      <c r="B12857" t="str">
        <f t="shared" si="2805"/>
        <v>06539000</v>
      </c>
      <c r="C12857" t="str">
        <f t="shared" si="2806"/>
        <v>06539003</v>
      </c>
      <c r="D12857" t="str">
        <f t="shared" si="2807"/>
        <v>813</v>
      </c>
      <c r="E12857" t="str">
        <f t="shared" si="2810"/>
        <v>89301171</v>
      </c>
      <c r="F12857" t="str">
        <f t="shared" si="2811"/>
        <v>9162276211</v>
      </c>
      <c r="G12857" s="1">
        <v>44899</v>
      </c>
      <c r="H12857" t="str">
        <f t="shared" si="2813"/>
        <v>91197</v>
      </c>
      <c r="I12857">
        <v>1</v>
      </c>
      <c r="J12857">
        <v>1046</v>
      </c>
      <c r="K12857">
        <v>0</v>
      </c>
      <c r="L12857">
        <v>815.88</v>
      </c>
    </row>
    <row r="12858" spans="1:12" x14ac:dyDescent="0.25">
      <c r="A12858" t="str">
        <f t="shared" si="2802"/>
        <v>89301000</v>
      </c>
      <c r="B12858" t="str">
        <f t="shared" si="2805"/>
        <v>06539000</v>
      </c>
      <c r="C12858" t="str">
        <f t="shared" si="2806"/>
        <v>06539003</v>
      </c>
      <c r="D12858" t="str">
        <f t="shared" si="2807"/>
        <v>813</v>
      </c>
      <c r="E12858" t="str">
        <f t="shared" si="2810"/>
        <v>89301171</v>
      </c>
      <c r="F12858" t="str">
        <f t="shared" si="2811"/>
        <v>9162276211</v>
      </c>
      <c r="G12858" s="1">
        <v>44899</v>
      </c>
      <c r="H12858" t="str">
        <f t="shared" si="2813"/>
        <v>91197</v>
      </c>
      <c r="I12858">
        <v>1</v>
      </c>
      <c r="J12858">
        <v>1046</v>
      </c>
      <c r="K12858">
        <v>0</v>
      </c>
      <c r="L12858">
        <v>815.88</v>
      </c>
    </row>
    <row r="12859" spans="1:12" x14ac:dyDescent="0.25">
      <c r="A12859" t="str">
        <f t="shared" si="2802"/>
        <v>89301000</v>
      </c>
      <c r="B12859" t="str">
        <f t="shared" si="2805"/>
        <v>06539000</v>
      </c>
      <c r="C12859" t="str">
        <f t="shared" ref="C12859:C12890" si="2814">"06539003"</f>
        <v>06539003</v>
      </c>
      <c r="D12859" t="str">
        <f t="shared" ref="D12859:D12890" si="2815">"813"</f>
        <v>813</v>
      </c>
      <c r="E12859" t="str">
        <f t="shared" si="2810"/>
        <v>89301171</v>
      </c>
      <c r="F12859" t="str">
        <f t="shared" si="2811"/>
        <v>9162276211</v>
      </c>
      <c r="G12859" s="1">
        <v>44898</v>
      </c>
      <c r="H12859" t="str">
        <f t="shared" si="2813"/>
        <v>91197</v>
      </c>
      <c r="I12859">
        <v>1</v>
      </c>
      <c r="J12859">
        <v>1046</v>
      </c>
      <c r="K12859">
        <v>0</v>
      </c>
      <c r="L12859">
        <v>815.88</v>
      </c>
    </row>
    <row r="12860" spans="1:12" x14ac:dyDescent="0.25">
      <c r="A12860" t="str">
        <f t="shared" si="2802"/>
        <v>89301000</v>
      </c>
      <c r="B12860" t="str">
        <f t="shared" si="2805"/>
        <v>06539000</v>
      </c>
      <c r="C12860" t="str">
        <f t="shared" si="2814"/>
        <v>06539003</v>
      </c>
      <c r="D12860" t="str">
        <f t="shared" si="2815"/>
        <v>813</v>
      </c>
      <c r="E12860" t="str">
        <f t="shared" si="2810"/>
        <v>89301171</v>
      </c>
      <c r="F12860" t="str">
        <f t="shared" si="2811"/>
        <v>9162276211</v>
      </c>
      <c r="G12860" s="1">
        <v>44898</v>
      </c>
      <c r="H12860" t="str">
        <f t="shared" si="2813"/>
        <v>91197</v>
      </c>
      <c r="I12860">
        <v>1</v>
      </c>
      <c r="J12860">
        <v>1046</v>
      </c>
      <c r="K12860">
        <v>0</v>
      </c>
      <c r="L12860">
        <v>815.88</v>
      </c>
    </row>
    <row r="12861" spans="1:12" x14ac:dyDescent="0.25">
      <c r="A12861" t="str">
        <f t="shared" si="2802"/>
        <v>89301000</v>
      </c>
      <c r="B12861" t="str">
        <f t="shared" si="2805"/>
        <v>06539000</v>
      </c>
      <c r="C12861" t="str">
        <f t="shared" si="2814"/>
        <v>06539003</v>
      </c>
      <c r="D12861" t="str">
        <f t="shared" si="2815"/>
        <v>813</v>
      </c>
      <c r="E12861" t="str">
        <f t="shared" si="2810"/>
        <v>89301171</v>
      </c>
      <c r="F12861" t="str">
        <f t="shared" si="2811"/>
        <v>9162276211</v>
      </c>
      <c r="G12861" s="1">
        <v>44910</v>
      </c>
      <c r="H12861" t="str">
        <f>"91329"</f>
        <v>91329</v>
      </c>
      <c r="I12861">
        <v>2</v>
      </c>
      <c r="J12861">
        <v>428</v>
      </c>
      <c r="K12861">
        <v>0</v>
      </c>
      <c r="L12861">
        <v>333.84</v>
      </c>
    </row>
    <row r="12862" spans="1:12" x14ac:dyDescent="0.25">
      <c r="A12862" t="str">
        <f t="shared" si="2802"/>
        <v>89301000</v>
      </c>
      <c r="B12862" t="str">
        <f t="shared" si="2805"/>
        <v>06539000</v>
      </c>
      <c r="C12862" t="str">
        <f t="shared" si="2814"/>
        <v>06539003</v>
      </c>
      <c r="D12862" t="str">
        <f t="shared" si="2815"/>
        <v>813</v>
      </c>
      <c r="E12862" t="str">
        <f t="shared" si="2810"/>
        <v>89301171</v>
      </c>
      <c r="F12862" t="str">
        <f t="shared" si="2811"/>
        <v>9162276211</v>
      </c>
      <c r="G12862" s="1">
        <v>44910</v>
      </c>
      <c r="H12862" t="str">
        <f>"91329"</f>
        <v>91329</v>
      </c>
      <c r="I12862">
        <v>2</v>
      </c>
      <c r="J12862">
        <v>428</v>
      </c>
      <c r="K12862">
        <v>0</v>
      </c>
      <c r="L12862">
        <v>333.84</v>
      </c>
    </row>
    <row r="12863" spans="1:12" x14ac:dyDescent="0.25">
      <c r="A12863" t="str">
        <f t="shared" si="2802"/>
        <v>89301000</v>
      </c>
      <c r="B12863" t="str">
        <f t="shared" si="2805"/>
        <v>06539000</v>
      </c>
      <c r="C12863" t="str">
        <f t="shared" si="2814"/>
        <v>06539003</v>
      </c>
      <c r="D12863" t="str">
        <f t="shared" si="2815"/>
        <v>813</v>
      </c>
      <c r="E12863" t="str">
        <f t="shared" si="2810"/>
        <v>89301171</v>
      </c>
      <c r="F12863" t="str">
        <f t="shared" si="2811"/>
        <v>9162276211</v>
      </c>
      <c r="G12863" s="1">
        <v>44902</v>
      </c>
      <c r="H12863" t="str">
        <f>"91329"</f>
        <v>91329</v>
      </c>
      <c r="I12863">
        <v>2</v>
      </c>
      <c r="J12863">
        <v>428</v>
      </c>
      <c r="K12863">
        <v>0</v>
      </c>
      <c r="L12863">
        <v>333.84</v>
      </c>
    </row>
    <row r="12864" spans="1:12" x14ac:dyDescent="0.25">
      <c r="A12864" t="str">
        <f t="shared" si="2802"/>
        <v>89301000</v>
      </c>
      <c r="B12864" t="str">
        <f t="shared" si="2805"/>
        <v>06539000</v>
      </c>
      <c r="C12864" t="str">
        <f t="shared" si="2814"/>
        <v>06539003</v>
      </c>
      <c r="D12864" t="str">
        <f t="shared" si="2815"/>
        <v>813</v>
      </c>
      <c r="E12864" t="str">
        <f t="shared" si="2810"/>
        <v>89301171</v>
      </c>
      <c r="F12864" t="str">
        <f t="shared" si="2811"/>
        <v>9162276211</v>
      </c>
      <c r="G12864" s="1">
        <v>44902</v>
      </c>
      <c r="H12864" t="str">
        <f>"91329"</f>
        <v>91329</v>
      </c>
      <c r="I12864">
        <v>2</v>
      </c>
      <c r="J12864">
        <v>428</v>
      </c>
      <c r="K12864">
        <v>0</v>
      </c>
      <c r="L12864">
        <v>333.84</v>
      </c>
    </row>
    <row r="12865" spans="1:12" x14ac:dyDescent="0.25">
      <c r="A12865" t="str">
        <f t="shared" si="2802"/>
        <v>89301000</v>
      </c>
      <c r="B12865" t="str">
        <f t="shared" si="2805"/>
        <v>06539000</v>
      </c>
      <c r="C12865" t="str">
        <f t="shared" si="2814"/>
        <v>06539003</v>
      </c>
      <c r="D12865" t="str">
        <f t="shared" si="2815"/>
        <v>813</v>
      </c>
      <c r="E12865" t="str">
        <f t="shared" si="2810"/>
        <v>89301171</v>
      </c>
      <c r="F12865" t="str">
        <f t="shared" si="2811"/>
        <v>9162276211</v>
      </c>
      <c r="G12865" s="1">
        <v>44900</v>
      </c>
      <c r="H12865" t="str">
        <f>"91129"</f>
        <v>91129</v>
      </c>
      <c r="I12865">
        <v>1</v>
      </c>
      <c r="J12865">
        <v>174</v>
      </c>
      <c r="K12865">
        <v>0</v>
      </c>
      <c r="L12865">
        <v>135.72</v>
      </c>
    </row>
    <row r="12866" spans="1:12" x14ac:dyDescent="0.25">
      <c r="A12866" t="str">
        <f t="shared" ref="A12866:A12929" si="2816">"89301000"</f>
        <v>89301000</v>
      </c>
      <c r="B12866" t="str">
        <f t="shared" si="2805"/>
        <v>06539000</v>
      </c>
      <c r="C12866" t="str">
        <f t="shared" si="2814"/>
        <v>06539003</v>
      </c>
      <c r="D12866" t="str">
        <f t="shared" si="2815"/>
        <v>813</v>
      </c>
      <c r="E12866" t="str">
        <f t="shared" si="2810"/>
        <v>89301171</v>
      </c>
      <c r="F12866" t="str">
        <f t="shared" si="2811"/>
        <v>9162276211</v>
      </c>
      <c r="G12866" s="1">
        <v>44900</v>
      </c>
      <c r="H12866" t="str">
        <f>"91131"</f>
        <v>91131</v>
      </c>
      <c r="I12866">
        <v>1</v>
      </c>
      <c r="J12866">
        <v>171</v>
      </c>
      <c r="K12866">
        <v>0</v>
      </c>
      <c r="L12866">
        <v>133.38</v>
      </c>
    </row>
    <row r="12867" spans="1:12" x14ac:dyDescent="0.25">
      <c r="A12867" t="str">
        <f t="shared" si="2816"/>
        <v>89301000</v>
      </c>
      <c r="B12867" t="str">
        <f t="shared" si="2805"/>
        <v>06539000</v>
      </c>
      <c r="C12867" t="str">
        <f t="shared" si="2814"/>
        <v>06539003</v>
      </c>
      <c r="D12867" t="str">
        <f t="shared" si="2815"/>
        <v>813</v>
      </c>
      <c r="E12867" t="str">
        <f t="shared" si="2810"/>
        <v>89301171</v>
      </c>
      <c r="F12867" t="str">
        <f t="shared" si="2811"/>
        <v>9162276211</v>
      </c>
      <c r="G12867" s="1">
        <v>44900</v>
      </c>
      <c r="H12867" t="str">
        <f>"91133"</f>
        <v>91133</v>
      </c>
      <c r="I12867">
        <v>1</v>
      </c>
      <c r="J12867">
        <v>176</v>
      </c>
      <c r="K12867">
        <v>0</v>
      </c>
      <c r="L12867">
        <v>137.28</v>
      </c>
    </row>
    <row r="12868" spans="1:12" x14ac:dyDescent="0.25">
      <c r="A12868" t="str">
        <f t="shared" si="2816"/>
        <v>89301000</v>
      </c>
      <c r="B12868" t="str">
        <f t="shared" si="2805"/>
        <v>06539000</v>
      </c>
      <c r="C12868" t="str">
        <f t="shared" si="2814"/>
        <v>06539003</v>
      </c>
      <c r="D12868" t="str">
        <f t="shared" si="2815"/>
        <v>813</v>
      </c>
      <c r="E12868" t="str">
        <f t="shared" si="2810"/>
        <v>89301171</v>
      </c>
      <c r="F12868" t="str">
        <f t="shared" si="2811"/>
        <v>9162276211</v>
      </c>
      <c r="G12868" s="1">
        <v>44900</v>
      </c>
      <c r="H12868" t="str">
        <f>"91171"</f>
        <v>91171</v>
      </c>
      <c r="I12868">
        <v>1</v>
      </c>
      <c r="J12868">
        <v>360</v>
      </c>
      <c r="K12868">
        <v>0</v>
      </c>
      <c r="L12868">
        <v>280.8</v>
      </c>
    </row>
    <row r="12869" spans="1:12" x14ac:dyDescent="0.25">
      <c r="A12869" t="str">
        <f t="shared" si="2816"/>
        <v>89301000</v>
      </c>
      <c r="B12869" t="str">
        <f t="shared" si="2805"/>
        <v>06539000</v>
      </c>
      <c r="C12869" t="str">
        <f t="shared" si="2814"/>
        <v>06539003</v>
      </c>
      <c r="D12869" t="str">
        <f t="shared" si="2815"/>
        <v>813</v>
      </c>
      <c r="E12869" t="str">
        <f t="shared" si="2810"/>
        <v>89301171</v>
      </c>
      <c r="F12869" t="str">
        <f t="shared" si="2811"/>
        <v>9162276211</v>
      </c>
      <c r="G12869" s="1">
        <v>44900</v>
      </c>
      <c r="H12869" t="str">
        <f>"91175"</f>
        <v>91175</v>
      </c>
      <c r="I12869">
        <v>1</v>
      </c>
      <c r="J12869">
        <v>360</v>
      </c>
      <c r="K12869">
        <v>0</v>
      </c>
      <c r="L12869">
        <v>280.8</v>
      </c>
    </row>
    <row r="12870" spans="1:12" x14ac:dyDescent="0.25">
      <c r="A12870" t="str">
        <f t="shared" si="2816"/>
        <v>89301000</v>
      </c>
      <c r="B12870" t="str">
        <f t="shared" si="2805"/>
        <v>06539000</v>
      </c>
      <c r="C12870" t="str">
        <f t="shared" si="2814"/>
        <v>06539003</v>
      </c>
      <c r="D12870" t="str">
        <f t="shared" si="2815"/>
        <v>813</v>
      </c>
      <c r="E12870" t="str">
        <f t="shared" si="2810"/>
        <v>89301171</v>
      </c>
      <c r="F12870" t="str">
        <f t="shared" si="2811"/>
        <v>9162276211</v>
      </c>
      <c r="G12870" s="1">
        <v>44898</v>
      </c>
      <c r="H12870" t="str">
        <f>"91167"</f>
        <v>91167</v>
      </c>
      <c r="I12870">
        <v>1</v>
      </c>
      <c r="J12870">
        <v>425</v>
      </c>
      <c r="K12870">
        <v>0</v>
      </c>
      <c r="L12870">
        <v>331.5</v>
      </c>
    </row>
    <row r="12871" spans="1:12" x14ac:dyDescent="0.25">
      <c r="A12871" t="str">
        <f t="shared" si="2816"/>
        <v>89301000</v>
      </c>
      <c r="B12871" t="str">
        <f t="shared" si="2805"/>
        <v>06539000</v>
      </c>
      <c r="C12871" t="str">
        <f t="shared" si="2814"/>
        <v>06539003</v>
      </c>
      <c r="D12871" t="str">
        <f t="shared" si="2815"/>
        <v>813</v>
      </c>
      <c r="E12871" t="str">
        <f t="shared" si="2810"/>
        <v>89301171</v>
      </c>
      <c r="F12871" t="str">
        <f t="shared" si="2811"/>
        <v>9162276211</v>
      </c>
      <c r="G12871" s="1">
        <v>44898</v>
      </c>
      <c r="H12871" t="str">
        <f>"91169"</f>
        <v>91169</v>
      </c>
      <c r="I12871">
        <v>1</v>
      </c>
      <c r="J12871">
        <v>425</v>
      </c>
      <c r="K12871">
        <v>0</v>
      </c>
      <c r="L12871">
        <v>331.5</v>
      </c>
    </row>
    <row r="12872" spans="1:12" x14ac:dyDescent="0.25">
      <c r="A12872" t="str">
        <f t="shared" si="2816"/>
        <v>89301000</v>
      </c>
      <c r="B12872" t="str">
        <f t="shared" si="2805"/>
        <v>06539000</v>
      </c>
      <c r="C12872" t="str">
        <f t="shared" si="2814"/>
        <v>06539003</v>
      </c>
      <c r="D12872" t="str">
        <f t="shared" si="2815"/>
        <v>813</v>
      </c>
      <c r="E12872" t="str">
        <f t="shared" si="2810"/>
        <v>89301171</v>
      </c>
      <c r="F12872" t="str">
        <f t="shared" si="2811"/>
        <v>9162276211</v>
      </c>
      <c r="G12872" s="1">
        <v>44902</v>
      </c>
      <c r="H12872" t="str">
        <f>"91475"</f>
        <v>91475</v>
      </c>
      <c r="I12872">
        <v>1</v>
      </c>
      <c r="J12872">
        <v>206</v>
      </c>
      <c r="K12872">
        <v>0</v>
      </c>
      <c r="L12872">
        <v>160.68</v>
      </c>
    </row>
    <row r="12873" spans="1:12" x14ac:dyDescent="0.25">
      <c r="A12873" t="str">
        <f t="shared" si="2816"/>
        <v>89301000</v>
      </c>
      <c r="B12873" t="str">
        <f t="shared" si="2805"/>
        <v>06539000</v>
      </c>
      <c r="C12873" t="str">
        <f t="shared" si="2814"/>
        <v>06539003</v>
      </c>
      <c r="D12873" t="str">
        <f t="shared" si="2815"/>
        <v>813</v>
      </c>
      <c r="E12873" t="str">
        <f t="shared" si="2810"/>
        <v>89301171</v>
      </c>
      <c r="F12873" t="str">
        <f t="shared" ref="F12873:F12904" si="2817">"9302166170"</f>
        <v>9302166170</v>
      </c>
      <c r="G12873" s="1">
        <v>44902</v>
      </c>
      <c r="H12873" t="str">
        <f t="shared" ref="H12873:H12882" si="2818">"91413"</f>
        <v>91413</v>
      </c>
      <c r="I12873">
        <v>1</v>
      </c>
      <c r="J12873">
        <v>853</v>
      </c>
      <c r="K12873">
        <v>0</v>
      </c>
      <c r="L12873">
        <v>665.34</v>
      </c>
    </row>
    <row r="12874" spans="1:12" x14ac:dyDescent="0.25">
      <c r="A12874" t="str">
        <f t="shared" si="2816"/>
        <v>89301000</v>
      </c>
      <c r="B12874" t="str">
        <f t="shared" si="2805"/>
        <v>06539000</v>
      </c>
      <c r="C12874" t="str">
        <f t="shared" si="2814"/>
        <v>06539003</v>
      </c>
      <c r="D12874" t="str">
        <f t="shared" si="2815"/>
        <v>813</v>
      </c>
      <c r="E12874" t="str">
        <f t="shared" si="2810"/>
        <v>89301171</v>
      </c>
      <c r="F12874" t="str">
        <f t="shared" si="2817"/>
        <v>9302166170</v>
      </c>
      <c r="G12874" s="1">
        <v>44902</v>
      </c>
      <c r="H12874" t="str">
        <f t="shared" si="2818"/>
        <v>91413</v>
      </c>
      <c r="I12874">
        <v>1</v>
      </c>
      <c r="J12874">
        <v>853</v>
      </c>
      <c r="K12874">
        <v>0</v>
      </c>
      <c r="L12874">
        <v>665.34</v>
      </c>
    </row>
    <row r="12875" spans="1:12" x14ac:dyDescent="0.25">
      <c r="A12875" t="str">
        <f t="shared" si="2816"/>
        <v>89301000</v>
      </c>
      <c r="B12875" t="str">
        <f t="shared" si="2805"/>
        <v>06539000</v>
      </c>
      <c r="C12875" t="str">
        <f t="shared" si="2814"/>
        <v>06539003</v>
      </c>
      <c r="D12875" t="str">
        <f t="shared" si="2815"/>
        <v>813</v>
      </c>
      <c r="E12875" t="str">
        <f t="shared" si="2810"/>
        <v>89301171</v>
      </c>
      <c r="F12875" t="str">
        <f t="shared" si="2817"/>
        <v>9302166170</v>
      </c>
      <c r="G12875" s="1">
        <v>44913</v>
      </c>
      <c r="H12875" t="str">
        <f t="shared" si="2818"/>
        <v>91413</v>
      </c>
      <c r="I12875">
        <v>1</v>
      </c>
      <c r="J12875">
        <v>853</v>
      </c>
      <c r="K12875">
        <v>0</v>
      </c>
      <c r="L12875">
        <v>665.34</v>
      </c>
    </row>
    <row r="12876" spans="1:12" x14ac:dyDescent="0.25">
      <c r="A12876" t="str">
        <f t="shared" si="2816"/>
        <v>89301000</v>
      </c>
      <c r="B12876" t="str">
        <f t="shared" si="2805"/>
        <v>06539000</v>
      </c>
      <c r="C12876" t="str">
        <f t="shared" si="2814"/>
        <v>06539003</v>
      </c>
      <c r="D12876" t="str">
        <f t="shared" si="2815"/>
        <v>813</v>
      </c>
      <c r="E12876" t="str">
        <f t="shared" si="2810"/>
        <v>89301171</v>
      </c>
      <c r="F12876" t="str">
        <f t="shared" si="2817"/>
        <v>9302166170</v>
      </c>
      <c r="G12876" s="1">
        <v>44913</v>
      </c>
      <c r="H12876" t="str">
        <f t="shared" si="2818"/>
        <v>91413</v>
      </c>
      <c r="I12876">
        <v>1</v>
      </c>
      <c r="J12876">
        <v>853</v>
      </c>
      <c r="K12876">
        <v>0</v>
      </c>
      <c r="L12876">
        <v>665.34</v>
      </c>
    </row>
    <row r="12877" spans="1:12" x14ac:dyDescent="0.25">
      <c r="A12877" t="str">
        <f t="shared" si="2816"/>
        <v>89301000</v>
      </c>
      <c r="B12877" t="str">
        <f t="shared" si="2805"/>
        <v>06539000</v>
      </c>
      <c r="C12877" t="str">
        <f t="shared" si="2814"/>
        <v>06539003</v>
      </c>
      <c r="D12877" t="str">
        <f t="shared" si="2815"/>
        <v>813</v>
      </c>
      <c r="E12877" t="str">
        <f t="shared" ref="E12877:E12908" si="2819">"89301171"</f>
        <v>89301171</v>
      </c>
      <c r="F12877" t="str">
        <f t="shared" si="2817"/>
        <v>9302166170</v>
      </c>
      <c r="G12877" s="1">
        <v>44910</v>
      </c>
      <c r="H12877" t="str">
        <f t="shared" si="2818"/>
        <v>91413</v>
      </c>
      <c r="I12877">
        <v>1</v>
      </c>
      <c r="J12877">
        <v>853</v>
      </c>
      <c r="K12877">
        <v>0</v>
      </c>
      <c r="L12877">
        <v>665.34</v>
      </c>
    </row>
    <row r="12878" spans="1:12" x14ac:dyDescent="0.25">
      <c r="A12878" t="str">
        <f t="shared" si="2816"/>
        <v>89301000</v>
      </c>
      <c r="B12878" t="str">
        <f t="shared" si="2805"/>
        <v>06539000</v>
      </c>
      <c r="C12878" t="str">
        <f t="shared" si="2814"/>
        <v>06539003</v>
      </c>
      <c r="D12878" t="str">
        <f t="shared" si="2815"/>
        <v>813</v>
      </c>
      <c r="E12878" t="str">
        <f t="shared" si="2819"/>
        <v>89301171</v>
      </c>
      <c r="F12878" t="str">
        <f t="shared" si="2817"/>
        <v>9302166170</v>
      </c>
      <c r="G12878" s="1">
        <v>44910</v>
      </c>
      <c r="H12878" t="str">
        <f t="shared" si="2818"/>
        <v>91413</v>
      </c>
      <c r="I12878">
        <v>1</v>
      </c>
      <c r="J12878">
        <v>853</v>
      </c>
      <c r="K12878">
        <v>0</v>
      </c>
      <c r="L12878">
        <v>665.34</v>
      </c>
    </row>
    <row r="12879" spans="1:12" x14ac:dyDescent="0.25">
      <c r="A12879" t="str">
        <f t="shared" si="2816"/>
        <v>89301000</v>
      </c>
      <c r="B12879" t="str">
        <f t="shared" si="2805"/>
        <v>06539000</v>
      </c>
      <c r="C12879" t="str">
        <f t="shared" si="2814"/>
        <v>06539003</v>
      </c>
      <c r="D12879" t="str">
        <f t="shared" si="2815"/>
        <v>813</v>
      </c>
      <c r="E12879" t="str">
        <f t="shared" si="2819"/>
        <v>89301171</v>
      </c>
      <c r="F12879" t="str">
        <f t="shared" si="2817"/>
        <v>9302166170</v>
      </c>
      <c r="G12879" s="1">
        <v>44913</v>
      </c>
      <c r="H12879" t="str">
        <f t="shared" si="2818"/>
        <v>91413</v>
      </c>
      <c r="I12879">
        <v>1</v>
      </c>
      <c r="J12879">
        <v>853</v>
      </c>
      <c r="K12879">
        <v>0</v>
      </c>
      <c r="L12879">
        <v>665.34</v>
      </c>
    </row>
    <row r="12880" spans="1:12" x14ac:dyDescent="0.25">
      <c r="A12880" t="str">
        <f t="shared" si="2816"/>
        <v>89301000</v>
      </c>
      <c r="B12880" t="str">
        <f t="shared" si="2805"/>
        <v>06539000</v>
      </c>
      <c r="C12880" t="str">
        <f t="shared" si="2814"/>
        <v>06539003</v>
      </c>
      <c r="D12880" t="str">
        <f t="shared" si="2815"/>
        <v>813</v>
      </c>
      <c r="E12880" t="str">
        <f t="shared" si="2819"/>
        <v>89301171</v>
      </c>
      <c r="F12880" t="str">
        <f t="shared" si="2817"/>
        <v>9302166170</v>
      </c>
      <c r="G12880" s="1">
        <v>44913</v>
      </c>
      <c r="H12880" t="str">
        <f t="shared" si="2818"/>
        <v>91413</v>
      </c>
      <c r="I12880">
        <v>1</v>
      </c>
      <c r="J12880">
        <v>853</v>
      </c>
      <c r="K12880">
        <v>0</v>
      </c>
      <c r="L12880">
        <v>665.34</v>
      </c>
    </row>
    <row r="12881" spans="1:12" x14ac:dyDescent="0.25">
      <c r="A12881" t="str">
        <f t="shared" si="2816"/>
        <v>89301000</v>
      </c>
      <c r="B12881" t="str">
        <f t="shared" si="2805"/>
        <v>06539000</v>
      </c>
      <c r="C12881" t="str">
        <f t="shared" si="2814"/>
        <v>06539003</v>
      </c>
      <c r="D12881" t="str">
        <f t="shared" si="2815"/>
        <v>813</v>
      </c>
      <c r="E12881" t="str">
        <f t="shared" si="2819"/>
        <v>89301171</v>
      </c>
      <c r="F12881" t="str">
        <f t="shared" si="2817"/>
        <v>9302166170</v>
      </c>
      <c r="G12881" s="1">
        <v>44913</v>
      </c>
      <c r="H12881" t="str">
        <f t="shared" si="2818"/>
        <v>91413</v>
      </c>
      <c r="I12881">
        <v>1</v>
      </c>
      <c r="J12881">
        <v>853</v>
      </c>
      <c r="K12881">
        <v>0</v>
      </c>
      <c r="L12881">
        <v>665.34</v>
      </c>
    </row>
    <row r="12882" spans="1:12" x14ac:dyDescent="0.25">
      <c r="A12882" t="str">
        <f t="shared" si="2816"/>
        <v>89301000</v>
      </c>
      <c r="B12882" t="str">
        <f t="shared" si="2805"/>
        <v>06539000</v>
      </c>
      <c r="C12882" t="str">
        <f t="shared" si="2814"/>
        <v>06539003</v>
      </c>
      <c r="D12882" t="str">
        <f t="shared" si="2815"/>
        <v>813</v>
      </c>
      <c r="E12882" t="str">
        <f t="shared" si="2819"/>
        <v>89301171</v>
      </c>
      <c r="F12882" t="str">
        <f t="shared" si="2817"/>
        <v>9302166170</v>
      </c>
      <c r="G12882" s="1">
        <v>44913</v>
      </c>
      <c r="H12882" t="str">
        <f t="shared" si="2818"/>
        <v>91413</v>
      </c>
      <c r="I12882">
        <v>1</v>
      </c>
      <c r="J12882">
        <v>853</v>
      </c>
      <c r="K12882">
        <v>0</v>
      </c>
      <c r="L12882">
        <v>665.34</v>
      </c>
    </row>
    <row r="12883" spans="1:12" x14ac:dyDescent="0.25">
      <c r="A12883" t="str">
        <f t="shared" si="2816"/>
        <v>89301000</v>
      </c>
      <c r="B12883" t="str">
        <f t="shared" si="2805"/>
        <v>06539000</v>
      </c>
      <c r="C12883" t="str">
        <f t="shared" si="2814"/>
        <v>06539003</v>
      </c>
      <c r="D12883" t="str">
        <f t="shared" si="2815"/>
        <v>813</v>
      </c>
      <c r="E12883" t="str">
        <f t="shared" si="2819"/>
        <v>89301171</v>
      </c>
      <c r="F12883" t="str">
        <f t="shared" si="2817"/>
        <v>9302166170</v>
      </c>
      <c r="G12883" s="1">
        <v>44900</v>
      </c>
      <c r="H12883" t="str">
        <f t="shared" ref="H12883:H12888" si="2820">"91197"</f>
        <v>91197</v>
      </c>
      <c r="I12883">
        <v>1</v>
      </c>
      <c r="J12883">
        <v>1046</v>
      </c>
      <c r="K12883">
        <v>0</v>
      </c>
      <c r="L12883">
        <v>815.88</v>
      </c>
    </row>
    <row r="12884" spans="1:12" x14ac:dyDescent="0.25">
      <c r="A12884" t="str">
        <f t="shared" si="2816"/>
        <v>89301000</v>
      </c>
      <c r="B12884" t="str">
        <f t="shared" si="2805"/>
        <v>06539000</v>
      </c>
      <c r="C12884" t="str">
        <f t="shared" si="2814"/>
        <v>06539003</v>
      </c>
      <c r="D12884" t="str">
        <f t="shared" si="2815"/>
        <v>813</v>
      </c>
      <c r="E12884" t="str">
        <f t="shared" si="2819"/>
        <v>89301171</v>
      </c>
      <c r="F12884" t="str">
        <f t="shared" si="2817"/>
        <v>9302166170</v>
      </c>
      <c r="G12884" s="1">
        <v>44900</v>
      </c>
      <c r="H12884" t="str">
        <f t="shared" si="2820"/>
        <v>91197</v>
      </c>
      <c r="I12884">
        <v>1</v>
      </c>
      <c r="J12884">
        <v>1046</v>
      </c>
      <c r="K12884">
        <v>0</v>
      </c>
      <c r="L12884">
        <v>815.88</v>
      </c>
    </row>
    <row r="12885" spans="1:12" x14ac:dyDescent="0.25">
      <c r="A12885" t="str">
        <f t="shared" si="2816"/>
        <v>89301000</v>
      </c>
      <c r="B12885" t="str">
        <f t="shared" si="2805"/>
        <v>06539000</v>
      </c>
      <c r="C12885" t="str">
        <f t="shared" si="2814"/>
        <v>06539003</v>
      </c>
      <c r="D12885" t="str">
        <f t="shared" si="2815"/>
        <v>813</v>
      </c>
      <c r="E12885" t="str">
        <f t="shared" si="2819"/>
        <v>89301171</v>
      </c>
      <c r="F12885" t="str">
        <f t="shared" si="2817"/>
        <v>9302166170</v>
      </c>
      <c r="G12885" s="1">
        <v>44899</v>
      </c>
      <c r="H12885" t="str">
        <f t="shared" si="2820"/>
        <v>91197</v>
      </c>
      <c r="I12885">
        <v>1</v>
      </c>
      <c r="J12885">
        <v>1046</v>
      </c>
      <c r="K12885">
        <v>0</v>
      </c>
      <c r="L12885">
        <v>815.88</v>
      </c>
    </row>
    <row r="12886" spans="1:12" x14ac:dyDescent="0.25">
      <c r="A12886" t="str">
        <f t="shared" si="2816"/>
        <v>89301000</v>
      </c>
      <c r="B12886" t="str">
        <f t="shared" si="2805"/>
        <v>06539000</v>
      </c>
      <c r="C12886" t="str">
        <f t="shared" si="2814"/>
        <v>06539003</v>
      </c>
      <c r="D12886" t="str">
        <f t="shared" si="2815"/>
        <v>813</v>
      </c>
      <c r="E12886" t="str">
        <f t="shared" si="2819"/>
        <v>89301171</v>
      </c>
      <c r="F12886" t="str">
        <f t="shared" si="2817"/>
        <v>9302166170</v>
      </c>
      <c r="G12886" s="1">
        <v>44899</v>
      </c>
      <c r="H12886" t="str">
        <f t="shared" si="2820"/>
        <v>91197</v>
      </c>
      <c r="I12886">
        <v>1</v>
      </c>
      <c r="J12886">
        <v>1046</v>
      </c>
      <c r="K12886">
        <v>0</v>
      </c>
      <c r="L12886">
        <v>815.88</v>
      </c>
    </row>
    <row r="12887" spans="1:12" x14ac:dyDescent="0.25">
      <c r="A12887" t="str">
        <f t="shared" si="2816"/>
        <v>89301000</v>
      </c>
      <c r="B12887" t="str">
        <f t="shared" si="2805"/>
        <v>06539000</v>
      </c>
      <c r="C12887" t="str">
        <f t="shared" si="2814"/>
        <v>06539003</v>
      </c>
      <c r="D12887" t="str">
        <f t="shared" si="2815"/>
        <v>813</v>
      </c>
      <c r="E12887" t="str">
        <f t="shared" si="2819"/>
        <v>89301171</v>
      </c>
      <c r="F12887" t="str">
        <f t="shared" si="2817"/>
        <v>9302166170</v>
      </c>
      <c r="G12887" s="1">
        <v>44898</v>
      </c>
      <c r="H12887" t="str">
        <f t="shared" si="2820"/>
        <v>91197</v>
      </c>
      <c r="I12887">
        <v>1</v>
      </c>
      <c r="J12887">
        <v>1046</v>
      </c>
      <c r="K12887">
        <v>0</v>
      </c>
      <c r="L12887">
        <v>815.88</v>
      </c>
    </row>
    <row r="12888" spans="1:12" x14ac:dyDescent="0.25">
      <c r="A12888" t="str">
        <f t="shared" si="2816"/>
        <v>89301000</v>
      </c>
      <c r="B12888" t="str">
        <f t="shared" si="2805"/>
        <v>06539000</v>
      </c>
      <c r="C12888" t="str">
        <f t="shared" si="2814"/>
        <v>06539003</v>
      </c>
      <c r="D12888" t="str">
        <f t="shared" si="2815"/>
        <v>813</v>
      </c>
      <c r="E12888" t="str">
        <f t="shared" si="2819"/>
        <v>89301171</v>
      </c>
      <c r="F12888" t="str">
        <f t="shared" si="2817"/>
        <v>9302166170</v>
      </c>
      <c r="G12888" s="1">
        <v>44898</v>
      </c>
      <c r="H12888" t="str">
        <f t="shared" si="2820"/>
        <v>91197</v>
      </c>
      <c r="I12888">
        <v>1</v>
      </c>
      <c r="J12888">
        <v>1046</v>
      </c>
      <c r="K12888">
        <v>0</v>
      </c>
      <c r="L12888">
        <v>815.88</v>
      </c>
    </row>
    <row r="12889" spans="1:12" x14ac:dyDescent="0.25">
      <c r="A12889" t="str">
        <f t="shared" si="2816"/>
        <v>89301000</v>
      </c>
      <c r="B12889" t="str">
        <f t="shared" si="2805"/>
        <v>06539000</v>
      </c>
      <c r="C12889" t="str">
        <f t="shared" si="2814"/>
        <v>06539003</v>
      </c>
      <c r="D12889" t="str">
        <f t="shared" si="2815"/>
        <v>813</v>
      </c>
      <c r="E12889" t="str">
        <f t="shared" si="2819"/>
        <v>89301171</v>
      </c>
      <c r="F12889" t="str">
        <f t="shared" si="2817"/>
        <v>9302166170</v>
      </c>
      <c r="G12889" s="1">
        <v>44910</v>
      </c>
      <c r="H12889" t="str">
        <f>"91329"</f>
        <v>91329</v>
      </c>
      <c r="I12889">
        <v>2</v>
      </c>
      <c r="J12889">
        <v>428</v>
      </c>
      <c r="K12889">
        <v>0</v>
      </c>
      <c r="L12889">
        <v>333.84</v>
      </c>
    </row>
    <row r="12890" spans="1:12" x14ac:dyDescent="0.25">
      <c r="A12890" t="str">
        <f t="shared" si="2816"/>
        <v>89301000</v>
      </c>
      <c r="B12890" t="str">
        <f t="shared" si="2805"/>
        <v>06539000</v>
      </c>
      <c r="C12890" t="str">
        <f t="shared" si="2814"/>
        <v>06539003</v>
      </c>
      <c r="D12890" t="str">
        <f t="shared" si="2815"/>
        <v>813</v>
      </c>
      <c r="E12890" t="str">
        <f t="shared" si="2819"/>
        <v>89301171</v>
      </c>
      <c r="F12890" t="str">
        <f t="shared" si="2817"/>
        <v>9302166170</v>
      </c>
      <c r="G12890" s="1">
        <v>44910</v>
      </c>
      <c r="H12890" t="str">
        <f>"91329"</f>
        <v>91329</v>
      </c>
      <c r="I12890">
        <v>2</v>
      </c>
      <c r="J12890">
        <v>428</v>
      </c>
      <c r="K12890">
        <v>0</v>
      </c>
      <c r="L12890">
        <v>333.84</v>
      </c>
    </row>
    <row r="12891" spans="1:12" x14ac:dyDescent="0.25">
      <c r="A12891" t="str">
        <f t="shared" si="2816"/>
        <v>89301000</v>
      </c>
      <c r="B12891" t="str">
        <f t="shared" ref="B12891:B12954" si="2821">"06539000"</f>
        <v>06539000</v>
      </c>
      <c r="C12891" t="str">
        <f t="shared" ref="C12891:C12900" si="2822">"06539003"</f>
        <v>06539003</v>
      </c>
      <c r="D12891" t="str">
        <f t="shared" ref="D12891:D12900" si="2823">"813"</f>
        <v>813</v>
      </c>
      <c r="E12891" t="str">
        <f t="shared" si="2819"/>
        <v>89301171</v>
      </c>
      <c r="F12891" t="str">
        <f t="shared" si="2817"/>
        <v>9302166170</v>
      </c>
      <c r="G12891" s="1">
        <v>44902</v>
      </c>
      <c r="H12891" t="str">
        <f>"91329"</f>
        <v>91329</v>
      </c>
      <c r="I12891">
        <v>2</v>
      </c>
      <c r="J12891">
        <v>428</v>
      </c>
      <c r="K12891">
        <v>0</v>
      </c>
      <c r="L12891">
        <v>333.84</v>
      </c>
    </row>
    <row r="12892" spans="1:12" x14ac:dyDescent="0.25">
      <c r="A12892" t="str">
        <f t="shared" si="2816"/>
        <v>89301000</v>
      </c>
      <c r="B12892" t="str">
        <f t="shared" si="2821"/>
        <v>06539000</v>
      </c>
      <c r="C12892" t="str">
        <f t="shared" si="2822"/>
        <v>06539003</v>
      </c>
      <c r="D12892" t="str">
        <f t="shared" si="2823"/>
        <v>813</v>
      </c>
      <c r="E12892" t="str">
        <f t="shared" si="2819"/>
        <v>89301171</v>
      </c>
      <c r="F12892" t="str">
        <f t="shared" si="2817"/>
        <v>9302166170</v>
      </c>
      <c r="G12892" s="1">
        <v>44902</v>
      </c>
      <c r="H12892" t="str">
        <f>"91329"</f>
        <v>91329</v>
      </c>
      <c r="I12892">
        <v>2</v>
      </c>
      <c r="J12892">
        <v>428</v>
      </c>
      <c r="K12892">
        <v>0</v>
      </c>
      <c r="L12892">
        <v>333.84</v>
      </c>
    </row>
    <row r="12893" spans="1:12" x14ac:dyDescent="0.25">
      <c r="A12893" t="str">
        <f t="shared" si="2816"/>
        <v>89301000</v>
      </c>
      <c r="B12893" t="str">
        <f t="shared" si="2821"/>
        <v>06539000</v>
      </c>
      <c r="C12893" t="str">
        <f t="shared" si="2822"/>
        <v>06539003</v>
      </c>
      <c r="D12893" t="str">
        <f t="shared" si="2823"/>
        <v>813</v>
      </c>
      <c r="E12893" t="str">
        <f t="shared" si="2819"/>
        <v>89301171</v>
      </c>
      <c r="F12893" t="str">
        <f t="shared" si="2817"/>
        <v>9302166170</v>
      </c>
      <c r="G12893" s="1">
        <v>44900</v>
      </c>
      <c r="H12893" t="str">
        <f>"91129"</f>
        <v>91129</v>
      </c>
      <c r="I12893">
        <v>1</v>
      </c>
      <c r="J12893">
        <v>174</v>
      </c>
      <c r="K12893">
        <v>0</v>
      </c>
      <c r="L12893">
        <v>135.72</v>
      </c>
    </row>
    <row r="12894" spans="1:12" x14ac:dyDescent="0.25">
      <c r="A12894" t="str">
        <f t="shared" si="2816"/>
        <v>89301000</v>
      </c>
      <c r="B12894" t="str">
        <f t="shared" si="2821"/>
        <v>06539000</v>
      </c>
      <c r="C12894" t="str">
        <f t="shared" si="2822"/>
        <v>06539003</v>
      </c>
      <c r="D12894" t="str">
        <f t="shared" si="2823"/>
        <v>813</v>
      </c>
      <c r="E12894" t="str">
        <f t="shared" si="2819"/>
        <v>89301171</v>
      </c>
      <c r="F12894" t="str">
        <f t="shared" si="2817"/>
        <v>9302166170</v>
      </c>
      <c r="G12894" s="1">
        <v>44900</v>
      </c>
      <c r="H12894" t="str">
        <f>"91131"</f>
        <v>91131</v>
      </c>
      <c r="I12894">
        <v>1</v>
      </c>
      <c r="J12894">
        <v>171</v>
      </c>
      <c r="K12894">
        <v>0</v>
      </c>
      <c r="L12894">
        <v>133.38</v>
      </c>
    </row>
    <row r="12895" spans="1:12" x14ac:dyDescent="0.25">
      <c r="A12895" t="str">
        <f t="shared" si="2816"/>
        <v>89301000</v>
      </c>
      <c r="B12895" t="str">
        <f t="shared" si="2821"/>
        <v>06539000</v>
      </c>
      <c r="C12895" t="str">
        <f t="shared" si="2822"/>
        <v>06539003</v>
      </c>
      <c r="D12895" t="str">
        <f t="shared" si="2823"/>
        <v>813</v>
      </c>
      <c r="E12895" t="str">
        <f t="shared" si="2819"/>
        <v>89301171</v>
      </c>
      <c r="F12895" t="str">
        <f t="shared" si="2817"/>
        <v>9302166170</v>
      </c>
      <c r="G12895" s="1">
        <v>44900</v>
      </c>
      <c r="H12895" t="str">
        <f>"91133"</f>
        <v>91133</v>
      </c>
      <c r="I12895">
        <v>1</v>
      </c>
      <c r="J12895">
        <v>176</v>
      </c>
      <c r="K12895">
        <v>0</v>
      </c>
      <c r="L12895">
        <v>137.28</v>
      </c>
    </row>
    <row r="12896" spans="1:12" x14ac:dyDescent="0.25">
      <c r="A12896" t="str">
        <f t="shared" si="2816"/>
        <v>89301000</v>
      </c>
      <c r="B12896" t="str">
        <f t="shared" si="2821"/>
        <v>06539000</v>
      </c>
      <c r="C12896" t="str">
        <f t="shared" si="2822"/>
        <v>06539003</v>
      </c>
      <c r="D12896" t="str">
        <f t="shared" si="2823"/>
        <v>813</v>
      </c>
      <c r="E12896" t="str">
        <f t="shared" si="2819"/>
        <v>89301171</v>
      </c>
      <c r="F12896" t="str">
        <f t="shared" si="2817"/>
        <v>9302166170</v>
      </c>
      <c r="G12896" s="1">
        <v>44900</v>
      </c>
      <c r="H12896" t="str">
        <f>"91171"</f>
        <v>91171</v>
      </c>
      <c r="I12896">
        <v>1</v>
      </c>
      <c r="J12896">
        <v>360</v>
      </c>
      <c r="K12896">
        <v>0</v>
      </c>
      <c r="L12896">
        <v>280.8</v>
      </c>
    </row>
    <row r="12897" spans="1:12" x14ac:dyDescent="0.25">
      <c r="A12897" t="str">
        <f t="shared" si="2816"/>
        <v>89301000</v>
      </c>
      <c r="B12897" t="str">
        <f t="shared" si="2821"/>
        <v>06539000</v>
      </c>
      <c r="C12897" t="str">
        <f t="shared" si="2822"/>
        <v>06539003</v>
      </c>
      <c r="D12897" t="str">
        <f t="shared" si="2823"/>
        <v>813</v>
      </c>
      <c r="E12897" t="str">
        <f t="shared" si="2819"/>
        <v>89301171</v>
      </c>
      <c r="F12897" t="str">
        <f t="shared" si="2817"/>
        <v>9302166170</v>
      </c>
      <c r="G12897" s="1">
        <v>44900</v>
      </c>
      <c r="H12897" t="str">
        <f>"91175"</f>
        <v>91175</v>
      </c>
      <c r="I12897">
        <v>1</v>
      </c>
      <c r="J12897">
        <v>360</v>
      </c>
      <c r="K12897">
        <v>0</v>
      </c>
      <c r="L12897">
        <v>280.8</v>
      </c>
    </row>
    <row r="12898" spans="1:12" x14ac:dyDescent="0.25">
      <c r="A12898" t="str">
        <f t="shared" si="2816"/>
        <v>89301000</v>
      </c>
      <c r="B12898" t="str">
        <f t="shared" si="2821"/>
        <v>06539000</v>
      </c>
      <c r="C12898" t="str">
        <f t="shared" si="2822"/>
        <v>06539003</v>
      </c>
      <c r="D12898" t="str">
        <f t="shared" si="2823"/>
        <v>813</v>
      </c>
      <c r="E12898" t="str">
        <f t="shared" si="2819"/>
        <v>89301171</v>
      </c>
      <c r="F12898" t="str">
        <f t="shared" si="2817"/>
        <v>9302166170</v>
      </c>
      <c r="G12898" s="1">
        <v>44898</v>
      </c>
      <c r="H12898" t="str">
        <f>"91167"</f>
        <v>91167</v>
      </c>
      <c r="I12898">
        <v>1</v>
      </c>
      <c r="J12898">
        <v>425</v>
      </c>
      <c r="K12898">
        <v>0</v>
      </c>
      <c r="L12898">
        <v>331.5</v>
      </c>
    </row>
    <row r="12899" spans="1:12" x14ac:dyDescent="0.25">
      <c r="A12899" t="str">
        <f t="shared" si="2816"/>
        <v>89301000</v>
      </c>
      <c r="B12899" t="str">
        <f t="shared" si="2821"/>
        <v>06539000</v>
      </c>
      <c r="C12899" t="str">
        <f t="shared" si="2822"/>
        <v>06539003</v>
      </c>
      <c r="D12899" t="str">
        <f t="shared" si="2823"/>
        <v>813</v>
      </c>
      <c r="E12899" t="str">
        <f t="shared" si="2819"/>
        <v>89301171</v>
      </c>
      <c r="F12899" t="str">
        <f t="shared" si="2817"/>
        <v>9302166170</v>
      </c>
      <c r="G12899" s="1">
        <v>44898</v>
      </c>
      <c r="H12899" t="str">
        <f>"91169"</f>
        <v>91169</v>
      </c>
      <c r="I12899">
        <v>1</v>
      </c>
      <c r="J12899">
        <v>425</v>
      </c>
      <c r="K12899">
        <v>0</v>
      </c>
      <c r="L12899">
        <v>331.5</v>
      </c>
    </row>
    <row r="12900" spans="1:12" x14ac:dyDescent="0.25">
      <c r="A12900" t="str">
        <f t="shared" si="2816"/>
        <v>89301000</v>
      </c>
      <c r="B12900" t="str">
        <f t="shared" si="2821"/>
        <v>06539000</v>
      </c>
      <c r="C12900" t="str">
        <f t="shared" si="2822"/>
        <v>06539003</v>
      </c>
      <c r="D12900" t="str">
        <f t="shared" si="2823"/>
        <v>813</v>
      </c>
      <c r="E12900" t="str">
        <f t="shared" si="2819"/>
        <v>89301171</v>
      </c>
      <c r="F12900" t="str">
        <f t="shared" si="2817"/>
        <v>9302166170</v>
      </c>
      <c r="G12900" s="1">
        <v>44902</v>
      </c>
      <c r="H12900" t="str">
        <f>"91475"</f>
        <v>91475</v>
      </c>
      <c r="I12900">
        <v>1</v>
      </c>
      <c r="J12900">
        <v>206</v>
      </c>
      <c r="K12900">
        <v>0</v>
      </c>
      <c r="L12900">
        <v>160.68</v>
      </c>
    </row>
    <row r="12901" spans="1:12" x14ac:dyDescent="0.25">
      <c r="A12901" t="str">
        <f t="shared" si="2816"/>
        <v>89301000</v>
      </c>
      <c r="B12901" t="str">
        <f t="shared" si="2821"/>
        <v>06539000</v>
      </c>
      <c r="C12901" t="str">
        <f>"06539001"</f>
        <v>06539001</v>
      </c>
      <c r="D12901" t="str">
        <f>"801"</f>
        <v>801</v>
      </c>
      <c r="E12901" t="str">
        <f t="shared" si="2819"/>
        <v>89301171</v>
      </c>
      <c r="F12901" t="str">
        <f t="shared" si="2817"/>
        <v>9302166170</v>
      </c>
      <c r="G12901" s="1">
        <v>44914</v>
      </c>
      <c r="H12901" t="str">
        <f>"81705"</f>
        <v>81705</v>
      </c>
      <c r="I12901">
        <v>1</v>
      </c>
      <c r="J12901">
        <v>346</v>
      </c>
      <c r="K12901">
        <v>0</v>
      </c>
      <c r="L12901">
        <v>269.88</v>
      </c>
    </row>
    <row r="12902" spans="1:12" x14ac:dyDescent="0.25">
      <c r="A12902" t="str">
        <f t="shared" si="2816"/>
        <v>89301000</v>
      </c>
      <c r="B12902" t="str">
        <f t="shared" si="2821"/>
        <v>06539000</v>
      </c>
      <c r="C12902" t="str">
        <f>"06539001"</f>
        <v>06539001</v>
      </c>
      <c r="D12902" t="str">
        <f>"801"</f>
        <v>801</v>
      </c>
      <c r="E12902" t="str">
        <f t="shared" si="2819"/>
        <v>89301171</v>
      </c>
      <c r="F12902" t="str">
        <f t="shared" si="2817"/>
        <v>9302166170</v>
      </c>
      <c r="G12902" s="1">
        <v>44914</v>
      </c>
      <c r="H12902" t="str">
        <f>"81705"</f>
        <v>81705</v>
      </c>
      <c r="I12902">
        <v>1</v>
      </c>
      <c r="J12902">
        <v>346</v>
      </c>
      <c r="K12902">
        <v>0</v>
      </c>
      <c r="L12902">
        <v>269.88</v>
      </c>
    </row>
    <row r="12903" spans="1:12" x14ac:dyDescent="0.25">
      <c r="A12903" t="str">
        <f t="shared" si="2816"/>
        <v>89301000</v>
      </c>
      <c r="B12903" t="str">
        <f t="shared" si="2821"/>
        <v>06539000</v>
      </c>
      <c r="C12903" t="str">
        <f>"06539003"</f>
        <v>06539003</v>
      </c>
      <c r="D12903" t="str">
        <f>"813"</f>
        <v>813</v>
      </c>
      <c r="E12903" t="str">
        <f t="shared" si="2819"/>
        <v>89301171</v>
      </c>
      <c r="F12903" t="str">
        <f t="shared" si="2817"/>
        <v>9302166170</v>
      </c>
      <c r="G12903" s="1">
        <v>44914</v>
      </c>
      <c r="H12903" t="str">
        <f>"91329"</f>
        <v>91329</v>
      </c>
      <c r="I12903">
        <v>2</v>
      </c>
      <c r="J12903">
        <v>428</v>
      </c>
      <c r="K12903">
        <v>0</v>
      </c>
      <c r="L12903">
        <v>333.84</v>
      </c>
    </row>
    <row r="12904" spans="1:12" x14ac:dyDescent="0.25">
      <c r="A12904" t="str">
        <f t="shared" si="2816"/>
        <v>89301000</v>
      </c>
      <c r="B12904" t="str">
        <f t="shared" si="2821"/>
        <v>06539000</v>
      </c>
      <c r="C12904" t="str">
        <f>"06539003"</f>
        <v>06539003</v>
      </c>
      <c r="D12904" t="str">
        <f>"813"</f>
        <v>813</v>
      </c>
      <c r="E12904" t="str">
        <f t="shared" si="2819"/>
        <v>89301171</v>
      </c>
      <c r="F12904" t="str">
        <f t="shared" si="2817"/>
        <v>9302166170</v>
      </c>
      <c r="G12904" s="1">
        <v>44909</v>
      </c>
      <c r="H12904" t="str">
        <f>"91475"</f>
        <v>91475</v>
      </c>
      <c r="I12904">
        <v>1</v>
      </c>
      <c r="J12904">
        <v>206</v>
      </c>
      <c r="K12904">
        <v>0</v>
      </c>
      <c r="L12904">
        <v>160.68</v>
      </c>
    </row>
    <row r="12905" spans="1:12" x14ac:dyDescent="0.25">
      <c r="A12905" t="str">
        <f t="shared" si="2816"/>
        <v>89301000</v>
      </c>
      <c r="B12905" t="str">
        <f t="shared" si="2821"/>
        <v>06539000</v>
      </c>
      <c r="C12905" t="str">
        <f>"06539001"</f>
        <v>06539001</v>
      </c>
      <c r="D12905" t="str">
        <f>"801"</f>
        <v>801</v>
      </c>
      <c r="E12905" t="str">
        <f t="shared" si="2819"/>
        <v>89301171</v>
      </c>
      <c r="F12905" t="str">
        <f t="shared" ref="F12905:F12946" si="2824">"0406123223"</f>
        <v>0406123223</v>
      </c>
      <c r="G12905" s="1">
        <v>44904</v>
      </c>
      <c r="H12905" t="str">
        <f>"81329"</f>
        <v>81329</v>
      </c>
      <c r="I12905">
        <v>1</v>
      </c>
      <c r="J12905">
        <v>16</v>
      </c>
      <c r="K12905">
        <v>0</v>
      </c>
      <c r="L12905">
        <v>12.48</v>
      </c>
    </row>
    <row r="12906" spans="1:12" x14ac:dyDescent="0.25">
      <c r="A12906" t="str">
        <f t="shared" si="2816"/>
        <v>89301000</v>
      </c>
      <c r="B12906" t="str">
        <f t="shared" si="2821"/>
        <v>06539000</v>
      </c>
      <c r="C12906" t="str">
        <f>"06539001"</f>
        <v>06539001</v>
      </c>
      <c r="D12906" t="str">
        <f>"801"</f>
        <v>801</v>
      </c>
      <c r="E12906" t="str">
        <f t="shared" si="2819"/>
        <v>89301171</v>
      </c>
      <c r="F12906" t="str">
        <f t="shared" si="2824"/>
        <v>0406123223</v>
      </c>
      <c r="G12906" s="1">
        <v>44904</v>
      </c>
      <c r="H12906" t="str">
        <f>"81331"</f>
        <v>81331</v>
      </c>
      <c r="I12906">
        <v>1</v>
      </c>
      <c r="J12906">
        <v>193</v>
      </c>
      <c r="K12906">
        <v>0</v>
      </c>
      <c r="L12906">
        <v>150.54</v>
      </c>
    </row>
    <row r="12907" spans="1:12" x14ac:dyDescent="0.25">
      <c r="A12907" t="str">
        <f t="shared" si="2816"/>
        <v>89301000</v>
      </c>
      <c r="B12907" t="str">
        <f t="shared" si="2821"/>
        <v>06539000</v>
      </c>
      <c r="C12907" t="str">
        <f t="shared" ref="C12907:C12914" si="2825">"06539002"</f>
        <v>06539002</v>
      </c>
      <c r="D12907" t="str">
        <f t="shared" ref="D12907:D12914" si="2826">"802"</f>
        <v>802</v>
      </c>
      <c r="E12907" t="str">
        <f t="shared" si="2819"/>
        <v>89301171</v>
      </c>
      <c r="F12907" t="str">
        <f t="shared" si="2824"/>
        <v>0406123223</v>
      </c>
      <c r="G12907" s="1">
        <v>44904</v>
      </c>
      <c r="H12907" t="str">
        <f t="shared" ref="H12907:H12914" si="2827">"82097"</f>
        <v>82097</v>
      </c>
      <c r="I12907">
        <v>1</v>
      </c>
      <c r="J12907">
        <v>380</v>
      </c>
      <c r="K12907">
        <v>0</v>
      </c>
      <c r="L12907">
        <v>345.8</v>
      </c>
    </row>
    <row r="12908" spans="1:12" x14ac:dyDescent="0.25">
      <c r="A12908" t="str">
        <f t="shared" si="2816"/>
        <v>89301000</v>
      </c>
      <c r="B12908" t="str">
        <f t="shared" si="2821"/>
        <v>06539000</v>
      </c>
      <c r="C12908" t="str">
        <f t="shared" si="2825"/>
        <v>06539002</v>
      </c>
      <c r="D12908" t="str">
        <f t="shared" si="2826"/>
        <v>802</v>
      </c>
      <c r="E12908" t="str">
        <f t="shared" si="2819"/>
        <v>89301171</v>
      </c>
      <c r="F12908" t="str">
        <f t="shared" si="2824"/>
        <v>0406123223</v>
      </c>
      <c r="G12908" s="1">
        <v>44904</v>
      </c>
      <c r="H12908" t="str">
        <f t="shared" si="2827"/>
        <v>82097</v>
      </c>
      <c r="I12908">
        <v>1</v>
      </c>
      <c r="J12908">
        <v>380</v>
      </c>
      <c r="K12908">
        <v>0</v>
      </c>
      <c r="L12908">
        <v>345.8</v>
      </c>
    </row>
    <row r="12909" spans="1:12" x14ac:dyDescent="0.25">
      <c r="A12909" t="str">
        <f t="shared" si="2816"/>
        <v>89301000</v>
      </c>
      <c r="B12909" t="str">
        <f t="shared" si="2821"/>
        <v>06539000</v>
      </c>
      <c r="C12909" t="str">
        <f t="shared" si="2825"/>
        <v>06539002</v>
      </c>
      <c r="D12909" t="str">
        <f t="shared" si="2826"/>
        <v>802</v>
      </c>
      <c r="E12909" t="str">
        <f t="shared" ref="E12909:E12940" si="2828">"89301171"</f>
        <v>89301171</v>
      </c>
      <c r="F12909" t="str">
        <f t="shared" si="2824"/>
        <v>0406123223</v>
      </c>
      <c r="G12909" s="1">
        <v>44904</v>
      </c>
      <c r="H12909" t="str">
        <f t="shared" si="2827"/>
        <v>82097</v>
      </c>
      <c r="I12909">
        <v>1</v>
      </c>
      <c r="J12909">
        <v>380</v>
      </c>
      <c r="K12909">
        <v>0</v>
      </c>
      <c r="L12909">
        <v>345.8</v>
      </c>
    </row>
    <row r="12910" spans="1:12" x14ac:dyDescent="0.25">
      <c r="A12910" t="str">
        <f t="shared" si="2816"/>
        <v>89301000</v>
      </c>
      <c r="B12910" t="str">
        <f t="shared" si="2821"/>
        <v>06539000</v>
      </c>
      <c r="C12910" t="str">
        <f t="shared" si="2825"/>
        <v>06539002</v>
      </c>
      <c r="D12910" t="str">
        <f t="shared" si="2826"/>
        <v>802</v>
      </c>
      <c r="E12910" t="str">
        <f t="shared" si="2828"/>
        <v>89301171</v>
      </c>
      <c r="F12910" t="str">
        <f t="shared" si="2824"/>
        <v>0406123223</v>
      </c>
      <c r="G12910" s="1">
        <v>44904</v>
      </c>
      <c r="H12910" t="str">
        <f t="shared" si="2827"/>
        <v>82097</v>
      </c>
      <c r="I12910">
        <v>1</v>
      </c>
      <c r="J12910">
        <v>380</v>
      </c>
      <c r="K12910">
        <v>0</v>
      </c>
      <c r="L12910">
        <v>345.8</v>
      </c>
    </row>
    <row r="12911" spans="1:12" x14ac:dyDescent="0.25">
      <c r="A12911" t="str">
        <f t="shared" si="2816"/>
        <v>89301000</v>
      </c>
      <c r="B12911" t="str">
        <f t="shared" si="2821"/>
        <v>06539000</v>
      </c>
      <c r="C12911" t="str">
        <f t="shared" si="2825"/>
        <v>06539002</v>
      </c>
      <c r="D12911" t="str">
        <f t="shared" si="2826"/>
        <v>802</v>
      </c>
      <c r="E12911" t="str">
        <f t="shared" si="2828"/>
        <v>89301171</v>
      </c>
      <c r="F12911" t="str">
        <f t="shared" si="2824"/>
        <v>0406123223</v>
      </c>
      <c r="G12911" s="1">
        <v>44904</v>
      </c>
      <c r="H12911" t="str">
        <f t="shared" si="2827"/>
        <v>82097</v>
      </c>
      <c r="I12911">
        <v>1</v>
      </c>
      <c r="J12911">
        <v>380</v>
      </c>
      <c r="K12911">
        <v>0</v>
      </c>
      <c r="L12911">
        <v>345.8</v>
      </c>
    </row>
    <row r="12912" spans="1:12" x14ac:dyDescent="0.25">
      <c r="A12912" t="str">
        <f t="shared" si="2816"/>
        <v>89301000</v>
      </c>
      <c r="B12912" t="str">
        <f t="shared" si="2821"/>
        <v>06539000</v>
      </c>
      <c r="C12912" t="str">
        <f t="shared" si="2825"/>
        <v>06539002</v>
      </c>
      <c r="D12912" t="str">
        <f t="shared" si="2826"/>
        <v>802</v>
      </c>
      <c r="E12912" t="str">
        <f t="shared" si="2828"/>
        <v>89301171</v>
      </c>
      <c r="F12912" t="str">
        <f t="shared" si="2824"/>
        <v>0406123223</v>
      </c>
      <c r="G12912" s="1">
        <v>44904</v>
      </c>
      <c r="H12912" t="str">
        <f t="shared" si="2827"/>
        <v>82097</v>
      </c>
      <c r="I12912">
        <v>1</v>
      </c>
      <c r="J12912">
        <v>380</v>
      </c>
      <c r="K12912">
        <v>0</v>
      </c>
      <c r="L12912">
        <v>345.8</v>
      </c>
    </row>
    <row r="12913" spans="1:12" x14ac:dyDescent="0.25">
      <c r="A12913" t="str">
        <f t="shared" si="2816"/>
        <v>89301000</v>
      </c>
      <c r="B12913" t="str">
        <f t="shared" si="2821"/>
        <v>06539000</v>
      </c>
      <c r="C12913" t="str">
        <f t="shared" si="2825"/>
        <v>06539002</v>
      </c>
      <c r="D12913" t="str">
        <f t="shared" si="2826"/>
        <v>802</v>
      </c>
      <c r="E12913" t="str">
        <f t="shared" si="2828"/>
        <v>89301171</v>
      </c>
      <c r="F12913" t="str">
        <f t="shared" si="2824"/>
        <v>0406123223</v>
      </c>
      <c r="G12913" s="1">
        <v>44904</v>
      </c>
      <c r="H12913" t="str">
        <f t="shared" si="2827"/>
        <v>82097</v>
      </c>
      <c r="I12913">
        <v>1</v>
      </c>
      <c r="J12913">
        <v>380</v>
      </c>
      <c r="K12913">
        <v>0</v>
      </c>
      <c r="L12913">
        <v>345.8</v>
      </c>
    </row>
    <row r="12914" spans="1:12" x14ac:dyDescent="0.25">
      <c r="A12914" t="str">
        <f t="shared" si="2816"/>
        <v>89301000</v>
      </c>
      <c r="B12914" t="str">
        <f t="shared" si="2821"/>
        <v>06539000</v>
      </c>
      <c r="C12914" t="str">
        <f t="shared" si="2825"/>
        <v>06539002</v>
      </c>
      <c r="D12914" t="str">
        <f t="shared" si="2826"/>
        <v>802</v>
      </c>
      <c r="E12914" t="str">
        <f t="shared" si="2828"/>
        <v>89301171</v>
      </c>
      <c r="F12914" t="str">
        <f t="shared" si="2824"/>
        <v>0406123223</v>
      </c>
      <c r="G12914" s="1">
        <v>44904</v>
      </c>
      <c r="H12914" t="str">
        <f t="shared" si="2827"/>
        <v>82097</v>
      </c>
      <c r="I12914">
        <v>1</v>
      </c>
      <c r="J12914">
        <v>380</v>
      </c>
      <c r="K12914">
        <v>0</v>
      </c>
      <c r="L12914">
        <v>345.8</v>
      </c>
    </row>
    <row r="12915" spans="1:12" x14ac:dyDescent="0.25">
      <c r="A12915" t="str">
        <f t="shared" si="2816"/>
        <v>89301000</v>
      </c>
      <c r="B12915" t="str">
        <f t="shared" si="2821"/>
        <v>06539000</v>
      </c>
      <c r="C12915" t="str">
        <f t="shared" ref="C12915:C12946" si="2829">"06539003"</f>
        <v>06539003</v>
      </c>
      <c r="D12915" t="str">
        <f t="shared" ref="D12915:D12946" si="2830">"813"</f>
        <v>813</v>
      </c>
      <c r="E12915" t="str">
        <f t="shared" si="2828"/>
        <v>89301171</v>
      </c>
      <c r="F12915" t="str">
        <f t="shared" si="2824"/>
        <v>0406123223</v>
      </c>
      <c r="G12915" s="1">
        <v>44909</v>
      </c>
      <c r="H12915" t="str">
        <f t="shared" ref="H12915:H12924" si="2831">"91413"</f>
        <v>91413</v>
      </c>
      <c r="I12915">
        <v>1</v>
      </c>
      <c r="J12915">
        <v>853</v>
      </c>
      <c r="K12915">
        <v>0</v>
      </c>
      <c r="L12915">
        <v>665.34</v>
      </c>
    </row>
    <row r="12916" spans="1:12" x14ac:dyDescent="0.25">
      <c r="A12916" t="str">
        <f t="shared" si="2816"/>
        <v>89301000</v>
      </c>
      <c r="B12916" t="str">
        <f t="shared" si="2821"/>
        <v>06539000</v>
      </c>
      <c r="C12916" t="str">
        <f t="shared" si="2829"/>
        <v>06539003</v>
      </c>
      <c r="D12916" t="str">
        <f t="shared" si="2830"/>
        <v>813</v>
      </c>
      <c r="E12916" t="str">
        <f t="shared" si="2828"/>
        <v>89301171</v>
      </c>
      <c r="F12916" t="str">
        <f t="shared" si="2824"/>
        <v>0406123223</v>
      </c>
      <c r="G12916" s="1">
        <v>44909</v>
      </c>
      <c r="H12916" t="str">
        <f t="shared" si="2831"/>
        <v>91413</v>
      </c>
      <c r="I12916">
        <v>1</v>
      </c>
      <c r="J12916">
        <v>853</v>
      </c>
      <c r="K12916">
        <v>0</v>
      </c>
      <c r="L12916">
        <v>665.34</v>
      </c>
    </row>
    <row r="12917" spans="1:12" x14ac:dyDescent="0.25">
      <c r="A12917" t="str">
        <f t="shared" si="2816"/>
        <v>89301000</v>
      </c>
      <c r="B12917" t="str">
        <f t="shared" si="2821"/>
        <v>06539000</v>
      </c>
      <c r="C12917" t="str">
        <f t="shared" si="2829"/>
        <v>06539003</v>
      </c>
      <c r="D12917" t="str">
        <f t="shared" si="2830"/>
        <v>813</v>
      </c>
      <c r="E12917" t="str">
        <f t="shared" si="2828"/>
        <v>89301171</v>
      </c>
      <c r="F12917" t="str">
        <f t="shared" si="2824"/>
        <v>0406123223</v>
      </c>
      <c r="G12917" s="1">
        <v>44918</v>
      </c>
      <c r="H12917" t="str">
        <f t="shared" si="2831"/>
        <v>91413</v>
      </c>
      <c r="I12917">
        <v>1</v>
      </c>
      <c r="J12917">
        <v>853</v>
      </c>
      <c r="K12917">
        <v>0</v>
      </c>
      <c r="L12917">
        <v>665.34</v>
      </c>
    </row>
    <row r="12918" spans="1:12" x14ac:dyDescent="0.25">
      <c r="A12918" t="str">
        <f t="shared" si="2816"/>
        <v>89301000</v>
      </c>
      <c r="B12918" t="str">
        <f t="shared" si="2821"/>
        <v>06539000</v>
      </c>
      <c r="C12918" t="str">
        <f t="shared" si="2829"/>
        <v>06539003</v>
      </c>
      <c r="D12918" t="str">
        <f t="shared" si="2830"/>
        <v>813</v>
      </c>
      <c r="E12918" t="str">
        <f t="shared" si="2828"/>
        <v>89301171</v>
      </c>
      <c r="F12918" t="str">
        <f t="shared" si="2824"/>
        <v>0406123223</v>
      </c>
      <c r="G12918" s="1">
        <v>44918</v>
      </c>
      <c r="H12918" t="str">
        <f t="shared" si="2831"/>
        <v>91413</v>
      </c>
      <c r="I12918">
        <v>1</v>
      </c>
      <c r="J12918">
        <v>853</v>
      </c>
      <c r="K12918">
        <v>0</v>
      </c>
      <c r="L12918">
        <v>665.34</v>
      </c>
    </row>
    <row r="12919" spans="1:12" x14ac:dyDescent="0.25">
      <c r="A12919" t="str">
        <f t="shared" si="2816"/>
        <v>89301000</v>
      </c>
      <c r="B12919" t="str">
        <f t="shared" si="2821"/>
        <v>06539000</v>
      </c>
      <c r="C12919" t="str">
        <f t="shared" si="2829"/>
        <v>06539003</v>
      </c>
      <c r="D12919" t="str">
        <f t="shared" si="2830"/>
        <v>813</v>
      </c>
      <c r="E12919" t="str">
        <f t="shared" si="2828"/>
        <v>89301171</v>
      </c>
      <c r="F12919" t="str">
        <f t="shared" si="2824"/>
        <v>0406123223</v>
      </c>
      <c r="G12919" s="1">
        <v>44916</v>
      </c>
      <c r="H12919" t="str">
        <f t="shared" si="2831"/>
        <v>91413</v>
      </c>
      <c r="I12919">
        <v>1</v>
      </c>
      <c r="J12919">
        <v>853</v>
      </c>
      <c r="K12919">
        <v>0</v>
      </c>
      <c r="L12919">
        <v>665.34</v>
      </c>
    </row>
    <row r="12920" spans="1:12" x14ac:dyDescent="0.25">
      <c r="A12920" t="str">
        <f t="shared" si="2816"/>
        <v>89301000</v>
      </c>
      <c r="B12920" t="str">
        <f t="shared" si="2821"/>
        <v>06539000</v>
      </c>
      <c r="C12920" t="str">
        <f t="shared" si="2829"/>
        <v>06539003</v>
      </c>
      <c r="D12920" t="str">
        <f t="shared" si="2830"/>
        <v>813</v>
      </c>
      <c r="E12920" t="str">
        <f t="shared" si="2828"/>
        <v>89301171</v>
      </c>
      <c r="F12920" t="str">
        <f t="shared" si="2824"/>
        <v>0406123223</v>
      </c>
      <c r="G12920" s="1">
        <v>44916</v>
      </c>
      <c r="H12920" t="str">
        <f t="shared" si="2831"/>
        <v>91413</v>
      </c>
      <c r="I12920">
        <v>1</v>
      </c>
      <c r="J12920">
        <v>853</v>
      </c>
      <c r="K12920">
        <v>0</v>
      </c>
      <c r="L12920">
        <v>665.34</v>
      </c>
    </row>
    <row r="12921" spans="1:12" x14ac:dyDescent="0.25">
      <c r="A12921" t="str">
        <f t="shared" si="2816"/>
        <v>89301000</v>
      </c>
      <c r="B12921" t="str">
        <f t="shared" si="2821"/>
        <v>06539000</v>
      </c>
      <c r="C12921" t="str">
        <f t="shared" si="2829"/>
        <v>06539003</v>
      </c>
      <c r="D12921" t="str">
        <f t="shared" si="2830"/>
        <v>813</v>
      </c>
      <c r="E12921" t="str">
        <f t="shared" si="2828"/>
        <v>89301171</v>
      </c>
      <c r="F12921" t="str">
        <f t="shared" si="2824"/>
        <v>0406123223</v>
      </c>
      <c r="G12921" s="1">
        <v>44918</v>
      </c>
      <c r="H12921" t="str">
        <f t="shared" si="2831"/>
        <v>91413</v>
      </c>
      <c r="I12921">
        <v>1</v>
      </c>
      <c r="J12921">
        <v>853</v>
      </c>
      <c r="K12921">
        <v>0</v>
      </c>
      <c r="L12921">
        <v>665.34</v>
      </c>
    </row>
    <row r="12922" spans="1:12" x14ac:dyDescent="0.25">
      <c r="A12922" t="str">
        <f t="shared" si="2816"/>
        <v>89301000</v>
      </c>
      <c r="B12922" t="str">
        <f t="shared" si="2821"/>
        <v>06539000</v>
      </c>
      <c r="C12922" t="str">
        <f t="shared" si="2829"/>
        <v>06539003</v>
      </c>
      <c r="D12922" t="str">
        <f t="shared" si="2830"/>
        <v>813</v>
      </c>
      <c r="E12922" t="str">
        <f t="shared" si="2828"/>
        <v>89301171</v>
      </c>
      <c r="F12922" t="str">
        <f t="shared" si="2824"/>
        <v>0406123223</v>
      </c>
      <c r="G12922" s="1">
        <v>44918</v>
      </c>
      <c r="H12922" t="str">
        <f t="shared" si="2831"/>
        <v>91413</v>
      </c>
      <c r="I12922">
        <v>1</v>
      </c>
      <c r="J12922">
        <v>853</v>
      </c>
      <c r="K12922">
        <v>0</v>
      </c>
      <c r="L12922">
        <v>665.34</v>
      </c>
    </row>
    <row r="12923" spans="1:12" x14ac:dyDescent="0.25">
      <c r="A12923" t="str">
        <f t="shared" si="2816"/>
        <v>89301000</v>
      </c>
      <c r="B12923" t="str">
        <f t="shared" si="2821"/>
        <v>06539000</v>
      </c>
      <c r="C12923" t="str">
        <f t="shared" si="2829"/>
        <v>06539003</v>
      </c>
      <c r="D12923" t="str">
        <f t="shared" si="2830"/>
        <v>813</v>
      </c>
      <c r="E12923" t="str">
        <f t="shared" si="2828"/>
        <v>89301171</v>
      </c>
      <c r="F12923" t="str">
        <f t="shared" si="2824"/>
        <v>0406123223</v>
      </c>
      <c r="G12923" s="1">
        <v>44918</v>
      </c>
      <c r="H12923" t="str">
        <f t="shared" si="2831"/>
        <v>91413</v>
      </c>
      <c r="I12923">
        <v>1</v>
      </c>
      <c r="J12923">
        <v>853</v>
      </c>
      <c r="K12923">
        <v>0</v>
      </c>
      <c r="L12923">
        <v>665.34</v>
      </c>
    </row>
    <row r="12924" spans="1:12" x14ac:dyDescent="0.25">
      <c r="A12924" t="str">
        <f t="shared" si="2816"/>
        <v>89301000</v>
      </c>
      <c r="B12924" t="str">
        <f t="shared" si="2821"/>
        <v>06539000</v>
      </c>
      <c r="C12924" t="str">
        <f t="shared" si="2829"/>
        <v>06539003</v>
      </c>
      <c r="D12924" t="str">
        <f t="shared" si="2830"/>
        <v>813</v>
      </c>
      <c r="E12924" t="str">
        <f t="shared" si="2828"/>
        <v>89301171</v>
      </c>
      <c r="F12924" t="str">
        <f t="shared" si="2824"/>
        <v>0406123223</v>
      </c>
      <c r="G12924" s="1">
        <v>44918</v>
      </c>
      <c r="H12924" t="str">
        <f t="shared" si="2831"/>
        <v>91413</v>
      </c>
      <c r="I12924">
        <v>1</v>
      </c>
      <c r="J12924">
        <v>853</v>
      </c>
      <c r="K12924">
        <v>0</v>
      </c>
      <c r="L12924">
        <v>665.34</v>
      </c>
    </row>
    <row r="12925" spans="1:12" x14ac:dyDescent="0.25">
      <c r="A12925" t="str">
        <f t="shared" si="2816"/>
        <v>89301000</v>
      </c>
      <c r="B12925" t="str">
        <f t="shared" si="2821"/>
        <v>06539000</v>
      </c>
      <c r="C12925" t="str">
        <f t="shared" si="2829"/>
        <v>06539003</v>
      </c>
      <c r="D12925" t="str">
        <f t="shared" si="2830"/>
        <v>813</v>
      </c>
      <c r="E12925" t="str">
        <f t="shared" si="2828"/>
        <v>89301171</v>
      </c>
      <c r="F12925" t="str">
        <f t="shared" si="2824"/>
        <v>0406123223</v>
      </c>
      <c r="G12925" s="1">
        <v>44904</v>
      </c>
      <c r="H12925" t="str">
        <f t="shared" ref="H12925:H12931" si="2832">"91197"</f>
        <v>91197</v>
      </c>
      <c r="I12925">
        <v>1</v>
      </c>
      <c r="J12925">
        <v>1046</v>
      </c>
      <c r="K12925">
        <v>0</v>
      </c>
      <c r="L12925">
        <v>815.88</v>
      </c>
    </row>
    <row r="12926" spans="1:12" x14ac:dyDescent="0.25">
      <c r="A12926" t="str">
        <f t="shared" si="2816"/>
        <v>89301000</v>
      </c>
      <c r="B12926" t="str">
        <f t="shared" si="2821"/>
        <v>06539000</v>
      </c>
      <c r="C12926" t="str">
        <f t="shared" si="2829"/>
        <v>06539003</v>
      </c>
      <c r="D12926" t="str">
        <f t="shared" si="2830"/>
        <v>813</v>
      </c>
      <c r="E12926" t="str">
        <f t="shared" si="2828"/>
        <v>89301171</v>
      </c>
      <c r="F12926" t="str">
        <f t="shared" si="2824"/>
        <v>0406123223</v>
      </c>
      <c r="G12926" s="1">
        <v>44907</v>
      </c>
      <c r="H12926" t="str">
        <f t="shared" si="2832"/>
        <v>91197</v>
      </c>
      <c r="I12926">
        <v>1</v>
      </c>
      <c r="J12926">
        <v>1046</v>
      </c>
      <c r="K12926">
        <v>0</v>
      </c>
      <c r="L12926">
        <v>815.88</v>
      </c>
    </row>
    <row r="12927" spans="1:12" x14ac:dyDescent="0.25">
      <c r="A12927" t="str">
        <f t="shared" si="2816"/>
        <v>89301000</v>
      </c>
      <c r="B12927" t="str">
        <f t="shared" si="2821"/>
        <v>06539000</v>
      </c>
      <c r="C12927" t="str">
        <f t="shared" si="2829"/>
        <v>06539003</v>
      </c>
      <c r="D12927" t="str">
        <f t="shared" si="2830"/>
        <v>813</v>
      </c>
      <c r="E12927" t="str">
        <f t="shared" si="2828"/>
        <v>89301171</v>
      </c>
      <c r="F12927" t="str">
        <f t="shared" si="2824"/>
        <v>0406123223</v>
      </c>
      <c r="G12927" s="1">
        <v>44907</v>
      </c>
      <c r="H12927" t="str">
        <f t="shared" si="2832"/>
        <v>91197</v>
      </c>
      <c r="I12927">
        <v>1</v>
      </c>
      <c r="J12927">
        <v>1046</v>
      </c>
      <c r="K12927">
        <v>0</v>
      </c>
      <c r="L12927">
        <v>815.88</v>
      </c>
    </row>
    <row r="12928" spans="1:12" x14ac:dyDescent="0.25">
      <c r="A12928" t="str">
        <f t="shared" si="2816"/>
        <v>89301000</v>
      </c>
      <c r="B12928" t="str">
        <f t="shared" si="2821"/>
        <v>06539000</v>
      </c>
      <c r="C12928" t="str">
        <f t="shared" si="2829"/>
        <v>06539003</v>
      </c>
      <c r="D12928" t="str">
        <f t="shared" si="2830"/>
        <v>813</v>
      </c>
      <c r="E12928" t="str">
        <f t="shared" si="2828"/>
        <v>89301171</v>
      </c>
      <c r="F12928" t="str">
        <f t="shared" si="2824"/>
        <v>0406123223</v>
      </c>
      <c r="G12928" s="1">
        <v>44906</v>
      </c>
      <c r="H12928" t="str">
        <f t="shared" si="2832"/>
        <v>91197</v>
      </c>
      <c r="I12928">
        <v>1</v>
      </c>
      <c r="J12928">
        <v>1046</v>
      </c>
      <c r="K12928">
        <v>0</v>
      </c>
      <c r="L12928">
        <v>815.88</v>
      </c>
    </row>
    <row r="12929" spans="1:12" x14ac:dyDescent="0.25">
      <c r="A12929" t="str">
        <f t="shared" si="2816"/>
        <v>89301000</v>
      </c>
      <c r="B12929" t="str">
        <f t="shared" si="2821"/>
        <v>06539000</v>
      </c>
      <c r="C12929" t="str">
        <f t="shared" si="2829"/>
        <v>06539003</v>
      </c>
      <c r="D12929" t="str">
        <f t="shared" si="2830"/>
        <v>813</v>
      </c>
      <c r="E12929" t="str">
        <f t="shared" si="2828"/>
        <v>89301171</v>
      </c>
      <c r="F12929" t="str">
        <f t="shared" si="2824"/>
        <v>0406123223</v>
      </c>
      <c r="G12929" s="1">
        <v>44906</v>
      </c>
      <c r="H12929" t="str">
        <f t="shared" si="2832"/>
        <v>91197</v>
      </c>
      <c r="I12929">
        <v>1</v>
      </c>
      <c r="J12929">
        <v>1046</v>
      </c>
      <c r="K12929">
        <v>0</v>
      </c>
      <c r="L12929">
        <v>815.88</v>
      </c>
    </row>
    <row r="12930" spans="1:12" x14ac:dyDescent="0.25">
      <c r="A12930" t="str">
        <f t="shared" ref="A12930:A12993" si="2833">"89301000"</f>
        <v>89301000</v>
      </c>
      <c r="B12930" t="str">
        <f t="shared" si="2821"/>
        <v>06539000</v>
      </c>
      <c r="C12930" t="str">
        <f t="shared" si="2829"/>
        <v>06539003</v>
      </c>
      <c r="D12930" t="str">
        <f t="shared" si="2830"/>
        <v>813</v>
      </c>
      <c r="E12930" t="str">
        <f t="shared" si="2828"/>
        <v>89301171</v>
      </c>
      <c r="F12930" t="str">
        <f t="shared" si="2824"/>
        <v>0406123223</v>
      </c>
      <c r="G12930" s="1">
        <v>44905</v>
      </c>
      <c r="H12930" t="str">
        <f t="shared" si="2832"/>
        <v>91197</v>
      </c>
      <c r="I12930">
        <v>1</v>
      </c>
      <c r="J12930">
        <v>1046</v>
      </c>
      <c r="K12930">
        <v>0</v>
      </c>
      <c r="L12930">
        <v>815.88</v>
      </c>
    </row>
    <row r="12931" spans="1:12" x14ac:dyDescent="0.25">
      <c r="A12931" t="str">
        <f t="shared" si="2833"/>
        <v>89301000</v>
      </c>
      <c r="B12931" t="str">
        <f t="shared" si="2821"/>
        <v>06539000</v>
      </c>
      <c r="C12931" t="str">
        <f t="shared" si="2829"/>
        <v>06539003</v>
      </c>
      <c r="D12931" t="str">
        <f t="shared" si="2830"/>
        <v>813</v>
      </c>
      <c r="E12931" t="str">
        <f t="shared" si="2828"/>
        <v>89301171</v>
      </c>
      <c r="F12931" t="str">
        <f t="shared" si="2824"/>
        <v>0406123223</v>
      </c>
      <c r="G12931" s="1">
        <v>44905</v>
      </c>
      <c r="H12931" t="str">
        <f t="shared" si="2832"/>
        <v>91197</v>
      </c>
      <c r="I12931">
        <v>1</v>
      </c>
      <c r="J12931">
        <v>1046</v>
      </c>
      <c r="K12931">
        <v>0</v>
      </c>
      <c r="L12931">
        <v>815.88</v>
      </c>
    </row>
    <row r="12932" spans="1:12" x14ac:dyDescent="0.25">
      <c r="A12932" t="str">
        <f t="shared" si="2833"/>
        <v>89301000</v>
      </c>
      <c r="B12932" t="str">
        <f t="shared" si="2821"/>
        <v>06539000</v>
      </c>
      <c r="C12932" t="str">
        <f t="shared" si="2829"/>
        <v>06539003</v>
      </c>
      <c r="D12932" t="str">
        <f t="shared" si="2830"/>
        <v>813</v>
      </c>
      <c r="E12932" t="str">
        <f t="shared" si="2828"/>
        <v>89301171</v>
      </c>
      <c r="F12932" t="str">
        <f t="shared" si="2824"/>
        <v>0406123223</v>
      </c>
      <c r="G12932" s="1">
        <v>44918</v>
      </c>
      <c r="H12932" t="str">
        <f>"91329"</f>
        <v>91329</v>
      </c>
      <c r="I12932">
        <v>2</v>
      </c>
      <c r="J12932">
        <v>428</v>
      </c>
      <c r="K12932">
        <v>0</v>
      </c>
      <c r="L12932">
        <v>333.84</v>
      </c>
    </row>
    <row r="12933" spans="1:12" x14ac:dyDescent="0.25">
      <c r="A12933" t="str">
        <f t="shared" si="2833"/>
        <v>89301000</v>
      </c>
      <c r="B12933" t="str">
        <f t="shared" si="2821"/>
        <v>06539000</v>
      </c>
      <c r="C12933" t="str">
        <f t="shared" si="2829"/>
        <v>06539003</v>
      </c>
      <c r="D12933" t="str">
        <f t="shared" si="2830"/>
        <v>813</v>
      </c>
      <c r="E12933" t="str">
        <f t="shared" si="2828"/>
        <v>89301171</v>
      </c>
      <c r="F12933" t="str">
        <f t="shared" si="2824"/>
        <v>0406123223</v>
      </c>
      <c r="G12933" s="1">
        <v>44918</v>
      </c>
      <c r="H12933" t="str">
        <f>"91329"</f>
        <v>91329</v>
      </c>
      <c r="I12933">
        <v>2</v>
      </c>
      <c r="J12933">
        <v>428</v>
      </c>
      <c r="K12933">
        <v>0</v>
      </c>
      <c r="L12933">
        <v>333.84</v>
      </c>
    </row>
    <row r="12934" spans="1:12" x14ac:dyDescent="0.25">
      <c r="A12934" t="str">
        <f t="shared" si="2833"/>
        <v>89301000</v>
      </c>
      <c r="B12934" t="str">
        <f t="shared" si="2821"/>
        <v>06539000</v>
      </c>
      <c r="C12934" t="str">
        <f t="shared" si="2829"/>
        <v>06539003</v>
      </c>
      <c r="D12934" t="str">
        <f t="shared" si="2830"/>
        <v>813</v>
      </c>
      <c r="E12934" t="str">
        <f t="shared" si="2828"/>
        <v>89301171</v>
      </c>
      <c r="F12934" t="str">
        <f t="shared" si="2824"/>
        <v>0406123223</v>
      </c>
      <c r="G12934" s="1">
        <v>44918</v>
      </c>
      <c r="H12934" t="str">
        <f>"91329"</f>
        <v>91329</v>
      </c>
      <c r="I12934">
        <v>2</v>
      </c>
      <c r="J12934">
        <v>428</v>
      </c>
      <c r="K12934">
        <v>0</v>
      </c>
      <c r="L12934">
        <v>333.84</v>
      </c>
    </row>
    <row r="12935" spans="1:12" x14ac:dyDescent="0.25">
      <c r="A12935" t="str">
        <f t="shared" si="2833"/>
        <v>89301000</v>
      </c>
      <c r="B12935" t="str">
        <f t="shared" si="2821"/>
        <v>06539000</v>
      </c>
      <c r="C12935" t="str">
        <f t="shared" si="2829"/>
        <v>06539003</v>
      </c>
      <c r="D12935" t="str">
        <f t="shared" si="2830"/>
        <v>813</v>
      </c>
      <c r="E12935" t="str">
        <f t="shared" si="2828"/>
        <v>89301171</v>
      </c>
      <c r="F12935" t="str">
        <f t="shared" si="2824"/>
        <v>0406123223</v>
      </c>
      <c r="G12935" s="1">
        <v>44918</v>
      </c>
      <c r="H12935" t="str">
        <f>"91329"</f>
        <v>91329</v>
      </c>
      <c r="I12935">
        <v>2</v>
      </c>
      <c r="J12935">
        <v>428</v>
      </c>
      <c r="K12935">
        <v>0</v>
      </c>
      <c r="L12935">
        <v>333.84</v>
      </c>
    </row>
    <row r="12936" spans="1:12" x14ac:dyDescent="0.25">
      <c r="A12936" t="str">
        <f t="shared" si="2833"/>
        <v>89301000</v>
      </c>
      <c r="B12936" t="str">
        <f t="shared" si="2821"/>
        <v>06539000</v>
      </c>
      <c r="C12936" t="str">
        <f t="shared" si="2829"/>
        <v>06539003</v>
      </c>
      <c r="D12936" t="str">
        <f t="shared" si="2830"/>
        <v>813</v>
      </c>
      <c r="E12936" t="str">
        <f t="shared" si="2828"/>
        <v>89301171</v>
      </c>
      <c r="F12936" t="str">
        <f t="shared" si="2824"/>
        <v>0406123223</v>
      </c>
      <c r="G12936" s="1">
        <v>44907</v>
      </c>
      <c r="H12936" t="str">
        <f>"91129"</f>
        <v>91129</v>
      </c>
      <c r="I12936">
        <v>1</v>
      </c>
      <c r="J12936">
        <v>174</v>
      </c>
      <c r="K12936">
        <v>0</v>
      </c>
      <c r="L12936">
        <v>135.72</v>
      </c>
    </row>
    <row r="12937" spans="1:12" x14ac:dyDescent="0.25">
      <c r="A12937" t="str">
        <f t="shared" si="2833"/>
        <v>89301000</v>
      </c>
      <c r="B12937" t="str">
        <f t="shared" si="2821"/>
        <v>06539000</v>
      </c>
      <c r="C12937" t="str">
        <f t="shared" si="2829"/>
        <v>06539003</v>
      </c>
      <c r="D12937" t="str">
        <f t="shared" si="2830"/>
        <v>813</v>
      </c>
      <c r="E12937" t="str">
        <f t="shared" si="2828"/>
        <v>89301171</v>
      </c>
      <c r="F12937" t="str">
        <f t="shared" si="2824"/>
        <v>0406123223</v>
      </c>
      <c r="G12937" s="1">
        <v>44907</v>
      </c>
      <c r="H12937" t="str">
        <f>"91131"</f>
        <v>91131</v>
      </c>
      <c r="I12937">
        <v>1</v>
      </c>
      <c r="J12937">
        <v>171</v>
      </c>
      <c r="K12937">
        <v>0</v>
      </c>
      <c r="L12937">
        <v>133.38</v>
      </c>
    </row>
    <row r="12938" spans="1:12" x14ac:dyDescent="0.25">
      <c r="A12938" t="str">
        <f t="shared" si="2833"/>
        <v>89301000</v>
      </c>
      <c r="B12938" t="str">
        <f t="shared" si="2821"/>
        <v>06539000</v>
      </c>
      <c r="C12938" t="str">
        <f t="shared" si="2829"/>
        <v>06539003</v>
      </c>
      <c r="D12938" t="str">
        <f t="shared" si="2830"/>
        <v>813</v>
      </c>
      <c r="E12938" t="str">
        <f t="shared" si="2828"/>
        <v>89301171</v>
      </c>
      <c r="F12938" t="str">
        <f t="shared" si="2824"/>
        <v>0406123223</v>
      </c>
      <c r="G12938" s="1">
        <v>44907</v>
      </c>
      <c r="H12938" t="str">
        <f>"91133"</f>
        <v>91133</v>
      </c>
      <c r="I12938">
        <v>1</v>
      </c>
      <c r="J12938">
        <v>176</v>
      </c>
      <c r="K12938">
        <v>0</v>
      </c>
      <c r="L12938">
        <v>137.28</v>
      </c>
    </row>
    <row r="12939" spans="1:12" x14ac:dyDescent="0.25">
      <c r="A12939" t="str">
        <f t="shared" si="2833"/>
        <v>89301000</v>
      </c>
      <c r="B12939" t="str">
        <f t="shared" si="2821"/>
        <v>06539000</v>
      </c>
      <c r="C12939" t="str">
        <f t="shared" si="2829"/>
        <v>06539003</v>
      </c>
      <c r="D12939" t="str">
        <f t="shared" si="2830"/>
        <v>813</v>
      </c>
      <c r="E12939" t="str">
        <f t="shared" si="2828"/>
        <v>89301171</v>
      </c>
      <c r="F12939" t="str">
        <f t="shared" si="2824"/>
        <v>0406123223</v>
      </c>
      <c r="G12939" s="1">
        <v>44907</v>
      </c>
      <c r="H12939" t="str">
        <f>"91171"</f>
        <v>91171</v>
      </c>
      <c r="I12939">
        <v>1</v>
      </c>
      <c r="J12939">
        <v>360</v>
      </c>
      <c r="K12939">
        <v>0</v>
      </c>
      <c r="L12939">
        <v>280.8</v>
      </c>
    </row>
    <row r="12940" spans="1:12" x14ac:dyDescent="0.25">
      <c r="A12940" t="str">
        <f t="shared" si="2833"/>
        <v>89301000</v>
      </c>
      <c r="B12940" t="str">
        <f t="shared" si="2821"/>
        <v>06539000</v>
      </c>
      <c r="C12940" t="str">
        <f t="shared" si="2829"/>
        <v>06539003</v>
      </c>
      <c r="D12940" t="str">
        <f t="shared" si="2830"/>
        <v>813</v>
      </c>
      <c r="E12940" t="str">
        <f t="shared" si="2828"/>
        <v>89301171</v>
      </c>
      <c r="F12940" t="str">
        <f t="shared" si="2824"/>
        <v>0406123223</v>
      </c>
      <c r="G12940" s="1">
        <v>44904</v>
      </c>
      <c r="H12940" t="str">
        <f>"91173"</f>
        <v>91173</v>
      </c>
      <c r="I12940">
        <v>1</v>
      </c>
      <c r="J12940">
        <v>335</v>
      </c>
      <c r="K12940">
        <v>0</v>
      </c>
      <c r="L12940">
        <v>261.3</v>
      </c>
    </row>
    <row r="12941" spans="1:12" x14ac:dyDescent="0.25">
      <c r="A12941" t="str">
        <f t="shared" si="2833"/>
        <v>89301000</v>
      </c>
      <c r="B12941" t="str">
        <f t="shared" si="2821"/>
        <v>06539000</v>
      </c>
      <c r="C12941" t="str">
        <f t="shared" si="2829"/>
        <v>06539003</v>
      </c>
      <c r="D12941" t="str">
        <f t="shared" si="2830"/>
        <v>813</v>
      </c>
      <c r="E12941" t="str">
        <f t="shared" ref="E12941:E12972" si="2834">"89301171"</f>
        <v>89301171</v>
      </c>
      <c r="F12941" t="str">
        <f t="shared" si="2824"/>
        <v>0406123223</v>
      </c>
      <c r="G12941" s="1">
        <v>44907</v>
      </c>
      <c r="H12941" t="str">
        <f>"91175"</f>
        <v>91175</v>
      </c>
      <c r="I12941">
        <v>1</v>
      </c>
      <c r="J12941">
        <v>360</v>
      </c>
      <c r="K12941">
        <v>0</v>
      </c>
      <c r="L12941">
        <v>280.8</v>
      </c>
    </row>
    <row r="12942" spans="1:12" x14ac:dyDescent="0.25">
      <c r="A12942" t="str">
        <f t="shared" si="2833"/>
        <v>89301000</v>
      </c>
      <c r="B12942" t="str">
        <f t="shared" si="2821"/>
        <v>06539000</v>
      </c>
      <c r="C12942" t="str">
        <f t="shared" si="2829"/>
        <v>06539003</v>
      </c>
      <c r="D12942" t="str">
        <f t="shared" si="2830"/>
        <v>813</v>
      </c>
      <c r="E12942" t="str">
        <f t="shared" si="2834"/>
        <v>89301171</v>
      </c>
      <c r="F12942" t="str">
        <f t="shared" si="2824"/>
        <v>0406123223</v>
      </c>
      <c r="G12942" s="1">
        <v>44905</v>
      </c>
      <c r="H12942" t="str">
        <f>"91167"</f>
        <v>91167</v>
      </c>
      <c r="I12942">
        <v>1</v>
      </c>
      <c r="J12942">
        <v>425</v>
      </c>
      <c r="K12942">
        <v>0</v>
      </c>
      <c r="L12942">
        <v>331.5</v>
      </c>
    </row>
    <row r="12943" spans="1:12" x14ac:dyDescent="0.25">
      <c r="A12943" t="str">
        <f t="shared" si="2833"/>
        <v>89301000</v>
      </c>
      <c r="B12943" t="str">
        <f t="shared" si="2821"/>
        <v>06539000</v>
      </c>
      <c r="C12943" t="str">
        <f t="shared" si="2829"/>
        <v>06539003</v>
      </c>
      <c r="D12943" t="str">
        <f t="shared" si="2830"/>
        <v>813</v>
      </c>
      <c r="E12943" t="str">
        <f t="shared" si="2834"/>
        <v>89301171</v>
      </c>
      <c r="F12943" t="str">
        <f t="shared" si="2824"/>
        <v>0406123223</v>
      </c>
      <c r="G12943" s="1">
        <v>44905</v>
      </c>
      <c r="H12943" t="str">
        <f>"91169"</f>
        <v>91169</v>
      </c>
      <c r="I12943">
        <v>1</v>
      </c>
      <c r="J12943">
        <v>425</v>
      </c>
      <c r="K12943">
        <v>0</v>
      </c>
      <c r="L12943">
        <v>331.5</v>
      </c>
    </row>
    <row r="12944" spans="1:12" x14ac:dyDescent="0.25">
      <c r="A12944" t="str">
        <f t="shared" si="2833"/>
        <v>89301000</v>
      </c>
      <c r="B12944" t="str">
        <f t="shared" si="2821"/>
        <v>06539000</v>
      </c>
      <c r="C12944" t="str">
        <f t="shared" si="2829"/>
        <v>06539003</v>
      </c>
      <c r="D12944" t="str">
        <f t="shared" si="2830"/>
        <v>813</v>
      </c>
      <c r="E12944" t="str">
        <f t="shared" si="2834"/>
        <v>89301171</v>
      </c>
      <c r="F12944" t="str">
        <f t="shared" si="2824"/>
        <v>0406123223</v>
      </c>
      <c r="G12944" s="1">
        <v>44904</v>
      </c>
      <c r="H12944" t="str">
        <f>"91167"</f>
        <v>91167</v>
      </c>
      <c r="I12944">
        <v>1</v>
      </c>
      <c r="J12944">
        <v>425</v>
      </c>
      <c r="K12944">
        <v>0</v>
      </c>
      <c r="L12944">
        <v>331.5</v>
      </c>
    </row>
    <row r="12945" spans="1:12" x14ac:dyDescent="0.25">
      <c r="A12945" t="str">
        <f t="shared" si="2833"/>
        <v>89301000</v>
      </c>
      <c r="B12945" t="str">
        <f t="shared" si="2821"/>
        <v>06539000</v>
      </c>
      <c r="C12945" t="str">
        <f t="shared" si="2829"/>
        <v>06539003</v>
      </c>
      <c r="D12945" t="str">
        <f t="shared" si="2830"/>
        <v>813</v>
      </c>
      <c r="E12945" t="str">
        <f t="shared" si="2834"/>
        <v>89301171</v>
      </c>
      <c r="F12945" t="str">
        <f t="shared" si="2824"/>
        <v>0406123223</v>
      </c>
      <c r="G12945" s="1">
        <v>44904</v>
      </c>
      <c r="H12945" t="str">
        <f>"91169"</f>
        <v>91169</v>
      </c>
      <c r="I12945">
        <v>1</v>
      </c>
      <c r="J12945">
        <v>425</v>
      </c>
      <c r="K12945">
        <v>0</v>
      </c>
      <c r="L12945">
        <v>331.5</v>
      </c>
    </row>
    <row r="12946" spans="1:12" x14ac:dyDescent="0.25">
      <c r="A12946" t="str">
        <f t="shared" si="2833"/>
        <v>89301000</v>
      </c>
      <c r="B12946" t="str">
        <f t="shared" si="2821"/>
        <v>06539000</v>
      </c>
      <c r="C12946" t="str">
        <f t="shared" si="2829"/>
        <v>06539003</v>
      </c>
      <c r="D12946" t="str">
        <f t="shared" si="2830"/>
        <v>813</v>
      </c>
      <c r="E12946" t="str">
        <f t="shared" si="2834"/>
        <v>89301171</v>
      </c>
      <c r="F12946" t="str">
        <f t="shared" si="2824"/>
        <v>0406123223</v>
      </c>
      <c r="G12946" s="1">
        <v>44909</v>
      </c>
      <c r="H12946" t="str">
        <f>"91475"</f>
        <v>91475</v>
      </c>
      <c r="I12946">
        <v>1</v>
      </c>
      <c r="J12946">
        <v>206</v>
      </c>
      <c r="K12946">
        <v>0</v>
      </c>
      <c r="L12946">
        <v>160.68</v>
      </c>
    </row>
    <row r="12947" spans="1:12" x14ac:dyDescent="0.25">
      <c r="A12947" t="str">
        <f t="shared" si="2833"/>
        <v>89301000</v>
      </c>
      <c r="B12947" t="str">
        <f t="shared" si="2821"/>
        <v>06539000</v>
      </c>
      <c r="C12947" t="str">
        <f>"06539001"</f>
        <v>06539001</v>
      </c>
      <c r="D12947" t="str">
        <f>"801"</f>
        <v>801</v>
      </c>
      <c r="E12947" t="str">
        <f t="shared" si="2834"/>
        <v>89301171</v>
      </c>
      <c r="F12947" t="str">
        <f t="shared" ref="F12947:F12988" si="2835">"7504134880"</f>
        <v>7504134880</v>
      </c>
      <c r="G12947" s="1">
        <v>44904</v>
      </c>
      <c r="H12947" t="str">
        <f>"81329"</f>
        <v>81329</v>
      </c>
      <c r="I12947">
        <v>1</v>
      </c>
      <c r="J12947">
        <v>16</v>
      </c>
      <c r="K12947">
        <v>0</v>
      </c>
      <c r="L12947">
        <v>12.48</v>
      </c>
    </row>
    <row r="12948" spans="1:12" x14ac:dyDescent="0.25">
      <c r="A12948" t="str">
        <f t="shared" si="2833"/>
        <v>89301000</v>
      </c>
      <c r="B12948" t="str">
        <f t="shared" si="2821"/>
        <v>06539000</v>
      </c>
      <c r="C12948" t="str">
        <f>"06539001"</f>
        <v>06539001</v>
      </c>
      <c r="D12948" t="str">
        <f>"801"</f>
        <v>801</v>
      </c>
      <c r="E12948" t="str">
        <f t="shared" si="2834"/>
        <v>89301171</v>
      </c>
      <c r="F12948" t="str">
        <f t="shared" si="2835"/>
        <v>7504134880</v>
      </c>
      <c r="G12948" s="1">
        <v>44904</v>
      </c>
      <c r="H12948" t="str">
        <f>"81331"</f>
        <v>81331</v>
      </c>
      <c r="I12948">
        <v>1</v>
      </c>
      <c r="J12948">
        <v>193</v>
      </c>
      <c r="K12948">
        <v>0</v>
      </c>
      <c r="L12948">
        <v>150.54</v>
      </c>
    </row>
    <row r="12949" spans="1:12" x14ac:dyDescent="0.25">
      <c r="A12949" t="str">
        <f t="shared" si="2833"/>
        <v>89301000</v>
      </c>
      <c r="B12949" t="str">
        <f t="shared" si="2821"/>
        <v>06539000</v>
      </c>
      <c r="C12949" t="str">
        <f t="shared" ref="C12949:C12956" si="2836">"06539002"</f>
        <v>06539002</v>
      </c>
      <c r="D12949" t="str">
        <f t="shared" ref="D12949:D12956" si="2837">"802"</f>
        <v>802</v>
      </c>
      <c r="E12949" t="str">
        <f t="shared" si="2834"/>
        <v>89301171</v>
      </c>
      <c r="F12949" t="str">
        <f t="shared" si="2835"/>
        <v>7504134880</v>
      </c>
      <c r="G12949" s="1">
        <v>44904</v>
      </c>
      <c r="H12949" t="str">
        <f t="shared" ref="H12949:H12956" si="2838">"82097"</f>
        <v>82097</v>
      </c>
      <c r="I12949">
        <v>1</v>
      </c>
      <c r="J12949">
        <v>380</v>
      </c>
      <c r="K12949">
        <v>0</v>
      </c>
      <c r="L12949">
        <v>345.8</v>
      </c>
    </row>
    <row r="12950" spans="1:12" x14ac:dyDescent="0.25">
      <c r="A12950" t="str">
        <f t="shared" si="2833"/>
        <v>89301000</v>
      </c>
      <c r="B12950" t="str">
        <f t="shared" si="2821"/>
        <v>06539000</v>
      </c>
      <c r="C12950" t="str">
        <f t="shared" si="2836"/>
        <v>06539002</v>
      </c>
      <c r="D12950" t="str">
        <f t="shared" si="2837"/>
        <v>802</v>
      </c>
      <c r="E12950" t="str">
        <f t="shared" si="2834"/>
        <v>89301171</v>
      </c>
      <c r="F12950" t="str">
        <f t="shared" si="2835"/>
        <v>7504134880</v>
      </c>
      <c r="G12950" s="1">
        <v>44904</v>
      </c>
      <c r="H12950" t="str">
        <f t="shared" si="2838"/>
        <v>82097</v>
      </c>
      <c r="I12950">
        <v>1</v>
      </c>
      <c r="J12950">
        <v>380</v>
      </c>
      <c r="K12950">
        <v>0</v>
      </c>
      <c r="L12950">
        <v>345.8</v>
      </c>
    </row>
    <row r="12951" spans="1:12" x14ac:dyDescent="0.25">
      <c r="A12951" t="str">
        <f t="shared" si="2833"/>
        <v>89301000</v>
      </c>
      <c r="B12951" t="str">
        <f t="shared" si="2821"/>
        <v>06539000</v>
      </c>
      <c r="C12951" t="str">
        <f t="shared" si="2836"/>
        <v>06539002</v>
      </c>
      <c r="D12951" t="str">
        <f t="shared" si="2837"/>
        <v>802</v>
      </c>
      <c r="E12951" t="str">
        <f t="shared" si="2834"/>
        <v>89301171</v>
      </c>
      <c r="F12951" t="str">
        <f t="shared" si="2835"/>
        <v>7504134880</v>
      </c>
      <c r="G12951" s="1">
        <v>44904</v>
      </c>
      <c r="H12951" t="str">
        <f t="shared" si="2838"/>
        <v>82097</v>
      </c>
      <c r="I12951">
        <v>1</v>
      </c>
      <c r="J12951">
        <v>380</v>
      </c>
      <c r="K12951">
        <v>0</v>
      </c>
      <c r="L12951">
        <v>345.8</v>
      </c>
    </row>
    <row r="12952" spans="1:12" x14ac:dyDescent="0.25">
      <c r="A12952" t="str">
        <f t="shared" si="2833"/>
        <v>89301000</v>
      </c>
      <c r="B12952" t="str">
        <f t="shared" si="2821"/>
        <v>06539000</v>
      </c>
      <c r="C12952" t="str">
        <f t="shared" si="2836"/>
        <v>06539002</v>
      </c>
      <c r="D12952" t="str">
        <f t="shared" si="2837"/>
        <v>802</v>
      </c>
      <c r="E12952" t="str">
        <f t="shared" si="2834"/>
        <v>89301171</v>
      </c>
      <c r="F12952" t="str">
        <f t="shared" si="2835"/>
        <v>7504134880</v>
      </c>
      <c r="G12952" s="1">
        <v>44904</v>
      </c>
      <c r="H12952" t="str">
        <f t="shared" si="2838"/>
        <v>82097</v>
      </c>
      <c r="I12952">
        <v>1</v>
      </c>
      <c r="J12952">
        <v>380</v>
      </c>
      <c r="K12952">
        <v>0</v>
      </c>
      <c r="L12952">
        <v>345.8</v>
      </c>
    </row>
    <row r="12953" spans="1:12" x14ac:dyDescent="0.25">
      <c r="A12953" t="str">
        <f t="shared" si="2833"/>
        <v>89301000</v>
      </c>
      <c r="B12953" t="str">
        <f t="shared" si="2821"/>
        <v>06539000</v>
      </c>
      <c r="C12953" t="str">
        <f t="shared" si="2836"/>
        <v>06539002</v>
      </c>
      <c r="D12953" t="str">
        <f t="shared" si="2837"/>
        <v>802</v>
      </c>
      <c r="E12953" t="str">
        <f t="shared" si="2834"/>
        <v>89301171</v>
      </c>
      <c r="F12953" t="str">
        <f t="shared" si="2835"/>
        <v>7504134880</v>
      </c>
      <c r="G12953" s="1">
        <v>44904</v>
      </c>
      <c r="H12953" t="str">
        <f t="shared" si="2838"/>
        <v>82097</v>
      </c>
      <c r="I12953">
        <v>1</v>
      </c>
      <c r="J12953">
        <v>380</v>
      </c>
      <c r="K12953">
        <v>0</v>
      </c>
      <c r="L12953">
        <v>345.8</v>
      </c>
    </row>
    <row r="12954" spans="1:12" x14ac:dyDescent="0.25">
      <c r="A12954" t="str">
        <f t="shared" si="2833"/>
        <v>89301000</v>
      </c>
      <c r="B12954" t="str">
        <f t="shared" si="2821"/>
        <v>06539000</v>
      </c>
      <c r="C12954" t="str">
        <f t="shared" si="2836"/>
        <v>06539002</v>
      </c>
      <c r="D12954" t="str">
        <f t="shared" si="2837"/>
        <v>802</v>
      </c>
      <c r="E12954" t="str">
        <f t="shared" si="2834"/>
        <v>89301171</v>
      </c>
      <c r="F12954" t="str">
        <f t="shared" si="2835"/>
        <v>7504134880</v>
      </c>
      <c r="G12954" s="1">
        <v>44904</v>
      </c>
      <c r="H12954" t="str">
        <f t="shared" si="2838"/>
        <v>82097</v>
      </c>
      <c r="I12954">
        <v>1</v>
      </c>
      <c r="J12954">
        <v>380</v>
      </c>
      <c r="K12954">
        <v>0</v>
      </c>
      <c r="L12954">
        <v>345.8</v>
      </c>
    </row>
    <row r="12955" spans="1:12" x14ac:dyDescent="0.25">
      <c r="A12955" t="str">
        <f t="shared" si="2833"/>
        <v>89301000</v>
      </c>
      <c r="B12955" t="str">
        <f t="shared" ref="B12955:B12993" si="2839">"06539000"</f>
        <v>06539000</v>
      </c>
      <c r="C12955" t="str">
        <f t="shared" si="2836"/>
        <v>06539002</v>
      </c>
      <c r="D12955" t="str">
        <f t="shared" si="2837"/>
        <v>802</v>
      </c>
      <c r="E12955" t="str">
        <f t="shared" si="2834"/>
        <v>89301171</v>
      </c>
      <c r="F12955" t="str">
        <f t="shared" si="2835"/>
        <v>7504134880</v>
      </c>
      <c r="G12955" s="1">
        <v>44904</v>
      </c>
      <c r="H12955" t="str">
        <f t="shared" si="2838"/>
        <v>82097</v>
      </c>
      <c r="I12955">
        <v>1</v>
      </c>
      <c r="J12955">
        <v>380</v>
      </c>
      <c r="K12955">
        <v>0</v>
      </c>
      <c r="L12955">
        <v>345.8</v>
      </c>
    </row>
    <row r="12956" spans="1:12" x14ac:dyDescent="0.25">
      <c r="A12956" t="str">
        <f t="shared" si="2833"/>
        <v>89301000</v>
      </c>
      <c r="B12956" t="str">
        <f t="shared" si="2839"/>
        <v>06539000</v>
      </c>
      <c r="C12956" t="str">
        <f t="shared" si="2836"/>
        <v>06539002</v>
      </c>
      <c r="D12956" t="str">
        <f t="shared" si="2837"/>
        <v>802</v>
      </c>
      <c r="E12956" t="str">
        <f t="shared" si="2834"/>
        <v>89301171</v>
      </c>
      <c r="F12956" t="str">
        <f t="shared" si="2835"/>
        <v>7504134880</v>
      </c>
      <c r="G12956" s="1">
        <v>44904</v>
      </c>
      <c r="H12956" t="str">
        <f t="shared" si="2838"/>
        <v>82097</v>
      </c>
      <c r="I12956">
        <v>1</v>
      </c>
      <c r="J12956">
        <v>380</v>
      </c>
      <c r="K12956">
        <v>0</v>
      </c>
      <c r="L12956">
        <v>345.8</v>
      </c>
    </row>
    <row r="12957" spans="1:12" x14ac:dyDescent="0.25">
      <c r="A12957" t="str">
        <f t="shared" si="2833"/>
        <v>89301000</v>
      </c>
      <c r="B12957" t="str">
        <f t="shared" si="2839"/>
        <v>06539000</v>
      </c>
      <c r="C12957" t="str">
        <f t="shared" ref="C12957:C12993" si="2840">"06539003"</f>
        <v>06539003</v>
      </c>
      <c r="D12957" t="str">
        <f t="shared" ref="D12957:D12993" si="2841">"813"</f>
        <v>813</v>
      </c>
      <c r="E12957" t="str">
        <f t="shared" si="2834"/>
        <v>89301171</v>
      </c>
      <c r="F12957" t="str">
        <f t="shared" si="2835"/>
        <v>7504134880</v>
      </c>
      <c r="G12957" s="1">
        <v>44909</v>
      </c>
      <c r="H12957" t="str">
        <f t="shared" ref="H12957:H12966" si="2842">"91413"</f>
        <v>91413</v>
      </c>
      <c r="I12957">
        <v>1</v>
      </c>
      <c r="J12957">
        <v>853</v>
      </c>
      <c r="K12957">
        <v>0</v>
      </c>
      <c r="L12957">
        <v>665.34</v>
      </c>
    </row>
    <row r="12958" spans="1:12" x14ac:dyDescent="0.25">
      <c r="A12958" t="str">
        <f t="shared" si="2833"/>
        <v>89301000</v>
      </c>
      <c r="B12958" t="str">
        <f t="shared" si="2839"/>
        <v>06539000</v>
      </c>
      <c r="C12958" t="str">
        <f t="shared" si="2840"/>
        <v>06539003</v>
      </c>
      <c r="D12958" t="str">
        <f t="shared" si="2841"/>
        <v>813</v>
      </c>
      <c r="E12958" t="str">
        <f t="shared" si="2834"/>
        <v>89301171</v>
      </c>
      <c r="F12958" t="str">
        <f t="shared" si="2835"/>
        <v>7504134880</v>
      </c>
      <c r="G12958" s="1">
        <v>44909</v>
      </c>
      <c r="H12958" t="str">
        <f t="shared" si="2842"/>
        <v>91413</v>
      </c>
      <c r="I12958">
        <v>1</v>
      </c>
      <c r="J12958">
        <v>853</v>
      </c>
      <c r="K12958">
        <v>0</v>
      </c>
      <c r="L12958">
        <v>665.34</v>
      </c>
    </row>
    <row r="12959" spans="1:12" x14ac:dyDescent="0.25">
      <c r="A12959" t="str">
        <f t="shared" si="2833"/>
        <v>89301000</v>
      </c>
      <c r="B12959" t="str">
        <f t="shared" si="2839"/>
        <v>06539000</v>
      </c>
      <c r="C12959" t="str">
        <f t="shared" si="2840"/>
        <v>06539003</v>
      </c>
      <c r="D12959" t="str">
        <f t="shared" si="2841"/>
        <v>813</v>
      </c>
      <c r="E12959" t="str">
        <f t="shared" si="2834"/>
        <v>89301171</v>
      </c>
      <c r="F12959" t="str">
        <f t="shared" si="2835"/>
        <v>7504134880</v>
      </c>
      <c r="G12959" s="1">
        <v>44924</v>
      </c>
      <c r="H12959" t="str">
        <f t="shared" si="2842"/>
        <v>91413</v>
      </c>
      <c r="I12959">
        <v>1</v>
      </c>
      <c r="J12959">
        <v>853</v>
      </c>
      <c r="K12959">
        <v>0</v>
      </c>
      <c r="L12959">
        <v>665.34</v>
      </c>
    </row>
    <row r="12960" spans="1:12" x14ac:dyDescent="0.25">
      <c r="A12960" t="str">
        <f t="shared" si="2833"/>
        <v>89301000</v>
      </c>
      <c r="B12960" t="str">
        <f t="shared" si="2839"/>
        <v>06539000</v>
      </c>
      <c r="C12960" t="str">
        <f t="shared" si="2840"/>
        <v>06539003</v>
      </c>
      <c r="D12960" t="str">
        <f t="shared" si="2841"/>
        <v>813</v>
      </c>
      <c r="E12960" t="str">
        <f t="shared" si="2834"/>
        <v>89301171</v>
      </c>
      <c r="F12960" t="str">
        <f t="shared" si="2835"/>
        <v>7504134880</v>
      </c>
      <c r="G12960" s="1">
        <v>44924</v>
      </c>
      <c r="H12960" t="str">
        <f t="shared" si="2842"/>
        <v>91413</v>
      </c>
      <c r="I12960">
        <v>1</v>
      </c>
      <c r="J12960">
        <v>853</v>
      </c>
      <c r="K12960">
        <v>0</v>
      </c>
      <c r="L12960">
        <v>665.34</v>
      </c>
    </row>
    <row r="12961" spans="1:12" x14ac:dyDescent="0.25">
      <c r="A12961" t="str">
        <f t="shared" si="2833"/>
        <v>89301000</v>
      </c>
      <c r="B12961" t="str">
        <f t="shared" si="2839"/>
        <v>06539000</v>
      </c>
      <c r="C12961" t="str">
        <f t="shared" si="2840"/>
        <v>06539003</v>
      </c>
      <c r="D12961" t="str">
        <f t="shared" si="2841"/>
        <v>813</v>
      </c>
      <c r="E12961" t="str">
        <f t="shared" si="2834"/>
        <v>89301171</v>
      </c>
      <c r="F12961" t="str">
        <f t="shared" si="2835"/>
        <v>7504134880</v>
      </c>
      <c r="G12961" s="1">
        <v>44916</v>
      </c>
      <c r="H12961" t="str">
        <f t="shared" si="2842"/>
        <v>91413</v>
      </c>
      <c r="I12961">
        <v>1</v>
      </c>
      <c r="J12961">
        <v>853</v>
      </c>
      <c r="K12961">
        <v>0</v>
      </c>
      <c r="L12961">
        <v>665.34</v>
      </c>
    </row>
    <row r="12962" spans="1:12" x14ac:dyDescent="0.25">
      <c r="A12962" t="str">
        <f t="shared" si="2833"/>
        <v>89301000</v>
      </c>
      <c r="B12962" t="str">
        <f t="shared" si="2839"/>
        <v>06539000</v>
      </c>
      <c r="C12962" t="str">
        <f t="shared" si="2840"/>
        <v>06539003</v>
      </c>
      <c r="D12962" t="str">
        <f t="shared" si="2841"/>
        <v>813</v>
      </c>
      <c r="E12962" t="str">
        <f t="shared" si="2834"/>
        <v>89301171</v>
      </c>
      <c r="F12962" t="str">
        <f t="shared" si="2835"/>
        <v>7504134880</v>
      </c>
      <c r="G12962" s="1">
        <v>44916</v>
      </c>
      <c r="H12962" t="str">
        <f t="shared" si="2842"/>
        <v>91413</v>
      </c>
      <c r="I12962">
        <v>1</v>
      </c>
      <c r="J12962">
        <v>853</v>
      </c>
      <c r="K12962">
        <v>0</v>
      </c>
      <c r="L12962">
        <v>665.34</v>
      </c>
    </row>
    <row r="12963" spans="1:12" x14ac:dyDescent="0.25">
      <c r="A12963" t="str">
        <f t="shared" si="2833"/>
        <v>89301000</v>
      </c>
      <c r="B12963" t="str">
        <f t="shared" si="2839"/>
        <v>06539000</v>
      </c>
      <c r="C12963" t="str">
        <f t="shared" si="2840"/>
        <v>06539003</v>
      </c>
      <c r="D12963" t="str">
        <f t="shared" si="2841"/>
        <v>813</v>
      </c>
      <c r="E12963" t="str">
        <f t="shared" si="2834"/>
        <v>89301171</v>
      </c>
      <c r="F12963" t="str">
        <f t="shared" si="2835"/>
        <v>7504134880</v>
      </c>
      <c r="G12963" s="1">
        <v>44924</v>
      </c>
      <c r="H12963" t="str">
        <f t="shared" si="2842"/>
        <v>91413</v>
      </c>
      <c r="I12963">
        <v>1</v>
      </c>
      <c r="J12963">
        <v>853</v>
      </c>
      <c r="K12963">
        <v>0</v>
      </c>
      <c r="L12963">
        <v>665.34</v>
      </c>
    </row>
    <row r="12964" spans="1:12" x14ac:dyDescent="0.25">
      <c r="A12964" t="str">
        <f t="shared" si="2833"/>
        <v>89301000</v>
      </c>
      <c r="B12964" t="str">
        <f t="shared" si="2839"/>
        <v>06539000</v>
      </c>
      <c r="C12964" t="str">
        <f t="shared" si="2840"/>
        <v>06539003</v>
      </c>
      <c r="D12964" t="str">
        <f t="shared" si="2841"/>
        <v>813</v>
      </c>
      <c r="E12964" t="str">
        <f t="shared" si="2834"/>
        <v>89301171</v>
      </c>
      <c r="F12964" t="str">
        <f t="shared" si="2835"/>
        <v>7504134880</v>
      </c>
      <c r="G12964" s="1">
        <v>44924</v>
      </c>
      <c r="H12964" t="str">
        <f t="shared" si="2842"/>
        <v>91413</v>
      </c>
      <c r="I12964">
        <v>1</v>
      </c>
      <c r="J12964">
        <v>853</v>
      </c>
      <c r="K12964">
        <v>0</v>
      </c>
      <c r="L12964">
        <v>665.34</v>
      </c>
    </row>
    <row r="12965" spans="1:12" x14ac:dyDescent="0.25">
      <c r="A12965" t="str">
        <f t="shared" si="2833"/>
        <v>89301000</v>
      </c>
      <c r="B12965" t="str">
        <f t="shared" si="2839"/>
        <v>06539000</v>
      </c>
      <c r="C12965" t="str">
        <f t="shared" si="2840"/>
        <v>06539003</v>
      </c>
      <c r="D12965" t="str">
        <f t="shared" si="2841"/>
        <v>813</v>
      </c>
      <c r="E12965" t="str">
        <f t="shared" si="2834"/>
        <v>89301171</v>
      </c>
      <c r="F12965" t="str">
        <f t="shared" si="2835"/>
        <v>7504134880</v>
      </c>
      <c r="G12965" s="1">
        <v>44924</v>
      </c>
      <c r="H12965" t="str">
        <f t="shared" si="2842"/>
        <v>91413</v>
      </c>
      <c r="I12965">
        <v>1</v>
      </c>
      <c r="J12965">
        <v>853</v>
      </c>
      <c r="K12965">
        <v>0</v>
      </c>
      <c r="L12965">
        <v>665.34</v>
      </c>
    </row>
    <row r="12966" spans="1:12" x14ac:dyDescent="0.25">
      <c r="A12966" t="str">
        <f t="shared" si="2833"/>
        <v>89301000</v>
      </c>
      <c r="B12966" t="str">
        <f t="shared" si="2839"/>
        <v>06539000</v>
      </c>
      <c r="C12966" t="str">
        <f t="shared" si="2840"/>
        <v>06539003</v>
      </c>
      <c r="D12966" t="str">
        <f t="shared" si="2841"/>
        <v>813</v>
      </c>
      <c r="E12966" t="str">
        <f t="shared" si="2834"/>
        <v>89301171</v>
      </c>
      <c r="F12966" t="str">
        <f t="shared" si="2835"/>
        <v>7504134880</v>
      </c>
      <c r="G12966" s="1">
        <v>44924</v>
      </c>
      <c r="H12966" t="str">
        <f t="shared" si="2842"/>
        <v>91413</v>
      </c>
      <c r="I12966">
        <v>1</v>
      </c>
      <c r="J12966">
        <v>853</v>
      </c>
      <c r="K12966">
        <v>0</v>
      </c>
      <c r="L12966">
        <v>665.34</v>
      </c>
    </row>
    <row r="12967" spans="1:12" x14ac:dyDescent="0.25">
      <c r="A12967" t="str">
        <f t="shared" si="2833"/>
        <v>89301000</v>
      </c>
      <c r="B12967" t="str">
        <f t="shared" si="2839"/>
        <v>06539000</v>
      </c>
      <c r="C12967" t="str">
        <f t="shared" si="2840"/>
        <v>06539003</v>
      </c>
      <c r="D12967" t="str">
        <f t="shared" si="2841"/>
        <v>813</v>
      </c>
      <c r="E12967" t="str">
        <f t="shared" si="2834"/>
        <v>89301171</v>
      </c>
      <c r="F12967" t="str">
        <f t="shared" si="2835"/>
        <v>7504134880</v>
      </c>
      <c r="G12967" s="1">
        <v>44904</v>
      </c>
      <c r="H12967" t="str">
        <f t="shared" ref="H12967:H12973" si="2843">"91197"</f>
        <v>91197</v>
      </c>
      <c r="I12967">
        <v>1</v>
      </c>
      <c r="J12967">
        <v>1046</v>
      </c>
      <c r="K12967">
        <v>0</v>
      </c>
      <c r="L12967">
        <v>815.88</v>
      </c>
    </row>
    <row r="12968" spans="1:12" x14ac:dyDescent="0.25">
      <c r="A12968" t="str">
        <f t="shared" si="2833"/>
        <v>89301000</v>
      </c>
      <c r="B12968" t="str">
        <f t="shared" si="2839"/>
        <v>06539000</v>
      </c>
      <c r="C12968" t="str">
        <f t="shared" si="2840"/>
        <v>06539003</v>
      </c>
      <c r="D12968" t="str">
        <f t="shared" si="2841"/>
        <v>813</v>
      </c>
      <c r="E12968" t="str">
        <f t="shared" si="2834"/>
        <v>89301171</v>
      </c>
      <c r="F12968" t="str">
        <f t="shared" si="2835"/>
        <v>7504134880</v>
      </c>
      <c r="G12968" s="1">
        <v>44907</v>
      </c>
      <c r="H12968" t="str">
        <f t="shared" si="2843"/>
        <v>91197</v>
      </c>
      <c r="I12968">
        <v>1</v>
      </c>
      <c r="J12968">
        <v>1046</v>
      </c>
      <c r="K12968">
        <v>0</v>
      </c>
      <c r="L12968">
        <v>815.88</v>
      </c>
    </row>
    <row r="12969" spans="1:12" x14ac:dyDescent="0.25">
      <c r="A12969" t="str">
        <f t="shared" si="2833"/>
        <v>89301000</v>
      </c>
      <c r="B12969" t="str">
        <f t="shared" si="2839"/>
        <v>06539000</v>
      </c>
      <c r="C12969" t="str">
        <f t="shared" si="2840"/>
        <v>06539003</v>
      </c>
      <c r="D12969" t="str">
        <f t="shared" si="2841"/>
        <v>813</v>
      </c>
      <c r="E12969" t="str">
        <f t="shared" si="2834"/>
        <v>89301171</v>
      </c>
      <c r="F12969" t="str">
        <f t="shared" si="2835"/>
        <v>7504134880</v>
      </c>
      <c r="G12969" s="1">
        <v>44907</v>
      </c>
      <c r="H12969" t="str">
        <f t="shared" si="2843"/>
        <v>91197</v>
      </c>
      <c r="I12969">
        <v>1</v>
      </c>
      <c r="J12969">
        <v>1046</v>
      </c>
      <c r="K12969">
        <v>0</v>
      </c>
      <c r="L12969">
        <v>815.88</v>
      </c>
    </row>
    <row r="12970" spans="1:12" x14ac:dyDescent="0.25">
      <c r="A12970" t="str">
        <f t="shared" si="2833"/>
        <v>89301000</v>
      </c>
      <c r="B12970" t="str">
        <f t="shared" si="2839"/>
        <v>06539000</v>
      </c>
      <c r="C12970" t="str">
        <f t="shared" si="2840"/>
        <v>06539003</v>
      </c>
      <c r="D12970" t="str">
        <f t="shared" si="2841"/>
        <v>813</v>
      </c>
      <c r="E12970" t="str">
        <f t="shared" si="2834"/>
        <v>89301171</v>
      </c>
      <c r="F12970" t="str">
        <f t="shared" si="2835"/>
        <v>7504134880</v>
      </c>
      <c r="G12970" s="1">
        <v>44906</v>
      </c>
      <c r="H12970" t="str">
        <f t="shared" si="2843"/>
        <v>91197</v>
      </c>
      <c r="I12970">
        <v>1</v>
      </c>
      <c r="J12970">
        <v>1046</v>
      </c>
      <c r="K12970">
        <v>0</v>
      </c>
      <c r="L12970">
        <v>815.88</v>
      </c>
    </row>
    <row r="12971" spans="1:12" x14ac:dyDescent="0.25">
      <c r="A12971" t="str">
        <f t="shared" si="2833"/>
        <v>89301000</v>
      </c>
      <c r="B12971" t="str">
        <f t="shared" si="2839"/>
        <v>06539000</v>
      </c>
      <c r="C12971" t="str">
        <f t="shared" si="2840"/>
        <v>06539003</v>
      </c>
      <c r="D12971" t="str">
        <f t="shared" si="2841"/>
        <v>813</v>
      </c>
      <c r="E12971" t="str">
        <f t="shared" si="2834"/>
        <v>89301171</v>
      </c>
      <c r="F12971" t="str">
        <f t="shared" si="2835"/>
        <v>7504134880</v>
      </c>
      <c r="G12971" s="1">
        <v>44906</v>
      </c>
      <c r="H12971" t="str">
        <f t="shared" si="2843"/>
        <v>91197</v>
      </c>
      <c r="I12971">
        <v>1</v>
      </c>
      <c r="J12971">
        <v>1046</v>
      </c>
      <c r="K12971">
        <v>0</v>
      </c>
      <c r="L12971">
        <v>815.88</v>
      </c>
    </row>
    <row r="12972" spans="1:12" x14ac:dyDescent="0.25">
      <c r="A12972" t="str">
        <f t="shared" si="2833"/>
        <v>89301000</v>
      </c>
      <c r="B12972" t="str">
        <f t="shared" si="2839"/>
        <v>06539000</v>
      </c>
      <c r="C12972" t="str">
        <f t="shared" si="2840"/>
        <v>06539003</v>
      </c>
      <c r="D12972" t="str">
        <f t="shared" si="2841"/>
        <v>813</v>
      </c>
      <c r="E12972" t="str">
        <f t="shared" si="2834"/>
        <v>89301171</v>
      </c>
      <c r="F12972" t="str">
        <f t="shared" si="2835"/>
        <v>7504134880</v>
      </c>
      <c r="G12972" s="1">
        <v>44905</v>
      </c>
      <c r="H12972" t="str">
        <f t="shared" si="2843"/>
        <v>91197</v>
      </c>
      <c r="I12972">
        <v>1</v>
      </c>
      <c r="J12972">
        <v>1046</v>
      </c>
      <c r="K12972">
        <v>0</v>
      </c>
      <c r="L12972">
        <v>815.88</v>
      </c>
    </row>
    <row r="12973" spans="1:12" x14ac:dyDescent="0.25">
      <c r="A12973" t="str">
        <f t="shared" si="2833"/>
        <v>89301000</v>
      </c>
      <c r="B12973" t="str">
        <f t="shared" si="2839"/>
        <v>06539000</v>
      </c>
      <c r="C12973" t="str">
        <f t="shared" si="2840"/>
        <v>06539003</v>
      </c>
      <c r="D12973" t="str">
        <f t="shared" si="2841"/>
        <v>813</v>
      </c>
      <c r="E12973" t="str">
        <f t="shared" ref="E12973:E12993" si="2844">"89301171"</f>
        <v>89301171</v>
      </c>
      <c r="F12973" t="str">
        <f t="shared" si="2835"/>
        <v>7504134880</v>
      </c>
      <c r="G12973" s="1">
        <v>44905</v>
      </c>
      <c r="H12973" t="str">
        <f t="shared" si="2843"/>
        <v>91197</v>
      </c>
      <c r="I12973">
        <v>1</v>
      </c>
      <c r="J12973">
        <v>1046</v>
      </c>
      <c r="K12973">
        <v>0</v>
      </c>
      <c r="L12973">
        <v>815.88</v>
      </c>
    </row>
    <row r="12974" spans="1:12" x14ac:dyDescent="0.25">
      <c r="A12974" t="str">
        <f t="shared" si="2833"/>
        <v>89301000</v>
      </c>
      <c r="B12974" t="str">
        <f t="shared" si="2839"/>
        <v>06539000</v>
      </c>
      <c r="C12974" t="str">
        <f t="shared" si="2840"/>
        <v>06539003</v>
      </c>
      <c r="D12974" t="str">
        <f t="shared" si="2841"/>
        <v>813</v>
      </c>
      <c r="E12974" t="str">
        <f t="shared" si="2844"/>
        <v>89301171</v>
      </c>
      <c r="F12974" t="str">
        <f t="shared" si="2835"/>
        <v>7504134880</v>
      </c>
      <c r="G12974" s="1">
        <v>44910</v>
      </c>
      <c r="H12974" t="str">
        <f>"91329"</f>
        <v>91329</v>
      </c>
      <c r="I12974">
        <v>2</v>
      </c>
      <c r="J12974">
        <v>428</v>
      </c>
      <c r="K12974">
        <v>0</v>
      </c>
      <c r="L12974">
        <v>333.84</v>
      </c>
    </row>
    <row r="12975" spans="1:12" x14ac:dyDescent="0.25">
      <c r="A12975" t="str">
        <f t="shared" si="2833"/>
        <v>89301000</v>
      </c>
      <c r="B12975" t="str">
        <f t="shared" si="2839"/>
        <v>06539000</v>
      </c>
      <c r="C12975" t="str">
        <f t="shared" si="2840"/>
        <v>06539003</v>
      </c>
      <c r="D12975" t="str">
        <f t="shared" si="2841"/>
        <v>813</v>
      </c>
      <c r="E12975" t="str">
        <f t="shared" si="2844"/>
        <v>89301171</v>
      </c>
      <c r="F12975" t="str">
        <f t="shared" si="2835"/>
        <v>7504134880</v>
      </c>
      <c r="G12975" s="1">
        <v>44910</v>
      </c>
      <c r="H12975" t="str">
        <f>"91329"</f>
        <v>91329</v>
      </c>
      <c r="I12975">
        <v>2</v>
      </c>
      <c r="J12975">
        <v>428</v>
      </c>
      <c r="K12975">
        <v>0</v>
      </c>
      <c r="L12975">
        <v>333.84</v>
      </c>
    </row>
    <row r="12976" spans="1:12" x14ac:dyDescent="0.25">
      <c r="A12976" t="str">
        <f t="shared" si="2833"/>
        <v>89301000</v>
      </c>
      <c r="B12976" t="str">
        <f t="shared" si="2839"/>
        <v>06539000</v>
      </c>
      <c r="C12976" t="str">
        <f t="shared" si="2840"/>
        <v>06539003</v>
      </c>
      <c r="D12976" t="str">
        <f t="shared" si="2841"/>
        <v>813</v>
      </c>
      <c r="E12976" t="str">
        <f t="shared" si="2844"/>
        <v>89301171</v>
      </c>
      <c r="F12976" t="str">
        <f t="shared" si="2835"/>
        <v>7504134880</v>
      </c>
      <c r="G12976" s="1">
        <v>44910</v>
      </c>
      <c r="H12976" t="str">
        <f>"91329"</f>
        <v>91329</v>
      </c>
      <c r="I12976">
        <v>2</v>
      </c>
      <c r="J12976">
        <v>428</v>
      </c>
      <c r="K12976">
        <v>0</v>
      </c>
      <c r="L12976">
        <v>333.84</v>
      </c>
    </row>
    <row r="12977" spans="1:12" x14ac:dyDescent="0.25">
      <c r="A12977" t="str">
        <f t="shared" si="2833"/>
        <v>89301000</v>
      </c>
      <c r="B12977" t="str">
        <f t="shared" si="2839"/>
        <v>06539000</v>
      </c>
      <c r="C12977" t="str">
        <f t="shared" si="2840"/>
        <v>06539003</v>
      </c>
      <c r="D12977" t="str">
        <f t="shared" si="2841"/>
        <v>813</v>
      </c>
      <c r="E12977" t="str">
        <f t="shared" si="2844"/>
        <v>89301171</v>
      </c>
      <c r="F12977" t="str">
        <f t="shared" si="2835"/>
        <v>7504134880</v>
      </c>
      <c r="G12977" s="1">
        <v>44910</v>
      </c>
      <c r="H12977" t="str">
        <f>"91329"</f>
        <v>91329</v>
      </c>
      <c r="I12977">
        <v>2</v>
      </c>
      <c r="J12977">
        <v>428</v>
      </c>
      <c r="K12977">
        <v>0</v>
      </c>
      <c r="L12977">
        <v>333.84</v>
      </c>
    </row>
    <row r="12978" spans="1:12" x14ac:dyDescent="0.25">
      <c r="A12978" t="str">
        <f t="shared" si="2833"/>
        <v>89301000</v>
      </c>
      <c r="B12978" t="str">
        <f t="shared" si="2839"/>
        <v>06539000</v>
      </c>
      <c r="C12978" t="str">
        <f t="shared" si="2840"/>
        <v>06539003</v>
      </c>
      <c r="D12978" t="str">
        <f t="shared" si="2841"/>
        <v>813</v>
      </c>
      <c r="E12978" t="str">
        <f t="shared" si="2844"/>
        <v>89301171</v>
      </c>
      <c r="F12978" t="str">
        <f t="shared" si="2835"/>
        <v>7504134880</v>
      </c>
      <c r="G12978" s="1">
        <v>44907</v>
      </c>
      <c r="H12978" t="str">
        <f>"91129"</f>
        <v>91129</v>
      </c>
      <c r="I12978">
        <v>1</v>
      </c>
      <c r="J12978">
        <v>174</v>
      </c>
      <c r="K12978">
        <v>0</v>
      </c>
      <c r="L12978">
        <v>135.72</v>
      </c>
    </row>
    <row r="12979" spans="1:12" x14ac:dyDescent="0.25">
      <c r="A12979" t="str">
        <f t="shared" si="2833"/>
        <v>89301000</v>
      </c>
      <c r="B12979" t="str">
        <f t="shared" si="2839"/>
        <v>06539000</v>
      </c>
      <c r="C12979" t="str">
        <f t="shared" si="2840"/>
        <v>06539003</v>
      </c>
      <c r="D12979" t="str">
        <f t="shared" si="2841"/>
        <v>813</v>
      </c>
      <c r="E12979" t="str">
        <f t="shared" si="2844"/>
        <v>89301171</v>
      </c>
      <c r="F12979" t="str">
        <f t="shared" si="2835"/>
        <v>7504134880</v>
      </c>
      <c r="G12979" s="1">
        <v>44907</v>
      </c>
      <c r="H12979" t="str">
        <f>"91131"</f>
        <v>91131</v>
      </c>
      <c r="I12979">
        <v>1</v>
      </c>
      <c r="J12979">
        <v>171</v>
      </c>
      <c r="K12979">
        <v>0</v>
      </c>
      <c r="L12979">
        <v>133.38</v>
      </c>
    </row>
    <row r="12980" spans="1:12" x14ac:dyDescent="0.25">
      <c r="A12980" t="str">
        <f t="shared" si="2833"/>
        <v>89301000</v>
      </c>
      <c r="B12980" t="str">
        <f t="shared" si="2839"/>
        <v>06539000</v>
      </c>
      <c r="C12980" t="str">
        <f t="shared" si="2840"/>
        <v>06539003</v>
      </c>
      <c r="D12980" t="str">
        <f t="shared" si="2841"/>
        <v>813</v>
      </c>
      <c r="E12980" t="str">
        <f t="shared" si="2844"/>
        <v>89301171</v>
      </c>
      <c r="F12980" t="str">
        <f t="shared" si="2835"/>
        <v>7504134880</v>
      </c>
      <c r="G12980" s="1">
        <v>44907</v>
      </c>
      <c r="H12980" t="str">
        <f>"91133"</f>
        <v>91133</v>
      </c>
      <c r="I12980">
        <v>1</v>
      </c>
      <c r="J12980">
        <v>176</v>
      </c>
      <c r="K12980">
        <v>0</v>
      </c>
      <c r="L12980">
        <v>137.28</v>
      </c>
    </row>
    <row r="12981" spans="1:12" x14ac:dyDescent="0.25">
      <c r="A12981" t="str">
        <f t="shared" si="2833"/>
        <v>89301000</v>
      </c>
      <c r="B12981" t="str">
        <f t="shared" si="2839"/>
        <v>06539000</v>
      </c>
      <c r="C12981" t="str">
        <f t="shared" si="2840"/>
        <v>06539003</v>
      </c>
      <c r="D12981" t="str">
        <f t="shared" si="2841"/>
        <v>813</v>
      </c>
      <c r="E12981" t="str">
        <f t="shared" si="2844"/>
        <v>89301171</v>
      </c>
      <c r="F12981" t="str">
        <f t="shared" si="2835"/>
        <v>7504134880</v>
      </c>
      <c r="G12981" s="1">
        <v>44907</v>
      </c>
      <c r="H12981" t="str">
        <f>"91171"</f>
        <v>91171</v>
      </c>
      <c r="I12981">
        <v>1</v>
      </c>
      <c r="J12981">
        <v>360</v>
      </c>
      <c r="K12981">
        <v>0</v>
      </c>
      <c r="L12981">
        <v>280.8</v>
      </c>
    </row>
    <row r="12982" spans="1:12" x14ac:dyDescent="0.25">
      <c r="A12982" t="str">
        <f t="shared" si="2833"/>
        <v>89301000</v>
      </c>
      <c r="B12982" t="str">
        <f t="shared" si="2839"/>
        <v>06539000</v>
      </c>
      <c r="C12982" t="str">
        <f t="shared" si="2840"/>
        <v>06539003</v>
      </c>
      <c r="D12982" t="str">
        <f t="shared" si="2841"/>
        <v>813</v>
      </c>
      <c r="E12982" t="str">
        <f t="shared" si="2844"/>
        <v>89301171</v>
      </c>
      <c r="F12982" t="str">
        <f t="shared" si="2835"/>
        <v>7504134880</v>
      </c>
      <c r="G12982" s="1">
        <v>44904</v>
      </c>
      <c r="H12982" t="str">
        <f>"91173"</f>
        <v>91173</v>
      </c>
      <c r="I12982">
        <v>1</v>
      </c>
      <c r="J12982">
        <v>335</v>
      </c>
      <c r="K12982">
        <v>0</v>
      </c>
      <c r="L12982">
        <v>261.3</v>
      </c>
    </row>
    <row r="12983" spans="1:12" x14ac:dyDescent="0.25">
      <c r="A12983" t="str">
        <f t="shared" si="2833"/>
        <v>89301000</v>
      </c>
      <c r="B12983" t="str">
        <f t="shared" si="2839"/>
        <v>06539000</v>
      </c>
      <c r="C12983" t="str">
        <f t="shared" si="2840"/>
        <v>06539003</v>
      </c>
      <c r="D12983" t="str">
        <f t="shared" si="2841"/>
        <v>813</v>
      </c>
      <c r="E12983" t="str">
        <f t="shared" si="2844"/>
        <v>89301171</v>
      </c>
      <c r="F12983" t="str">
        <f t="shared" si="2835"/>
        <v>7504134880</v>
      </c>
      <c r="G12983" s="1">
        <v>44907</v>
      </c>
      <c r="H12983" t="str">
        <f>"91175"</f>
        <v>91175</v>
      </c>
      <c r="I12983">
        <v>1</v>
      </c>
      <c r="J12983">
        <v>360</v>
      </c>
      <c r="K12983">
        <v>0</v>
      </c>
      <c r="L12983">
        <v>280.8</v>
      </c>
    </row>
    <row r="12984" spans="1:12" x14ac:dyDescent="0.25">
      <c r="A12984" t="str">
        <f t="shared" si="2833"/>
        <v>89301000</v>
      </c>
      <c r="B12984" t="str">
        <f t="shared" si="2839"/>
        <v>06539000</v>
      </c>
      <c r="C12984" t="str">
        <f t="shared" si="2840"/>
        <v>06539003</v>
      </c>
      <c r="D12984" t="str">
        <f t="shared" si="2841"/>
        <v>813</v>
      </c>
      <c r="E12984" t="str">
        <f t="shared" si="2844"/>
        <v>89301171</v>
      </c>
      <c r="F12984" t="str">
        <f t="shared" si="2835"/>
        <v>7504134880</v>
      </c>
      <c r="G12984" s="1">
        <v>44905</v>
      </c>
      <c r="H12984" t="str">
        <f>"91167"</f>
        <v>91167</v>
      </c>
      <c r="I12984">
        <v>1</v>
      </c>
      <c r="J12984">
        <v>425</v>
      </c>
      <c r="K12984">
        <v>0</v>
      </c>
      <c r="L12984">
        <v>331.5</v>
      </c>
    </row>
    <row r="12985" spans="1:12" x14ac:dyDescent="0.25">
      <c r="A12985" t="str">
        <f t="shared" si="2833"/>
        <v>89301000</v>
      </c>
      <c r="B12985" t="str">
        <f t="shared" si="2839"/>
        <v>06539000</v>
      </c>
      <c r="C12985" t="str">
        <f t="shared" si="2840"/>
        <v>06539003</v>
      </c>
      <c r="D12985" t="str">
        <f t="shared" si="2841"/>
        <v>813</v>
      </c>
      <c r="E12985" t="str">
        <f t="shared" si="2844"/>
        <v>89301171</v>
      </c>
      <c r="F12985" t="str">
        <f t="shared" si="2835"/>
        <v>7504134880</v>
      </c>
      <c r="G12985" s="1">
        <v>44905</v>
      </c>
      <c r="H12985" t="str">
        <f>"91169"</f>
        <v>91169</v>
      </c>
      <c r="I12985">
        <v>1</v>
      </c>
      <c r="J12985">
        <v>425</v>
      </c>
      <c r="K12985">
        <v>0</v>
      </c>
      <c r="L12985">
        <v>331.5</v>
      </c>
    </row>
    <row r="12986" spans="1:12" x14ac:dyDescent="0.25">
      <c r="A12986" t="str">
        <f t="shared" si="2833"/>
        <v>89301000</v>
      </c>
      <c r="B12986" t="str">
        <f t="shared" si="2839"/>
        <v>06539000</v>
      </c>
      <c r="C12986" t="str">
        <f t="shared" si="2840"/>
        <v>06539003</v>
      </c>
      <c r="D12986" t="str">
        <f t="shared" si="2841"/>
        <v>813</v>
      </c>
      <c r="E12986" t="str">
        <f t="shared" si="2844"/>
        <v>89301171</v>
      </c>
      <c r="F12986" t="str">
        <f t="shared" si="2835"/>
        <v>7504134880</v>
      </c>
      <c r="G12986" s="1">
        <v>44904</v>
      </c>
      <c r="H12986" t="str">
        <f>"91167"</f>
        <v>91167</v>
      </c>
      <c r="I12986">
        <v>1</v>
      </c>
      <c r="J12986">
        <v>425</v>
      </c>
      <c r="K12986">
        <v>0</v>
      </c>
      <c r="L12986">
        <v>331.5</v>
      </c>
    </row>
    <row r="12987" spans="1:12" x14ac:dyDescent="0.25">
      <c r="A12987" t="str">
        <f t="shared" si="2833"/>
        <v>89301000</v>
      </c>
      <c r="B12987" t="str">
        <f t="shared" si="2839"/>
        <v>06539000</v>
      </c>
      <c r="C12987" t="str">
        <f t="shared" si="2840"/>
        <v>06539003</v>
      </c>
      <c r="D12987" t="str">
        <f t="shared" si="2841"/>
        <v>813</v>
      </c>
      <c r="E12987" t="str">
        <f t="shared" si="2844"/>
        <v>89301171</v>
      </c>
      <c r="F12987" t="str">
        <f t="shared" si="2835"/>
        <v>7504134880</v>
      </c>
      <c r="G12987" s="1">
        <v>44904</v>
      </c>
      <c r="H12987" t="str">
        <f>"91169"</f>
        <v>91169</v>
      </c>
      <c r="I12987">
        <v>1</v>
      </c>
      <c r="J12987">
        <v>425</v>
      </c>
      <c r="K12987">
        <v>0</v>
      </c>
      <c r="L12987">
        <v>331.5</v>
      </c>
    </row>
    <row r="12988" spans="1:12" x14ac:dyDescent="0.25">
      <c r="A12988" t="str">
        <f t="shared" si="2833"/>
        <v>89301000</v>
      </c>
      <c r="B12988" t="str">
        <f t="shared" si="2839"/>
        <v>06539000</v>
      </c>
      <c r="C12988" t="str">
        <f t="shared" si="2840"/>
        <v>06539003</v>
      </c>
      <c r="D12988" t="str">
        <f t="shared" si="2841"/>
        <v>813</v>
      </c>
      <c r="E12988" t="str">
        <f t="shared" si="2844"/>
        <v>89301171</v>
      </c>
      <c r="F12988" t="str">
        <f t="shared" si="2835"/>
        <v>7504134880</v>
      </c>
      <c r="G12988" s="1">
        <v>44924</v>
      </c>
      <c r="H12988" t="str">
        <f>"91475"</f>
        <v>91475</v>
      </c>
      <c r="I12988">
        <v>1</v>
      </c>
      <c r="J12988">
        <v>206</v>
      </c>
      <c r="K12988">
        <v>0</v>
      </c>
      <c r="L12988">
        <v>160.68</v>
      </c>
    </row>
    <row r="12989" spans="1:12" x14ac:dyDescent="0.25">
      <c r="A12989" t="str">
        <f t="shared" si="2833"/>
        <v>89301000</v>
      </c>
      <c r="B12989" t="str">
        <f t="shared" si="2839"/>
        <v>06539000</v>
      </c>
      <c r="C12989" t="str">
        <f t="shared" si="2840"/>
        <v>06539003</v>
      </c>
      <c r="D12989" t="str">
        <f t="shared" si="2841"/>
        <v>813</v>
      </c>
      <c r="E12989" t="str">
        <f t="shared" si="2844"/>
        <v>89301171</v>
      </c>
      <c r="F12989" t="str">
        <f>"6807051405"</f>
        <v>6807051405</v>
      </c>
      <c r="G12989" s="1">
        <v>44914</v>
      </c>
      <c r="H12989" t="str">
        <f>"91129"</f>
        <v>91129</v>
      </c>
      <c r="I12989">
        <v>1</v>
      </c>
      <c r="J12989">
        <v>174</v>
      </c>
      <c r="K12989">
        <v>0</v>
      </c>
      <c r="L12989">
        <v>135.72</v>
      </c>
    </row>
    <row r="12990" spans="1:12" x14ac:dyDescent="0.25">
      <c r="A12990" t="str">
        <f t="shared" si="2833"/>
        <v>89301000</v>
      </c>
      <c r="B12990" t="str">
        <f t="shared" si="2839"/>
        <v>06539000</v>
      </c>
      <c r="C12990" t="str">
        <f t="shared" si="2840"/>
        <v>06539003</v>
      </c>
      <c r="D12990" t="str">
        <f t="shared" si="2841"/>
        <v>813</v>
      </c>
      <c r="E12990" t="str">
        <f t="shared" si="2844"/>
        <v>89301171</v>
      </c>
      <c r="F12990" t="str">
        <f>"6807051405"</f>
        <v>6807051405</v>
      </c>
      <c r="G12990" s="1">
        <v>44914</v>
      </c>
      <c r="H12990" t="str">
        <f>"91133"</f>
        <v>91133</v>
      </c>
      <c r="I12990">
        <v>1</v>
      </c>
      <c r="J12990">
        <v>176</v>
      </c>
      <c r="K12990">
        <v>0</v>
      </c>
      <c r="L12990">
        <v>137.28</v>
      </c>
    </row>
    <row r="12991" spans="1:12" x14ac:dyDescent="0.25">
      <c r="A12991" t="str">
        <f t="shared" si="2833"/>
        <v>89301000</v>
      </c>
      <c r="B12991" t="str">
        <f t="shared" si="2839"/>
        <v>06539000</v>
      </c>
      <c r="C12991" t="str">
        <f t="shared" si="2840"/>
        <v>06539003</v>
      </c>
      <c r="D12991" t="str">
        <f t="shared" si="2841"/>
        <v>813</v>
      </c>
      <c r="E12991" t="str">
        <f t="shared" si="2844"/>
        <v>89301171</v>
      </c>
      <c r="F12991" t="str">
        <f>"6807051405"</f>
        <v>6807051405</v>
      </c>
      <c r="G12991" s="1">
        <v>44914</v>
      </c>
      <c r="H12991" t="str">
        <f>"91171"</f>
        <v>91171</v>
      </c>
      <c r="I12991">
        <v>1</v>
      </c>
      <c r="J12991">
        <v>360</v>
      </c>
      <c r="K12991">
        <v>0</v>
      </c>
      <c r="L12991">
        <v>280.8</v>
      </c>
    </row>
    <row r="12992" spans="1:12" x14ac:dyDescent="0.25">
      <c r="A12992" t="str">
        <f t="shared" si="2833"/>
        <v>89301000</v>
      </c>
      <c r="B12992" t="str">
        <f t="shared" si="2839"/>
        <v>06539000</v>
      </c>
      <c r="C12992" t="str">
        <f t="shared" si="2840"/>
        <v>06539003</v>
      </c>
      <c r="D12992" t="str">
        <f t="shared" si="2841"/>
        <v>813</v>
      </c>
      <c r="E12992" t="str">
        <f t="shared" si="2844"/>
        <v>89301171</v>
      </c>
      <c r="F12992" t="str">
        <f>"6807051405"</f>
        <v>6807051405</v>
      </c>
      <c r="G12992" s="1">
        <v>44914</v>
      </c>
      <c r="H12992" t="str">
        <f>"91175"</f>
        <v>91175</v>
      </c>
      <c r="I12992">
        <v>1</v>
      </c>
      <c r="J12992">
        <v>360</v>
      </c>
      <c r="K12992">
        <v>0</v>
      </c>
      <c r="L12992">
        <v>280.8</v>
      </c>
    </row>
    <row r="12993" spans="1:12" x14ac:dyDescent="0.25">
      <c r="A12993" t="str">
        <f t="shared" si="2833"/>
        <v>89301000</v>
      </c>
      <c r="B12993" t="str">
        <f t="shared" si="2839"/>
        <v>06539000</v>
      </c>
      <c r="C12993" t="str">
        <f t="shared" si="2840"/>
        <v>06539003</v>
      </c>
      <c r="D12993" t="str">
        <f t="shared" si="2841"/>
        <v>813</v>
      </c>
      <c r="E12993" t="str">
        <f t="shared" si="2844"/>
        <v>89301171</v>
      </c>
      <c r="F12993" t="str">
        <f>"6807051405"</f>
        <v>6807051405</v>
      </c>
      <c r="G12993" s="1">
        <v>44914</v>
      </c>
      <c r="H12993" t="str">
        <f>"91475"</f>
        <v>91475</v>
      </c>
      <c r="I12993">
        <v>1</v>
      </c>
      <c r="J12993">
        <v>206</v>
      </c>
      <c r="K12993">
        <v>0</v>
      </c>
      <c r="L12993">
        <v>160.68</v>
      </c>
    </row>
    <row r="12994" spans="1:12" x14ac:dyDescent="0.25">
      <c r="A12994" t="str">
        <f t="shared" ref="A12994:A13057" si="2845">"89301000"</f>
        <v>89301000</v>
      </c>
      <c r="B12994" t="str">
        <f>"05002000"</f>
        <v>05002000</v>
      </c>
      <c r="C12994" t="str">
        <f>"05002174"</f>
        <v>05002174</v>
      </c>
      <c r="D12994" t="str">
        <f>"802"</f>
        <v>802</v>
      </c>
      <c r="E12994" t="str">
        <f>"89301172"</f>
        <v>89301172</v>
      </c>
      <c r="F12994" t="str">
        <f>"8360115302"</f>
        <v>8360115302</v>
      </c>
      <c r="G12994" s="1">
        <v>44865</v>
      </c>
      <c r="H12994" t="str">
        <f>"85115"</f>
        <v>85115</v>
      </c>
      <c r="I12994">
        <v>1</v>
      </c>
      <c r="J12994">
        <v>2423</v>
      </c>
      <c r="K12994">
        <v>0</v>
      </c>
      <c r="L12994">
        <v>2204.9299999999998</v>
      </c>
    </row>
    <row r="12995" spans="1:12" x14ac:dyDescent="0.25">
      <c r="A12995" t="str">
        <f t="shared" si="2845"/>
        <v>89301000</v>
      </c>
      <c r="B12995" t="str">
        <f>"89895000"</f>
        <v>89895000</v>
      </c>
      <c r="C12995" t="str">
        <f>"89895002"</f>
        <v>89895002</v>
      </c>
      <c r="D12995" t="str">
        <f>"809"</f>
        <v>809</v>
      </c>
      <c r="E12995" t="str">
        <f>"89301212"</f>
        <v>89301212</v>
      </c>
      <c r="F12995" t="str">
        <f>"536113300"</f>
        <v>536113300</v>
      </c>
      <c r="G12995" s="1">
        <v>44917</v>
      </c>
      <c r="H12995" t="str">
        <f>"89180"</f>
        <v>89180</v>
      </c>
      <c r="I12995">
        <v>1</v>
      </c>
      <c r="J12995">
        <v>376</v>
      </c>
      <c r="K12995">
        <v>0</v>
      </c>
      <c r="L12995">
        <v>526.4</v>
      </c>
    </row>
    <row r="12996" spans="1:12" x14ac:dyDescent="0.25">
      <c r="A12996" t="str">
        <f t="shared" si="2845"/>
        <v>89301000</v>
      </c>
      <c r="B12996" t="str">
        <f>"89895000"</f>
        <v>89895000</v>
      </c>
      <c r="C12996" t="str">
        <f>"89895002"</f>
        <v>89895002</v>
      </c>
      <c r="D12996" t="str">
        <f>"809"</f>
        <v>809</v>
      </c>
      <c r="E12996" t="str">
        <f>"89301212"</f>
        <v>89301212</v>
      </c>
      <c r="F12996" t="str">
        <f>"536113300"</f>
        <v>536113300</v>
      </c>
      <c r="G12996" s="1">
        <v>44917</v>
      </c>
      <c r="H12996" t="str">
        <f>"89335"</f>
        <v>89335</v>
      </c>
      <c r="I12996">
        <v>1</v>
      </c>
      <c r="J12996">
        <v>180</v>
      </c>
      <c r="K12996">
        <v>0</v>
      </c>
      <c r="L12996">
        <v>252</v>
      </c>
    </row>
    <row r="12997" spans="1:12" x14ac:dyDescent="0.25">
      <c r="A12997" t="str">
        <f t="shared" si="2845"/>
        <v>89301000</v>
      </c>
      <c r="B12997" t="str">
        <f>"89895000"</f>
        <v>89895000</v>
      </c>
      <c r="C12997" t="str">
        <f>"89895002"</f>
        <v>89895002</v>
      </c>
      <c r="D12997" t="str">
        <f>"809"</f>
        <v>809</v>
      </c>
      <c r="E12997" t="str">
        <f>"89301212"</f>
        <v>89301212</v>
      </c>
      <c r="F12997" t="str">
        <f>"536113300"</f>
        <v>536113300</v>
      </c>
      <c r="G12997" s="1">
        <v>44917</v>
      </c>
      <c r="H12997" t="str">
        <f>"0142868"</f>
        <v>0142868</v>
      </c>
      <c r="I12997">
        <v>1</v>
      </c>
      <c r="K12997">
        <v>3080</v>
      </c>
      <c r="L12997">
        <v>3080</v>
      </c>
    </row>
    <row r="12998" spans="1:12" x14ac:dyDescent="0.25">
      <c r="A12998" t="str">
        <f t="shared" si="2845"/>
        <v>89301000</v>
      </c>
      <c r="B12998" t="str">
        <f>"89895000"</f>
        <v>89895000</v>
      </c>
      <c r="C12998" t="str">
        <f>"89895002"</f>
        <v>89895002</v>
      </c>
      <c r="D12998" t="str">
        <f>"809"</f>
        <v>809</v>
      </c>
      <c r="E12998" t="str">
        <f>"89301212"</f>
        <v>89301212</v>
      </c>
      <c r="F12998" t="str">
        <f>"536113300"</f>
        <v>536113300</v>
      </c>
      <c r="G12998" s="1">
        <v>44917</v>
      </c>
      <c r="H12998" t="str">
        <f>"0093109"</f>
        <v>0093109</v>
      </c>
      <c r="I12998">
        <v>0.2</v>
      </c>
      <c r="K12998">
        <v>52.16</v>
      </c>
      <c r="L12998">
        <v>52.16</v>
      </c>
    </row>
    <row r="12999" spans="1:12" x14ac:dyDescent="0.25">
      <c r="A12999" t="str">
        <f t="shared" si="2845"/>
        <v>89301000</v>
      </c>
      <c r="B12999" t="str">
        <f>"89895000"</f>
        <v>89895000</v>
      </c>
      <c r="C12999" t="str">
        <f>"89895002"</f>
        <v>89895002</v>
      </c>
      <c r="D12999" t="str">
        <f>"809"</f>
        <v>809</v>
      </c>
      <c r="E12999" t="str">
        <f>"89301212"</f>
        <v>89301212</v>
      </c>
      <c r="F12999" t="str">
        <f>"536113300"</f>
        <v>536113300</v>
      </c>
      <c r="G12999" s="1">
        <v>44917</v>
      </c>
      <c r="H12999" t="str">
        <f>"0082502"</f>
        <v>0082502</v>
      </c>
      <c r="I12999">
        <v>1</v>
      </c>
      <c r="K12999">
        <v>2093</v>
      </c>
      <c r="L12999">
        <v>2093</v>
      </c>
    </row>
    <row r="13000" spans="1:12" x14ac:dyDescent="0.25">
      <c r="A13000" t="str">
        <f t="shared" si="2845"/>
        <v>89301000</v>
      </c>
      <c r="B13000" t="str">
        <f t="shared" ref="B13000:B13012" si="2846">"72077000"</f>
        <v>72077000</v>
      </c>
      <c r="C13000" t="str">
        <f t="shared" ref="C13000:C13012" si="2847">"72077001"</f>
        <v>72077001</v>
      </c>
      <c r="D13000" t="str">
        <f t="shared" ref="D13000:D13012" si="2848">"813"</f>
        <v>813</v>
      </c>
      <c r="E13000" t="str">
        <f t="shared" ref="E13000:E13012" si="2849">"89301152"</f>
        <v>89301152</v>
      </c>
      <c r="F13000" t="str">
        <f t="shared" ref="F13000:F13005" si="2850">"8257265313"</f>
        <v>8257265313</v>
      </c>
      <c r="G13000" s="1">
        <v>44915</v>
      </c>
      <c r="H13000" t="str">
        <f>"91219"</f>
        <v>91219</v>
      </c>
      <c r="I13000">
        <v>1</v>
      </c>
      <c r="J13000">
        <v>342</v>
      </c>
      <c r="K13000">
        <v>0</v>
      </c>
      <c r="L13000">
        <v>266.76</v>
      </c>
    </row>
    <row r="13001" spans="1:12" x14ac:dyDescent="0.25">
      <c r="A13001" t="str">
        <f t="shared" si="2845"/>
        <v>89301000</v>
      </c>
      <c r="B13001" t="str">
        <f t="shared" si="2846"/>
        <v>72077000</v>
      </c>
      <c r="C13001" t="str">
        <f t="shared" si="2847"/>
        <v>72077001</v>
      </c>
      <c r="D13001" t="str">
        <f t="shared" si="2848"/>
        <v>813</v>
      </c>
      <c r="E13001" t="str">
        <f t="shared" si="2849"/>
        <v>89301152</v>
      </c>
      <c r="F13001" t="str">
        <f t="shared" si="2850"/>
        <v>8257265313</v>
      </c>
      <c r="G13001" s="1">
        <v>44923</v>
      </c>
      <c r="H13001" t="str">
        <f>"91465"</f>
        <v>91465</v>
      </c>
      <c r="I13001">
        <v>1</v>
      </c>
      <c r="J13001">
        <v>1404</v>
      </c>
      <c r="K13001">
        <v>0</v>
      </c>
      <c r="L13001">
        <v>1095.1199999999999</v>
      </c>
    </row>
    <row r="13002" spans="1:12" x14ac:dyDescent="0.25">
      <c r="A13002" t="str">
        <f t="shared" si="2845"/>
        <v>89301000</v>
      </c>
      <c r="B13002" t="str">
        <f t="shared" si="2846"/>
        <v>72077000</v>
      </c>
      <c r="C13002" t="str">
        <f t="shared" si="2847"/>
        <v>72077001</v>
      </c>
      <c r="D13002" t="str">
        <f t="shared" si="2848"/>
        <v>813</v>
      </c>
      <c r="E13002" t="str">
        <f t="shared" si="2849"/>
        <v>89301152</v>
      </c>
      <c r="F13002" t="str">
        <f t="shared" si="2850"/>
        <v>8257265313</v>
      </c>
      <c r="G13002" s="1">
        <v>44924</v>
      </c>
      <c r="H13002" t="str">
        <f>"91219"</f>
        <v>91219</v>
      </c>
      <c r="I13002">
        <v>1</v>
      </c>
      <c r="J13002">
        <v>342</v>
      </c>
      <c r="K13002">
        <v>0</v>
      </c>
      <c r="L13002">
        <v>266.76</v>
      </c>
    </row>
    <row r="13003" spans="1:12" x14ac:dyDescent="0.25">
      <c r="A13003" t="str">
        <f t="shared" si="2845"/>
        <v>89301000</v>
      </c>
      <c r="B13003" t="str">
        <f t="shared" si="2846"/>
        <v>72077000</v>
      </c>
      <c r="C13003" t="str">
        <f t="shared" si="2847"/>
        <v>72077001</v>
      </c>
      <c r="D13003" t="str">
        <f t="shared" si="2848"/>
        <v>813</v>
      </c>
      <c r="E13003" t="str">
        <f t="shared" si="2849"/>
        <v>89301152</v>
      </c>
      <c r="F13003" t="str">
        <f t="shared" si="2850"/>
        <v>8257265313</v>
      </c>
      <c r="G13003" s="1">
        <v>44924</v>
      </c>
      <c r="H13003" t="str">
        <f>"91219"</f>
        <v>91219</v>
      </c>
      <c r="I13003">
        <v>1</v>
      </c>
      <c r="J13003">
        <v>342</v>
      </c>
      <c r="K13003">
        <v>0</v>
      </c>
      <c r="L13003">
        <v>266.76</v>
      </c>
    </row>
    <row r="13004" spans="1:12" x14ac:dyDescent="0.25">
      <c r="A13004" t="str">
        <f t="shared" si="2845"/>
        <v>89301000</v>
      </c>
      <c r="B13004" t="str">
        <f t="shared" si="2846"/>
        <v>72077000</v>
      </c>
      <c r="C13004" t="str">
        <f t="shared" si="2847"/>
        <v>72077001</v>
      </c>
      <c r="D13004" t="str">
        <f t="shared" si="2848"/>
        <v>813</v>
      </c>
      <c r="E13004" t="str">
        <f t="shared" si="2849"/>
        <v>89301152</v>
      </c>
      <c r="F13004" t="str">
        <f t="shared" si="2850"/>
        <v>8257265313</v>
      </c>
      <c r="G13004" s="1">
        <v>44924</v>
      </c>
      <c r="H13004" t="str">
        <f>"91219"</f>
        <v>91219</v>
      </c>
      <c r="I13004">
        <v>1</v>
      </c>
      <c r="J13004">
        <v>342</v>
      </c>
      <c r="K13004">
        <v>0</v>
      </c>
      <c r="L13004">
        <v>266.76</v>
      </c>
    </row>
    <row r="13005" spans="1:12" x14ac:dyDescent="0.25">
      <c r="A13005" t="str">
        <f t="shared" si="2845"/>
        <v>89301000</v>
      </c>
      <c r="B13005" t="str">
        <f t="shared" si="2846"/>
        <v>72077000</v>
      </c>
      <c r="C13005" t="str">
        <f t="shared" si="2847"/>
        <v>72077001</v>
      </c>
      <c r="D13005" t="str">
        <f t="shared" si="2848"/>
        <v>813</v>
      </c>
      <c r="E13005" t="str">
        <f t="shared" si="2849"/>
        <v>89301152</v>
      </c>
      <c r="F13005" t="str">
        <f t="shared" si="2850"/>
        <v>8257265313</v>
      </c>
      <c r="G13005" s="1">
        <v>44924</v>
      </c>
      <c r="H13005" t="str">
        <f>"91219"</f>
        <v>91219</v>
      </c>
      <c r="I13005">
        <v>1</v>
      </c>
      <c r="J13005">
        <v>342</v>
      </c>
      <c r="K13005">
        <v>0</v>
      </c>
      <c r="L13005">
        <v>266.76</v>
      </c>
    </row>
    <row r="13006" spans="1:12" x14ac:dyDescent="0.25">
      <c r="A13006" t="str">
        <f t="shared" si="2845"/>
        <v>89301000</v>
      </c>
      <c r="B13006" t="str">
        <f t="shared" si="2846"/>
        <v>72077000</v>
      </c>
      <c r="C13006" t="str">
        <f t="shared" si="2847"/>
        <v>72077001</v>
      </c>
      <c r="D13006" t="str">
        <f t="shared" si="2848"/>
        <v>813</v>
      </c>
      <c r="E13006" t="str">
        <f t="shared" si="2849"/>
        <v>89301152</v>
      </c>
      <c r="F13006" t="str">
        <f>"0553143261"</f>
        <v>0553143261</v>
      </c>
      <c r="G13006" s="1">
        <v>44918</v>
      </c>
      <c r="H13006" t="str">
        <f t="shared" ref="H13006:H13012" si="2851">"91465"</f>
        <v>91465</v>
      </c>
      <c r="I13006">
        <v>1</v>
      </c>
      <c r="J13006">
        <v>1404</v>
      </c>
      <c r="K13006">
        <v>0</v>
      </c>
      <c r="L13006">
        <v>1095.1199999999999</v>
      </c>
    </row>
    <row r="13007" spans="1:12" x14ac:dyDescent="0.25">
      <c r="A13007" t="str">
        <f t="shared" si="2845"/>
        <v>89301000</v>
      </c>
      <c r="B13007" t="str">
        <f t="shared" si="2846"/>
        <v>72077000</v>
      </c>
      <c r="C13007" t="str">
        <f t="shared" si="2847"/>
        <v>72077001</v>
      </c>
      <c r="D13007" t="str">
        <f t="shared" si="2848"/>
        <v>813</v>
      </c>
      <c r="E13007" t="str">
        <f t="shared" si="2849"/>
        <v>89301152</v>
      </c>
      <c r="F13007" t="str">
        <f>"0056143648"</f>
        <v>0056143648</v>
      </c>
      <c r="G13007" s="1">
        <v>44923</v>
      </c>
      <c r="H13007" t="str">
        <f t="shared" si="2851"/>
        <v>91465</v>
      </c>
      <c r="I13007">
        <v>1</v>
      </c>
      <c r="J13007">
        <v>1404</v>
      </c>
      <c r="K13007">
        <v>0</v>
      </c>
      <c r="L13007">
        <v>1095.1199999999999</v>
      </c>
    </row>
    <row r="13008" spans="1:12" x14ac:dyDescent="0.25">
      <c r="A13008" t="str">
        <f t="shared" si="2845"/>
        <v>89301000</v>
      </c>
      <c r="B13008" t="str">
        <f t="shared" si="2846"/>
        <v>72077000</v>
      </c>
      <c r="C13008" t="str">
        <f t="shared" si="2847"/>
        <v>72077001</v>
      </c>
      <c r="D13008" t="str">
        <f t="shared" si="2848"/>
        <v>813</v>
      </c>
      <c r="E13008" t="str">
        <f t="shared" si="2849"/>
        <v>89301152</v>
      </c>
      <c r="F13008" t="str">
        <f>"7754115314"</f>
        <v>7754115314</v>
      </c>
      <c r="G13008" s="1">
        <v>44918</v>
      </c>
      <c r="H13008" t="str">
        <f t="shared" si="2851"/>
        <v>91465</v>
      </c>
      <c r="I13008">
        <v>1</v>
      </c>
      <c r="J13008">
        <v>1404</v>
      </c>
      <c r="K13008">
        <v>0</v>
      </c>
      <c r="L13008">
        <v>1095.1199999999999</v>
      </c>
    </row>
    <row r="13009" spans="1:12" x14ac:dyDescent="0.25">
      <c r="A13009" t="str">
        <f t="shared" si="2845"/>
        <v>89301000</v>
      </c>
      <c r="B13009" t="str">
        <f t="shared" si="2846"/>
        <v>72077000</v>
      </c>
      <c r="C13009" t="str">
        <f t="shared" si="2847"/>
        <v>72077001</v>
      </c>
      <c r="D13009" t="str">
        <f t="shared" si="2848"/>
        <v>813</v>
      </c>
      <c r="E13009" t="str">
        <f t="shared" si="2849"/>
        <v>89301152</v>
      </c>
      <c r="F13009" t="str">
        <f>"0161305815"</f>
        <v>0161305815</v>
      </c>
      <c r="G13009" s="1">
        <v>44918</v>
      </c>
      <c r="H13009" t="str">
        <f t="shared" si="2851"/>
        <v>91465</v>
      </c>
      <c r="I13009">
        <v>1</v>
      </c>
      <c r="J13009">
        <v>1404</v>
      </c>
      <c r="K13009">
        <v>0</v>
      </c>
      <c r="L13009">
        <v>1095.1199999999999</v>
      </c>
    </row>
    <row r="13010" spans="1:12" x14ac:dyDescent="0.25">
      <c r="A13010" t="str">
        <f t="shared" si="2845"/>
        <v>89301000</v>
      </c>
      <c r="B13010" t="str">
        <f t="shared" si="2846"/>
        <v>72077000</v>
      </c>
      <c r="C13010" t="str">
        <f t="shared" si="2847"/>
        <v>72077001</v>
      </c>
      <c r="D13010" t="str">
        <f t="shared" si="2848"/>
        <v>813</v>
      </c>
      <c r="E13010" t="str">
        <f t="shared" si="2849"/>
        <v>89301152</v>
      </c>
      <c r="F13010" t="str">
        <f>"8161015148"</f>
        <v>8161015148</v>
      </c>
      <c r="G13010" s="1">
        <v>44923</v>
      </c>
      <c r="H13010" t="str">
        <f t="shared" si="2851"/>
        <v>91465</v>
      </c>
      <c r="I13010">
        <v>1</v>
      </c>
      <c r="J13010">
        <v>1404</v>
      </c>
      <c r="K13010">
        <v>0</v>
      </c>
      <c r="L13010">
        <v>1095.1199999999999</v>
      </c>
    </row>
    <row r="13011" spans="1:12" x14ac:dyDescent="0.25">
      <c r="A13011" t="str">
        <f t="shared" si="2845"/>
        <v>89301000</v>
      </c>
      <c r="B13011" t="str">
        <f t="shared" si="2846"/>
        <v>72077000</v>
      </c>
      <c r="C13011" t="str">
        <f t="shared" si="2847"/>
        <v>72077001</v>
      </c>
      <c r="D13011" t="str">
        <f t="shared" si="2848"/>
        <v>813</v>
      </c>
      <c r="E13011" t="str">
        <f t="shared" si="2849"/>
        <v>89301152</v>
      </c>
      <c r="F13011" t="str">
        <f>"9512256160"</f>
        <v>9512256160</v>
      </c>
      <c r="G13011" s="1">
        <v>44923</v>
      </c>
      <c r="H13011" t="str">
        <f t="shared" si="2851"/>
        <v>91465</v>
      </c>
      <c r="I13011">
        <v>1</v>
      </c>
      <c r="J13011">
        <v>1404</v>
      </c>
      <c r="K13011">
        <v>0</v>
      </c>
      <c r="L13011">
        <v>1095.1199999999999</v>
      </c>
    </row>
    <row r="13012" spans="1:12" x14ac:dyDescent="0.25">
      <c r="A13012" t="str">
        <f t="shared" si="2845"/>
        <v>89301000</v>
      </c>
      <c r="B13012" t="str">
        <f t="shared" si="2846"/>
        <v>72077000</v>
      </c>
      <c r="C13012" t="str">
        <f t="shared" si="2847"/>
        <v>72077001</v>
      </c>
      <c r="D13012" t="str">
        <f t="shared" si="2848"/>
        <v>813</v>
      </c>
      <c r="E13012" t="str">
        <f t="shared" si="2849"/>
        <v>89301152</v>
      </c>
      <c r="F13012" t="str">
        <f>"8257165367"</f>
        <v>8257165367</v>
      </c>
      <c r="G13012" s="1">
        <v>44923</v>
      </c>
      <c r="H13012" t="str">
        <f t="shared" si="2851"/>
        <v>91465</v>
      </c>
      <c r="I13012">
        <v>1</v>
      </c>
      <c r="J13012">
        <v>1404</v>
      </c>
      <c r="K13012">
        <v>0</v>
      </c>
      <c r="L13012">
        <v>1095.1199999999999</v>
      </c>
    </row>
    <row r="13013" spans="1:12" x14ac:dyDescent="0.25">
      <c r="A13013" t="str">
        <f t="shared" si="2845"/>
        <v>89301000</v>
      </c>
      <c r="B13013" t="str">
        <f t="shared" ref="B13013:B13024" si="2852">"88805000"</f>
        <v>88805000</v>
      </c>
      <c r="C13013" t="str">
        <f t="shared" ref="C13013:C13024" si="2853">"88805014"</f>
        <v>88805014</v>
      </c>
      <c r="D13013" t="str">
        <f t="shared" ref="D13013:D13024" si="2854">"816"</f>
        <v>816</v>
      </c>
      <c r="E13013" t="str">
        <f t="shared" ref="E13013:E13024" si="2855">"89301282"</f>
        <v>89301282</v>
      </c>
      <c r="F13013" t="str">
        <f>"5461211481"</f>
        <v>5461211481</v>
      </c>
      <c r="G13013" s="1">
        <v>44895</v>
      </c>
      <c r="H13013" t="str">
        <f>"94345"</f>
        <v>94345</v>
      </c>
      <c r="I13013">
        <v>1</v>
      </c>
      <c r="J13013">
        <v>4625</v>
      </c>
      <c r="K13013">
        <v>0</v>
      </c>
      <c r="L13013">
        <v>3931.25</v>
      </c>
    </row>
    <row r="13014" spans="1:12" x14ac:dyDescent="0.25">
      <c r="A13014" t="str">
        <f t="shared" si="2845"/>
        <v>89301000</v>
      </c>
      <c r="B13014" t="str">
        <f t="shared" si="2852"/>
        <v>88805000</v>
      </c>
      <c r="C13014" t="str">
        <f t="shared" si="2853"/>
        <v>88805014</v>
      </c>
      <c r="D13014" t="str">
        <f t="shared" si="2854"/>
        <v>816</v>
      </c>
      <c r="E13014" t="str">
        <f t="shared" si="2855"/>
        <v>89301282</v>
      </c>
      <c r="F13014" t="str">
        <f>"5461211481"</f>
        <v>5461211481</v>
      </c>
      <c r="G13014" s="1">
        <v>44895</v>
      </c>
      <c r="H13014" t="str">
        <f>"94948"</f>
        <v>94948</v>
      </c>
      <c r="I13014">
        <v>1</v>
      </c>
      <c r="J13014">
        <v>0</v>
      </c>
      <c r="K13014">
        <v>0</v>
      </c>
      <c r="L13014">
        <v>0</v>
      </c>
    </row>
    <row r="13015" spans="1:12" x14ac:dyDescent="0.25">
      <c r="A13015" t="str">
        <f t="shared" si="2845"/>
        <v>89301000</v>
      </c>
      <c r="B13015" t="str">
        <f t="shared" si="2852"/>
        <v>88805000</v>
      </c>
      <c r="C13015" t="str">
        <f t="shared" si="2853"/>
        <v>88805014</v>
      </c>
      <c r="D13015" t="str">
        <f t="shared" si="2854"/>
        <v>816</v>
      </c>
      <c r="E13015" t="str">
        <f t="shared" si="2855"/>
        <v>89301282</v>
      </c>
      <c r="F13015" t="str">
        <f>"5504130863"</f>
        <v>5504130863</v>
      </c>
      <c r="G13015" s="1">
        <v>44895</v>
      </c>
      <c r="H13015" t="str">
        <f>"94345"</f>
        <v>94345</v>
      </c>
      <c r="I13015">
        <v>1</v>
      </c>
      <c r="J13015">
        <v>4625</v>
      </c>
      <c r="K13015">
        <v>0</v>
      </c>
      <c r="L13015">
        <v>3931.25</v>
      </c>
    </row>
    <row r="13016" spans="1:12" x14ac:dyDescent="0.25">
      <c r="A13016" t="str">
        <f t="shared" si="2845"/>
        <v>89301000</v>
      </c>
      <c r="B13016" t="str">
        <f t="shared" si="2852"/>
        <v>88805000</v>
      </c>
      <c r="C13016" t="str">
        <f t="shared" si="2853"/>
        <v>88805014</v>
      </c>
      <c r="D13016" t="str">
        <f t="shared" si="2854"/>
        <v>816</v>
      </c>
      <c r="E13016" t="str">
        <f t="shared" si="2855"/>
        <v>89301282</v>
      </c>
      <c r="F13016" t="str">
        <f>"5504130863"</f>
        <v>5504130863</v>
      </c>
      <c r="G13016" s="1">
        <v>44895</v>
      </c>
      <c r="H13016" t="str">
        <f>"94948"</f>
        <v>94948</v>
      </c>
      <c r="I13016">
        <v>1</v>
      </c>
      <c r="J13016">
        <v>0</v>
      </c>
      <c r="K13016">
        <v>0</v>
      </c>
      <c r="L13016">
        <v>0</v>
      </c>
    </row>
    <row r="13017" spans="1:12" x14ac:dyDescent="0.25">
      <c r="A13017" t="str">
        <f t="shared" si="2845"/>
        <v>89301000</v>
      </c>
      <c r="B13017" t="str">
        <f t="shared" si="2852"/>
        <v>88805000</v>
      </c>
      <c r="C13017" t="str">
        <f t="shared" si="2853"/>
        <v>88805014</v>
      </c>
      <c r="D13017" t="str">
        <f t="shared" si="2854"/>
        <v>816</v>
      </c>
      <c r="E13017" t="str">
        <f t="shared" si="2855"/>
        <v>89301282</v>
      </c>
      <c r="F13017" t="str">
        <f>"9404205712"</f>
        <v>9404205712</v>
      </c>
      <c r="G13017" s="1">
        <v>44907</v>
      </c>
      <c r="H13017" t="str">
        <f>"94331"</f>
        <v>94331</v>
      </c>
      <c r="I13017">
        <v>2</v>
      </c>
      <c r="J13017">
        <v>15556</v>
      </c>
      <c r="K13017">
        <v>0</v>
      </c>
      <c r="L13017">
        <v>13222.6</v>
      </c>
    </row>
    <row r="13018" spans="1:12" x14ac:dyDescent="0.25">
      <c r="A13018" t="str">
        <f t="shared" si="2845"/>
        <v>89301000</v>
      </c>
      <c r="B13018" t="str">
        <f t="shared" si="2852"/>
        <v>88805000</v>
      </c>
      <c r="C13018" t="str">
        <f t="shared" si="2853"/>
        <v>88805014</v>
      </c>
      <c r="D13018" t="str">
        <f t="shared" si="2854"/>
        <v>816</v>
      </c>
      <c r="E13018" t="str">
        <f t="shared" si="2855"/>
        <v>89301282</v>
      </c>
      <c r="F13018" t="str">
        <f>"9404205712"</f>
        <v>9404205712</v>
      </c>
      <c r="G13018" s="1">
        <v>44907</v>
      </c>
      <c r="H13018" t="str">
        <f>"94948"</f>
        <v>94948</v>
      </c>
      <c r="I13018">
        <v>1</v>
      </c>
      <c r="J13018">
        <v>0</v>
      </c>
      <c r="K13018">
        <v>0</v>
      </c>
      <c r="L13018">
        <v>0</v>
      </c>
    </row>
    <row r="13019" spans="1:12" x14ac:dyDescent="0.25">
      <c r="A13019" t="str">
        <f t="shared" si="2845"/>
        <v>89301000</v>
      </c>
      <c r="B13019" t="str">
        <f t="shared" si="2852"/>
        <v>88805000</v>
      </c>
      <c r="C13019" t="str">
        <f t="shared" si="2853"/>
        <v>88805014</v>
      </c>
      <c r="D13019" t="str">
        <f t="shared" si="2854"/>
        <v>816</v>
      </c>
      <c r="E13019" t="str">
        <f t="shared" si="2855"/>
        <v>89301282</v>
      </c>
      <c r="F13019" t="str">
        <f>"435329434"</f>
        <v>435329434</v>
      </c>
      <c r="G13019" s="1">
        <v>44915</v>
      </c>
      <c r="H13019" t="str">
        <f>"94345"</f>
        <v>94345</v>
      </c>
      <c r="I13019">
        <v>1</v>
      </c>
      <c r="J13019">
        <v>4625</v>
      </c>
      <c r="K13019">
        <v>0</v>
      </c>
      <c r="L13019">
        <v>3931.25</v>
      </c>
    </row>
    <row r="13020" spans="1:12" x14ac:dyDescent="0.25">
      <c r="A13020" t="str">
        <f t="shared" si="2845"/>
        <v>89301000</v>
      </c>
      <c r="B13020" t="str">
        <f t="shared" si="2852"/>
        <v>88805000</v>
      </c>
      <c r="C13020" t="str">
        <f t="shared" si="2853"/>
        <v>88805014</v>
      </c>
      <c r="D13020" t="str">
        <f t="shared" si="2854"/>
        <v>816</v>
      </c>
      <c r="E13020" t="str">
        <f t="shared" si="2855"/>
        <v>89301282</v>
      </c>
      <c r="F13020" t="str">
        <f>"435329434"</f>
        <v>435329434</v>
      </c>
      <c r="G13020" s="1">
        <v>44915</v>
      </c>
      <c r="H13020" t="str">
        <f>"94948"</f>
        <v>94948</v>
      </c>
      <c r="I13020">
        <v>1</v>
      </c>
      <c r="J13020">
        <v>0</v>
      </c>
      <c r="K13020">
        <v>0</v>
      </c>
      <c r="L13020">
        <v>0</v>
      </c>
    </row>
    <row r="13021" spans="1:12" x14ac:dyDescent="0.25">
      <c r="A13021" t="str">
        <f t="shared" si="2845"/>
        <v>89301000</v>
      </c>
      <c r="B13021" t="str">
        <f t="shared" si="2852"/>
        <v>88805000</v>
      </c>
      <c r="C13021" t="str">
        <f t="shared" si="2853"/>
        <v>88805014</v>
      </c>
      <c r="D13021" t="str">
        <f t="shared" si="2854"/>
        <v>816</v>
      </c>
      <c r="E13021" t="str">
        <f t="shared" si="2855"/>
        <v>89301282</v>
      </c>
      <c r="F13021" t="str">
        <f>"7605035757"</f>
        <v>7605035757</v>
      </c>
      <c r="G13021" s="1">
        <v>44904</v>
      </c>
      <c r="H13021" t="str">
        <f>"94345"</f>
        <v>94345</v>
      </c>
      <c r="I13021">
        <v>1</v>
      </c>
      <c r="J13021">
        <v>4625</v>
      </c>
      <c r="K13021">
        <v>0</v>
      </c>
      <c r="L13021">
        <v>3931.25</v>
      </c>
    </row>
    <row r="13022" spans="1:12" x14ac:dyDescent="0.25">
      <c r="A13022" t="str">
        <f t="shared" si="2845"/>
        <v>89301000</v>
      </c>
      <c r="B13022" t="str">
        <f t="shared" si="2852"/>
        <v>88805000</v>
      </c>
      <c r="C13022" t="str">
        <f t="shared" si="2853"/>
        <v>88805014</v>
      </c>
      <c r="D13022" t="str">
        <f t="shared" si="2854"/>
        <v>816</v>
      </c>
      <c r="E13022" t="str">
        <f t="shared" si="2855"/>
        <v>89301282</v>
      </c>
      <c r="F13022" t="str">
        <f>"7605035757"</f>
        <v>7605035757</v>
      </c>
      <c r="G13022" s="1">
        <v>44904</v>
      </c>
      <c r="H13022" t="str">
        <f>"94948"</f>
        <v>94948</v>
      </c>
      <c r="I13022">
        <v>1</v>
      </c>
      <c r="J13022">
        <v>0</v>
      </c>
      <c r="K13022">
        <v>0</v>
      </c>
      <c r="L13022">
        <v>0</v>
      </c>
    </row>
    <row r="13023" spans="1:12" x14ac:dyDescent="0.25">
      <c r="A13023" t="str">
        <f t="shared" si="2845"/>
        <v>89301000</v>
      </c>
      <c r="B13023" t="str">
        <f t="shared" si="2852"/>
        <v>88805000</v>
      </c>
      <c r="C13023" t="str">
        <f t="shared" si="2853"/>
        <v>88805014</v>
      </c>
      <c r="D13023" t="str">
        <f t="shared" si="2854"/>
        <v>816</v>
      </c>
      <c r="E13023" t="str">
        <f t="shared" si="2855"/>
        <v>89301282</v>
      </c>
      <c r="F13023" t="str">
        <f>"8060223787"</f>
        <v>8060223787</v>
      </c>
      <c r="G13023" s="1">
        <v>44911</v>
      </c>
      <c r="H13023" t="str">
        <f>"94345"</f>
        <v>94345</v>
      </c>
      <c r="I13023">
        <v>4</v>
      </c>
      <c r="J13023">
        <v>18500</v>
      </c>
      <c r="K13023">
        <v>0</v>
      </c>
      <c r="L13023">
        <v>15725</v>
      </c>
    </row>
    <row r="13024" spans="1:12" x14ac:dyDescent="0.25">
      <c r="A13024" t="str">
        <f t="shared" si="2845"/>
        <v>89301000</v>
      </c>
      <c r="B13024" t="str">
        <f t="shared" si="2852"/>
        <v>88805000</v>
      </c>
      <c r="C13024" t="str">
        <f t="shared" si="2853"/>
        <v>88805014</v>
      </c>
      <c r="D13024" t="str">
        <f t="shared" si="2854"/>
        <v>816</v>
      </c>
      <c r="E13024" t="str">
        <f t="shared" si="2855"/>
        <v>89301282</v>
      </c>
      <c r="F13024" t="str">
        <f>"8060223787"</f>
        <v>8060223787</v>
      </c>
      <c r="G13024" s="1">
        <v>44911</v>
      </c>
      <c r="H13024" t="str">
        <f>"94948"</f>
        <v>94948</v>
      </c>
      <c r="I13024">
        <v>1</v>
      </c>
      <c r="J13024">
        <v>0</v>
      </c>
      <c r="K13024">
        <v>0</v>
      </c>
      <c r="L13024">
        <v>0</v>
      </c>
    </row>
    <row r="13025" spans="1:12" x14ac:dyDescent="0.25">
      <c r="A13025" t="str">
        <f t="shared" si="2845"/>
        <v>89301000</v>
      </c>
      <c r="B13025" t="str">
        <f>"89383000"</f>
        <v>89383000</v>
      </c>
      <c r="C13025" t="str">
        <f>"89383002"</f>
        <v>89383002</v>
      </c>
      <c r="D13025" t="str">
        <f>"809"</f>
        <v>809</v>
      </c>
      <c r="E13025" t="str">
        <f>"89301212"</f>
        <v>89301212</v>
      </c>
      <c r="F13025" t="str">
        <f>"6253210722"</f>
        <v>6253210722</v>
      </c>
      <c r="G13025" s="1">
        <v>44903</v>
      </c>
      <c r="H13025" t="str">
        <f>"89513"</f>
        <v>89513</v>
      </c>
      <c r="I13025">
        <v>1</v>
      </c>
      <c r="J13025">
        <v>371</v>
      </c>
      <c r="K13025">
        <v>0</v>
      </c>
      <c r="L13025">
        <v>519.4</v>
      </c>
    </row>
    <row r="13026" spans="1:12" x14ac:dyDescent="0.25">
      <c r="A13026" t="str">
        <f t="shared" si="2845"/>
        <v>89301000</v>
      </c>
      <c r="B13026" t="str">
        <f>"89383000"</f>
        <v>89383000</v>
      </c>
      <c r="C13026" t="str">
        <f>"89383002"</f>
        <v>89383002</v>
      </c>
      <c r="D13026" t="str">
        <f>"809"</f>
        <v>809</v>
      </c>
      <c r="E13026" t="str">
        <f>"89301212"</f>
        <v>89301212</v>
      </c>
      <c r="F13026" t="str">
        <f>"6253210722"</f>
        <v>6253210722</v>
      </c>
      <c r="G13026" s="1">
        <v>44903</v>
      </c>
      <c r="H13026" t="str">
        <f>"89514"</f>
        <v>89514</v>
      </c>
      <c r="I13026">
        <v>1</v>
      </c>
      <c r="J13026">
        <v>371</v>
      </c>
      <c r="K13026">
        <v>0</v>
      </c>
      <c r="L13026">
        <v>519.4</v>
      </c>
    </row>
    <row r="13027" spans="1:12" x14ac:dyDescent="0.25">
      <c r="A13027" t="str">
        <f t="shared" si="2845"/>
        <v>89301000</v>
      </c>
      <c r="B13027" t="str">
        <f t="shared" ref="B13027:B13058" si="2856">"06539000"</f>
        <v>06539000</v>
      </c>
      <c r="C13027" t="str">
        <f>"06539001"</f>
        <v>06539001</v>
      </c>
      <c r="D13027" t="str">
        <f>"801"</f>
        <v>801</v>
      </c>
      <c r="E13027" t="str">
        <f t="shared" ref="E13027:E13058" si="2857">"89301171"</f>
        <v>89301171</v>
      </c>
      <c r="F13027" t="str">
        <f t="shared" ref="F13027:F13051" si="2858">"5404080220"</f>
        <v>5404080220</v>
      </c>
      <c r="G13027" s="1">
        <v>44924</v>
      </c>
      <c r="H13027" t="str">
        <f>"81329"</f>
        <v>81329</v>
      </c>
      <c r="I13027">
        <v>1</v>
      </c>
      <c r="J13027">
        <v>16</v>
      </c>
      <c r="K13027">
        <v>0</v>
      </c>
      <c r="L13027">
        <v>12.48</v>
      </c>
    </row>
    <row r="13028" spans="1:12" x14ac:dyDescent="0.25">
      <c r="A13028" t="str">
        <f t="shared" si="2845"/>
        <v>89301000</v>
      </c>
      <c r="B13028" t="str">
        <f t="shared" si="2856"/>
        <v>06539000</v>
      </c>
      <c r="C13028" t="str">
        <f>"06539001"</f>
        <v>06539001</v>
      </c>
      <c r="D13028" t="str">
        <f>"801"</f>
        <v>801</v>
      </c>
      <c r="E13028" t="str">
        <f t="shared" si="2857"/>
        <v>89301171</v>
      </c>
      <c r="F13028" t="str">
        <f t="shared" si="2858"/>
        <v>5404080220</v>
      </c>
      <c r="G13028" s="1">
        <v>44924</v>
      </c>
      <c r="H13028" t="str">
        <f>"81331"</f>
        <v>81331</v>
      </c>
      <c r="I13028">
        <v>1</v>
      </c>
      <c r="J13028">
        <v>193</v>
      </c>
      <c r="K13028">
        <v>0</v>
      </c>
      <c r="L13028">
        <v>150.54</v>
      </c>
    </row>
    <row r="13029" spans="1:12" x14ac:dyDescent="0.25">
      <c r="A13029" t="str">
        <f t="shared" si="2845"/>
        <v>89301000</v>
      </c>
      <c r="B13029" t="str">
        <f t="shared" si="2856"/>
        <v>06539000</v>
      </c>
      <c r="C13029" t="str">
        <f t="shared" ref="C13029:C13036" si="2859">"06539002"</f>
        <v>06539002</v>
      </c>
      <c r="D13029" t="str">
        <f t="shared" ref="D13029:D13036" si="2860">"802"</f>
        <v>802</v>
      </c>
      <c r="E13029" t="str">
        <f t="shared" si="2857"/>
        <v>89301171</v>
      </c>
      <c r="F13029" t="str">
        <f t="shared" si="2858"/>
        <v>5404080220</v>
      </c>
      <c r="G13029" s="1">
        <v>44924</v>
      </c>
      <c r="H13029" t="str">
        <f t="shared" ref="H13029:H13036" si="2861">"82097"</f>
        <v>82097</v>
      </c>
      <c r="I13029">
        <v>1</v>
      </c>
      <c r="J13029">
        <v>380</v>
      </c>
      <c r="K13029">
        <v>0</v>
      </c>
      <c r="L13029">
        <v>345.8</v>
      </c>
    </row>
    <row r="13030" spans="1:12" x14ac:dyDescent="0.25">
      <c r="A13030" t="str">
        <f t="shared" si="2845"/>
        <v>89301000</v>
      </c>
      <c r="B13030" t="str">
        <f t="shared" si="2856"/>
        <v>06539000</v>
      </c>
      <c r="C13030" t="str">
        <f t="shared" si="2859"/>
        <v>06539002</v>
      </c>
      <c r="D13030" t="str">
        <f t="shared" si="2860"/>
        <v>802</v>
      </c>
      <c r="E13030" t="str">
        <f t="shared" si="2857"/>
        <v>89301171</v>
      </c>
      <c r="F13030" t="str">
        <f t="shared" si="2858"/>
        <v>5404080220</v>
      </c>
      <c r="G13030" s="1">
        <v>44924</v>
      </c>
      <c r="H13030" t="str">
        <f t="shared" si="2861"/>
        <v>82097</v>
      </c>
      <c r="I13030">
        <v>1</v>
      </c>
      <c r="J13030">
        <v>380</v>
      </c>
      <c r="K13030">
        <v>0</v>
      </c>
      <c r="L13030">
        <v>345.8</v>
      </c>
    </row>
    <row r="13031" spans="1:12" x14ac:dyDescent="0.25">
      <c r="A13031" t="str">
        <f t="shared" si="2845"/>
        <v>89301000</v>
      </c>
      <c r="B13031" t="str">
        <f t="shared" si="2856"/>
        <v>06539000</v>
      </c>
      <c r="C13031" t="str">
        <f t="shared" si="2859"/>
        <v>06539002</v>
      </c>
      <c r="D13031" t="str">
        <f t="shared" si="2860"/>
        <v>802</v>
      </c>
      <c r="E13031" t="str">
        <f t="shared" si="2857"/>
        <v>89301171</v>
      </c>
      <c r="F13031" t="str">
        <f t="shared" si="2858"/>
        <v>5404080220</v>
      </c>
      <c r="G13031" s="1">
        <v>44924</v>
      </c>
      <c r="H13031" t="str">
        <f t="shared" si="2861"/>
        <v>82097</v>
      </c>
      <c r="I13031">
        <v>1</v>
      </c>
      <c r="J13031">
        <v>380</v>
      </c>
      <c r="K13031">
        <v>0</v>
      </c>
      <c r="L13031">
        <v>345.8</v>
      </c>
    </row>
    <row r="13032" spans="1:12" x14ac:dyDescent="0.25">
      <c r="A13032" t="str">
        <f t="shared" si="2845"/>
        <v>89301000</v>
      </c>
      <c r="B13032" t="str">
        <f t="shared" si="2856"/>
        <v>06539000</v>
      </c>
      <c r="C13032" t="str">
        <f t="shared" si="2859"/>
        <v>06539002</v>
      </c>
      <c r="D13032" t="str">
        <f t="shared" si="2860"/>
        <v>802</v>
      </c>
      <c r="E13032" t="str">
        <f t="shared" si="2857"/>
        <v>89301171</v>
      </c>
      <c r="F13032" t="str">
        <f t="shared" si="2858"/>
        <v>5404080220</v>
      </c>
      <c r="G13032" s="1">
        <v>44924</v>
      </c>
      <c r="H13032" t="str">
        <f t="shared" si="2861"/>
        <v>82097</v>
      </c>
      <c r="I13032">
        <v>1</v>
      </c>
      <c r="J13032">
        <v>380</v>
      </c>
      <c r="K13032">
        <v>0</v>
      </c>
      <c r="L13032">
        <v>345.8</v>
      </c>
    </row>
    <row r="13033" spans="1:12" x14ac:dyDescent="0.25">
      <c r="A13033" t="str">
        <f t="shared" si="2845"/>
        <v>89301000</v>
      </c>
      <c r="B13033" t="str">
        <f t="shared" si="2856"/>
        <v>06539000</v>
      </c>
      <c r="C13033" t="str">
        <f t="shared" si="2859"/>
        <v>06539002</v>
      </c>
      <c r="D13033" t="str">
        <f t="shared" si="2860"/>
        <v>802</v>
      </c>
      <c r="E13033" t="str">
        <f t="shared" si="2857"/>
        <v>89301171</v>
      </c>
      <c r="F13033" t="str">
        <f t="shared" si="2858"/>
        <v>5404080220</v>
      </c>
      <c r="G13033" s="1">
        <v>44924</v>
      </c>
      <c r="H13033" t="str">
        <f t="shared" si="2861"/>
        <v>82097</v>
      </c>
      <c r="I13033">
        <v>1</v>
      </c>
      <c r="J13033">
        <v>380</v>
      </c>
      <c r="K13033">
        <v>0</v>
      </c>
      <c r="L13033">
        <v>345.8</v>
      </c>
    </row>
    <row r="13034" spans="1:12" x14ac:dyDescent="0.25">
      <c r="A13034" t="str">
        <f t="shared" si="2845"/>
        <v>89301000</v>
      </c>
      <c r="B13034" t="str">
        <f t="shared" si="2856"/>
        <v>06539000</v>
      </c>
      <c r="C13034" t="str">
        <f t="shared" si="2859"/>
        <v>06539002</v>
      </c>
      <c r="D13034" t="str">
        <f t="shared" si="2860"/>
        <v>802</v>
      </c>
      <c r="E13034" t="str">
        <f t="shared" si="2857"/>
        <v>89301171</v>
      </c>
      <c r="F13034" t="str">
        <f t="shared" si="2858"/>
        <v>5404080220</v>
      </c>
      <c r="G13034" s="1">
        <v>44924</v>
      </c>
      <c r="H13034" t="str">
        <f t="shared" si="2861"/>
        <v>82097</v>
      </c>
      <c r="I13034">
        <v>1</v>
      </c>
      <c r="J13034">
        <v>380</v>
      </c>
      <c r="K13034">
        <v>0</v>
      </c>
      <c r="L13034">
        <v>345.8</v>
      </c>
    </row>
    <row r="13035" spans="1:12" x14ac:dyDescent="0.25">
      <c r="A13035" t="str">
        <f t="shared" si="2845"/>
        <v>89301000</v>
      </c>
      <c r="B13035" t="str">
        <f t="shared" si="2856"/>
        <v>06539000</v>
      </c>
      <c r="C13035" t="str">
        <f t="shared" si="2859"/>
        <v>06539002</v>
      </c>
      <c r="D13035" t="str">
        <f t="shared" si="2860"/>
        <v>802</v>
      </c>
      <c r="E13035" t="str">
        <f t="shared" si="2857"/>
        <v>89301171</v>
      </c>
      <c r="F13035" t="str">
        <f t="shared" si="2858"/>
        <v>5404080220</v>
      </c>
      <c r="G13035" s="1">
        <v>44924</v>
      </c>
      <c r="H13035" t="str">
        <f t="shared" si="2861"/>
        <v>82097</v>
      </c>
      <c r="I13035">
        <v>1</v>
      </c>
      <c r="J13035">
        <v>380</v>
      </c>
      <c r="K13035">
        <v>0</v>
      </c>
      <c r="L13035">
        <v>345.8</v>
      </c>
    </row>
    <row r="13036" spans="1:12" x14ac:dyDescent="0.25">
      <c r="A13036" t="str">
        <f t="shared" si="2845"/>
        <v>89301000</v>
      </c>
      <c r="B13036" t="str">
        <f t="shared" si="2856"/>
        <v>06539000</v>
      </c>
      <c r="C13036" t="str">
        <f t="shared" si="2859"/>
        <v>06539002</v>
      </c>
      <c r="D13036" t="str">
        <f t="shared" si="2860"/>
        <v>802</v>
      </c>
      <c r="E13036" t="str">
        <f t="shared" si="2857"/>
        <v>89301171</v>
      </c>
      <c r="F13036" t="str">
        <f t="shared" si="2858"/>
        <v>5404080220</v>
      </c>
      <c r="G13036" s="1">
        <v>44924</v>
      </c>
      <c r="H13036" t="str">
        <f t="shared" si="2861"/>
        <v>82097</v>
      </c>
      <c r="I13036">
        <v>1</v>
      </c>
      <c r="J13036">
        <v>380</v>
      </c>
      <c r="K13036">
        <v>0</v>
      </c>
      <c r="L13036">
        <v>345.8</v>
      </c>
    </row>
    <row r="13037" spans="1:12" x14ac:dyDescent="0.25">
      <c r="A13037" t="str">
        <f t="shared" si="2845"/>
        <v>89301000</v>
      </c>
      <c r="B13037" t="str">
        <f t="shared" si="2856"/>
        <v>06539000</v>
      </c>
      <c r="C13037" t="str">
        <f t="shared" ref="C13037:C13051" si="2862">"06539003"</f>
        <v>06539003</v>
      </c>
      <c r="D13037" t="str">
        <f t="shared" ref="D13037:D13051" si="2863">"813"</f>
        <v>813</v>
      </c>
      <c r="E13037" t="str">
        <f t="shared" si="2857"/>
        <v>89301171</v>
      </c>
      <c r="F13037" t="str">
        <f t="shared" si="2858"/>
        <v>5404080220</v>
      </c>
      <c r="G13037" s="1">
        <v>44924</v>
      </c>
      <c r="H13037" t="str">
        <f>"91197"</f>
        <v>91197</v>
      </c>
      <c r="I13037">
        <v>1</v>
      </c>
      <c r="J13037">
        <v>1046</v>
      </c>
      <c r="K13037">
        <v>0</v>
      </c>
      <c r="L13037">
        <v>815.88</v>
      </c>
    </row>
    <row r="13038" spans="1:12" x14ac:dyDescent="0.25">
      <c r="A13038" t="str">
        <f t="shared" si="2845"/>
        <v>89301000</v>
      </c>
      <c r="B13038" t="str">
        <f t="shared" si="2856"/>
        <v>06539000</v>
      </c>
      <c r="C13038" t="str">
        <f t="shared" si="2862"/>
        <v>06539003</v>
      </c>
      <c r="D13038" t="str">
        <f t="shared" si="2863"/>
        <v>813</v>
      </c>
      <c r="E13038" t="str">
        <f t="shared" si="2857"/>
        <v>89301171</v>
      </c>
      <c r="F13038" t="str">
        <f t="shared" si="2858"/>
        <v>5404080220</v>
      </c>
      <c r="G13038" s="1">
        <v>44926</v>
      </c>
      <c r="H13038" t="str">
        <f>"91197"</f>
        <v>91197</v>
      </c>
      <c r="I13038">
        <v>1</v>
      </c>
      <c r="J13038">
        <v>1046</v>
      </c>
      <c r="K13038">
        <v>0</v>
      </c>
      <c r="L13038">
        <v>815.88</v>
      </c>
    </row>
    <row r="13039" spans="1:12" x14ac:dyDescent="0.25">
      <c r="A13039" t="str">
        <f t="shared" si="2845"/>
        <v>89301000</v>
      </c>
      <c r="B13039" t="str">
        <f t="shared" si="2856"/>
        <v>06539000</v>
      </c>
      <c r="C13039" t="str">
        <f t="shared" si="2862"/>
        <v>06539003</v>
      </c>
      <c r="D13039" t="str">
        <f t="shared" si="2863"/>
        <v>813</v>
      </c>
      <c r="E13039" t="str">
        <f t="shared" si="2857"/>
        <v>89301171</v>
      </c>
      <c r="F13039" t="str">
        <f t="shared" si="2858"/>
        <v>5404080220</v>
      </c>
      <c r="G13039" s="1">
        <v>44926</v>
      </c>
      <c r="H13039" t="str">
        <f>"91197"</f>
        <v>91197</v>
      </c>
      <c r="I13039">
        <v>1</v>
      </c>
      <c r="J13039">
        <v>1046</v>
      </c>
      <c r="K13039">
        <v>0</v>
      </c>
      <c r="L13039">
        <v>815.88</v>
      </c>
    </row>
    <row r="13040" spans="1:12" x14ac:dyDescent="0.25">
      <c r="A13040" t="str">
        <f t="shared" si="2845"/>
        <v>89301000</v>
      </c>
      <c r="B13040" t="str">
        <f t="shared" si="2856"/>
        <v>06539000</v>
      </c>
      <c r="C13040" t="str">
        <f t="shared" si="2862"/>
        <v>06539003</v>
      </c>
      <c r="D13040" t="str">
        <f t="shared" si="2863"/>
        <v>813</v>
      </c>
      <c r="E13040" t="str">
        <f t="shared" si="2857"/>
        <v>89301171</v>
      </c>
      <c r="F13040" t="str">
        <f t="shared" si="2858"/>
        <v>5404080220</v>
      </c>
      <c r="G13040" s="1">
        <v>44925</v>
      </c>
      <c r="H13040" t="str">
        <f>"91197"</f>
        <v>91197</v>
      </c>
      <c r="I13040">
        <v>1</v>
      </c>
      <c r="J13040">
        <v>1046</v>
      </c>
      <c r="K13040">
        <v>0</v>
      </c>
      <c r="L13040">
        <v>815.88</v>
      </c>
    </row>
    <row r="13041" spans="1:12" x14ac:dyDescent="0.25">
      <c r="A13041" t="str">
        <f t="shared" si="2845"/>
        <v>89301000</v>
      </c>
      <c r="B13041" t="str">
        <f t="shared" si="2856"/>
        <v>06539000</v>
      </c>
      <c r="C13041" t="str">
        <f t="shared" si="2862"/>
        <v>06539003</v>
      </c>
      <c r="D13041" t="str">
        <f t="shared" si="2863"/>
        <v>813</v>
      </c>
      <c r="E13041" t="str">
        <f t="shared" si="2857"/>
        <v>89301171</v>
      </c>
      <c r="F13041" t="str">
        <f t="shared" si="2858"/>
        <v>5404080220</v>
      </c>
      <c r="G13041" s="1">
        <v>44925</v>
      </c>
      <c r="H13041" t="str">
        <f>"91197"</f>
        <v>91197</v>
      </c>
      <c r="I13041">
        <v>1</v>
      </c>
      <c r="J13041">
        <v>1046</v>
      </c>
      <c r="K13041">
        <v>0</v>
      </c>
      <c r="L13041">
        <v>815.88</v>
      </c>
    </row>
    <row r="13042" spans="1:12" x14ac:dyDescent="0.25">
      <c r="A13042" t="str">
        <f t="shared" si="2845"/>
        <v>89301000</v>
      </c>
      <c r="B13042" t="str">
        <f t="shared" si="2856"/>
        <v>06539000</v>
      </c>
      <c r="C13042" t="str">
        <f t="shared" si="2862"/>
        <v>06539003</v>
      </c>
      <c r="D13042" t="str">
        <f t="shared" si="2863"/>
        <v>813</v>
      </c>
      <c r="E13042" t="str">
        <f t="shared" si="2857"/>
        <v>89301171</v>
      </c>
      <c r="F13042" t="str">
        <f t="shared" si="2858"/>
        <v>5404080220</v>
      </c>
      <c r="G13042" s="1">
        <v>44925</v>
      </c>
      <c r="H13042" t="str">
        <f>"91129"</f>
        <v>91129</v>
      </c>
      <c r="I13042">
        <v>1</v>
      </c>
      <c r="J13042">
        <v>174</v>
      </c>
      <c r="K13042">
        <v>0</v>
      </c>
      <c r="L13042">
        <v>135.72</v>
      </c>
    </row>
    <row r="13043" spans="1:12" x14ac:dyDescent="0.25">
      <c r="A13043" t="str">
        <f t="shared" si="2845"/>
        <v>89301000</v>
      </c>
      <c r="B13043" t="str">
        <f t="shared" si="2856"/>
        <v>06539000</v>
      </c>
      <c r="C13043" t="str">
        <f t="shared" si="2862"/>
        <v>06539003</v>
      </c>
      <c r="D13043" t="str">
        <f t="shared" si="2863"/>
        <v>813</v>
      </c>
      <c r="E13043" t="str">
        <f t="shared" si="2857"/>
        <v>89301171</v>
      </c>
      <c r="F13043" t="str">
        <f t="shared" si="2858"/>
        <v>5404080220</v>
      </c>
      <c r="G13043" s="1">
        <v>44925</v>
      </c>
      <c r="H13043" t="str">
        <f>"91131"</f>
        <v>91131</v>
      </c>
      <c r="I13043">
        <v>1</v>
      </c>
      <c r="J13043">
        <v>171</v>
      </c>
      <c r="K13043">
        <v>0</v>
      </c>
      <c r="L13043">
        <v>133.38</v>
      </c>
    </row>
    <row r="13044" spans="1:12" x14ac:dyDescent="0.25">
      <c r="A13044" t="str">
        <f t="shared" si="2845"/>
        <v>89301000</v>
      </c>
      <c r="B13044" t="str">
        <f t="shared" si="2856"/>
        <v>06539000</v>
      </c>
      <c r="C13044" t="str">
        <f t="shared" si="2862"/>
        <v>06539003</v>
      </c>
      <c r="D13044" t="str">
        <f t="shared" si="2863"/>
        <v>813</v>
      </c>
      <c r="E13044" t="str">
        <f t="shared" si="2857"/>
        <v>89301171</v>
      </c>
      <c r="F13044" t="str">
        <f t="shared" si="2858"/>
        <v>5404080220</v>
      </c>
      <c r="G13044" s="1">
        <v>44925</v>
      </c>
      <c r="H13044" t="str">
        <f>"91133"</f>
        <v>91133</v>
      </c>
      <c r="I13044">
        <v>1</v>
      </c>
      <c r="J13044">
        <v>176</v>
      </c>
      <c r="K13044">
        <v>0</v>
      </c>
      <c r="L13044">
        <v>137.28</v>
      </c>
    </row>
    <row r="13045" spans="1:12" x14ac:dyDescent="0.25">
      <c r="A13045" t="str">
        <f t="shared" si="2845"/>
        <v>89301000</v>
      </c>
      <c r="B13045" t="str">
        <f t="shared" si="2856"/>
        <v>06539000</v>
      </c>
      <c r="C13045" t="str">
        <f t="shared" si="2862"/>
        <v>06539003</v>
      </c>
      <c r="D13045" t="str">
        <f t="shared" si="2863"/>
        <v>813</v>
      </c>
      <c r="E13045" t="str">
        <f t="shared" si="2857"/>
        <v>89301171</v>
      </c>
      <c r="F13045" t="str">
        <f t="shared" si="2858"/>
        <v>5404080220</v>
      </c>
      <c r="G13045" s="1">
        <v>44925</v>
      </c>
      <c r="H13045" t="str">
        <f>"91171"</f>
        <v>91171</v>
      </c>
      <c r="I13045">
        <v>1</v>
      </c>
      <c r="J13045">
        <v>360</v>
      </c>
      <c r="K13045">
        <v>0</v>
      </c>
      <c r="L13045">
        <v>280.8</v>
      </c>
    </row>
    <row r="13046" spans="1:12" x14ac:dyDescent="0.25">
      <c r="A13046" t="str">
        <f t="shared" si="2845"/>
        <v>89301000</v>
      </c>
      <c r="B13046" t="str">
        <f t="shared" si="2856"/>
        <v>06539000</v>
      </c>
      <c r="C13046" t="str">
        <f t="shared" si="2862"/>
        <v>06539003</v>
      </c>
      <c r="D13046" t="str">
        <f t="shared" si="2863"/>
        <v>813</v>
      </c>
      <c r="E13046" t="str">
        <f t="shared" si="2857"/>
        <v>89301171</v>
      </c>
      <c r="F13046" t="str">
        <f t="shared" si="2858"/>
        <v>5404080220</v>
      </c>
      <c r="G13046" s="1">
        <v>44924</v>
      </c>
      <c r="H13046" t="str">
        <f>"91173"</f>
        <v>91173</v>
      </c>
      <c r="I13046">
        <v>1</v>
      </c>
      <c r="J13046">
        <v>335</v>
      </c>
      <c r="K13046">
        <v>0</v>
      </c>
      <c r="L13046">
        <v>261.3</v>
      </c>
    </row>
    <row r="13047" spans="1:12" x14ac:dyDescent="0.25">
      <c r="A13047" t="str">
        <f t="shared" si="2845"/>
        <v>89301000</v>
      </c>
      <c r="B13047" t="str">
        <f t="shared" si="2856"/>
        <v>06539000</v>
      </c>
      <c r="C13047" t="str">
        <f t="shared" si="2862"/>
        <v>06539003</v>
      </c>
      <c r="D13047" t="str">
        <f t="shared" si="2863"/>
        <v>813</v>
      </c>
      <c r="E13047" t="str">
        <f t="shared" si="2857"/>
        <v>89301171</v>
      </c>
      <c r="F13047" t="str">
        <f t="shared" si="2858"/>
        <v>5404080220</v>
      </c>
      <c r="G13047" s="1">
        <v>44925</v>
      </c>
      <c r="H13047" t="str">
        <f>"91175"</f>
        <v>91175</v>
      </c>
      <c r="I13047">
        <v>1</v>
      </c>
      <c r="J13047">
        <v>360</v>
      </c>
      <c r="K13047">
        <v>0</v>
      </c>
      <c r="L13047">
        <v>280.8</v>
      </c>
    </row>
    <row r="13048" spans="1:12" x14ac:dyDescent="0.25">
      <c r="A13048" t="str">
        <f t="shared" si="2845"/>
        <v>89301000</v>
      </c>
      <c r="B13048" t="str">
        <f t="shared" si="2856"/>
        <v>06539000</v>
      </c>
      <c r="C13048" t="str">
        <f t="shared" si="2862"/>
        <v>06539003</v>
      </c>
      <c r="D13048" t="str">
        <f t="shared" si="2863"/>
        <v>813</v>
      </c>
      <c r="E13048" t="str">
        <f t="shared" si="2857"/>
        <v>89301171</v>
      </c>
      <c r="F13048" t="str">
        <f t="shared" si="2858"/>
        <v>5404080220</v>
      </c>
      <c r="G13048" s="1">
        <v>44925</v>
      </c>
      <c r="H13048" t="str">
        <f>"91167"</f>
        <v>91167</v>
      </c>
      <c r="I13048">
        <v>1</v>
      </c>
      <c r="J13048">
        <v>425</v>
      </c>
      <c r="K13048">
        <v>0</v>
      </c>
      <c r="L13048">
        <v>331.5</v>
      </c>
    </row>
    <row r="13049" spans="1:12" x14ac:dyDescent="0.25">
      <c r="A13049" t="str">
        <f t="shared" si="2845"/>
        <v>89301000</v>
      </c>
      <c r="B13049" t="str">
        <f t="shared" si="2856"/>
        <v>06539000</v>
      </c>
      <c r="C13049" t="str">
        <f t="shared" si="2862"/>
        <v>06539003</v>
      </c>
      <c r="D13049" t="str">
        <f t="shared" si="2863"/>
        <v>813</v>
      </c>
      <c r="E13049" t="str">
        <f t="shared" si="2857"/>
        <v>89301171</v>
      </c>
      <c r="F13049" t="str">
        <f t="shared" si="2858"/>
        <v>5404080220</v>
      </c>
      <c r="G13049" s="1">
        <v>44925</v>
      </c>
      <c r="H13049" t="str">
        <f>"91169"</f>
        <v>91169</v>
      </c>
      <c r="I13049">
        <v>1</v>
      </c>
      <c r="J13049">
        <v>425</v>
      </c>
      <c r="K13049">
        <v>0</v>
      </c>
      <c r="L13049">
        <v>331.5</v>
      </c>
    </row>
    <row r="13050" spans="1:12" x14ac:dyDescent="0.25">
      <c r="A13050" t="str">
        <f t="shared" si="2845"/>
        <v>89301000</v>
      </c>
      <c r="B13050" t="str">
        <f t="shared" si="2856"/>
        <v>06539000</v>
      </c>
      <c r="C13050" t="str">
        <f t="shared" si="2862"/>
        <v>06539003</v>
      </c>
      <c r="D13050" t="str">
        <f t="shared" si="2863"/>
        <v>813</v>
      </c>
      <c r="E13050" t="str">
        <f t="shared" si="2857"/>
        <v>89301171</v>
      </c>
      <c r="F13050" t="str">
        <f t="shared" si="2858"/>
        <v>5404080220</v>
      </c>
      <c r="G13050" s="1">
        <v>44924</v>
      </c>
      <c r="H13050" t="str">
        <f>"91167"</f>
        <v>91167</v>
      </c>
      <c r="I13050">
        <v>1</v>
      </c>
      <c r="J13050">
        <v>425</v>
      </c>
      <c r="K13050">
        <v>0</v>
      </c>
      <c r="L13050">
        <v>331.5</v>
      </c>
    </row>
    <row r="13051" spans="1:12" x14ac:dyDescent="0.25">
      <c r="A13051" t="str">
        <f t="shared" si="2845"/>
        <v>89301000</v>
      </c>
      <c r="B13051" t="str">
        <f t="shared" si="2856"/>
        <v>06539000</v>
      </c>
      <c r="C13051" t="str">
        <f t="shared" si="2862"/>
        <v>06539003</v>
      </c>
      <c r="D13051" t="str">
        <f t="shared" si="2863"/>
        <v>813</v>
      </c>
      <c r="E13051" t="str">
        <f t="shared" si="2857"/>
        <v>89301171</v>
      </c>
      <c r="F13051" t="str">
        <f t="shared" si="2858"/>
        <v>5404080220</v>
      </c>
      <c r="G13051" s="1">
        <v>44924</v>
      </c>
      <c r="H13051" t="str">
        <f>"91169"</f>
        <v>91169</v>
      </c>
      <c r="I13051">
        <v>1</v>
      </c>
      <c r="J13051">
        <v>425</v>
      </c>
      <c r="K13051">
        <v>0</v>
      </c>
      <c r="L13051">
        <v>331.5</v>
      </c>
    </row>
    <row r="13052" spans="1:12" x14ac:dyDescent="0.25">
      <c r="A13052" t="str">
        <f t="shared" si="2845"/>
        <v>89301000</v>
      </c>
      <c r="B13052" t="str">
        <f t="shared" si="2856"/>
        <v>06539000</v>
      </c>
      <c r="C13052" t="str">
        <f>"06539001"</f>
        <v>06539001</v>
      </c>
      <c r="D13052" t="str">
        <f>"801"</f>
        <v>801</v>
      </c>
      <c r="E13052" t="str">
        <f t="shared" si="2857"/>
        <v>89301171</v>
      </c>
      <c r="F13052" t="str">
        <f t="shared" ref="F13052:F13076" si="2864">"7805105319"</f>
        <v>7805105319</v>
      </c>
      <c r="G13052" s="1">
        <v>44924</v>
      </c>
      <c r="H13052" t="str">
        <f>"81329"</f>
        <v>81329</v>
      </c>
      <c r="I13052">
        <v>1</v>
      </c>
      <c r="J13052">
        <v>16</v>
      </c>
      <c r="K13052">
        <v>0</v>
      </c>
      <c r="L13052">
        <v>12.48</v>
      </c>
    </row>
    <row r="13053" spans="1:12" x14ac:dyDescent="0.25">
      <c r="A13053" t="str">
        <f t="shared" si="2845"/>
        <v>89301000</v>
      </c>
      <c r="B13053" t="str">
        <f t="shared" si="2856"/>
        <v>06539000</v>
      </c>
      <c r="C13053" t="str">
        <f>"06539001"</f>
        <v>06539001</v>
      </c>
      <c r="D13053" t="str">
        <f>"801"</f>
        <v>801</v>
      </c>
      <c r="E13053" t="str">
        <f t="shared" si="2857"/>
        <v>89301171</v>
      </c>
      <c r="F13053" t="str">
        <f t="shared" si="2864"/>
        <v>7805105319</v>
      </c>
      <c r="G13053" s="1">
        <v>44924</v>
      </c>
      <c r="H13053" t="str">
        <f>"81331"</f>
        <v>81331</v>
      </c>
      <c r="I13053">
        <v>1</v>
      </c>
      <c r="J13053">
        <v>193</v>
      </c>
      <c r="K13053">
        <v>0</v>
      </c>
      <c r="L13053">
        <v>150.54</v>
      </c>
    </row>
    <row r="13054" spans="1:12" x14ac:dyDescent="0.25">
      <c r="A13054" t="str">
        <f t="shared" si="2845"/>
        <v>89301000</v>
      </c>
      <c r="B13054" t="str">
        <f t="shared" si="2856"/>
        <v>06539000</v>
      </c>
      <c r="C13054" t="str">
        <f t="shared" ref="C13054:C13061" si="2865">"06539002"</f>
        <v>06539002</v>
      </c>
      <c r="D13054" t="str">
        <f t="shared" ref="D13054:D13061" si="2866">"802"</f>
        <v>802</v>
      </c>
      <c r="E13054" t="str">
        <f t="shared" si="2857"/>
        <v>89301171</v>
      </c>
      <c r="F13054" t="str">
        <f t="shared" si="2864"/>
        <v>7805105319</v>
      </c>
      <c r="G13054" s="1">
        <v>44924</v>
      </c>
      <c r="H13054" t="str">
        <f t="shared" ref="H13054:H13061" si="2867">"82097"</f>
        <v>82097</v>
      </c>
      <c r="I13054">
        <v>1</v>
      </c>
      <c r="J13054">
        <v>380</v>
      </c>
      <c r="K13054">
        <v>0</v>
      </c>
      <c r="L13054">
        <v>345.8</v>
      </c>
    </row>
    <row r="13055" spans="1:12" x14ac:dyDescent="0.25">
      <c r="A13055" t="str">
        <f t="shared" si="2845"/>
        <v>89301000</v>
      </c>
      <c r="B13055" t="str">
        <f t="shared" si="2856"/>
        <v>06539000</v>
      </c>
      <c r="C13055" t="str">
        <f t="shared" si="2865"/>
        <v>06539002</v>
      </c>
      <c r="D13055" t="str">
        <f t="shared" si="2866"/>
        <v>802</v>
      </c>
      <c r="E13055" t="str">
        <f t="shared" si="2857"/>
        <v>89301171</v>
      </c>
      <c r="F13055" t="str">
        <f t="shared" si="2864"/>
        <v>7805105319</v>
      </c>
      <c r="G13055" s="1">
        <v>44924</v>
      </c>
      <c r="H13055" t="str">
        <f t="shared" si="2867"/>
        <v>82097</v>
      </c>
      <c r="I13055">
        <v>1</v>
      </c>
      <c r="J13055">
        <v>380</v>
      </c>
      <c r="K13055">
        <v>0</v>
      </c>
      <c r="L13055">
        <v>345.8</v>
      </c>
    </row>
    <row r="13056" spans="1:12" x14ac:dyDescent="0.25">
      <c r="A13056" t="str">
        <f t="shared" si="2845"/>
        <v>89301000</v>
      </c>
      <c r="B13056" t="str">
        <f t="shared" si="2856"/>
        <v>06539000</v>
      </c>
      <c r="C13056" t="str">
        <f t="shared" si="2865"/>
        <v>06539002</v>
      </c>
      <c r="D13056" t="str">
        <f t="shared" si="2866"/>
        <v>802</v>
      </c>
      <c r="E13056" t="str">
        <f t="shared" si="2857"/>
        <v>89301171</v>
      </c>
      <c r="F13056" t="str">
        <f t="shared" si="2864"/>
        <v>7805105319</v>
      </c>
      <c r="G13056" s="1">
        <v>44924</v>
      </c>
      <c r="H13056" t="str">
        <f t="shared" si="2867"/>
        <v>82097</v>
      </c>
      <c r="I13056">
        <v>1</v>
      </c>
      <c r="J13056">
        <v>380</v>
      </c>
      <c r="K13056">
        <v>0</v>
      </c>
      <c r="L13056">
        <v>345.8</v>
      </c>
    </row>
    <row r="13057" spans="1:12" x14ac:dyDescent="0.25">
      <c r="A13057" t="str">
        <f t="shared" si="2845"/>
        <v>89301000</v>
      </c>
      <c r="B13057" t="str">
        <f t="shared" si="2856"/>
        <v>06539000</v>
      </c>
      <c r="C13057" t="str">
        <f t="shared" si="2865"/>
        <v>06539002</v>
      </c>
      <c r="D13057" t="str">
        <f t="shared" si="2866"/>
        <v>802</v>
      </c>
      <c r="E13057" t="str">
        <f t="shared" si="2857"/>
        <v>89301171</v>
      </c>
      <c r="F13057" t="str">
        <f t="shared" si="2864"/>
        <v>7805105319</v>
      </c>
      <c r="G13057" s="1">
        <v>44924</v>
      </c>
      <c r="H13057" t="str">
        <f t="shared" si="2867"/>
        <v>82097</v>
      </c>
      <c r="I13057">
        <v>1</v>
      </c>
      <c r="J13057">
        <v>380</v>
      </c>
      <c r="K13057">
        <v>0</v>
      </c>
      <c r="L13057">
        <v>345.8</v>
      </c>
    </row>
    <row r="13058" spans="1:12" x14ac:dyDescent="0.25">
      <c r="A13058" t="str">
        <f t="shared" ref="A13058:A13121" si="2868">"89301000"</f>
        <v>89301000</v>
      </c>
      <c r="B13058" t="str">
        <f t="shared" si="2856"/>
        <v>06539000</v>
      </c>
      <c r="C13058" t="str">
        <f t="shared" si="2865"/>
        <v>06539002</v>
      </c>
      <c r="D13058" t="str">
        <f t="shared" si="2866"/>
        <v>802</v>
      </c>
      <c r="E13058" t="str">
        <f t="shared" si="2857"/>
        <v>89301171</v>
      </c>
      <c r="F13058" t="str">
        <f t="shared" si="2864"/>
        <v>7805105319</v>
      </c>
      <c r="G13058" s="1">
        <v>44924</v>
      </c>
      <c r="H13058" t="str">
        <f t="shared" si="2867"/>
        <v>82097</v>
      </c>
      <c r="I13058">
        <v>1</v>
      </c>
      <c r="J13058">
        <v>380</v>
      </c>
      <c r="K13058">
        <v>0</v>
      </c>
      <c r="L13058">
        <v>345.8</v>
      </c>
    </row>
    <row r="13059" spans="1:12" x14ac:dyDescent="0.25">
      <c r="A13059" t="str">
        <f t="shared" si="2868"/>
        <v>89301000</v>
      </c>
      <c r="B13059" t="str">
        <f t="shared" ref="B13059:B13090" si="2869">"06539000"</f>
        <v>06539000</v>
      </c>
      <c r="C13059" t="str">
        <f t="shared" si="2865"/>
        <v>06539002</v>
      </c>
      <c r="D13059" t="str">
        <f t="shared" si="2866"/>
        <v>802</v>
      </c>
      <c r="E13059" t="str">
        <f t="shared" ref="E13059:E13090" si="2870">"89301171"</f>
        <v>89301171</v>
      </c>
      <c r="F13059" t="str">
        <f t="shared" si="2864"/>
        <v>7805105319</v>
      </c>
      <c r="G13059" s="1">
        <v>44924</v>
      </c>
      <c r="H13059" t="str">
        <f t="shared" si="2867"/>
        <v>82097</v>
      </c>
      <c r="I13059">
        <v>1</v>
      </c>
      <c r="J13059">
        <v>380</v>
      </c>
      <c r="K13059">
        <v>0</v>
      </c>
      <c r="L13059">
        <v>345.8</v>
      </c>
    </row>
    <row r="13060" spans="1:12" x14ac:dyDescent="0.25">
      <c r="A13060" t="str">
        <f t="shared" si="2868"/>
        <v>89301000</v>
      </c>
      <c r="B13060" t="str">
        <f t="shared" si="2869"/>
        <v>06539000</v>
      </c>
      <c r="C13060" t="str">
        <f t="shared" si="2865"/>
        <v>06539002</v>
      </c>
      <c r="D13060" t="str">
        <f t="shared" si="2866"/>
        <v>802</v>
      </c>
      <c r="E13060" t="str">
        <f t="shared" si="2870"/>
        <v>89301171</v>
      </c>
      <c r="F13060" t="str">
        <f t="shared" si="2864"/>
        <v>7805105319</v>
      </c>
      <c r="G13060" s="1">
        <v>44924</v>
      </c>
      <c r="H13060" t="str">
        <f t="shared" si="2867"/>
        <v>82097</v>
      </c>
      <c r="I13060">
        <v>1</v>
      </c>
      <c r="J13060">
        <v>380</v>
      </c>
      <c r="K13060">
        <v>0</v>
      </c>
      <c r="L13060">
        <v>345.8</v>
      </c>
    </row>
    <row r="13061" spans="1:12" x14ac:dyDescent="0.25">
      <c r="A13061" t="str">
        <f t="shared" si="2868"/>
        <v>89301000</v>
      </c>
      <c r="B13061" t="str">
        <f t="shared" si="2869"/>
        <v>06539000</v>
      </c>
      <c r="C13061" t="str">
        <f t="shared" si="2865"/>
        <v>06539002</v>
      </c>
      <c r="D13061" t="str">
        <f t="shared" si="2866"/>
        <v>802</v>
      </c>
      <c r="E13061" t="str">
        <f t="shared" si="2870"/>
        <v>89301171</v>
      </c>
      <c r="F13061" t="str">
        <f t="shared" si="2864"/>
        <v>7805105319</v>
      </c>
      <c r="G13061" s="1">
        <v>44924</v>
      </c>
      <c r="H13061" t="str">
        <f t="shared" si="2867"/>
        <v>82097</v>
      </c>
      <c r="I13061">
        <v>1</v>
      </c>
      <c r="J13061">
        <v>380</v>
      </c>
      <c r="K13061">
        <v>0</v>
      </c>
      <c r="L13061">
        <v>345.8</v>
      </c>
    </row>
    <row r="13062" spans="1:12" x14ac:dyDescent="0.25">
      <c r="A13062" t="str">
        <f t="shared" si="2868"/>
        <v>89301000</v>
      </c>
      <c r="B13062" t="str">
        <f t="shared" si="2869"/>
        <v>06539000</v>
      </c>
      <c r="C13062" t="str">
        <f t="shared" ref="C13062:C13076" si="2871">"06539003"</f>
        <v>06539003</v>
      </c>
      <c r="D13062" t="str">
        <f t="shared" ref="D13062:D13076" si="2872">"813"</f>
        <v>813</v>
      </c>
      <c r="E13062" t="str">
        <f t="shared" si="2870"/>
        <v>89301171</v>
      </c>
      <c r="F13062" t="str">
        <f t="shared" si="2864"/>
        <v>7805105319</v>
      </c>
      <c r="G13062" s="1">
        <v>44924</v>
      </c>
      <c r="H13062" t="str">
        <f>"91197"</f>
        <v>91197</v>
      </c>
      <c r="I13062">
        <v>1</v>
      </c>
      <c r="J13062">
        <v>1046</v>
      </c>
      <c r="K13062">
        <v>0</v>
      </c>
      <c r="L13062">
        <v>815.88</v>
      </c>
    </row>
    <row r="13063" spans="1:12" x14ac:dyDescent="0.25">
      <c r="A13063" t="str">
        <f t="shared" si="2868"/>
        <v>89301000</v>
      </c>
      <c r="B13063" t="str">
        <f t="shared" si="2869"/>
        <v>06539000</v>
      </c>
      <c r="C13063" t="str">
        <f t="shared" si="2871"/>
        <v>06539003</v>
      </c>
      <c r="D13063" t="str">
        <f t="shared" si="2872"/>
        <v>813</v>
      </c>
      <c r="E13063" t="str">
        <f t="shared" si="2870"/>
        <v>89301171</v>
      </c>
      <c r="F13063" t="str">
        <f t="shared" si="2864"/>
        <v>7805105319</v>
      </c>
      <c r="G13063" s="1">
        <v>44926</v>
      </c>
      <c r="H13063" t="str">
        <f>"91197"</f>
        <v>91197</v>
      </c>
      <c r="I13063">
        <v>1</v>
      </c>
      <c r="J13063">
        <v>1046</v>
      </c>
      <c r="K13063">
        <v>0</v>
      </c>
      <c r="L13063">
        <v>815.88</v>
      </c>
    </row>
    <row r="13064" spans="1:12" x14ac:dyDescent="0.25">
      <c r="A13064" t="str">
        <f t="shared" si="2868"/>
        <v>89301000</v>
      </c>
      <c r="B13064" t="str">
        <f t="shared" si="2869"/>
        <v>06539000</v>
      </c>
      <c r="C13064" t="str">
        <f t="shared" si="2871"/>
        <v>06539003</v>
      </c>
      <c r="D13064" t="str">
        <f t="shared" si="2872"/>
        <v>813</v>
      </c>
      <c r="E13064" t="str">
        <f t="shared" si="2870"/>
        <v>89301171</v>
      </c>
      <c r="F13064" t="str">
        <f t="shared" si="2864"/>
        <v>7805105319</v>
      </c>
      <c r="G13064" s="1">
        <v>44926</v>
      </c>
      <c r="H13064" t="str">
        <f>"91197"</f>
        <v>91197</v>
      </c>
      <c r="I13064">
        <v>1</v>
      </c>
      <c r="J13064">
        <v>1046</v>
      </c>
      <c r="K13064">
        <v>0</v>
      </c>
      <c r="L13064">
        <v>815.88</v>
      </c>
    </row>
    <row r="13065" spans="1:12" x14ac:dyDescent="0.25">
      <c r="A13065" t="str">
        <f t="shared" si="2868"/>
        <v>89301000</v>
      </c>
      <c r="B13065" t="str">
        <f t="shared" si="2869"/>
        <v>06539000</v>
      </c>
      <c r="C13065" t="str">
        <f t="shared" si="2871"/>
        <v>06539003</v>
      </c>
      <c r="D13065" t="str">
        <f t="shared" si="2872"/>
        <v>813</v>
      </c>
      <c r="E13065" t="str">
        <f t="shared" si="2870"/>
        <v>89301171</v>
      </c>
      <c r="F13065" t="str">
        <f t="shared" si="2864"/>
        <v>7805105319</v>
      </c>
      <c r="G13065" s="1">
        <v>44925</v>
      </c>
      <c r="H13065" t="str">
        <f>"91197"</f>
        <v>91197</v>
      </c>
      <c r="I13065">
        <v>1</v>
      </c>
      <c r="J13065">
        <v>1046</v>
      </c>
      <c r="K13065">
        <v>0</v>
      </c>
      <c r="L13065">
        <v>815.88</v>
      </c>
    </row>
    <row r="13066" spans="1:12" x14ac:dyDescent="0.25">
      <c r="A13066" t="str">
        <f t="shared" si="2868"/>
        <v>89301000</v>
      </c>
      <c r="B13066" t="str">
        <f t="shared" si="2869"/>
        <v>06539000</v>
      </c>
      <c r="C13066" t="str">
        <f t="shared" si="2871"/>
        <v>06539003</v>
      </c>
      <c r="D13066" t="str">
        <f t="shared" si="2872"/>
        <v>813</v>
      </c>
      <c r="E13066" t="str">
        <f t="shared" si="2870"/>
        <v>89301171</v>
      </c>
      <c r="F13066" t="str">
        <f t="shared" si="2864"/>
        <v>7805105319</v>
      </c>
      <c r="G13066" s="1">
        <v>44924</v>
      </c>
      <c r="H13066" t="str">
        <f>"91197"</f>
        <v>91197</v>
      </c>
      <c r="I13066">
        <v>1</v>
      </c>
      <c r="J13066">
        <v>1046</v>
      </c>
      <c r="K13066">
        <v>0</v>
      </c>
      <c r="L13066">
        <v>815.88</v>
      </c>
    </row>
    <row r="13067" spans="1:12" x14ac:dyDescent="0.25">
      <c r="A13067" t="str">
        <f t="shared" si="2868"/>
        <v>89301000</v>
      </c>
      <c r="B13067" t="str">
        <f t="shared" si="2869"/>
        <v>06539000</v>
      </c>
      <c r="C13067" t="str">
        <f t="shared" si="2871"/>
        <v>06539003</v>
      </c>
      <c r="D13067" t="str">
        <f t="shared" si="2872"/>
        <v>813</v>
      </c>
      <c r="E13067" t="str">
        <f t="shared" si="2870"/>
        <v>89301171</v>
      </c>
      <c r="F13067" t="str">
        <f t="shared" si="2864"/>
        <v>7805105319</v>
      </c>
      <c r="G13067" s="1">
        <v>44925</v>
      </c>
      <c r="H13067" t="str">
        <f>"91129"</f>
        <v>91129</v>
      </c>
      <c r="I13067">
        <v>1</v>
      </c>
      <c r="J13067">
        <v>174</v>
      </c>
      <c r="K13067">
        <v>0</v>
      </c>
      <c r="L13067">
        <v>135.72</v>
      </c>
    </row>
    <row r="13068" spans="1:12" x14ac:dyDescent="0.25">
      <c r="A13068" t="str">
        <f t="shared" si="2868"/>
        <v>89301000</v>
      </c>
      <c r="B13068" t="str">
        <f t="shared" si="2869"/>
        <v>06539000</v>
      </c>
      <c r="C13068" t="str">
        <f t="shared" si="2871"/>
        <v>06539003</v>
      </c>
      <c r="D13068" t="str">
        <f t="shared" si="2872"/>
        <v>813</v>
      </c>
      <c r="E13068" t="str">
        <f t="shared" si="2870"/>
        <v>89301171</v>
      </c>
      <c r="F13068" t="str">
        <f t="shared" si="2864"/>
        <v>7805105319</v>
      </c>
      <c r="G13068" s="1">
        <v>44925</v>
      </c>
      <c r="H13068" t="str">
        <f>"91131"</f>
        <v>91131</v>
      </c>
      <c r="I13068">
        <v>1</v>
      </c>
      <c r="J13068">
        <v>171</v>
      </c>
      <c r="K13068">
        <v>0</v>
      </c>
      <c r="L13068">
        <v>133.38</v>
      </c>
    </row>
    <row r="13069" spans="1:12" x14ac:dyDescent="0.25">
      <c r="A13069" t="str">
        <f t="shared" si="2868"/>
        <v>89301000</v>
      </c>
      <c r="B13069" t="str">
        <f t="shared" si="2869"/>
        <v>06539000</v>
      </c>
      <c r="C13069" t="str">
        <f t="shared" si="2871"/>
        <v>06539003</v>
      </c>
      <c r="D13069" t="str">
        <f t="shared" si="2872"/>
        <v>813</v>
      </c>
      <c r="E13069" t="str">
        <f t="shared" si="2870"/>
        <v>89301171</v>
      </c>
      <c r="F13069" t="str">
        <f t="shared" si="2864"/>
        <v>7805105319</v>
      </c>
      <c r="G13069" s="1">
        <v>44925</v>
      </c>
      <c r="H13069" t="str">
        <f>"91133"</f>
        <v>91133</v>
      </c>
      <c r="I13069">
        <v>1</v>
      </c>
      <c r="J13069">
        <v>176</v>
      </c>
      <c r="K13069">
        <v>0</v>
      </c>
      <c r="L13069">
        <v>137.28</v>
      </c>
    </row>
    <row r="13070" spans="1:12" x14ac:dyDescent="0.25">
      <c r="A13070" t="str">
        <f t="shared" si="2868"/>
        <v>89301000</v>
      </c>
      <c r="B13070" t="str">
        <f t="shared" si="2869"/>
        <v>06539000</v>
      </c>
      <c r="C13070" t="str">
        <f t="shared" si="2871"/>
        <v>06539003</v>
      </c>
      <c r="D13070" t="str">
        <f t="shared" si="2872"/>
        <v>813</v>
      </c>
      <c r="E13070" t="str">
        <f t="shared" si="2870"/>
        <v>89301171</v>
      </c>
      <c r="F13070" t="str">
        <f t="shared" si="2864"/>
        <v>7805105319</v>
      </c>
      <c r="G13070" s="1">
        <v>44925</v>
      </c>
      <c r="H13070" t="str">
        <f>"91171"</f>
        <v>91171</v>
      </c>
      <c r="I13070">
        <v>1</v>
      </c>
      <c r="J13070">
        <v>360</v>
      </c>
      <c r="K13070">
        <v>0</v>
      </c>
      <c r="L13070">
        <v>280.8</v>
      </c>
    </row>
    <row r="13071" spans="1:12" x14ac:dyDescent="0.25">
      <c r="A13071" t="str">
        <f t="shared" si="2868"/>
        <v>89301000</v>
      </c>
      <c r="B13071" t="str">
        <f t="shared" si="2869"/>
        <v>06539000</v>
      </c>
      <c r="C13071" t="str">
        <f t="shared" si="2871"/>
        <v>06539003</v>
      </c>
      <c r="D13071" t="str">
        <f t="shared" si="2872"/>
        <v>813</v>
      </c>
      <c r="E13071" t="str">
        <f t="shared" si="2870"/>
        <v>89301171</v>
      </c>
      <c r="F13071" t="str">
        <f t="shared" si="2864"/>
        <v>7805105319</v>
      </c>
      <c r="G13071" s="1">
        <v>44924</v>
      </c>
      <c r="H13071" t="str">
        <f>"91173"</f>
        <v>91173</v>
      </c>
      <c r="I13071">
        <v>1</v>
      </c>
      <c r="J13071">
        <v>335</v>
      </c>
      <c r="K13071">
        <v>0</v>
      </c>
      <c r="L13071">
        <v>261.3</v>
      </c>
    </row>
    <row r="13072" spans="1:12" x14ac:dyDescent="0.25">
      <c r="A13072" t="str">
        <f t="shared" si="2868"/>
        <v>89301000</v>
      </c>
      <c r="B13072" t="str">
        <f t="shared" si="2869"/>
        <v>06539000</v>
      </c>
      <c r="C13072" t="str">
        <f t="shared" si="2871"/>
        <v>06539003</v>
      </c>
      <c r="D13072" t="str">
        <f t="shared" si="2872"/>
        <v>813</v>
      </c>
      <c r="E13072" t="str">
        <f t="shared" si="2870"/>
        <v>89301171</v>
      </c>
      <c r="F13072" t="str">
        <f t="shared" si="2864"/>
        <v>7805105319</v>
      </c>
      <c r="G13072" s="1">
        <v>44925</v>
      </c>
      <c r="H13072" t="str">
        <f>"91175"</f>
        <v>91175</v>
      </c>
      <c r="I13072">
        <v>1</v>
      </c>
      <c r="J13072">
        <v>360</v>
      </c>
      <c r="K13072">
        <v>0</v>
      </c>
      <c r="L13072">
        <v>280.8</v>
      </c>
    </row>
    <row r="13073" spans="1:12" x14ac:dyDescent="0.25">
      <c r="A13073" t="str">
        <f t="shared" si="2868"/>
        <v>89301000</v>
      </c>
      <c r="B13073" t="str">
        <f t="shared" si="2869"/>
        <v>06539000</v>
      </c>
      <c r="C13073" t="str">
        <f t="shared" si="2871"/>
        <v>06539003</v>
      </c>
      <c r="D13073" t="str">
        <f t="shared" si="2872"/>
        <v>813</v>
      </c>
      <c r="E13073" t="str">
        <f t="shared" si="2870"/>
        <v>89301171</v>
      </c>
      <c r="F13073" t="str">
        <f t="shared" si="2864"/>
        <v>7805105319</v>
      </c>
      <c r="G13073" s="1">
        <v>44925</v>
      </c>
      <c r="H13073" t="str">
        <f>"91167"</f>
        <v>91167</v>
      </c>
      <c r="I13073">
        <v>1</v>
      </c>
      <c r="J13073">
        <v>425</v>
      </c>
      <c r="K13073">
        <v>0</v>
      </c>
      <c r="L13073">
        <v>331.5</v>
      </c>
    </row>
    <row r="13074" spans="1:12" x14ac:dyDescent="0.25">
      <c r="A13074" t="str">
        <f t="shared" si="2868"/>
        <v>89301000</v>
      </c>
      <c r="B13074" t="str">
        <f t="shared" si="2869"/>
        <v>06539000</v>
      </c>
      <c r="C13074" t="str">
        <f t="shared" si="2871"/>
        <v>06539003</v>
      </c>
      <c r="D13074" t="str">
        <f t="shared" si="2872"/>
        <v>813</v>
      </c>
      <c r="E13074" t="str">
        <f t="shared" si="2870"/>
        <v>89301171</v>
      </c>
      <c r="F13074" t="str">
        <f t="shared" si="2864"/>
        <v>7805105319</v>
      </c>
      <c r="G13074" s="1">
        <v>44925</v>
      </c>
      <c r="H13074" t="str">
        <f>"91169"</f>
        <v>91169</v>
      </c>
      <c r="I13074">
        <v>1</v>
      </c>
      <c r="J13074">
        <v>425</v>
      </c>
      <c r="K13074">
        <v>0</v>
      </c>
      <c r="L13074">
        <v>331.5</v>
      </c>
    </row>
    <row r="13075" spans="1:12" x14ac:dyDescent="0.25">
      <c r="A13075" t="str">
        <f t="shared" si="2868"/>
        <v>89301000</v>
      </c>
      <c r="B13075" t="str">
        <f t="shared" si="2869"/>
        <v>06539000</v>
      </c>
      <c r="C13075" t="str">
        <f t="shared" si="2871"/>
        <v>06539003</v>
      </c>
      <c r="D13075" t="str">
        <f t="shared" si="2872"/>
        <v>813</v>
      </c>
      <c r="E13075" t="str">
        <f t="shared" si="2870"/>
        <v>89301171</v>
      </c>
      <c r="F13075" t="str">
        <f t="shared" si="2864"/>
        <v>7805105319</v>
      </c>
      <c r="G13075" s="1">
        <v>44924</v>
      </c>
      <c r="H13075" t="str">
        <f>"91167"</f>
        <v>91167</v>
      </c>
      <c r="I13075">
        <v>1</v>
      </c>
      <c r="J13075">
        <v>425</v>
      </c>
      <c r="K13075">
        <v>0</v>
      </c>
      <c r="L13075">
        <v>331.5</v>
      </c>
    </row>
    <row r="13076" spans="1:12" x14ac:dyDescent="0.25">
      <c r="A13076" t="str">
        <f t="shared" si="2868"/>
        <v>89301000</v>
      </c>
      <c r="B13076" t="str">
        <f t="shared" si="2869"/>
        <v>06539000</v>
      </c>
      <c r="C13076" t="str">
        <f t="shared" si="2871"/>
        <v>06539003</v>
      </c>
      <c r="D13076" t="str">
        <f t="shared" si="2872"/>
        <v>813</v>
      </c>
      <c r="E13076" t="str">
        <f t="shared" si="2870"/>
        <v>89301171</v>
      </c>
      <c r="F13076" t="str">
        <f t="shared" si="2864"/>
        <v>7805105319</v>
      </c>
      <c r="G13076" s="1">
        <v>44924</v>
      </c>
      <c r="H13076" t="str">
        <f>"91169"</f>
        <v>91169</v>
      </c>
      <c r="I13076">
        <v>1</v>
      </c>
      <c r="J13076">
        <v>425</v>
      </c>
      <c r="K13076">
        <v>0</v>
      </c>
      <c r="L13076">
        <v>331.5</v>
      </c>
    </row>
    <row r="13077" spans="1:12" x14ac:dyDescent="0.25">
      <c r="A13077" t="str">
        <f t="shared" si="2868"/>
        <v>89301000</v>
      </c>
      <c r="B13077" t="str">
        <f t="shared" si="2869"/>
        <v>06539000</v>
      </c>
      <c r="C13077" t="str">
        <f>"06539001"</f>
        <v>06539001</v>
      </c>
      <c r="D13077" t="str">
        <f>"801"</f>
        <v>801</v>
      </c>
      <c r="E13077" t="str">
        <f t="shared" si="2870"/>
        <v>89301171</v>
      </c>
      <c r="F13077" t="str">
        <f t="shared" ref="F13077:F13101" si="2873">"7309195344"</f>
        <v>7309195344</v>
      </c>
      <c r="G13077" s="1">
        <v>44924</v>
      </c>
      <c r="H13077" t="str">
        <f>"81329"</f>
        <v>81329</v>
      </c>
      <c r="I13077">
        <v>1</v>
      </c>
      <c r="J13077">
        <v>16</v>
      </c>
      <c r="K13077">
        <v>0</v>
      </c>
      <c r="L13077">
        <v>12.48</v>
      </c>
    </row>
    <row r="13078" spans="1:12" x14ac:dyDescent="0.25">
      <c r="A13078" t="str">
        <f t="shared" si="2868"/>
        <v>89301000</v>
      </c>
      <c r="B13078" t="str">
        <f t="shared" si="2869"/>
        <v>06539000</v>
      </c>
      <c r="C13078" t="str">
        <f>"06539001"</f>
        <v>06539001</v>
      </c>
      <c r="D13078" t="str">
        <f>"801"</f>
        <v>801</v>
      </c>
      <c r="E13078" t="str">
        <f t="shared" si="2870"/>
        <v>89301171</v>
      </c>
      <c r="F13078" t="str">
        <f t="shared" si="2873"/>
        <v>7309195344</v>
      </c>
      <c r="G13078" s="1">
        <v>44924</v>
      </c>
      <c r="H13078" t="str">
        <f>"81331"</f>
        <v>81331</v>
      </c>
      <c r="I13078">
        <v>1</v>
      </c>
      <c r="J13078">
        <v>193</v>
      </c>
      <c r="K13078">
        <v>0</v>
      </c>
      <c r="L13078">
        <v>150.54</v>
      </c>
    </row>
    <row r="13079" spans="1:12" x14ac:dyDescent="0.25">
      <c r="A13079" t="str">
        <f t="shared" si="2868"/>
        <v>89301000</v>
      </c>
      <c r="B13079" t="str">
        <f t="shared" si="2869"/>
        <v>06539000</v>
      </c>
      <c r="C13079" t="str">
        <f t="shared" ref="C13079:C13086" si="2874">"06539002"</f>
        <v>06539002</v>
      </c>
      <c r="D13079" t="str">
        <f t="shared" ref="D13079:D13086" si="2875">"802"</f>
        <v>802</v>
      </c>
      <c r="E13079" t="str">
        <f t="shared" si="2870"/>
        <v>89301171</v>
      </c>
      <c r="F13079" t="str">
        <f t="shared" si="2873"/>
        <v>7309195344</v>
      </c>
      <c r="G13079" s="1">
        <v>44924</v>
      </c>
      <c r="H13079" t="str">
        <f t="shared" ref="H13079:H13086" si="2876">"82097"</f>
        <v>82097</v>
      </c>
      <c r="I13079">
        <v>1</v>
      </c>
      <c r="J13079">
        <v>380</v>
      </c>
      <c r="K13079">
        <v>0</v>
      </c>
      <c r="L13079">
        <v>345.8</v>
      </c>
    </row>
    <row r="13080" spans="1:12" x14ac:dyDescent="0.25">
      <c r="A13080" t="str">
        <f t="shared" si="2868"/>
        <v>89301000</v>
      </c>
      <c r="B13080" t="str">
        <f t="shared" si="2869"/>
        <v>06539000</v>
      </c>
      <c r="C13080" t="str">
        <f t="shared" si="2874"/>
        <v>06539002</v>
      </c>
      <c r="D13080" t="str">
        <f t="shared" si="2875"/>
        <v>802</v>
      </c>
      <c r="E13080" t="str">
        <f t="shared" si="2870"/>
        <v>89301171</v>
      </c>
      <c r="F13080" t="str">
        <f t="shared" si="2873"/>
        <v>7309195344</v>
      </c>
      <c r="G13080" s="1">
        <v>44924</v>
      </c>
      <c r="H13080" t="str">
        <f t="shared" si="2876"/>
        <v>82097</v>
      </c>
      <c r="I13080">
        <v>1</v>
      </c>
      <c r="J13080">
        <v>380</v>
      </c>
      <c r="K13080">
        <v>0</v>
      </c>
      <c r="L13080">
        <v>345.8</v>
      </c>
    </row>
    <row r="13081" spans="1:12" x14ac:dyDescent="0.25">
      <c r="A13081" t="str">
        <f t="shared" si="2868"/>
        <v>89301000</v>
      </c>
      <c r="B13081" t="str">
        <f t="shared" si="2869"/>
        <v>06539000</v>
      </c>
      <c r="C13081" t="str">
        <f t="shared" si="2874"/>
        <v>06539002</v>
      </c>
      <c r="D13081" t="str">
        <f t="shared" si="2875"/>
        <v>802</v>
      </c>
      <c r="E13081" t="str">
        <f t="shared" si="2870"/>
        <v>89301171</v>
      </c>
      <c r="F13081" t="str">
        <f t="shared" si="2873"/>
        <v>7309195344</v>
      </c>
      <c r="G13081" s="1">
        <v>44924</v>
      </c>
      <c r="H13081" t="str">
        <f t="shared" si="2876"/>
        <v>82097</v>
      </c>
      <c r="I13081">
        <v>1</v>
      </c>
      <c r="J13081">
        <v>380</v>
      </c>
      <c r="K13081">
        <v>0</v>
      </c>
      <c r="L13081">
        <v>345.8</v>
      </c>
    </row>
    <row r="13082" spans="1:12" x14ac:dyDescent="0.25">
      <c r="A13082" t="str">
        <f t="shared" si="2868"/>
        <v>89301000</v>
      </c>
      <c r="B13082" t="str">
        <f t="shared" si="2869"/>
        <v>06539000</v>
      </c>
      <c r="C13082" t="str">
        <f t="shared" si="2874"/>
        <v>06539002</v>
      </c>
      <c r="D13082" t="str">
        <f t="shared" si="2875"/>
        <v>802</v>
      </c>
      <c r="E13082" t="str">
        <f t="shared" si="2870"/>
        <v>89301171</v>
      </c>
      <c r="F13082" t="str">
        <f t="shared" si="2873"/>
        <v>7309195344</v>
      </c>
      <c r="G13082" s="1">
        <v>44924</v>
      </c>
      <c r="H13082" t="str">
        <f t="shared" si="2876"/>
        <v>82097</v>
      </c>
      <c r="I13082">
        <v>1</v>
      </c>
      <c r="J13082">
        <v>380</v>
      </c>
      <c r="K13082">
        <v>0</v>
      </c>
      <c r="L13082">
        <v>345.8</v>
      </c>
    </row>
    <row r="13083" spans="1:12" x14ac:dyDescent="0.25">
      <c r="A13083" t="str">
        <f t="shared" si="2868"/>
        <v>89301000</v>
      </c>
      <c r="B13083" t="str">
        <f t="shared" si="2869"/>
        <v>06539000</v>
      </c>
      <c r="C13083" t="str">
        <f t="shared" si="2874"/>
        <v>06539002</v>
      </c>
      <c r="D13083" t="str">
        <f t="shared" si="2875"/>
        <v>802</v>
      </c>
      <c r="E13083" t="str">
        <f t="shared" si="2870"/>
        <v>89301171</v>
      </c>
      <c r="F13083" t="str">
        <f t="shared" si="2873"/>
        <v>7309195344</v>
      </c>
      <c r="G13083" s="1">
        <v>44924</v>
      </c>
      <c r="H13083" t="str">
        <f t="shared" si="2876"/>
        <v>82097</v>
      </c>
      <c r="I13083">
        <v>1</v>
      </c>
      <c r="J13083">
        <v>380</v>
      </c>
      <c r="K13083">
        <v>0</v>
      </c>
      <c r="L13083">
        <v>345.8</v>
      </c>
    </row>
    <row r="13084" spans="1:12" x14ac:dyDescent="0.25">
      <c r="A13084" t="str">
        <f t="shared" si="2868"/>
        <v>89301000</v>
      </c>
      <c r="B13084" t="str">
        <f t="shared" si="2869"/>
        <v>06539000</v>
      </c>
      <c r="C13084" t="str">
        <f t="shared" si="2874"/>
        <v>06539002</v>
      </c>
      <c r="D13084" t="str">
        <f t="shared" si="2875"/>
        <v>802</v>
      </c>
      <c r="E13084" t="str">
        <f t="shared" si="2870"/>
        <v>89301171</v>
      </c>
      <c r="F13084" t="str">
        <f t="shared" si="2873"/>
        <v>7309195344</v>
      </c>
      <c r="G13084" s="1">
        <v>44924</v>
      </c>
      <c r="H13084" t="str">
        <f t="shared" si="2876"/>
        <v>82097</v>
      </c>
      <c r="I13084">
        <v>1</v>
      </c>
      <c r="J13084">
        <v>380</v>
      </c>
      <c r="K13084">
        <v>0</v>
      </c>
      <c r="L13084">
        <v>345.8</v>
      </c>
    </row>
    <row r="13085" spans="1:12" x14ac:dyDescent="0.25">
      <c r="A13085" t="str">
        <f t="shared" si="2868"/>
        <v>89301000</v>
      </c>
      <c r="B13085" t="str">
        <f t="shared" si="2869"/>
        <v>06539000</v>
      </c>
      <c r="C13085" t="str">
        <f t="shared" si="2874"/>
        <v>06539002</v>
      </c>
      <c r="D13085" t="str">
        <f t="shared" si="2875"/>
        <v>802</v>
      </c>
      <c r="E13085" t="str">
        <f t="shared" si="2870"/>
        <v>89301171</v>
      </c>
      <c r="F13085" t="str">
        <f t="shared" si="2873"/>
        <v>7309195344</v>
      </c>
      <c r="G13085" s="1">
        <v>44924</v>
      </c>
      <c r="H13085" t="str">
        <f t="shared" si="2876"/>
        <v>82097</v>
      </c>
      <c r="I13085">
        <v>1</v>
      </c>
      <c r="J13085">
        <v>380</v>
      </c>
      <c r="K13085">
        <v>0</v>
      </c>
      <c r="L13085">
        <v>345.8</v>
      </c>
    </row>
    <row r="13086" spans="1:12" x14ac:dyDescent="0.25">
      <c r="A13086" t="str">
        <f t="shared" si="2868"/>
        <v>89301000</v>
      </c>
      <c r="B13086" t="str">
        <f t="shared" si="2869"/>
        <v>06539000</v>
      </c>
      <c r="C13086" t="str">
        <f t="shared" si="2874"/>
        <v>06539002</v>
      </c>
      <c r="D13086" t="str">
        <f t="shared" si="2875"/>
        <v>802</v>
      </c>
      <c r="E13086" t="str">
        <f t="shared" si="2870"/>
        <v>89301171</v>
      </c>
      <c r="F13086" t="str">
        <f t="shared" si="2873"/>
        <v>7309195344</v>
      </c>
      <c r="G13086" s="1">
        <v>44924</v>
      </c>
      <c r="H13086" t="str">
        <f t="shared" si="2876"/>
        <v>82097</v>
      </c>
      <c r="I13086">
        <v>1</v>
      </c>
      <c r="J13086">
        <v>380</v>
      </c>
      <c r="K13086">
        <v>0</v>
      </c>
      <c r="L13086">
        <v>345.8</v>
      </c>
    </row>
    <row r="13087" spans="1:12" x14ac:dyDescent="0.25">
      <c r="A13087" t="str">
        <f t="shared" si="2868"/>
        <v>89301000</v>
      </c>
      <c r="B13087" t="str">
        <f t="shared" si="2869"/>
        <v>06539000</v>
      </c>
      <c r="C13087" t="str">
        <f t="shared" ref="C13087:C13101" si="2877">"06539003"</f>
        <v>06539003</v>
      </c>
      <c r="D13087" t="str">
        <f t="shared" ref="D13087:D13101" si="2878">"813"</f>
        <v>813</v>
      </c>
      <c r="E13087" t="str">
        <f t="shared" si="2870"/>
        <v>89301171</v>
      </c>
      <c r="F13087" t="str">
        <f t="shared" si="2873"/>
        <v>7309195344</v>
      </c>
      <c r="G13087" s="1">
        <v>44924</v>
      </c>
      <c r="H13087" t="str">
        <f>"91197"</f>
        <v>91197</v>
      </c>
      <c r="I13087">
        <v>1</v>
      </c>
      <c r="J13087">
        <v>1046</v>
      </c>
      <c r="K13087">
        <v>0</v>
      </c>
      <c r="L13087">
        <v>815.88</v>
      </c>
    </row>
    <row r="13088" spans="1:12" x14ac:dyDescent="0.25">
      <c r="A13088" t="str">
        <f t="shared" si="2868"/>
        <v>89301000</v>
      </c>
      <c r="B13088" t="str">
        <f t="shared" si="2869"/>
        <v>06539000</v>
      </c>
      <c r="C13088" t="str">
        <f t="shared" si="2877"/>
        <v>06539003</v>
      </c>
      <c r="D13088" t="str">
        <f t="shared" si="2878"/>
        <v>813</v>
      </c>
      <c r="E13088" t="str">
        <f t="shared" si="2870"/>
        <v>89301171</v>
      </c>
      <c r="F13088" t="str">
        <f t="shared" si="2873"/>
        <v>7309195344</v>
      </c>
      <c r="G13088" s="1">
        <v>44926</v>
      </c>
      <c r="H13088" t="str">
        <f>"91197"</f>
        <v>91197</v>
      </c>
      <c r="I13088">
        <v>1</v>
      </c>
      <c r="J13088">
        <v>1046</v>
      </c>
      <c r="K13088">
        <v>0</v>
      </c>
      <c r="L13088">
        <v>815.88</v>
      </c>
    </row>
    <row r="13089" spans="1:12" x14ac:dyDescent="0.25">
      <c r="A13089" t="str">
        <f t="shared" si="2868"/>
        <v>89301000</v>
      </c>
      <c r="B13089" t="str">
        <f t="shared" si="2869"/>
        <v>06539000</v>
      </c>
      <c r="C13089" t="str">
        <f t="shared" si="2877"/>
        <v>06539003</v>
      </c>
      <c r="D13089" t="str">
        <f t="shared" si="2878"/>
        <v>813</v>
      </c>
      <c r="E13089" t="str">
        <f t="shared" si="2870"/>
        <v>89301171</v>
      </c>
      <c r="F13089" t="str">
        <f t="shared" si="2873"/>
        <v>7309195344</v>
      </c>
      <c r="G13089" s="1">
        <v>44926</v>
      </c>
      <c r="H13089" t="str">
        <f>"91197"</f>
        <v>91197</v>
      </c>
      <c r="I13089">
        <v>1</v>
      </c>
      <c r="J13089">
        <v>1046</v>
      </c>
      <c r="K13089">
        <v>0</v>
      </c>
      <c r="L13089">
        <v>815.88</v>
      </c>
    </row>
    <row r="13090" spans="1:12" x14ac:dyDescent="0.25">
      <c r="A13090" t="str">
        <f t="shared" si="2868"/>
        <v>89301000</v>
      </c>
      <c r="B13090" t="str">
        <f t="shared" si="2869"/>
        <v>06539000</v>
      </c>
      <c r="C13090" t="str">
        <f t="shared" si="2877"/>
        <v>06539003</v>
      </c>
      <c r="D13090" t="str">
        <f t="shared" si="2878"/>
        <v>813</v>
      </c>
      <c r="E13090" t="str">
        <f t="shared" si="2870"/>
        <v>89301171</v>
      </c>
      <c r="F13090" t="str">
        <f t="shared" si="2873"/>
        <v>7309195344</v>
      </c>
      <c r="G13090" s="1">
        <v>44925</v>
      </c>
      <c r="H13090" t="str">
        <f>"91197"</f>
        <v>91197</v>
      </c>
      <c r="I13090">
        <v>1</v>
      </c>
      <c r="J13090">
        <v>1046</v>
      </c>
      <c r="K13090">
        <v>0</v>
      </c>
      <c r="L13090">
        <v>815.88</v>
      </c>
    </row>
    <row r="13091" spans="1:12" x14ac:dyDescent="0.25">
      <c r="A13091" t="str">
        <f t="shared" si="2868"/>
        <v>89301000</v>
      </c>
      <c r="B13091" t="str">
        <f t="shared" ref="B13091:B13101" si="2879">"06539000"</f>
        <v>06539000</v>
      </c>
      <c r="C13091" t="str">
        <f t="shared" si="2877"/>
        <v>06539003</v>
      </c>
      <c r="D13091" t="str">
        <f t="shared" si="2878"/>
        <v>813</v>
      </c>
      <c r="E13091" t="str">
        <f t="shared" ref="E13091:E13101" si="2880">"89301171"</f>
        <v>89301171</v>
      </c>
      <c r="F13091" t="str">
        <f t="shared" si="2873"/>
        <v>7309195344</v>
      </c>
      <c r="G13091" s="1">
        <v>44925</v>
      </c>
      <c r="H13091" t="str">
        <f>"91197"</f>
        <v>91197</v>
      </c>
      <c r="I13091">
        <v>1</v>
      </c>
      <c r="J13091">
        <v>1046</v>
      </c>
      <c r="K13091">
        <v>0</v>
      </c>
      <c r="L13091">
        <v>815.88</v>
      </c>
    </row>
    <row r="13092" spans="1:12" x14ac:dyDescent="0.25">
      <c r="A13092" t="str">
        <f t="shared" si="2868"/>
        <v>89301000</v>
      </c>
      <c r="B13092" t="str">
        <f t="shared" si="2879"/>
        <v>06539000</v>
      </c>
      <c r="C13092" t="str">
        <f t="shared" si="2877"/>
        <v>06539003</v>
      </c>
      <c r="D13092" t="str">
        <f t="shared" si="2878"/>
        <v>813</v>
      </c>
      <c r="E13092" t="str">
        <f t="shared" si="2880"/>
        <v>89301171</v>
      </c>
      <c r="F13092" t="str">
        <f t="shared" si="2873"/>
        <v>7309195344</v>
      </c>
      <c r="G13092" s="1">
        <v>44925</v>
      </c>
      <c r="H13092" t="str">
        <f>"91129"</f>
        <v>91129</v>
      </c>
      <c r="I13092">
        <v>1</v>
      </c>
      <c r="J13092">
        <v>174</v>
      </c>
      <c r="K13092">
        <v>0</v>
      </c>
      <c r="L13092">
        <v>135.72</v>
      </c>
    </row>
    <row r="13093" spans="1:12" x14ac:dyDescent="0.25">
      <c r="A13093" t="str">
        <f t="shared" si="2868"/>
        <v>89301000</v>
      </c>
      <c r="B13093" t="str">
        <f t="shared" si="2879"/>
        <v>06539000</v>
      </c>
      <c r="C13093" t="str">
        <f t="shared" si="2877"/>
        <v>06539003</v>
      </c>
      <c r="D13093" t="str">
        <f t="shared" si="2878"/>
        <v>813</v>
      </c>
      <c r="E13093" t="str">
        <f t="shared" si="2880"/>
        <v>89301171</v>
      </c>
      <c r="F13093" t="str">
        <f t="shared" si="2873"/>
        <v>7309195344</v>
      </c>
      <c r="G13093" s="1">
        <v>44925</v>
      </c>
      <c r="H13093" t="str">
        <f>"91131"</f>
        <v>91131</v>
      </c>
      <c r="I13093">
        <v>1</v>
      </c>
      <c r="J13093">
        <v>171</v>
      </c>
      <c r="K13093">
        <v>0</v>
      </c>
      <c r="L13093">
        <v>133.38</v>
      </c>
    </row>
    <row r="13094" spans="1:12" x14ac:dyDescent="0.25">
      <c r="A13094" t="str">
        <f t="shared" si="2868"/>
        <v>89301000</v>
      </c>
      <c r="B13094" t="str">
        <f t="shared" si="2879"/>
        <v>06539000</v>
      </c>
      <c r="C13094" t="str">
        <f t="shared" si="2877"/>
        <v>06539003</v>
      </c>
      <c r="D13094" t="str">
        <f t="shared" si="2878"/>
        <v>813</v>
      </c>
      <c r="E13094" t="str">
        <f t="shared" si="2880"/>
        <v>89301171</v>
      </c>
      <c r="F13094" t="str">
        <f t="shared" si="2873"/>
        <v>7309195344</v>
      </c>
      <c r="G13094" s="1">
        <v>44925</v>
      </c>
      <c r="H13094" t="str">
        <f>"91133"</f>
        <v>91133</v>
      </c>
      <c r="I13094">
        <v>1</v>
      </c>
      <c r="J13094">
        <v>176</v>
      </c>
      <c r="K13094">
        <v>0</v>
      </c>
      <c r="L13094">
        <v>137.28</v>
      </c>
    </row>
    <row r="13095" spans="1:12" x14ac:dyDescent="0.25">
      <c r="A13095" t="str">
        <f t="shared" si="2868"/>
        <v>89301000</v>
      </c>
      <c r="B13095" t="str">
        <f t="shared" si="2879"/>
        <v>06539000</v>
      </c>
      <c r="C13095" t="str">
        <f t="shared" si="2877"/>
        <v>06539003</v>
      </c>
      <c r="D13095" t="str">
        <f t="shared" si="2878"/>
        <v>813</v>
      </c>
      <c r="E13095" t="str">
        <f t="shared" si="2880"/>
        <v>89301171</v>
      </c>
      <c r="F13095" t="str">
        <f t="shared" si="2873"/>
        <v>7309195344</v>
      </c>
      <c r="G13095" s="1">
        <v>44925</v>
      </c>
      <c r="H13095" t="str">
        <f>"91171"</f>
        <v>91171</v>
      </c>
      <c r="I13095">
        <v>1</v>
      </c>
      <c r="J13095">
        <v>360</v>
      </c>
      <c r="K13095">
        <v>0</v>
      </c>
      <c r="L13095">
        <v>280.8</v>
      </c>
    </row>
    <row r="13096" spans="1:12" x14ac:dyDescent="0.25">
      <c r="A13096" t="str">
        <f t="shared" si="2868"/>
        <v>89301000</v>
      </c>
      <c r="B13096" t="str">
        <f t="shared" si="2879"/>
        <v>06539000</v>
      </c>
      <c r="C13096" t="str">
        <f t="shared" si="2877"/>
        <v>06539003</v>
      </c>
      <c r="D13096" t="str">
        <f t="shared" si="2878"/>
        <v>813</v>
      </c>
      <c r="E13096" t="str">
        <f t="shared" si="2880"/>
        <v>89301171</v>
      </c>
      <c r="F13096" t="str">
        <f t="shared" si="2873"/>
        <v>7309195344</v>
      </c>
      <c r="G13096" s="1">
        <v>44924</v>
      </c>
      <c r="H13096" t="str">
        <f>"91173"</f>
        <v>91173</v>
      </c>
      <c r="I13096">
        <v>1</v>
      </c>
      <c r="J13096">
        <v>335</v>
      </c>
      <c r="K13096">
        <v>0</v>
      </c>
      <c r="L13096">
        <v>261.3</v>
      </c>
    </row>
    <row r="13097" spans="1:12" x14ac:dyDescent="0.25">
      <c r="A13097" t="str">
        <f t="shared" si="2868"/>
        <v>89301000</v>
      </c>
      <c r="B13097" t="str">
        <f t="shared" si="2879"/>
        <v>06539000</v>
      </c>
      <c r="C13097" t="str">
        <f t="shared" si="2877"/>
        <v>06539003</v>
      </c>
      <c r="D13097" t="str">
        <f t="shared" si="2878"/>
        <v>813</v>
      </c>
      <c r="E13097" t="str">
        <f t="shared" si="2880"/>
        <v>89301171</v>
      </c>
      <c r="F13097" t="str">
        <f t="shared" si="2873"/>
        <v>7309195344</v>
      </c>
      <c r="G13097" s="1">
        <v>44925</v>
      </c>
      <c r="H13097" t="str">
        <f>"91175"</f>
        <v>91175</v>
      </c>
      <c r="I13097">
        <v>1</v>
      </c>
      <c r="J13097">
        <v>360</v>
      </c>
      <c r="K13097">
        <v>0</v>
      </c>
      <c r="L13097">
        <v>280.8</v>
      </c>
    </row>
    <row r="13098" spans="1:12" x14ac:dyDescent="0.25">
      <c r="A13098" t="str">
        <f t="shared" si="2868"/>
        <v>89301000</v>
      </c>
      <c r="B13098" t="str">
        <f t="shared" si="2879"/>
        <v>06539000</v>
      </c>
      <c r="C13098" t="str">
        <f t="shared" si="2877"/>
        <v>06539003</v>
      </c>
      <c r="D13098" t="str">
        <f t="shared" si="2878"/>
        <v>813</v>
      </c>
      <c r="E13098" t="str">
        <f t="shared" si="2880"/>
        <v>89301171</v>
      </c>
      <c r="F13098" t="str">
        <f t="shared" si="2873"/>
        <v>7309195344</v>
      </c>
      <c r="G13098" s="1">
        <v>44925</v>
      </c>
      <c r="H13098" t="str">
        <f>"91167"</f>
        <v>91167</v>
      </c>
      <c r="I13098">
        <v>1</v>
      </c>
      <c r="J13098">
        <v>425</v>
      </c>
      <c r="K13098">
        <v>0</v>
      </c>
      <c r="L13098">
        <v>331.5</v>
      </c>
    </row>
    <row r="13099" spans="1:12" x14ac:dyDescent="0.25">
      <c r="A13099" t="str">
        <f t="shared" si="2868"/>
        <v>89301000</v>
      </c>
      <c r="B13099" t="str">
        <f t="shared" si="2879"/>
        <v>06539000</v>
      </c>
      <c r="C13099" t="str">
        <f t="shared" si="2877"/>
        <v>06539003</v>
      </c>
      <c r="D13099" t="str">
        <f t="shared" si="2878"/>
        <v>813</v>
      </c>
      <c r="E13099" t="str">
        <f t="shared" si="2880"/>
        <v>89301171</v>
      </c>
      <c r="F13099" t="str">
        <f t="shared" si="2873"/>
        <v>7309195344</v>
      </c>
      <c r="G13099" s="1">
        <v>44925</v>
      </c>
      <c r="H13099" t="str">
        <f>"91169"</f>
        <v>91169</v>
      </c>
      <c r="I13099">
        <v>1</v>
      </c>
      <c r="J13099">
        <v>425</v>
      </c>
      <c r="K13099">
        <v>0</v>
      </c>
      <c r="L13099">
        <v>331.5</v>
      </c>
    </row>
    <row r="13100" spans="1:12" x14ac:dyDescent="0.25">
      <c r="A13100" t="str">
        <f t="shared" si="2868"/>
        <v>89301000</v>
      </c>
      <c r="B13100" t="str">
        <f t="shared" si="2879"/>
        <v>06539000</v>
      </c>
      <c r="C13100" t="str">
        <f t="shared" si="2877"/>
        <v>06539003</v>
      </c>
      <c r="D13100" t="str">
        <f t="shared" si="2878"/>
        <v>813</v>
      </c>
      <c r="E13100" t="str">
        <f t="shared" si="2880"/>
        <v>89301171</v>
      </c>
      <c r="F13100" t="str">
        <f t="shared" si="2873"/>
        <v>7309195344</v>
      </c>
      <c r="G13100" s="1">
        <v>44924</v>
      </c>
      <c r="H13100" t="str">
        <f>"91167"</f>
        <v>91167</v>
      </c>
      <c r="I13100">
        <v>1</v>
      </c>
      <c r="J13100">
        <v>425</v>
      </c>
      <c r="K13100">
        <v>0</v>
      </c>
      <c r="L13100">
        <v>331.5</v>
      </c>
    </row>
    <row r="13101" spans="1:12" x14ac:dyDescent="0.25">
      <c r="A13101" t="str">
        <f t="shared" si="2868"/>
        <v>89301000</v>
      </c>
      <c r="B13101" t="str">
        <f t="shared" si="2879"/>
        <v>06539000</v>
      </c>
      <c r="C13101" t="str">
        <f t="shared" si="2877"/>
        <v>06539003</v>
      </c>
      <c r="D13101" t="str">
        <f t="shared" si="2878"/>
        <v>813</v>
      </c>
      <c r="E13101" t="str">
        <f t="shared" si="2880"/>
        <v>89301171</v>
      </c>
      <c r="F13101" t="str">
        <f t="shared" si="2873"/>
        <v>7309195344</v>
      </c>
      <c r="G13101" s="1">
        <v>44924</v>
      </c>
      <c r="H13101" t="str">
        <f>"91169"</f>
        <v>91169</v>
      </c>
      <c r="I13101">
        <v>1</v>
      </c>
      <c r="J13101">
        <v>425</v>
      </c>
      <c r="K13101">
        <v>0</v>
      </c>
      <c r="L13101">
        <v>331.5</v>
      </c>
    </row>
    <row r="13102" spans="1:12" x14ac:dyDescent="0.25">
      <c r="A13102" t="str">
        <f t="shared" si="2868"/>
        <v>89301000</v>
      </c>
      <c r="B13102" t="str">
        <f t="shared" ref="B13102:B13133" si="2881">"72100000"</f>
        <v>72100000</v>
      </c>
      <c r="C13102" t="str">
        <f t="shared" ref="C13102:C13133" si="2882">"72100632"</f>
        <v>72100632</v>
      </c>
      <c r="D13102" t="str">
        <f t="shared" ref="D13102:D13133" si="2883">"816"</f>
        <v>816</v>
      </c>
      <c r="E13102" t="str">
        <f t="shared" ref="E13102:E13133" si="2884">"89301091"</f>
        <v>89301091</v>
      </c>
      <c r="F13102" t="str">
        <f>"2112290719"</f>
        <v>2112290719</v>
      </c>
      <c r="G13102" s="1">
        <v>44567</v>
      </c>
      <c r="H13102" t="str">
        <f t="shared" ref="H13102:H13133" si="2885">"94297"</f>
        <v>94297</v>
      </c>
      <c r="I13102">
        <v>1</v>
      </c>
      <c r="J13102">
        <v>298</v>
      </c>
      <c r="K13102">
        <v>0</v>
      </c>
      <c r="L13102">
        <v>366.54</v>
      </c>
    </row>
    <row r="13103" spans="1:12" x14ac:dyDescent="0.25">
      <c r="A13103" t="str">
        <f t="shared" si="2868"/>
        <v>89301000</v>
      </c>
      <c r="B13103" t="str">
        <f t="shared" si="2881"/>
        <v>72100000</v>
      </c>
      <c r="C13103" t="str">
        <f t="shared" si="2882"/>
        <v>72100632</v>
      </c>
      <c r="D13103" t="str">
        <f t="shared" si="2883"/>
        <v>816</v>
      </c>
      <c r="E13103" t="str">
        <f t="shared" si="2884"/>
        <v>89301091</v>
      </c>
      <c r="F13103" t="str">
        <f>"9754236140"</f>
        <v>9754236140</v>
      </c>
      <c r="G13103" s="1">
        <v>44567</v>
      </c>
      <c r="H13103" t="str">
        <f t="shared" si="2885"/>
        <v>94297</v>
      </c>
      <c r="I13103">
        <v>1</v>
      </c>
      <c r="J13103">
        <v>298</v>
      </c>
      <c r="K13103">
        <v>0</v>
      </c>
      <c r="L13103">
        <v>366.54</v>
      </c>
    </row>
    <row r="13104" spans="1:12" x14ac:dyDescent="0.25">
      <c r="A13104" t="str">
        <f t="shared" si="2868"/>
        <v>89301000</v>
      </c>
      <c r="B13104" t="str">
        <f t="shared" si="2881"/>
        <v>72100000</v>
      </c>
      <c r="C13104" t="str">
        <f t="shared" si="2882"/>
        <v>72100632</v>
      </c>
      <c r="D13104" t="str">
        <f t="shared" si="2883"/>
        <v>816</v>
      </c>
      <c r="E13104" t="str">
        <f t="shared" si="2884"/>
        <v>89301091</v>
      </c>
      <c r="F13104" t="str">
        <f>"9660206160"</f>
        <v>9660206160</v>
      </c>
      <c r="G13104" s="1">
        <v>44567</v>
      </c>
      <c r="H13104" t="str">
        <f t="shared" si="2885"/>
        <v>94297</v>
      </c>
      <c r="I13104">
        <v>1</v>
      </c>
      <c r="J13104">
        <v>298</v>
      </c>
      <c r="K13104">
        <v>0</v>
      </c>
      <c r="L13104">
        <v>366.54</v>
      </c>
    </row>
    <row r="13105" spans="1:12" x14ac:dyDescent="0.25">
      <c r="A13105" t="str">
        <f t="shared" si="2868"/>
        <v>89301000</v>
      </c>
      <c r="B13105" t="str">
        <f t="shared" si="2881"/>
        <v>72100000</v>
      </c>
      <c r="C13105" t="str">
        <f t="shared" si="2882"/>
        <v>72100632</v>
      </c>
      <c r="D13105" t="str">
        <f t="shared" si="2883"/>
        <v>816</v>
      </c>
      <c r="E13105" t="str">
        <f t="shared" si="2884"/>
        <v>89301091</v>
      </c>
      <c r="F13105" t="str">
        <f>"8756195767"</f>
        <v>8756195767</v>
      </c>
      <c r="G13105" s="1">
        <v>44567</v>
      </c>
      <c r="H13105" t="str">
        <f t="shared" si="2885"/>
        <v>94297</v>
      </c>
      <c r="I13105">
        <v>1</v>
      </c>
      <c r="J13105">
        <v>298</v>
      </c>
      <c r="K13105">
        <v>0</v>
      </c>
      <c r="L13105">
        <v>366.54</v>
      </c>
    </row>
    <row r="13106" spans="1:12" x14ac:dyDescent="0.25">
      <c r="A13106" t="str">
        <f t="shared" si="2868"/>
        <v>89301000</v>
      </c>
      <c r="B13106" t="str">
        <f t="shared" si="2881"/>
        <v>72100000</v>
      </c>
      <c r="C13106" t="str">
        <f t="shared" si="2882"/>
        <v>72100632</v>
      </c>
      <c r="D13106" t="str">
        <f t="shared" si="2883"/>
        <v>816</v>
      </c>
      <c r="E13106" t="str">
        <f t="shared" si="2884"/>
        <v>89301091</v>
      </c>
      <c r="F13106" t="str">
        <f>"9952195748"</f>
        <v>9952195748</v>
      </c>
      <c r="G13106" s="1">
        <v>44567</v>
      </c>
      <c r="H13106" t="str">
        <f t="shared" si="2885"/>
        <v>94297</v>
      </c>
      <c r="I13106">
        <v>1</v>
      </c>
      <c r="J13106">
        <v>298</v>
      </c>
      <c r="K13106">
        <v>0</v>
      </c>
      <c r="L13106">
        <v>366.54</v>
      </c>
    </row>
    <row r="13107" spans="1:12" x14ac:dyDescent="0.25">
      <c r="A13107" t="str">
        <f t="shared" si="2868"/>
        <v>89301000</v>
      </c>
      <c r="B13107" t="str">
        <f t="shared" si="2881"/>
        <v>72100000</v>
      </c>
      <c r="C13107" t="str">
        <f t="shared" si="2882"/>
        <v>72100632</v>
      </c>
      <c r="D13107" t="str">
        <f t="shared" si="2883"/>
        <v>816</v>
      </c>
      <c r="E13107" t="str">
        <f t="shared" si="2884"/>
        <v>89301091</v>
      </c>
      <c r="F13107" t="str">
        <f>"9761214199"</f>
        <v>9761214199</v>
      </c>
      <c r="G13107" s="1">
        <v>44567</v>
      </c>
      <c r="H13107" t="str">
        <f t="shared" si="2885"/>
        <v>94297</v>
      </c>
      <c r="I13107">
        <v>1</v>
      </c>
      <c r="J13107">
        <v>298</v>
      </c>
      <c r="K13107">
        <v>0</v>
      </c>
      <c r="L13107">
        <v>366.54</v>
      </c>
    </row>
    <row r="13108" spans="1:12" x14ac:dyDescent="0.25">
      <c r="A13108" t="str">
        <f t="shared" si="2868"/>
        <v>89301000</v>
      </c>
      <c r="B13108" t="str">
        <f t="shared" si="2881"/>
        <v>72100000</v>
      </c>
      <c r="C13108" t="str">
        <f t="shared" si="2882"/>
        <v>72100632</v>
      </c>
      <c r="D13108" t="str">
        <f t="shared" si="2883"/>
        <v>816</v>
      </c>
      <c r="E13108" t="str">
        <f t="shared" si="2884"/>
        <v>89301091</v>
      </c>
      <c r="F13108" t="str">
        <f>"8654304835"</f>
        <v>8654304835</v>
      </c>
      <c r="G13108" s="1">
        <v>44567</v>
      </c>
      <c r="H13108" t="str">
        <f t="shared" si="2885"/>
        <v>94297</v>
      </c>
      <c r="I13108">
        <v>1</v>
      </c>
      <c r="J13108">
        <v>298</v>
      </c>
      <c r="K13108">
        <v>0</v>
      </c>
      <c r="L13108">
        <v>366.54</v>
      </c>
    </row>
    <row r="13109" spans="1:12" x14ac:dyDescent="0.25">
      <c r="A13109" t="str">
        <f t="shared" si="2868"/>
        <v>89301000</v>
      </c>
      <c r="B13109" t="str">
        <f t="shared" si="2881"/>
        <v>72100000</v>
      </c>
      <c r="C13109" t="str">
        <f t="shared" si="2882"/>
        <v>72100632</v>
      </c>
      <c r="D13109" t="str">
        <f t="shared" si="2883"/>
        <v>816</v>
      </c>
      <c r="E13109" t="str">
        <f t="shared" si="2884"/>
        <v>89301091</v>
      </c>
      <c r="F13109" t="str">
        <f>"9451284480"</f>
        <v>9451284480</v>
      </c>
      <c r="G13109" s="1">
        <v>44567</v>
      </c>
      <c r="H13109" t="str">
        <f t="shared" si="2885"/>
        <v>94297</v>
      </c>
      <c r="I13109">
        <v>1</v>
      </c>
      <c r="J13109">
        <v>298</v>
      </c>
      <c r="K13109">
        <v>0</v>
      </c>
      <c r="L13109">
        <v>366.54</v>
      </c>
    </row>
    <row r="13110" spans="1:12" x14ac:dyDescent="0.25">
      <c r="A13110" t="str">
        <f t="shared" si="2868"/>
        <v>89301000</v>
      </c>
      <c r="B13110" t="str">
        <f t="shared" si="2881"/>
        <v>72100000</v>
      </c>
      <c r="C13110" t="str">
        <f t="shared" si="2882"/>
        <v>72100632</v>
      </c>
      <c r="D13110" t="str">
        <f t="shared" si="2883"/>
        <v>816</v>
      </c>
      <c r="E13110" t="str">
        <f t="shared" si="2884"/>
        <v>89301091</v>
      </c>
      <c r="F13110" t="str">
        <f>"2201020327"</f>
        <v>2201020327</v>
      </c>
      <c r="G13110" s="1">
        <v>44571</v>
      </c>
      <c r="H13110" t="str">
        <f t="shared" si="2885"/>
        <v>94297</v>
      </c>
      <c r="I13110">
        <v>1</v>
      </c>
      <c r="J13110">
        <v>298</v>
      </c>
      <c r="K13110">
        <v>0</v>
      </c>
      <c r="L13110">
        <v>366.54</v>
      </c>
    </row>
    <row r="13111" spans="1:12" x14ac:dyDescent="0.25">
      <c r="A13111" t="str">
        <f t="shared" si="2868"/>
        <v>89301000</v>
      </c>
      <c r="B13111" t="str">
        <f t="shared" si="2881"/>
        <v>72100000</v>
      </c>
      <c r="C13111" t="str">
        <f t="shared" si="2882"/>
        <v>72100632</v>
      </c>
      <c r="D13111" t="str">
        <f t="shared" si="2883"/>
        <v>816</v>
      </c>
      <c r="E13111" t="str">
        <f t="shared" si="2884"/>
        <v>89301091</v>
      </c>
      <c r="F13111" t="str">
        <f>"2201020338"</f>
        <v>2201020338</v>
      </c>
      <c r="G13111" s="1">
        <v>44571</v>
      </c>
      <c r="H13111" t="str">
        <f t="shared" si="2885"/>
        <v>94297</v>
      </c>
      <c r="I13111">
        <v>1</v>
      </c>
      <c r="J13111">
        <v>298</v>
      </c>
      <c r="K13111">
        <v>0</v>
      </c>
      <c r="L13111">
        <v>366.54</v>
      </c>
    </row>
    <row r="13112" spans="1:12" x14ac:dyDescent="0.25">
      <c r="A13112" t="str">
        <f t="shared" si="2868"/>
        <v>89301000</v>
      </c>
      <c r="B13112" t="str">
        <f t="shared" si="2881"/>
        <v>72100000</v>
      </c>
      <c r="C13112" t="str">
        <f t="shared" si="2882"/>
        <v>72100632</v>
      </c>
      <c r="D13112" t="str">
        <f t="shared" si="2883"/>
        <v>816</v>
      </c>
      <c r="E13112" t="str">
        <f t="shared" si="2884"/>
        <v>89301091</v>
      </c>
      <c r="F13112" t="str">
        <f>"2201020349"</f>
        <v>2201020349</v>
      </c>
      <c r="G13112" s="1">
        <v>44571</v>
      </c>
      <c r="H13112" t="str">
        <f t="shared" si="2885"/>
        <v>94297</v>
      </c>
      <c r="I13112">
        <v>1</v>
      </c>
      <c r="J13112">
        <v>298</v>
      </c>
      <c r="K13112">
        <v>0</v>
      </c>
      <c r="L13112">
        <v>366.54</v>
      </c>
    </row>
    <row r="13113" spans="1:12" x14ac:dyDescent="0.25">
      <c r="A13113" t="str">
        <f t="shared" si="2868"/>
        <v>89301000</v>
      </c>
      <c r="B13113" t="str">
        <f t="shared" si="2881"/>
        <v>72100000</v>
      </c>
      <c r="C13113" t="str">
        <f t="shared" si="2882"/>
        <v>72100632</v>
      </c>
      <c r="D13113" t="str">
        <f t="shared" si="2883"/>
        <v>816</v>
      </c>
      <c r="E13113" t="str">
        <f t="shared" si="2884"/>
        <v>89301091</v>
      </c>
      <c r="F13113" t="str">
        <f>"2251020354"</f>
        <v>2251020354</v>
      </c>
      <c r="G13113" s="1">
        <v>44571</v>
      </c>
      <c r="H13113" t="str">
        <f t="shared" si="2885"/>
        <v>94297</v>
      </c>
      <c r="I13113">
        <v>1</v>
      </c>
      <c r="J13113">
        <v>298</v>
      </c>
      <c r="K13113">
        <v>0</v>
      </c>
      <c r="L13113">
        <v>366.54</v>
      </c>
    </row>
    <row r="13114" spans="1:12" x14ac:dyDescent="0.25">
      <c r="A13114" t="str">
        <f t="shared" si="2868"/>
        <v>89301000</v>
      </c>
      <c r="B13114" t="str">
        <f t="shared" si="2881"/>
        <v>72100000</v>
      </c>
      <c r="C13114" t="str">
        <f t="shared" si="2882"/>
        <v>72100632</v>
      </c>
      <c r="D13114" t="str">
        <f t="shared" si="2883"/>
        <v>816</v>
      </c>
      <c r="E13114" t="str">
        <f t="shared" si="2884"/>
        <v>89301091</v>
      </c>
      <c r="F13114" t="str">
        <f>"2201040105"</f>
        <v>2201040105</v>
      </c>
      <c r="G13114" s="1">
        <v>44573</v>
      </c>
      <c r="H13114" t="str">
        <f t="shared" si="2885"/>
        <v>94297</v>
      </c>
      <c r="I13114">
        <v>1</v>
      </c>
      <c r="J13114">
        <v>298</v>
      </c>
      <c r="K13114">
        <v>0</v>
      </c>
      <c r="L13114">
        <v>366.54</v>
      </c>
    </row>
    <row r="13115" spans="1:12" x14ac:dyDescent="0.25">
      <c r="A13115" t="str">
        <f t="shared" si="2868"/>
        <v>89301000</v>
      </c>
      <c r="B13115" t="str">
        <f t="shared" si="2881"/>
        <v>72100000</v>
      </c>
      <c r="C13115" t="str">
        <f t="shared" si="2882"/>
        <v>72100632</v>
      </c>
      <c r="D13115" t="str">
        <f t="shared" si="2883"/>
        <v>816</v>
      </c>
      <c r="E13115" t="str">
        <f t="shared" si="2884"/>
        <v>89301091</v>
      </c>
      <c r="F13115" t="str">
        <f>"2201040116"</f>
        <v>2201040116</v>
      </c>
      <c r="G13115" s="1">
        <v>44573</v>
      </c>
      <c r="H13115" t="str">
        <f t="shared" si="2885"/>
        <v>94297</v>
      </c>
      <c r="I13115">
        <v>1</v>
      </c>
      <c r="J13115">
        <v>298</v>
      </c>
      <c r="K13115">
        <v>0</v>
      </c>
      <c r="L13115">
        <v>366.54</v>
      </c>
    </row>
    <row r="13116" spans="1:12" x14ac:dyDescent="0.25">
      <c r="A13116" t="str">
        <f t="shared" si="2868"/>
        <v>89301000</v>
      </c>
      <c r="B13116" t="str">
        <f t="shared" si="2881"/>
        <v>72100000</v>
      </c>
      <c r="C13116" t="str">
        <f t="shared" si="2882"/>
        <v>72100632</v>
      </c>
      <c r="D13116" t="str">
        <f t="shared" si="2883"/>
        <v>816</v>
      </c>
      <c r="E13116" t="str">
        <f t="shared" si="2884"/>
        <v>89301091</v>
      </c>
      <c r="F13116" t="str">
        <f>"2201040600"</f>
        <v>2201040600</v>
      </c>
      <c r="G13116" s="1">
        <v>44574</v>
      </c>
      <c r="H13116" t="str">
        <f t="shared" si="2885"/>
        <v>94297</v>
      </c>
      <c r="I13116">
        <v>1</v>
      </c>
      <c r="J13116">
        <v>298</v>
      </c>
      <c r="K13116">
        <v>0</v>
      </c>
      <c r="L13116">
        <v>366.54</v>
      </c>
    </row>
    <row r="13117" spans="1:12" x14ac:dyDescent="0.25">
      <c r="A13117" t="str">
        <f t="shared" si="2868"/>
        <v>89301000</v>
      </c>
      <c r="B13117" t="str">
        <f t="shared" si="2881"/>
        <v>72100000</v>
      </c>
      <c r="C13117" t="str">
        <f t="shared" si="2882"/>
        <v>72100632</v>
      </c>
      <c r="D13117" t="str">
        <f t="shared" si="2883"/>
        <v>816</v>
      </c>
      <c r="E13117" t="str">
        <f t="shared" si="2884"/>
        <v>89301091</v>
      </c>
      <c r="F13117" t="str">
        <f>"2251050560"</f>
        <v>2251050560</v>
      </c>
      <c r="G13117" s="1">
        <v>44574</v>
      </c>
      <c r="H13117" t="str">
        <f t="shared" si="2885"/>
        <v>94297</v>
      </c>
      <c r="I13117">
        <v>1</v>
      </c>
      <c r="J13117">
        <v>298</v>
      </c>
      <c r="K13117">
        <v>0</v>
      </c>
      <c r="L13117">
        <v>366.54</v>
      </c>
    </row>
    <row r="13118" spans="1:12" x14ac:dyDescent="0.25">
      <c r="A13118" t="str">
        <f t="shared" si="2868"/>
        <v>89301000</v>
      </c>
      <c r="B13118" t="str">
        <f t="shared" si="2881"/>
        <v>72100000</v>
      </c>
      <c r="C13118" t="str">
        <f t="shared" si="2882"/>
        <v>72100632</v>
      </c>
      <c r="D13118" t="str">
        <f t="shared" si="2883"/>
        <v>816</v>
      </c>
      <c r="E13118" t="str">
        <f t="shared" si="2884"/>
        <v>89301091</v>
      </c>
      <c r="F13118" t="str">
        <f>"2251050571"</f>
        <v>2251050571</v>
      </c>
      <c r="G13118" s="1">
        <v>44574</v>
      </c>
      <c r="H13118" t="str">
        <f t="shared" si="2885"/>
        <v>94297</v>
      </c>
      <c r="I13118">
        <v>1</v>
      </c>
      <c r="J13118">
        <v>298</v>
      </c>
      <c r="K13118">
        <v>0</v>
      </c>
      <c r="L13118">
        <v>366.54</v>
      </c>
    </row>
    <row r="13119" spans="1:12" x14ac:dyDescent="0.25">
      <c r="A13119" t="str">
        <f t="shared" si="2868"/>
        <v>89301000</v>
      </c>
      <c r="B13119" t="str">
        <f t="shared" si="2881"/>
        <v>72100000</v>
      </c>
      <c r="C13119" t="str">
        <f t="shared" si="2882"/>
        <v>72100632</v>
      </c>
      <c r="D13119" t="str">
        <f t="shared" si="2883"/>
        <v>816</v>
      </c>
      <c r="E13119" t="str">
        <f t="shared" si="2884"/>
        <v>89301091</v>
      </c>
      <c r="F13119" t="str">
        <f>"2251050582"</f>
        <v>2251050582</v>
      </c>
      <c r="G13119" s="1">
        <v>44574</v>
      </c>
      <c r="H13119" t="str">
        <f t="shared" si="2885"/>
        <v>94297</v>
      </c>
      <c r="I13119">
        <v>1</v>
      </c>
      <c r="J13119">
        <v>298</v>
      </c>
      <c r="K13119">
        <v>0</v>
      </c>
      <c r="L13119">
        <v>366.54</v>
      </c>
    </row>
    <row r="13120" spans="1:12" x14ac:dyDescent="0.25">
      <c r="A13120" t="str">
        <f t="shared" si="2868"/>
        <v>89301000</v>
      </c>
      <c r="B13120" t="str">
        <f t="shared" si="2881"/>
        <v>72100000</v>
      </c>
      <c r="C13120" t="str">
        <f t="shared" si="2882"/>
        <v>72100632</v>
      </c>
      <c r="D13120" t="str">
        <f t="shared" si="2883"/>
        <v>816</v>
      </c>
      <c r="E13120" t="str">
        <f t="shared" si="2884"/>
        <v>89301091</v>
      </c>
      <c r="F13120" t="str">
        <f>"2251030562"</f>
        <v>2251030562</v>
      </c>
      <c r="G13120" s="1">
        <v>44578</v>
      </c>
      <c r="H13120" t="str">
        <f t="shared" si="2885"/>
        <v>94297</v>
      </c>
      <c r="I13120">
        <v>1</v>
      </c>
      <c r="J13120">
        <v>298</v>
      </c>
      <c r="K13120">
        <v>0</v>
      </c>
      <c r="L13120">
        <v>366.54</v>
      </c>
    </row>
    <row r="13121" spans="1:12" x14ac:dyDescent="0.25">
      <c r="A13121" t="str">
        <f t="shared" si="2868"/>
        <v>89301000</v>
      </c>
      <c r="B13121" t="str">
        <f t="shared" si="2881"/>
        <v>72100000</v>
      </c>
      <c r="C13121" t="str">
        <f t="shared" si="2882"/>
        <v>72100632</v>
      </c>
      <c r="D13121" t="str">
        <f t="shared" si="2883"/>
        <v>816</v>
      </c>
      <c r="E13121" t="str">
        <f t="shared" si="2884"/>
        <v>89301091</v>
      </c>
      <c r="F13121" t="str">
        <f>"2251030595"</f>
        <v>2251030595</v>
      </c>
      <c r="G13121" s="1">
        <v>44578</v>
      </c>
      <c r="H13121" t="str">
        <f t="shared" si="2885"/>
        <v>94297</v>
      </c>
      <c r="I13121">
        <v>1</v>
      </c>
      <c r="J13121">
        <v>298</v>
      </c>
      <c r="K13121">
        <v>0</v>
      </c>
      <c r="L13121">
        <v>366.54</v>
      </c>
    </row>
    <row r="13122" spans="1:12" x14ac:dyDescent="0.25">
      <c r="A13122" t="str">
        <f t="shared" ref="A13122:A13185" si="2886">"89301000"</f>
        <v>89301000</v>
      </c>
      <c r="B13122" t="str">
        <f t="shared" si="2881"/>
        <v>72100000</v>
      </c>
      <c r="C13122" t="str">
        <f t="shared" si="2882"/>
        <v>72100632</v>
      </c>
      <c r="D13122" t="str">
        <f t="shared" si="2883"/>
        <v>816</v>
      </c>
      <c r="E13122" t="str">
        <f t="shared" si="2884"/>
        <v>89301091</v>
      </c>
      <c r="F13122" t="str">
        <f>"2201030469"</f>
        <v>2201030469</v>
      </c>
      <c r="G13122" s="1">
        <v>44578</v>
      </c>
      <c r="H13122" t="str">
        <f t="shared" si="2885"/>
        <v>94297</v>
      </c>
      <c r="I13122">
        <v>1</v>
      </c>
      <c r="J13122">
        <v>298</v>
      </c>
      <c r="K13122">
        <v>0</v>
      </c>
      <c r="L13122">
        <v>366.54</v>
      </c>
    </row>
    <row r="13123" spans="1:12" x14ac:dyDescent="0.25">
      <c r="A13123" t="str">
        <f t="shared" si="2886"/>
        <v>89301000</v>
      </c>
      <c r="B13123" t="str">
        <f t="shared" si="2881"/>
        <v>72100000</v>
      </c>
      <c r="C13123" t="str">
        <f t="shared" si="2882"/>
        <v>72100632</v>
      </c>
      <c r="D13123" t="str">
        <f t="shared" si="2883"/>
        <v>816</v>
      </c>
      <c r="E13123" t="str">
        <f t="shared" si="2884"/>
        <v>89301091</v>
      </c>
      <c r="F13123" t="str">
        <f>"2201030502"</f>
        <v>2201030502</v>
      </c>
      <c r="G13123" s="1">
        <v>44578</v>
      </c>
      <c r="H13123" t="str">
        <f t="shared" si="2885"/>
        <v>94297</v>
      </c>
      <c r="I13123">
        <v>1</v>
      </c>
      <c r="J13123">
        <v>298</v>
      </c>
      <c r="K13123">
        <v>0</v>
      </c>
      <c r="L13123">
        <v>366.54</v>
      </c>
    </row>
    <row r="13124" spans="1:12" x14ac:dyDescent="0.25">
      <c r="A13124" t="str">
        <f t="shared" si="2886"/>
        <v>89301000</v>
      </c>
      <c r="B13124" t="str">
        <f t="shared" si="2881"/>
        <v>72100000</v>
      </c>
      <c r="C13124" t="str">
        <f t="shared" si="2882"/>
        <v>72100632</v>
      </c>
      <c r="D13124" t="str">
        <f t="shared" si="2883"/>
        <v>816</v>
      </c>
      <c r="E13124" t="str">
        <f t="shared" si="2884"/>
        <v>89301091</v>
      </c>
      <c r="F13124" t="str">
        <f>"2251030639"</f>
        <v>2251030639</v>
      </c>
      <c r="G13124" s="1">
        <v>44578</v>
      </c>
      <c r="H13124" t="str">
        <f t="shared" si="2885"/>
        <v>94297</v>
      </c>
      <c r="I13124">
        <v>1</v>
      </c>
      <c r="J13124">
        <v>298</v>
      </c>
      <c r="K13124">
        <v>0</v>
      </c>
      <c r="L13124">
        <v>366.54</v>
      </c>
    </row>
    <row r="13125" spans="1:12" x14ac:dyDescent="0.25">
      <c r="A13125" t="str">
        <f t="shared" si="2886"/>
        <v>89301000</v>
      </c>
      <c r="B13125" t="str">
        <f t="shared" si="2881"/>
        <v>72100000</v>
      </c>
      <c r="C13125" t="str">
        <f t="shared" si="2882"/>
        <v>72100632</v>
      </c>
      <c r="D13125" t="str">
        <f t="shared" si="2883"/>
        <v>816</v>
      </c>
      <c r="E13125" t="str">
        <f t="shared" si="2884"/>
        <v>89301091</v>
      </c>
      <c r="F13125" t="str">
        <f>"2201080299"</f>
        <v>2201080299</v>
      </c>
      <c r="G13125" s="1">
        <v>44578</v>
      </c>
      <c r="H13125" t="str">
        <f t="shared" si="2885"/>
        <v>94297</v>
      </c>
      <c r="I13125">
        <v>1</v>
      </c>
      <c r="J13125">
        <v>298</v>
      </c>
      <c r="K13125">
        <v>0</v>
      </c>
      <c r="L13125">
        <v>366.54</v>
      </c>
    </row>
    <row r="13126" spans="1:12" x14ac:dyDescent="0.25">
      <c r="A13126" t="str">
        <f t="shared" si="2886"/>
        <v>89301000</v>
      </c>
      <c r="B13126" t="str">
        <f t="shared" si="2881"/>
        <v>72100000</v>
      </c>
      <c r="C13126" t="str">
        <f t="shared" si="2882"/>
        <v>72100632</v>
      </c>
      <c r="D13126" t="str">
        <f t="shared" si="2883"/>
        <v>816</v>
      </c>
      <c r="E13126" t="str">
        <f t="shared" si="2884"/>
        <v>89301091</v>
      </c>
      <c r="F13126" t="str">
        <f>"2201090265"</f>
        <v>2201090265</v>
      </c>
      <c r="G13126" s="1">
        <v>44578</v>
      </c>
      <c r="H13126" t="str">
        <f t="shared" si="2885"/>
        <v>94297</v>
      </c>
      <c r="I13126">
        <v>1</v>
      </c>
      <c r="J13126">
        <v>298</v>
      </c>
      <c r="K13126">
        <v>0</v>
      </c>
      <c r="L13126">
        <v>366.54</v>
      </c>
    </row>
    <row r="13127" spans="1:12" x14ac:dyDescent="0.25">
      <c r="A13127" t="str">
        <f t="shared" si="2886"/>
        <v>89301000</v>
      </c>
      <c r="B13127" t="str">
        <f t="shared" si="2881"/>
        <v>72100000</v>
      </c>
      <c r="C13127" t="str">
        <f t="shared" si="2882"/>
        <v>72100632</v>
      </c>
      <c r="D13127" t="str">
        <f t="shared" si="2883"/>
        <v>816</v>
      </c>
      <c r="E13127" t="str">
        <f t="shared" si="2884"/>
        <v>89301091</v>
      </c>
      <c r="F13127" t="str">
        <f>"2112280049"</f>
        <v>2112280049</v>
      </c>
      <c r="G13127" s="1">
        <v>44578</v>
      </c>
      <c r="H13127" t="str">
        <f t="shared" si="2885"/>
        <v>94297</v>
      </c>
      <c r="I13127">
        <v>1</v>
      </c>
      <c r="J13127">
        <v>298</v>
      </c>
      <c r="K13127">
        <v>0</v>
      </c>
      <c r="L13127">
        <v>366.54</v>
      </c>
    </row>
    <row r="13128" spans="1:12" x14ac:dyDescent="0.25">
      <c r="A13128" t="str">
        <f t="shared" si="2886"/>
        <v>89301000</v>
      </c>
      <c r="B13128" t="str">
        <f t="shared" si="2881"/>
        <v>72100000</v>
      </c>
      <c r="C13128" t="str">
        <f t="shared" si="2882"/>
        <v>72100632</v>
      </c>
      <c r="D13128" t="str">
        <f t="shared" si="2883"/>
        <v>816</v>
      </c>
      <c r="E13128" t="str">
        <f t="shared" si="2884"/>
        <v>89301091</v>
      </c>
      <c r="F13128" t="str">
        <f>"2251100643"</f>
        <v>2251100643</v>
      </c>
      <c r="G13128" s="1">
        <v>44579</v>
      </c>
      <c r="H13128" t="str">
        <f t="shared" si="2885"/>
        <v>94297</v>
      </c>
      <c r="I13128">
        <v>1</v>
      </c>
      <c r="J13128">
        <v>298</v>
      </c>
      <c r="K13128">
        <v>0</v>
      </c>
      <c r="L13128">
        <v>366.54</v>
      </c>
    </row>
    <row r="13129" spans="1:12" x14ac:dyDescent="0.25">
      <c r="A13129" t="str">
        <f t="shared" si="2886"/>
        <v>89301000</v>
      </c>
      <c r="B13129" t="str">
        <f t="shared" si="2881"/>
        <v>72100000</v>
      </c>
      <c r="C13129" t="str">
        <f t="shared" si="2882"/>
        <v>72100632</v>
      </c>
      <c r="D13129" t="str">
        <f t="shared" si="2883"/>
        <v>816</v>
      </c>
      <c r="E13129" t="str">
        <f t="shared" si="2884"/>
        <v>89301091</v>
      </c>
      <c r="F13129" t="str">
        <f>"2201100737"</f>
        <v>2201100737</v>
      </c>
      <c r="G13129" s="1">
        <v>44579</v>
      </c>
      <c r="H13129" t="str">
        <f t="shared" si="2885"/>
        <v>94297</v>
      </c>
      <c r="I13129">
        <v>1</v>
      </c>
      <c r="J13129">
        <v>298</v>
      </c>
      <c r="K13129">
        <v>0</v>
      </c>
      <c r="L13129">
        <v>366.54</v>
      </c>
    </row>
    <row r="13130" spans="1:12" x14ac:dyDescent="0.25">
      <c r="A13130" t="str">
        <f t="shared" si="2886"/>
        <v>89301000</v>
      </c>
      <c r="B13130" t="str">
        <f t="shared" si="2881"/>
        <v>72100000</v>
      </c>
      <c r="C13130" t="str">
        <f t="shared" si="2882"/>
        <v>72100632</v>
      </c>
      <c r="D13130" t="str">
        <f t="shared" si="2883"/>
        <v>816</v>
      </c>
      <c r="E13130" t="str">
        <f t="shared" si="2884"/>
        <v>89301091</v>
      </c>
      <c r="F13130" t="str">
        <f>"2251100676"</f>
        <v>2251100676</v>
      </c>
      <c r="G13130" s="1">
        <v>44579</v>
      </c>
      <c r="H13130" t="str">
        <f t="shared" si="2885"/>
        <v>94297</v>
      </c>
      <c r="I13130">
        <v>1</v>
      </c>
      <c r="J13130">
        <v>298</v>
      </c>
      <c r="K13130">
        <v>0</v>
      </c>
      <c r="L13130">
        <v>366.54</v>
      </c>
    </row>
    <row r="13131" spans="1:12" x14ac:dyDescent="0.25">
      <c r="A13131" t="str">
        <f t="shared" si="2886"/>
        <v>89301000</v>
      </c>
      <c r="B13131" t="str">
        <f t="shared" si="2881"/>
        <v>72100000</v>
      </c>
      <c r="C13131" t="str">
        <f t="shared" si="2882"/>
        <v>72100632</v>
      </c>
      <c r="D13131" t="str">
        <f t="shared" si="2883"/>
        <v>816</v>
      </c>
      <c r="E13131" t="str">
        <f t="shared" si="2884"/>
        <v>89301091</v>
      </c>
      <c r="F13131" t="str">
        <f>"2201100781"</f>
        <v>2201100781</v>
      </c>
      <c r="G13131" s="1">
        <v>44579</v>
      </c>
      <c r="H13131" t="str">
        <f t="shared" si="2885"/>
        <v>94297</v>
      </c>
      <c r="I13131">
        <v>1</v>
      </c>
      <c r="J13131">
        <v>298</v>
      </c>
      <c r="K13131">
        <v>0</v>
      </c>
      <c r="L13131">
        <v>366.54</v>
      </c>
    </row>
    <row r="13132" spans="1:12" x14ac:dyDescent="0.25">
      <c r="A13132" t="str">
        <f t="shared" si="2886"/>
        <v>89301000</v>
      </c>
      <c r="B13132" t="str">
        <f t="shared" si="2881"/>
        <v>72100000</v>
      </c>
      <c r="C13132" t="str">
        <f t="shared" si="2882"/>
        <v>72100632</v>
      </c>
      <c r="D13132" t="str">
        <f t="shared" si="2883"/>
        <v>816</v>
      </c>
      <c r="E13132" t="str">
        <f t="shared" si="2884"/>
        <v>89301091</v>
      </c>
      <c r="F13132" t="str">
        <f>"2251100709"</f>
        <v>2251100709</v>
      </c>
      <c r="G13132" s="1">
        <v>44579</v>
      </c>
      <c r="H13132" t="str">
        <f t="shared" si="2885"/>
        <v>94297</v>
      </c>
      <c r="I13132">
        <v>1</v>
      </c>
      <c r="J13132">
        <v>298</v>
      </c>
      <c r="K13132">
        <v>0</v>
      </c>
      <c r="L13132">
        <v>366.54</v>
      </c>
    </row>
    <row r="13133" spans="1:12" x14ac:dyDescent="0.25">
      <c r="A13133" t="str">
        <f t="shared" si="2886"/>
        <v>89301000</v>
      </c>
      <c r="B13133" t="str">
        <f t="shared" si="2881"/>
        <v>72100000</v>
      </c>
      <c r="C13133" t="str">
        <f t="shared" si="2882"/>
        <v>72100632</v>
      </c>
      <c r="D13133" t="str">
        <f t="shared" si="2883"/>
        <v>816</v>
      </c>
      <c r="E13133" t="str">
        <f t="shared" si="2884"/>
        <v>89301091</v>
      </c>
      <c r="F13133" t="str">
        <f>"2201100792"</f>
        <v>2201100792</v>
      </c>
      <c r="G13133" s="1">
        <v>44579</v>
      </c>
      <c r="H13133" t="str">
        <f t="shared" si="2885"/>
        <v>94297</v>
      </c>
      <c r="I13133">
        <v>1</v>
      </c>
      <c r="J13133">
        <v>298</v>
      </c>
      <c r="K13133">
        <v>0</v>
      </c>
      <c r="L13133">
        <v>366.54</v>
      </c>
    </row>
    <row r="13134" spans="1:12" x14ac:dyDescent="0.25">
      <c r="A13134" t="str">
        <f t="shared" si="2886"/>
        <v>89301000</v>
      </c>
      <c r="B13134" t="str">
        <f t="shared" ref="B13134:B13165" si="2887">"72100000"</f>
        <v>72100000</v>
      </c>
      <c r="C13134" t="str">
        <f t="shared" ref="C13134:C13165" si="2888">"72100632"</f>
        <v>72100632</v>
      </c>
      <c r="D13134" t="str">
        <f t="shared" ref="D13134:D13165" si="2889">"816"</f>
        <v>816</v>
      </c>
      <c r="E13134" t="str">
        <f t="shared" ref="E13134:E13165" si="2890">"89301091"</f>
        <v>89301091</v>
      </c>
      <c r="F13134" t="str">
        <f>"7959305761"</f>
        <v>7959305761</v>
      </c>
      <c r="G13134" s="1">
        <v>44580</v>
      </c>
      <c r="H13134" t="str">
        <f t="shared" ref="H13134:H13165" si="2891">"94297"</f>
        <v>94297</v>
      </c>
      <c r="I13134">
        <v>1</v>
      </c>
      <c r="J13134">
        <v>298</v>
      </c>
      <c r="K13134">
        <v>0</v>
      </c>
      <c r="L13134">
        <v>366.54</v>
      </c>
    </row>
    <row r="13135" spans="1:12" x14ac:dyDescent="0.25">
      <c r="A13135" t="str">
        <f t="shared" si="2886"/>
        <v>89301000</v>
      </c>
      <c r="B13135" t="str">
        <f t="shared" si="2887"/>
        <v>72100000</v>
      </c>
      <c r="C13135" t="str">
        <f t="shared" si="2888"/>
        <v>72100632</v>
      </c>
      <c r="D13135" t="str">
        <f t="shared" si="2889"/>
        <v>816</v>
      </c>
      <c r="E13135" t="str">
        <f t="shared" si="2890"/>
        <v>89301091</v>
      </c>
      <c r="F13135" t="str">
        <f>"2201110593"</f>
        <v>2201110593</v>
      </c>
      <c r="G13135" s="1">
        <v>44580</v>
      </c>
      <c r="H13135" t="str">
        <f t="shared" si="2891"/>
        <v>94297</v>
      </c>
      <c r="I13135">
        <v>1</v>
      </c>
      <c r="J13135">
        <v>298</v>
      </c>
      <c r="K13135">
        <v>0</v>
      </c>
      <c r="L13135">
        <v>366.54</v>
      </c>
    </row>
    <row r="13136" spans="1:12" x14ac:dyDescent="0.25">
      <c r="A13136" t="str">
        <f t="shared" si="2886"/>
        <v>89301000</v>
      </c>
      <c r="B13136" t="str">
        <f t="shared" si="2887"/>
        <v>72100000</v>
      </c>
      <c r="C13136" t="str">
        <f t="shared" si="2888"/>
        <v>72100632</v>
      </c>
      <c r="D13136" t="str">
        <f t="shared" si="2889"/>
        <v>816</v>
      </c>
      <c r="E13136" t="str">
        <f t="shared" si="2890"/>
        <v>89301091</v>
      </c>
      <c r="F13136" t="str">
        <f>"2201110637"</f>
        <v>2201110637</v>
      </c>
      <c r="G13136" s="1">
        <v>44580</v>
      </c>
      <c r="H13136" t="str">
        <f t="shared" si="2891"/>
        <v>94297</v>
      </c>
      <c r="I13136">
        <v>1</v>
      </c>
      <c r="J13136">
        <v>298</v>
      </c>
      <c r="K13136">
        <v>0</v>
      </c>
      <c r="L13136">
        <v>366.54</v>
      </c>
    </row>
    <row r="13137" spans="1:12" x14ac:dyDescent="0.25">
      <c r="A13137" t="str">
        <f t="shared" si="2886"/>
        <v>89301000</v>
      </c>
      <c r="B13137" t="str">
        <f t="shared" si="2887"/>
        <v>72100000</v>
      </c>
      <c r="C13137" t="str">
        <f t="shared" si="2888"/>
        <v>72100632</v>
      </c>
      <c r="D13137" t="str">
        <f t="shared" si="2889"/>
        <v>816</v>
      </c>
      <c r="E13137" t="str">
        <f t="shared" si="2890"/>
        <v>89301091</v>
      </c>
      <c r="F13137" t="str">
        <f>"2251120124"</f>
        <v>2251120124</v>
      </c>
      <c r="G13137" s="1">
        <v>44580</v>
      </c>
      <c r="H13137" t="str">
        <f t="shared" si="2891"/>
        <v>94297</v>
      </c>
      <c r="I13137">
        <v>1</v>
      </c>
      <c r="J13137">
        <v>298</v>
      </c>
      <c r="K13137">
        <v>0</v>
      </c>
      <c r="L13137">
        <v>366.54</v>
      </c>
    </row>
    <row r="13138" spans="1:12" x14ac:dyDescent="0.25">
      <c r="A13138" t="str">
        <f t="shared" si="2886"/>
        <v>89301000</v>
      </c>
      <c r="B13138" t="str">
        <f t="shared" si="2887"/>
        <v>72100000</v>
      </c>
      <c r="C13138" t="str">
        <f t="shared" si="2888"/>
        <v>72100632</v>
      </c>
      <c r="D13138" t="str">
        <f t="shared" si="2889"/>
        <v>816</v>
      </c>
      <c r="E13138" t="str">
        <f t="shared" si="2890"/>
        <v>89301091</v>
      </c>
      <c r="F13138" t="str">
        <f>"2201120614"</f>
        <v>2201120614</v>
      </c>
      <c r="G13138" s="1">
        <v>44581</v>
      </c>
      <c r="H13138" t="str">
        <f t="shared" si="2891"/>
        <v>94297</v>
      </c>
      <c r="I13138">
        <v>1</v>
      </c>
      <c r="J13138">
        <v>298</v>
      </c>
      <c r="K13138">
        <v>0</v>
      </c>
      <c r="L13138">
        <v>366.54</v>
      </c>
    </row>
    <row r="13139" spans="1:12" x14ac:dyDescent="0.25">
      <c r="A13139" t="str">
        <f t="shared" si="2886"/>
        <v>89301000</v>
      </c>
      <c r="B13139" t="str">
        <f t="shared" si="2887"/>
        <v>72100000</v>
      </c>
      <c r="C13139" t="str">
        <f t="shared" si="2888"/>
        <v>72100632</v>
      </c>
      <c r="D13139" t="str">
        <f t="shared" si="2889"/>
        <v>816</v>
      </c>
      <c r="E13139" t="str">
        <f t="shared" si="2890"/>
        <v>89301091</v>
      </c>
      <c r="F13139" t="str">
        <f>"8754105800"</f>
        <v>8754105800</v>
      </c>
      <c r="G13139" s="1">
        <v>44581</v>
      </c>
      <c r="H13139" t="str">
        <f t="shared" si="2891"/>
        <v>94297</v>
      </c>
      <c r="I13139">
        <v>1</v>
      </c>
      <c r="J13139">
        <v>298</v>
      </c>
      <c r="K13139">
        <v>0</v>
      </c>
      <c r="L13139">
        <v>366.54</v>
      </c>
    </row>
    <row r="13140" spans="1:12" x14ac:dyDescent="0.25">
      <c r="A13140" t="str">
        <f t="shared" si="2886"/>
        <v>89301000</v>
      </c>
      <c r="B13140" t="str">
        <f t="shared" si="2887"/>
        <v>72100000</v>
      </c>
      <c r="C13140" t="str">
        <f t="shared" si="2888"/>
        <v>72100632</v>
      </c>
      <c r="D13140" t="str">
        <f t="shared" si="2889"/>
        <v>816</v>
      </c>
      <c r="E13140" t="str">
        <f t="shared" si="2890"/>
        <v>89301091</v>
      </c>
      <c r="F13140" t="str">
        <f>"2251160351"</f>
        <v>2251160351</v>
      </c>
      <c r="G13140" s="1">
        <v>44585</v>
      </c>
      <c r="H13140" t="str">
        <f t="shared" si="2891"/>
        <v>94297</v>
      </c>
      <c r="I13140">
        <v>1</v>
      </c>
      <c r="J13140">
        <v>298</v>
      </c>
      <c r="K13140">
        <v>0</v>
      </c>
      <c r="L13140">
        <v>366.54</v>
      </c>
    </row>
    <row r="13141" spans="1:12" x14ac:dyDescent="0.25">
      <c r="A13141" t="str">
        <f t="shared" si="2886"/>
        <v>89301000</v>
      </c>
      <c r="B13141" t="str">
        <f t="shared" si="2887"/>
        <v>72100000</v>
      </c>
      <c r="C13141" t="str">
        <f t="shared" si="2888"/>
        <v>72100632</v>
      </c>
      <c r="D13141" t="str">
        <f t="shared" si="2889"/>
        <v>816</v>
      </c>
      <c r="E13141" t="str">
        <f t="shared" si="2890"/>
        <v>89301091</v>
      </c>
      <c r="F13141" t="str">
        <f>"2251160362"</f>
        <v>2251160362</v>
      </c>
      <c r="G13141" s="1">
        <v>44585</v>
      </c>
      <c r="H13141" t="str">
        <f t="shared" si="2891"/>
        <v>94297</v>
      </c>
      <c r="I13141">
        <v>1</v>
      </c>
      <c r="J13141">
        <v>298</v>
      </c>
      <c r="K13141">
        <v>0</v>
      </c>
      <c r="L13141">
        <v>366.54</v>
      </c>
    </row>
    <row r="13142" spans="1:12" x14ac:dyDescent="0.25">
      <c r="A13142" t="str">
        <f t="shared" si="2886"/>
        <v>89301000</v>
      </c>
      <c r="B13142" t="str">
        <f t="shared" si="2887"/>
        <v>72100000</v>
      </c>
      <c r="C13142" t="str">
        <f t="shared" si="2888"/>
        <v>72100632</v>
      </c>
      <c r="D13142" t="str">
        <f t="shared" si="2889"/>
        <v>816</v>
      </c>
      <c r="E13142" t="str">
        <f t="shared" si="2890"/>
        <v>89301091</v>
      </c>
      <c r="F13142" t="str">
        <f>"2201160280"</f>
        <v>2201160280</v>
      </c>
      <c r="G13142" s="1">
        <v>44585</v>
      </c>
      <c r="H13142" t="str">
        <f t="shared" si="2891"/>
        <v>94297</v>
      </c>
      <c r="I13142">
        <v>1</v>
      </c>
      <c r="J13142">
        <v>298</v>
      </c>
      <c r="K13142">
        <v>0</v>
      </c>
      <c r="L13142">
        <v>366.54</v>
      </c>
    </row>
    <row r="13143" spans="1:12" x14ac:dyDescent="0.25">
      <c r="A13143" t="str">
        <f t="shared" si="2886"/>
        <v>89301000</v>
      </c>
      <c r="B13143" t="str">
        <f t="shared" si="2887"/>
        <v>72100000</v>
      </c>
      <c r="C13143" t="str">
        <f t="shared" si="2888"/>
        <v>72100632</v>
      </c>
      <c r="D13143" t="str">
        <f t="shared" si="2889"/>
        <v>816</v>
      </c>
      <c r="E13143" t="str">
        <f t="shared" si="2890"/>
        <v>89301091</v>
      </c>
      <c r="F13143" t="str">
        <f>"2251170625"</f>
        <v>2251170625</v>
      </c>
      <c r="G13143" s="1">
        <v>44586</v>
      </c>
      <c r="H13143" t="str">
        <f t="shared" si="2891"/>
        <v>94297</v>
      </c>
      <c r="I13143">
        <v>1</v>
      </c>
      <c r="J13143">
        <v>298</v>
      </c>
      <c r="K13143">
        <v>0</v>
      </c>
      <c r="L13143">
        <v>366.54</v>
      </c>
    </row>
    <row r="13144" spans="1:12" x14ac:dyDescent="0.25">
      <c r="A13144" t="str">
        <f t="shared" si="2886"/>
        <v>89301000</v>
      </c>
      <c r="B13144" t="str">
        <f t="shared" si="2887"/>
        <v>72100000</v>
      </c>
      <c r="C13144" t="str">
        <f t="shared" si="2888"/>
        <v>72100632</v>
      </c>
      <c r="D13144" t="str">
        <f t="shared" si="2889"/>
        <v>816</v>
      </c>
      <c r="E13144" t="str">
        <f t="shared" si="2890"/>
        <v>89301091</v>
      </c>
      <c r="F13144" t="str">
        <f>"2251170691"</f>
        <v>2251170691</v>
      </c>
      <c r="G13144" s="1">
        <v>44586</v>
      </c>
      <c r="H13144" t="str">
        <f t="shared" si="2891"/>
        <v>94297</v>
      </c>
      <c r="I13144">
        <v>1</v>
      </c>
      <c r="J13144">
        <v>298</v>
      </c>
      <c r="K13144">
        <v>0</v>
      </c>
      <c r="L13144">
        <v>366.54</v>
      </c>
    </row>
    <row r="13145" spans="1:12" x14ac:dyDescent="0.25">
      <c r="A13145" t="str">
        <f t="shared" si="2886"/>
        <v>89301000</v>
      </c>
      <c r="B13145" t="str">
        <f t="shared" si="2887"/>
        <v>72100000</v>
      </c>
      <c r="C13145" t="str">
        <f t="shared" si="2888"/>
        <v>72100632</v>
      </c>
      <c r="D13145" t="str">
        <f t="shared" si="2889"/>
        <v>816</v>
      </c>
      <c r="E13145" t="str">
        <f t="shared" si="2890"/>
        <v>89301091</v>
      </c>
      <c r="F13145" t="str">
        <f>"2251170658"</f>
        <v>2251170658</v>
      </c>
      <c r="G13145" s="1">
        <v>44587</v>
      </c>
      <c r="H13145" t="str">
        <f t="shared" si="2891"/>
        <v>94297</v>
      </c>
      <c r="I13145">
        <v>1</v>
      </c>
      <c r="J13145">
        <v>298</v>
      </c>
      <c r="K13145">
        <v>0</v>
      </c>
      <c r="L13145">
        <v>366.54</v>
      </c>
    </row>
    <row r="13146" spans="1:12" x14ac:dyDescent="0.25">
      <c r="A13146" t="str">
        <f t="shared" si="2886"/>
        <v>89301000</v>
      </c>
      <c r="B13146" t="str">
        <f t="shared" si="2887"/>
        <v>72100000</v>
      </c>
      <c r="C13146" t="str">
        <f t="shared" si="2888"/>
        <v>72100632</v>
      </c>
      <c r="D13146" t="str">
        <f t="shared" si="2889"/>
        <v>816</v>
      </c>
      <c r="E13146" t="str">
        <f t="shared" si="2890"/>
        <v>89301091</v>
      </c>
      <c r="F13146" t="str">
        <f>"2251180481"</f>
        <v>2251180481</v>
      </c>
      <c r="G13146" s="1">
        <v>44587</v>
      </c>
      <c r="H13146" t="str">
        <f t="shared" si="2891"/>
        <v>94297</v>
      </c>
      <c r="I13146">
        <v>1</v>
      </c>
      <c r="J13146">
        <v>298</v>
      </c>
      <c r="K13146">
        <v>0</v>
      </c>
      <c r="L13146">
        <v>366.54</v>
      </c>
    </row>
    <row r="13147" spans="1:12" x14ac:dyDescent="0.25">
      <c r="A13147" t="str">
        <f t="shared" si="2886"/>
        <v>89301000</v>
      </c>
      <c r="B13147" t="str">
        <f t="shared" si="2887"/>
        <v>72100000</v>
      </c>
      <c r="C13147" t="str">
        <f t="shared" si="2888"/>
        <v>72100632</v>
      </c>
      <c r="D13147" t="str">
        <f t="shared" si="2889"/>
        <v>816</v>
      </c>
      <c r="E13147" t="str">
        <f t="shared" si="2890"/>
        <v>89301091</v>
      </c>
      <c r="F13147" t="str">
        <f>"7860053355"</f>
        <v>7860053355</v>
      </c>
      <c r="G13147" s="1">
        <v>44588</v>
      </c>
      <c r="H13147" t="str">
        <f t="shared" si="2891"/>
        <v>94297</v>
      </c>
      <c r="I13147">
        <v>1</v>
      </c>
      <c r="J13147">
        <v>298</v>
      </c>
      <c r="K13147">
        <v>0</v>
      </c>
      <c r="L13147">
        <v>366.54</v>
      </c>
    </row>
    <row r="13148" spans="1:12" x14ac:dyDescent="0.25">
      <c r="A13148" t="str">
        <f t="shared" si="2886"/>
        <v>89301000</v>
      </c>
      <c r="B13148" t="str">
        <f t="shared" si="2887"/>
        <v>72100000</v>
      </c>
      <c r="C13148" t="str">
        <f t="shared" si="2888"/>
        <v>72100632</v>
      </c>
      <c r="D13148" t="str">
        <f t="shared" si="2889"/>
        <v>816</v>
      </c>
      <c r="E13148" t="str">
        <f t="shared" si="2890"/>
        <v>89301091</v>
      </c>
      <c r="F13148" t="str">
        <f>"9458183262"</f>
        <v>9458183262</v>
      </c>
      <c r="G13148" s="1">
        <v>44588</v>
      </c>
      <c r="H13148" t="str">
        <f t="shared" si="2891"/>
        <v>94297</v>
      </c>
      <c r="I13148">
        <v>1</v>
      </c>
      <c r="J13148">
        <v>298</v>
      </c>
      <c r="K13148">
        <v>0</v>
      </c>
      <c r="L13148">
        <v>366.54</v>
      </c>
    </row>
    <row r="13149" spans="1:12" x14ac:dyDescent="0.25">
      <c r="A13149" t="str">
        <f t="shared" si="2886"/>
        <v>89301000</v>
      </c>
      <c r="B13149" t="str">
        <f t="shared" si="2887"/>
        <v>72100000</v>
      </c>
      <c r="C13149" t="str">
        <f t="shared" si="2888"/>
        <v>72100632</v>
      </c>
      <c r="D13149" t="str">
        <f t="shared" si="2889"/>
        <v>816</v>
      </c>
      <c r="E13149" t="str">
        <f t="shared" si="2890"/>
        <v>89301091</v>
      </c>
      <c r="F13149" t="str">
        <f>"2251200732"</f>
        <v>2251200732</v>
      </c>
      <c r="G13149" s="1">
        <v>44588</v>
      </c>
      <c r="H13149" t="str">
        <f t="shared" si="2891"/>
        <v>94297</v>
      </c>
      <c r="I13149">
        <v>1</v>
      </c>
      <c r="J13149">
        <v>298</v>
      </c>
      <c r="K13149">
        <v>0</v>
      </c>
      <c r="L13149">
        <v>366.54</v>
      </c>
    </row>
    <row r="13150" spans="1:12" x14ac:dyDescent="0.25">
      <c r="A13150" t="str">
        <f t="shared" si="2886"/>
        <v>89301000</v>
      </c>
      <c r="B13150" t="str">
        <f t="shared" si="2887"/>
        <v>72100000</v>
      </c>
      <c r="C13150" t="str">
        <f t="shared" si="2888"/>
        <v>72100632</v>
      </c>
      <c r="D13150" t="str">
        <f t="shared" si="2889"/>
        <v>816</v>
      </c>
      <c r="E13150" t="str">
        <f t="shared" si="2890"/>
        <v>89301091</v>
      </c>
      <c r="F13150" t="str">
        <f>"2251200743"</f>
        <v>2251200743</v>
      </c>
      <c r="G13150" s="1">
        <v>44588</v>
      </c>
      <c r="H13150" t="str">
        <f t="shared" si="2891"/>
        <v>94297</v>
      </c>
      <c r="I13150">
        <v>1</v>
      </c>
      <c r="J13150">
        <v>298</v>
      </c>
      <c r="K13150">
        <v>0</v>
      </c>
      <c r="L13150">
        <v>366.54</v>
      </c>
    </row>
    <row r="13151" spans="1:12" x14ac:dyDescent="0.25">
      <c r="A13151" t="str">
        <f t="shared" si="2886"/>
        <v>89301000</v>
      </c>
      <c r="B13151" t="str">
        <f t="shared" si="2887"/>
        <v>72100000</v>
      </c>
      <c r="C13151" t="str">
        <f t="shared" si="2888"/>
        <v>72100632</v>
      </c>
      <c r="D13151" t="str">
        <f t="shared" si="2889"/>
        <v>816</v>
      </c>
      <c r="E13151" t="str">
        <f t="shared" si="2890"/>
        <v>89301091</v>
      </c>
      <c r="F13151" t="str">
        <f>"2201200628"</f>
        <v>2201200628</v>
      </c>
      <c r="G13151" s="1">
        <v>44588</v>
      </c>
      <c r="H13151" t="str">
        <f t="shared" si="2891"/>
        <v>94297</v>
      </c>
      <c r="I13151">
        <v>1</v>
      </c>
      <c r="J13151">
        <v>298</v>
      </c>
      <c r="K13151">
        <v>0</v>
      </c>
      <c r="L13151">
        <v>366.54</v>
      </c>
    </row>
    <row r="13152" spans="1:12" x14ac:dyDescent="0.25">
      <c r="A13152" t="str">
        <f t="shared" si="2886"/>
        <v>89301000</v>
      </c>
      <c r="B13152" t="str">
        <f t="shared" si="2887"/>
        <v>72100000</v>
      </c>
      <c r="C13152" t="str">
        <f t="shared" si="2888"/>
        <v>72100632</v>
      </c>
      <c r="D13152" t="str">
        <f t="shared" si="2889"/>
        <v>816</v>
      </c>
      <c r="E13152" t="str">
        <f t="shared" si="2890"/>
        <v>89301091</v>
      </c>
      <c r="F13152" t="str">
        <f>"2251200754"</f>
        <v>2251200754</v>
      </c>
      <c r="G13152" s="1">
        <v>44588</v>
      </c>
      <c r="H13152" t="str">
        <f t="shared" si="2891"/>
        <v>94297</v>
      </c>
      <c r="I13152">
        <v>1</v>
      </c>
      <c r="J13152">
        <v>298</v>
      </c>
      <c r="K13152">
        <v>0</v>
      </c>
      <c r="L13152">
        <v>366.54</v>
      </c>
    </row>
    <row r="13153" spans="1:12" x14ac:dyDescent="0.25">
      <c r="A13153" t="str">
        <f t="shared" si="2886"/>
        <v>89301000</v>
      </c>
      <c r="B13153" t="str">
        <f t="shared" si="2887"/>
        <v>72100000</v>
      </c>
      <c r="C13153" t="str">
        <f t="shared" si="2888"/>
        <v>72100632</v>
      </c>
      <c r="D13153" t="str">
        <f t="shared" si="2889"/>
        <v>816</v>
      </c>
      <c r="E13153" t="str">
        <f t="shared" si="2890"/>
        <v>89301091</v>
      </c>
      <c r="F13153" t="str">
        <f>"2251210060"</f>
        <v>2251210060</v>
      </c>
      <c r="G13153" s="1">
        <v>44588</v>
      </c>
      <c r="H13153" t="str">
        <f t="shared" si="2891"/>
        <v>94297</v>
      </c>
      <c r="I13153">
        <v>1</v>
      </c>
      <c r="J13153">
        <v>298</v>
      </c>
      <c r="K13153">
        <v>0</v>
      </c>
      <c r="L13153">
        <v>366.54</v>
      </c>
    </row>
    <row r="13154" spans="1:12" x14ac:dyDescent="0.25">
      <c r="A13154" t="str">
        <f t="shared" si="2886"/>
        <v>89301000</v>
      </c>
      <c r="B13154" t="str">
        <f t="shared" si="2887"/>
        <v>72100000</v>
      </c>
      <c r="C13154" t="str">
        <f t="shared" si="2888"/>
        <v>72100632</v>
      </c>
      <c r="D13154" t="str">
        <f t="shared" si="2889"/>
        <v>816</v>
      </c>
      <c r="E13154" t="str">
        <f t="shared" si="2890"/>
        <v>89301091</v>
      </c>
      <c r="F13154" t="str">
        <f>"9862126153"</f>
        <v>9862126153</v>
      </c>
      <c r="G13154" s="1">
        <v>44588</v>
      </c>
      <c r="H13154" t="str">
        <f t="shared" si="2891"/>
        <v>94297</v>
      </c>
      <c r="I13154">
        <v>1</v>
      </c>
      <c r="J13154">
        <v>298</v>
      </c>
      <c r="K13154">
        <v>0</v>
      </c>
      <c r="L13154">
        <v>366.54</v>
      </c>
    </row>
    <row r="13155" spans="1:12" x14ac:dyDescent="0.25">
      <c r="A13155" t="str">
        <f t="shared" si="2886"/>
        <v>89301000</v>
      </c>
      <c r="B13155" t="str">
        <f t="shared" si="2887"/>
        <v>72100000</v>
      </c>
      <c r="C13155" t="str">
        <f t="shared" si="2888"/>
        <v>72100632</v>
      </c>
      <c r="D13155" t="str">
        <f t="shared" si="2889"/>
        <v>816</v>
      </c>
      <c r="E13155" t="str">
        <f t="shared" si="2890"/>
        <v>89301091</v>
      </c>
      <c r="F13155" t="str">
        <f>"2205050166"</f>
        <v>2205050166</v>
      </c>
      <c r="G13155" s="1">
        <v>44692</v>
      </c>
      <c r="H13155" t="str">
        <f t="shared" si="2891"/>
        <v>94297</v>
      </c>
      <c r="I13155">
        <v>1</v>
      </c>
      <c r="J13155">
        <v>298</v>
      </c>
      <c r="K13155">
        <v>0</v>
      </c>
      <c r="L13155">
        <v>366.54</v>
      </c>
    </row>
    <row r="13156" spans="1:12" x14ac:dyDescent="0.25">
      <c r="A13156" t="str">
        <f t="shared" si="2886"/>
        <v>89301000</v>
      </c>
      <c r="B13156" t="str">
        <f t="shared" si="2887"/>
        <v>72100000</v>
      </c>
      <c r="C13156" t="str">
        <f t="shared" si="2888"/>
        <v>72100632</v>
      </c>
      <c r="D13156" t="str">
        <f t="shared" si="2889"/>
        <v>816</v>
      </c>
      <c r="E13156" t="str">
        <f t="shared" si="2890"/>
        <v>89301091</v>
      </c>
      <c r="F13156" t="str">
        <f>"2211220627"</f>
        <v>2211220627</v>
      </c>
      <c r="G13156" s="1">
        <v>44896</v>
      </c>
      <c r="H13156" t="str">
        <f t="shared" si="2891"/>
        <v>94297</v>
      </c>
      <c r="I13156">
        <v>1</v>
      </c>
      <c r="J13156">
        <v>298</v>
      </c>
      <c r="K13156">
        <v>0</v>
      </c>
      <c r="L13156">
        <v>366.54</v>
      </c>
    </row>
    <row r="13157" spans="1:12" x14ac:dyDescent="0.25">
      <c r="A13157" t="str">
        <f t="shared" si="2886"/>
        <v>89301000</v>
      </c>
      <c r="B13157" t="str">
        <f t="shared" si="2887"/>
        <v>72100000</v>
      </c>
      <c r="C13157" t="str">
        <f t="shared" si="2888"/>
        <v>72100632</v>
      </c>
      <c r="D13157" t="str">
        <f t="shared" si="2889"/>
        <v>816</v>
      </c>
      <c r="E13157" t="str">
        <f t="shared" si="2890"/>
        <v>89301091</v>
      </c>
      <c r="F13157" t="str">
        <f>"2211230120"</f>
        <v>2211230120</v>
      </c>
      <c r="G13157" s="1">
        <v>44896</v>
      </c>
      <c r="H13157" t="str">
        <f t="shared" si="2891"/>
        <v>94297</v>
      </c>
      <c r="I13157">
        <v>1</v>
      </c>
      <c r="J13157">
        <v>298</v>
      </c>
      <c r="K13157">
        <v>0</v>
      </c>
      <c r="L13157">
        <v>366.54</v>
      </c>
    </row>
    <row r="13158" spans="1:12" x14ac:dyDescent="0.25">
      <c r="A13158" t="str">
        <f t="shared" si="2886"/>
        <v>89301000</v>
      </c>
      <c r="B13158" t="str">
        <f t="shared" si="2887"/>
        <v>72100000</v>
      </c>
      <c r="C13158" t="str">
        <f t="shared" si="2888"/>
        <v>72100632</v>
      </c>
      <c r="D13158" t="str">
        <f t="shared" si="2889"/>
        <v>816</v>
      </c>
      <c r="E13158" t="str">
        <f t="shared" si="2890"/>
        <v>89301091</v>
      </c>
      <c r="F13158" t="str">
        <f>"2211230637"</f>
        <v>2211230637</v>
      </c>
      <c r="G13158" s="1">
        <v>44896</v>
      </c>
      <c r="H13158" t="str">
        <f t="shared" si="2891"/>
        <v>94297</v>
      </c>
      <c r="I13158">
        <v>1</v>
      </c>
      <c r="J13158">
        <v>298</v>
      </c>
      <c r="K13158">
        <v>0</v>
      </c>
      <c r="L13158">
        <v>366.54</v>
      </c>
    </row>
    <row r="13159" spans="1:12" x14ac:dyDescent="0.25">
      <c r="A13159" t="str">
        <f t="shared" si="2886"/>
        <v>89301000</v>
      </c>
      <c r="B13159" t="str">
        <f t="shared" si="2887"/>
        <v>72100000</v>
      </c>
      <c r="C13159" t="str">
        <f t="shared" si="2888"/>
        <v>72100632</v>
      </c>
      <c r="D13159" t="str">
        <f t="shared" si="2889"/>
        <v>816</v>
      </c>
      <c r="E13159" t="str">
        <f t="shared" si="2890"/>
        <v>89301091</v>
      </c>
      <c r="F13159" t="str">
        <f>"2261230477"</f>
        <v>2261230477</v>
      </c>
      <c r="G13159" s="1">
        <v>44896</v>
      </c>
      <c r="H13159" t="str">
        <f t="shared" si="2891"/>
        <v>94297</v>
      </c>
      <c r="I13159">
        <v>1</v>
      </c>
      <c r="J13159">
        <v>298</v>
      </c>
      <c r="K13159">
        <v>0</v>
      </c>
      <c r="L13159">
        <v>366.54</v>
      </c>
    </row>
    <row r="13160" spans="1:12" x14ac:dyDescent="0.25">
      <c r="A13160" t="str">
        <f t="shared" si="2886"/>
        <v>89301000</v>
      </c>
      <c r="B13160" t="str">
        <f t="shared" si="2887"/>
        <v>72100000</v>
      </c>
      <c r="C13160" t="str">
        <f t="shared" si="2888"/>
        <v>72100632</v>
      </c>
      <c r="D13160" t="str">
        <f t="shared" si="2889"/>
        <v>816</v>
      </c>
      <c r="E13160" t="str">
        <f t="shared" si="2890"/>
        <v>89301091</v>
      </c>
      <c r="F13160" t="str">
        <f>"2211240570"</f>
        <v>2211240570</v>
      </c>
      <c r="G13160" s="1">
        <v>44896</v>
      </c>
      <c r="H13160" t="str">
        <f t="shared" si="2891"/>
        <v>94297</v>
      </c>
      <c r="I13160">
        <v>1</v>
      </c>
      <c r="J13160">
        <v>298</v>
      </c>
      <c r="K13160">
        <v>0</v>
      </c>
      <c r="L13160">
        <v>366.54</v>
      </c>
    </row>
    <row r="13161" spans="1:12" x14ac:dyDescent="0.25">
      <c r="A13161" t="str">
        <f t="shared" si="2886"/>
        <v>89301000</v>
      </c>
      <c r="B13161" t="str">
        <f t="shared" si="2887"/>
        <v>72100000</v>
      </c>
      <c r="C13161" t="str">
        <f t="shared" si="2888"/>
        <v>72100632</v>
      </c>
      <c r="D13161" t="str">
        <f t="shared" si="2889"/>
        <v>816</v>
      </c>
      <c r="E13161" t="str">
        <f t="shared" si="2890"/>
        <v>89301091</v>
      </c>
      <c r="F13161" t="str">
        <f>"2211240592"</f>
        <v>2211240592</v>
      </c>
      <c r="G13161" s="1">
        <v>44896</v>
      </c>
      <c r="H13161" t="str">
        <f t="shared" si="2891"/>
        <v>94297</v>
      </c>
      <c r="I13161">
        <v>1</v>
      </c>
      <c r="J13161">
        <v>298</v>
      </c>
      <c r="K13161">
        <v>0</v>
      </c>
      <c r="L13161">
        <v>366.54</v>
      </c>
    </row>
    <row r="13162" spans="1:12" x14ac:dyDescent="0.25">
      <c r="A13162" t="str">
        <f t="shared" si="2886"/>
        <v>89301000</v>
      </c>
      <c r="B13162" t="str">
        <f t="shared" si="2887"/>
        <v>72100000</v>
      </c>
      <c r="C13162" t="str">
        <f t="shared" si="2888"/>
        <v>72100632</v>
      </c>
      <c r="D13162" t="str">
        <f t="shared" si="2889"/>
        <v>816</v>
      </c>
      <c r="E13162" t="str">
        <f t="shared" si="2890"/>
        <v>89301091</v>
      </c>
      <c r="F13162" t="str">
        <f>"9459205371"</f>
        <v>9459205371</v>
      </c>
      <c r="G13162" s="1">
        <v>44896</v>
      </c>
      <c r="H13162" t="str">
        <f t="shared" si="2891"/>
        <v>94297</v>
      </c>
      <c r="I13162">
        <v>1</v>
      </c>
      <c r="J13162">
        <v>298</v>
      </c>
      <c r="K13162">
        <v>0</v>
      </c>
      <c r="L13162">
        <v>366.54</v>
      </c>
    </row>
    <row r="13163" spans="1:12" x14ac:dyDescent="0.25">
      <c r="A13163" t="str">
        <f t="shared" si="2886"/>
        <v>89301000</v>
      </c>
      <c r="B13163" t="str">
        <f t="shared" si="2887"/>
        <v>72100000</v>
      </c>
      <c r="C13163" t="str">
        <f t="shared" si="2888"/>
        <v>72100632</v>
      </c>
      <c r="D13163" t="str">
        <f t="shared" si="2889"/>
        <v>816</v>
      </c>
      <c r="E13163" t="str">
        <f t="shared" si="2890"/>
        <v>89301091</v>
      </c>
      <c r="F13163" t="str">
        <f>"2261270209"</f>
        <v>2261270209</v>
      </c>
      <c r="G13163" s="1">
        <v>44897</v>
      </c>
      <c r="H13163" t="str">
        <f t="shared" si="2891"/>
        <v>94297</v>
      </c>
      <c r="I13163">
        <v>1</v>
      </c>
      <c r="J13163">
        <v>298</v>
      </c>
      <c r="K13163">
        <v>0</v>
      </c>
      <c r="L13163">
        <v>366.54</v>
      </c>
    </row>
    <row r="13164" spans="1:12" x14ac:dyDescent="0.25">
      <c r="A13164" t="str">
        <f t="shared" si="2886"/>
        <v>89301000</v>
      </c>
      <c r="B13164" t="str">
        <f t="shared" si="2887"/>
        <v>72100000</v>
      </c>
      <c r="C13164" t="str">
        <f t="shared" si="2888"/>
        <v>72100632</v>
      </c>
      <c r="D13164" t="str">
        <f t="shared" si="2889"/>
        <v>816</v>
      </c>
      <c r="E13164" t="str">
        <f t="shared" si="2890"/>
        <v>89301091</v>
      </c>
      <c r="F13164" t="str">
        <f>"2211280060"</f>
        <v>2211280060</v>
      </c>
      <c r="G13164" s="1">
        <v>44900</v>
      </c>
      <c r="H13164" t="str">
        <f t="shared" si="2891"/>
        <v>94297</v>
      </c>
      <c r="I13164">
        <v>1</v>
      </c>
      <c r="J13164">
        <v>298</v>
      </c>
      <c r="K13164">
        <v>0</v>
      </c>
      <c r="L13164">
        <v>366.54</v>
      </c>
    </row>
    <row r="13165" spans="1:12" x14ac:dyDescent="0.25">
      <c r="A13165" t="str">
        <f t="shared" si="2886"/>
        <v>89301000</v>
      </c>
      <c r="B13165" t="str">
        <f t="shared" si="2887"/>
        <v>72100000</v>
      </c>
      <c r="C13165" t="str">
        <f t="shared" si="2888"/>
        <v>72100632</v>
      </c>
      <c r="D13165" t="str">
        <f t="shared" si="2889"/>
        <v>816</v>
      </c>
      <c r="E13165" t="str">
        <f t="shared" si="2890"/>
        <v>89301091</v>
      </c>
      <c r="F13165" t="str">
        <f>"2261290647"</f>
        <v>2261290647</v>
      </c>
      <c r="G13165" s="1">
        <v>44902</v>
      </c>
      <c r="H13165" t="str">
        <f t="shared" si="2891"/>
        <v>94297</v>
      </c>
      <c r="I13165">
        <v>1</v>
      </c>
      <c r="J13165">
        <v>298</v>
      </c>
      <c r="K13165">
        <v>0</v>
      </c>
      <c r="L13165">
        <v>366.54</v>
      </c>
    </row>
    <row r="13166" spans="1:12" x14ac:dyDescent="0.25">
      <c r="A13166" t="str">
        <f t="shared" si="2886"/>
        <v>89301000</v>
      </c>
      <c r="B13166" t="str">
        <f t="shared" ref="B13166:B13197" si="2892">"72100000"</f>
        <v>72100000</v>
      </c>
      <c r="C13166" t="str">
        <f t="shared" ref="C13166:C13197" si="2893">"72100632"</f>
        <v>72100632</v>
      </c>
      <c r="D13166" t="str">
        <f t="shared" ref="D13166:D13197" si="2894">"816"</f>
        <v>816</v>
      </c>
      <c r="E13166" t="str">
        <f t="shared" ref="E13166:E13197" si="2895">"89301091"</f>
        <v>89301091</v>
      </c>
      <c r="F13166" t="str">
        <f>"2211300641"</f>
        <v>2211300641</v>
      </c>
      <c r="G13166" s="1">
        <v>44902</v>
      </c>
      <c r="H13166" t="str">
        <f t="shared" ref="H13166:H13197" si="2896">"94297"</f>
        <v>94297</v>
      </c>
      <c r="I13166">
        <v>1</v>
      </c>
      <c r="J13166">
        <v>298</v>
      </c>
      <c r="K13166">
        <v>0</v>
      </c>
      <c r="L13166">
        <v>366.54</v>
      </c>
    </row>
    <row r="13167" spans="1:12" x14ac:dyDescent="0.25">
      <c r="A13167" t="str">
        <f t="shared" si="2886"/>
        <v>89301000</v>
      </c>
      <c r="B13167" t="str">
        <f t="shared" si="2892"/>
        <v>72100000</v>
      </c>
      <c r="C13167" t="str">
        <f t="shared" si="2893"/>
        <v>72100632</v>
      </c>
      <c r="D13167" t="str">
        <f t="shared" si="2894"/>
        <v>816</v>
      </c>
      <c r="E13167" t="str">
        <f t="shared" si="2895"/>
        <v>89301091</v>
      </c>
      <c r="F13167" t="str">
        <f>"2211300663"</f>
        <v>2211300663</v>
      </c>
      <c r="G13167" s="1">
        <v>44902</v>
      </c>
      <c r="H13167" t="str">
        <f t="shared" si="2896"/>
        <v>94297</v>
      </c>
      <c r="I13167">
        <v>1</v>
      </c>
      <c r="J13167">
        <v>298</v>
      </c>
      <c r="K13167">
        <v>0</v>
      </c>
      <c r="L13167">
        <v>366.54</v>
      </c>
    </row>
    <row r="13168" spans="1:12" x14ac:dyDescent="0.25">
      <c r="A13168" t="str">
        <f t="shared" si="2886"/>
        <v>89301000</v>
      </c>
      <c r="B13168" t="str">
        <f t="shared" si="2892"/>
        <v>72100000</v>
      </c>
      <c r="C13168" t="str">
        <f t="shared" si="2893"/>
        <v>72100632</v>
      </c>
      <c r="D13168" t="str">
        <f t="shared" si="2894"/>
        <v>816</v>
      </c>
      <c r="E13168" t="str">
        <f t="shared" si="2895"/>
        <v>89301091</v>
      </c>
      <c r="F13168" t="str">
        <f>"2211300696"</f>
        <v>2211300696</v>
      </c>
      <c r="G13168" s="1">
        <v>44902</v>
      </c>
      <c r="H13168" t="str">
        <f t="shared" si="2896"/>
        <v>94297</v>
      </c>
      <c r="I13168">
        <v>1</v>
      </c>
      <c r="J13168">
        <v>298</v>
      </c>
      <c r="K13168">
        <v>0</v>
      </c>
      <c r="L13168">
        <v>366.54</v>
      </c>
    </row>
    <row r="13169" spans="1:12" x14ac:dyDescent="0.25">
      <c r="A13169" t="str">
        <f t="shared" si="2886"/>
        <v>89301000</v>
      </c>
      <c r="B13169" t="str">
        <f t="shared" si="2892"/>
        <v>72100000</v>
      </c>
      <c r="C13169" t="str">
        <f t="shared" si="2893"/>
        <v>72100632</v>
      </c>
      <c r="D13169" t="str">
        <f t="shared" si="2894"/>
        <v>816</v>
      </c>
      <c r="E13169" t="str">
        <f t="shared" si="2895"/>
        <v>89301091</v>
      </c>
      <c r="F13169" t="str">
        <f>"2262010476"</f>
        <v>2262010476</v>
      </c>
      <c r="G13169" s="1">
        <v>44902</v>
      </c>
      <c r="H13169" t="str">
        <f t="shared" si="2896"/>
        <v>94297</v>
      </c>
      <c r="I13169">
        <v>1</v>
      </c>
      <c r="J13169">
        <v>298</v>
      </c>
      <c r="K13169">
        <v>0</v>
      </c>
      <c r="L13169">
        <v>366.54</v>
      </c>
    </row>
    <row r="13170" spans="1:12" x14ac:dyDescent="0.25">
      <c r="A13170" t="str">
        <f t="shared" si="2886"/>
        <v>89301000</v>
      </c>
      <c r="B13170" t="str">
        <f t="shared" si="2892"/>
        <v>72100000</v>
      </c>
      <c r="C13170" t="str">
        <f t="shared" si="2893"/>
        <v>72100632</v>
      </c>
      <c r="D13170" t="str">
        <f t="shared" si="2894"/>
        <v>816</v>
      </c>
      <c r="E13170" t="str">
        <f t="shared" si="2895"/>
        <v>89301091</v>
      </c>
      <c r="F13170" t="str">
        <f>"2212010526"</f>
        <v>2212010526</v>
      </c>
      <c r="G13170" s="1">
        <v>44902</v>
      </c>
      <c r="H13170" t="str">
        <f t="shared" si="2896"/>
        <v>94297</v>
      </c>
      <c r="I13170">
        <v>1</v>
      </c>
      <c r="J13170">
        <v>298</v>
      </c>
      <c r="K13170">
        <v>0</v>
      </c>
      <c r="L13170">
        <v>366.54</v>
      </c>
    </row>
    <row r="13171" spans="1:12" x14ac:dyDescent="0.25">
      <c r="A13171" t="str">
        <f t="shared" si="2886"/>
        <v>89301000</v>
      </c>
      <c r="B13171" t="str">
        <f t="shared" si="2892"/>
        <v>72100000</v>
      </c>
      <c r="C13171" t="str">
        <f t="shared" si="2893"/>
        <v>72100632</v>
      </c>
      <c r="D13171" t="str">
        <f t="shared" si="2894"/>
        <v>816</v>
      </c>
      <c r="E13171" t="str">
        <f t="shared" si="2895"/>
        <v>89301091</v>
      </c>
      <c r="F13171" t="str">
        <f>"9951054861"</f>
        <v>9951054861</v>
      </c>
      <c r="G13171" s="1">
        <v>44903</v>
      </c>
      <c r="H13171" t="str">
        <f t="shared" si="2896"/>
        <v>94297</v>
      </c>
      <c r="I13171">
        <v>1</v>
      </c>
      <c r="J13171">
        <v>298</v>
      </c>
      <c r="K13171">
        <v>0</v>
      </c>
      <c r="L13171">
        <v>366.54</v>
      </c>
    </row>
    <row r="13172" spans="1:12" x14ac:dyDescent="0.25">
      <c r="A13172" t="str">
        <f t="shared" si="2886"/>
        <v>89301000</v>
      </c>
      <c r="B13172" t="str">
        <f t="shared" si="2892"/>
        <v>72100000</v>
      </c>
      <c r="C13172" t="str">
        <f t="shared" si="2893"/>
        <v>72100632</v>
      </c>
      <c r="D13172" t="str">
        <f t="shared" si="2894"/>
        <v>816</v>
      </c>
      <c r="E13172" t="str">
        <f t="shared" si="2895"/>
        <v>89301091</v>
      </c>
      <c r="F13172" t="str">
        <f>"2212050313"</f>
        <v>2212050313</v>
      </c>
      <c r="G13172" s="1">
        <v>44907</v>
      </c>
      <c r="H13172" t="str">
        <f t="shared" si="2896"/>
        <v>94297</v>
      </c>
      <c r="I13172">
        <v>1</v>
      </c>
      <c r="J13172">
        <v>298</v>
      </c>
      <c r="K13172">
        <v>0</v>
      </c>
      <c r="L13172">
        <v>366.54</v>
      </c>
    </row>
    <row r="13173" spans="1:12" x14ac:dyDescent="0.25">
      <c r="A13173" t="str">
        <f t="shared" si="2886"/>
        <v>89301000</v>
      </c>
      <c r="B13173" t="str">
        <f t="shared" si="2892"/>
        <v>72100000</v>
      </c>
      <c r="C13173" t="str">
        <f t="shared" si="2893"/>
        <v>72100632</v>
      </c>
      <c r="D13173" t="str">
        <f t="shared" si="2894"/>
        <v>816</v>
      </c>
      <c r="E13173" t="str">
        <f t="shared" si="2895"/>
        <v>89301091</v>
      </c>
      <c r="F13173" t="str">
        <f>"2262050340"</f>
        <v>2262050340</v>
      </c>
      <c r="G13173" s="1">
        <v>44907</v>
      </c>
      <c r="H13173" t="str">
        <f t="shared" si="2896"/>
        <v>94297</v>
      </c>
      <c r="I13173">
        <v>1</v>
      </c>
      <c r="J13173">
        <v>298</v>
      </c>
      <c r="K13173">
        <v>0</v>
      </c>
      <c r="L13173">
        <v>366.54</v>
      </c>
    </row>
    <row r="13174" spans="1:12" x14ac:dyDescent="0.25">
      <c r="A13174" t="str">
        <f t="shared" si="2886"/>
        <v>89301000</v>
      </c>
      <c r="B13174" t="str">
        <f t="shared" si="2892"/>
        <v>72100000</v>
      </c>
      <c r="C13174" t="str">
        <f t="shared" si="2893"/>
        <v>72100632</v>
      </c>
      <c r="D13174" t="str">
        <f t="shared" si="2894"/>
        <v>816</v>
      </c>
      <c r="E13174" t="str">
        <f t="shared" si="2895"/>
        <v>89301091</v>
      </c>
      <c r="F13174" t="str">
        <f>"2212050324"</f>
        <v>2212050324</v>
      </c>
      <c r="G13174" s="1">
        <v>44907</v>
      </c>
      <c r="H13174" t="str">
        <f t="shared" si="2896"/>
        <v>94297</v>
      </c>
      <c r="I13174">
        <v>1</v>
      </c>
      <c r="J13174">
        <v>298</v>
      </c>
      <c r="K13174">
        <v>0</v>
      </c>
      <c r="L13174">
        <v>366.54</v>
      </c>
    </row>
    <row r="13175" spans="1:12" x14ac:dyDescent="0.25">
      <c r="A13175" t="str">
        <f t="shared" si="2886"/>
        <v>89301000</v>
      </c>
      <c r="B13175" t="str">
        <f t="shared" si="2892"/>
        <v>72100000</v>
      </c>
      <c r="C13175" t="str">
        <f t="shared" si="2893"/>
        <v>72100632</v>
      </c>
      <c r="D13175" t="str">
        <f t="shared" si="2894"/>
        <v>816</v>
      </c>
      <c r="E13175" t="str">
        <f t="shared" si="2895"/>
        <v>89301091</v>
      </c>
      <c r="F13175" t="str">
        <f>"2212050335"</f>
        <v>2212050335</v>
      </c>
      <c r="G13175" s="1">
        <v>44907</v>
      </c>
      <c r="H13175" t="str">
        <f t="shared" si="2896"/>
        <v>94297</v>
      </c>
      <c r="I13175">
        <v>1</v>
      </c>
      <c r="J13175">
        <v>298</v>
      </c>
      <c r="K13175">
        <v>0</v>
      </c>
      <c r="L13175">
        <v>366.54</v>
      </c>
    </row>
    <row r="13176" spans="1:12" x14ac:dyDescent="0.25">
      <c r="A13176" t="str">
        <f t="shared" si="2886"/>
        <v>89301000</v>
      </c>
      <c r="B13176" t="str">
        <f t="shared" si="2892"/>
        <v>72100000</v>
      </c>
      <c r="C13176" t="str">
        <f t="shared" si="2893"/>
        <v>72100632</v>
      </c>
      <c r="D13176" t="str">
        <f t="shared" si="2894"/>
        <v>816</v>
      </c>
      <c r="E13176" t="str">
        <f t="shared" si="2895"/>
        <v>89301091</v>
      </c>
      <c r="F13176" t="str">
        <f>"2212050346"</f>
        <v>2212050346</v>
      </c>
      <c r="G13176" s="1">
        <v>44907</v>
      </c>
      <c r="H13176" t="str">
        <f t="shared" si="2896"/>
        <v>94297</v>
      </c>
      <c r="I13176">
        <v>1</v>
      </c>
      <c r="J13176">
        <v>298</v>
      </c>
      <c r="K13176">
        <v>0</v>
      </c>
      <c r="L13176">
        <v>366.54</v>
      </c>
    </row>
    <row r="13177" spans="1:12" x14ac:dyDescent="0.25">
      <c r="A13177" t="str">
        <f t="shared" si="2886"/>
        <v>89301000</v>
      </c>
      <c r="B13177" t="str">
        <f t="shared" si="2892"/>
        <v>72100000</v>
      </c>
      <c r="C13177" t="str">
        <f t="shared" si="2893"/>
        <v>72100632</v>
      </c>
      <c r="D13177" t="str">
        <f t="shared" si="2894"/>
        <v>816</v>
      </c>
      <c r="E13177" t="str">
        <f t="shared" si="2895"/>
        <v>89301091</v>
      </c>
      <c r="F13177" t="str">
        <f>"2262060108"</f>
        <v>2262060108</v>
      </c>
      <c r="G13177" s="1">
        <v>44908</v>
      </c>
      <c r="H13177" t="str">
        <f t="shared" si="2896"/>
        <v>94297</v>
      </c>
      <c r="I13177">
        <v>1</v>
      </c>
      <c r="J13177">
        <v>298</v>
      </c>
      <c r="K13177">
        <v>0</v>
      </c>
      <c r="L13177">
        <v>366.54</v>
      </c>
    </row>
    <row r="13178" spans="1:12" x14ac:dyDescent="0.25">
      <c r="A13178" t="str">
        <f t="shared" si="2886"/>
        <v>89301000</v>
      </c>
      <c r="B13178" t="str">
        <f t="shared" si="2892"/>
        <v>72100000</v>
      </c>
      <c r="C13178" t="str">
        <f t="shared" si="2893"/>
        <v>72100632</v>
      </c>
      <c r="D13178" t="str">
        <f t="shared" si="2894"/>
        <v>816</v>
      </c>
      <c r="E13178" t="str">
        <f t="shared" si="2895"/>
        <v>89301091</v>
      </c>
      <c r="F13178" t="str">
        <f>"2212060587"</f>
        <v>2212060587</v>
      </c>
      <c r="G13178" s="1">
        <v>44908</v>
      </c>
      <c r="H13178" t="str">
        <f t="shared" si="2896"/>
        <v>94297</v>
      </c>
      <c r="I13178">
        <v>1</v>
      </c>
      <c r="J13178">
        <v>298</v>
      </c>
      <c r="K13178">
        <v>0</v>
      </c>
      <c r="L13178">
        <v>366.54</v>
      </c>
    </row>
    <row r="13179" spans="1:12" x14ac:dyDescent="0.25">
      <c r="A13179" t="str">
        <f t="shared" si="2886"/>
        <v>89301000</v>
      </c>
      <c r="B13179" t="str">
        <f t="shared" si="2892"/>
        <v>72100000</v>
      </c>
      <c r="C13179" t="str">
        <f t="shared" si="2893"/>
        <v>72100632</v>
      </c>
      <c r="D13179" t="str">
        <f t="shared" si="2894"/>
        <v>816</v>
      </c>
      <c r="E13179" t="str">
        <f t="shared" si="2895"/>
        <v>89301091</v>
      </c>
      <c r="F13179" t="str">
        <f>"2262060548"</f>
        <v>2262060548</v>
      </c>
      <c r="G13179" s="1">
        <v>44908</v>
      </c>
      <c r="H13179" t="str">
        <f t="shared" si="2896"/>
        <v>94297</v>
      </c>
      <c r="I13179">
        <v>1</v>
      </c>
      <c r="J13179">
        <v>298</v>
      </c>
      <c r="K13179">
        <v>0</v>
      </c>
      <c r="L13179">
        <v>366.54</v>
      </c>
    </row>
    <row r="13180" spans="1:12" x14ac:dyDescent="0.25">
      <c r="A13180" t="str">
        <f t="shared" si="2886"/>
        <v>89301000</v>
      </c>
      <c r="B13180" t="str">
        <f t="shared" si="2892"/>
        <v>72100000</v>
      </c>
      <c r="C13180" t="str">
        <f t="shared" si="2893"/>
        <v>72100632</v>
      </c>
      <c r="D13180" t="str">
        <f t="shared" si="2894"/>
        <v>816</v>
      </c>
      <c r="E13180" t="str">
        <f t="shared" si="2895"/>
        <v>89301091</v>
      </c>
      <c r="F13180" t="str">
        <f>"2212060598"</f>
        <v>2212060598</v>
      </c>
      <c r="G13180" s="1">
        <v>44908</v>
      </c>
      <c r="H13180" t="str">
        <f t="shared" si="2896"/>
        <v>94297</v>
      </c>
      <c r="I13180">
        <v>1</v>
      </c>
      <c r="J13180">
        <v>298</v>
      </c>
      <c r="K13180">
        <v>0</v>
      </c>
      <c r="L13180">
        <v>366.54</v>
      </c>
    </row>
    <row r="13181" spans="1:12" x14ac:dyDescent="0.25">
      <c r="A13181" t="str">
        <f t="shared" si="2886"/>
        <v>89301000</v>
      </c>
      <c r="B13181" t="str">
        <f t="shared" si="2892"/>
        <v>72100000</v>
      </c>
      <c r="C13181" t="str">
        <f t="shared" si="2893"/>
        <v>72100632</v>
      </c>
      <c r="D13181" t="str">
        <f t="shared" si="2894"/>
        <v>816</v>
      </c>
      <c r="E13181" t="str">
        <f t="shared" si="2895"/>
        <v>89301091</v>
      </c>
      <c r="F13181" t="str">
        <f>"2212070465"</f>
        <v>2212070465</v>
      </c>
      <c r="G13181" s="1">
        <v>44909</v>
      </c>
      <c r="H13181" t="str">
        <f t="shared" si="2896"/>
        <v>94297</v>
      </c>
      <c r="I13181">
        <v>1</v>
      </c>
      <c r="J13181">
        <v>298</v>
      </c>
      <c r="K13181">
        <v>0</v>
      </c>
      <c r="L13181">
        <v>366.54</v>
      </c>
    </row>
    <row r="13182" spans="1:12" x14ac:dyDescent="0.25">
      <c r="A13182" t="str">
        <f t="shared" si="2886"/>
        <v>89301000</v>
      </c>
      <c r="B13182" t="str">
        <f t="shared" si="2892"/>
        <v>72100000</v>
      </c>
      <c r="C13182" t="str">
        <f t="shared" si="2893"/>
        <v>72100632</v>
      </c>
      <c r="D13182" t="str">
        <f t="shared" si="2894"/>
        <v>816</v>
      </c>
      <c r="E13182" t="str">
        <f t="shared" si="2895"/>
        <v>89301091</v>
      </c>
      <c r="F13182" t="str">
        <f>"2212070476"</f>
        <v>2212070476</v>
      </c>
      <c r="G13182" s="1">
        <v>44909</v>
      </c>
      <c r="H13182" t="str">
        <f t="shared" si="2896"/>
        <v>94297</v>
      </c>
      <c r="I13182">
        <v>1</v>
      </c>
      <c r="J13182">
        <v>298</v>
      </c>
      <c r="K13182">
        <v>0</v>
      </c>
      <c r="L13182">
        <v>366.54</v>
      </c>
    </row>
    <row r="13183" spans="1:12" x14ac:dyDescent="0.25">
      <c r="A13183" t="str">
        <f t="shared" si="2886"/>
        <v>89301000</v>
      </c>
      <c r="B13183" t="str">
        <f t="shared" si="2892"/>
        <v>72100000</v>
      </c>
      <c r="C13183" t="str">
        <f t="shared" si="2893"/>
        <v>72100632</v>
      </c>
      <c r="D13183" t="str">
        <f t="shared" si="2894"/>
        <v>816</v>
      </c>
      <c r="E13183" t="str">
        <f t="shared" si="2895"/>
        <v>89301091</v>
      </c>
      <c r="F13183" t="str">
        <f>"2262080051"</f>
        <v>2262080051</v>
      </c>
      <c r="G13183" s="1">
        <v>44909</v>
      </c>
      <c r="H13183" t="str">
        <f t="shared" si="2896"/>
        <v>94297</v>
      </c>
      <c r="I13183">
        <v>1</v>
      </c>
      <c r="J13183">
        <v>298</v>
      </c>
      <c r="K13183">
        <v>0</v>
      </c>
      <c r="L13183">
        <v>366.54</v>
      </c>
    </row>
    <row r="13184" spans="1:12" x14ac:dyDescent="0.25">
      <c r="A13184" t="str">
        <f t="shared" si="2886"/>
        <v>89301000</v>
      </c>
      <c r="B13184" t="str">
        <f t="shared" si="2892"/>
        <v>72100000</v>
      </c>
      <c r="C13184" t="str">
        <f t="shared" si="2893"/>
        <v>72100632</v>
      </c>
      <c r="D13184" t="str">
        <f t="shared" si="2894"/>
        <v>816</v>
      </c>
      <c r="E13184" t="str">
        <f t="shared" si="2895"/>
        <v>89301091</v>
      </c>
      <c r="F13184" t="str">
        <f>"2212080321"</f>
        <v>2212080321</v>
      </c>
      <c r="G13184" s="1">
        <v>44909</v>
      </c>
      <c r="H13184" t="str">
        <f t="shared" si="2896"/>
        <v>94297</v>
      </c>
      <c r="I13184">
        <v>1</v>
      </c>
      <c r="J13184">
        <v>298</v>
      </c>
      <c r="K13184">
        <v>0</v>
      </c>
      <c r="L13184">
        <v>366.54</v>
      </c>
    </row>
    <row r="13185" spans="1:12" x14ac:dyDescent="0.25">
      <c r="A13185" t="str">
        <f t="shared" si="2886"/>
        <v>89301000</v>
      </c>
      <c r="B13185" t="str">
        <f t="shared" si="2892"/>
        <v>72100000</v>
      </c>
      <c r="C13185" t="str">
        <f t="shared" si="2893"/>
        <v>72100632</v>
      </c>
      <c r="D13185" t="str">
        <f t="shared" si="2894"/>
        <v>816</v>
      </c>
      <c r="E13185" t="str">
        <f t="shared" si="2895"/>
        <v>89301091</v>
      </c>
      <c r="F13185" t="str">
        <f>"9060073792"</f>
        <v>9060073792</v>
      </c>
      <c r="G13185" s="1">
        <v>44909</v>
      </c>
      <c r="H13185" t="str">
        <f t="shared" si="2896"/>
        <v>94297</v>
      </c>
      <c r="I13185">
        <v>1</v>
      </c>
      <c r="J13185">
        <v>298</v>
      </c>
      <c r="K13185">
        <v>0</v>
      </c>
      <c r="L13185">
        <v>366.54</v>
      </c>
    </row>
    <row r="13186" spans="1:12" x14ac:dyDescent="0.25">
      <c r="A13186" t="str">
        <f t="shared" ref="A13186:A13249" si="2897">"89301000"</f>
        <v>89301000</v>
      </c>
      <c r="B13186" t="str">
        <f t="shared" si="2892"/>
        <v>72100000</v>
      </c>
      <c r="C13186" t="str">
        <f t="shared" si="2893"/>
        <v>72100632</v>
      </c>
      <c r="D13186" t="str">
        <f t="shared" si="2894"/>
        <v>816</v>
      </c>
      <c r="E13186" t="str">
        <f t="shared" si="2895"/>
        <v>89301091</v>
      </c>
      <c r="F13186" t="str">
        <f>"8455075310"</f>
        <v>8455075310</v>
      </c>
      <c r="G13186" s="1">
        <v>44909</v>
      </c>
      <c r="H13186" t="str">
        <f t="shared" si="2896"/>
        <v>94297</v>
      </c>
      <c r="I13186">
        <v>1</v>
      </c>
      <c r="J13186">
        <v>298</v>
      </c>
      <c r="K13186">
        <v>0</v>
      </c>
      <c r="L13186">
        <v>366.54</v>
      </c>
    </row>
    <row r="13187" spans="1:12" x14ac:dyDescent="0.25">
      <c r="A13187" t="str">
        <f t="shared" si="2897"/>
        <v>89301000</v>
      </c>
      <c r="B13187" t="str">
        <f t="shared" si="2892"/>
        <v>72100000</v>
      </c>
      <c r="C13187" t="str">
        <f t="shared" si="2893"/>
        <v>72100632</v>
      </c>
      <c r="D13187" t="str">
        <f t="shared" si="2894"/>
        <v>816</v>
      </c>
      <c r="E13187" t="str">
        <f t="shared" si="2895"/>
        <v>89301091</v>
      </c>
      <c r="F13187" t="str">
        <f>"8957195753"</f>
        <v>8957195753</v>
      </c>
      <c r="G13187" s="1">
        <v>44910</v>
      </c>
      <c r="H13187" t="str">
        <f t="shared" si="2896"/>
        <v>94297</v>
      </c>
      <c r="I13187">
        <v>1</v>
      </c>
      <c r="J13187">
        <v>298</v>
      </c>
      <c r="K13187">
        <v>0</v>
      </c>
      <c r="L13187">
        <v>366.54</v>
      </c>
    </row>
    <row r="13188" spans="1:12" x14ac:dyDescent="0.25">
      <c r="A13188" t="str">
        <f t="shared" si="2897"/>
        <v>89301000</v>
      </c>
      <c r="B13188" t="str">
        <f t="shared" si="2892"/>
        <v>72100000</v>
      </c>
      <c r="C13188" t="str">
        <f t="shared" si="2893"/>
        <v>72100632</v>
      </c>
      <c r="D13188" t="str">
        <f t="shared" si="2894"/>
        <v>816</v>
      </c>
      <c r="E13188" t="str">
        <f t="shared" si="2895"/>
        <v>89301091</v>
      </c>
      <c r="F13188" t="str">
        <f>"8858570512"</f>
        <v>8858570512</v>
      </c>
      <c r="G13188" s="1">
        <v>44910</v>
      </c>
      <c r="H13188" t="str">
        <f t="shared" si="2896"/>
        <v>94297</v>
      </c>
      <c r="I13188">
        <v>1</v>
      </c>
      <c r="J13188">
        <v>298</v>
      </c>
      <c r="K13188">
        <v>0</v>
      </c>
      <c r="L13188">
        <v>366.54</v>
      </c>
    </row>
    <row r="13189" spans="1:12" x14ac:dyDescent="0.25">
      <c r="A13189" t="str">
        <f t="shared" si="2897"/>
        <v>89301000</v>
      </c>
      <c r="B13189" t="str">
        <f t="shared" si="2892"/>
        <v>72100000</v>
      </c>
      <c r="C13189" t="str">
        <f t="shared" si="2893"/>
        <v>72100632</v>
      </c>
      <c r="D13189" t="str">
        <f t="shared" si="2894"/>
        <v>816</v>
      </c>
      <c r="E13189" t="str">
        <f t="shared" si="2895"/>
        <v>89301091</v>
      </c>
      <c r="F13189" t="str">
        <f>"2212110362"</f>
        <v>2212110362</v>
      </c>
      <c r="G13189" s="1">
        <v>44911</v>
      </c>
      <c r="H13189" t="str">
        <f t="shared" si="2896"/>
        <v>94297</v>
      </c>
      <c r="I13189">
        <v>1</v>
      </c>
      <c r="J13189">
        <v>298</v>
      </c>
      <c r="K13189">
        <v>0</v>
      </c>
      <c r="L13189">
        <v>366.54</v>
      </c>
    </row>
    <row r="13190" spans="1:12" x14ac:dyDescent="0.25">
      <c r="A13190" t="str">
        <f t="shared" si="2897"/>
        <v>89301000</v>
      </c>
      <c r="B13190" t="str">
        <f t="shared" si="2892"/>
        <v>72100000</v>
      </c>
      <c r="C13190" t="str">
        <f t="shared" si="2893"/>
        <v>72100632</v>
      </c>
      <c r="D13190" t="str">
        <f t="shared" si="2894"/>
        <v>816</v>
      </c>
      <c r="E13190" t="str">
        <f t="shared" si="2895"/>
        <v>89301091</v>
      </c>
      <c r="F13190" t="str">
        <f>"2212110384"</f>
        <v>2212110384</v>
      </c>
      <c r="G13190" s="1">
        <v>44911</v>
      </c>
      <c r="H13190" t="str">
        <f t="shared" si="2896"/>
        <v>94297</v>
      </c>
      <c r="I13190">
        <v>1</v>
      </c>
      <c r="J13190">
        <v>298</v>
      </c>
      <c r="K13190">
        <v>0</v>
      </c>
      <c r="L13190">
        <v>366.54</v>
      </c>
    </row>
    <row r="13191" spans="1:12" x14ac:dyDescent="0.25">
      <c r="A13191" t="str">
        <f t="shared" si="2897"/>
        <v>89301000</v>
      </c>
      <c r="B13191" t="str">
        <f t="shared" si="2892"/>
        <v>72100000</v>
      </c>
      <c r="C13191" t="str">
        <f t="shared" si="2893"/>
        <v>72100632</v>
      </c>
      <c r="D13191" t="str">
        <f t="shared" si="2894"/>
        <v>816</v>
      </c>
      <c r="E13191" t="str">
        <f t="shared" si="2895"/>
        <v>89301091</v>
      </c>
      <c r="F13191" t="str">
        <f>"2262120707"</f>
        <v>2262120707</v>
      </c>
      <c r="G13191" s="1">
        <v>44914</v>
      </c>
      <c r="H13191" t="str">
        <f t="shared" si="2896"/>
        <v>94297</v>
      </c>
      <c r="I13191">
        <v>1</v>
      </c>
      <c r="J13191">
        <v>298</v>
      </c>
      <c r="K13191">
        <v>0</v>
      </c>
      <c r="L13191">
        <v>366.54</v>
      </c>
    </row>
    <row r="13192" spans="1:12" x14ac:dyDescent="0.25">
      <c r="A13192" t="str">
        <f t="shared" si="2897"/>
        <v>89301000</v>
      </c>
      <c r="B13192" t="str">
        <f t="shared" si="2892"/>
        <v>72100000</v>
      </c>
      <c r="C13192" t="str">
        <f t="shared" si="2893"/>
        <v>72100632</v>
      </c>
      <c r="D13192" t="str">
        <f t="shared" si="2894"/>
        <v>816</v>
      </c>
      <c r="E13192" t="str">
        <f t="shared" si="2895"/>
        <v>89301091</v>
      </c>
      <c r="F13192" t="str">
        <f>"2262130497"</f>
        <v>2262130497</v>
      </c>
      <c r="G13192" s="1">
        <v>44915</v>
      </c>
      <c r="H13192" t="str">
        <f t="shared" si="2896"/>
        <v>94297</v>
      </c>
      <c r="I13192">
        <v>1</v>
      </c>
      <c r="J13192">
        <v>298</v>
      </c>
      <c r="K13192">
        <v>0</v>
      </c>
      <c r="L13192">
        <v>366.54</v>
      </c>
    </row>
    <row r="13193" spans="1:12" x14ac:dyDescent="0.25">
      <c r="A13193" t="str">
        <f t="shared" si="2897"/>
        <v>89301000</v>
      </c>
      <c r="B13193" t="str">
        <f t="shared" si="2892"/>
        <v>72100000</v>
      </c>
      <c r="C13193" t="str">
        <f t="shared" si="2893"/>
        <v>72100632</v>
      </c>
      <c r="D13193" t="str">
        <f t="shared" si="2894"/>
        <v>816</v>
      </c>
      <c r="E13193" t="str">
        <f t="shared" si="2895"/>
        <v>89301091</v>
      </c>
      <c r="F13193" t="str">
        <f>"2262130508"</f>
        <v>2262130508</v>
      </c>
      <c r="G13193" s="1">
        <v>44915</v>
      </c>
      <c r="H13193" t="str">
        <f t="shared" si="2896"/>
        <v>94297</v>
      </c>
      <c r="I13193">
        <v>1</v>
      </c>
      <c r="J13193">
        <v>298</v>
      </c>
      <c r="K13193">
        <v>0</v>
      </c>
      <c r="L13193">
        <v>366.54</v>
      </c>
    </row>
    <row r="13194" spans="1:12" x14ac:dyDescent="0.25">
      <c r="A13194" t="str">
        <f t="shared" si="2897"/>
        <v>89301000</v>
      </c>
      <c r="B13194" t="str">
        <f t="shared" si="2892"/>
        <v>72100000</v>
      </c>
      <c r="C13194" t="str">
        <f t="shared" si="2893"/>
        <v>72100632</v>
      </c>
      <c r="D13194" t="str">
        <f t="shared" si="2894"/>
        <v>816</v>
      </c>
      <c r="E13194" t="str">
        <f t="shared" si="2895"/>
        <v>89301091</v>
      </c>
      <c r="F13194" t="str">
        <f>"2212130580"</f>
        <v>2212130580</v>
      </c>
      <c r="G13194" s="1">
        <v>44915</v>
      </c>
      <c r="H13194" t="str">
        <f t="shared" si="2896"/>
        <v>94297</v>
      </c>
      <c r="I13194">
        <v>1</v>
      </c>
      <c r="J13194">
        <v>298</v>
      </c>
      <c r="K13194">
        <v>0</v>
      </c>
      <c r="L13194">
        <v>366.54</v>
      </c>
    </row>
    <row r="13195" spans="1:12" x14ac:dyDescent="0.25">
      <c r="A13195" t="str">
        <f t="shared" si="2897"/>
        <v>89301000</v>
      </c>
      <c r="B13195" t="str">
        <f t="shared" si="2892"/>
        <v>72100000</v>
      </c>
      <c r="C13195" t="str">
        <f t="shared" si="2893"/>
        <v>72100632</v>
      </c>
      <c r="D13195" t="str">
        <f t="shared" si="2894"/>
        <v>816</v>
      </c>
      <c r="E13195" t="str">
        <f t="shared" si="2895"/>
        <v>89301091</v>
      </c>
      <c r="F13195" t="str">
        <f>"2262130541"</f>
        <v>2262130541</v>
      </c>
      <c r="G13195" s="1">
        <v>44915</v>
      </c>
      <c r="H13195" t="str">
        <f t="shared" si="2896"/>
        <v>94297</v>
      </c>
      <c r="I13195">
        <v>1</v>
      </c>
      <c r="J13195">
        <v>298</v>
      </c>
      <c r="K13195">
        <v>0</v>
      </c>
      <c r="L13195">
        <v>366.54</v>
      </c>
    </row>
    <row r="13196" spans="1:12" x14ac:dyDescent="0.25">
      <c r="A13196" t="str">
        <f t="shared" si="2897"/>
        <v>89301000</v>
      </c>
      <c r="B13196" t="str">
        <f t="shared" si="2892"/>
        <v>72100000</v>
      </c>
      <c r="C13196" t="str">
        <f t="shared" si="2893"/>
        <v>72100632</v>
      </c>
      <c r="D13196" t="str">
        <f t="shared" si="2894"/>
        <v>816</v>
      </c>
      <c r="E13196" t="str">
        <f t="shared" si="2895"/>
        <v>89301091</v>
      </c>
      <c r="F13196" t="str">
        <f>"2212130613"</f>
        <v>2212130613</v>
      </c>
      <c r="G13196" s="1">
        <v>44916</v>
      </c>
      <c r="H13196" t="str">
        <f t="shared" si="2896"/>
        <v>94297</v>
      </c>
      <c r="I13196">
        <v>1</v>
      </c>
      <c r="J13196">
        <v>298</v>
      </c>
      <c r="K13196">
        <v>0</v>
      </c>
      <c r="L13196">
        <v>366.54</v>
      </c>
    </row>
    <row r="13197" spans="1:12" x14ac:dyDescent="0.25">
      <c r="A13197" t="str">
        <f t="shared" si="2897"/>
        <v>89301000</v>
      </c>
      <c r="B13197" t="str">
        <f t="shared" si="2892"/>
        <v>72100000</v>
      </c>
      <c r="C13197" t="str">
        <f t="shared" si="2893"/>
        <v>72100632</v>
      </c>
      <c r="D13197" t="str">
        <f t="shared" si="2894"/>
        <v>816</v>
      </c>
      <c r="E13197" t="str">
        <f t="shared" si="2895"/>
        <v>89301091</v>
      </c>
      <c r="F13197" t="str">
        <f>"2212140051"</f>
        <v>2212140051</v>
      </c>
      <c r="G13197" s="1">
        <v>44916</v>
      </c>
      <c r="H13197" t="str">
        <f t="shared" si="2896"/>
        <v>94297</v>
      </c>
      <c r="I13197">
        <v>1</v>
      </c>
      <c r="J13197">
        <v>298</v>
      </c>
      <c r="K13197">
        <v>0</v>
      </c>
      <c r="L13197">
        <v>366.54</v>
      </c>
    </row>
    <row r="13198" spans="1:12" x14ac:dyDescent="0.25">
      <c r="A13198" t="str">
        <f t="shared" si="2897"/>
        <v>89301000</v>
      </c>
      <c r="B13198" t="str">
        <f t="shared" ref="B13198:B13221" si="2898">"72100000"</f>
        <v>72100000</v>
      </c>
      <c r="C13198" t="str">
        <f t="shared" ref="C13198:C13221" si="2899">"72100632"</f>
        <v>72100632</v>
      </c>
      <c r="D13198" t="str">
        <f t="shared" ref="D13198:D13221" si="2900">"816"</f>
        <v>816</v>
      </c>
      <c r="E13198" t="str">
        <f t="shared" ref="E13198:E13221" si="2901">"89301091"</f>
        <v>89301091</v>
      </c>
      <c r="F13198" t="str">
        <f>"2262140518"</f>
        <v>2262140518</v>
      </c>
      <c r="G13198" s="1">
        <v>44916</v>
      </c>
      <c r="H13198" t="str">
        <f t="shared" ref="H13198:H13221" si="2902">"94297"</f>
        <v>94297</v>
      </c>
      <c r="I13198">
        <v>1</v>
      </c>
      <c r="J13198">
        <v>298</v>
      </c>
      <c r="K13198">
        <v>0</v>
      </c>
      <c r="L13198">
        <v>366.54</v>
      </c>
    </row>
    <row r="13199" spans="1:12" x14ac:dyDescent="0.25">
      <c r="A13199" t="str">
        <f t="shared" si="2897"/>
        <v>89301000</v>
      </c>
      <c r="B13199" t="str">
        <f t="shared" si="2898"/>
        <v>72100000</v>
      </c>
      <c r="C13199" t="str">
        <f t="shared" si="2899"/>
        <v>72100632</v>
      </c>
      <c r="D13199" t="str">
        <f t="shared" si="2900"/>
        <v>816</v>
      </c>
      <c r="E13199" t="str">
        <f t="shared" si="2901"/>
        <v>89301091</v>
      </c>
      <c r="F13199" t="str">
        <f>"2262140540"</f>
        <v>2262140540</v>
      </c>
      <c r="G13199" s="1">
        <v>44916</v>
      </c>
      <c r="H13199" t="str">
        <f t="shared" si="2902"/>
        <v>94297</v>
      </c>
      <c r="I13199">
        <v>1</v>
      </c>
      <c r="J13199">
        <v>298</v>
      </c>
      <c r="K13199">
        <v>0</v>
      </c>
      <c r="L13199">
        <v>366.54</v>
      </c>
    </row>
    <row r="13200" spans="1:12" x14ac:dyDescent="0.25">
      <c r="A13200" t="str">
        <f t="shared" si="2897"/>
        <v>89301000</v>
      </c>
      <c r="B13200" t="str">
        <f t="shared" si="2898"/>
        <v>72100000</v>
      </c>
      <c r="C13200" t="str">
        <f t="shared" si="2899"/>
        <v>72100632</v>
      </c>
      <c r="D13200" t="str">
        <f t="shared" si="2900"/>
        <v>816</v>
      </c>
      <c r="E13200" t="str">
        <f t="shared" si="2901"/>
        <v>89301091</v>
      </c>
      <c r="F13200" t="str">
        <f>"2262140595"</f>
        <v>2262140595</v>
      </c>
      <c r="G13200" s="1">
        <v>44916</v>
      </c>
      <c r="H13200" t="str">
        <f t="shared" si="2902"/>
        <v>94297</v>
      </c>
      <c r="I13200">
        <v>1</v>
      </c>
      <c r="J13200">
        <v>298</v>
      </c>
      <c r="K13200">
        <v>0</v>
      </c>
      <c r="L13200">
        <v>366.54</v>
      </c>
    </row>
    <row r="13201" spans="1:12" x14ac:dyDescent="0.25">
      <c r="A13201" t="str">
        <f t="shared" si="2897"/>
        <v>89301000</v>
      </c>
      <c r="B13201" t="str">
        <f t="shared" si="2898"/>
        <v>72100000</v>
      </c>
      <c r="C13201" t="str">
        <f t="shared" si="2899"/>
        <v>72100632</v>
      </c>
      <c r="D13201" t="str">
        <f t="shared" si="2900"/>
        <v>816</v>
      </c>
      <c r="E13201" t="str">
        <f t="shared" si="2901"/>
        <v>89301091</v>
      </c>
      <c r="F13201" t="str">
        <f>"2212150688"</f>
        <v>2212150688</v>
      </c>
      <c r="G13201" s="1">
        <v>44916</v>
      </c>
      <c r="H13201" t="str">
        <f t="shared" si="2902"/>
        <v>94297</v>
      </c>
      <c r="I13201">
        <v>1</v>
      </c>
      <c r="J13201">
        <v>298</v>
      </c>
      <c r="K13201">
        <v>0</v>
      </c>
      <c r="L13201">
        <v>366.54</v>
      </c>
    </row>
    <row r="13202" spans="1:12" x14ac:dyDescent="0.25">
      <c r="A13202" t="str">
        <f t="shared" si="2897"/>
        <v>89301000</v>
      </c>
      <c r="B13202" t="str">
        <f t="shared" si="2898"/>
        <v>72100000</v>
      </c>
      <c r="C13202" t="str">
        <f t="shared" si="2899"/>
        <v>72100632</v>
      </c>
      <c r="D13202" t="str">
        <f t="shared" si="2900"/>
        <v>816</v>
      </c>
      <c r="E13202" t="str">
        <f t="shared" si="2901"/>
        <v>89301091</v>
      </c>
      <c r="F13202" t="str">
        <f>"8652275819"</f>
        <v>8652275819</v>
      </c>
      <c r="G13202" s="1">
        <v>44916</v>
      </c>
      <c r="H13202" t="str">
        <f t="shared" si="2902"/>
        <v>94297</v>
      </c>
      <c r="I13202">
        <v>1</v>
      </c>
      <c r="J13202">
        <v>298</v>
      </c>
      <c r="K13202">
        <v>0</v>
      </c>
      <c r="L13202">
        <v>366.54</v>
      </c>
    </row>
    <row r="13203" spans="1:12" x14ac:dyDescent="0.25">
      <c r="A13203" t="str">
        <f t="shared" si="2897"/>
        <v>89301000</v>
      </c>
      <c r="B13203" t="str">
        <f t="shared" si="2898"/>
        <v>72100000</v>
      </c>
      <c r="C13203" t="str">
        <f t="shared" si="2899"/>
        <v>72100632</v>
      </c>
      <c r="D13203" t="str">
        <f t="shared" si="2900"/>
        <v>816</v>
      </c>
      <c r="E13203" t="str">
        <f t="shared" si="2901"/>
        <v>89301091</v>
      </c>
      <c r="F13203" t="str">
        <f>"8858264943"</f>
        <v>8858264943</v>
      </c>
      <c r="G13203" s="1">
        <v>44916</v>
      </c>
      <c r="H13203" t="str">
        <f t="shared" si="2902"/>
        <v>94297</v>
      </c>
      <c r="I13203">
        <v>1</v>
      </c>
      <c r="J13203">
        <v>298</v>
      </c>
      <c r="K13203">
        <v>0</v>
      </c>
      <c r="L13203">
        <v>366.54</v>
      </c>
    </row>
    <row r="13204" spans="1:12" x14ac:dyDescent="0.25">
      <c r="A13204" t="str">
        <f t="shared" si="2897"/>
        <v>89301000</v>
      </c>
      <c r="B13204" t="str">
        <f t="shared" si="2898"/>
        <v>72100000</v>
      </c>
      <c r="C13204" t="str">
        <f t="shared" si="2899"/>
        <v>72100632</v>
      </c>
      <c r="D13204" t="str">
        <f t="shared" si="2900"/>
        <v>816</v>
      </c>
      <c r="E13204" t="str">
        <f t="shared" si="2901"/>
        <v>89301091</v>
      </c>
      <c r="F13204" t="str">
        <f>"2262170229"</f>
        <v>2262170229</v>
      </c>
      <c r="G13204" s="1">
        <v>44917</v>
      </c>
      <c r="H13204" t="str">
        <f t="shared" si="2902"/>
        <v>94297</v>
      </c>
      <c r="I13204">
        <v>1</v>
      </c>
      <c r="J13204">
        <v>298</v>
      </c>
      <c r="K13204">
        <v>0</v>
      </c>
      <c r="L13204">
        <v>366.54</v>
      </c>
    </row>
    <row r="13205" spans="1:12" x14ac:dyDescent="0.25">
      <c r="A13205" t="str">
        <f t="shared" si="2897"/>
        <v>89301000</v>
      </c>
      <c r="B13205" t="str">
        <f t="shared" si="2898"/>
        <v>72100000</v>
      </c>
      <c r="C13205" t="str">
        <f t="shared" si="2899"/>
        <v>72100632</v>
      </c>
      <c r="D13205" t="str">
        <f t="shared" si="2900"/>
        <v>816</v>
      </c>
      <c r="E13205" t="str">
        <f t="shared" si="2901"/>
        <v>89301091</v>
      </c>
      <c r="F13205" t="str">
        <f>"2212180212"</f>
        <v>2212180212</v>
      </c>
      <c r="G13205" s="1">
        <v>44918</v>
      </c>
      <c r="H13205" t="str">
        <f t="shared" si="2902"/>
        <v>94297</v>
      </c>
      <c r="I13205">
        <v>1</v>
      </c>
      <c r="J13205">
        <v>298</v>
      </c>
      <c r="K13205">
        <v>0</v>
      </c>
      <c r="L13205">
        <v>366.54</v>
      </c>
    </row>
    <row r="13206" spans="1:12" x14ac:dyDescent="0.25">
      <c r="A13206" t="str">
        <f t="shared" si="2897"/>
        <v>89301000</v>
      </c>
      <c r="B13206" t="str">
        <f t="shared" si="2898"/>
        <v>72100000</v>
      </c>
      <c r="C13206" t="str">
        <f t="shared" si="2899"/>
        <v>72100632</v>
      </c>
      <c r="D13206" t="str">
        <f t="shared" si="2900"/>
        <v>816</v>
      </c>
      <c r="E13206" t="str">
        <f t="shared" si="2901"/>
        <v>89301091</v>
      </c>
      <c r="F13206" t="str">
        <f>"8562035592"</f>
        <v>8562035592</v>
      </c>
      <c r="G13206" s="1">
        <v>44918</v>
      </c>
      <c r="H13206" t="str">
        <f t="shared" si="2902"/>
        <v>94297</v>
      </c>
      <c r="I13206">
        <v>1</v>
      </c>
      <c r="J13206">
        <v>298</v>
      </c>
      <c r="K13206">
        <v>0</v>
      </c>
      <c r="L13206">
        <v>366.54</v>
      </c>
    </row>
    <row r="13207" spans="1:12" x14ac:dyDescent="0.25">
      <c r="A13207" t="str">
        <f t="shared" si="2897"/>
        <v>89301000</v>
      </c>
      <c r="B13207" t="str">
        <f t="shared" si="2898"/>
        <v>72100000</v>
      </c>
      <c r="C13207" t="str">
        <f t="shared" si="2899"/>
        <v>72100632</v>
      </c>
      <c r="D13207" t="str">
        <f t="shared" si="2900"/>
        <v>816</v>
      </c>
      <c r="E13207" t="str">
        <f t="shared" si="2901"/>
        <v>89301091</v>
      </c>
      <c r="F13207" t="str">
        <f>"2262190480"</f>
        <v>2262190480</v>
      </c>
      <c r="G13207" s="1">
        <v>44922</v>
      </c>
      <c r="H13207" t="str">
        <f t="shared" si="2902"/>
        <v>94297</v>
      </c>
      <c r="I13207">
        <v>1</v>
      </c>
      <c r="J13207">
        <v>298</v>
      </c>
      <c r="K13207">
        <v>0</v>
      </c>
      <c r="L13207">
        <v>366.54</v>
      </c>
    </row>
    <row r="13208" spans="1:12" x14ac:dyDescent="0.25">
      <c r="A13208" t="str">
        <f t="shared" si="2897"/>
        <v>89301000</v>
      </c>
      <c r="B13208" t="str">
        <f t="shared" si="2898"/>
        <v>72100000</v>
      </c>
      <c r="C13208" t="str">
        <f t="shared" si="2899"/>
        <v>72100632</v>
      </c>
      <c r="D13208" t="str">
        <f t="shared" si="2900"/>
        <v>816</v>
      </c>
      <c r="E13208" t="str">
        <f t="shared" si="2901"/>
        <v>89301091</v>
      </c>
      <c r="F13208" t="str">
        <f>"2212210682"</f>
        <v>2212210682</v>
      </c>
      <c r="G13208" s="1">
        <v>44924</v>
      </c>
      <c r="H13208" t="str">
        <f t="shared" si="2902"/>
        <v>94297</v>
      </c>
      <c r="I13208">
        <v>1</v>
      </c>
      <c r="J13208">
        <v>298</v>
      </c>
      <c r="K13208">
        <v>0</v>
      </c>
      <c r="L13208">
        <v>366.54</v>
      </c>
    </row>
    <row r="13209" spans="1:12" x14ac:dyDescent="0.25">
      <c r="A13209" t="str">
        <f t="shared" si="2897"/>
        <v>89301000</v>
      </c>
      <c r="B13209" t="str">
        <f t="shared" si="2898"/>
        <v>72100000</v>
      </c>
      <c r="C13209" t="str">
        <f t="shared" si="2899"/>
        <v>72100632</v>
      </c>
      <c r="D13209" t="str">
        <f t="shared" si="2900"/>
        <v>816</v>
      </c>
      <c r="E13209" t="str">
        <f t="shared" si="2901"/>
        <v>89301091</v>
      </c>
      <c r="F13209" t="str">
        <f>"2212210693"</f>
        <v>2212210693</v>
      </c>
      <c r="G13209" s="1">
        <v>44924</v>
      </c>
      <c r="H13209" t="str">
        <f t="shared" si="2902"/>
        <v>94297</v>
      </c>
      <c r="I13209">
        <v>1</v>
      </c>
      <c r="J13209">
        <v>298</v>
      </c>
      <c r="K13209">
        <v>0</v>
      </c>
      <c r="L13209">
        <v>366.54</v>
      </c>
    </row>
    <row r="13210" spans="1:12" x14ac:dyDescent="0.25">
      <c r="A13210" t="str">
        <f t="shared" si="2897"/>
        <v>89301000</v>
      </c>
      <c r="B13210" t="str">
        <f t="shared" si="2898"/>
        <v>72100000</v>
      </c>
      <c r="C13210" t="str">
        <f t="shared" si="2899"/>
        <v>72100632</v>
      </c>
      <c r="D13210" t="str">
        <f t="shared" si="2900"/>
        <v>816</v>
      </c>
      <c r="E13210" t="str">
        <f t="shared" si="2901"/>
        <v>89301091</v>
      </c>
      <c r="F13210" t="str">
        <f>"2212210715"</f>
        <v>2212210715</v>
      </c>
      <c r="G13210" s="1">
        <v>44924</v>
      </c>
      <c r="H13210" t="str">
        <f t="shared" si="2902"/>
        <v>94297</v>
      </c>
      <c r="I13210">
        <v>1</v>
      </c>
      <c r="J13210">
        <v>298</v>
      </c>
      <c r="K13210">
        <v>0</v>
      </c>
      <c r="L13210">
        <v>366.54</v>
      </c>
    </row>
    <row r="13211" spans="1:12" x14ac:dyDescent="0.25">
      <c r="A13211" t="str">
        <f t="shared" si="2897"/>
        <v>89301000</v>
      </c>
      <c r="B13211" t="str">
        <f t="shared" si="2898"/>
        <v>72100000</v>
      </c>
      <c r="C13211" t="str">
        <f t="shared" si="2899"/>
        <v>72100632</v>
      </c>
      <c r="D13211" t="str">
        <f t="shared" si="2900"/>
        <v>816</v>
      </c>
      <c r="E13211" t="str">
        <f t="shared" si="2901"/>
        <v>89301091</v>
      </c>
      <c r="F13211" t="str">
        <f>"2212220109"</f>
        <v>2212220109</v>
      </c>
      <c r="G13211" s="1">
        <v>44924</v>
      </c>
      <c r="H13211" t="str">
        <f t="shared" si="2902"/>
        <v>94297</v>
      </c>
      <c r="I13211">
        <v>1</v>
      </c>
      <c r="J13211">
        <v>298</v>
      </c>
      <c r="K13211">
        <v>0</v>
      </c>
      <c r="L13211">
        <v>366.54</v>
      </c>
    </row>
    <row r="13212" spans="1:12" x14ac:dyDescent="0.25">
      <c r="A13212" t="str">
        <f t="shared" si="2897"/>
        <v>89301000</v>
      </c>
      <c r="B13212" t="str">
        <f t="shared" si="2898"/>
        <v>72100000</v>
      </c>
      <c r="C13212" t="str">
        <f t="shared" si="2899"/>
        <v>72100632</v>
      </c>
      <c r="D13212" t="str">
        <f t="shared" si="2900"/>
        <v>816</v>
      </c>
      <c r="E13212" t="str">
        <f t="shared" si="2901"/>
        <v>89301091</v>
      </c>
      <c r="F13212" t="str">
        <f>"2212220450"</f>
        <v>2212220450</v>
      </c>
      <c r="G13212" s="1">
        <v>44924</v>
      </c>
      <c r="H13212" t="str">
        <f t="shared" si="2902"/>
        <v>94297</v>
      </c>
      <c r="I13212">
        <v>1</v>
      </c>
      <c r="J13212">
        <v>298</v>
      </c>
      <c r="K13212">
        <v>0</v>
      </c>
      <c r="L13212">
        <v>366.54</v>
      </c>
    </row>
    <row r="13213" spans="1:12" x14ac:dyDescent="0.25">
      <c r="A13213" t="str">
        <f t="shared" si="2897"/>
        <v>89301000</v>
      </c>
      <c r="B13213" t="str">
        <f t="shared" si="2898"/>
        <v>72100000</v>
      </c>
      <c r="C13213" t="str">
        <f t="shared" si="2899"/>
        <v>72100632</v>
      </c>
      <c r="D13213" t="str">
        <f t="shared" si="2900"/>
        <v>816</v>
      </c>
      <c r="E13213" t="str">
        <f t="shared" si="2901"/>
        <v>89301091</v>
      </c>
      <c r="F13213" t="str">
        <f>"2262220345"</f>
        <v>2262220345</v>
      </c>
      <c r="G13213" s="1">
        <v>44924</v>
      </c>
      <c r="H13213" t="str">
        <f t="shared" si="2902"/>
        <v>94297</v>
      </c>
      <c r="I13213">
        <v>1</v>
      </c>
      <c r="J13213">
        <v>298</v>
      </c>
      <c r="K13213">
        <v>0</v>
      </c>
      <c r="L13213">
        <v>366.54</v>
      </c>
    </row>
    <row r="13214" spans="1:12" x14ac:dyDescent="0.25">
      <c r="A13214" t="str">
        <f t="shared" si="2897"/>
        <v>89301000</v>
      </c>
      <c r="B13214" t="str">
        <f t="shared" si="2898"/>
        <v>72100000</v>
      </c>
      <c r="C13214" t="str">
        <f t="shared" si="2899"/>
        <v>72100632</v>
      </c>
      <c r="D13214" t="str">
        <f t="shared" si="2900"/>
        <v>816</v>
      </c>
      <c r="E13214" t="str">
        <f t="shared" si="2901"/>
        <v>89301091</v>
      </c>
      <c r="F13214" t="str">
        <f>"0058074841"</f>
        <v>0058074841</v>
      </c>
      <c r="G13214" s="1">
        <v>44924</v>
      </c>
      <c r="H13214" t="str">
        <f t="shared" si="2902"/>
        <v>94297</v>
      </c>
      <c r="I13214">
        <v>1</v>
      </c>
      <c r="J13214">
        <v>298</v>
      </c>
      <c r="K13214">
        <v>0</v>
      </c>
      <c r="L13214">
        <v>366.54</v>
      </c>
    </row>
    <row r="13215" spans="1:12" x14ac:dyDescent="0.25">
      <c r="A13215" t="str">
        <f t="shared" si="2897"/>
        <v>89301000</v>
      </c>
      <c r="B13215" t="str">
        <f t="shared" si="2898"/>
        <v>72100000</v>
      </c>
      <c r="C13215" t="str">
        <f t="shared" si="2899"/>
        <v>72100632</v>
      </c>
      <c r="D13215" t="str">
        <f t="shared" si="2900"/>
        <v>816</v>
      </c>
      <c r="E13215" t="str">
        <f t="shared" si="2901"/>
        <v>89301091</v>
      </c>
      <c r="F13215" t="str">
        <f>"9259045719"</f>
        <v>9259045719</v>
      </c>
      <c r="G13215" s="1">
        <v>44924</v>
      </c>
      <c r="H13215" t="str">
        <f t="shared" si="2902"/>
        <v>94297</v>
      </c>
      <c r="I13215">
        <v>1</v>
      </c>
      <c r="J13215">
        <v>298</v>
      </c>
      <c r="K13215">
        <v>0</v>
      </c>
      <c r="L13215">
        <v>366.54</v>
      </c>
    </row>
    <row r="13216" spans="1:12" x14ac:dyDescent="0.25">
      <c r="A13216" t="str">
        <f t="shared" si="2897"/>
        <v>89301000</v>
      </c>
      <c r="B13216" t="str">
        <f t="shared" si="2898"/>
        <v>72100000</v>
      </c>
      <c r="C13216" t="str">
        <f t="shared" si="2899"/>
        <v>72100632</v>
      </c>
      <c r="D13216" t="str">
        <f t="shared" si="2900"/>
        <v>816</v>
      </c>
      <c r="E13216" t="str">
        <f t="shared" si="2901"/>
        <v>89301091</v>
      </c>
      <c r="F13216" t="str">
        <f>"9751015703"</f>
        <v>9751015703</v>
      </c>
      <c r="G13216" s="1">
        <v>44924</v>
      </c>
      <c r="H13216" t="str">
        <f t="shared" si="2902"/>
        <v>94297</v>
      </c>
      <c r="I13216">
        <v>1</v>
      </c>
      <c r="J13216">
        <v>298</v>
      </c>
      <c r="K13216">
        <v>0</v>
      </c>
      <c r="L13216">
        <v>366.54</v>
      </c>
    </row>
    <row r="13217" spans="1:12" x14ac:dyDescent="0.25">
      <c r="A13217" t="str">
        <f t="shared" si="2897"/>
        <v>89301000</v>
      </c>
      <c r="B13217" t="str">
        <f t="shared" si="2898"/>
        <v>72100000</v>
      </c>
      <c r="C13217" t="str">
        <f t="shared" si="2899"/>
        <v>72100632</v>
      </c>
      <c r="D13217" t="str">
        <f t="shared" si="2900"/>
        <v>816</v>
      </c>
      <c r="E13217" t="str">
        <f t="shared" si="2901"/>
        <v>89301091</v>
      </c>
      <c r="F13217" t="str">
        <f>"8062195339"</f>
        <v>8062195339</v>
      </c>
      <c r="G13217" s="1">
        <v>44924</v>
      </c>
      <c r="H13217" t="str">
        <f t="shared" si="2902"/>
        <v>94297</v>
      </c>
      <c r="I13217">
        <v>1</v>
      </c>
      <c r="J13217">
        <v>298</v>
      </c>
      <c r="K13217">
        <v>0</v>
      </c>
      <c r="L13217">
        <v>366.54</v>
      </c>
    </row>
    <row r="13218" spans="1:12" x14ac:dyDescent="0.25">
      <c r="A13218" t="str">
        <f t="shared" si="2897"/>
        <v>89301000</v>
      </c>
      <c r="B13218" t="str">
        <f t="shared" si="2898"/>
        <v>72100000</v>
      </c>
      <c r="C13218" t="str">
        <f t="shared" si="2899"/>
        <v>72100632</v>
      </c>
      <c r="D13218" t="str">
        <f t="shared" si="2900"/>
        <v>816</v>
      </c>
      <c r="E13218" t="str">
        <f t="shared" si="2901"/>
        <v>89301091</v>
      </c>
      <c r="F13218" t="str">
        <f>"9557165739"</f>
        <v>9557165739</v>
      </c>
      <c r="G13218" s="1">
        <v>44924</v>
      </c>
      <c r="H13218" t="str">
        <f t="shared" si="2902"/>
        <v>94297</v>
      </c>
      <c r="I13218">
        <v>1</v>
      </c>
      <c r="J13218">
        <v>298</v>
      </c>
      <c r="K13218">
        <v>0</v>
      </c>
      <c r="L13218">
        <v>366.54</v>
      </c>
    </row>
    <row r="13219" spans="1:12" x14ac:dyDescent="0.25">
      <c r="A13219" t="str">
        <f t="shared" si="2897"/>
        <v>89301000</v>
      </c>
      <c r="B13219" t="str">
        <f t="shared" si="2898"/>
        <v>72100000</v>
      </c>
      <c r="C13219" t="str">
        <f t="shared" si="2899"/>
        <v>72100632</v>
      </c>
      <c r="D13219" t="str">
        <f t="shared" si="2900"/>
        <v>816</v>
      </c>
      <c r="E13219" t="str">
        <f t="shared" si="2901"/>
        <v>89301091</v>
      </c>
      <c r="F13219" t="str">
        <f>"9653235724"</f>
        <v>9653235724</v>
      </c>
      <c r="G13219" s="1">
        <v>44925</v>
      </c>
      <c r="H13219" t="str">
        <f t="shared" si="2902"/>
        <v>94297</v>
      </c>
      <c r="I13219">
        <v>1</v>
      </c>
      <c r="J13219">
        <v>298</v>
      </c>
      <c r="K13219">
        <v>0</v>
      </c>
      <c r="L13219">
        <v>366.54</v>
      </c>
    </row>
    <row r="13220" spans="1:12" x14ac:dyDescent="0.25">
      <c r="A13220" t="str">
        <f t="shared" si="2897"/>
        <v>89301000</v>
      </c>
      <c r="B13220" t="str">
        <f t="shared" si="2898"/>
        <v>72100000</v>
      </c>
      <c r="C13220" t="str">
        <f t="shared" si="2899"/>
        <v>72100632</v>
      </c>
      <c r="D13220" t="str">
        <f t="shared" si="2900"/>
        <v>816</v>
      </c>
      <c r="E13220" t="str">
        <f t="shared" si="2901"/>
        <v>89301091</v>
      </c>
      <c r="F13220" t="str">
        <f>"2212260292"</f>
        <v>2212260292</v>
      </c>
      <c r="G13220" s="1">
        <v>44925</v>
      </c>
      <c r="H13220" t="str">
        <f t="shared" si="2902"/>
        <v>94297</v>
      </c>
      <c r="I13220">
        <v>1</v>
      </c>
      <c r="J13220">
        <v>298</v>
      </c>
      <c r="K13220">
        <v>0</v>
      </c>
      <c r="L13220">
        <v>366.54</v>
      </c>
    </row>
    <row r="13221" spans="1:12" x14ac:dyDescent="0.25">
      <c r="A13221" t="str">
        <f t="shared" si="2897"/>
        <v>89301000</v>
      </c>
      <c r="B13221" t="str">
        <f t="shared" si="2898"/>
        <v>72100000</v>
      </c>
      <c r="C13221" t="str">
        <f t="shared" si="2899"/>
        <v>72100632</v>
      </c>
      <c r="D13221" t="str">
        <f t="shared" si="2900"/>
        <v>816</v>
      </c>
      <c r="E13221" t="str">
        <f t="shared" si="2901"/>
        <v>89301091</v>
      </c>
      <c r="F13221" t="str">
        <f>"9255064841"</f>
        <v>9255064841</v>
      </c>
      <c r="G13221" s="1">
        <v>44925</v>
      </c>
      <c r="H13221" t="str">
        <f t="shared" si="2902"/>
        <v>94297</v>
      </c>
      <c r="I13221">
        <v>1</v>
      </c>
      <c r="J13221">
        <v>298</v>
      </c>
      <c r="K13221">
        <v>0</v>
      </c>
      <c r="L13221">
        <v>366.54</v>
      </c>
    </row>
    <row r="13222" spans="1:12" x14ac:dyDescent="0.25">
      <c r="A13222" t="str">
        <f t="shared" si="2897"/>
        <v>89301000</v>
      </c>
      <c r="B13222" t="str">
        <f>"44101000"</f>
        <v>44101000</v>
      </c>
      <c r="C13222" t="str">
        <f>"44101884"</f>
        <v>44101884</v>
      </c>
      <c r="D13222" t="str">
        <f>"222"</f>
        <v>222</v>
      </c>
      <c r="E13222" t="str">
        <f>"89301054"</f>
        <v>89301054</v>
      </c>
      <c r="F13222" t="str">
        <f>"5959141397"</f>
        <v>5959141397</v>
      </c>
      <c r="G13222" s="1">
        <v>44922</v>
      </c>
      <c r="H13222" t="str">
        <f>"91579"</f>
        <v>91579</v>
      </c>
      <c r="I13222">
        <v>4</v>
      </c>
      <c r="J13222">
        <v>31524</v>
      </c>
      <c r="K13222">
        <v>0</v>
      </c>
      <c r="L13222">
        <v>24588.720000000001</v>
      </c>
    </row>
    <row r="13223" spans="1:12" x14ac:dyDescent="0.25">
      <c r="A13223" t="str">
        <f t="shared" si="2897"/>
        <v>89301000</v>
      </c>
      <c r="B13223" t="str">
        <f t="shared" ref="B13223:B13235" si="2903">"02004000"</f>
        <v>02004000</v>
      </c>
      <c r="C13223" t="str">
        <f t="shared" ref="C13223:C13232" si="2904">"02004556"</f>
        <v>02004556</v>
      </c>
      <c r="D13223" t="str">
        <f t="shared" ref="D13223:D13232" si="2905">"813"</f>
        <v>813</v>
      </c>
      <c r="E13223" t="str">
        <f>"89301102"</f>
        <v>89301102</v>
      </c>
      <c r="F13223" t="str">
        <f>"0707116157"</f>
        <v>0707116157</v>
      </c>
      <c r="G13223" s="1">
        <v>44922</v>
      </c>
      <c r="H13223" t="str">
        <f>"91249"</f>
        <v>91249</v>
      </c>
      <c r="I13223">
        <v>1</v>
      </c>
      <c r="J13223">
        <v>1489</v>
      </c>
      <c r="K13223">
        <v>0</v>
      </c>
      <c r="L13223">
        <v>1161.42</v>
      </c>
    </row>
    <row r="13224" spans="1:12" x14ac:dyDescent="0.25">
      <c r="A13224" t="str">
        <f t="shared" si="2897"/>
        <v>89301000</v>
      </c>
      <c r="B13224" t="str">
        <f t="shared" si="2903"/>
        <v>02004000</v>
      </c>
      <c r="C13224" t="str">
        <f t="shared" si="2904"/>
        <v>02004556</v>
      </c>
      <c r="D13224" t="str">
        <f t="shared" si="2905"/>
        <v>813</v>
      </c>
      <c r="E13224" t="str">
        <f>"89301102"</f>
        <v>89301102</v>
      </c>
      <c r="F13224" t="str">
        <f>"0707116157"</f>
        <v>0707116157</v>
      </c>
      <c r="G13224" s="1">
        <v>44922</v>
      </c>
      <c r="H13224" t="str">
        <f>"91251"</f>
        <v>91251</v>
      </c>
      <c r="I13224">
        <v>1</v>
      </c>
      <c r="J13224">
        <v>1489</v>
      </c>
      <c r="K13224">
        <v>0</v>
      </c>
      <c r="L13224">
        <v>1161.42</v>
      </c>
    </row>
    <row r="13225" spans="1:12" x14ac:dyDescent="0.25">
      <c r="A13225" t="str">
        <f t="shared" si="2897"/>
        <v>89301000</v>
      </c>
      <c r="B13225" t="str">
        <f t="shared" si="2903"/>
        <v>02004000</v>
      </c>
      <c r="C13225" t="str">
        <f t="shared" si="2904"/>
        <v>02004556</v>
      </c>
      <c r="D13225" t="str">
        <f t="shared" si="2905"/>
        <v>813</v>
      </c>
      <c r="E13225" t="str">
        <f>"89301702"</f>
        <v>89301702</v>
      </c>
      <c r="F13225" t="str">
        <f>"1311050246"</f>
        <v>1311050246</v>
      </c>
      <c r="G13225" s="1">
        <v>44917</v>
      </c>
      <c r="H13225" t="str">
        <f>"91249"</f>
        <v>91249</v>
      </c>
      <c r="I13225">
        <v>1</v>
      </c>
      <c r="J13225">
        <v>1489</v>
      </c>
      <c r="K13225">
        <v>0</v>
      </c>
      <c r="L13225">
        <v>1161.42</v>
      </c>
    </row>
    <row r="13226" spans="1:12" x14ac:dyDescent="0.25">
      <c r="A13226" t="str">
        <f t="shared" si="2897"/>
        <v>89301000</v>
      </c>
      <c r="B13226" t="str">
        <f t="shared" si="2903"/>
        <v>02004000</v>
      </c>
      <c r="C13226" t="str">
        <f t="shared" si="2904"/>
        <v>02004556</v>
      </c>
      <c r="D13226" t="str">
        <f t="shared" si="2905"/>
        <v>813</v>
      </c>
      <c r="E13226" t="str">
        <f>"89301702"</f>
        <v>89301702</v>
      </c>
      <c r="F13226" t="str">
        <f>"1311050246"</f>
        <v>1311050246</v>
      </c>
      <c r="G13226" s="1">
        <v>44917</v>
      </c>
      <c r="H13226" t="str">
        <f>"91251"</f>
        <v>91251</v>
      </c>
      <c r="I13226">
        <v>1</v>
      </c>
      <c r="J13226">
        <v>1489</v>
      </c>
      <c r="K13226">
        <v>0</v>
      </c>
      <c r="L13226">
        <v>1161.42</v>
      </c>
    </row>
    <row r="13227" spans="1:12" x14ac:dyDescent="0.25">
      <c r="A13227" t="str">
        <f t="shared" si="2897"/>
        <v>89301000</v>
      </c>
      <c r="B13227" t="str">
        <f t="shared" si="2903"/>
        <v>02004000</v>
      </c>
      <c r="C13227" t="str">
        <f t="shared" si="2904"/>
        <v>02004556</v>
      </c>
      <c r="D13227" t="str">
        <f t="shared" si="2905"/>
        <v>813</v>
      </c>
      <c r="E13227" t="str">
        <f>"89301102"</f>
        <v>89301102</v>
      </c>
      <c r="F13227" t="str">
        <f>"0706231383"</f>
        <v>0706231383</v>
      </c>
      <c r="G13227" s="1">
        <v>44911</v>
      </c>
      <c r="H13227" t="str">
        <f>"91249"</f>
        <v>91249</v>
      </c>
      <c r="I13227">
        <v>1</v>
      </c>
      <c r="J13227">
        <v>1489</v>
      </c>
      <c r="K13227">
        <v>0</v>
      </c>
      <c r="L13227">
        <v>1161.42</v>
      </c>
    </row>
    <row r="13228" spans="1:12" x14ac:dyDescent="0.25">
      <c r="A13228" t="str">
        <f t="shared" si="2897"/>
        <v>89301000</v>
      </c>
      <c r="B13228" t="str">
        <f t="shared" si="2903"/>
        <v>02004000</v>
      </c>
      <c r="C13228" t="str">
        <f t="shared" si="2904"/>
        <v>02004556</v>
      </c>
      <c r="D13228" t="str">
        <f t="shared" si="2905"/>
        <v>813</v>
      </c>
      <c r="E13228" t="str">
        <f>"89301102"</f>
        <v>89301102</v>
      </c>
      <c r="F13228" t="str">
        <f>"0706231383"</f>
        <v>0706231383</v>
      </c>
      <c r="G13228" s="1">
        <v>44911</v>
      </c>
      <c r="H13228" t="str">
        <f>"91251"</f>
        <v>91251</v>
      </c>
      <c r="I13228">
        <v>1</v>
      </c>
      <c r="J13228">
        <v>1489</v>
      </c>
      <c r="K13228">
        <v>0</v>
      </c>
      <c r="L13228">
        <v>1161.42</v>
      </c>
    </row>
    <row r="13229" spans="1:12" x14ac:dyDescent="0.25">
      <c r="A13229" t="str">
        <f t="shared" si="2897"/>
        <v>89301000</v>
      </c>
      <c r="B13229" t="str">
        <f t="shared" si="2903"/>
        <v>02004000</v>
      </c>
      <c r="C13229" t="str">
        <f t="shared" si="2904"/>
        <v>02004556</v>
      </c>
      <c r="D13229" t="str">
        <f t="shared" si="2905"/>
        <v>813</v>
      </c>
      <c r="E13229" t="str">
        <f>"89301028"</f>
        <v>89301028</v>
      </c>
      <c r="F13229" t="str">
        <f>"8954126203"</f>
        <v>8954126203</v>
      </c>
      <c r="G13229" s="1">
        <v>44915</v>
      </c>
      <c r="H13229" t="str">
        <f>"91249"</f>
        <v>91249</v>
      </c>
      <c r="I13229">
        <v>1</v>
      </c>
      <c r="J13229">
        <v>1489</v>
      </c>
      <c r="K13229">
        <v>0</v>
      </c>
      <c r="L13229">
        <v>1161.42</v>
      </c>
    </row>
    <row r="13230" spans="1:12" x14ac:dyDescent="0.25">
      <c r="A13230" t="str">
        <f t="shared" si="2897"/>
        <v>89301000</v>
      </c>
      <c r="B13230" t="str">
        <f t="shared" si="2903"/>
        <v>02004000</v>
      </c>
      <c r="C13230" t="str">
        <f t="shared" si="2904"/>
        <v>02004556</v>
      </c>
      <c r="D13230" t="str">
        <f t="shared" si="2905"/>
        <v>813</v>
      </c>
      <c r="E13230" t="str">
        <f>"89301028"</f>
        <v>89301028</v>
      </c>
      <c r="F13230" t="str">
        <f>"8954126203"</f>
        <v>8954126203</v>
      </c>
      <c r="G13230" s="1">
        <v>44915</v>
      </c>
      <c r="H13230" t="str">
        <f>"91251"</f>
        <v>91251</v>
      </c>
      <c r="I13230">
        <v>1</v>
      </c>
      <c r="J13230">
        <v>1489</v>
      </c>
      <c r="K13230">
        <v>0</v>
      </c>
      <c r="L13230">
        <v>1161.42</v>
      </c>
    </row>
    <row r="13231" spans="1:12" x14ac:dyDescent="0.25">
      <c r="A13231" t="str">
        <f t="shared" si="2897"/>
        <v>89301000</v>
      </c>
      <c r="B13231" t="str">
        <f t="shared" si="2903"/>
        <v>02004000</v>
      </c>
      <c r="C13231" t="str">
        <f t="shared" si="2904"/>
        <v>02004556</v>
      </c>
      <c r="D13231" t="str">
        <f t="shared" si="2905"/>
        <v>813</v>
      </c>
      <c r="E13231" t="str">
        <f>"89301102"</f>
        <v>89301102</v>
      </c>
      <c r="F13231" t="str">
        <f>"0658303239"</f>
        <v>0658303239</v>
      </c>
      <c r="G13231" s="1">
        <v>44924</v>
      </c>
      <c r="H13231" t="str">
        <f>"91249"</f>
        <v>91249</v>
      </c>
      <c r="I13231">
        <v>1</v>
      </c>
      <c r="J13231">
        <v>1489</v>
      </c>
      <c r="K13231">
        <v>0</v>
      </c>
      <c r="L13231">
        <v>1161.42</v>
      </c>
    </row>
    <row r="13232" spans="1:12" x14ac:dyDescent="0.25">
      <c r="A13232" t="str">
        <f t="shared" si="2897"/>
        <v>89301000</v>
      </c>
      <c r="B13232" t="str">
        <f t="shared" si="2903"/>
        <v>02004000</v>
      </c>
      <c r="C13232" t="str">
        <f t="shared" si="2904"/>
        <v>02004556</v>
      </c>
      <c r="D13232" t="str">
        <f t="shared" si="2905"/>
        <v>813</v>
      </c>
      <c r="E13232" t="str">
        <f>"89301102"</f>
        <v>89301102</v>
      </c>
      <c r="F13232" t="str">
        <f>"0658303239"</f>
        <v>0658303239</v>
      </c>
      <c r="G13232" s="1">
        <v>44924</v>
      </c>
      <c r="H13232" t="str">
        <f>"91251"</f>
        <v>91251</v>
      </c>
      <c r="I13232">
        <v>1</v>
      </c>
      <c r="J13232">
        <v>1489</v>
      </c>
      <c r="K13232">
        <v>0</v>
      </c>
      <c r="L13232">
        <v>1161.42</v>
      </c>
    </row>
    <row r="13233" spans="1:12" x14ac:dyDescent="0.25">
      <c r="A13233" t="str">
        <f t="shared" si="2897"/>
        <v>89301000</v>
      </c>
      <c r="B13233" t="str">
        <f t="shared" si="2903"/>
        <v>02004000</v>
      </c>
      <c r="C13233" t="str">
        <f>"02004545"</f>
        <v>02004545</v>
      </c>
      <c r="D13233" t="str">
        <f>"816"</f>
        <v>816</v>
      </c>
      <c r="E13233" t="str">
        <f>"89301282"</f>
        <v>89301282</v>
      </c>
      <c r="F13233" t="str">
        <f>"7451255328"</f>
        <v>7451255328</v>
      </c>
      <c r="G13233" s="1">
        <v>44874</v>
      </c>
      <c r="H13233" t="str">
        <f>"94221"</f>
        <v>94221</v>
      </c>
      <c r="I13233">
        <v>9</v>
      </c>
      <c r="J13233">
        <v>22077</v>
      </c>
      <c r="K13233">
        <v>0</v>
      </c>
      <c r="L13233">
        <v>18765.45</v>
      </c>
    </row>
    <row r="13234" spans="1:12" x14ac:dyDescent="0.25">
      <c r="A13234" t="str">
        <f t="shared" si="2897"/>
        <v>89301000</v>
      </c>
      <c r="B13234" t="str">
        <f t="shared" si="2903"/>
        <v>02004000</v>
      </c>
      <c r="C13234" t="str">
        <f>"02004545"</f>
        <v>02004545</v>
      </c>
      <c r="D13234" t="str">
        <f>"816"</f>
        <v>816</v>
      </c>
      <c r="E13234" t="str">
        <f>"89301282"</f>
        <v>89301282</v>
      </c>
      <c r="F13234" t="str">
        <f>"7451255328"</f>
        <v>7451255328</v>
      </c>
      <c r="G13234" s="1">
        <v>44874</v>
      </c>
      <c r="H13234" t="str">
        <f>"94221"</f>
        <v>94221</v>
      </c>
      <c r="I13234">
        <v>1</v>
      </c>
      <c r="J13234">
        <v>2453</v>
      </c>
      <c r="K13234">
        <v>0</v>
      </c>
      <c r="L13234">
        <v>2085.0500000000002</v>
      </c>
    </row>
    <row r="13235" spans="1:12" x14ac:dyDescent="0.25">
      <c r="A13235" t="str">
        <f t="shared" si="2897"/>
        <v>89301000</v>
      </c>
      <c r="B13235" t="str">
        <f t="shared" si="2903"/>
        <v>02004000</v>
      </c>
      <c r="C13235" t="str">
        <f>"02004545"</f>
        <v>02004545</v>
      </c>
      <c r="D13235" t="str">
        <f>"816"</f>
        <v>816</v>
      </c>
      <c r="E13235" t="str">
        <f>"89301282"</f>
        <v>89301282</v>
      </c>
      <c r="F13235" t="str">
        <f>"7451255328"</f>
        <v>7451255328</v>
      </c>
      <c r="G13235" s="1">
        <v>44874</v>
      </c>
      <c r="H13235" t="str">
        <f>"94225"</f>
        <v>94225</v>
      </c>
      <c r="I13235">
        <v>1</v>
      </c>
      <c r="J13235">
        <v>1187</v>
      </c>
      <c r="K13235">
        <v>0</v>
      </c>
      <c r="L13235">
        <v>1008.95</v>
      </c>
    </row>
    <row r="13236" spans="1:12" x14ac:dyDescent="0.25">
      <c r="A13236" t="str">
        <f t="shared" si="2897"/>
        <v>89301000</v>
      </c>
      <c r="B13236" t="str">
        <f>"05002000"</f>
        <v>05002000</v>
      </c>
      <c r="C13236" t="str">
        <f>"05002174"</f>
        <v>05002174</v>
      </c>
      <c r="D13236" t="str">
        <f>"802"</f>
        <v>802</v>
      </c>
      <c r="E13236" t="str">
        <f>"89301172"</f>
        <v>89301172</v>
      </c>
      <c r="F13236" t="str">
        <f>"8702245068"</f>
        <v>8702245068</v>
      </c>
      <c r="G13236" s="1">
        <v>44918</v>
      </c>
      <c r="H13236" t="str">
        <f>"85115"</f>
        <v>85115</v>
      </c>
      <c r="I13236">
        <v>1</v>
      </c>
      <c r="J13236">
        <v>2423</v>
      </c>
      <c r="K13236">
        <v>0</v>
      </c>
      <c r="L13236">
        <v>2204.9299999999998</v>
      </c>
    </row>
    <row r="13237" spans="1:12" x14ac:dyDescent="0.25">
      <c r="A13237" t="str">
        <f t="shared" si="2897"/>
        <v>89301000</v>
      </c>
      <c r="B13237" t="str">
        <f>"72100000"</f>
        <v>72100000</v>
      </c>
      <c r="C13237" t="str">
        <f>"72100632"</f>
        <v>72100632</v>
      </c>
      <c r="D13237" t="str">
        <f t="shared" ref="D13237:D13257" si="2906">"816"</f>
        <v>816</v>
      </c>
      <c r="E13237" t="str">
        <f>"89301282"</f>
        <v>89301282</v>
      </c>
      <c r="F13237" t="str">
        <f>"6156290910"</f>
        <v>6156290910</v>
      </c>
      <c r="G13237" s="1">
        <v>44750</v>
      </c>
      <c r="H13237" t="str">
        <f>"94351"</f>
        <v>94351</v>
      </c>
      <c r="I13237">
        <v>1</v>
      </c>
      <c r="J13237">
        <v>1709</v>
      </c>
      <c r="K13237">
        <v>0</v>
      </c>
      <c r="L13237">
        <v>1452.65</v>
      </c>
    </row>
    <row r="13238" spans="1:12" x14ac:dyDescent="0.25">
      <c r="A13238" t="str">
        <f t="shared" si="2897"/>
        <v>89301000</v>
      </c>
      <c r="B13238" t="str">
        <f>"72100000"</f>
        <v>72100000</v>
      </c>
      <c r="C13238" t="str">
        <f>"72100632"</f>
        <v>72100632</v>
      </c>
      <c r="D13238" t="str">
        <f t="shared" si="2906"/>
        <v>816</v>
      </c>
      <c r="E13238" t="str">
        <f>"89301282"</f>
        <v>89301282</v>
      </c>
      <c r="F13238" t="str">
        <f>"6156290910"</f>
        <v>6156290910</v>
      </c>
      <c r="G13238" s="1">
        <v>44750</v>
      </c>
      <c r="H13238" t="str">
        <f>"94351"</f>
        <v>94351</v>
      </c>
      <c r="I13238">
        <v>1</v>
      </c>
      <c r="J13238">
        <v>1709</v>
      </c>
      <c r="K13238">
        <v>0</v>
      </c>
      <c r="L13238">
        <v>1452.65</v>
      </c>
    </row>
    <row r="13239" spans="1:12" x14ac:dyDescent="0.25">
      <c r="A13239" t="str">
        <f t="shared" si="2897"/>
        <v>89301000</v>
      </c>
      <c r="B13239" t="str">
        <f>"72100000"</f>
        <v>72100000</v>
      </c>
      <c r="C13239" t="str">
        <f>"72100632"</f>
        <v>72100632</v>
      </c>
      <c r="D13239" t="str">
        <f t="shared" si="2906"/>
        <v>816</v>
      </c>
      <c r="E13239" t="str">
        <f>"89301091"</f>
        <v>89301091</v>
      </c>
      <c r="F13239" t="str">
        <f>"2260590519"</f>
        <v>2260590519</v>
      </c>
      <c r="G13239" s="1">
        <v>44848</v>
      </c>
      <c r="H13239" t="str">
        <f>"94297"</f>
        <v>94297</v>
      </c>
      <c r="I13239">
        <v>1</v>
      </c>
      <c r="J13239">
        <v>298</v>
      </c>
      <c r="K13239">
        <v>0</v>
      </c>
      <c r="L13239">
        <v>366.54</v>
      </c>
    </row>
    <row r="13240" spans="1:12" x14ac:dyDescent="0.25">
      <c r="A13240" t="str">
        <f t="shared" si="2897"/>
        <v>89301000</v>
      </c>
      <c r="B13240" t="str">
        <f>"72100000"</f>
        <v>72100000</v>
      </c>
      <c r="C13240" t="str">
        <f>"72100632"</f>
        <v>72100632</v>
      </c>
      <c r="D13240" t="str">
        <f t="shared" si="2906"/>
        <v>816</v>
      </c>
      <c r="E13240" t="str">
        <f>"89301091"</f>
        <v>89301091</v>
      </c>
      <c r="F13240" t="str">
        <f>"2212120504"</f>
        <v>2212120504</v>
      </c>
      <c r="G13240" s="1">
        <v>44914</v>
      </c>
      <c r="H13240" t="str">
        <f>"94297"</f>
        <v>94297</v>
      </c>
      <c r="I13240">
        <v>1</v>
      </c>
      <c r="J13240">
        <v>298</v>
      </c>
      <c r="K13240">
        <v>0</v>
      </c>
      <c r="L13240">
        <v>366.54</v>
      </c>
    </row>
    <row r="13241" spans="1:12" x14ac:dyDescent="0.25">
      <c r="A13241" t="str">
        <f t="shared" si="2897"/>
        <v>89301000</v>
      </c>
      <c r="B13241" t="str">
        <f>"72100000"</f>
        <v>72100000</v>
      </c>
      <c r="C13241" t="str">
        <f>"72100632"</f>
        <v>72100632</v>
      </c>
      <c r="D13241" t="str">
        <f t="shared" si="2906"/>
        <v>816</v>
      </c>
      <c r="E13241" t="str">
        <f>"89301091"</f>
        <v>89301091</v>
      </c>
      <c r="F13241" t="str">
        <f>"2262200512"</f>
        <v>2262200512</v>
      </c>
      <c r="G13241" s="1">
        <v>44923</v>
      </c>
      <c r="H13241" t="str">
        <f>"94297"</f>
        <v>94297</v>
      </c>
      <c r="I13241">
        <v>1</v>
      </c>
      <c r="J13241">
        <v>298</v>
      </c>
      <c r="K13241">
        <v>0</v>
      </c>
      <c r="L13241">
        <v>366.54</v>
      </c>
    </row>
    <row r="13242" spans="1:12" x14ac:dyDescent="0.25">
      <c r="A13242" t="str">
        <f t="shared" si="2897"/>
        <v>89301000</v>
      </c>
      <c r="B13242" t="str">
        <f t="shared" ref="B13242:B13247" si="2907">"01393000"</f>
        <v>01393000</v>
      </c>
      <c r="C13242" t="str">
        <f t="shared" ref="C13242:C13247" si="2908">"01393003"</f>
        <v>01393003</v>
      </c>
      <c r="D13242" t="str">
        <f t="shared" si="2906"/>
        <v>816</v>
      </c>
      <c r="E13242" t="str">
        <f t="shared" ref="E13242:E13257" si="2909">"89301282"</f>
        <v>89301282</v>
      </c>
      <c r="F13242" t="str">
        <f t="shared" ref="F13242:F13247" si="2910">"0509155273"</f>
        <v>0509155273</v>
      </c>
      <c r="G13242" s="1">
        <v>44736</v>
      </c>
      <c r="H13242" t="str">
        <f t="shared" ref="H13242:H13247" si="2911">"94221"</f>
        <v>94221</v>
      </c>
      <c r="I13242">
        <v>1</v>
      </c>
      <c r="J13242">
        <v>2453</v>
      </c>
      <c r="K13242">
        <v>0</v>
      </c>
      <c r="L13242">
        <v>2085.0500000000002</v>
      </c>
    </row>
    <row r="13243" spans="1:12" x14ac:dyDescent="0.25">
      <c r="A13243" t="str">
        <f t="shared" si="2897"/>
        <v>89301000</v>
      </c>
      <c r="B13243" t="str">
        <f t="shared" si="2907"/>
        <v>01393000</v>
      </c>
      <c r="C13243" t="str">
        <f t="shared" si="2908"/>
        <v>01393003</v>
      </c>
      <c r="D13243" t="str">
        <f t="shared" si="2906"/>
        <v>816</v>
      </c>
      <c r="E13243" t="str">
        <f t="shared" si="2909"/>
        <v>89301282</v>
      </c>
      <c r="F13243" t="str">
        <f t="shared" si="2910"/>
        <v>0509155273</v>
      </c>
      <c r="G13243" s="1">
        <v>44736</v>
      </c>
      <c r="H13243" t="str">
        <f t="shared" si="2911"/>
        <v>94221</v>
      </c>
      <c r="I13243">
        <v>1</v>
      </c>
      <c r="J13243">
        <v>2453</v>
      </c>
      <c r="K13243">
        <v>0</v>
      </c>
      <c r="L13243">
        <v>2085.0500000000002</v>
      </c>
    </row>
    <row r="13244" spans="1:12" x14ac:dyDescent="0.25">
      <c r="A13244" t="str">
        <f t="shared" si="2897"/>
        <v>89301000</v>
      </c>
      <c r="B13244" t="str">
        <f t="shared" si="2907"/>
        <v>01393000</v>
      </c>
      <c r="C13244" t="str">
        <f t="shared" si="2908"/>
        <v>01393003</v>
      </c>
      <c r="D13244" t="str">
        <f t="shared" si="2906"/>
        <v>816</v>
      </c>
      <c r="E13244" t="str">
        <f t="shared" si="2909"/>
        <v>89301282</v>
      </c>
      <c r="F13244" t="str">
        <f t="shared" si="2910"/>
        <v>0509155273</v>
      </c>
      <c r="G13244" s="1">
        <v>44736</v>
      </c>
      <c r="H13244" t="str">
        <f t="shared" si="2911"/>
        <v>94221</v>
      </c>
      <c r="I13244">
        <v>1</v>
      </c>
      <c r="J13244">
        <v>2453</v>
      </c>
      <c r="K13244">
        <v>0</v>
      </c>
      <c r="L13244">
        <v>2085.0500000000002</v>
      </c>
    </row>
    <row r="13245" spans="1:12" x14ac:dyDescent="0.25">
      <c r="A13245" t="str">
        <f t="shared" si="2897"/>
        <v>89301000</v>
      </c>
      <c r="B13245" t="str">
        <f t="shared" si="2907"/>
        <v>01393000</v>
      </c>
      <c r="C13245" t="str">
        <f t="shared" si="2908"/>
        <v>01393003</v>
      </c>
      <c r="D13245" t="str">
        <f t="shared" si="2906"/>
        <v>816</v>
      </c>
      <c r="E13245" t="str">
        <f t="shared" si="2909"/>
        <v>89301282</v>
      </c>
      <c r="F13245" t="str">
        <f t="shared" si="2910"/>
        <v>0509155273</v>
      </c>
      <c r="G13245" s="1">
        <v>44736</v>
      </c>
      <c r="H13245" t="str">
        <f t="shared" si="2911"/>
        <v>94221</v>
      </c>
      <c r="I13245">
        <v>1</v>
      </c>
      <c r="J13245">
        <v>2453</v>
      </c>
      <c r="K13245">
        <v>0</v>
      </c>
      <c r="L13245">
        <v>2085.0500000000002</v>
      </c>
    </row>
    <row r="13246" spans="1:12" x14ac:dyDescent="0.25">
      <c r="A13246" t="str">
        <f t="shared" si="2897"/>
        <v>89301000</v>
      </c>
      <c r="B13246" t="str">
        <f t="shared" si="2907"/>
        <v>01393000</v>
      </c>
      <c r="C13246" t="str">
        <f t="shared" si="2908"/>
        <v>01393003</v>
      </c>
      <c r="D13246" t="str">
        <f t="shared" si="2906"/>
        <v>816</v>
      </c>
      <c r="E13246" t="str">
        <f t="shared" si="2909"/>
        <v>89301282</v>
      </c>
      <c r="F13246" t="str">
        <f t="shared" si="2910"/>
        <v>0509155273</v>
      </c>
      <c r="G13246" s="1">
        <v>44736</v>
      </c>
      <c r="H13246" t="str">
        <f t="shared" si="2911"/>
        <v>94221</v>
      </c>
      <c r="I13246">
        <v>1</v>
      </c>
      <c r="J13246">
        <v>2453</v>
      </c>
      <c r="K13246">
        <v>0</v>
      </c>
      <c r="L13246">
        <v>2085.0500000000002</v>
      </c>
    </row>
    <row r="13247" spans="1:12" x14ac:dyDescent="0.25">
      <c r="A13247" t="str">
        <f t="shared" si="2897"/>
        <v>89301000</v>
      </c>
      <c r="B13247" t="str">
        <f t="shared" si="2907"/>
        <v>01393000</v>
      </c>
      <c r="C13247" t="str">
        <f t="shared" si="2908"/>
        <v>01393003</v>
      </c>
      <c r="D13247" t="str">
        <f t="shared" si="2906"/>
        <v>816</v>
      </c>
      <c r="E13247" t="str">
        <f t="shared" si="2909"/>
        <v>89301282</v>
      </c>
      <c r="F13247" t="str">
        <f t="shared" si="2910"/>
        <v>0509155273</v>
      </c>
      <c r="G13247" s="1">
        <v>44736</v>
      </c>
      <c r="H13247" t="str">
        <f t="shared" si="2911"/>
        <v>94221</v>
      </c>
      <c r="I13247">
        <v>1</v>
      </c>
      <c r="J13247">
        <v>2453</v>
      </c>
      <c r="K13247">
        <v>0</v>
      </c>
      <c r="L13247">
        <v>2085.0500000000002</v>
      </c>
    </row>
    <row r="13248" spans="1:12" x14ac:dyDescent="0.25">
      <c r="A13248" t="str">
        <f t="shared" si="2897"/>
        <v>89301000</v>
      </c>
      <c r="B13248" t="str">
        <f>"72932000"</f>
        <v>72932000</v>
      </c>
      <c r="C13248" t="str">
        <f>"72932050"</f>
        <v>72932050</v>
      </c>
      <c r="D13248" t="str">
        <f t="shared" si="2906"/>
        <v>816</v>
      </c>
      <c r="E13248" t="str">
        <f t="shared" si="2909"/>
        <v>89301282</v>
      </c>
      <c r="F13248" t="str">
        <f>"9461205094"</f>
        <v>9461205094</v>
      </c>
      <c r="G13248" s="1">
        <v>44909</v>
      </c>
      <c r="H13248" t="str">
        <f>"94983"</f>
        <v>94983</v>
      </c>
      <c r="I13248">
        <v>1</v>
      </c>
      <c r="J13248">
        <v>0</v>
      </c>
      <c r="K13248">
        <v>39600</v>
      </c>
      <c r="L13248">
        <v>39600</v>
      </c>
    </row>
    <row r="13249" spans="1:12" x14ac:dyDescent="0.25">
      <c r="A13249" t="str">
        <f t="shared" si="2897"/>
        <v>89301000</v>
      </c>
      <c r="B13249" t="str">
        <f>"72932000"</f>
        <v>72932000</v>
      </c>
      <c r="C13249" t="str">
        <f>"72932050"</f>
        <v>72932050</v>
      </c>
      <c r="D13249" t="str">
        <f t="shared" si="2906"/>
        <v>816</v>
      </c>
      <c r="E13249" t="str">
        <f t="shared" si="2909"/>
        <v>89301282</v>
      </c>
      <c r="F13249" t="str">
        <f>"9461205094"</f>
        <v>9461205094</v>
      </c>
      <c r="G13249" s="1">
        <v>44909</v>
      </c>
      <c r="H13249" t="str">
        <f>"94996"</f>
        <v>94996</v>
      </c>
      <c r="I13249">
        <v>1</v>
      </c>
      <c r="J13249">
        <v>0</v>
      </c>
      <c r="K13249">
        <v>0</v>
      </c>
      <c r="L13249">
        <v>0</v>
      </c>
    </row>
    <row r="13250" spans="1:12" x14ac:dyDescent="0.25">
      <c r="A13250" t="str">
        <f t="shared" ref="A13250:A13257" si="2912">"89301000"</f>
        <v>89301000</v>
      </c>
      <c r="B13250" t="str">
        <f t="shared" ref="B13250:B13257" si="2913">"91009000"</f>
        <v>91009000</v>
      </c>
      <c r="C13250" t="str">
        <f t="shared" ref="C13250:C13257" si="2914">"91009522"</f>
        <v>91009522</v>
      </c>
      <c r="D13250" t="str">
        <f t="shared" si="2906"/>
        <v>816</v>
      </c>
      <c r="E13250" t="str">
        <f t="shared" si="2909"/>
        <v>89301282</v>
      </c>
      <c r="F13250" t="str">
        <f>"7554305352"</f>
        <v>7554305352</v>
      </c>
      <c r="G13250" s="1">
        <v>44916</v>
      </c>
      <c r="H13250" t="str">
        <f>"94345"</f>
        <v>94345</v>
      </c>
      <c r="I13250">
        <v>2</v>
      </c>
      <c r="J13250">
        <v>9250</v>
      </c>
      <c r="K13250">
        <v>0</v>
      </c>
      <c r="L13250">
        <v>7862.5</v>
      </c>
    </row>
    <row r="13251" spans="1:12" x14ac:dyDescent="0.25">
      <c r="A13251" t="str">
        <f t="shared" si="2912"/>
        <v>89301000</v>
      </c>
      <c r="B13251" t="str">
        <f t="shared" si="2913"/>
        <v>91009000</v>
      </c>
      <c r="C13251" t="str">
        <f t="shared" si="2914"/>
        <v>91009522</v>
      </c>
      <c r="D13251" t="str">
        <f t="shared" si="2906"/>
        <v>816</v>
      </c>
      <c r="E13251" t="str">
        <f t="shared" si="2909"/>
        <v>89301282</v>
      </c>
      <c r="F13251" t="str">
        <f>"7554305352"</f>
        <v>7554305352</v>
      </c>
      <c r="G13251" s="1">
        <v>44916</v>
      </c>
      <c r="H13251" t="str">
        <f>"94948"</f>
        <v>94948</v>
      </c>
      <c r="I13251">
        <v>2</v>
      </c>
      <c r="J13251">
        <v>0</v>
      </c>
      <c r="K13251">
        <v>0</v>
      </c>
      <c r="L13251">
        <v>0</v>
      </c>
    </row>
    <row r="13252" spans="1:12" x14ac:dyDescent="0.25">
      <c r="A13252" t="str">
        <f t="shared" si="2912"/>
        <v>89301000</v>
      </c>
      <c r="B13252" t="str">
        <f t="shared" si="2913"/>
        <v>91009000</v>
      </c>
      <c r="C13252" t="str">
        <f t="shared" si="2914"/>
        <v>91009522</v>
      </c>
      <c r="D13252" t="str">
        <f t="shared" si="2906"/>
        <v>816</v>
      </c>
      <c r="E13252" t="str">
        <f t="shared" si="2909"/>
        <v>89301282</v>
      </c>
      <c r="F13252" t="str">
        <f>"7612305360"</f>
        <v>7612305360</v>
      </c>
      <c r="G13252" s="1">
        <v>44916</v>
      </c>
      <c r="H13252" t="str">
        <f>"94345"</f>
        <v>94345</v>
      </c>
      <c r="I13252">
        <v>2</v>
      </c>
      <c r="J13252">
        <v>9250</v>
      </c>
      <c r="K13252">
        <v>0</v>
      </c>
      <c r="L13252">
        <v>7862.5</v>
      </c>
    </row>
    <row r="13253" spans="1:12" x14ac:dyDescent="0.25">
      <c r="A13253" t="str">
        <f t="shared" si="2912"/>
        <v>89301000</v>
      </c>
      <c r="B13253" t="str">
        <f t="shared" si="2913"/>
        <v>91009000</v>
      </c>
      <c r="C13253" t="str">
        <f t="shared" si="2914"/>
        <v>91009522</v>
      </c>
      <c r="D13253" t="str">
        <f t="shared" si="2906"/>
        <v>816</v>
      </c>
      <c r="E13253" t="str">
        <f t="shared" si="2909"/>
        <v>89301282</v>
      </c>
      <c r="F13253" t="str">
        <f>"7612305360"</f>
        <v>7612305360</v>
      </c>
      <c r="G13253" s="1">
        <v>44916</v>
      </c>
      <c r="H13253" t="str">
        <f>"94948"</f>
        <v>94948</v>
      </c>
      <c r="I13253">
        <v>2</v>
      </c>
      <c r="J13253">
        <v>0</v>
      </c>
      <c r="K13253">
        <v>0</v>
      </c>
      <c r="L13253">
        <v>0</v>
      </c>
    </row>
    <row r="13254" spans="1:12" x14ac:dyDescent="0.25">
      <c r="A13254" t="str">
        <f t="shared" si="2912"/>
        <v>89301000</v>
      </c>
      <c r="B13254" t="str">
        <f t="shared" si="2913"/>
        <v>91009000</v>
      </c>
      <c r="C13254" t="str">
        <f t="shared" si="2914"/>
        <v>91009522</v>
      </c>
      <c r="D13254" t="str">
        <f t="shared" si="2906"/>
        <v>816</v>
      </c>
      <c r="E13254" t="str">
        <f t="shared" si="2909"/>
        <v>89301282</v>
      </c>
      <c r="F13254" t="str">
        <f>"9353105718"</f>
        <v>9353105718</v>
      </c>
      <c r="G13254" s="1">
        <v>44918</v>
      </c>
      <c r="H13254" t="str">
        <f>"94345"</f>
        <v>94345</v>
      </c>
      <c r="I13254">
        <v>2</v>
      </c>
      <c r="J13254">
        <v>9250</v>
      </c>
      <c r="K13254">
        <v>0</v>
      </c>
      <c r="L13254">
        <v>7862.5</v>
      </c>
    </row>
    <row r="13255" spans="1:12" x14ac:dyDescent="0.25">
      <c r="A13255" t="str">
        <f t="shared" si="2912"/>
        <v>89301000</v>
      </c>
      <c r="B13255" t="str">
        <f t="shared" si="2913"/>
        <v>91009000</v>
      </c>
      <c r="C13255" t="str">
        <f t="shared" si="2914"/>
        <v>91009522</v>
      </c>
      <c r="D13255" t="str">
        <f t="shared" si="2906"/>
        <v>816</v>
      </c>
      <c r="E13255" t="str">
        <f t="shared" si="2909"/>
        <v>89301282</v>
      </c>
      <c r="F13255" t="str">
        <f>"9353105718"</f>
        <v>9353105718</v>
      </c>
      <c r="G13255" s="1">
        <v>44918</v>
      </c>
      <c r="H13255" t="str">
        <f>"94948"</f>
        <v>94948</v>
      </c>
      <c r="I13255">
        <v>2</v>
      </c>
      <c r="J13255">
        <v>0</v>
      </c>
      <c r="K13255">
        <v>0</v>
      </c>
      <c r="L13255">
        <v>0</v>
      </c>
    </row>
    <row r="13256" spans="1:12" x14ac:dyDescent="0.25">
      <c r="A13256" t="str">
        <f t="shared" si="2912"/>
        <v>89301000</v>
      </c>
      <c r="B13256" t="str">
        <f t="shared" si="2913"/>
        <v>91009000</v>
      </c>
      <c r="C13256" t="str">
        <f t="shared" si="2914"/>
        <v>91009522</v>
      </c>
      <c r="D13256" t="str">
        <f t="shared" si="2906"/>
        <v>816</v>
      </c>
      <c r="E13256" t="str">
        <f t="shared" si="2909"/>
        <v>89301282</v>
      </c>
      <c r="F13256" t="str">
        <f>"5954052115"</f>
        <v>5954052115</v>
      </c>
      <c r="G13256" s="1">
        <v>44903</v>
      </c>
      <c r="H13256" t="str">
        <f>"94948"</f>
        <v>94948</v>
      </c>
      <c r="I13256">
        <v>1</v>
      </c>
      <c r="J13256">
        <v>0</v>
      </c>
      <c r="K13256">
        <v>0</v>
      </c>
      <c r="L13256">
        <v>0</v>
      </c>
    </row>
    <row r="13257" spans="1:12" x14ac:dyDescent="0.25">
      <c r="A13257" t="str">
        <f t="shared" si="2912"/>
        <v>89301000</v>
      </c>
      <c r="B13257" t="str">
        <f t="shared" si="2913"/>
        <v>91009000</v>
      </c>
      <c r="C13257" t="str">
        <f t="shared" si="2914"/>
        <v>91009522</v>
      </c>
      <c r="D13257" t="str">
        <f t="shared" si="2906"/>
        <v>816</v>
      </c>
      <c r="E13257" t="str">
        <f t="shared" si="2909"/>
        <v>89301282</v>
      </c>
      <c r="F13257" t="str">
        <f>"5954052115"</f>
        <v>5954052115</v>
      </c>
      <c r="G13257" s="1">
        <v>44903</v>
      </c>
      <c r="H13257" t="str">
        <f>"94955"</f>
        <v>94955</v>
      </c>
      <c r="I13257">
        <v>1</v>
      </c>
      <c r="J13257">
        <v>0</v>
      </c>
      <c r="K13257">
        <v>2929</v>
      </c>
      <c r="L13257">
        <v>2929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vypdet_89301000_IND_SLE_UV_2023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Korytářová Lenka</dc:creator>
  <cp:lastModifiedBy>Korytářová Lenka</cp:lastModifiedBy>
  <dcterms:created xsi:type="dcterms:W3CDTF">2023-07-17T05:03:09Z</dcterms:created>
  <dcterms:modified xsi:type="dcterms:W3CDTF">2023-07-17T05:03:09Z</dcterms:modified>
</cp:coreProperties>
</file>